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1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4.xml" ContentType="application/vnd.openxmlformats-officedocument.drawing+xml"/>
  <Override PartName="/xl/charts/chart30.xml" ContentType="application/vnd.openxmlformats-officedocument.drawingml.chart+xml"/>
  <Override PartName="/xl/drawings/drawing15.xml" ContentType="application/vnd.openxmlformats-officedocument.drawing+xml"/>
  <Override PartName="/xl/charts/chart31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32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0.xml" ContentType="application/vnd.openxmlformats-officedocument.drawing+xml"/>
  <Override PartName="/xl/charts/chart38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39.xml" ContentType="application/vnd.openxmlformats-officedocument.drawingml.chart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40.xml" ContentType="application/vnd.openxmlformats-officedocument.drawingml.chart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41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44.xml" ContentType="application/vnd.openxmlformats-officedocument.drawingml.chart+xml"/>
  <Override PartName="/xl/drawings/drawing32.xml" ContentType="application/vnd.openxmlformats-officedocument.drawing+xml"/>
  <Override PartName="/xl/charts/chart45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58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charts/chart59.xml" ContentType="application/vnd.openxmlformats-officedocument.drawingml.chart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74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75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76.xml" ContentType="application/vnd.openxmlformats-officedocument.drawing+xml"/>
  <Override PartName="/xl/charts/chart71.xml" ContentType="application/vnd.openxmlformats-officedocument.drawingml.chart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theme/themeOverride1.xml" ContentType="application/vnd.openxmlformats-officedocument.themeOverride+xml"/>
  <Override PartName="/xl/charts/chart86.xml" ContentType="application/vnd.openxmlformats-officedocument.drawingml.chart+xml"/>
  <Override PartName="/xl/theme/themeOverride2.xml" ContentType="application/vnd.openxmlformats-officedocument.themeOverride+xml"/>
  <Override PartName="/xl/charts/chart87.xml" ContentType="application/vnd.openxmlformats-officedocument.drawingml.chart+xml"/>
  <Override PartName="/xl/drawings/drawing81.xml" ContentType="application/vnd.openxmlformats-officedocument.drawing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drawings/drawing82.xml" ContentType="application/vnd.openxmlformats-officedocument.drawing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charts/chart133.xml" ContentType="application/vnd.openxmlformats-officedocument.drawingml.chart+xml"/>
  <Override PartName="/xl/drawings/drawing88.xml" ContentType="application/vnd.openxmlformats-officedocument.drawing+xml"/>
  <Override PartName="/xl/charts/chart134.xml" ContentType="application/vnd.openxmlformats-officedocument.drawingml.chart+xml"/>
  <Override PartName="/xl/drawings/drawing89.xml" ContentType="application/vnd.openxmlformats-officedocument.drawing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90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drawings/drawing9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always" defaultThemeVersion="124226"/>
  <bookViews>
    <workbookView xWindow="-15" yWindow="2745" windowWidth="7500" windowHeight="2850" tabRatio="881"/>
  </bookViews>
  <sheets>
    <sheet name="Portada" sheetId="322" r:id="rId1"/>
    <sheet name="Indice" sheetId="301" r:id="rId2"/>
    <sheet name="Aspirantes plan" sheetId="236" r:id="rId3"/>
    <sheet name="Aspirantes uni" sheetId="237" r:id="rId4"/>
    <sheet name="Asp x gen" sheetId="296" r:id="rId5"/>
    <sheet name="Admitidos plan" sheetId="238" r:id="rId6"/>
    <sheet name="Admitidos uni" sheetId="239" r:id="rId7"/>
    <sheet name="Admitidos x gen" sheetId="306" r:id="rId8"/>
    <sheet name="Admitidos SE" sheetId="303" r:id="rId9"/>
    <sheet name="Inscritos plan" sheetId="240" r:id="rId10"/>
    <sheet name="Inscritos uni" sheetId="241" r:id="rId11"/>
    <sheet name="Inscritos SE" sheetId="304" r:id="rId12"/>
    <sheet name="Matrícula plan" sheetId="193" r:id="rId13"/>
    <sheet name="Matricula uni" sheetId="194" r:id="rId14"/>
    <sheet name="BAJAS-DEF plan" sheetId="226" state="hidden" r:id="rId15"/>
    <sheet name="BAJAS-DEF uni" sheetId="227" r:id="rId16"/>
    <sheet name="BAJAS-REG plan" sheetId="228" state="hidden" r:id="rId17"/>
    <sheet name="BAJAS-REG uni" sheetId="229" r:id="rId18"/>
    <sheet name="ACTIVOS plan" sheetId="201" r:id="rId19"/>
    <sheet name="ACTIVOS uni" sheetId="202" r:id="rId20"/>
    <sheet name="EGRESO plan" sheetId="274" r:id="rId21"/>
    <sheet name="EGRESO uni" sheetId="98" r:id="rId22"/>
    <sheet name="egresados x gen" sheetId="297" r:id="rId23"/>
    <sheet name="EGRESO-ACUM plan" sheetId="173" r:id="rId24"/>
    <sheet name="EGR-ACUM uni" sheetId="172" r:id="rId25"/>
    <sheet name="TITULADOS plan" sheetId="275" r:id="rId26"/>
    <sheet name="TITULADOS uni" sheetId="253" r:id="rId27"/>
    <sheet name="TRIM EGRESO plan" sheetId="230" r:id="rId28"/>
    <sheet name="TRIM EGRESO uni" sheetId="231" r:id="rId29"/>
    <sheet name="TRIM PROM (1978-15)" sheetId="289" r:id="rId30"/>
    <sheet name="Eficiencia terminal" sheetId="298" r:id="rId31"/>
    <sheet name="Planes de Lic." sheetId="315" r:id="rId32"/>
    <sheet name="Planes de calidad-Resumen" sheetId="319" r:id="rId33"/>
    <sheet name="Activos Lic-Pos" sheetId="299" r:id="rId34"/>
    <sheet name="Egresados Lic-Pos" sheetId="300" r:id="rId35"/>
    <sheet name="ASPI POSG plan" sheetId="273" r:id="rId36"/>
    <sheet name="ASPI-POS uni" sheetId="263" r:id="rId37"/>
    <sheet name="INSC-POSG plan" sheetId="276" r:id="rId38"/>
    <sheet name="INSC-POSG uni" sheetId="277" r:id="rId39"/>
    <sheet name="TOTALreinscrito POS plan" sheetId="247" state="hidden" r:id="rId40"/>
    <sheet name="TOTALreinscrito POS" sheetId="248" state="hidden" r:id="rId41"/>
    <sheet name="MATRICULA-POS plan" sheetId="283" r:id="rId42"/>
    <sheet name="MATRICULA-POS uni" sheetId="284" r:id="rId43"/>
    <sheet name="BAJAS DEF-POS plan" sheetId="168" state="hidden" r:id="rId44"/>
    <sheet name="BAJAS DEF-POS uni" sheetId="26" state="hidden" r:id="rId45"/>
    <sheet name="BAJAS REG-POS plan" sheetId="169" state="hidden" r:id="rId46"/>
    <sheet name="BAJAS REG-POS uni" sheetId="27" state="hidden" r:id="rId47"/>
    <sheet name="ACTIVOS-POS plan" sheetId="267" r:id="rId48"/>
    <sheet name="ACTIVOS-POS uni" sheetId="268" r:id="rId49"/>
    <sheet name="EGRESO-POS plan" sheetId="278" r:id="rId50"/>
    <sheet name="EGRESO-POs uni" sheetId="279" r:id="rId51"/>
    <sheet name="EGRESO POS ACUM plan" sheetId="266" r:id="rId52"/>
    <sheet name="EGRESO-POS ACUM uni" sheetId="233" r:id="rId53"/>
    <sheet name="Planes de Posgrado" sheetId="317" r:id="rId54"/>
    <sheet name="planes de calidad resumen" sheetId="318" r:id="rId55"/>
    <sheet name="Becas UAM pagadas" sheetId="320" r:id="rId56"/>
    <sheet name=" 1 Pronabes plan" sheetId="270" r:id="rId57"/>
    <sheet name="1 pronabes uni" sheetId="271" r:id="rId58"/>
    <sheet name="BECA SEP" sheetId="124" state="hidden" r:id="rId59"/>
    <sheet name="2 Excelencia_plan" sheetId="308" r:id="rId60"/>
    <sheet name="2 Excelencia_uni" sheetId="311" r:id="rId61"/>
    <sheet name="3 Gpos Vuln_plan" sheetId="309" r:id="rId62"/>
    <sheet name="3 Gpos Vuln_uni" sheetId="312" r:id="rId63"/>
    <sheet name="4 Serv Social plan" sheetId="339" r:id="rId64"/>
    <sheet name="4 Serv social uni" sheetId="342" r:id="rId65"/>
    <sheet name="5 Lenguas Ext plan" sheetId="323" r:id="rId66"/>
    <sheet name="5 Lenguas Ext uni" sheetId="326" r:id="rId67"/>
    <sheet name="6 Mov Inter Lic plan" sheetId="325" r:id="rId68"/>
    <sheet name="6 Mov Inter Lic uni" sheetId="329" r:id="rId69"/>
    <sheet name="7 Mov Nal Lic plan" sheetId="330" r:id="rId70"/>
    <sheet name="7 Mov Nal Lic uni" sheetId="331" r:id="rId71"/>
    <sheet name="8 Partic Lic plan" sheetId="327" r:id="rId72"/>
    <sheet name="8 Partic Lic uni" sheetId="328" r:id="rId73"/>
    <sheet name="9 Posg_plan" sheetId="314" r:id="rId74"/>
    <sheet name="9 Posg_uni" sheetId="282" r:id="rId75"/>
    <sheet name="BECAS-POS EVALUADOS " sheetId="35" state="hidden" r:id="rId76"/>
    <sheet name="BECAS - POS TESIS" sheetId="36" state="hidden" r:id="rId77"/>
    <sheet name="BECAS - POS NUEVO" sheetId="37" state="hidden" r:id="rId78"/>
    <sheet name="10 Difusión_plan" sheetId="310" r:id="rId79"/>
    <sheet name="10  Difusión_uni" sheetId="313" r:id="rId80"/>
    <sheet name="11-12 Movilidad Posgrado" sheetId="324" r:id="rId81"/>
    <sheet name="13 Estancias Posd" sheetId="341" r:id="rId82"/>
    <sheet name="14 Superacion Acad" sheetId="340" r:id="rId83"/>
    <sheet name="Definitivo x categoría" sheetId="337" r:id="rId84"/>
    <sheet name="Definitivo x género" sheetId="295" r:id="rId85"/>
    <sheet name="ACAD x EDAD" sheetId="291" r:id="rId86"/>
    <sheet name="ACAD x ANTIG" sheetId="292" r:id="rId87"/>
    <sheet name="Alumnos x PTC" sheetId="336" r:id="rId88"/>
    <sheet name="becas y estímulos" sheetId="305" r:id="rId89"/>
    <sheet name="Becas y Estimulos x U,D (2)" sheetId="302" state="hidden" r:id="rId90"/>
    <sheet name="PTC-GRADO" sheetId="242" r:id="rId91"/>
    <sheet name="PTC-GRADO (2)" sheetId="281" r:id="rId92"/>
    <sheet name="PROMEP PERFIL" sheetId="243" r:id="rId93"/>
    <sheet name="SNI" sheetId="123" r:id="rId94"/>
    <sheet name="Cuerpos Acad" sheetId="234" r:id="rId95"/>
    <sheet name="TIPPA PROD CIENTIF" sheetId="46" r:id="rId96"/>
    <sheet name="TIPPA PROD TOTAL" sheetId="47" r:id="rId97"/>
    <sheet name="DEPORTES" sheetId="285" r:id="rId98"/>
    <sheet name="Resumen Deportes" sheetId="321" r:id="rId99"/>
    <sheet name="ADMI X EDAD" sheetId="293" r:id="rId100"/>
    <sheet name="ADMI X ANTIG" sheetId="294" r:id="rId101"/>
    <sheet name="RECURSOS EXT" sheetId="287" r:id="rId102"/>
    <sheet name="Convenios" sheetId="288" r:id="rId103"/>
    <sheet name="Transparencia" sheetId="344" r:id="rId104"/>
  </sheets>
  <externalReferences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</externalReferences>
  <definedNames>
    <definedName name="\A">#REF!</definedName>
    <definedName name="\B">#REF!</definedName>
    <definedName name="\C">#REF!</definedName>
    <definedName name="\D">#REF!</definedName>
    <definedName name="\i">#REF!</definedName>
    <definedName name="\m" localSheetId="68">#REF!</definedName>
    <definedName name="\m" localSheetId="70">#REF!</definedName>
    <definedName name="\m" localSheetId="8">#REF!</definedName>
    <definedName name="\m" localSheetId="87">#REF!</definedName>
    <definedName name="\m" localSheetId="88">#REF!</definedName>
    <definedName name="\m" localSheetId="89">#REF!</definedName>
    <definedName name="\m" localSheetId="34">#REF!</definedName>
    <definedName name="\m" localSheetId="1">#REF!</definedName>
    <definedName name="\m" localSheetId="11">#REF!</definedName>
    <definedName name="\m" localSheetId="54">#REF!</definedName>
    <definedName name="\m" localSheetId="32">#REF!</definedName>
    <definedName name="\m" localSheetId="98">#REF!</definedName>
    <definedName name="\m">#REF!</definedName>
    <definedName name="\n">#REF!</definedName>
    <definedName name="\p">#REF!</definedName>
    <definedName name="\r">#REF!</definedName>
    <definedName name="\s">#REF!</definedName>
    <definedName name="\w">[1]PMI!#REF!</definedName>
    <definedName name="\z">#N/A</definedName>
    <definedName name="____bcs1">#REF!</definedName>
    <definedName name="____dgo1">#REF!</definedName>
    <definedName name="____dgo2">#REF!</definedName>
    <definedName name="____gro1">#REF!</definedName>
    <definedName name="____gro2">#REF!</definedName>
    <definedName name="____gto1">#REF!</definedName>
    <definedName name="____gto2">#REF!</definedName>
    <definedName name="____hgo1">#REF!</definedName>
    <definedName name="____hgo2">#REF!</definedName>
    <definedName name="____jal2">#REF!</definedName>
    <definedName name="____mex1">#REF!</definedName>
    <definedName name="____mex2">#REF!</definedName>
    <definedName name="____mor1">#REF!</definedName>
    <definedName name="____mor2">#REF!</definedName>
    <definedName name="____nay1">#REF!</definedName>
    <definedName name="____nay2">#REF!</definedName>
    <definedName name="____oax1">#REF!</definedName>
    <definedName name="____oax2">#REF!</definedName>
    <definedName name="____pue1">#REF!</definedName>
    <definedName name="____pue2">#REF!</definedName>
    <definedName name="____qro1">#REF!</definedName>
    <definedName name="____qro2">#REF!</definedName>
    <definedName name="____rmc1">#REF!</definedName>
    <definedName name="____sin1">#REF!</definedName>
    <definedName name="____sin2">#REF!</definedName>
    <definedName name="____slp1">#REF!</definedName>
    <definedName name="____slp2">#REF!</definedName>
    <definedName name="____son1">#REF!</definedName>
    <definedName name="____son2">#REF!</definedName>
    <definedName name="____tab1">#REF!</definedName>
    <definedName name="____tab2">#REF!</definedName>
    <definedName name="____tam1">#REF!</definedName>
    <definedName name="____tam2">#REF!</definedName>
    <definedName name="____ver1">#REF!</definedName>
    <definedName name="____ver2">#REF!</definedName>
    <definedName name="___ags1">#REF!</definedName>
    <definedName name="___ags2">#REF!</definedName>
    <definedName name="___bcn1">#REF!</definedName>
    <definedName name="___bcn2">#REF!</definedName>
    <definedName name="___bcs1">#REF!</definedName>
    <definedName name="___bcs2">#REF!</definedName>
    <definedName name="___col1">#REF!</definedName>
    <definedName name="___col2">#REF!</definedName>
    <definedName name="___dgo1">#REF!</definedName>
    <definedName name="___dgo2">#REF!</definedName>
    <definedName name="___gro1">#REF!</definedName>
    <definedName name="___gro2">#REF!</definedName>
    <definedName name="___gto1">#REF!</definedName>
    <definedName name="___gto2">#REF!</definedName>
    <definedName name="___hgo1">#REF!</definedName>
    <definedName name="___hgo2">#REF!</definedName>
    <definedName name="___jal1">#REF!</definedName>
    <definedName name="___jal2">#REF!</definedName>
    <definedName name="___mex1">#REF!</definedName>
    <definedName name="___mex2">#REF!</definedName>
    <definedName name="___mor1">#REF!</definedName>
    <definedName name="___mor2">#REF!</definedName>
    <definedName name="___nay1">#REF!</definedName>
    <definedName name="___nay2">#REF!</definedName>
    <definedName name="___oax1">#REF!</definedName>
    <definedName name="___oax2">#REF!</definedName>
    <definedName name="___pue1">#REF!</definedName>
    <definedName name="___pue2">#REF!</definedName>
    <definedName name="___qro1">#REF!</definedName>
    <definedName name="___qro2">#REF!</definedName>
    <definedName name="___rmc1">#REF!</definedName>
    <definedName name="___sin1">#REF!</definedName>
    <definedName name="___sin2">#REF!</definedName>
    <definedName name="___slp1">#REF!</definedName>
    <definedName name="___slp2">#REF!</definedName>
    <definedName name="___son1">#REF!</definedName>
    <definedName name="___son2">#REF!</definedName>
    <definedName name="___tab1">#REF!</definedName>
    <definedName name="___tab2">#REF!</definedName>
    <definedName name="___tam1">#REF!</definedName>
    <definedName name="___tam2">#REF!</definedName>
    <definedName name="___ver1">#REF!</definedName>
    <definedName name="___ver2">#REF!</definedName>
    <definedName name="__123Graph_A" hidden="1">'[2]TAB DCENTE CETI 2001'!#REF!</definedName>
    <definedName name="__123Graph_C" hidden="1">[3]PLAZASXI!#REF!</definedName>
    <definedName name="__123Graph_D" hidden="1">[3]PLAZASXI!#REF!</definedName>
    <definedName name="__123Graph_E" hidden="1">[3]PLAZASXI!#REF!</definedName>
    <definedName name="__123Graph_F" hidden="1">[3]PLAZASXI!#REF!</definedName>
    <definedName name="__123Graph_X" hidden="1">'[2]TAB DCENTE CETI 2001'!#REF!</definedName>
    <definedName name="__ags1">#REF!</definedName>
    <definedName name="__ags2">#REF!</definedName>
    <definedName name="__bcn1">#REF!</definedName>
    <definedName name="__bcn2">#REF!</definedName>
    <definedName name="__bcs1">#REF!</definedName>
    <definedName name="__bcs2">#REF!</definedName>
    <definedName name="__col1">#REF!</definedName>
    <definedName name="__col2">#REF!</definedName>
    <definedName name="__dgo1">#REF!</definedName>
    <definedName name="__dgo2">#REF!</definedName>
    <definedName name="__gro1">#REF!</definedName>
    <definedName name="__gro2">#REF!</definedName>
    <definedName name="__gto1">#REF!</definedName>
    <definedName name="__gto2">#REF!</definedName>
    <definedName name="__hgo1">#REF!</definedName>
    <definedName name="__hgo2">#REF!</definedName>
    <definedName name="__jal1">#REF!</definedName>
    <definedName name="__jal2">#REF!</definedName>
    <definedName name="__mex1">#REF!</definedName>
    <definedName name="__mex2">#REF!</definedName>
    <definedName name="__mor1">#REF!</definedName>
    <definedName name="__mor2">#REF!</definedName>
    <definedName name="__nay1">#REF!</definedName>
    <definedName name="__nay2">#REF!</definedName>
    <definedName name="__oax1">#REF!</definedName>
    <definedName name="__oax2">#REF!</definedName>
    <definedName name="__pue1">#REF!</definedName>
    <definedName name="__pue2">#REF!</definedName>
    <definedName name="__qro1">#REF!</definedName>
    <definedName name="__qro2">#REF!</definedName>
    <definedName name="__rmc1">#REF!</definedName>
    <definedName name="__sin1">#REF!</definedName>
    <definedName name="__sin2">#REF!</definedName>
    <definedName name="__slp1">#REF!</definedName>
    <definedName name="__slp2">#REF!</definedName>
    <definedName name="__son1">#REF!</definedName>
    <definedName name="__son2">#REF!</definedName>
    <definedName name="__tab1">#REF!</definedName>
    <definedName name="__tab2">#REF!</definedName>
    <definedName name="__tam1">#REF!</definedName>
    <definedName name="__tam2">#REF!</definedName>
    <definedName name="__ver1">#REF!</definedName>
    <definedName name="__ver2">#REF!</definedName>
    <definedName name="_1">#REF!</definedName>
    <definedName name="_ags1">#REF!</definedName>
    <definedName name="_ags2">#REF!</definedName>
    <definedName name="_bcn1">#REF!</definedName>
    <definedName name="_bcn2">#REF!</definedName>
    <definedName name="_bcs1">#REF!</definedName>
    <definedName name="_bcs2">#REF!</definedName>
    <definedName name="_col1">#REF!</definedName>
    <definedName name="_col2">#REF!</definedName>
    <definedName name="_dgo1">#REF!</definedName>
    <definedName name="_dgo2">#REF!</definedName>
    <definedName name="_Fill" hidden="1">#REF!</definedName>
    <definedName name="_xlnm._FilterDatabase" localSheetId="59" hidden="1">'2 Excelencia_plan'!#REF!</definedName>
    <definedName name="_gro1">#REF!</definedName>
    <definedName name="_gro2">#REF!</definedName>
    <definedName name="_gto1">#REF!</definedName>
    <definedName name="_gto2">#REF!</definedName>
    <definedName name="_H100000">#REF!</definedName>
    <definedName name="_H66000">#REF!</definedName>
    <definedName name="_H70000">#REF!</definedName>
    <definedName name="_hgo1">#REF!</definedName>
    <definedName name="_hgo2">#REF!</definedName>
    <definedName name="_jal1">#REF!</definedName>
    <definedName name="_jal2">#REF!</definedName>
    <definedName name="_Key1" hidden="1">[4]DIRECTIVO!#REF!</definedName>
    <definedName name="_mex1">#REF!</definedName>
    <definedName name="_mex2">#REF!</definedName>
    <definedName name="_mor1">#REF!</definedName>
    <definedName name="_mor2">#REF!</definedName>
    <definedName name="_nay1">#REF!</definedName>
    <definedName name="_nay2">#REF!</definedName>
    <definedName name="_oax1">#REF!</definedName>
    <definedName name="_oax2">#REF!</definedName>
    <definedName name="_Order1" hidden="1">0</definedName>
    <definedName name="_pue1">#REF!</definedName>
    <definedName name="_pue2">#REF!</definedName>
    <definedName name="_qro1">#REF!</definedName>
    <definedName name="_qro2">#REF!</definedName>
    <definedName name="_QRO96" localSheetId="68">'[5]32CCG94'!#REF!</definedName>
    <definedName name="_QRO96" localSheetId="70">'[5]32CCG94'!#REF!</definedName>
    <definedName name="_QRO96" localSheetId="8">'[5]32CCG94'!#REF!</definedName>
    <definedName name="_QRO96" localSheetId="88">'[5]32CCG94'!#REF!</definedName>
    <definedName name="_QRO96" localSheetId="89">'[5]32CCG94'!#REF!</definedName>
    <definedName name="_QRO96" localSheetId="83">'[5]32CCG94'!#REF!</definedName>
    <definedName name="_QRO96" localSheetId="34">'[5]32CCG94'!#REF!</definedName>
    <definedName name="_QRO96" localSheetId="1">'[5]32CCG94'!#REF!</definedName>
    <definedName name="_QRO96" localSheetId="11">'[5]32CCG94'!#REF!</definedName>
    <definedName name="_QRO96" localSheetId="54">'[5]32CCG94'!#REF!</definedName>
    <definedName name="_QRO96" localSheetId="32">'[5]32CCG94'!#REF!</definedName>
    <definedName name="_QRO96" localSheetId="98">'[5]32CCG94'!#REF!</definedName>
    <definedName name="_QRO96">'[5]32CCG94'!#REF!</definedName>
    <definedName name="_rmc1">#REF!</definedName>
    <definedName name="_sin1">#REF!</definedName>
    <definedName name="_sin2">#REF!</definedName>
    <definedName name="_slp1">#REF!</definedName>
    <definedName name="_slp2">#REF!</definedName>
    <definedName name="_son1">#REF!</definedName>
    <definedName name="_son2">#REF!</definedName>
    <definedName name="_Sort" hidden="1">#REF!</definedName>
    <definedName name="_tab1">#REF!</definedName>
    <definedName name="_tab2">#REF!</definedName>
    <definedName name="_tam1">#REF!</definedName>
    <definedName name="_tam2">#REF!</definedName>
    <definedName name="_ver1">#REF!</definedName>
    <definedName name="_ver2">#REF!</definedName>
    <definedName name="A" localSheetId="68">'[5]32CCG94'!#REF!</definedName>
    <definedName name="A" localSheetId="70">'[5]32CCG94'!#REF!</definedName>
    <definedName name="A" localSheetId="8">'[5]32CCG94'!#REF!</definedName>
    <definedName name="A" localSheetId="88">'[5]32CCG94'!#REF!</definedName>
    <definedName name="A" localSheetId="89">'[5]32CCG94'!#REF!</definedName>
    <definedName name="A" localSheetId="83">'[5]32CCG94'!#REF!</definedName>
    <definedName name="A" localSheetId="34">'[5]32CCG94'!#REF!</definedName>
    <definedName name="A" localSheetId="1">'[5]32CCG94'!#REF!</definedName>
    <definedName name="A" localSheetId="11">'[5]32CCG94'!#REF!</definedName>
    <definedName name="A" localSheetId="54">'[5]32CCG94'!#REF!</definedName>
    <definedName name="A" localSheetId="32">'[5]32CCG94'!#REF!</definedName>
    <definedName name="A" localSheetId="98">'[5]32CCG94'!#REF!</definedName>
    <definedName name="A">'[5]32CCG94'!#REF!</definedName>
    <definedName name="A_impresion_IM">#REF!</definedName>
    <definedName name="A_impresión_IM" localSheetId="68">'[5]32CCG94'!#REF!</definedName>
    <definedName name="A_impresión_IM" localSheetId="70">'[5]32CCG94'!#REF!</definedName>
    <definedName name="A_impresión_IM" localSheetId="8">'[5]32CCG94'!#REF!</definedName>
    <definedName name="A_impresión_IM" localSheetId="83">'[5]32CCG94'!#REF!</definedName>
    <definedName name="A_impresión_IM" localSheetId="34">'[5]32CCG94'!#REF!</definedName>
    <definedName name="A_impresión_IM" localSheetId="11">'[5]32CCG94'!#REF!</definedName>
    <definedName name="A_impresión_IM" localSheetId="54">'[5]32CCG94'!#REF!</definedName>
    <definedName name="A_impresión_IM" localSheetId="32">'[5]32CCG94'!#REF!</definedName>
    <definedName name="A_impresión_IM" localSheetId="98">'[5]32CCG94'!#REF!</definedName>
    <definedName name="A_impresión_IM">'[5]32CCG94'!#REF!</definedName>
    <definedName name="aa">#REF!</definedName>
    <definedName name="admvo.plantilla">#REF!</definedName>
    <definedName name="ADMVO_A">#REF!</definedName>
    <definedName name="AGUIN_Y_P.V.">#REF!</definedName>
    <definedName name="Área">#REF!</definedName>
    <definedName name="_xlnm.Print_Area" localSheetId="57">'1 pronabes uni'!$A$1:$AD$76</definedName>
    <definedName name="_xlnm.Print_Area" localSheetId="86">'ACAD x ANTIG'!$A$2:$N$89</definedName>
    <definedName name="_xlnm.Print_Area" localSheetId="33">'Activos Lic-Pos'!$C$1:$N$36</definedName>
    <definedName name="_xlnm.Print_Area" localSheetId="18">'ACTIVOS plan'!$A$1:$O$102</definedName>
    <definedName name="_xlnm.Print_Area" localSheetId="19">'ACTIVOS uni'!$A$1:$N$77</definedName>
    <definedName name="_xlnm.Print_Area" localSheetId="47">'ACTIVOS-POS plan'!$A$1:$Q$136</definedName>
    <definedName name="_xlnm.Print_Area" localSheetId="48">'ACTIVOS-POS uni'!$B$1:$P$86</definedName>
    <definedName name="_xlnm.Print_Area" localSheetId="100">'ADMI X ANTIG'!$A$1:$L$57</definedName>
    <definedName name="_xlnm.Print_Area" localSheetId="99">'ADMI X EDAD'!$A$1:$L$67</definedName>
    <definedName name="_xlnm.Print_Area" localSheetId="5">'Admitidos plan'!$A$1:$AP$102</definedName>
    <definedName name="_xlnm.Print_Area" localSheetId="6">'Admitidos uni'!$A$1:$AO$39</definedName>
    <definedName name="_xlnm.Print_Area" localSheetId="7">'Admitidos x gen'!$A$1:$AA$39</definedName>
    <definedName name="_xlnm.Print_Area" localSheetId="87">'Alumnos x PTC'!$A$1:$N$199</definedName>
    <definedName name="_xlnm.Print_Area" localSheetId="4">'Asp x gen'!$A$1:$AF$38</definedName>
    <definedName name="_xlnm.Print_Area" localSheetId="35">'ASPI POSG plan'!$A$1:$BD$131</definedName>
    <definedName name="_xlnm.Print_Area" localSheetId="36">'ASPI-POS uni'!$A$1:$BB$121</definedName>
    <definedName name="_xlnm.Print_Area" localSheetId="2">'Aspirantes plan'!$A$4:$AP$104</definedName>
    <definedName name="_xlnm.Print_Area" localSheetId="3">'Aspirantes uni'!$A$1:$AO$39</definedName>
    <definedName name="_xlnm.Print_Area" localSheetId="44">'BAJAS DEF-POS uni'!$B$3:$AB$63</definedName>
    <definedName name="_xlnm.Print_Area" localSheetId="46">'BAJAS REG-POS uni'!$B$1:$AB$72</definedName>
    <definedName name="_xlnm.Print_Area" localSheetId="14">'BAJAS-DEF plan'!$A$1:$L$79</definedName>
    <definedName name="_xlnm.Print_Area" localSheetId="15">'BAJAS-DEF uni'!$A$1:$P$73</definedName>
    <definedName name="_xlnm.Print_Area" localSheetId="16">'BAJAS-REG plan'!$A$1:$L$82</definedName>
    <definedName name="_xlnm.Print_Area" localSheetId="17">'BAJAS-REG uni'!$A$1:$P$75</definedName>
    <definedName name="_xlnm.Print_Area" localSheetId="58">'BECA SEP'!$C$1:$X$42</definedName>
    <definedName name="_xlnm.Print_Area" localSheetId="77">'BECAS - POS NUEVO'!$B$1:$O$75</definedName>
    <definedName name="_xlnm.Print_Area" localSheetId="76">'BECAS - POS TESIS'!$B$1:$O$75</definedName>
    <definedName name="_xlnm.Print_Area" localSheetId="75">'BECAS-POS EVALUADOS '!$B$1:$M$76</definedName>
    <definedName name="_xlnm.Print_Area" localSheetId="94">'Cuerpos Acad'!$A$1:$BA$138</definedName>
    <definedName name="_xlnm.Print_Area" localSheetId="83">'Definitivo x categoría'!$A$1:$AX$138</definedName>
    <definedName name="_xlnm.Print_Area" localSheetId="84">'Definitivo x género'!$A$1:$AF$142</definedName>
    <definedName name="_xlnm.Print_Area" localSheetId="97">DEPORTES!$A$1:$L$216</definedName>
    <definedName name="_xlnm.Print_Area" localSheetId="30">'Eficiencia terminal'!$A$1:$L$173</definedName>
    <definedName name="_xlnm.Print_Area" localSheetId="24">'EGR-ACUM uni'!$A$1:$N$72</definedName>
    <definedName name="_xlnm.Print_Area" localSheetId="34">'Egresados Lic-Pos'!$D$1:$O$40</definedName>
    <definedName name="_xlnm.Print_Area" localSheetId="21">'EGRESO uni'!$A$1:$BN$38</definedName>
    <definedName name="_xlnm.Print_Area" localSheetId="23">'EGRESO-ACUM plan'!$A$1:$N$105</definedName>
    <definedName name="_xlnm.Print_Area" localSheetId="52">'EGRESO-POS ACUM uni'!$A$1:$Z$107</definedName>
    <definedName name="_xlnm.Print_Area" localSheetId="49">'EGRESO-POS plan'!$A$1:$BP$129</definedName>
    <definedName name="_xlnm.Print_Area" localSheetId="50">'EGRESO-POs uni'!$A$1:$BN$125</definedName>
    <definedName name="_xlnm.Print_Area" localSheetId="1">Indice!$A$1:$K$36</definedName>
    <definedName name="_xlnm.Print_Area" localSheetId="37">'INSC-POSG plan'!$A$1:$BT$135</definedName>
    <definedName name="_xlnm.Print_Area" localSheetId="38">'INSC-POSG uni'!$A$1:$BR$136</definedName>
    <definedName name="_xlnm.Print_Area" localSheetId="9">'Inscritos plan'!$A$1:$AP$102</definedName>
    <definedName name="_xlnm.Print_Area" localSheetId="11">'Inscritos SE'!$A$1:$AL$95</definedName>
    <definedName name="_xlnm.Print_Area" localSheetId="10">'Inscritos uni'!$A$1:$AO$39</definedName>
    <definedName name="_xlnm.Print_Area" localSheetId="12">'Matrícula plan'!$A$1:$AM$102</definedName>
    <definedName name="_xlnm.Print_Area" localSheetId="13">'Matricula uni'!$A$1:$AO$39</definedName>
    <definedName name="_xlnm.Print_Area" localSheetId="41">'MATRICULA-POS plan'!$A$1:$AQ$135</definedName>
    <definedName name="_xlnm.Print_Area" localSheetId="42">'MATRICULA-POS uni'!$A$1:$AO$110</definedName>
    <definedName name="_xlnm.Print_Area" localSheetId="0">Portada!$A$1:$N$42</definedName>
    <definedName name="_xlnm.Print_Area" localSheetId="90">'PTC-GRADO'!$A$1:$BJ$33</definedName>
    <definedName name="_xlnm.Print_Area" localSheetId="91">'PTC-GRADO (2)'!$A$1:$BJ$116</definedName>
    <definedName name="_xlnm.Print_Area" localSheetId="101">'RECURSOS EXT'!$A$1:$F$218</definedName>
    <definedName name="_xlnm.Print_Area" localSheetId="93">SNI!$A$1:$BX$166</definedName>
    <definedName name="_xlnm.Print_Area" localSheetId="95">'TIPPA PROD CIENTIF'!$A$1:$N$74</definedName>
    <definedName name="_xlnm.Print_Area" localSheetId="96">'TIPPA PROD TOTAL'!$A$1:$X$123</definedName>
    <definedName name="_xlnm.Print_Area" localSheetId="25">'TITULADOS plan'!$A$1:$W$104</definedName>
    <definedName name="_xlnm.Print_Area" localSheetId="39">'TOTALreinscrito POS plan'!$A$1:$Y$93</definedName>
    <definedName name="_xlnm.Print_Area" localSheetId="27">'TRIM EGRESO plan'!$A$1:$P$84</definedName>
    <definedName name="_xlnm.Print_Area" localSheetId="28">'TRIM EGRESO uni'!$A$1:$N$72</definedName>
    <definedName name="AS_MON1">#REF!</definedName>
    <definedName name="AS_MON2">#REF!</definedName>
    <definedName name="AS_PAR1">#REF!</definedName>
    <definedName name="AS_PAR2">#REF!</definedName>
    <definedName name="AS_PLA1">#REF!</definedName>
    <definedName name="AS_PLA2">#REF!</definedName>
    <definedName name="ASS" localSheetId="68">'[5]32CCG94'!#REF!</definedName>
    <definedName name="ASS" localSheetId="70">'[5]32CCG94'!#REF!</definedName>
    <definedName name="ASS" localSheetId="8">'[5]32CCG94'!#REF!</definedName>
    <definedName name="ASS" localSheetId="88">'[5]32CCG94'!#REF!</definedName>
    <definedName name="ASS" localSheetId="89">'[5]32CCG94'!#REF!</definedName>
    <definedName name="ASS" localSheetId="34">'[5]32CCG94'!#REF!</definedName>
    <definedName name="ASS" localSheetId="1">'[5]32CCG94'!#REF!</definedName>
    <definedName name="ASS" localSheetId="11">'[5]32CCG94'!#REF!</definedName>
    <definedName name="ASS" localSheetId="54">'[5]32CCG94'!#REF!</definedName>
    <definedName name="ASS" localSheetId="32">'[5]32CCG94'!#REF!</definedName>
    <definedName name="ASS" localSheetId="98">'[5]32CCG94'!#REF!</definedName>
    <definedName name="ASS">'[5]32CCG94'!#REF!</definedName>
    <definedName name="B" localSheetId="68">'[5]32CCG94'!#REF!</definedName>
    <definedName name="B" localSheetId="70">'[5]32CCG94'!#REF!</definedName>
    <definedName name="B" localSheetId="8">'[5]32CCG94'!#REF!</definedName>
    <definedName name="B" localSheetId="88">'[5]32CCG94'!#REF!</definedName>
    <definedName name="B" localSheetId="89">'[5]32CCG94'!#REF!</definedName>
    <definedName name="B" localSheetId="34">'[5]32CCG94'!#REF!</definedName>
    <definedName name="B" localSheetId="1">'[5]32CCG94'!#REF!</definedName>
    <definedName name="B" localSheetId="11">'[5]32CCG94'!#REF!</definedName>
    <definedName name="B" localSheetId="54">'[5]32CCG94'!#REF!</definedName>
    <definedName name="B" localSheetId="32">'[5]32CCG94'!#REF!</definedName>
    <definedName name="B" localSheetId="98">'[5]32CCG94'!#REF!</definedName>
    <definedName name="B">'[5]32CCG94'!#REF!</definedName>
    <definedName name="BASE_ACTUAL">#REF!</definedName>
    <definedName name="BASE_INCREMENTO">#REF!</definedName>
    <definedName name="_xlnm.Database">#REF!</definedName>
    <definedName name="BBBBBBBBBBBBBBBB" localSheetId="68">'[5]32CCG94'!#REF!</definedName>
    <definedName name="BBBBBBBBBBBBBBBB" localSheetId="70">'[5]32CCG94'!#REF!</definedName>
    <definedName name="BBBBBBBBBBBBBBBB" localSheetId="34">'[5]32CCG94'!#REF!</definedName>
    <definedName name="BBBBBBBBBBBBBBBB" localSheetId="54">'[5]32CCG94'!#REF!</definedName>
    <definedName name="BBBBBBBBBBBBBBBB" localSheetId="32">'[5]32CCG94'!#REF!</definedName>
    <definedName name="BBBBBBBBBBBBBBBB" localSheetId="98">'[5]32CCG94'!#REF!</definedName>
    <definedName name="BBBBBBBBBBBBBBBB">'[5]32CCG94'!#REF!</definedName>
    <definedName name="BJ" localSheetId="68">'[5]32CCG94'!#REF!</definedName>
    <definedName name="BJ" localSheetId="70">'[5]32CCG94'!#REF!</definedName>
    <definedName name="BJ" localSheetId="34">'[5]32CCG94'!#REF!</definedName>
    <definedName name="BJ" localSheetId="54">'[5]32CCG94'!#REF!</definedName>
    <definedName name="BJ" localSheetId="32">'[5]32CCG94'!#REF!</definedName>
    <definedName name="BJ" localSheetId="98">'[5]32CCG94'!#REF!</definedName>
    <definedName name="BJ">'[5]32CCG94'!#REF!</definedName>
    <definedName name="camp1">#REF!</definedName>
    <definedName name="camp2">#REF!</definedName>
    <definedName name="categoria">'[6]DOCENTES '!#REF!</definedName>
    <definedName name="CATINST">'[7]MAT-CATINST-11'!$A$3:$D$114</definedName>
    <definedName name="CATINST25">'[7]MAT-CATINST-25'!$A$3:$C$89</definedName>
    <definedName name="CATINST33">'[7]MAT-CATINST-33'!$A$3:$C$101</definedName>
    <definedName name="cc" hidden="1">#REF!</definedName>
    <definedName name="CCCCCCCCCCCCC" localSheetId="68">'[5]32CCG94'!#REF!</definedName>
    <definedName name="CCCCCCCCCCCCC" localSheetId="70">'[5]32CCG94'!#REF!</definedName>
    <definedName name="CCCCCCCCCCCCC" localSheetId="34">'[5]32CCG94'!#REF!</definedName>
    <definedName name="CCCCCCCCCCCCC" localSheetId="54">'[5]32CCG94'!#REF!</definedName>
    <definedName name="CCCCCCCCCCCCC" localSheetId="32">'[5]32CCG94'!#REF!</definedName>
    <definedName name="CCCCCCCCCCCCC" localSheetId="98">'[5]32CCG94'!#REF!</definedName>
    <definedName name="CCCCCCCCCCCCC">'[5]32CCG94'!#REF!</definedName>
    <definedName name="CCCCCCCCCCCCCCCCCCCC" localSheetId="68">#REF!</definedName>
    <definedName name="CCCCCCCCCCCCCCCCCCCC" localSheetId="70">#REF!</definedName>
    <definedName name="CCCCCCCCCCCCCCCCCCCC" localSheetId="8">#REF!</definedName>
    <definedName name="CCCCCCCCCCCCCCCCCCCC" localSheetId="87">#REF!</definedName>
    <definedName name="CCCCCCCCCCCCCCCCCCCC" localSheetId="88">#REF!</definedName>
    <definedName name="CCCCCCCCCCCCCCCCCCCC" localSheetId="89">#REF!</definedName>
    <definedName name="CCCCCCCCCCCCCCCCCCCC" localSheetId="34">#REF!</definedName>
    <definedName name="CCCCCCCCCCCCCCCCCCCC" localSheetId="1">#REF!</definedName>
    <definedName name="CCCCCCCCCCCCCCCCCCCC" localSheetId="11">#REF!</definedName>
    <definedName name="CCCCCCCCCCCCCCCCCCCC" localSheetId="54">#REF!</definedName>
    <definedName name="CCCCCCCCCCCCCCCCCCCC" localSheetId="32">#REF!</definedName>
    <definedName name="CCCCCCCCCCCCCCCCCCCC" localSheetId="98">#REF!</definedName>
    <definedName name="CCCCCCCCCCCCCCCCCCCC">#REF!</definedName>
    <definedName name="cd" localSheetId="68">'[5]32CCG94'!#REF!</definedName>
    <definedName name="cd" localSheetId="70">'[5]32CCG94'!#REF!</definedName>
    <definedName name="cd" localSheetId="8">'[5]32CCG94'!#REF!</definedName>
    <definedName name="cd" localSheetId="88">'[5]32CCG94'!#REF!</definedName>
    <definedName name="cd" localSheetId="89">'[5]32CCG94'!#REF!</definedName>
    <definedName name="cd" localSheetId="34">'[5]32CCG94'!#REF!</definedName>
    <definedName name="cd" localSheetId="1">'[5]32CCG94'!#REF!</definedName>
    <definedName name="cd" localSheetId="11">'[5]32CCG94'!#REF!</definedName>
    <definedName name="cd" localSheetId="54">'[5]32CCG94'!#REF!</definedName>
    <definedName name="cd" localSheetId="32">'[5]32CCG94'!#REF!</definedName>
    <definedName name="cd" localSheetId="98">'[5]32CCG94'!#REF!</definedName>
    <definedName name="cd">'[5]32CCG94'!#REF!</definedName>
    <definedName name="cero" localSheetId="68">#REF!</definedName>
    <definedName name="cero" localSheetId="70">#REF!</definedName>
    <definedName name="cero" localSheetId="8">#REF!</definedName>
    <definedName name="cero" localSheetId="87">#REF!</definedName>
    <definedName name="cero" localSheetId="88">#REF!</definedName>
    <definedName name="cero" localSheetId="89">#REF!</definedName>
    <definedName name="cero" localSheetId="34">#REF!</definedName>
    <definedName name="cero" localSheetId="1">#REF!</definedName>
    <definedName name="cero" localSheetId="11">#REF!</definedName>
    <definedName name="cero" localSheetId="54">#REF!</definedName>
    <definedName name="cero" localSheetId="32">#REF!</definedName>
    <definedName name="cero" localSheetId="98">#REF!</definedName>
    <definedName name="cero">#REF!</definedName>
    <definedName name="CETI">[8]Hoja1!$B$365:$J$372</definedName>
    <definedName name="CG">#REF!</definedName>
    <definedName name="chih1">#REF!</definedName>
    <definedName name="chih2">#REF!</definedName>
    <definedName name="chis1">#REF!</definedName>
    <definedName name="chis2">#REF!</definedName>
    <definedName name="CIEA">[8]Hoja1!$B$331:$J$342</definedName>
    <definedName name="coah1">#REF!</definedName>
    <definedName name="coah2">#REF!</definedName>
    <definedName name="COFAA">[8]Hoja1!$B$322:$J$327</definedName>
    <definedName name="CONALEP">[9]Hoja1!$B$346:$J$361</definedName>
    <definedName name="cuadro">[10]Ac02acV2!$A$1:$AY$1139</definedName>
    <definedName name="d">#REF!</definedName>
    <definedName name="d_f1">#REF!</definedName>
    <definedName name="d_f2">#REF!</definedName>
    <definedName name="dd" localSheetId="68">'[5]32CCG94'!#REF!</definedName>
    <definedName name="dd" localSheetId="70">'[5]32CCG94'!#REF!</definedName>
    <definedName name="dd" localSheetId="8">'[5]32CCG94'!#REF!</definedName>
    <definedName name="dd" localSheetId="88">'[5]32CCG94'!#REF!</definedName>
    <definedName name="dd" localSheetId="89">'[5]32CCG94'!#REF!</definedName>
    <definedName name="dd" localSheetId="34">'[5]32CCG94'!#REF!</definedName>
    <definedName name="dd" localSheetId="1">'[5]32CCG94'!#REF!</definedName>
    <definedName name="dd" localSheetId="11">'[5]32CCG94'!#REF!</definedName>
    <definedName name="dd" localSheetId="54">'[5]32CCG94'!#REF!</definedName>
    <definedName name="dd" localSheetId="32">'[5]32CCG94'!#REF!</definedName>
    <definedName name="dd" localSheetId="98">'[5]32CCG94'!#REF!</definedName>
    <definedName name="dd">'[5]32CCG94'!#REF!</definedName>
    <definedName name="DEL" localSheetId="68">'[5]32CCG94'!#REF!</definedName>
    <definedName name="DEL" localSheetId="70">'[5]32CCG94'!#REF!</definedName>
    <definedName name="DEL" localSheetId="8">'[5]32CCG94'!#REF!</definedName>
    <definedName name="DEL" localSheetId="88">'[5]32CCG94'!#REF!</definedName>
    <definedName name="DEL" localSheetId="89">'[5]32CCG94'!#REF!</definedName>
    <definedName name="DEL" localSheetId="34">'[5]32CCG94'!#REF!</definedName>
    <definedName name="DEL" localSheetId="1">'[5]32CCG94'!#REF!</definedName>
    <definedName name="DEL" localSheetId="11">'[5]32CCG94'!#REF!</definedName>
    <definedName name="DEL" localSheetId="54">'[5]32CCG94'!#REF!</definedName>
    <definedName name="DEL" localSheetId="32">'[5]32CCG94'!#REF!</definedName>
    <definedName name="DEL" localSheetId="98">'[5]32CCG94'!#REF!</definedName>
    <definedName name="DEL">'[5]32CCG94'!#REF!</definedName>
    <definedName name="despadmvo">#REF!</definedName>
    <definedName name="despdoc">#REF!</definedName>
    <definedName name="didactico">#REF!</definedName>
    <definedName name="docentes">#REF!</definedName>
    <definedName name="dse" localSheetId="68">'[5]32CCG94'!#REF!</definedName>
    <definedName name="dse" localSheetId="70">'[5]32CCG94'!#REF!</definedName>
    <definedName name="dse" localSheetId="34">'[5]32CCG94'!#REF!</definedName>
    <definedName name="dse" localSheetId="54">'[5]32CCG94'!#REF!</definedName>
    <definedName name="dse" localSheetId="32">'[5]32CCG94'!#REF!</definedName>
    <definedName name="dse" localSheetId="98">'[5]32CCG94'!#REF!</definedName>
    <definedName name="dse">'[5]32CCG94'!#REF!</definedName>
    <definedName name="e">#REF!</definedName>
    <definedName name="estatuso">'[6]DOCENTES '!#REF!</definedName>
    <definedName name="ET">#REF!</definedName>
    <definedName name="ETZII">#REF!</definedName>
    <definedName name="ETZIII">#REF!</definedName>
    <definedName name="FRT" localSheetId="68">'[5]32CCG94'!#REF!</definedName>
    <definedName name="FRT" localSheetId="70">'[5]32CCG94'!#REF!</definedName>
    <definedName name="FRT" localSheetId="34">'[5]32CCG94'!#REF!</definedName>
    <definedName name="FRT" localSheetId="54">'[5]32CCG94'!#REF!</definedName>
    <definedName name="FRT" localSheetId="32">'[5]32CCG94'!#REF!</definedName>
    <definedName name="FRT" localSheetId="98">'[5]32CCG94'!#REF!</definedName>
    <definedName name="FRT">'[5]32CCG94'!#REF!</definedName>
    <definedName name="g">#REF!</definedName>
    <definedName name="GG" hidden="1">#REF!</definedName>
    <definedName name="GMM_MON1">#REF!</definedName>
    <definedName name="GMM_MON2">#REF!</definedName>
    <definedName name="GMM_MONCH">#REF!</definedName>
    <definedName name="GMM_MONDH">#REF!</definedName>
    <definedName name="GMM_MONT">#REF!</definedName>
    <definedName name="GMM_MONTH">#REF!</definedName>
    <definedName name="GMM_MONUH">#REF!</definedName>
    <definedName name="GMM_PART">#REF!</definedName>
    <definedName name="GMM_PLA1">#REF!</definedName>
    <definedName name="GMM_PLA2">#REF!</definedName>
    <definedName name="GMM_PLACH">#REF!</definedName>
    <definedName name="GMM_PLADH">#REF!</definedName>
    <definedName name="GMM_PLATH">#REF!</definedName>
    <definedName name="GMM_PLAUH">#REF!</definedName>
    <definedName name="GMM_TIT">#REF!</definedName>
    <definedName name="Honorarios">#REF!</definedName>
    <definedName name="i">'[11]PLANTILLA 99'!$F$2:$J$481</definedName>
    <definedName name="IIIIIIII" localSheetId="68">'[5]32CCG94'!#REF!</definedName>
    <definedName name="IIIIIIII" localSheetId="70">'[5]32CCG94'!#REF!</definedName>
    <definedName name="IIIIIIII" localSheetId="34">'[5]32CCG94'!#REF!</definedName>
    <definedName name="IIIIIIII" localSheetId="54">'[5]32CCG94'!#REF!</definedName>
    <definedName name="IIIIIIII" localSheetId="32">'[5]32CCG94'!#REF!</definedName>
    <definedName name="IIIIIIII" localSheetId="98">'[5]32CCG94'!#REF!</definedName>
    <definedName name="IIIIIIII">'[5]32CCG94'!#REF!</definedName>
    <definedName name="INC">#REF!</definedName>
    <definedName name="INCREMENTO">#REF!</definedName>
    <definedName name="INDA">[8]Hoja1!$B$396:$J$402</definedName>
    <definedName name="IOU" localSheetId="68">#REF!</definedName>
    <definedName name="IOU" localSheetId="70">#REF!</definedName>
    <definedName name="IOU" localSheetId="8">#REF!</definedName>
    <definedName name="IOU" localSheetId="87">#REF!</definedName>
    <definedName name="IOU" localSheetId="88">#REF!</definedName>
    <definedName name="IOU" localSheetId="89">#REF!</definedName>
    <definedName name="IOU" localSheetId="34">#REF!</definedName>
    <definedName name="IOU" localSheetId="1">#REF!</definedName>
    <definedName name="IOU" localSheetId="11">#REF!</definedName>
    <definedName name="IOU" localSheetId="54">#REF!</definedName>
    <definedName name="IOU" localSheetId="32">#REF!</definedName>
    <definedName name="IOU" localSheetId="98">#REF!</definedName>
    <definedName name="IOU">#REF!</definedName>
    <definedName name="IPN">[8]Hoja1!$B$11:$M$309</definedName>
    <definedName name="JERARQUIA_PERSONAL">[12]CATALOGOS!$G$3:$G$10</definedName>
    <definedName name="jjj" localSheetId="68">'[5]32CCG94'!#REF!</definedName>
    <definedName name="jjj" localSheetId="70">'[5]32CCG94'!#REF!</definedName>
    <definedName name="jjj" localSheetId="8">'[5]32CCG94'!#REF!</definedName>
    <definedName name="jjj" localSheetId="88">'[5]32CCG94'!#REF!</definedName>
    <definedName name="jjj" localSheetId="89">'[5]32CCG94'!#REF!</definedName>
    <definedName name="jjj" localSheetId="34">'[5]32CCG94'!#REF!</definedName>
    <definedName name="jjj" localSheetId="1">'[5]32CCG94'!#REF!</definedName>
    <definedName name="jjj" localSheetId="11">'[5]32CCG94'!#REF!</definedName>
    <definedName name="jjj" localSheetId="54">'[5]32CCG94'!#REF!</definedName>
    <definedName name="jjj" localSheetId="32">'[5]32CCG94'!#REF!</definedName>
    <definedName name="jjj" localSheetId="98">'[5]32CCG94'!#REF!</definedName>
    <definedName name="jjj">'[5]32CCG94'!#REF!</definedName>
    <definedName name="JJJJY" localSheetId="68">'[5]32CCG94'!#REF!</definedName>
    <definedName name="JJJJY" localSheetId="70">'[5]32CCG94'!#REF!</definedName>
    <definedName name="JJJJY" localSheetId="34">'[5]32CCG94'!#REF!</definedName>
    <definedName name="JJJJY" localSheetId="54">'[5]32CCG94'!#REF!</definedName>
    <definedName name="JJJJY" localSheetId="32">'[5]32CCG94'!#REF!</definedName>
    <definedName name="JJJJY" localSheetId="98">'[5]32CCG94'!#REF!</definedName>
    <definedName name="JJJJY">'[5]32CCG94'!#REF!</definedName>
    <definedName name="JORGE" localSheetId="68">'[5]32CCG94'!#REF!</definedName>
    <definedName name="JORGE" localSheetId="70">'[5]32CCG94'!#REF!</definedName>
    <definedName name="JORGE" localSheetId="34">'[5]32CCG94'!#REF!</definedName>
    <definedName name="JORGE" localSheetId="54">'[5]32CCG94'!#REF!</definedName>
    <definedName name="JORGE" localSheetId="32">'[5]32CCG94'!#REF!</definedName>
    <definedName name="JORGE" localSheetId="98">'[5]32CCG94'!#REF!</definedName>
    <definedName name="JORGE">'[5]32CCG94'!#REF!</definedName>
    <definedName name="july">#REF!</definedName>
    <definedName name="JVS" hidden="1">#REF!</definedName>
    <definedName name="Letra" localSheetId="68">#REF!</definedName>
    <definedName name="Letra" localSheetId="70">#REF!</definedName>
    <definedName name="Letra" localSheetId="8">#REF!</definedName>
    <definedName name="Letra" localSheetId="87">#REF!</definedName>
    <definedName name="Letra" localSheetId="88">#REF!</definedName>
    <definedName name="Letra" localSheetId="89">#REF!</definedName>
    <definedName name="Letra" localSheetId="34">#REF!</definedName>
    <definedName name="Letra" localSheetId="1">#REF!</definedName>
    <definedName name="Letra" localSheetId="11">#REF!</definedName>
    <definedName name="Letra" localSheetId="54">#REF!</definedName>
    <definedName name="Letra" localSheetId="32">#REF!</definedName>
    <definedName name="Letra" localSheetId="98">#REF!</definedName>
    <definedName name="Letra">#REF!</definedName>
    <definedName name="LL" localSheetId="68">'[5]32CCG94'!#REF!</definedName>
    <definedName name="LL" localSheetId="70">'[5]32CCG94'!#REF!</definedName>
    <definedName name="LL" localSheetId="8">'[5]32CCG94'!#REF!</definedName>
    <definedName name="LL" localSheetId="88">'[5]32CCG94'!#REF!</definedName>
    <definedName name="LL" localSheetId="89">'[5]32CCG94'!#REF!</definedName>
    <definedName name="LL" localSheetId="34">'[5]32CCG94'!#REF!</definedName>
    <definedName name="LL" localSheetId="1">'[5]32CCG94'!#REF!</definedName>
    <definedName name="LL" localSheetId="11">'[5]32CCG94'!#REF!</definedName>
    <definedName name="LL" localSheetId="54">'[5]32CCG94'!#REF!</definedName>
    <definedName name="LL" localSheetId="32">'[5]32CCG94'!#REF!</definedName>
    <definedName name="LL" localSheetId="98">'[5]32CCG94'!#REF!</definedName>
    <definedName name="LL">'[5]32CCG94'!#REF!</definedName>
    <definedName name="LM" localSheetId="68">'[5]32CCG94'!#REF!</definedName>
    <definedName name="LM" localSheetId="70">'[5]32CCG94'!#REF!</definedName>
    <definedName name="LM" localSheetId="34">'[5]32CCG94'!#REF!</definedName>
    <definedName name="LM" localSheetId="54">'[5]32CCG94'!#REF!</definedName>
    <definedName name="LM" localSheetId="32">'[5]32CCG94'!#REF!</definedName>
    <definedName name="LM" localSheetId="98">'[5]32CCG94'!#REF!</definedName>
    <definedName name="LM">'[5]32CCG94'!#REF!</definedName>
    <definedName name="LML" localSheetId="68">'[5]32CCG94'!#REF!</definedName>
    <definedName name="LML" localSheetId="70">'[5]32CCG94'!#REF!</definedName>
    <definedName name="LML" localSheetId="34">'[5]32CCG94'!#REF!</definedName>
    <definedName name="LML" localSheetId="54">'[5]32CCG94'!#REF!</definedName>
    <definedName name="LML" localSheetId="32">'[5]32CCG94'!#REF!</definedName>
    <definedName name="LML" localSheetId="98">'[5]32CCG94'!#REF!</definedName>
    <definedName name="LML">'[5]32CCG94'!#REF!</definedName>
    <definedName name="LOMO" localSheetId="68">'[5]32CCG94'!#REF!</definedName>
    <definedName name="LOMO" localSheetId="70">'[5]32CCG94'!#REF!</definedName>
    <definedName name="LOMO" localSheetId="34">'[5]32CCG94'!#REF!</definedName>
    <definedName name="LOMO" localSheetId="54">'[5]32CCG94'!#REF!</definedName>
    <definedName name="LOMO" localSheetId="32">'[5]32CCG94'!#REF!</definedName>
    <definedName name="LOMO" localSheetId="98">'[5]32CCG94'!#REF!</definedName>
    <definedName name="LOMO">'[5]32CCG94'!#REF!</definedName>
    <definedName name="LOPES" localSheetId="68">#REF!</definedName>
    <definedName name="LOPES" localSheetId="70">#REF!</definedName>
    <definedName name="LOPES" localSheetId="8">#REF!</definedName>
    <definedName name="LOPES" localSheetId="87">#REF!</definedName>
    <definedName name="LOPES" localSheetId="88">#REF!</definedName>
    <definedName name="LOPES" localSheetId="89">#REF!</definedName>
    <definedName name="LOPES" localSheetId="34">#REF!</definedName>
    <definedName name="LOPES" localSheetId="1">#REF!</definedName>
    <definedName name="LOPES" localSheetId="11">#REF!</definedName>
    <definedName name="LOPES" localSheetId="54">#REF!</definedName>
    <definedName name="LOPES" localSheetId="32">#REF!</definedName>
    <definedName name="LOPES" localSheetId="98">#REF!</definedName>
    <definedName name="LOPES">#REF!</definedName>
    <definedName name="matdidactico">#REF!</definedName>
    <definedName name="MENU" localSheetId="68">#REF!</definedName>
    <definedName name="MENU" localSheetId="70">#REF!</definedName>
    <definedName name="MENU" localSheetId="87">#REF!</definedName>
    <definedName name="MENU" localSheetId="34">#REF!</definedName>
    <definedName name="MENU" localSheetId="54">#REF!</definedName>
    <definedName name="MENU" localSheetId="32">#REF!</definedName>
    <definedName name="MENU" localSheetId="98">#REF!</definedName>
    <definedName name="MENU">#REF!</definedName>
    <definedName name="mich1">#REF!</definedName>
    <definedName name="mich2">#REF!</definedName>
    <definedName name="MMMMMMM" localSheetId="68">#REF!</definedName>
    <definedName name="MMMMMMM" localSheetId="70">#REF!</definedName>
    <definedName name="MMMMMMM" localSheetId="87">#REF!</definedName>
    <definedName name="MMMMMMM" localSheetId="34">#REF!</definedName>
    <definedName name="MMMMMMM" localSheetId="54">#REF!</definedName>
    <definedName name="MMMMMMM" localSheetId="32">#REF!</definedName>
    <definedName name="MMMMMMM" localSheetId="98">#REF!</definedName>
    <definedName name="MMMMMMM">#REF!</definedName>
    <definedName name="MMMMMMMMMMMMMMMMMM" localSheetId="68">#REF!</definedName>
    <definedName name="MMMMMMMMMMMMMMMMMM" localSheetId="70">#REF!</definedName>
    <definedName name="MMMMMMMMMMMMMMMMMM" localSheetId="87">#REF!</definedName>
    <definedName name="MMMMMMMMMMMMMMMMMM" localSheetId="34">#REF!</definedName>
    <definedName name="MMMMMMMMMMMMMMMMMM" localSheetId="54">#REF!</definedName>
    <definedName name="MMMMMMMMMMMMMMMMMM" localSheetId="32">#REF!</definedName>
    <definedName name="MMMMMMMMMMMMMMMMMM" localSheetId="98">#REF!</definedName>
    <definedName name="MMMMMMMMMMMMMMMMMM">#REF!</definedName>
    <definedName name="MUI" localSheetId="68">#REF!</definedName>
    <definedName name="MUI" localSheetId="70">#REF!</definedName>
    <definedName name="MUI" localSheetId="87">#REF!</definedName>
    <definedName name="MUI" localSheetId="34">#REF!</definedName>
    <definedName name="MUI" localSheetId="54">#REF!</definedName>
    <definedName name="MUI" localSheetId="32">#REF!</definedName>
    <definedName name="MUI" localSheetId="98">#REF!</definedName>
    <definedName name="MUI">#REF!</definedName>
    <definedName name="n.l.1">#REF!</definedName>
    <definedName name="n.l.2">#REF!</definedName>
    <definedName name="nava" localSheetId="68">'[5]32CCG94'!#REF!</definedName>
    <definedName name="nava" localSheetId="70">'[5]32CCG94'!#REF!</definedName>
    <definedName name="nava" localSheetId="34">'[5]32CCG94'!#REF!</definedName>
    <definedName name="nava" localSheetId="54">'[5]32CCG94'!#REF!</definedName>
    <definedName name="nava" localSheetId="32">'[5]32CCG94'!#REF!</definedName>
    <definedName name="nava" localSheetId="98">'[5]32CCG94'!#REF!</definedName>
    <definedName name="nava">'[5]32CCG94'!#REF!</definedName>
    <definedName name="NMI" localSheetId="68">#REF!</definedName>
    <definedName name="NMI" localSheetId="70">#REF!</definedName>
    <definedName name="NMI" localSheetId="8">#REF!</definedName>
    <definedName name="NMI" localSheetId="87">#REF!</definedName>
    <definedName name="NMI" localSheetId="88">#REF!</definedName>
    <definedName name="NMI" localSheetId="89">#REF!</definedName>
    <definedName name="NMI" localSheetId="34">#REF!</definedName>
    <definedName name="NMI" localSheetId="1">#REF!</definedName>
    <definedName name="NMI" localSheetId="11">#REF!</definedName>
    <definedName name="NMI" localSheetId="54">#REF!</definedName>
    <definedName name="NMI" localSheetId="32">#REF!</definedName>
    <definedName name="NMI" localSheetId="98">#REF!</definedName>
    <definedName name="NMI">#REF!</definedName>
    <definedName name="NNNNNN" localSheetId="68">#REF!</definedName>
    <definedName name="NNNNNN" localSheetId="70">#REF!</definedName>
    <definedName name="NNNNNN" localSheetId="87">#REF!</definedName>
    <definedName name="NNNNNN" localSheetId="34">#REF!</definedName>
    <definedName name="NNNNNN" localSheetId="54">#REF!</definedName>
    <definedName name="NNNNNN" localSheetId="32">#REF!</definedName>
    <definedName name="NNNNNN" localSheetId="98">#REF!</definedName>
    <definedName name="NNNNNN">#REF!</definedName>
    <definedName name="ÑÑ" localSheetId="68">'[5]32CCG94'!#REF!</definedName>
    <definedName name="ÑÑ" localSheetId="70">'[5]32CCG94'!#REF!</definedName>
    <definedName name="ÑÑ" localSheetId="34">'[5]32CCG94'!#REF!</definedName>
    <definedName name="ÑÑ" localSheetId="54">'[5]32CCG94'!#REF!</definedName>
    <definedName name="ÑÑ" localSheetId="32">'[5]32CCG94'!#REF!</definedName>
    <definedName name="ÑÑ" localSheetId="98">'[5]32CCG94'!#REF!</definedName>
    <definedName name="ÑÑ">'[5]32CCG94'!#REF!</definedName>
    <definedName name="ÑÑÑÑÑÑÑÑÑÑÑ" localSheetId="68">'[5]32CCG94'!#REF!</definedName>
    <definedName name="ÑÑÑÑÑÑÑÑÑÑÑ" localSheetId="70">'[5]32CCG94'!#REF!</definedName>
    <definedName name="ÑÑÑÑÑÑÑÑÑÑÑ" localSheetId="34">'[5]32CCG94'!#REF!</definedName>
    <definedName name="ÑÑÑÑÑÑÑÑÑÑÑ" localSheetId="54">'[5]32CCG94'!#REF!</definedName>
    <definedName name="ÑÑÑÑÑÑÑÑÑÑÑ" localSheetId="32">'[5]32CCG94'!#REF!</definedName>
    <definedName name="ÑÑÑÑÑÑÑÑÑÑÑ" localSheetId="98">'[5]32CCG94'!#REF!</definedName>
    <definedName name="ÑÑÑÑÑÑÑÑÑÑÑ">'[5]32CCG94'!#REF!</definedName>
    <definedName name="ÑÑPO" localSheetId="68">'[5]32CCG94'!#REF!</definedName>
    <definedName name="ÑÑPO" localSheetId="70">'[5]32CCG94'!#REF!</definedName>
    <definedName name="ÑÑPO" localSheetId="34">'[5]32CCG94'!#REF!</definedName>
    <definedName name="ÑÑPO" localSheetId="54">'[5]32CCG94'!#REF!</definedName>
    <definedName name="ÑÑPO" localSheetId="32">'[5]32CCG94'!#REF!</definedName>
    <definedName name="ÑÑPO" localSheetId="98">'[5]32CCG94'!#REF!</definedName>
    <definedName name="ÑÑPO">'[5]32CCG94'!#REF!</definedName>
    <definedName name="ÑOP" localSheetId="68">'[5]32CCG94'!#REF!</definedName>
    <definedName name="ÑOP" localSheetId="70">'[5]32CCG94'!#REF!</definedName>
    <definedName name="ÑOP" localSheetId="34">'[5]32CCG94'!#REF!</definedName>
    <definedName name="ÑOP" localSheetId="54">'[5]32CCG94'!#REF!</definedName>
    <definedName name="ÑOP" localSheetId="32">'[5]32CCG94'!#REF!</definedName>
    <definedName name="ÑOP" localSheetId="98">'[5]32CCG94'!#REF!</definedName>
    <definedName name="ÑOP">'[5]32CCG94'!#REF!</definedName>
    <definedName name="OOOOOOOOOOO" localSheetId="68">#REF!</definedName>
    <definedName name="OOOOOOOOOOO" localSheetId="70">#REF!</definedName>
    <definedName name="OOOOOOOOOOO" localSheetId="8">#REF!</definedName>
    <definedName name="OOOOOOOOOOO" localSheetId="87">#REF!</definedName>
    <definedName name="OOOOOOOOOOO" localSheetId="88">#REF!</definedName>
    <definedName name="OOOOOOOOOOO" localSheetId="89">#REF!</definedName>
    <definedName name="OOOOOOOOOOO" localSheetId="34">#REF!</definedName>
    <definedName name="OOOOOOOOOOO" localSheetId="1">#REF!</definedName>
    <definedName name="OOOOOOOOOOO" localSheetId="11">#REF!</definedName>
    <definedName name="OOOOOOOOOOO" localSheetId="54">#REF!</definedName>
    <definedName name="OOOOOOOOOOO" localSheetId="32">#REF!</definedName>
    <definedName name="OOOOOOOOOOO" localSheetId="98">#REF!</definedName>
    <definedName name="OOOOOOOOOOO">#REF!</definedName>
    <definedName name="P_AA">#REF!</definedName>
    <definedName name="P_AL">#REF!</definedName>
    <definedName name="P_AMD">#REF!</definedName>
    <definedName name="P_CESANTIA">#REF!</definedName>
    <definedName name="P_CSCES">#REF!</definedName>
    <definedName name="P_CSISSSTE">#REF!</definedName>
    <definedName name="P_DESP">#REF!</definedName>
    <definedName name="P_DESPM">#REF!</definedName>
    <definedName name="P_DM">#REF!</definedName>
    <definedName name="P_FOVISSSTE">#REF!</definedName>
    <definedName name="P_FPA">#REF!</definedName>
    <definedName name="P_ISRAGUI">#REF!</definedName>
    <definedName name="P_ISRGFACG">#REF!</definedName>
    <definedName name="P_ISRPRVA">#REF!</definedName>
    <definedName name="P_ISSSTE">#REF!</definedName>
    <definedName name="P_MS">#REF!</definedName>
    <definedName name="P_MS10">#REF!</definedName>
    <definedName name="P_PRVA">#REF!</definedName>
    <definedName name="P_SAR">#REF!</definedName>
    <definedName name="P_SMGD">#REF!</definedName>
    <definedName name="P_TSMG10">#REF!</definedName>
    <definedName name="P_VD">#REF!</definedName>
    <definedName name="PERIODO">#REF!</definedName>
    <definedName name="PL">#REF!</definedName>
    <definedName name="plantadmvo.">#REF!</definedName>
    <definedName name="plazas">[13]Pzas00!$D$228:$N$244</definedName>
    <definedName name="PO" localSheetId="68">'[5]32CCG94'!#REF!</definedName>
    <definedName name="PO" localSheetId="70">'[5]32CCG94'!#REF!</definedName>
    <definedName name="PO" localSheetId="8">'[5]32CCG94'!#REF!</definedName>
    <definedName name="PO" localSheetId="88">'[5]32CCG94'!#REF!</definedName>
    <definedName name="PO" localSheetId="89">'[5]32CCG94'!#REF!</definedName>
    <definedName name="PO" localSheetId="34">'[5]32CCG94'!#REF!</definedName>
    <definedName name="PO" localSheetId="1">'[5]32CCG94'!#REF!</definedName>
    <definedName name="PO" localSheetId="11">'[5]32CCG94'!#REF!</definedName>
    <definedName name="PO" localSheetId="54">'[5]32CCG94'!#REF!</definedName>
    <definedName name="PO" localSheetId="32">'[5]32CCG94'!#REF!</definedName>
    <definedName name="PO" localSheetId="98">'[5]32CCG94'!#REF!</definedName>
    <definedName name="PO">'[5]32CCG94'!#REF!</definedName>
    <definedName name="POI">[8]Hoja1!$B$313:$J$318</definedName>
    <definedName name="POR" localSheetId="68">#REF!</definedName>
    <definedName name="POR" localSheetId="70">#REF!</definedName>
    <definedName name="POR" localSheetId="8">#REF!</definedName>
    <definedName name="POR" localSheetId="87">#REF!</definedName>
    <definedName name="POR" localSheetId="88">#REF!</definedName>
    <definedName name="POR" localSheetId="89">#REF!</definedName>
    <definedName name="POR" localSheetId="34">#REF!</definedName>
    <definedName name="POR" localSheetId="1">#REF!</definedName>
    <definedName name="POR" localSheetId="11">#REF!</definedName>
    <definedName name="POR" localSheetId="54">#REF!</definedName>
    <definedName name="POR" localSheetId="32">#REF!</definedName>
    <definedName name="POR" localSheetId="98">#REF!</definedName>
    <definedName name="POR">#REF!</definedName>
    <definedName name="PPP" localSheetId="68">'[5]32CCG94'!#REF!</definedName>
    <definedName name="PPP" localSheetId="70">'[5]32CCG94'!#REF!</definedName>
    <definedName name="PPP" localSheetId="8">'[5]32CCG94'!#REF!</definedName>
    <definedName name="PPP" localSheetId="88">'[5]32CCG94'!#REF!</definedName>
    <definedName name="PPP" localSheetId="89">'[5]32CCG94'!#REF!</definedName>
    <definedName name="PPP" localSheetId="34">'[5]32CCG94'!#REF!</definedName>
    <definedName name="PPP" localSheetId="1">'[5]32CCG94'!#REF!</definedName>
    <definedName name="PPP" localSheetId="11">'[5]32CCG94'!#REF!</definedName>
    <definedName name="PPP" localSheetId="54">'[5]32CCG94'!#REF!</definedName>
    <definedName name="PPP" localSheetId="32">'[5]32CCG94'!#REF!</definedName>
    <definedName name="PPP" localSheetId="98">'[5]32CCG94'!#REF!</definedName>
    <definedName name="PPP">'[5]32CCG94'!#REF!</definedName>
    <definedName name="PPPPPP" localSheetId="68">#REF!</definedName>
    <definedName name="PPPPPP" localSheetId="70">#REF!</definedName>
    <definedName name="PPPPPP" localSheetId="8">#REF!</definedName>
    <definedName name="PPPPPP" localSheetId="87">#REF!</definedName>
    <definedName name="PPPPPP" localSheetId="88">#REF!</definedName>
    <definedName name="PPPPPP" localSheetId="89">#REF!</definedName>
    <definedName name="PPPPPP" localSheetId="34">#REF!</definedName>
    <definedName name="PPPPPP" localSheetId="1">#REF!</definedName>
    <definedName name="PPPPPP" localSheetId="11">#REF!</definedName>
    <definedName name="PPPPPP" localSheetId="54">#REF!</definedName>
    <definedName name="PPPPPP" localSheetId="32">#REF!</definedName>
    <definedName name="PPPPPP" localSheetId="98">#REF!</definedName>
    <definedName name="PPPPPP">#REF!</definedName>
    <definedName name="PPPPPPPPPPPP" localSheetId="68">'[5]32CCG94'!#REF!</definedName>
    <definedName name="PPPPPPPPPPPP" localSheetId="70">'[5]32CCG94'!#REF!</definedName>
    <definedName name="PPPPPPPPPPPP" localSheetId="8">'[5]32CCG94'!#REF!</definedName>
    <definedName name="PPPPPPPPPPPP" localSheetId="88">'[5]32CCG94'!#REF!</definedName>
    <definedName name="PPPPPPPPPPPP" localSheetId="89">'[5]32CCG94'!#REF!</definedName>
    <definedName name="PPPPPPPPPPPP" localSheetId="34">'[5]32CCG94'!#REF!</definedName>
    <definedName name="PPPPPPPPPPPP" localSheetId="1">'[5]32CCG94'!#REF!</definedName>
    <definedName name="PPPPPPPPPPPP" localSheetId="11">'[5]32CCG94'!#REF!</definedName>
    <definedName name="PPPPPPPPPPPP" localSheetId="54">'[5]32CCG94'!#REF!</definedName>
    <definedName name="PPPPPPPPPPPP" localSheetId="32">'[5]32CCG94'!#REF!</definedName>
    <definedName name="PPPPPPPPPPPP" localSheetId="98">'[5]32CCG94'!#REF!</definedName>
    <definedName name="PPPPPPPPPPPP">'[5]32CCG94'!#REF!</definedName>
    <definedName name="PPPPPPPPPPPPPP" localSheetId="68">'[5]32CCG94'!#REF!</definedName>
    <definedName name="PPPPPPPPPPPPPP" localSheetId="70">'[5]32CCG94'!#REF!</definedName>
    <definedName name="PPPPPPPPPPPPPP" localSheetId="8">'[5]32CCG94'!#REF!</definedName>
    <definedName name="PPPPPPPPPPPPPP" localSheetId="88">'[5]32CCG94'!#REF!</definedName>
    <definedName name="PPPPPPPPPPPPPP" localSheetId="89">'[5]32CCG94'!#REF!</definedName>
    <definedName name="PPPPPPPPPPPPPP" localSheetId="34">'[5]32CCG94'!#REF!</definedName>
    <definedName name="PPPPPPPPPPPPPP" localSheetId="1">'[5]32CCG94'!#REF!</definedName>
    <definedName name="PPPPPPPPPPPPPP" localSheetId="11">'[5]32CCG94'!#REF!</definedName>
    <definedName name="PPPPPPPPPPPPPP" localSheetId="54">'[5]32CCG94'!#REF!</definedName>
    <definedName name="PPPPPPPPPPPPPP" localSheetId="32">'[5]32CCG94'!#REF!</definedName>
    <definedName name="PPPPPPPPPPPPPP" localSheetId="98">'[5]32CCG94'!#REF!</definedName>
    <definedName name="PPPPPPPPPPPPPP">'[5]32CCG94'!#REF!</definedName>
    <definedName name="PPPPPPPPPPPPPPPPPPPP" localSheetId="68">'[5]32CCG94'!#REF!</definedName>
    <definedName name="PPPPPPPPPPPPPPPPPPPP" localSheetId="70">'[5]32CCG94'!#REF!</definedName>
    <definedName name="PPPPPPPPPPPPPPPPPPPP" localSheetId="34">'[5]32CCG94'!#REF!</definedName>
    <definedName name="PPPPPPPPPPPPPPPPPPPP" localSheetId="54">'[5]32CCG94'!#REF!</definedName>
    <definedName name="PPPPPPPPPPPPPPPPPPPP" localSheetId="32">'[5]32CCG94'!#REF!</definedName>
    <definedName name="PPPPPPPPPPPPPPPPPPPP" localSheetId="98">'[5]32CCG94'!#REF!</definedName>
    <definedName name="PPPPPPPPPPPPPPPPPPPP">'[5]32CCG94'!#REF!</definedName>
    <definedName name="PPPPPPPPPPPPPPPPPPPPPPPP" localSheetId="68">'[5]32CCG94'!#REF!</definedName>
    <definedName name="PPPPPPPPPPPPPPPPPPPPPPPP" localSheetId="70">'[5]32CCG94'!#REF!</definedName>
    <definedName name="PPPPPPPPPPPPPPPPPPPPPPPP" localSheetId="34">'[5]32CCG94'!#REF!</definedName>
    <definedName name="PPPPPPPPPPPPPPPPPPPPPPPP" localSheetId="54">'[5]32CCG94'!#REF!</definedName>
    <definedName name="PPPPPPPPPPPPPPPPPPPPPPPP" localSheetId="32">'[5]32CCG94'!#REF!</definedName>
    <definedName name="PPPPPPPPPPPPPPPPPPPPPPPP" localSheetId="98">'[5]32CCG94'!#REF!</definedName>
    <definedName name="PPPPPPPPPPPPPPPPPPPPPPPP">'[5]32CCG94'!#REF!</definedName>
    <definedName name="PR_M10">#REF!</definedName>
    <definedName name="PR_M15">#REF!</definedName>
    <definedName name="PR_M20">#REF!</definedName>
    <definedName name="PR_M25">#REF!</definedName>
    <definedName name="PR_M30">#REF!</definedName>
    <definedName name="PR_M5">#REF!</definedName>
    <definedName name="PR_MONT">#REF!</definedName>
    <definedName name="PR_P10">#REF!</definedName>
    <definedName name="PR_P15">#REF!</definedName>
    <definedName name="PR_P20">#REF!</definedName>
    <definedName name="PR_P25">#REF!</definedName>
    <definedName name="PR_P30">#REF!</definedName>
    <definedName name="PR_P5">#REF!</definedName>
    <definedName name="PR_PLAT">#REF!</definedName>
    <definedName name="Print_Area_MI" localSheetId="68">#REF!</definedName>
    <definedName name="Print_Area_MI" localSheetId="70">#REF!</definedName>
    <definedName name="Print_Area_MI" localSheetId="8">#REF!</definedName>
    <definedName name="Print_Area_MI" localSheetId="87">#REF!</definedName>
    <definedName name="Print_Area_MI" localSheetId="88">#REF!</definedName>
    <definedName name="Print_Area_MI" localSheetId="89">#REF!</definedName>
    <definedName name="Print_Area_MI" localSheetId="34">#REF!</definedName>
    <definedName name="Print_Area_MI" localSheetId="1">#REF!</definedName>
    <definedName name="Print_Area_MI" localSheetId="11">#REF!</definedName>
    <definedName name="Print_Area_MI" localSheetId="54">#REF!</definedName>
    <definedName name="Print_Area_MI" localSheetId="32">#REF!</definedName>
    <definedName name="Print_Area_MI" localSheetId="98">#REF!</definedName>
    <definedName name="Print_Area_MI">#REF!</definedName>
    <definedName name="PV_10">#REF!</definedName>
    <definedName name="PV_11">#REF!</definedName>
    <definedName name="PV_12">#REF!</definedName>
    <definedName name="PV_13">#REF!</definedName>
    <definedName name="PV_14">#REF!</definedName>
    <definedName name="PV_15">#REF!</definedName>
    <definedName name="PV_16">#REF!</definedName>
    <definedName name="PV_17">#REF!</definedName>
    <definedName name="PV_18">#REF!</definedName>
    <definedName name="PV_19">#REF!</definedName>
    <definedName name="PV_20">#REF!</definedName>
    <definedName name="PV_21">#REF!</definedName>
    <definedName name="PV_22">#REF!</definedName>
    <definedName name="PV_23">#REF!</definedName>
    <definedName name="PV_24">#REF!</definedName>
    <definedName name="PV_25">#REF!</definedName>
    <definedName name="PV_26">#REF!</definedName>
    <definedName name="PV_27">#REF!</definedName>
    <definedName name="PV_28">#REF!</definedName>
    <definedName name="PV_29">#REF!</definedName>
    <definedName name="PV_30">#REF!</definedName>
    <definedName name="PV_31">#REF!</definedName>
    <definedName name="PV_32">#REF!</definedName>
    <definedName name="PV_33">#REF!</definedName>
    <definedName name="PV_34">#REF!</definedName>
    <definedName name="PV_35">#REF!</definedName>
    <definedName name="PV_36">#REF!</definedName>
    <definedName name="PV_37">#REF!</definedName>
    <definedName name="PV_38">#REF!</definedName>
    <definedName name="PV_40">#REF!</definedName>
    <definedName name="PV_41">#REF!</definedName>
    <definedName name="qroo1">#REF!</definedName>
    <definedName name="qroo2">#REF!</definedName>
    <definedName name="RANGO" localSheetId="68">#REF!</definedName>
    <definedName name="RANGO" localSheetId="70">#REF!</definedName>
    <definedName name="RANGO" localSheetId="87">#REF!</definedName>
    <definedName name="RANGO" localSheetId="34">#REF!</definedName>
    <definedName name="RANGO" localSheetId="54">#REF!</definedName>
    <definedName name="RANGO" localSheetId="32">#REF!</definedName>
    <definedName name="RANGO" localSheetId="98">#REF!</definedName>
    <definedName name="RANGO">#REF!</definedName>
    <definedName name="red">#REF!</definedName>
    <definedName name="REGIMEN_LABORAL">[12]CATALOGOS!$A$3:$A$4</definedName>
    <definedName name="RELACION_LABORAL">[12]CATALOGOS!$D$3:$D$4</definedName>
    <definedName name="rez" hidden="1">#REF!</definedName>
    <definedName name="rgh" localSheetId="68">'[5]32CCG94'!#REF!</definedName>
    <definedName name="rgh" localSheetId="70">'[5]32CCG94'!#REF!</definedName>
    <definedName name="rgh" localSheetId="34">'[5]32CCG94'!#REF!</definedName>
    <definedName name="rgh" localSheetId="54">'[5]32CCG94'!#REF!</definedName>
    <definedName name="rgh" localSheetId="32">'[5]32CCG94'!#REF!</definedName>
    <definedName name="rgh" localSheetId="98">'[5]32CCG94'!#REF!</definedName>
    <definedName name="rgh">'[5]32CCG94'!#REF!</definedName>
    <definedName name="rty" localSheetId="68">'[5]32CCG94'!#REF!</definedName>
    <definedName name="rty" localSheetId="70">'[5]32CCG94'!#REF!</definedName>
    <definedName name="rty" localSheetId="34">'[5]32CCG94'!#REF!</definedName>
    <definedName name="rty" localSheetId="54">'[5]32CCG94'!#REF!</definedName>
    <definedName name="rty" localSheetId="32">'[5]32CCG94'!#REF!</definedName>
    <definedName name="rty" localSheetId="98">'[5]32CCG94'!#REF!</definedName>
    <definedName name="rty">'[5]32CCG94'!#REF!</definedName>
    <definedName name="s" localSheetId="68">#REF!</definedName>
    <definedName name="s" localSheetId="70">#REF!</definedName>
    <definedName name="s" localSheetId="8">#REF!</definedName>
    <definedName name="s" localSheetId="87">#REF!</definedName>
    <definedName name="s" localSheetId="88">#REF!</definedName>
    <definedName name="s" localSheetId="89">#REF!</definedName>
    <definedName name="s" localSheetId="34">#REF!</definedName>
    <definedName name="s" localSheetId="1">#REF!</definedName>
    <definedName name="s" localSheetId="11">#REF!</definedName>
    <definedName name="s" localSheetId="54">#REF!</definedName>
    <definedName name="s" localSheetId="32">#REF!</definedName>
    <definedName name="s" localSheetId="98">#REF!</definedName>
    <definedName name="s">#REF!</definedName>
    <definedName name="S_AA">#REF!</definedName>
    <definedName name="S_AGUIM">#REF!</definedName>
    <definedName name="S_AGUIO">#REF!</definedName>
    <definedName name="S_AL">#REF!</definedName>
    <definedName name="S_CESANTIA">#REF!</definedName>
    <definedName name="S_GFAM">#REF!</definedName>
    <definedName name="S_ISRAGUIO">#REF!</definedName>
    <definedName name="S_ISRGFAM">#REF!</definedName>
    <definedName name="S_ISRPV">#REF!</definedName>
    <definedName name="S_ISSSTE">#REF!</definedName>
    <definedName name="S_PVM">#REF!</definedName>
    <definedName name="S_PVO">#REF!</definedName>
    <definedName name="S_SACESAN">#REF!</definedName>
    <definedName name="S_SAISSSTE">#REF!</definedName>
    <definedName name="S_VD">#REF!</definedName>
    <definedName name="sadmvo">#REF!</definedName>
    <definedName name="SB">#REF!</definedName>
    <definedName name="sc" hidden="1">#REF!</definedName>
    <definedName name="ser">#REF!</definedName>
    <definedName name="sic" hidden="1">#REF!</definedName>
    <definedName name="SIDESI" hidden="1">[14]TABCETDO298!#REF!</definedName>
    <definedName name="ss">#REF!</definedName>
    <definedName name="sssasa">#REF!</definedName>
    <definedName name="SUELDO_MENSUAL">#REF!</definedName>
    <definedName name="SUELDOS">#REF!</definedName>
    <definedName name="tabla">#REF!</definedName>
    <definedName name="TACADEMICO">#REF!</definedName>
    <definedName name="TBASE">#REF!</definedName>
    <definedName name="TCONFIANZA">#REF!</definedName>
    <definedName name="TFUNCIONARIOS">#REF!</definedName>
    <definedName name="TIPO_GMM_TIP">[12]CATALOGOS!$N$3:$N$4</definedName>
    <definedName name="TIPO_Q_TIP">[12]CATALOGOS!$L$3:$L$5</definedName>
    <definedName name="_xlnm.Print_Titles" localSheetId="56">' 1 Pronabes plan'!$A:$C,' 1 Pronabes plan'!$1:$4</definedName>
    <definedName name="_xlnm.Print_Titles" localSheetId="57">'1 pronabes uni'!$A:$B</definedName>
    <definedName name="_xlnm.Print_Titles" localSheetId="59">'2 Excelencia_plan'!$1:$4</definedName>
    <definedName name="_xlnm.Print_Titles" localSheetId="65">'5 Lenguas Ext plan'!$1:$4</definedName>
    <definedName name="_xlnm.Print_Titles" localSheetId="67">'6 Mov Inter Lic plan'!$1:$4</definedName>
    <definedName name="_xlnm.Print_Titles" localSheetId="73">'9 Posg_plan'!$1:$1</definedName>
    <definedName name="_xlnm.Print_Titles" localSheetId="18">'ACTIVOS plan'!$1:$3</definedName>
    <definedName name="_xlnm.Print_Titles" localSheetId="47">'ACTIVOS-POS plan'!$1:$3</definedName>
    <definedName name="_xlnm.Print_Titles" localSheetId="48">'ACTIVOS-POS uni'!$1:$3</definedName>
    <definedName name="_xlnm.Print_Titles" localSheetId="5">'Admitidos plan'!$A:$C,'Admitidos plan'!$1:$4</definedName>
    <definedName name="_xlnm.Print_Titles" localSheetId="6">'Admitidos uni'!$A:$B,'Admitidos uni'!$1:$4</definedName>
    <definedName name="_xlnm.Print_Titles" localSheetId="7">'Admitidos x gen'!$B:$C,'Admitidos x gen'!$2:$5</definedName>
    <definedName name="_xlnm.Print_Titles" localSheetId="4">'Asp x gen'!$A:$B,'Asp x gen'!$1:$4</definedName>
    <definedName name="_xlnm.Print_Titles" localSheetId="35">'ASPI POSG plan'!$A:$D,'ASPI POSG plan'!$1:$4</definedName>
    <definedName name="_xlnm.Print_Titles" localSheetId="36">'ASPI-POS uni'!$A:$B</definedName>
    <definedName name="_xlnm.Print_Titles" localSheetId="2">'Aspirantes plan'!$A:$C,'Aspirantes plan'!$1:$5</definedName>
    <definedName name="_xlnm.Print_Titles" localSheetId="3">'Aspirantes uni'!$A:$B,'Aspirantes uni'!$1:$4</definedName>
    <definedName name="_xlnm.Print_Titles" localSheetId="94">'Cuerpos Acad'!$A:$A</definedName>
    <definedName name="_xlnm.Print_Titles" localSheetId="83">'Definitivo x categoría'!$A:$B</definedName>
    <definedName name="_xlnm.Print_Titles" localSheetId="84">'Definitivo x género'!$A:$B</definedName>
    <definedName name="_xlnm.Print_Titles" localSheetId="97">DEPORTES!$1:$37</definedName>
    <definedName name="_xlnm.Print_Titles" localSheetId="22">'egresados x gen'!$A:$B</definedName>
    <definedName name="_xlnm.Print_Titles" localSheetId="20">'EGRESO plan'!$A:$C,'EGRESO plan'!$1:$4</definedName>
    <definedName name="_xlnm.Print_Titles" localSheetId="51">'EGRESO POS ACUM plan'!$1:$3</definedName>
    <definedName name="_xlnm.Print_Titles" localSheetId="21">'EGRESO uni'!$A:$B</definedName>
    <definedName name="_xlnm.Print_Titles" localSheetId="23">'EGRESO-ACUM plan'!$1:$3</definedName>
    <definedName name="_xlnm.Print_Titles" localSheetId="49">'EGRESO-POS plan'!$A:$D,'EGRESO-POS plan'!$1:$4</definedName>
    <definedName name="_xlnm.Print_Titles" localSheetId="50">'EGRESO-POs uni'!$A:$B</definedName>
    <definedName name="_xlnm.Print_Titles" localSheetId="37">'INSC-POSG plan'!$A:$D,'INSC-POSG plan'!$1:$4</definedName>
    <definedName name="_xlnm.Print_Titles" localSheetId="38">'INSC-POSG uni'!$A:$B</definedName>
    <definedName name="_xlnm.Print_Titles" localSheetId="9">'Inscritos plan'!$A:$C,'Inscritos plan'!$1:$4</definedName>
    <definedName name="_xlnm.Print_Titles" localSheetId="10">'Inscritos uni'!$A:$B,'Inscritos uni'!$1:$4</definedName>
    <definedName name="_xlnm.Print_Titles" localSheetId="12">'Matrícula plan'!$A:$C,'Matrícula plan'!$1:$4</definedName>
    <definedName name="_xlnm.Print_Titles" localSheetId="13">'Matricula uni'!$A:$B,'Matricula uni'!$1:$4</definedName>
    <definedName name="_xlnm.Print_Titles" localSheetId="41">'MATRICULA-POS plan'!$A:$D,'MATRICULA-POS plan'!$1:$4</definedName>
    <definedName name="_xlnm.Print_Titles" localSheetId="42">'MATRICULA-POS uni'!$A:$B</definedName>
    <definedName name="_xlnm.Print_Titles" localSheetId="53">'Planes de Posgrado'!$1:$1</definedName>
    <definedName name="_xlnm.Print_Titles" localSheetId="90">'PTC-GRADO'!$A:$B</definedName>
    <definedName name="_xlnm.Print_Titles" localSheetId="91">'PTC-GRADO (2)'!$A:$B</definedName>
    <definedName name="_xlnm.Print_Titles" localSheetId="93">SNI!$A:$A</definedName>
    <definedName name="_xlnm.Print_Titles" localSheetId="95">'TIPPA PROD CIENTIF'!$1:$3</definedName>
    <definedName name="_xlnm.Print_Titles" localSheetId="25">'TITULADOS plan'!$A:$C,'TITULADOS plan'!$1:$3</definedName>
    <definedName name="_xlnm.Print_Titles" localSheetId="39">'TOTALreinscrito POS plan'!#REF!</definedName>
    <definedName name="_xlnm.Print_Titles" localSheetId="27">'TRIM EGRESO plan'!$1:$3</definedName>
    <definedName name="_xlnm.Print_Titles" localSheetId="29">'TRIM PROM (1978-15)'!$A:$B,'TRIM PROM (1978-15)'!$1:$3</definedName>
    <definedName name="Títulos_a_imprimir_IM">[15]IPNATM01!$A$2:$IV$18</definedName>
    <definedName name="tlax1">#REF!</definedName>
    <definedName name="tlax2">#REF!</definedName>
    <definedName name="Total">#REF!</definedName>
    <definedName name="TTTT" localSheetId="68">'[5]32CCG94'!#REF!</definedName>
    <definedName name="TTTT" localSheetId="70">'[5]32CCG94'!#REF!</definedName>
    <definedName name="TTTT" localSheetId="8">'[5]32CCG94'!#REF!</definedName>
    <definedName name="TTTT" localSheetId="88">'[5]32CCG94'!#REF!</definedName>
    <definedName name="TTTT" localSheetId="89">'[5]32CCG94'!#REF!</definedName>
    <definedName name="TTTT" localSheetId="34">'[5]32CCG94'!#REF!</definedName>
    <definedName name="TTTT" localSheetId="1">'[5]32CCG94'!#REF!</definedName>
    <definedName name="TTTT" localSheetId="11">'[5]32CCG94'!#REF!</definedName>
    <definedName name="TTTT" localSheetId="54">'[5]32CCG94'!#REF!</definedName>
    <definedName name="TTTT" localSheetId="32">'[5]32CCG94'!#REF!</definedName>
    <definedName name="TTTT" localSheetId="98">'[5]32CCG94'!#REF!</definedName>
    <definedName name="TTTT">'[5]32CCG94'!#REF!</definedName>
    <definedName name="Tulanc" localSheetId="68">#REF!</definedName>
    <definedName name="Tulanc" localSheetId="70">#REF!</definedName>
    <definedName name="Tulanc" localSheetId="8">#REF!</definedName>
    <definedName name="Tulanc" localSheetId="87">#REF!</definedName>
    <definedName name="Tulanc" localSheetId="88">#REF!</definedName>
    <definedName name="Tulanc" localSheetId="89">#REF!</definedName>
    <definedName name="Tulanc" localSheetId="34">#REF!</definedName>
    <definedName name="Tulanc" localSheetId="1">#REF!</definedName>
    <definedName name="Tulanc" localSheetId="11">#REF!</definedName>
    <definedName name="Tulanc" localSheetId="54">#REF!</definedName>
    <definedName name="Tulanc" localSheetId="32">#REF!</definedName>
    <definedName name="Tulanc" localSheetId="98">#REF!</definedName>
    <definedName name="Tulanc">#REF!</definedName>
    <definedName name="UABC95" localSheetId="68">'[5]32CCG94'!#REF!</definedName>
    <definedName name="UABC95" localSheetId="70">'[5]32CCG94'!#REF!</definedName>
    <definedName name="UABC95" localSheetId="8">'[5]32CCG94'!#REF!</definedName>
    <definedName name="UABC95" localSheetId="88">'[5]32CCG94'!#REF!</definedName>
    <definedName name="UABC95" localSheetId="89">'[5]32CCG94'!#REF!</definedName>
    <definedName name="UABC95" localSheetId="34">'[5]32CCG94'!#REF!</definedName>
    <definedName name="UABC95" localSheetId="1">'[5]32CCG94'!#REF!</definedName>
    <definedName name="UABC95" localSheetId="11">'[5]32CCG94'!#REF!</definedName>
    <definedName name="UABC95" localSheetId="54">'[5]32CCG94'!#REF!</definedName>
    <definedName name="UABC95" localSheetId="32">'[5]32CCG94'!#REF!</definedName>
    <definedName name="UABC95" localSheetId="98">'[5]32CCG94'!#REF!</definedName>
    <definedName name="UABC95">'[5]32CCG94'!#REF!</definedName>
    <definedName name="UABC97" localSheetId="68">'[5]32CCG94'!#REF!</definedName>
    <definedName name="UABC97" localSheetId="70">'[5]32CCG94'!#REF!</definedName>
    <definedName name="UABC97" localSheetId="34">'[5]32CCG94'!#REF!</definedName>
    <definedName name="UABC97" localSheetId="54">'[5]32CCG94'!#REF!</definedName>
    <definedName name="UABC97" localSheetId="32">'[5]32CCG94'!#REF!</definedName>
    <definedName name="UABC97" localSheetId="98">'[5]32CCG94'!#REF!</definedName>
    <definedName name="UABC97">'[5]32CCG94'!#REF!</definedName>
    <definedName name="USESE">[16]planew99!$A$10:$J$130</definedName>
    <definedName name="v">#REF!</definedName>
    <definedName name="VEGA" localSheetId="68">'[5]32CCG94'!#REF!</definedName>
    <definedName name="VEGA" localSheetId="70">'[5]32CCG94'!#REF!</definedName>
    <definedName name="VEGA" localSheetId="34">'[5]32CCG94'!#REF!</definedName>
    <definedName name="VEGA" localSheetId="54">'[5]32CCG94'!#REF!</definedName>
    <definedName name="VEGA" localSheetId="32">'[5]32CCG94'!#REF!</definedName>
    <definedName name="VEGA" localSheetId="98">'[5]32CCG94'!#REF!</definedName>
    <definedName name="VEGA">'[5]32CCG94'!#REF!</definedName>
    <definedName name="VRREW" localSheetId="68">'[5]32CCG94'!#REF!</definedName>
    <definedName name="VRREW" localSheetId="70">'[5]32CCG94'!#REF!</definedName>
    <definedName name="VRREW" localSheetId="34">'[5]32CCG94'!#REF!</definedName>
    <definedName name="VRREW" localSheetId="54">'[5]32CCG94'!#REF!</definedName>
    <definedName name="VRREW" localSheetId="32">'[5]32CCG94'!#REF!</definedName>
    <definedName name="VRREW" localSheetId="98">'[5]32CCG94'!#REF!</definedName>
    <definedName name="VRREW">'[5]32CCG94'!#REF!</definedName>
    <definedName name="VV" localSheetId="68">#REF!</definedName>
    <definedName name="VV" localSheetId="70">#REF!</definedName>
    <definedName name="VV" localSheetId="8">#REF!</definedName>
    <definedName name="VV" localSheetId="87">#REF!</definedName>
    <definedName name="VV" localSheetId="88">#REF!</definedName>
    <definedName name="VV" localSheetId="89">#REF!</definedName>
    <definedName name="VV" localSheetId="34">#REF!</definedName>
    <definedName name="VV" localSheetId="1">#REF!</definedName>
    <definedName name="VV" localSheetId="11">#REF!</definedName>
    <definedName name="VV" localSheetId="54">#REF!</definedName>
    <definedName name="VV" localSheetId="32">#REF!</definedName>
    <definedName name="VV" localSheetId="98">#REF!</definedName>
    <definedName name="VV">#REF!</definedName>
    <definedName name="VVVVVVVVVVVVVVVV" localSheetId="68">'[5]32CCG94'!#REF!</definedName>
    <definedName name="VVVVVVVVVVVVVVVV" localSheetId="70">'[5]32CCG94'!#REF!</definedName>
    <definedName name="VVVVVVVVVVVVVVVV" localSheetId="8">'[5]32CCG94'!#REF!</definedName>
    <definedName name="VVVVVVVVVVVVVVVV" localSheetId="88">'[5]32CCG94'!#REF!</definedName>
    <definedName name="VVVVVVVVVVVVVVVV" localSheetId="89">'[5]32CCG94'!#REF!</definedName>
    <definedName name="VVVVVVVVVVVVVVVV" localSheetId="34">'[5]32CCG94'!#REF!</definedName>
    <definedName name="VVVVVVVVVVVVVVVV" localSheetId="1">'[5]32CCG94'!#REF!</definedName>
    <definedName name="VVVVVVVVVVVVVVVV" localSheetId="11">'[5]32CCG94'!#REF!</definedName>
    <definedName name="VVVVVVVVVVVVVVVV" localSheetId="54">'[5]32CCG94'!#REF!</definedName>
    <definedName name="VVVVVVVVVVVVVVVV" localSheetId="32">'[5]32CCG94'!#REF!</definedName>
    <definedName name="VVVVVVVVVVVVVVVV" localSheetId="98">'[5]32CCG94'!#REF!</definedName>
    <definedName name="VVVVVVVVVVVVVVVV">'[5]32CCG94'!#REF!</definedName>
    <definedName name="x">#REF!</definedName>
    <definedName name="XSE" localSheetId="68">'[5]32CCG94'!#REF!</definedName>
    <definedName name="XSE" localSheetId="70">'[5]32CCG94'!#REF!</definedName>
    <definedName name="XSE" localSheetId="34">'[5]32CCG94'!#REF!</definedName>
    <definedName name="XSE" localSheetId="54">'[5]32CCG94'!#REF!</definedName>
    <definedName name="XSE" localSheetId="32">'[5]32CCG94'!#REF!</definedName>
    <definedName name="XSE" localSheetId="98">'[5]32CCG94'!#REF!</definedName>
    <definedName name="XSE">'[5]32CCG94'!#REF!</definedName>
    <definedName name="XXXXXX" hidden="1">'[17]TAB DCENTE CETI 2002'!#REF!</definedName>
    <definedName name="XXXXXXXXXXXXXXXX" localSheetId="68">'[5]32CCG94'!#REF!</definedName>
    <definedName name="XXXXXXXXXXXXXXXX" localSheetId="70">'[5]32CCG94'!#REF!</definedName>
    <definedName name="XXXXXXXXXXXXXXXX" localSheetId="34">'[5]32CCG94'!#REF!</definedName>
    <definedName name="XXXXXXXXXXXXXXXX" localSheetId="54">'[5]32CCG94'!#REF!</definedName>
    <definedName name="XXXXXXXXXXXXXXXX" localSheetId="32">'[5]32CCG94'!#REF!</definedName>
    <definedName name="XXXXXXXXXXXXXXXX" localSheetId="98">'[5]32CCG94'!#REF!</definedName>
    <definedName name="XXXXXXXXXXXXXXXX">'[5]32CCG94'!#REF!</definedName>
    <definedName name="yt">#REF!</definedName>
    <definedName name="ytr" localSheetId="68">#REF!</definedName>
    <definedName name="ytr" localSheetId="70">#REF!</definedName>
    <definedName name="ytr" localSheetId="8">#REF!</definedName>
    <definedName name="ytr" localSheetId="87">#REF!</definedName>
    <definedName name="ytr" localSheetId="88">#REF!</definedName>
    <definedName name="ytr" localSheetId="89">#REF!</definedName>
    <definedName name="ytr" localSheetId="34">#REF!</definedName>
    <definedName name="ytr" localSheetId="1">#REF!</definedName>
    <definedName name="ytr" localSheetId="11">#REF!</definedName>
    <definedName name="ytr" localSheetId="54">#REF!</definedName>
    <definedName name="ytr" localSheetId="32">#REF!</definedName>
    <definedName name="ytr" localSheetId="98">#REF!</definedName>
    <definedName name="ytr">#REF!</definedName>
    <definedName name="yuc1">#REF!</definedName>
    <definedName name="yuc2">#REF!</definedName>
    <definedName name="yuh" localSheetId="68">'[5]32CCG94'!#REF!</definedName>
    <definedName name="yuh" localSheetId="70">'[5]32CCG94'!#REF!</definedName>
    <definedName name="yuh" localSheetId="8">'[5]32CCG94'!#REF!</definedName>
    <definedName name="yuh" localSheetId="88">'[5]32CCG94'!#REF!</definedName>
    <definedName name="yuh" localSheetId="89">'[5]32CCG94'!#REF!</definedName>
    <definedName name="yuh" localSheetId="34">'[5]32CCG94'!#REF!</definedName>
    <definedName name="yuh" localSheetId="1">'[5]32CCG94'!#REF!</definedName>
    <definedName name="yuh" localSheetId="11">'[5]32CCG94'!#REF!</definedName>
    <definedName name="yuh" localSheetId="54">'[5]32CCG94'!#REF!</definedName>
    <definedName name="yuh" localSheetId="32">'[5]32CCG94'!#REF!</definedName>
    <definedName name="yuh" localSheetId="98">'[5]32CCG94'!#REF!</definedName>
    <definedName name="yuh">'[5]32CCG94'!#REF!</definedName>
    <definedName name="YYYY" localSheetId="68">'[5]32CCG94'!#REF!</definedName>
    <definedName name="YYYY" localSheetId="70">'[5]32CCG94'!#REF!</definedName>
    <definedName name="YYYY" localSheetId="34">'[5]32CCG94'!#REF!</definedName>
    <definedName name="YYYY" localSheetId="54">'[5]32CCG94'!#REF!</definedName>
    <definedName name="YYYY" localSheetId="32">'[5]32CCG94'!#REF!</definedName>
    <definedName name="YYYY" localSheetId="98">'[5]32CCG94'!#REF!</definedName>
    <definedName name="YYYY">'[5]32CCG94'!#REF!</definedName>
    <definedName name="YYYYY" localSheetId="68">'[5]32CCG94'!#REF!</definedName>
    <definedName name="YYYYY" localSheetId="70">'[5]32CCG94'!#REF!</definedName>
    <definedName name="YYYYY" localSheetId="34">'[5]32CCG94'!#REF!</definedName>
    <definedName name="YYYYY" localSheetId="54">'[5]32CCG94'!#REF!</definedName>
    <definedName name="YYYYY" localSheetId="32">'[5]32CCG94'!#REF!</definedName>
    <definedName name="YYYYY" localSheetId="98">'[5]32CCG94'!#REF!</definedName>
    <definedName name="YYYYY">'[5]32CCG94'!#REF!</definedName>
    <definedName name="z">[1]PMI!#REF!</definedName>
    <definedName name="zac1">#REF!</definedName>
    <definedName name="zac2">#REF!</definedName>
    <definedName name="ZSQWA" localSheetId="68">#REF!</definedName>
    <definedName name="ZSQWA" localSheetId="70">#REF!</definedName>
    <definedName name="ZSQWA" localSheetId="8">#REF!</definedName>
    <definedName name="ZSQWA" localSheetId="87">#REF!</definedName>
    <definedName name="ZSQWA" localSheetId="88">#REF!</definedName>
    <definedName name="ZSQWA" localSheetId="89">#REF!</definedName>
    <definedName name="ZSQWA" localSheetId="34">#REF!</definedName>
    <definedName name="ZSQWA" localSheetId="1">#REF!</definedName>
    <definedName name="ZSQWA" localSheetId="11">#REF!</definedName>
    <definedName name="ZSQWA" localSheetId="54">#REF!</definedName>
    <definedName name="ZSQWA" localSheetId="32">#REF!</definedName>
    <definedName name="ZSQWA" localSheetId="98">#REF!</definedName>
    <definedName name="ZSQWA">#REF!</definedName>
    <definedName name="ZZZZZZZZZZZZZZZZZZZZ" localSheetId="68">#REF!</definedName>
    <definedName name="ZZZZZZZZZZZZZZZZZZZZ" localSheetId="70">#REF!</definedName>
    <definedName name="ZZZZZZZZZZZZZZZZZZZZ" localSheetId="87">#REF!</definedName>
    <definedName name="ZZZZZZZZZZZZZZZZZZZZ" localSheetId="34">#REF!</definedName>
    <definedName name="ZZZZZZZZZZZZZZZZZZZZ" localSheetId="54">#REF!</definedName>
    <definedName name="ZZZZZZZZZZZZZZZZZZZZ" localSheetId="32">#REF!</definedName>
    <definedName name="ZZZZZZZZZZZZZZZZZZZZ" localSheetId="98">#REF!</definedName>
    <definedName name="ZZZZZZZZZZZZZZZZZZZZ">#REF!</definedName>
    <definedName name="ZZZZZZZZZZZZZZZZZZZZZZZ" localSheetId="68">'[5]32CCG94'!#REF!</definedName>
    <definedName name="ZZZZZZZZZZZZZZZZZZZZZZZ" localSheetId="70">'[5]32CCG94'!#REF!</definedName>
    <definedName name="ZZZZZZZZZZZZZZZZZZZZZZZ" localSheetId="34">'[5]32CCG94'!#REF!</definedName>
    <definedName name="ZZZZZZZZZZZZZZZZZZZZZZZ" localSheetId="54">'[5]32CCG94'!#REF!</definedName>
    <definedName name="ZZZZZZZZZZZZZZZZZZZZZZZ" localSheetId="32">'[5]32CCG94'!#REF!</definedName>
    <definedName name="ZZZZZZZZZZZZZZZZZZZZZZZ" localSheetId="98">'[5]32CCG94'!#REF!</definedName>
    <definedName name="ZZZZZZZZZZZZZZZZZZZZZZZ">'[5]32CCG94'!#REF!</definedName>
  </definedNames>
  <calcPr calcId="145621"/>
</workbook>
</file>

<file path=xl/calcChain.xml><?xml version="1.0" encoding="utf-8"?>
<calcChain xmlns="http://schemas.openxmlformats.org/spreadsheetml/2006/main">
  <c r="AY37" i="234" l="1"/>
  <c r="AZ37" i="234"/>
  <c r="BA37" i="234"/>
  <c r="AX37" i="234"/>
  <c r="BA33" i="234"/>
  <c r="BA34" i="234"/>
  <c r="BA35" i="234"/>
  <c r="BA36" i="234"/>
  <c r="BA32" i="234"/>
  <c r="BA31" i="234"/>
  <c r="AY31" i="234"/>
  <c r="AZ31" i="234"/>
  <c r="AY32" i="234"/>
  <c r="AZ32" i="234"/>
  <c r="AY33" i="234"/>
  <c r="AZ33" i="234"/>
  <c r="AX33" i="234"/>
  <c r="AX32" i="234"/>
  <c r="AX31" i="234"/>
  <c r="AZ24" i="234"/>
  <c r="AY24" i="234"/>
  <c r="AX24" i="234"/>
  <c r="BA23" i="234"/>
  <c r="BA22" i="234"/>
  <c r="BA21" i="234"/>
  <c r="BA24" i="234" l="1"/>
  <c r="I78" i="330"/>
  <c r="I22" i="330"/>
  <c r="G28" i="331" l="1"/>
  <c r="F28" i="331"/>
  <c r="H21" i="331"/>
  <c r="G21" i="331"/>
  <c r="G22" i="331"/>
  <c r="G23" i="331"/>
  <c r="F23" i="331"/>
  <c r="H23" i="331" s="1"/>
  <c r="F22" i="331"/>
  <c r="H22" i="331" s="1"/>
  <c r="F21" i="331"/>
  <c r="G16" i="331"/>
  <c r="F16" i="331"/>
  <c r="H93" i="330"/>
  <c r="G93" i="330"/>
  <c r="I86" i="330"/>
  <c r="I87" i="330"/>
  <c r="I88" i="330"/>
  <c r="I89" i="330"/>
  <c r="I90" i="330"/>
  <c r="I91" i="330"/>
  <c r="I92" i="330"/>
  <c r="I85" i="330"/>
  <c r="H84" i="330"/>
  <c r="G84" i="330"/>
  <c r="I83" i="330"/>
  <c r="I80" i="330"/>
  <c r="I84" i="330" s="1"/>
  <c r="H98" i="330"/>
  <c r="G98" i="330"/>
  <c r="I95" i="330"/>
  <c r="I96" i="330"/>
  <c r="I97" i="330"/>
  <c r="I94" i="330"/>
  <c r="I98" i="330" s="1"/>
  <c r="H71" i="330"/>
  <c r="I75" i="330"/>
  <c r="I74" i="330"/>
  <c r="H76" i="330"/>
  <c r="H73" i="330"/>
  <c r="G73" i="330"/>
  <c r="G71" i="330"/>
  <c r="G77" i="330" s="1"/>
  <c r="G76" i="330"/>
  <c r="I70" i="330"/>
  <c r="I71" i="330" s="1"/>
  <c r="I72" i="330"/>
  <c r="I73" i="330" s="1"/>
  <c r="H68" i="330"/>
  <c r="G68" i="330"/>
  <c r="I64" i="330"/>
  <c r="I65" i="330"/>
  <c r="I63" i="330"/>
  <c r="I68" i="330" s="1"/>
  <c r="I53" i="330"/>
  <c r="I54" i="330"/>
  <c r="I55" i="330"/>
  <c r="I56" i="330"/>
  <c r="I57" i="330"/>
  <c r="I58" i="330"/>
  <c r="I59" i="330"/>
  <c r="I60" i="330"/>
  <c r="I52" i="330"/>
  <c r="H61" i="330"/>
  <c r="G61" i="330"/>
  <c r="H49" i="330"/>
  <c r="G49" i="330"/>
  <c r="I41" i="330"/>
  <c r="I49" i="330" s="1"/>
  <c r="H29" i="330"/>
  <c r="G29" i="330"/>
  <c r="I36" i="330"/>
  <c r="I37" i="330"/>
  <c r="I35" i="330"/>
  <c r="H38" i="330"/>
  <c r="G38" i="330"/>
  <c r="I27" i="330"/>
  <c r="I28" i="330"/>
  <c r="I30" i="330"/>
  <c r="I31" i="330"/>
  <c r="I32" i="330"/>
  <c r="I33" i="330"/>
  <c r="I26" i="330"/>
  <c r="H34" i="330"/>
  <c r="G34" i="330"/>
  <c r="H24" i="330"/>
  <c r="G24" i="330"/>
  <c r="I17" i="330"/>
  <c r="I18" i="330"/>
  <c r="I19" i="330"/>
  <c r="I16" i="330"/>
  <c r="H20" i="330"/>
  <c r="G7" i="331" s="1"/>
  <c r="G20" i="330"/>
  <c r="F7" i="331" s="1"/>
  <c r="I7" i="330"/>
  <c r="I8" i="330"/>
  <c r="I9" i="330"/>
  <c r="I10" i="330"/>
  <c r="I11" i="330"/>
  <c r="I12" i="330"/>
  <c r="I13" i="330"/>
  <c r="I14" i="330"/>
  <c r="I6" i="330"/>
  <c r="I5" i="330"/>
  <c r="G15" i="330"/>
  <c r="H15" i="330"/>
  <c r="I34" i="330" l="1"/>
  <c r="H25" i="330"/>
  <c r="G25" i="330"/>
  <c r="I20" i="330"/>
  <c r="G6" i="331"/>
  <c r="G39" i="330"/>
  <c r="F6" i="331"/>
  <c r="H39" i="330"/>
  <c r="I76" i="330"/>
  <c r="G69" i="330"/>
  <c r="H69" i="330"/>
  <c r="I29" i="330"/>
  <c r="H77" i="330"/>
  <c r="G99" i="330"/>
  <c r="I77" i="330"/>
  <c r="I93" i="330"/>
  <c r="I99" i="330" s="1"/>
  <c r="H99" i="330"/>
  <c r="I61" i="330"/>
  <c r="I69" i="330" s="1"/>
  <c r="I38" i="330"/>
  <c r="I15" i="330"/>
  <c r="I39" i="330" l="1"/>
  <c r="G100" i="330"/>
  <c r="H100" i="330"/>
  <c r="F28" i="324"/>
  <c r="F29" i="324"/>
  <c r="E30" i="324"/>
  <c r="E31" i="324" s="1"/>
  <c r="D30" i="324"/>
  <c r="D31" i="324" s="1"/>
  <c r="F27" i="324"/>
  <c r="F23" i="324"/>
  <c r="F24" i="324"/>
  <c r="F25" i="324"/>
  <c r="F26" i="324"/>
  <c r="E22" i="324"/>
  <c r="D22" i="324"/>
  <c r="F15" i="324"/>
  <c r="F16" i="324"/>
  <c r="F21" i="324"/>
  <c r="F20" i="324"/>
  <c r="F17" i="324"/>
  <c r="F18" i="324"/>
  <c r="E13" i="324"/>
  <c r="F13" i="324"/>
  <c r="D13" i="324"/>
  <c r="F12" i="324"/>
  <c r="E11" i="324"/>
  <c r="D11" i="324"/>
  <c r="F8" i="324"/>
  <c r="F9" i="324"/>
  <c r="F10" i="324"/>
  <c r="E41" i="324"/>
  <c r="D41" i="324"/>
  <c r="F40" i="324"/>
  <c r="F41" i="324" s="1"/>
  <c r="E39" i="324"/>
  <c r="D39" i="324"/>
  <c r="F38" i="324"/>
  <c r="F37" i="324"/>
  <c r="E36" i="324"/>
  <c r="D36" i="324"/>
  <c r="F35" i="324"/>
  <c r="F36" i="324" s="1"/>
  <c r="E50" i="324"/>
  <c r="E51" i="324" s="1"/>
  <c r="D50" i="324"/>
  <c r="D51" i="324" s="1"/>
  <c r="F49" i="324"/>
  <c r="F50" i="324" s="1"/>
  <c r="F51" i="324" s="1"/>
  <c r="F30" i="324" l="1"/>
  <c r="E42" i="324"/>
  <c r="D42" i="324"/>
  <c r="F39" i="324"/>
  <c r="F42" i="324" s="1"/>
  <c r="Q11" i="321"/>
  <c r="P11" i="321"/>
  <c r="K17" i="285"/>
  <c r="G35" i="285"/>
  <c r="F35" i="285"/>
  <c r="C29" i="285"/>
  <c r="B29" i="285"/>
  <c r="B42" i="285"/>
  <c r="C42" i="285"/>
  <c r="B43" i="285"/>
  <c r="C43" i="285"/>
  <c r="F43" i="285"/>
  <c r="G43" i="285"/>
  <c r="X28" i="344"/>
  <c r="Z28" i="344"/>
  <c r="Z27" i="344"/>
  <c r="Y27" i="344"/>
  <c r="Z26" i="344"/>
  <c r="Y26" i="344"/>
  <c r="Z25" i="344"/>
  <c r="Y25" i="344"/>
  <c r="Z24" i="344"/>
  <c r="Y24" i="344"/>
  <c r="Z23" i="344"/>
  <c r="Y23" i="344"/>
  <c r="Z22" i="344"/>
  <c r="Y22" i="344"/>
  <c r="Z21" i="344"/>
  <c r="Y21" i="344"/>
  <c r="Z20" i="344"/>
  <c r="Y20" i="344"/>
  <c r="Z19" i="344"/>
  <c r="Y19" i="344"/>
  <c r="Z18" i="344"/>
  <c r="Y18" i="344"/>
  <c r="Z17" i="344"/>
  <c r="Y17" i="344"/>
  <c r="Z16" i="344"/>
  <c r="Y16" i="344"/>
  <c r="Z15" i="344"/>
  <c r="Y15" i="344"/>
  <c r="Z14" i="344"/>
  <c r="Y14" i="344"/>
  <c r="Z13" i="344"/>
  <c r="Y13" i="344"/>
  <c r="Z12" i="344"/>
  <c r="Y12" i="344"/>
  <c r="Z11" i="344"/>
  <c r="Y11" i="344"/>
  <c r="Z10" i="344"/>
  <c r="Y10" i="344"/>
  <c r="Y9" i="344"/>
  <c r="Z8" i="344"/>
  <c r="Y8" i="344"/>
  <c r="Z7" i="344"/>
  <c r="Y7" i="344"/>
  <c r="Z6" i="344"/>
  <c r="Y6" i="344"/>
  <c r="U28" i="344"/>
  <c r="W28" i="344"/>
  <c r="R28" i="344"/>
  <c r="V26" i="344"/>
  <c r="O28" i="344"/>
  <c r="L28" i="344"/>
  <c r="M25" i="344"/>
  <c r="J28" i="344"/>
  <c r="I28" i="344"/>
  <c r="K28" i="344"/>
  <c r="G28" i="344"/>
  <c r="F28" i="344"/>
  <c r="H28" i="344"/>
  <c r="E28" i="344"/>
  <c r="D28" i="344"/>
  <c r="W27" i="344"/>
  <c r="V27" i="344"/>
  <c r="W26" i="344"/>
  <c r="T26" i="344"/>
  <c r="Q26" i="344"/>
  <c r="P26" i="344"/>
  <c r="N26" i="344"/>
  <c r="K26" i="344"/>
  <c r="W25" i="344"/>
  <c r="T25" i="344"/>
  <c r="Q25" i="344"/>
  <c r="P25" i="344"/>
  <c r="N25" i="344"/>
  <c r="K25" i="344"/>
  <c r="J25" i="344"/>
  <c r="W24" i="344"/>
  <c r="T24" i="344"/>
  <c r="Q24" i="344"/>
  <c r="P24" i="344"/>
  <c r="N24" i="344"/>
  <c r="K24" i="344"/>
  <c r="W23" i="344"/>
  <c r="T23" i="344"/>
  <c r="Q23" i="344"/>
  <c r="P23" i="344"/>
  <c r="N23" i="344"/>
  <c r="K23" i="344"/>
  <c r="J23" i="344"/>
  <c r="W22" i="344"/>
  <c r="T22" i="344"/>
  <c r="Q22" i="344"/>
  <c r="P22" i="344"/>
  <c r="N22" i="344"/>
  <c r="K22" i="344"/>
  <c r="W21" i="344"/>
  <c r="T21" i="344"/>
  <c r="Q21" i="344"/>
  <c r="P21" i="344"/>
  <c r="N21" i="344"/>
  <c r="K21" i="344"/>
  <c r="J21" i="344"/>
  <c r="H21" i="344"/>
  <c r="W20" i="344"/>
  <c r="V20" i="344"/>
  <c r="T20" i="344"/>
  <c r="S20" i="344"/>
  <c r="Q20" i="344"/>
  <c r="P20" i="344"/>
  <c r="H20" i="344"/>
  <c r="W19" i="344"/>
  <c r="V19" i="344"/>
  <c r="T19" i="344"/>
  <c r="S19" i="344"/>
  <c r="Q19" i="344"/>
  <c r="P19" i="344"/>
  <c r="N19" i="344"/>
  <c r="M19" i="344"/>
  <c r="K19" i="344"/>
  <c r="J19" i="344"/>
  <c r="W18" i="344"/>
  <c r="V18" i="344"/>
  <c r="T18" i="344"/>
  <c r="S18" i="344"/>
  <c r="Q18" i="344"/>
  <c r="P18" i="344"/>
  <c r="N18" i="344"/>
  <c r="M18" i="344"/>
  <c r="K18" i="344"/>
  <c r="J18" i="344"/>
  <c r="W17" i="344"/>
  <c r="V17" i="344"/>
  <c r="T17" i="344"/>
  <c r="S17" i="344"/>
  <c r="Q17" i="344"/>
  <c r="P17" i="344"/>
  <c r="N17" i="344"/>
  <c r="M17" i="344"/>
  <c r="K17" i="344"/>
  <c r="J17" i="344"/>
  <c r="W16" i="344"/>
  <c r="V16" i="344"/>
  <c r="T16" i="344"/>
  <c r="S16" i="344"/>
  <c r="Q16" i="344"/>
  <c r="P16" i="344"/>
  <c r="N16" i="344"/>
  <c r="M16" i="344"/>
  <c r="K16" i="344"/>
  <c r="J16" i="344"/>
  <c r="W15" i="344"/>
  <c r="V15" i="344"/>
  <c r="T15" i="344"/>
  <c r="S15" i="344"/>
  <c r="Q15" i="344"/>
  <c r="P15" i="344"/>
  <c r="N15" i="344"/>
  <c r="M15" i="344"/>
  <c r="K15" i="344"/>
  <c r="J15" i="344"/>
  <c r="W14" i="344"/>
  <c r="V14" i="344"/>
  <c r="T14" i="344"/>
  <c r="S14" i="344"/>
  <c r="Q14" i="344"/>
  <c r="P14" i="344"/>
  <c r="N14" i="344"/>
  <c r="M14" i="344"/>
  <c r="K14" i="344"/>
  <c r="J14" i="344"/>
  <c r="H14" i="344"/>
  <c r="W13" i="344"/>
  <c r="V13" i="344"/>
  <c r="T13" i="344"/>
  <c r="Q13" i="344"/>
  <c r="P13" i="344"/>
  <c r="N13" i="344"/>
  <c r="K13" i="344"/>
  <c r="J13" i="344"/>
  <c r="H13" i="344"/>
  <c r="W12" i="344"/>
  <c r="V12" i="344"/>
  <c r="T12" i="344"/>
  <c r="S12" i="344"/>
  <c r="Q12" i="344"/>
  <c r="P12" i="344"/>
  <c r="N12" i="344"/>
  <c r="M12" i="344"/>
  <c r="K12" i="344"/>
  <c r="J12" i="344"/>
  <c r="H12" i="344"/>
  <c r="W11" i="344"/>
  <c r="T11" i="344"/>
  <c r="S11" i="344"/>
  <c r="Q11" i="344"/>
  <c r="P11" i="344"/>
  <c r="N11" i="344"/>
  <c r="M11" i="344"/>
  <c r="K11" i="344"/>
  <c r="J11" i="344"/>
  <c r="W10" i="344"/>
  <c r="V10" i="344"/>
  <c r="T10" i="344"/>
  <c r="Q10" i="344"/>
  <c r="P10" i="344"/>
  <c r="N10" i="344"/>
  <c r="K10" i="344"/>
  <c r="J10" i="344"/>
  <c r="H10" i="344"/>
  <c r="S9" i="344"/>
  <c r="P9" i="344"/>
  <c r="N9" i="344"/>
  <c r="K9" i="344"/>
  <c r="J9" i="344"/>
  <c r="W8" i="344"/>
  <c r="V8" i="344"/>
  <c r="T8" i="344"/>
  <c r="S8" i="344"/>
  <c r="Q8" i="344"/>
  <c r="P8" i="344"/>
  <c r="N8" i="344"/>
  <c r="M8" i="344"/>
  <c r="K8" i="344"/>
  <c r="J8" i="344"/>
  <c r="H8" i="344"/>
  <c r="W7" i="344"/>
  <c r="V7" i="344"/>
  <c r="T7" i="344"/>
  <c r="Q7" i="344"/>
  <c r="P7" i="344"/>
  <c r="N7" i="344"/>
  <c r="K7" i="344"/>
  <c r="J7" i="344"/>
  <c r="H7" i="344"/>
  <c r="W6" i="344"/>
  <c r="V6" i="344"/>
  <c r="T6" i="344"/>
  <c r="S6" i="344"/>
  <c r="Q6" i="344"/>
  <c r="P6" i="344"/>
  <c r="P28" i="344"/>
  <c r="N6" i="344"/>
  <c r="M6" i="344"/>
  <c r="K6" i="344"/>
  <c r="J6" i="344"/>
  <c r="H6" i="344"/>
  <c r="Y28" i="344"/>
  <c r="T28" i="344"/>
  <c r="M20" i="344"/>
  <c r="V21" i="344"/>
  <c r="M22" i="344"/>
  <c r="S22" i="344"/>
  <c r="V23" i="344"/>
  <c r="M24" i="344"/>
  <c r="S24" i="344"/>
  <c r="V25" i="344"/>
  <c r="M26" i="344"/>
  <c r="S26" i="344"/>
  <c r="S27" i="344"/>
  <c r="M28" i="344"/>
  <c r="Q28" i="344"/>
  <c r="N28" i="344"/>
  <c r="M7" i="344"/>
  <c r="S7" i="344"/>
  <c r="S28" i="344"/>
  <c r="V9" i="344"/>
  <c r="M10" i="344"/>
  <c r="S10" i="344"/>
  <c r="V11" i="344"/>
  <c r="V28" i="344"/>
  <c r="M13" i="344"/>
  <c r="S13" i="344"/>
  <c r="M21" i="344"/>
  <c r="S21" i="344"/>
  <c r="J22" i="344"/>
  <c r="V22" i="344"/>
  <c r="M23" i="344"/>
  <c r="S23" i="344"/>
  <c r="J24" i="344"/>
  <c r="V24" i="344"/>
  <c r="S25" i="344"/>
  <c r="J26" i="344"/>
  <c r="P24" i="227"/>
  <c r="H49" i="47"/>
  <c r="G51" i="47"/>
  <c r="F51" i="47"/>
  <c r="E51" i="47"/>
  <c r="D51" i="47"/>
  <c r="C51" i="47"/>
  <c r="B51" i="47"/>
  <c r="H50" i="47"/>
  <c r="H48" i="47"/>
  <c r="H47" i="47"/>
  <c r="H46" i="47"/>
  <c r="D74" i="46"/>
  <c r="E74" i="46"/>
  <c r="F74" i="46"/>
  <c r="G74" i="46"/>
  <c r="H74" i="46"/>
  <c r="I74" i="46"/>
  <c r="J74" i="46"/>
  <c r="K74" i="46"/>
  <c r="L74" i="46"/>
  <c r="M74" i="46"/>
  <c r="C74" i="46"/>
  <c r="N60" i="46"/>
  <c r="N46" i="46"/>
  <c r="N42" i="46"/>
  <c r="N28" i="46"/>
  <c r="N17" i="46"/>
  <c r="N74" i="46"/>
  <c r="H51" i="47"/>
  <c r="F42" i="339"/>
  <c r="F43" i="339"/>
  <c r="F44" i="339"/>
  <c r="I29" i="339"/>
  <c r="I30" i="339"/>
  <c r="I31" i="339"/>
  <c r="I32" i="339"/>
  <c r="I33" i="339"/>
  <c r="I34" i="339"/>
  <c r="I26" i="339"/>
  <c r="F29" i="339"/>
  <c r="F30" i="339"/>
  <c r="F31" i="339"/>
  <c r="F32" i="339"/>
  <c r="F33" i="339"/>
  <c r="F34" i="339"/>
  <c r="F26" i="339"/>
  <c r="F6" i="339"/>
  <c r="F7" i="339"/>
  <c r="F8" i="339"/>
  <c r="F10" i="339"/>
  <c r="F11" i="339"/>
  <c r="F13" i="339"/>
  <c r="I6" i="339"/>
  <c r="I7" i="339"/>
  <c r="I8" i="339"/>
  <c r="I10" i="339"/>
  <c r="I11" i="339"/>
  <c r="I13" i="339"/>
  <c r="F12" i="339"/>
  <c r="F14" i="339"/>
  <c r="AZ16" i="263"/>
  <c r="BA16" i="263"/>
  <c r="AY16" i="263"/>
  <c r="AZ15" i="263"/>
  <c r="BA15" i="263"/>
  <c r="AY15" i="263"/>
  <c r="AZ14" i="263"/>
  <c r="BA14" i="263"/>
  <c r="AY14" i="263"/>
  <c r="Y89" i="288"/>
  <c r="Y61" i="288"/>
  <c r="Y27" i="288"/>
  <c r="F28" i="288"/>
  <c r="E28" i="288"/>
  <c r="C28" i="288"/>
  <c r="B28" i="288"/>
  <c r="I27" i="288"/>
  <c r="H27" i="288"/>
  <c r="G27" i="288"/>
  <c r="D27" i="288"/>
  <c r="I26" i="288"/>
  <c r="H26" i="288"/>
  <c r="G26" i="288"/>
  <c r="D26" i="288"/>
  <c r="I25" i="288"/>
  <c r="H25" i="288"/>
  <c r="G25" i="288"/>
  <c r="D25" i="288"/>
  <c r="I24" i="288"/>
  <c r="H24" i="288"/>
  <c r="G24" i="288"/>
  <c r="D24" i="288"/>
  <c r="I23" i="288"/>
  <c r="H23" i="288"/>
  <c r="G23" i="288"/>
  <c r="D23" i="288"/>
  <c r="I22" i="288"/>
  <c r="H22" i="288"/>
  <c r="J22" i="288"/>
  <c r="G22" i="288"/>
  <c r="D22" i="288"/>
  <c r="J24" i="288"/>
  <c r="G28" i="288"/>
  <c r="J26" i="288"/>
  <c r="J25" i="288"/>
  <c r="I28" i="288"/>
  <c r="D28" i="288"/>
  <c r="J27" i="288"/>
  <c r="H28" i="288"/>
  <c r="J23" i="288"/>
  <c r="AC31" i="233"/>
  <c r="AC23" i="233"/>
  <c r="AB23" i="233"/>
  <c r="AC22" i="233"/>
  <c r="AB22" i="233"/>
  <c r="AA22" i="233"/>
  <c r="AC21" i="233"/>
  <c r="AB21" i="233"/>
  <c r="AA21" i="233"/>
  <c r="AC18" i="233"/>
  <c r="AB18" i="233"/>
  <c r="AA18" i="233"/>
  <c r="AC17" i="233"/>
  <c r="AB17" i="233"/>
  <c r="AA17" i="233"/>
  <c r="AC16" i="233"/>
  <c r="AB16" i="233"/>
  <c r="AC13" i="233"/>
  <c r="AB13" i="233"/>
  <c r="AB31" i="233"/>
  <c r="AA13" i="233"/>
  <c r="AB12" i="233"/>
  <c r="AC11" i="233"/>
  <c r="AC14" i="233"/>
  <c r="AB11" i="233"/>
  <c r="K148" i="266"/>
  <c r="K146" i="266"/>
  <c r="K140" i="266"/>
  <c r="K138" i="266"/>
  <c r="K145" i="266"/>
  <c r="K135" i="266"/>
  <c r="K134" i="266"/>
  <c r="K129" i="266"/>
  <c r="K114" i="266"/>
  <c r="K96" i="266"/>
  <c r="K95" i="266"/>
  <c r="K82" i="266"/>
  <c r="AA8" i="233"/>
  <c r="AA29" i="233"/>
  <c r="AC8" i="233"/>
  <c r="AB8" i="233"/>
  <c r="AC7" i="233"/>
  <c r="AB7" i="233"/>
  <c r="AA7" i="233"/>
  <c r="AC6" i="233"/>
  <c r="AB6" i="233"/>
  <c r="AA6" i="233"/>
  <c r="AA26" i="233"/>
  <c r="AA31" i="233"/>
  <c r="AB30" i="233"/>
  <c r="Y8" i="233"/>
  <c r="X8" i="233"/>
  <c r="W8" i="233"/>
  <c r="Y7" i="233"/>
  <c r="X7" i="233"/>
  <c r="W7" i="233"/>
  <c r="Y6" i="233"/>
  <c r="X6" i="233"/>
  <c r="W6" i="233"/>
  <c r="K66" i="266"/>
  <c r="K44" i="266"/>
  <c r="K12" i="266"/>
  <c r="K26" i="266"/>
  <c r="BS125" i="278"/>
  <c r="BS126" i="278"/>
  <c r="BT125" i="278"/>
  <c r="BT126" i="278"/>
  <c r="BR125" i="278"/>
  <c r="BT37" i="278"/>
  <c r="BS37" i="278"/>
  <c r="BR37" i="278"/>
  <c r="BP59" i="279"/>
  <c r="BP71" i="279"/>
  <c r="BQ59" i="279"/>
  <c r="BQ71" i="279"/>
  <c r="BO59" i="279"/>
  <c r="BO71" i="279"/>
  <c r="BP67" i="279"/>
  <c r="BQ67" i="279"/>
  <c r="BR67" i="279"/>
  <c r="BO67" i="279"/>
  <c r="BT124" i="278"/>
  <c r="BP16" i="279"/>
  <c r="BQ16" i="279"/>
  <c r="BO16" i="279"/>
  <c r="BT34" i="278"/>
  <c r="BT35" i="278"/>
  <c r="BT36" i="278"/>
  <c r="BP24" i="279"/>
  <c r="BQ24" i="279"/>
  <c r="BO24" i="279"/>
  <c r="BP11" i="279"/>
  <c r="BQ11" i="279"/>
  <c r="BO11" i="279"/>
  <c r="BP7" i="279"/>
  <c r="BQ7" i="279"/>
  <c r="BO7" i="279"/>
  <c r="BP15" i="279"/>
  <c r="BQ15" i="279"/>
  <c r="BO15" i="279"/>
  <c r="BL33" i="278"/>
  <c r="BT45" i="278"/>
  <c r="BT31" i="278"/>
  <c r="BT32" i="278"/>
  <c r="BT33" i="278"/>
  <c r="BQ69" i="279"/>
  <c r="BO69" i="279"/>
  <c r="BO68" i="279"/>
  <c r="BQ66" i="279"/>
  <c r="BQ68" i="279"/>
  <c r="BP65" i="279"/>
  <c r="BR65" i="279"/>
  <c r="BP64" i="279"/>
  <c r="BO64" i="279"/>
  <c r="BR63" i="279"/>
  <c r="BQ62" i="279"/>
  <c r="BQ64" i="279"/>
  <c r="BR61" i="279"/>
  <c r="BQ58" i="279"/>
  <c r="BP58" i="279"/>
  <c r="BO58" i="279"/>
  <c r="BR57" i="279"/>
  <c r="BQ50" i="279"/>
  <c r="BP50" i="279"/>
  <c r="BO50" i="279"/>
  <c r="BQ49" i="279"/>
  <c r="BP49" i="279"/>
  <c r="BO49" i="279"/>
  <c r="BQ46" i="279"/>
  <c r="BP46" i="279"/>
  <c r="BO46" i="279"/>
  <c r="BQ45" i="279"/>
  <c r="BP45" i="279"/>
  <c r="BO45" i="279"/>
  <c r="BQ44" i="279"/>
  <c r="BP44" i="279"/>
  <c r="BO44" i="279"/>
  <c r="BQ42" i="279"/>
  <c r="BP42" i="279"/>
  <c r="BO42" i="279"/>
  <c r="BQ41" i="279"/>
  <c r="BP41" i="279"/>
  <c r="BO41" i="279"/>
  <c r="BQ40" i="279"/>
  <c r="BP40" i="279"/>
  <c r="BO40" i="279"/>
  <c r="BQ33" i="279"/>
  <c r="BP33" i="279"/>
  <c r="BO33" i="279"/>
  <c r="BQ32" i="279"/>
  <c r="BP32" i="279"/>
  <c r="BO32" i="279"/>
  <c r="BQ31" i="279"/>
  <c r="BP31" i="279"/>
  <c r="BO31" i="279"/>
  <c r="BQ29" i="279"/>
  <c r="BP29" i="279"/>
  <c r="BO29" i="279"/>
  <c r="BQ28" i="279"/>
  <c r="BP28" i="279"/>
  <c r="BO28" i="279"/>
  <c r="BQ27" i="279"/>
  <c r="BP27" i="279"/>
  <c r="BO27" i="279"/>
  <c r="BQ25" i="279"/>
  <c r="BP25" i="279"/>
  <c r="BO25" i="279"/>
  <c r="BQ14" i="279"/>
  <c r="BP14" i="279"/>
  <c r="BO14" i="279"/>
  <c r="BQ12" i="279"/>
  <c r="BP12" i="279"/>
  <c r="BO12" i="279"/>
  <c r="BQ10" i="279"/>
  <c r="BP10" i="279"/>
  <c r="BO10" i="279"/>
  <c r="BQ8" i="279"/>
  <c r="BP8" i="279"/>
  <c r="BO8" i="279"/>
  <c r="BQ125" i="278"/>
  <c r="BT123" i="278"/>
  <c r="BT122" i="278"/>
  <c r="BT121" i="278"/>
  <c r="BS120" i="278"/>
  <c r="BR120" i="278"/>
  <c r="BQ120" i="278"/>
  <c r="BT119" i="278"/>
  <c r="BT120" i="278"/>
  <c r="BS118" i="278"/>
  <c r="BR118" i="278"/>
  <c r="BQ118" i="278"/>
  <c r="BT117" i="278"/>
  <c r="BT116" i="278"/>
  <c r="BT118" i="278"/>
  <c r="BS114" i="278"/>
  <c r="BR114" i="278"/>
  <c r="BQ114" i="278"/>
  <c r="BT113" i="278"/>
  <c r="BT112" i="278"/>
  <c r="BT111" i="278"/>
  <c r="BT110" i="278"/>
  <c r="BS109" i="278"/>
  <c r="BR109" i="278"/>
  <c r="BQ109" i="278"/>
  <c r="BT108" i="278"/>
  <c r="BT107" i="278"/>
  <c r="BT106" i="278"/>
  <c r="BT105" i="278"/>
  <c r="BT104" i="278"/>
  <c r="BT103" i="278"/>
  <c r="BT102" i="278"/>
  <c r="BT101" i="278"/>
  <c r="BT100" i="278"/>
  <c r="BT99" i="278"/>
  <c r="BT98" i="278"/>
  <c r="BT97" i="278"/>
  <c r="BS96" i="278"/>
  <c r="BR96" i="278"/>
  <c r="BQ96" i="278"/>
  <c r="BT95" i="278"/>
  <c r="BT94" i="278"/>
  <c r="BT93" i="278"/>
  <c r="BT92" i="278"/>
  <c r="BT91" i="278"/>
  <c r="BT90" i="278"/>
  <c r="BT89" i="278"/>
  <c r="BT88" i="278"/>
  <c r="BT87" i="278"/>
  <c r="BT86" i="278"/>
  <c r="BT85" i="278"/>
  <c r="BT84" i="278"/>
  <c r="BT83" i="278"/>
  <c r="BT82" i="278"/>
  <c r="BT81" i="278"/>
  <c r="BT80" i="278"/>
  <c r="BS78" i="278"/>
  <c r="BR78" i="278"/>
  <c r="BQ78" i="278"/>
  <c r="BT77" i="278"/>
  <c r="BT76" i="278"/>
  <c r="BT75" i="278"/>
  <c r="BT73" i="278"/>
  <c r="BT72" i="278"/>
  <c r="BT71" i="278"/>
  <c r="BT70" i="278"/>
  <c r="BT69" i="278"/>
  <c r="BT68" i="278"/>
  <c r="BS67" i="278"/>
  <c r="BR67" i="278"/>
  <c r="BQ67" i="278"/>
  <c r="BT66" i="278"/>
  <c r="BT65" i="278"/>
  <c r="BT64" i="278"/>
  <c r="BT63" i="278"/>
  <c r="BT62" i="278"/>
  <c r="BT61" i="278"/>
  <c r="BT60" i="278"/>
  <c r="BT59" i="278"/>
  <c r="BT58" i="278"/>
  <c r="BT57" i="278"/>
  <c r="BT56" i="278"/>
  <c r="BT55" i="278"/>
  <c r="BT54" i="278"/>
  <c r="BT53" i="278"/>
  <c r="BS52" i="278"/>
  <c r="BR52" i="278"/>
  <c r="BQ52" i="278"/>
  <c r="BT51" i="278"/>
  <c r="BT50" i="278"/>
  <c r="BT49" i="278"/>
  <c r="BT48" i="278"/>
  <c r="BT47" i="278"/>
  <c r="BT46" i="278"/>
  <c r="BT44" i="278"/>
  <c r="BT43" i="278"/>
  <c r="BT42" i="278"/>
  <c r="BT41" i="278"/>
  <c r="BT40" i="278"/>
  <c r="BT39" i="278"/>
  <c r="BQ37" i="278"/>
  <c r="BT30" i="278"/>
  <c r="BT29" i="278"/>
  <c r="BT28" i="278"/>
  <c r="BS27" i="278"/>
  <c r="BR27" i="278"/>
  <c r="BQ27" i="278"/>
  <c r="BT26" i="278"/>
  <c r="BT25" i="278"/>
  <c r="BT24" i="278"/>
  <c r="BT23" i="278"/>
  <c r="BT22" i="278"/>
  <c r="BT21" i="278"/>
  <c r="BT20" i="278"/>
  <c r="BT19" i="278"/>
  <c r="BT18" i="278"/>
  <c r="BT17" i="278"/>
  <c r="BT16" i="278"/>
  <c r="BT15" i="278"/>
  <c r="BT14" i="278"/>
  <c r="BS13" i="278"/>
  <c r="BR13" i="278"/>
  <c r="BQ13" i="278"/>
  <c r="BT12" i="278"/>
  <c r="BT11" i="278"/>
  <c r="BT10" i="278"/>
  <c r="BT9" i="278"/>
  <c r="BT8" i="278"/>
  <c r="BT7" i="278"/>
  <c r="BT6" i="278"/>
  <c r="D21" i="282"/>
  <c r="E21" i="282"/>
  <c r="F21" i="282"/>
  <c r="G21" i="282"/>
  <c r="H21" i="282"/>
  <c r="I21" i="282"/>
  <c r="J21" i="282"/>
  <c r="K21" i="282"/>
  <c r="L21" i="282"/>
  <c r="D22" i="282"/>
  <c r="E22" i="282"/>
  <c r="F22" i="282"/>
  <c r="G22" i="282"/>
  <c r="H22" i="282"/>
  <c r="I22" i="282"/>
  <c r="J22" i="282"/>
  <c r="K22" i="282"/>
  <c r="L22" i="282"/>
  <c r="D23" i="282"/>
  <c r="E23" i="282"/>
  <c r="F23" i="282"/>
  <c r="G23" i="282"/>
  <c r="H23" i="282"/>
  <c r="I23" i="282"/>
  <c r="J23" i="282"/>
  <c r="K23" i="282"/>
  <c r="L23" i="282"/>
  <c r="C23" i="282"/>
  <c r="C22" i="282"/>
  <c r="C21" i="282"/>
  <c r="J16" i="282"/>
  <c r="K16" i="282"/>
  <c r="L16" i="282"/>
  <c r="J18" i="282"/>
  <c r="K18" i="282"/>
  <c r="L18" i="282"/>
  <c r="I18" i="282"/>
  <c r="I16" i="282"/>
  <c r="J11" i="282"/>
  <c r="K11" i="282"/>
  <c r="L11" i="282"/>
  <c r="J12" i="282"/>
  <c r="K12" i="282"/>
  <c r="L12" i="282"/>
  <c r="J13" i="282"/>
  <c r="K13" i="282"/>
  <c r="L13" i="282"/>
  <c r="I13" i="282"/>
  <c r="I12" i="282"/>
  <c r="I11" i="282"/>
  <c r="K6" i="282"/>
  <c r="L6" i="282"/>
  <c r="K7" i="282"/>
  <c r="L7" i="282"/>
  <c r="K8" i="282"/>
  <c r="L8" i="282"/>
  <c r="D6" i="282"/>
  <c r="E6" i="282"/>
  <c r="F6" i="282"/>
  <c r="G6" i="282"/>
  <c r="H6" i="282"/>
  <c r="I6" i="282"/>
  <c r="J6" i="282"/>
  <c r="D7" i="282"/>
  <c r="E7" i="282"/>
  <c r="F7" i="282"/>
  <c r="G7" i="282"/>
  <c r="H7" i="282"/>
  <c r="I7" i="282"/>
  <c r="J7" i="282"/>
  <c r="D8" i="282"/>
  <c r="E8" i="282"/>
  <c r="F8" i="282"/>
  <c r="G8" i="282"/>
  <c r="H8" i="282"/>
  <c r="I8" i="282"/>
  <c r="J8" i="282"/>
  <c r="C8" i="282"/>
  <c r="C7" i="282"/>
  <c r="C6" i="282"/>
  <c r="M9" i="282"/>
  <c r="N9" i="282"/>
  <c r="O9" i="282"/>
  <c r="P9" i="282"/>
  <c r="L120" i="314"/>
  <c r="M120" i="314"/>
  <c r="L9" i="282"/>
  <c r="C9" i="282"/>
  <c r="E9" i="282"/>
  <c r="D9" i="282"/>
  <c r="G9" i="282"/>
  <c r="J9" i="282"/>
  <c r="F9" i="282"/>
  <c r="J28" i="288"/>
  <c r="AD30" i="233"/>
  <c r="AD12" i="233"/>
  <c r="AA28" i="233"/>
  <c r="AD11" i="233"/>
  <c r="AD31" i="233"/>
  <c r="AC19" i="233"/>
  <c r="W9" i="233"/>
  <c r="AA24" i="233"/>
  <c r="K45" i="266"/>
  <c r="AD21" i="233"/>
  <c r="AC28" i="233"/>
  <c r="AB29" i="233"/>
  <c r="AC29" i="233"/>
  <c r="AA14" i="233"/>
  <c r="AD17" i="233"/>
  <c r="AD23" i="233"/>
  <c r="AB27" i="233"/>
  <c r="AD16" i="233"/>
  <c r="AD22" i="233"/>
  <c r="AC27" i="233"/>
  <c r="AA19" i="233"/>
  <c r="AD18" i="233"/>
  <c r="AA27" i="233"/>
  <c r="AA32" i="233"/>
  <c r="AC9" i="233"/>
  <c r="AB9" i="233"/>
  <c r="AD6" i="233"/>
  <c r="AD7" i="233"/>
  <c r="AD8" i="233"/>
  <c r="AD13" i="233"/>
  <c r="AB24" i="233"/>
  <c r="AB26" i="233"/>
  <c r="AB28" i="233"/>
  <c r="AA9" i="233"/>
  <c r="AB19" i="233"/>
  <c r="AC24" i="233"/>
  <c r="AC26" i="233"/>
  <c r="AB14" i="233"/>
  <c r="BS79" i="278"/>
  <c r="BQ79" i="278"/>
  <c r="BQ54" i="279"/>
  <c r="BO54" i="279"/>
  <c r="BO51" i="279"/>
  <c r="BR50" i="279"/>
  <c r="BO19" i="279"/>
  <c r="BO47" i="279"/>
  <c r="BO60" i="279"/>
  <c r="BR62" i="279"/>
  <c r="BR64" i="279"/>
  <c r="BO37" i="279"/>
  <c r="BP35" i="279"/>
  <c r="BO20" i="279"/>
  <c r="BO53" i="279"/>
  <c r="BR41" i="279"/>
  <c r="BO34" i="279"/>
  <c r="BP20" i="279"/>
  <c r="BO36" i="279"/>
  <c r="BP51" i="279"/>
  <c r="BQ70" i="279"/>
  <c r="BQ72" i="279"/>
  <c r="BQ17" i="279"/>
  <c r="BR16" i="279"/>
  <c r="BQ37" i="279"/>
  <c r="BQ34" i="279"/>
  <c r="BP52" i="279"/>
  <c r="BQ53" i="279"/>
  <c r="BR45" i="279"/>
  <c r="BR46" i="279"/>
  <c r="BQ51" i="279"/>
  <c r="BQ36" i="279"/>
  <c r="BO35" i="279"/>
  <c r="BR28" i="279"/>
  <c r="BR33" i="279"/>
  <c r="BR32" i="279"/>
  <c r="BR12" i="279"/>
  <c r="BR29" i="279"/>
  <c r="BQ47" i="279"/>
  <c r="BR49" i="279"/>
  <c r="BQ20" i="279"/>
  <c r="BQ19" i="279"/>
  <c r="BR8" i="279"/>
  <c r="BR24" i="279"/>
  <c r="BR25" i="279"/>
  <c r="BR27" i="279"/>
  <c r="BR30" i="279"/>
  <c r="BO52" i="279"/>
  <c r="BP53" i="279"/>
  <c r="BR53" i="279"/>
  <c r="BP54" i="279"/>
  <c r="BP47" i="279"/>
  <c r="BP60" i="279"/>
  <c r="BR15" i="279"/>
  <c r="BP36" i="279"/>
  <c r="BP37" i="279"/>
  <c r="BP34" i="279"/>
  <c r="BQ52" i="279"/>
  <c r="BR42" i="279"/>
  <c r="BR59" i="279"/>
  <c r="BP70" i="279"/>
  <c r="BQ18" i="279"/>
  <c r="BP17" i="279"/>
  <c r="BO17" i="279"/>
  <c r="BO18" i="279"/>
  <c r="BP18" i="279"/>
  <c r="BR14" i="279"/>
  <c r="BR11" i="279"/>
  <c r="BT27" i="278"/>
  <c r="BP19" i="279"/>
  <c r="BR7" i="279"/>
  <c r="BP69" i="279"/>
  <c r="BR69" i="279"/>
  <c r="BP68" i="279"/>
  <c r="BR44" i="279"/>
  <c r="BT96" i="278"/>
  <c r="BR40" i="279"/>
  <c r="BQ35" i="279"/>
  <c r="BR31" i="279"/>
  <c r="BR10" i="279"/>
  <c r="BP9" i="279"/>
  <c r="BQ9" i="279"/>
  <c r="BQ13" i="279"/>
  <c r="BQ26" i="279"/>
  <c r="BQ30" i="279"/>
  <c r="BQ43" i="279"/>
  <c r="BO70" i="279"/>
  <c r="BR71" i="279"/>
  <c r="BQ60" i="279"/>
  <c r="BO9" i="279"/>
  <c r="BO13" i="279"/>
  <c r="BO26" i="279"/>
  <c r="BO30" i="279"/>
  <c r="BO43" i="279"/>
  <c r="BR58" i="279"/>
  <c r="BR66" i="279"/>
  <c r="BR68" i="279"/>
  <c r="BP13" i="279"/>
  <c r="BP26" i="279"/>
  <c r="BP30" i="279"/>
  <c r="BP43" i="279"/>
  <c r="BQ126" i="278"/>
  <c r="BR126" i="278"/>
  <c r="BQ115" i="278"/>
  <c r="BS115" i="278"/>
  <c r="BT114" i="278"/>
  <c r="BT109" i="278"/>
  <c r="BR115" i="278"/>
  <c r="BT78" i="278"/>
  <c r="BT67" i="278"/>
  <c r="BT52" i="278"/>
  <c r="BR79" i="278"/>
  <c r="BQ38" i="278"/>
  <c r="BR38" i="278"/>
  <c r="BS38" i="278"/>
  <c r="BT13" i="278"/>
  <c r="I9" i="282"/>
  <c r="H9" i="282"/>
  <c r="K9" i="282"/>
  <c r="J109" i="314"/>
  <c r="M109" i="314"/>
  <c r="L109" i="314"/>
  <c r="K109" i="314"/>
  <c r="J111" i="314"/>
  <c r="J112" i="314"/>
  <c r="M111" i="314"/>
  <c r="M112" i="314"/>
  <c r="L111" i="314"/>
  <c r="L112" i="314"/>
  <c r="K111" i="314"/>
  <c r="K112" i="314"/>
  <c r="K106" i="314"/>
  <c r="J106" i="314"/>
  <c r="M106" i="314"/>
  <c r="L106" i="314"/>
  <c r="K103" i="314"/>
  <c r="J103" i="314"/>
  <c r="M103" i="314"/>
  <c r="L103" i="314"/>
  <c r="K101" i="314"/>
  <c r="J101" i="314"/>
  <c r="M101" i="314"/>
  <c r="L101" i="314"/>
  <c r="D97" i="314"/>
  <c r="G97" i="314"/>
  <c r="F97" i="314"/>
  <c r="I97" i="314"/>
  <c r="H97" i="314"/>
  <c r="K97" i="314"/>
  <c r="J97" i="314"/>
  <c r="M97" i="314"/>
  <c r="L97" i="314"/>
  <c r="E97" i="314"/>
  <c r="D92" i="314"/>
  <c r="G92" i="314"/>
  <c r="F92" i="314"/>
  <c r="I92" i="314"/>
  <c r="H92" i="314"/>
  <c r="K92" i="314"/>
  <c r="J92" i="314"/>
  <c r="M92" i="314"/>
  <c r="L92" i="314"/>
  <c r="E92" i="314"/>
  <c r="D88" i="314"/>
  <c r="G88" i="314"/>
  <c r="F88" i="314"/>
  <c r="I88" i="314"/>
  <c r="H88" i="314"/>
  <c r="K88" i="314"/>
  <c r="J88" i="314"/>
  <c r="M88" i="314"/>
  <c r="L88" i="314"/>
  <c r="E88" i="314"/>
  <c r="L124" i="314"/>
  <c r="M124" i="314"/>
  <c r="J124" i="314"/>
  <c r="K124" i="314"/>
  <c r="J120" i="314"/>
  <c r="K120" i="314"/>
  <c r="L115" i="314"/>
  <c r="M115" i="314"/>
  <c r="J115" i="314"/>
  <c r="K115" i="314"/>
  <c r="H115" i="314"/>
  <c r="H124" i="314"/>
  <c r="I124" i="314"/>
  <c r="I115" i="314"/>
  <c r="F115" i="314"/>
  <c r="H120" i="314"/>
  <c r="I120" i="314"/>
  <c r="D124" i="314"/>
  <c r="E124" i="314"/>
  <c r="F124" i="314"/>
  <c r="G124" i="314"/>
  <c r="F120" i="314"/>
  <c r="G120" i="314"/>
  <c r="G115" i="314"/>
  <c r="H125" i="314"/>
  <c r="AD29" i="233"/>
  <c r="AD28" i="233"/>
  <c r="AD14" i="233"/>
  <c r="AD24" i="233"/>
  <c r="AC32" i="233"/>
  <c r="AD27" i="233"/>
  <c r="AD19" i="233"/>
  <c r="AD26" i="233"/>
  <c r="AB32" i="233"/>
  <c r="AD9" i="233"/>
  <c r="BP74" i="279"/>
  <c r="BR51" i="279"/>
  <c r="BQ55" i="279"/>
  <c r="BQ76" i="279"/>
  <c r="BO21" i="279"/>
  <c r="BQ74" i="279"/>
  <c r="BO55" i="279"/>
  <c r="BR26" i="279"/>
  <c r="BP76" i="279"/>
  <c r="BO38" i="279"/>
  <c r="BR9" i="279"/>
  <c r="BT115" i="278"/>
  <c r="BP55" i="279"/>
  <c r="BT79" i="278"/>
  <c r="BQ75" i="279"/>
  <c r="BR47" i="279"/>
  <c r="BR37" i="279"/>
  <c r="BP38" i="279"/>
  <c r="BQ21" i="279"/>
  <c r="BR36" i="279"/>
  <c r="BR43" i="279"/>
  <c r="BR60" i="279"/>
  <c r="BR20" i="279"/>
  <c r="BO74" i="279"/>
  <c r="BR13" i="279"/>
  <c r="BR34" i="279"/>
  <c r="BR52" i="279"/>
  <c r="BR70" i="279"/>
  <c r="BR72" i="279"/>
  <c r="BQ38" i="279"/>
  <c r="BR54" i="279"/>
  <c r="BP72" i="279"/>
  <c r="BP75" i="279"/>
  <c r="BR17" i="279"/>
  <c r="BR18" i="279"/>
  <c r="BP21" i="279"/>
  <c r="BS127" i="278"/>
  <c r="BR19" i="279"/>
  <c r="BR35" i="279"/>
  <c r="BQ127" i="278"/>
  <c r="BO76" i="279"/>
  <c r="BO72" i="279"/>
  <c r="BR74" i="279"/>
  <c r="BO75" i="279"/>
  <c r="BR127" i="278"/>
  <c r="BT38" i="278"/>
  <c r="M98" i="314"/>
  <c r="J107" i="314"/>
  <c r="K98" i="314"/>
  <c r="L98" i="314"/>
  <c r="J98" i="314"/>
  <c r="L107" i="314"/>
  <c r="K107" i="314"/>
  <c r="M107" i="314"/>
  <c r="L125" i="314"/>
  <c r="M125" i="314"/>
  <c r="K125" i="314"/>
  <c r="J125" i="314"/>
  <c r="F125" i="314"/>
  <c r="I125" i="314"/>
  <c r="H98" i="314"/>
  <c r="H126" i="314"/>
  <c r="I98" i="314"/>
  <c r="G98" i="314"/>
  <c r="G125" i="314"/>
  <c r="F98" i="314"/>
  <c r="X32" i="253"/>
  <c r="X31" i="253"/>
  <c r="X30" i="253"/>
  <c r="X22" i="253"/>
  <c r="X21" i="253"/>
  <c r="X23" i="253"/>
  <c r="X20" i="253"/>
  <c r="X12" i="253"/>
  <c r="X103" i="275"/>
  <c r="X101" i="275"/>
  <c r="X100" i="275"/>
  <c r="X98" i="275"/>
  <c r="X95" i="275"/>
  <c r="X93" i="275"/>
  <c r="X55" i="275"/>
  <c r="X35" i="275"/>
  <c r="X56" i="275"/>
  <c r="X48" i="275"/>
  <c r="X24" i="275"/>
  <c r="X20" i="275"/>
  <c r="X15" i="275"/>
  <c r="O33" i="172"/>
  <c r="O32" i="172"/>
  <c r="O31" i="172"/>
  <c r="O23" i="172"/>
  <c r="O22" i="172"/>
  <c r="O21" i="172"/>
  <c r="O24" i="172"/>
  <c r="O6" i="172"/>
  <c r="O7" i="172"/>
  <c r="O8" i="172"/>
  <c r="O11" i="172"/>
  <c r="O12" i="172"/>
  <c r="O35" i="172"/>
  <c r="O13" i="172"/>
  <c r="O36" i="172"/>
  <c r="O16" i="172"/>
  <c r="O17" i="172"/>
  <c r="O18" i="172"/>
  <c r="O26" i="172"/>
  <c r="O27" i="172"/>
  <c r="O28" i="172"/>
  <c r="O102" i="173"/>
  <c r="O78" i="173"/>
  <c r="O77" i="173"/>
  <c r="O75" i="173"/>
  <c r="O72" i="173"/>
  <c r="O38" i="173"/>
  <c r="O39" i="173"/>
  <c r="O33" i="173"/>
  <c r="O29" i="173"/>
  <c r="O99" i="173"/>
  <c r="O100" i="173"/>
  <c r="O94" i="173"/>
  <c r="O85" i="173"/>
  <c r="O69" i="173"/>
  <c r="O70" i="173"/>
  <c r="O62" i="173"/>
  <c r="O49" i="173"/>
  <c r="O23" i="173"/>
  <c r="O24" i="173"/>
  <c r="O19" i="173"/>
  <c r="O14" i="173"/>
  <c r="AE31" i="297"/>
  <c r="AE32" i="297"/>
  <c r="AE33" i="297"/>
  <c r="AD33" i="297"/>
  <c r="AD32" i="297"/>
  <c r="AD31" i="297"/>
  <c r="AF31" i="297"/>
  <c r="AE34" i="297"/>
  <c r="AF34" i="297"/>
  <c r="AE35" i="297"/>
  <c r="AE36" i="297"/>
  <c r="AF7" i="297"/>
  <c r="AF8" i="297"/>
  <c r="AF6" i="297"/>
  <c r="AF36" i="297"/>
  <c r="AF33" i="297"/>
  <c r="AF35" i="297"/>
  <c r="AE24" i="297"/>
  <c r="AD24" i="297"/>
  <c r="AF23" i="297"/>
  <c r="AF22" i="297"/>
  <c r="AF21" i="297"/>
  <c r="AD36" i="297"/>
  <c r="AD35" i="297"/>
  <c r="AD34" i="297"/>
  <c r="AE29" i="297"/>
  <c r="AD29" i="297"/>
  <c r="AF28" i="297"/>
  <c r="AF27" i="297"/>
  <c r="AF26" i="297"/>
  <c r="AE19" i="297"/>
  <c r="AD19" i="297"/>
  <c r="AF18" i="297"/>
  <c r="AF17" i="297"/>
  <c r="AF16" i="297"/>
  <c r="AE14" i="297"/>
  <c r="AD14" i="297"/>
  <c r="AF13" i="297"/>
  <c r="AF12" i="297"/>
  <c r="AF11" i="297"/>
  <c r="AE9" i="297"/>
  <c r="AD9" i="297"/>
  <c r="BP31" i="98"/>
  <c r="BQ31" i="98"/>
  <c r="BR31" i="98"/>
  <c r="BP32" i="98"/>
  <c r="BQ32" i="98"/>
  <c r="BR32" i="98"/>
  <c r="BP33" i="98"/>
  <c r="BQ33" i="98"/>
  <c r="BR33" i="98"/>
  <c r="BP34" i="98"/>
  <c r="BQ34" i="98"/>
  <c r="BR34" i="98"/>
  <c r="BP35" i="98"/>
  <c r="BQ35" i="98"/>
  <c r="BR35" i="98"/>
  <c r="BP36" i="98"/>
  <c r="BQ36" i="98"/>
  <c r="BR36" i="98"/>
  <c r="BO34" i="98"/>
  <c r="BO33" i="98"/>
  <c r="BO32" i="98"/>
  <c r="BO31" i="98"/>
  <c r="BP24" i="98"/>
  <c r="BQ24" i="98"/>
  <c r="BR24" i="98"/>
  <c r="BO24" i="98"/>
  <c r="BP21" i="98"/>
  <c r="BQ21" i="98"/>
  <c r="BR21" i="98"/>
  <c r="BP22" i="98"/>
  <c r="BQ22" i="98"/>
  <c r="BR22" i="98"/>
  <c r="BP23" i="98"/>
  <c r="BQ23" i="98"/>
  <c r="BR23" i="98"/>
  <c r="BO23" i="98"/>
  <c r="BO22" i="98"/>
  <c r="BO21" i="98"/>
  <c r="BO13" i="98"/>
  <c r="BP13" i="98"/>
  <c r="BQ13" i="98"/>
  <c r="BR13" i="98"/>
  <c r="BL13" i="98"/>
  <c r="BM13" i="98"/>
  <c r="BN13" i="98"/>
  <c r="BN36" i="98"/>
  <c r="BK13" i="98"/>
  <c r="BK36" i="98"/>
  <c r="BL12" i="98"/>
  <c r="BM12" i="98"/>
  <c r="BM35" i="98"/>
  <c r="BN12" i="98"/>
  <c r="BN35" i="98"/>
  <c r="BK12" i="98"/>
  <c r="BK35" i="98"/>
  <c r="BN11" i="98"/>
  <c r="BL11" i="98"/>
  <c r="BM11" i="98"/>
  <c r="BM14" i="98"/>
  <c r="BK11" i="98"/>
  <c r="BR28" i="98"/>
  <c r="BQ28" i="98"/>
  <c r="BP28" i="98"/>
  <c r="BO28" i="98"/>
  <c r="BR27" i="98"/>
  <c r="BQ27" i="98"/>
  <c r="BP27" i="98"/>
  <c r="BO27" i="98"/>
  <c r="BR26" i="98"/>
  <c r="BR29" i="98"/>
  <c r="BQ26" i="98"/>
  <c r="BQ29" i="98"/>
  <c r="BP26" i="98"/>
  <c r="BP29" i="98"/>
  <c r="BO26" i="98"/>
  <c r="BO29" i="98"/>
  <c r="BR18" i="98"/>
  <c r="BQ18" i="98"/>
  <c r="BP18" i="98"/>
  <c r="BO18" i="98"/>
  <c r="BR17" i="98"/>
  <c r="BQ17" i="98"/>
  <c r="BP17" i="98"/>
  <c r="BO17" i="98"/>
  <c r="BR16" i="98"/>
  <c r="BR19" i="98"/>
  <c r="BQ16" i="98"/>
  <c r="BQ19" i="98"/>
  <c r="BP16" i="98"/>
  <c r="BP19" i="98"/>
  <c r="BO16" i="98"/>
  <c r="BO19" i="98"/>
  <c r="BO36" i="98"/>
  <c r="BR12" i="98"/>
  <c r="BQ12" i="98"/>
  <c r="BP12" i="98"/>
  <c r="BO12" i="98"/>
  <c r="BO35" i="98"/>
  <c r="BR11" i="98"/>
  <c r="BR14" i="98"/>
  <c r="BQ11" i="98"/>
  <c r="BP11" i="98"/>
  <c r="BP14" i="98"/>
  <c r="BO11" i="98"/>
  <c r="BO14" i="98"/>
  <c r="BR8" i="98"/>
  <c r="BQ8" i="98"/>
  <c r="BP8" i="98"/>
  <c r="BO8" i="98"/>
  <c r="BR7" i="98"/>
  <c r="BQ7" i="98"/>
  <c r="BP7" i="98"/>
  <c r="BO7" i="98"/>
  <c r="BR6" i="98"/>
  <c r="BQ6" i="98"/>
  <c r="BP6" i="98"/>
  <c r="BP9" i="98"/>
  <c r="BO6" i="98"/>
  <c r="BK34" i="98"/>
  <c r="BK33" i="98"/>
  <c r="BK32" i="98"/>
  <c r="BK31" i="98"/>
  <c r="BN28" i="98"/>
  <c r="BM28" i="98"/>
  <c r="BL28" i="98"/>
  <c r="BK28" i="98"/>
  <c r="BN27" i="98"/>
  <c r="BM27" i="98"/>
  <c r="BL27" i="98"/>
  <c r="BK27" i="98"/>
  <c r="BN26" i="98"/>
  <c r="BN29" i="98"/>
  <c r="BM26" i="98"/>
  <c r="BM29" i="98"/>
  <c r="BL26" i="98"/>
  <c r="BL29" i="98"/>
  <c r="BK26" i="98"/>
  <c r="BK29" i="98"/>
  <c r="BN18" i="98"/>
  <c r="BN33" i="98"/>
  <c r="BM18" i="98"/>
  <c r="BM33" i="98"/>
  <c r="BL18" i="98"/>
  <c r="BL33" i="98"/>
  <c r="BK18" i="98"/>
  <c r="BN17" i="98"/>
  <c r="BM17" i="98"/>
  <c r="BL17" i="98"/>
  <c r="BK17" i="98"/>
  <c r="BN16" i="98"/>
  <c r="BN19" i="98"/>
  <c r="BM16" i="98"/>
  <c r="BM19" i="98"/>
  <c r="BL16" i="98"/>
  <c r="BL19" i="98"/>
  <c r="BK16" i="98"/>
  <c r="BK19" i="98"/>
  <c r="BM36" i="98"/>
  <c r="BL36" i="98"/>
  <c r="BL35" i="98"/>
  <c r="BL14" i="98"/>
  <c r="BN8" i="98"/>
  <c r="BN34" i="98"/>
  <c r="BM8" i="98"/>
  <c r="BM34" i="98"/>
  <c r="BL8" i="98"/>
  <c r="BL34" i="98"/>
  <c r="BK8" i="98"/>
  <c r="BN7" i="98"/>
  <c r="BN32" i="98"/>
  <c r="BM7" i="98"/>
  <c r="BL7" i="98"/>
  <c r="BL32" i="98"/>
  <c r="BK7" i="98"/>
  <c r="BN6" i="98"/>
  <c r="BN9" i="98"/>
  <c r="BM6" i="98"/>
  <c r="BM31" i="98"/>
  <c r="BL6" i="98"/>
  <c r="BL31" i="98"/>
  <c r="BK6" i="98"/>
  <c r="BQ102" i="274"/>
  <c r="BR102" i="274"/>
  <c r="BS102" i="274"/>
  <c r="BP102" i="274"/>
  <c r="BQ78" i="274"/>
  <c r="BR78" i="274"/>
  <c r="BS78" i="274"/>
  <c r="BP78" i="274"/>
  <c r="BQ77" i="274"/>
  <c r="BR77" i="274"/>
  <c r="BS77" i="274"/>
  <c r="BP77" i="274"/>
  <c r="BS76" i="274"/>
  <c r="BQ75" i="274"/>
  <c r="BR75" i="274"/>
  <c r="BS75" i="274"/>
  <c r="BP75" i="274"/>
  <c r="BS73" i="274"/>
  <c r="BR72" i="274"/>
  <c r="BS72" i="274"/>
  <c r="BQ72" i="274"/>
  <c r="BP72" i="274"/>
  <c r="BS71" i="274"/>
  <c r="M126" i="314"/>
  <c r="AD32" i="233"/>
  <c r="BR55" i="279"/>
  <c r="BQ77" i="279"/>
  <c r="BR76" i="279"/>
  <c r="BP77" i="279"/>
  <c r="BT127" i="278"/>
  <c r="BR38" i="279"/>
  <c r="BR75" i="279"/>
  <c r="BR21" i="279"/>
  <c r="BO77" i="279"/>
  <c r="K126" i="314"/>
  <c r="G126" i="314"/>
  <c r="L126" i="314"/>
  <c r="J126" i="314"/>
  <c r="I126" i="314"/>
  <c r="F126" i="314"/>
  <c r="O19" i="172"/>
  <c r="O34" i="172"/>
  <c r="O14" i="172"/>
  <c r="O29" i="172"/>
  <c r="O9" i="172"/>
  <c r="AF32" i="297"/>
  <c r="AF9" i="297"/>
  <c r="AF24" i="297"/>
  <c r="AF29" i="297"/>
  <c r="AD37" i="297"/>
  <c r="AF14" i="297"/>
  <c r="AE37" i="297"/>
  <c r="AF19" i="297"/>
  <c r="BO37" i="98"/>
  <c r="BR37" i="98"/>
  <c r="BQ37" i="98"/>
  <c r="BQ14" i="98"/>
  <c r="BL37" i="98"/>
  <c r="BN14" i="98"/>
  <c r="BK37" i="98"/>
  <c r="BK14" i="98"/>
  <c r="BM32" i="98"/>
  <c r="BM37" i="98"/>
  <c r="BR9" i="98"/>
  <c r="BO9" i="98"/>
  <c r="BP37" i="98"/>
  <c r="BQ9" i="98"/>
  <c r="BN31" i="98"/>
  <c r="BN37" i="98"/>
  <c r="BK9" i="98"/>
  <c r="BL9" i="98"/>
  <c r="BM9" i="98"/>
  <c r="I28" i="313"/>
  <c r="H31" i="313"/>
  <c r="H28" i="313"/>
  <c r="I24" i="313"/>
  <c r="J24" i="313"/>
  <c r="K24" i="313"/>
  <c r="L24" i="313"/>
  <c r="H24" i="313"/>
  <c r="I21" i="313"/>
  <c r="J21" i="313"/>
  <c r="K21" i="313"/>
  <c r="L21" i="313"/>
  <c r="I22" i="313"/>
  <c r="J22" i="313"/>
  <c r="K22" i="313"/>
  <c r="L22" i="313"/>
  <c r="I23" i="313"/>
  <c r="J23" i="313"/>
  <c r="K23" i="313"/>
  <c r="L23" i="313"/>
  <c r="H23" i="313"/>
  <c r="H22" i="313"/>
  <c r="H21" i="313"/>
  <c r="L16" i="313"/>
  <c r="L17" i="313"/>
  <c r="L18" i="313"/>
  <c r="L28" i="313"/>
  <c r="I16" i="313"/>
  <c r="J16" i="313"/>
  <c r="K16" i="313"/>
  <c r="I17" i="313"/>
  <c r="J17" i="313"/>
  <c r="K17" i="313"/>
  <c r="K19" i="313"/>
  <c r="I18" i="313"/>
  <c r="J18" i="313"/>
  <c r="K18" i="313"/>
  <c r="K28" i="313"/>
  <c r="H18" i="313"/>
  <c r="H19" i="313"/>
  <c r="H17" i="313"/>
  <c r="H16" i="313"/>
  <c r="I11" i="313"/>
  <c r="J11" i="313"/>
  <c r="K11" i="313"/>
  <c r="I12" i="313"/>
  <c r="I30" i="313"/>
  <c r="J12" i="313"/>
  <c r="K12" i="313"/>
  <c r="K30" i="313"/>
  <c r="I13" i="313"/>
  <c r="I31" i="313"/>
  <c r="J13" i="313"/>
  <c r="K13" i="313"/>
  <c r="L13" i="313"/>
  <c r="L31" i="313"/>
  <c r="H13" i="313"/>
  <c r="H12" i="313"/>
  <c r="H30" i="313"/>
  <c r="H11" i="313"/>
  <c r="I6" i="313"/>
  <c r="I26" i="313"/>
  <c r="J6" i="313"/>
  <c r="K6" i="313"/>
  <c r="I7" i="313"/>
  <c r="I27" i="313"/>
  <c r="J7" i="313"/>
  <c r="K7" i="313"/>
  <c r="I8" i="313"/>
  <c r="I29" i="313"/>
  <c r="J8" i="313"/>
  <c r="H6" i="313"/>
  <c r="H9" i="313"/>
  <c r="H7" i="313"/>
  <c r="H8" i="313"/>
  <c r="H29" i="313"/>
  <c r="J14" i="313"/>
  <c r="I14" i="313"/>
  <c r="J19" i="313"/>
  <c r="I19" i="313"/>
  <c r="L19" i="313"/>
  <c r="J28" i="313"/>
  <c r="J31" i="313"/>
  <c r="K31" i="313"/>
  <c r="K57" i="310"/>
  <c r="L57" i="310"/>
  <c r="M57" i="310"/>
  <c r="J57" i="310"/>
  <c r="N55" i="310"/>
  <c r="K45" i="310"/>
  <c r="L45" i="310"/>
  <c r="M45" i="310"/>
  <c r="J45" i="310"/>
  <c r="K22" i="310"/>
  <c r="K58" i="310"/>
  <c r="L22" i="310"/>
  <c r="L58" i="310"/>
  <c r="M22" i="310"/>
  <c r="J22" i="310"/>
  <c r="J58" i="310"/>
  <c r="K16" i="310"/>
  <c r="L16" i="310"/>
  <c r="M16" i="310"/>
  <c r="J16" i="310"/>
  <c r="N10" i="310"/>
  <c r="I10" i="310"/>
  <c r="N7" i="310"/>
  <c r="I7" i="310"/>
  <c r="N5" i="310"/>
  <c r="N6" i="310"/>
  <c r="N8" i="310"/>
  <c r="N9" i="310"/>
  <c r="N11" i="310"/>
  <c r="N12" i="310"/>
  <c r="N13" i="310"/>
  <c r="N14" i="310"/>
  <c r="N15" i="310"/>
  <c r="K8" i="313"/>
  <c r="N17" i="310"/>
  <c r="N18" i="310"/>
  <c r="L11" i="313"/>
  <c r="N19" i="310"/>
  <c r="L12" i="313"/>
  <c r="L30" i="313"/>
  <c r="N20" i="310"/>
  <c r="N21" i="310"/>
  <c r="N23" i="310"/>
  <c r="N24" i="310"/>
  <c r="N25" i="310"/>
  <c r="N26" i="310"/>
  <c r="N27" i="310"/>
  <c r="N28" i="310"/>
  <c r="N29" i="310"/>
  <c r="N30" i="310"/>
  <c r="N31" i="310"/>
  <c r="N32" i="310"/>
  <c r="N33" i="310"/>
  <c r="N34" i="310"/>
  <c r="N35" i="310"/>
  <c r="N36" i="310"/>
  <c r="N37" i="310"/>
  <c r="N38" i="310"/>
  <c r="N39" i="310"/>
  <c r="N40" i="310"/>
  <c r="N41" i="310"/>
  <c r="N42" i="310"/>
  <c r="N43" i="310"/>
  <c r="N44" i="310"/>
  <c r="N46" i="310"/>
  <c r="N47" i="310"/>
  <c r="N48" i="310"/>
  <c r="N49" i="310"/>
  <c r="N50" i="310"/>
  <c r="N51" i="310"/>
  <c r="N52" i="310"/>
  <c r="N53" i="310"/>
  <c r="N54" i="310"/>
  <c r="N56" i="310"/>
  <c r="E20" i="314"/>
  <c r="F20" i="314"/>
  <c r="G20" i="314"/>
  <c r="I20" i="314"/>
  <c r="J20" i="314"/>
  <c r="K20" i="314"/>
  <c r="L20" i="314"/>
  <c r="D20" i="314"/>
  <c r="E16" i="314"/>
  <c r="F16" i="314"/>
  <c r="G16" i="314"/>
  <c r="I16" i="314"/>
  <c r="J16" i="314"/>
  <c r="K16" i="314"/>
  <c r="L16" i="314"/>
  <c r="D16" i="314"/>
  <c r="M5" i="314"/>
  <c r="M6" i="314"/>
  <c r="M7" i="314"/>
  <c r="M8" i="314"/>
  <c r="M9" i="314"/>
  <c r="M10" i="314"/>
  <c r="M11" i="314"/>
  <c r="M12" i="314"/>
  <c r="M14" i="314"/>
  <c r="M15" i="314"/>
  <c r="M17" i="314"/>
  <c r="R23" i="282"/>
  <c r="M18" i="314"/>
  <c r="M19" i="314"/>
  <c r="H5" i="314"/>
  <c r="H6" i="314"/>
  <c r="H7" i="314"/>
  <c r="H8" i="314"/>
  <c r="H9" i="314"/>
  <c r="H10" i="314"/>
  <c r="H11" i="314"/>
  <c r="H12" i="314"/>
  <c r="H14" i="314"/>
  <c r="H15" i="314"/>
  <c r="H17" i="314"/>
  <c r="Q23" i="282"/>
  <c r="H18" i="314"/>
  <c r="H19" i="314"/>
  <c r="L13" i="314"/>
  <c r="K13" i="314"/>
  <c r="J13" i="314"/>
  <c r="I13" i="314"/>
  <c r="G13" i="314"/>
  <c r="F13" i="314"/>
  <c r="E13" i="314"/>
  <c r="D13" i="314"/>
  <c r="D21" i="342"/>
  <c r="F21" i="342"/>
  <c r="G21" i="342"/>
  <c r="D23" i="342"/>
  <c r="F23" i="342"/>
  <c r="G23" i="342"/>
  <c r="C23" i="342"/>
  <c r="C21" i="342"/>
  <c r="D11" i="342"/>
  <c r="F11" i="342"/>
  <c r="G11" i="342"/>
  <c r="D12" i="342"/>
  <c r="D35" i="342"/>
  <c r="F12" i="342"/>
  <c r="F35" i="342"/>
  <c r="G12" i="342"/>
  <c r="G35" i="342"/>
  <c r="C12" i="342"/>
  <c r="C35" i="342"/>
  <c r="C11" i="342"/>
  <c r="E98" i="339"/>
  <c r="G98" i="339"/>
  <c r="H98" i="339"/>
  <c r="E96" i="339"/>
  <c r="E99" i="339"/>
  <c r="F96" i="339"/>
  <c r="E22" i="342"/>
  <c r="G96" i="339"/>
  <c r="G99" i="339"/>
  <c r="H96" i="339"/>
  <c r="G22" i="342"/>
  <c r="I96" i="339"/>
  <c r="H22" i="342"/>
  <c r="E93" i="339"/>
  <c r="F93" i="339"/>
  <c r="E21" i="342"/>
  <c r="G93" i="339"/>
  <c r="H93" i="339"/>
  <c r="D98" i="339"/>
  <c r="D96" i="339"/>
  <c r="C22" i="342"/>
  <c r="D93" i="339"/>
  <c r="E91" i="339"/>
  <c r="E90" i="339"/>
  <c r="D13" i="342"/>
  <c r="D36" i="342"/>
  <c r="G90" i="339"/>
  <c r="G91" i="339"/>
  <c r="H90" i="339"/>
  <c r="G13" i="342"/>
  <c r="G36" i="342"/>
  <c r="D90" i="339"/>
  <c r="D91" i="339"/>
  <c r="E85" i="339"/>
  <c r="G85" i="339"/>
  <c r="H85" i="339"/>
  <c r="D85" i="339"/>
  <c r="E81" i="339"/>
  <c r="G81" i="339"/>
  <c r="H81" i="339"/>
  <c r="D81" i="339"/>
  <c r="F26" i="342"/>
  <c r="D27" i="342"/>
  <c r="G27" i="342"/>
  <c r="D28" i="342"/>
  <c r="F28" i="342"/>
  <c r="G28" i="342"/>
  <c r="C28" i="342"/>
  <c r="C27" i="342"/>
  <c r="I9" i="339"/>
  <c r="I12" i="339"/>
  <c r="I14" i="339"/>
  <c r="I16" i="339"/>
  <c r="I17" i="339"/>
  <c r="I18" i="339"/>
  <c r="I19" i="339"/>
  <c r="I21" i="339"/>
  <c r="I22" i="339"/>
  <c r="I23" i="339"/>
  <c r="I27" i="339"/>
  <c r="I28" i="339"/>
  <c r="I36" i="339"/>
  <c r="I37" i="339"/>
  <c r="I38" i="339"/>
  <c r="I39" i="339"/>
  <c r="I40" i="339"/>
  <c r="I41" i="339"/>
  <c r="I42" i="339"/>
  <c r="I43" i="339"/>
  <c r="I44" i="339"/>
  <c r="I45" i="339"/>
  <c r="I46" i="339"/>
  <c r="I48" i="339"/>
  <c r="I49" i="339"/>
  <c r="I50" i="339"/>
  <c r="I51" i="339"/>
  <c r="I52" i="339"/>
  <c r="I53" i="339"/>
  <c r="I56" i="339"/>
  <c r="I57" i="339"/>
  <c r="I58" i="339"/>
  <c r="I59" i="339"/>
  <c r="I60" i="339"/>
  <c r="I61" i="339"/>
  <c r="I63" i="339"/>
  <c r="I64" i="339"/>
  <c r="I65" i="339"/>
  <c r="I66" i="339"/>
  <c r="I67" i="339"/>
  <c r="I68" i="339"/>
  <c r="I69" i="339"/>
  <c r="I70" i="339"/>
  <c r="I72" i="339"/>
  <c r="I73" i="339"/>
  <c r="I74" i="339"/>
  <c r="I75" i="339"/>
  <c r="I78" i="339"/>
  <c r="I79" i="339"/>
  <c r="I80" i="339"/>
  <c r="I82" i="339"/>
  <c r="I83" i="339"/>
  <c r="I85" i="339"/>
  <c r="H12" i="342"/>
  <c r="H35" i="342"/>
  <c r="I84" i="339"/>
  <c r="I87" i="339"/>
  <c r="I90" i="339"/>
  <c r="H13" i="342"/>
  <c r="H36" i="342"/>
  <c r="I88" i="339"/>
  <c r="I92" i="339"/>
  <c r="I93" i="339"/>
  <c r="H21" i="342"/>
  <c r="I97" i="339"/>
  <c r="I98" i="339"/>
  <c r="I5" i="339"/>
  <c r="F9" i="339"/>
  <c r="F16" i="339"/>
  <c r="F17" i="339"/>
  <c r="F18" i="339"/>
  <c r="F19" i="339"/>
  <c r="F21" i="339"/>
  <c r="F22" i="339"/>
  <c r="F23" i="339"/>
  <c r="F27" i="339"/>
  <c r="F28" i="339"/>
  <c r="F36" i="339"/>
  <c r="F37" i="339"/>
  <c r="F38" i="339"/>
  <c r="F39" i="339"/>
  <c r="F40" i="339"/>
  <c r="F41" i="339"/>
  <c r="F45" i="339"/>
  <c r="F46" i="339"/>
  <c r="F48" i="339"/>
  <c r="F49" i="339"/>
  <c r="F50" i="339"/>
  <c r="F51" i="339"/>
  <c r="F52" i="339"/>
  <c r="F53" i="339"/>
  <c r="F56" i="339"/>
  <c r="F57" i="339"/>
  <c r="F58" i="339"/>
  <c r="F59" i="339"/>
  <c r="F60" i="339"/>
  <c r="F61" i="339"/>
  <c r="F63" i="339"/>
  <c r="F64" i="339"/>
  <c r="F65" i="339"/>
  <c r="F66" i="339"/>
  <c r="F67" i="339"/>
  <c r="F68" i="339"/>
  <c r="F69" i="339"/>
  <c r="F70" i="339"/>
  <c r="F72" i="339"/>
  <c r="F73" i="339"/>
  <c r="F74" i="339"/>
  <c r="F75" i="339"/>
  <c r="F76" i="339"/>
  <c r="E28" i="342"/>
  <c r="F78" i="339"/>
  <c r="F81" i="339"/>
  <c r="E11" i="342"/>
  <c r="F79" i="339"/>
  <c r="F80" i="339"/>
  <c r="F82" i="339"/>
  <c r="F83" i="339"/>
  <c r="F84" i="339"/>
  <c r="F87" i="339"/>
  <c r="F88" i="339"/>
  <c r="F90" i="339"/>
  <c r="E13" i="342"/>
  <c r="E36" i="342"/>
  <c r="F92" i="339"/>
  <c r="F97" i="339"/>
  <c r="F98" i="339"/>
  <c r="F5" i="339"/>
  <c r="H76" i="339"/>
  <c r="G76" i="339"/>
  <c r="E76" i="339"/>
  <c r="D76" i="339"/>
  <c r="H71" i="339"/>
  <c r="G71" i="339"/>
  <c r="F27" i="342"/>
  <c r="E71" i="339"/>
  <c r="D71" i="339"/>
  <c r="F71" i="339"/>
  <c r="E27" i="342"/>
  <c r="H62" i="339"/>
  <c r="G26" i="342"/>
  <c r="G62" i="339"/>
  <c r="E62" i="339"/>
  <c r="D26" i="342"/>
  <c r="D62" i="339"/>
  <c r="H54" i="339"/>
  <c r="G54" i="339"/>
  <c r="F18" i="342"/>
  <c r="E54" i="339"/>
  <c r="D18" i="342"/>
  <c r="D54" i="339"/>
  <c r="C18" i="342"/>
  <c r="H47" i="339"/>
  <c r="G17" i="342"/>
  <c r="G47" i="339"/>
  <c r="F17" i="342"/>
  <c r="E47" i="339"/>
  <c r="D17" i="342"/>
  <c r="D47" i="339"/>
  <c r="C17" i="342"/>
  <c r="H35" i="339"/>
  <c r="G35" i="339"/>
  <c r="F16" i="342"/>
  <c r="E35" i="339"/>
  <c r="D35" i="339"/>
  <c r="C16" i="342"/>
  <c r="H24" i="339"/>
  <c r="G8" i="342"/>
  <c r="G24" i="339"/>
  <c r="F8" i="342"/>
  <c r="F34" i="342"/>
  <c r="E24" i="339"/>
  <c r="D24" i="339"/>
  <c r="C8" i="342"/>
  <c r="C34" i="342"/>
  <c r="H20" i="339"/>
  <c r="G7" i="342"/>
  <c r="G20" i="339"/>
  <c r="F7" i="342"/>
  <c r="E20" i="339"/>
  <c r="D20" i="339"/>
  <c r="C7" i="342"/>
  <c r="H15" i="339"/>
  <c r="G6" i="342"/>
  <c r="G15" i="339"/>
  <c r="F6" i="342"/>
  <c r="E15" i="339"/>
  <c r="D6" i="342"/>
  <c r="D15" i="339"/>
  <c r="C6" i="342"/>
  <c r="F54" i="308"/>
  <c r="AF23" i="271"/>
  <c r="AE23" i="271"/>
  <c r="AF22" i="271"/>
  <c r="AE22" i="271"/>
  <c r="AF21" i="271"/>
  <c r="AF24" i="271"/>
  <c r="AE21" i="271"/>
  <c r="AE24" i="271"/>
  <c r="AG99" i="270"/>
  <c r="AF99" i="270"/>
  <c r="AG97" i="270"/>
  <c r="AF97" i="270"/>
  <c r="AG94" i="270"/>
  <c r="AF94" i="270"/>
  <c r="AG91" i="270"/>
  <c r="AF13" i="271"/>
  <c r="AF36" i="271"/>
  <c r="AF91" i="270"/>
  <c r="AE13" i="271"/>
  <c r="AE36" i="271"/>
  <c r="AG86" i="270"/>
  <c r="AF12" i="271"/>
  <c r="AF35" i="271"/>
  <c r="AF86" i="270"/>
  <c r="AE12" i="271"/>
  <c r="AE35" i="271"/>
  <c r="AG82" i="270"/>
  <c r="AF11" i="271"/>
  <c r="AF14" i="271"/>
  <c r="AF82" i="270"/>
  <c r="AE11" i="271"/>
  <c r="AG76" i="270"/>
  <c r="AF28" i="271"/>
  <c r="AF76" i="270"/>
  <c r="AE28" i="271"/>
  <c r="AG71" i="270"/>
  <c r="AF27" i="271"/>
  <c r="AF71" i="270"/>
  <c r="AE27" i="271"/>
  <c r="AG62" i="270"/>
  <c r="AF26" i="271"/>
  <c r="AF29" i="271"/>
  <c r="AF62" i="270"/>
  <c r="AE26" i="271"/>
  <c r="AE29" i="271"/>
  <c r="AG54" i="270"/>
  <c r="AF18" i="271"/>
  <c r="AF54" i="270"/>
  <c r="AE18" i="271"/>
  <c r="AG47" i="270"/>
  <c r="AF17" i="271"/>
  <c r="AF47" i="270"/>
  <c r="AE17" i="271"/>
  <c r="AG35" i="270"/>
  <c r="AF16" i="271"/>
  <c r="AF19" i="271"/>
  <c r="AF35" i="270"/>
  <c r="AE16" i="271"/>
  <c r="AE19" i="271"/>
  <c r="AG24" i="270"/>
  <c r="AF8" i="271"/>
  <c r="AF24" i="270"/>
  <c r="AE8" i="271"/>
  <c r="AG20" i="270"/>
  <c r="AF7" i="271"/>
  <c r="AF20" i="270"/>
  <c r="AE7" i="271"/>
  <c r="AG15" i="270"/>
  <c r="AF6" i="271"/>
  <c r="AF15" i="270"/>
  <c r="AF25" i="270"/>
  <c r="L7" i="313"/>
  <c r="L27" i="313"/>
  <c r="I9" i="313"/>
  <c r="K27" i="313"/>
  <c r="J9" i="313"/>
  <c r="J29" i="313"/>
  <c r="L14" i="313"/>
  <c r="M58" i="310"/>
  <c r="L8" i="313"/>
  <c r="L29" i="313"/>
  <c r="L6" i="313"/>
  <c r="L9" i="313"/>
  <c r="L26" i="313"/>
  <c r="L32" i="313"/>
  <c r="K9" i="313"/>
  <c r="H26" i="313"/>
  <c r="H27" i="313"/>
  <c r="K14" i="313"/>
  <c r="F20" i="339"/>
  <c r="E7" i="342"/>
  <c r="F24" i="339"/>
  <c r="E8" i="342"/>
  <c r="E34" i="342"/>
  <c r="D99" i="339"/>
  <c r="F22" i="342"/>
  <c r="H99" i="339"/>
  <c r="D22" i="342"/>
  <c r="G24" i="342"/>
  <c r="F13" i="342"/>
  <c r="F36" i="342"/>
  <c r="C13" i="342"/>
  <c r="C36" i="342"/>
  <c r="G14" i="342"/>
  <c r="I71" i="339"/>
  <c r="H27" i="342"/>
  <c r="F33" i="342"/>
  <c r="C33" i="342"/>
  <c r="D77" i="339"/>
  <c r="I62" i="339"/>
  <c r="H26" i="342"/>
  <c r="C26" i="342"/>
  <c r="C32" i="342"/>
  <c r="F62" i="339"/>
  <c r="E26" i="342"/>
  <c r="E29" i="342"/>
  <c r="I54" i="339"/>
  <c r="H18" i="342"/>
  <c r="G18" i="342"/>
  <c r="G33" i="342"/>
  <c r="E55" i="339"/>
  <c r="F54" i="339"/>
  <c r="E18" i="342"/>
  <c r="H55" i="339"/>
  <c r="I47" i="339"/>
  <c r="H17" i="342"/>
  <c r="F47" i="339"/>
  <c r="E17" i="342"/>
  <c r="G16" i="342"/>
  <c r="F31" i="342"/>
  <c r="C19" i="342"/>
  <c r="D16" i="342"/>
  <c r="D19" i="342"/>
  <c r="D8" i="342"/>
  <c r="D34" i="342"/>
  <c r="D7" i="342"/>
  <c r="D9" i="342"/>
  <c r="G9" i="342"/>
  <c r="I15" i="339"/>
  <c r="H6" i="342"/>
  <c r="F15" i="339"/>
  <c r="E6" i="342"/>
  <c r="AF33" i="271"/>
  <c r="AE34" i="271"/>
  <c r="AF34" i="271"/>
  <c r="AE33" i="271"/>
  <c r="AF31" i="271"/>
  <c r="AE32" i="271"/>
  <c r="AF32" i="271"/>
  <c r="AE6" i="271"/>
  <c r="AE31" i="271"/>
  <c r="BR77" i="279"/>
  <c r="Q6" i="282"/>
  <c r="R6" i="282"/>
  <c r="Q8" i="282"/>
  <c r="R8" i="282"/>
  <c r="R22" i="282"/>
  <c r="R24" i="282"/>
  <c r="R16" i="282"/>
  <c r="Q22" i="282"/>
  <c r="E22" i="314"/>
  <c r="J22" i="314"/>
  <c r="H20" i="314"/>
  <c r="I22" i="314"/>
  <c r="D22" i="314"/>
  <c r="L22" i="314"/>
  <c r="G22" i="314"/>
  <c r="Q16" i="282"/>
  <c r="M16" i="314"/>
  <c r="K22" i="314"/>
  <c r="F22" i="314"/>
  <c r="H16" i="314"/>
  <c r="M20" i="314"/>
  <c r="O37" i="172"/>
  <c r="AF37" i="297"/>
  <c r="H14" i="313"/>
  <c r="J27" i="313"/>
  <c r="K29" i="313"/>
  <c r="J30" i="313"/>
  <c r="J26" i="313"/>
  <c r="K26" i="313"/>
  <c r="N57" i="310"/>
  <c r="N16" i="310"/>
  <c r="N22" i="310"/>
  <c r="N45" i="310"/>
  <c r="H13" i="314"/>
  <c r="M13" i="314"/>
  <c r="I99" i="339"/>
  <c r="H23" i="342"/>
  <c r="E23" i="342"/>
  <c r="E33" i="342"/>
  <c r="F99" i="339"/>
  <c r="F32" i="342"/>
  <c r="G31" i="342"/>
  <c r="G29" i="342"/>
  <c r="D33" i="342"/>
  <c r="F24" i="342"/>
  <c r="F85" i="339"/>
  <c r="E12" i="342"/>
  <c r="E35" i="342"/>
  <c r="C31" i="342"/>
  <c r="F14" i="342"/>
  <c r="I81" i="339"/>
  <c r="H11" i="342"/>
  <c r="G32" i="342"/>
  <c r="F29" i="342"/>
  <c r="D29" i="342"/>
  <c r="C24" i="342"/>
  <c r="G34" i="342"/>
  <c r="F19" i="342"/>
  <c r="C9" i="342"/>
  <c r="F9" i="342"/>
  <c r="E14" i="342"/>
  <c r="H14" i="342"/>
  <c r="D14" i="342"/>
  <c r="E24" i="342"/>
  <c r="D24" i="342"/>
  <c r="D31" i="342"/>
  <c r="I91" i="339"/>
  <c r="H91" i="339"/>
  <c r="F91" i="339"/>
  <c r="I20" i="339"/>
  <c r="H7" i="342"/>
  <c r="I24" i="339"/>
  <c r="H8" i="342"/>
  <c r="H34" i="342"/>
  <c r="I76" i="339"/>
  <c r="H28" i="342"/>
  <c r="H29" i="342"/>
  <c r="I35" i="339"/>
  <c r="H16" i="342"/>
  <c r="F35" i="339"/>
  <c r="E16" i="342"/>
  <c r="D55" i="339"/>
  <c r="F55" i="339"/>
  <c r="E77" i="339"/>
  <c r="G77" i="339"/>
  <c r="G55" i="339"/>
  <c r="H25" i="339"/>
  <c r="H77" i="339"/>
  <c r="D25" i="339"/>
  <c r="E25" i="339"/>
  <c r="G25" i="339"/>
  <c r="AE9" i="271"/>
  <c r="AE14" i="271"/>
  <c r="AF9" i="271"/>
  <c r="AG100" i="270"/>
  <c r="AG77" i="270"/>
  <c r="AG55" i="270"/>
  <c r="AF100" i="270"/>
  <c r="AG92" i="270"/>
  <c r="AF92" i="270"/>
  <c r="AG25" i="270"/>
  <c r="AF55" i="270"/>
  <c r="AF77" i="270"/>
  <c r="C20" i="320"/>
  <c r="E19" i="320"/>
  <c r="D19" i="320"/>
  <c r="C19" i="320"/>
  <c r="N58" i="310"/>
  <c r="H32" i="313"/>
  <c r="R9" i="282"/>
  <c r="E9" i="342"/>
  <c r="D32" i="342"/>
  <c r="D37" i="342"/>
  <c r="H32" i="342"/>
  <c r="H9" i="342"/>
  <c r="C14" i="342"/>
  <c r="G19" i="342"/>
  <c r="I25" i="339"/>
  <c r="F77" i="339"/>
  <c r="C29" i="342"/>
  <c r="C37" i="342"/>
  <c r="E32" i="342"/>
  <c r="H33" i="342"/>
  <c r="E19" i="342"/>
  <c r="I55" i="339"/>
  <c r="H19" i="342"/>
  <c r="F37" i="342"/>
  <c r="H31" i="342"/>
  <c r="E31" i="342"/>
  <c r="AE37" i="271"/>
  <c r="AF37" i="271"/>
  <c r="Q9" i="282"/>
  <c r="H22" i="314"/>
  <c r="M22" i="314"/>
  <c r="I32" i="313"/>
  <c r="J32" i="313"/>
  <c r="K32" i="313"/>
  <c r="H24" i="342"/>
  <c r="G37" i="342"/>
  <c r="G100" i="339"/>
  <c r="I77" i="339"/>
  <c r="D100" i="339"/>
  <c r="F25" i="339"/>
  <c r="E100" i="339"/>
  <c r="H100" i="339"/>
  <c r="AG102" i="270"/>
  <c r="AF102" i="270"/>
  <c r="D18" i="340"/>
  <c r="C18" i="340"/>
  <c r="C20" i="340"/>
  <c r="E14" i="340"/>
  <c r="D14" i="340"/>
  <c r="D11" i="340"/>
  <c r="E11" i="340"/>
  <c r="E7" i="340"/>
  <c r="E8" i="340"/>
  <c r="E10" i="340"/>
  <c r="E13" i="340"/>
  <c r="E16" i="340"/>
  <c r="E17" i="340"/>
  <c r="E6" i="340"/>
  <c r="D8" i="340"/>
  <c r="E27" i="341"/>
  <c r="D27" i="341"/>
  <c r="E25" i="341"/>
  <c r="D25" i="341"/>
  <c r="E16" i="341"/>
  <c r="D16" i="341"/>
  <c r="E9" i="341"/>
  <c r="D9" i="341"/>
  <c r="E5" i="341"/>
  <c r="F5" i="341"/>
  <c r="D5" i="341"/>
  <c r="F7" i="341"/>
  <c r="F9" i="341"/>
  <c r="F8" i="341"/>
  <c r="F11" i="341"/>
  <c r="F16" i="341"/>
  <c r="F14" i="341"/>
  <c r="F12" i="341"/>
  <c r="F13" i="341"/>
  <c r="F15" i="341"/>
  <c r="F18" i="341"/>
  <c r="F19" i="341"/>
  <c r="F20" i="341"/>
  <c r="F25" i="341"/>
  <c r="F21" i="341"/>
  <c r="F22" i="341"/>
  <c r="F23" i="341"/>
  <c r="F24" i="341"/>
  <c r="F4" i="341"/>
  <c r="I13" i="310"/>
  <c r="I14" i="310"/>
  <c r="I46" i="310"/>
  <c r="I47" i="310"/>
  <c r="I48" i="310"/>
  <c r="I49" i="310"/>
  <c r="I52" i="310"/>
  <c r="I53" i="310"/>
  <c r="I37" i="310"/>
  <c r="I36" i="310"/>
  <c r="I43" i="310"/>
  <c r="I26" i="310"/>
  <c r="E22" i="310"/>
  <c r="F22" i="310"/>
  <c r="G22" i="310"/>
  <c r="H22" i="310"/>
  <c r="I17" i="310"/>
  <c r="I18" i="310"/>
  <c r="I20" i="310"/>
  <c r="I12" i="310"/>
  <c r="E18" i="340"/>
  <c r="E20" i="340"/>
  <c r="D20" i="340"/>
  <c r="E37" i="342"/>
  <c r="H37" i="342"/>
  <c r="F100" i="339"/>
  <c r="I100" i="339"/>
  <c r="F27" i="341"/>
  <c r="R29" i="282"/>
  <c r="R28" i="282"/>
  <c r="R31" i="282"/>
  <c r="Q31" i="282"/>
  <c r="R30" i="282"/>
  <c r="Q30" i="282"/>
  <c r="Q29" i="282"/>
  <c r="Q28" i="282"/>
  <c r="R27" i="282"/>
  <c r="Q27" i="282"/>
  <c r="Q26" i="282"/>
  <c r="Q24" i="282"/>
  <c r="R19" i="282"/>
  <c r="Q19" i="282"/>
  <c r="R14" i="282"/>
  <c r="Q14" i="282"/>
  <c r="R26" i="282"/>
  <c r="R32" i="282"/>
  <c r="Q32" i="282"/>
  <c r="C33" i="328"/>
  <c r="E28" i="328"/>
  <c r="D27" i="328"/>
  <c r="E27" i="328"/>
  <c r="C27" i="328"/>
  <c r="D26" i="328"/>
  <c r="D29" i="328"/>
  <c r="C26" i="328"/>
  <c r="E26" i="328"/>
  <c r="E29" i="328"/>
  <c r="E24" i="328"/>
  <c r="D24" i="328"/>
  <c r="C24" i="328"/>
  <c r="D18" i="328"/>
  <c r="D33" i="328"/>
  <c r="C18" i="328"/>
  <c r="D17" i="328"/>
  <c r="C17" i="328"/>
  <c r="E17" i="328"/>
  <c r="E16" i="328"/>
  <c r="D16" i="328"/>
  <c r="D19" i="328"/>
  <c r="C16" i="328"/>
  <c r="C19" i="328"/>
  <c r="G16" i="328"/>
  <c r="H16" i="328"/>
  <c r="F16" i="328"/>
  <c r="E58" i="327"/>
  <c r="F58" i="327"/>
  <c r="G58" i="327"/>
  <c r="H58" i="327"/>
  <c r="I58" i="327"/>
  <c r="D58" i="327"/>
  <c r="I52" i="327"/>
  <c r="I53" i="327"/>
  <c r="I54" i="327"/>
  <c r="I55" i="327"/>
  <c r="I56" i="327"/>
  <c r="I48" i="327"/>
  <c r="I49" i="327"/>
  <c r="I17" i="327"/>
  <c r="H45" i="327"/>
  <c r="G45" i="327"/>
  <c r="H31" i="327"/>
  <c r="G31" i="327"/>
  <c r="E57" i="327"/>
  <c r="D57" i="327"/>
  <c r="F56" i="327"/>
  <c r="F55" i="327"/>
  <c r="F54" i="327"/>
  <c r="F53" i="327"/>
  <c r="F52" i="327"/>
  <c r="F51" i="327"/>
  <c r="E50" i="327"/>
  <c r="D50" i="327"/>
  <c r="F49" i="327"/>
  <c r="F48" i="327"/>
  <c r="F47" i="327"/>
  <c r="E45" i="327"/>
  <c r="D45" i="327"/>
  <c r="F44" i="327"/>
  <c r="F43" i="327"/>
  <c r="E42" i="327"/>
  <c r="D42" i="327"/>
  <c r="F41" i="327"/>
  <c r="F40" i="327"/>
  <c r="F39" i="327"/>
  <c r="F38" i="327"/>
  <c r="F37" i="327"/>
  <c r="F36" i="327"/>
  <c r="F35" i="327"/>
  <c r="F34" i="327"/>
  <c r="F33" i="327"/>
  <c r="F32" i="327"/>
  <c r="E31" i="327"/>
  <c r="D31" i="327"/>
  <c r="F30" i="327"/>
  <c r="F29" i="327"/>
  <c r="E27" i="327"/>
  <c r="D11" i="328"/>
  <c r="D14" i="328"/>
  <c r="D27" i="327"/>
  <c r="C11" i="328"/>
  <c r="F26" i="327"/>
  <c r="E25" i="327"/>
  <c r="D13" i="328"/>
  <c r="D36" i="328"/>
  <c r="D25" i="327"/>
  <c r="C13" i="328"/>
  <c r="C36" i="328"/>
  <c r="F24" i="327"/>
  <c r="F23" i="327"/>
  <c r="E22" i="327"/>
  <c r="D12" i="328"/>
  <c r="D35" i="328"/>
  <c r="D22" i="327"/>
  <c r="C12" i="328"/>
  <c r="C35" i="328"/>
  <c r="F21" i="327"/>
  <c r="E19" i="327"/>
  <c r="D8" i="328"/>
  <c r="D34" i="328"/>
  <c r="D19" i="327"/>
  <c r="C8" i="328"/>
  <c r="F18" i="327"/>
  <c r="F17" i="327"/>
  <c r="F16" i="327"/>
  <c r="E15" i="327"/>
  <c r="D7" i="328"/>
  <c r="D15" i="327"/>
  <c r="C7" i="328"/>
  <c r="C32" i="328"/>
  <c r="F14" i="327"/>
  <c r="F13" i="327"/>
  <c r="F12" i="327"/>
  <c r="E11" i="327"/>
  <c r="D6" i="328"/>
  <c r="D31" i="328"/>
  <c r="D11" i="327"/>
  <c r="C6" i="328"/>
  <c r="C31" i="328"/>
  <c r="F10" i="327"/>
  <c r="F9" i="327"/>
  <c r="F8" i="327"/>
  <c r="F7" i="327"/>
  <c r="F6" i="327"/>
  <c r="F5" i="327"/>
  <c r="F26" i="331"/>
  <c r="G26" i="331"/>
  <c r="H26" i="331"/>
  <c r="F27" i="331"/>
  <c r="G27" i="331"/>
  <c r="H27" i="331"/>
  <c r="F24" i="331"/>
  <c r="G33" i="331"/>
  <c r="F17" i="331"/>
  <c r="G17" i="331"/>
  <c r="H17" i="331"/>
  <c r="F18" i="331"/>
  <c r="G18" i="331"/>
  <c r="H18" i="331"/>
  <c r="H33" i="331" s="1"/>
  <c r="F11" i="331"/>
  <c r="G11" i="331"/>
  <c r="H11" i="331"/>
  <c r="F12" i="331"/>
  <c r="F35" i="331" s="1"/>
  <c r="G12" i="331"/>
  <c r="G35" i="331" s="1"/>
  <c r="H12" i="331"/>
  <c r="F13" i="331"/>
  <c r="G13" i="331"/>
  <c r="G36" i="331" s="1"/>
  <c r="H13" i="331"/>
  <c r="H36" i="331" s="1"/>
  <c r="F8" i="331"/>
  <c r="D31" i="331"/>
  <c r="C31" i="331"/>
  <c r="E28" i="331"/>
  <c r="E21" i="331"/>
  <c r="E16" i="331"/>
  <c r="E7" i="331"/>
  <c r="E6" i="331"/>
  <c r="E98" i="330"/>
  <c r="D98" i="330"/>
  <c r="F97" i="330"/>
  <c r="F96" i="330"/>
  <c r="F95" i="330"/>
  <c r="F94" i="330"/>
  <c r="E93" i="330"/>
  <c r="D27" i="331" s="1"/>
  <c r="D93" i="330"/>
  <c r="C27" i="331" s="1"/>
  <c r="F92" i="330"/>
  <c r="F91" i="330"/>
  <c r="F90" i="330"/>
  <c r="F89" i="330"/>
  <c r="F88" i="330"/>
  <c r="F87" i="330"/>
  <c r="F86" i="330"/>
  <c r="F85" i="330"/>
  <c r="E84" i="330"/>
  <c r="D26" i="331" s="1"/>
  <c r="D84" i="330"/>
  <c r="C26" i="331" s="1"/>
  <c r="F83" i="330"/>
  <c r="F82" i="330"/>
  <c r="F81" i="330"/>
  <c r="F80" i="330"/>
  <c r="F79" i="330"/>
  <c r="F78" i="330"/>
  <c r="E76" i="330"/>
  <c r="D22" i="331" s="1"/>
  <c r="D76" i="330"/>
  <c r="C22" i="331" s="1"/>
  <c r="F75" i="330"/>
  <c r="F74" i="330"/>
  <c r="E73" i="330"/>
  <c r="D73" i="330"/>
  <c r="F72" i="330"/>
  <c r="F73" i="330" s="1"/>
  <c r="E71" i="330"/>
  <c r="D23" i="331" s="1"/>
  <c r="D71" i="330"/>
  <c r="C23" i="331" s="1"/>
  <c r="F70" i="330"/>
  <c r="F71" i="330" s="1"/>
  <c r="E23" i="331" s="1"/>
  <c r="E68" i="330"/>
  <c r="D18" i="331" s="1"/>
  <c r="D68" i="330"/>
  <c r="C18" i="331" s="1"/>
  <c r="F67" i="330"/>
  <c r="F66" i="330"/>
  <c r="F65" i="330"/>
  <c r="F64" i="330"/>
  <c r="F63" i="330"/>
  <c r="F62" i="330"/>
  <c r="E61" i="330"/>
  <c r="D17" i="331" s="1"/>
  <c r="D19" i="331" s="1"/>
  <c r="D61" i="330"/>
  <c r="C17" i="331" s="1"/>
  <c r="C19" i="331" s="1"/>
  <c r="F60" i="330"/>
  <c r="F59" i="330"/>
  <c r="F58" i="330"/>
  <c r="F57" i="330"/>
  <c r="F56" i="330"/>
  <c r="F55" i="330"/>
  <c r="F54" i="330"/>
  <c r="F53" i="330"/>
  <c r="F52" i="330"/>
  <c r="F51" i="330"/>
  <c r="F50" i="330"/>
  <c r="E49" i="330"/>
  <c r="D49" i="330"/>
  <c r="F48" i="330"/>
  <c r="F47" i="330"/>
  <c r="F46" i="330"/>
  <c r="F45" i="330"/>
  <c r="F44" i="330"/>
  <c r="F43" i="330"/>
  <c r="F42" i="330"/>
  <c r="F41" i="330"/>
  <c r="F40" i="330"/>
  <c r="E38" i="330"/>
  <c r="D11" i="331" s="1"/>
  <c r="D38" i="330"/>
  <c r="C11" i="331" s="1"/>
  <c r="F37" i="330"/>
  <c r="F36" i="330"/>
  <c r="F35" i="330"/>
  <c r="E34" i="330"/>
  <c r="D13" i="331" s="1"/>
  <c r="D36" i="331" s="1"/>
  <c r="D34" i="330"/>
  <c r="C13" i="331" s="1"/>
  <c r="C36" i="331" s="1"/>
  <c r="F33" i="330"/>
  <c r="F32" i="330"/>
  <c r="F31" i="330"/>
  <c r="F30" i="330"/>
  <c r="E29" i="330"/>
  <c r="D12" i="331" s="1"/>
  <c r="D35" i="331" s="1"/>
  <c r="D29" i="330"/>
  <c r="C12" i="331" s="1"/>
  <c r="C35" i="331" s="1"/>
  <c r="F28" i="330"/>
  <c r="F27" i="330"/>
  <c r="F26" i="330"/>
  <c r="E24" i="330"/>
  <c r="D8" i="331" s="1"/>
  <c r="D24" i="330"/>
  <c r="C8" i="331" s="1"/>
  <c r="F23" i="330"/>
  <c r="F22" i="330"/>
  <c r="F21" i="330"/>
  <c r="E20" i="330"/>
  <c r="D20" i="330"/>
  <c r="E15" i="330"/>
  <c r="D15" i="330"/>
  <c r="F14" i="330"/>
  <c r="F13" i="330"/>
  <c r="F12" i="330"/>
  <c r="F11" i="330"/>
  <c r="F10" i="330"/>
  <c r="F9" i="330"/>
  <c r="F8" i="330"/>
  <c r="F7" i="330"/>
  <c r="F6" i="330"/>
  <c r="F5" i="330"/>
  <c r="D28" i="329"/>
  <c r="E28" i="329"/>
  <c r="C28" i="329"/>
  <c r="D27" i="329"/>
  <c r="D29" i="329"/>
  <c r="C27" i="329"/>
  <c r="E27" i="329"/>
  <c r="D26" i="329"/>
  <c r="C26" i="329"/>
  <c r="E26" i="329"/>
  <c r="E29" i="329"/>
  <c r="E23" i="329"/>
  <c r="D23" i="329"/>
  <c r="C23" i="329"/>
  <c r="D22" i="329"/>
  <c r="D24" i="329"/>
  <c r="C22" i="329"/>
  <c r="E22" i="329"/>
  <c r="D21" i="329"/>
  <c r="C21" i="329"/>
  <c r="E21" i="329"/>
  <c r="E24" i="329"/>
  <c r="D18" i="329"/>
  <c r="D33" i="329"/>
  <c r="C7" i="329"/>
  <c r="I43" i="325"/>
  <c r="I44" i="325"/>
  <c r="I45" i="325"/>
  <c r="H34" i="325"/>
  <c r="G34" i="325"/>
  <c r="I7" i="325"/>
  <c r="E98" i="325"/>
  <c r="D98" i="325"/>
  <c r="F97" i="325"/>
  <c r="F96" i="325"/>
  <c r="F95" i="325"/>
  <c r="F94" i="325"/>
  <c r="E93" i="325"/>
  <c r="D93" i="325"/>
  <c r="F92" i="325"/>
  <c r="F91" i="325"/>
  <c r="F90" i="325"/>
  <c r="F89" i="325"/>
  <c r="F88" i="325"/>
  <c r="F87" i="325"/>
  <c r="F86" i="325"/>
  <c r="F85" i="325"/>
  <c r="E84" i="325"/>
  <c r="D84" i="325"/>
  <c r="F83" i="325"/>
  <c r="F82" i="325"/>
  <c r="F81" i="325"/>
  <c r="F80" i="325"/>
  <c r="F79" i="325"/>
  <c r="F78" i="325"/>
  <c r="E76" i="325"/>
  <c r="D76" i="325"/>
  <c r="F75" i="325"/>
  <c r="F74" i="325"/>
  <c r="E73" i="325"/>
  <c r="D73" i="325"/>
  <c r="F72" i="325"/>
  <c r="F73" i="325"/>
  <c r="E71" i="325"/>
  <c r="D71" i="325"/>
  <c r="F70" i="325"/>
  <c r="F71" i="325"/>
  <c r="E68" i="325"/>
  <c r="D68" i="325"/>
  <c r="C18" i="329"/>
  <c r="F67" i="325"/>
  <c r="F66" i="325"/>
  <c r="F65" i="325"/>
  <c r="F64" i="325"/>
  <c r="F63" i="325"/>
  <c r="F62" i="325"/>
  <c r="E61" i="325"/>
  <c r="D17" i="329"/>
  <c r="D61" i="325"/>
  <c r="C17" i="329"/>
  <c r="E17" i="329"/>
  <c r="F60" i="325"/>
  <c r="F59" i="325"/>
  <c r="F58" i="325"/>
  <c r="F57" i="325"/>
  <c r="F56" i="325"/>
  <c r="F55" i="325"/>
  <c r="F54" i="325"/>
  <c r="F53" i="325"/>
  <c r="F52" i="325"/>
  <c r="F51" i="325"/>
  <c r="F50" i="325"/>
  <c r="E49" i="325"/>
  <c r="D16" i="329"/>
  <c r="D49" i="325"/>
  <c r="C16" i="329"/>
  <c r="F48" i="325"/>
  <c r="F47" i="325"/>
  <c r="F46" i="325"/>
  <c r="F45" i="325"/>
  <c r="F44" i="325"/>
  <c r="F43" i="325"/>
  <c r="F42" i="325"/>
  <c r="F41" i="325"/>
  <c r="F40" i="325"/>
  <c r="E38" i="325"/>
  <c r="D11" i="329"/>
  <c r="D38" i="325"/>
  <c r="C11" i="329"/>
  <c r="E11" i="329"/>
  <c r="F37" i="325"/>
  <c r="F36" i="325"/>
  <c r="F35" i="325"/>
  <c r="E34" i="325"/>
  <c r="D13" i="329"/>
  <c r="D36" i="329"/>
  <c r="D34" i="325"/>
  <c r="C13" i="329"/>
  <c r="F33" i="325"/>
  <c r="F32" i="325"/>
  <c r="F31" i="325"/>
  <c r="F30" i="325"/>
  <c r="E29" i="325"/>
  <c r="D12" i="329"/>
  <c r="D29" i="325"/>
  <c r="C12" i="329"/>
  <c r="C35" i="329"/>
  <c r="F28" i="325"/>
  <c r="F27" i="325"/>
  <c r="F26" i="325"/>
  <c r="E24" i="325"/>
  <c r="D8" i="329"/>
  <c r="D34" i="329"/>
  <c r="D24" i="325"/>
  <c r="C8" i="329"/>
  <c r="F23" i="325"/>
  <c r="F22" i="325"/>
  <c r="F21" i="325"/>
  <c r="E20" i="325"/>
  <c r="D7" i="329"/>
  <c r="D20" i="325"/>
  <c r="F19" i="325"/>
  <c r="F18" i="325"/>
  <c r="F17" i="325"/>
  <c r="F16" i="325"/>
  <c r="E15" i="325"/>
  <c r="D6" i="329"/>
  <c r="D15" i="325"/>
  <c r="C6" i="329"/>
  <c r="F14" i="325"/>
  <c r="F13" i="325"/>
  <c r="F12" i="325"/>
  <c r="F11" i="325"/>
  <c r="F10" i="325"/>
  <c r="F9" i="325"/>
  <c r="F8" i="325"/>
  <c r="F7" i="325"/>
  <c r="F6" i="325"/>
  <c r="F5" i="325"/>
  <c r="D26" i="326"/>
  <c r="E26" i="326"/>
  <c r="F26" i="326"/>
  <c r="G26" i="326"/>
  <c r="H26" i="326"/>
  <c r="D27" i="326"/>
  <c r="E27" i="326"/>
  <c r="F27" i="326"/>
  <c r="G27" i="326"/>
  <c r="G29" i="326"/>
  <c r="H27" i="326"/>
  <c r="D28" i="326"/>
  <c r="E28" i="326"/>
  <c r="F28" i="326"/>
  <c r="G28" i="326"/>
  <c r="H28" i="326"/>
  <c r="C28" i="326"/>
  <c r="C27" i="326"/>
  <c r="C26" i="326"/>
  <c r="D21" i="326"/>
  <c r="E21" i="326"/>
  <c r="F21" i="326"/>
  <c r="F24" i="326"/>
  <c r="G21" i="326"/>
  <c r="H21" i="326"/>
  <c r="D22" i="326"/>
  <c r="E22" i="326"/>
  <c r="F22" i="326"/>
  <c r="G22" i="326"/>
  <c r="H22" i="326"/>
  <c r="D23" i="326"/>
  <c r="E23" i="326"/>
  <c r="F23" i="326"/>
  <c r="G23" i="326"/>
  <c r="H23" i="326"/>
  <c r="C23" i="326"/>
  <c r="C22" i="326"/>
  <c r="C21" i="326"/>
  <c r="H34" i="323"/>
  <c r="G12" i="326"/>
  <c r="G34" i="323"/>
  <c r="F12" i="326"/>
  <c r="F35" i="326"/>
  <c r="H76" i="323"/>
  <c r="G76" i="323"/>
  <c r="I32" i="323"/>
  <c r="I33" i="323"/>
  <c r="I45" i="323"/>
  <c r="E98" i="323"/>
  <c r="D98" i="323"/>
  <c r="F97" i="323"/>
  <c r="F96" i="323"/>
  <c r="F95" i="323"/>
  <c r="F94" i="323"/>
  <c r="E93" i="323"/>
  <c r="D93" i="323"/>
  <c r="F92" i="323"/>
  <c r="F91" i="323"/>
  <c r="F90" i="323"/>
  <c r="F89" i="323"/>
  <c r="F88" i="323"/>
  <c r="F87" i="323"/>
  <c r="F86" i="323"/>
  <c r="F85" i="323"/>
  <c r="E84" i="323"/>
  <c r="D84" i="323"/>
  <c r="F83" i="323"/>
  <c r="F82" i="323"/>
  <c r="F81" i="323"/>
  <c r="F80" i="323"/>
  <c r="F79" i="323"/>
  <c r="F78" i="323"/>
  <c r="E76" i="323"/>
  <c r="D76" i="323"/>
  <c r="F75" i="323"/>
  <c r="F74" i="323"/>
  <c r="E73" i="323"/>
  <c r="D73" i="323"/>
  <c r="F72" i="323"/>
  <c r="F73" i="323"/>
  <c r="E71" i="323"/>
  <c r="D71" i="323"/>
  <c r="F70" i="323"/>
  <c r="F71" i="323"/>
  <c r="E68" i="323"/>
  <c r="D18" i="326"/>
  <c r="D68" i="323"/>
  <c r="C18" i="326"/>
  <c r="F67" i="323"/>
  <c r="F66" i="323"/>
  <c r="F65" i="323"/>
  <c r="F64" i="323"/>
  <c r="F63" i="323"/>
  <c r="F62" i="323"/>
  <c r="E61" i="323"/>
  <c r="D17" i="326"/>
  <c r="D61" i="323"/>
  <c r="C17" i="326"/>
  <c r="F60" i="323"/>
  <c r="F59" i="323"/>
  <c r="F58" i="323"/>
  <c r="F57" i="323"/>
  <c r="F56" i="323"/>
  <c r="F55" i="323"/>
  <c r="F54" i="323"/>
  <c r="F53" i="323"/>
  <c r="F52" i="323"/>
  <c r="F51" i="323"/>
  <c r="F50" i="323"/>
  <c r="E49" i="323"/>
  <c r="D16" i="326"/>
  <c r="D49" i="323"/>
  <c r="C16" i="326"/>
  <c r="F48" i="323"/>
  <c r="F47" i="323"/>
  <c r="F46" i="323"/>
  <c r="F45" i="323"/>
  <c r="F44" i="323"/>
  <c r="F43" i="323"/>
  <c r="F42" i="323"/>
  <c r="F41" i="323"/>
  <c r="F40" i="323"/>
  <c r="E38" i="323"/>
  <c r="D13" i="326"/>
  <c r="D38" i="323"/>
  <c r="C13" i="326"/>
  <c r="F37" i="323"/>
  <c r="F36" i="323"/>
  <c r="F35" i="323"/>
  <c r="E34" i="323"/>
  <c r="D12" i="326"/>
  <c r="D34" i="323"/>
  <c r="C12" i="326"/>
  <c r="F33" i="323"/>
  <c r="F32" i="323"/>
  <c r="F31" i="323"/>
  <c r="F30" i="323"/>
  <c r="E29" i="323"/>
  <c r="D11" i="326"/>
  <c r="D29" i="323"/>
  <c r="C11" i="326"/>
  <c r="F28" i="323"/>
  <c r="F27" i="323"/>
  <c r="F26" i="323"/>
  <c r="E24" i="323"/>
  <c r="D8" i="326"/>
  <c r="D24" i="323"/>
  <c r="C8" i="326"/>
  <c r="F23" i="323"/>
  <c r="F22" i="323"/>
  <c r="F21" i="323"/>
  <c r="E20" i="323"/>
  <c r="D7" i="326"/>
  <c r="D20" i="323"/>
  <c r="C7" i="326"/>
  <c r="F19" i="323"/>
  <c r="F18" i="323"/>
  <c r="F17" i="323"/>
  <c r="F16" i="323"/>
  <c r="E15" i="323"/>
  <c r="D6" i="326"/>
  <c r="D15" i="323"/>
  <c r="C6" i="326"/>
  <c r="F14" i="323"/>
  <c r="F13" i="323"/>
  <c r="F12" i="323"/>
  <c r="F11" i="323"/>
  <c r="F10" i="323"/>
  <c r="F9" i="323"/>
  <c r="F8" i="323"/>
  <c r="F7" i="323"/>
  <c r="F6" i="323"/>
  <c r="F5" i="323"/>
  <c r="D28" i="312"/>
  <c r="E28" i="312"/>
  <c r="F28" i="312"/>
  <c r="F29" i="312"/>
  <c r="G28" i="312"/>
  <c r="G29" i="312"/>
  <c r="H28" i="312"/>
  <c r="C28" i="312"/>
  <c r="D13" i="312"/>
  <c r="E13" i="312"/>
  <c r="F13" i="312"/>
  <c r="G13" i="312"/>
  <c r="G41" i="312"/>
  <c r="H13" i="312"/>
  <c r="D11" i="312"/>
  <c r="E11" i="312"/>
  <c r="F11" i="312"/>
  <c r="G11" i="312"/>
  <c r="H11" i="312"/>
  <c r="C13" i="312"/>
  <c r="C11" i="312"/>
  <c r="G40" i="312"/>
  <c r="F40" i="312"/>
  <c r="H40" i="312"/>
  <c r="H27" i="312"/>
  <c r="H26" i="312"/>
  <c r="G24" i="312"/>
  <c r="F24" i="312"/>
  <c r="H23" i="312"/>
  <c r="H22" i="312"/>
  <c r="H21" i="312"/>
  <c r="H24" i="312"/>
  <c r="H12" i="312"/>
  <c r="H8" i="312"/>
  <c r="H64" i="309"/>
  <c r="H65" i="309"/>
  <c r="G64" i="309"/>
  <c r="G65" i="309"/>
  <c r="I63" i="309"/>
  <c r="I64" i="309"/>
  <c r="I65" i="309"/>
  <c r="E61" i="309"/>
  <c r="G61" i="309"/>
  <c r="H61" i="309"/>
  <c r="D61" i="309"/>
  <c r="E58" i="309"/>
  <c r="G58" i="309"/>
  <c r="G62" i="309"/>
  <c r="H58" i="309"/>
  <c r="H62" i="309"/>
  <c r="D58" i="309"/>
  <c r="E54" i="309"/>
  <c r="G54" i="309"/>
  <c r="F33" i="312"/>
  <c r="F39" i="312"/>
  <c r="H54" i="309"/>
  <c r="G33" i="312"/>
  <c r="G39" i="312"/>
  <c r="D54" i="309"/>
  <c r="F53" i="309"/>
  <c r="I53" i="309"/>
  <c r="I43" i="309"/>
  <c r="I44" i="309"/>
  <c r="I45" i="309"/>
  <c r="I46" i="309"/>
  <c r="I47" i="309"/>
  <c r="I48" i="309"/>
  <c r="F47" i="309"/>
  <c r="F48" i="309"/>
  <c r="F43" i="309"/>
  <c r="E49" i="309"/>
  <c r="D32" i="312"/>
  <c r="G49" i="309"/>
  <c r="F32" i="312"/>
  <c r="H49" i="309"/>
  <c r="G32" i="312"/>
  <c r="D49" i="309"/>
  <c r="C32" i="312"/>
  <c r="E41" i="309"/>
  <c r="D31" i="312"/>
  <c r="G41" i="309"/>
  <c r="F31" i="312"/>
  <c r="F34" i="312"/>
  <c r="H41" i="309"/>
  <c r="G31" i="312"/>
  <c r="D41" i="309"/>
  <c r="C31" i="312"/>
  <c r="D35" i="309"/>
  <c r="C18" i="312"/>
  <c r="E35" i="309"/>
  <c r="D18" i="312"/>
  <c r="H35" i="309"/>
  <c r="G18" i="312"/>
  <c r="G38" i="312"/>
  <c r="G35" i="309"/>
  <c r="F18" i="312"/>
  <c r="I25" i="309"/>
  <c r="E30" i="309"/>
  <c r="D17" i="312"/>
  <c r="G30" i="309"/>
  <c r="F17" i="312"/>
  <c r="H30" i="309"/>
  <c r="G17" i="312"/>
  <c r="D30" i="309"/>
  <c r="C17" i="312"/>
  <c r="F6" i="309"/>
  <c r="F25" i="309"/>
  <c r="E23" i="309"/>
  <c r="D16" i="312"/>
  <c r="G23" i="309"/>
  <c r="F16" i="312"/>
  <c r="H23" i="309"/>
  <c r="G16" i="312"/>
  <c r="D23" i="309"/>
  <c r="C16" i="312"/>
  <c r="I6" i="309"/>
  <c r="H11" i="309"/>
  <c r="G6" i="312"/>
  <c r="G11" i="309"/>
  <c r="F6" i="312"/>
  <c r="D16" i="309"/>
  <c r="C7" i="312"/>
  <c r="E16" i="309"/>
  <c r="D7" i="312"/>
  <c r="H16" i="309"/>
  <c r="H17" i="309"/>
  <c r="G16" i="309"/>
  <c r="F7" i="312"/>
  <c r="D11" i="309"/>
  <c r="C6" i="312"/>
  <c r="E11" i="309"/>
  <c r="E17" i="309"/>
  <c r="I7" i="309"/>
  <c r="I8" i="309"/>
  <c r="I9" i="309"/>
  <c r="I10" i="309"/>
  <c r="I12" i="309"/>
  <c r="I13" i="309"/>
  <c r="I14" i="309"/>
  <c r="I15" i="309"/>
  <c r="I18" i="309"/>
  <c r="I19" i="309"/>
  <c r="I20" i="309"/>
  <c r="I21" i="309"/>
  <c r="I22" i="309"/>
  <c r="I24" i="309"/>
  <c r="I26" i="309"/>
  <c r="I27" i="309"/>
  <c r="I28" i="309"/>
  <c r="I29" i="309"/>
  <c r="I31" i="309"/>
  <c r="I32" i="309"/>
  <c r="I33" i="309"/>
  <c r="I34" i="309"/>
  <c r="I37" i="309"/>
  <c r="I38" i="309"/>
  <c r="I39" i="309"/>
  <c r="I40" i="309"/>
  <c r="I42" i="309"/>
  <c r="I50" i="309"/>
  <c r="I51" i="309"/>
  <c r="I52" i="309"/>
  <c r="I56" i="309"/>
  <c r="I57" i="309"/>
  <c r="I59" i="309"/>
  <c r="I60" i="309"/>
  <c r="I5" i="309"/>
  <c r="F60" i="309"/>
  <c r="F59" i="309"/>
  <c r="F61" i="309"/>
  <c r="F57" i="309"/>
  <c r="F56" i="309"/>
  <c r="F58" i="309"/>
  <c r="F52" i="309"/>
  <c r="F51" i="309"/>
  <c r="F50" i="309"/>
  <c r="F46" i="309"/>
  <c r="F45" i="309"/>
  <c r="F44" i="309"/>
  <c r="F42" i="309"/>
  <c r="F40" i="309"/>
  <c r="F39" i="309"/>
  <c r="F38" i="309"/>
  <c r="F37" i="309"/>
  <c r="F34" i="309"/>
  <c r="F33" i="309"/>
  <c r="F32" i="309"/>
  <c r="F31" i="309"/>
  <c r="F29" i="309"/>
  <c r="F28" i="309"/>
  <c r="F27" i="309"/>
  <c r="F26" i="309"/>
  <c r="F24" i="309"/>
  <c r="F22" i="309"/>
  <c r="F21" i="309"/>
  <c r="F20" i="309"/>
  <c r="F19" i="309"/>
  <c r="F18" i="309"/>
  <c r="F15" i="309"/>
  <c r="F14" i="309"/>
  <c r="F13" i="309"/>
  <c r="F12" i="309"/>
  <c r="F10" i="309"/>
  <c r="F9" i="309"/>
  <c r="F8" i="309"/>
  <c r="F7" i="309"/>
  <c r="F5" i="309"/>
  <c r="E18" i="311"/>
  <c r="G54" i="308"/>
  <c r="F18" i="311"/>
  <c r="D32" i="328"/>
  <c r="C34" i="328"/>
  <c r="E8" i="328"/>
  <c r="E34" i="328"/>
  <c r="D19" i="329"/>
  <c r="E16" i="329"/>
  <c r="C33" i="329"/>
  <c r="E18" i="329"/>
  <c r="E33" i="329"/>
  <c r="D32" i="329"/>
  <c r="C31" i="329"/>
  <c r="D31" i="329"/>
  <c r="C36" i="329"/>
  <c r="E13" i="329"/>
  <c r="E36" i="329"/>
  <c r="C34" i="329"/>
  <c r="E8" i="329"/>
  <c r="D14" i="329"/>
  <c r="C32" i="329"/>
  <c r="G35" i="326"/>
  <c r="G24" i="326"/>
  <c r="F29" i="326"/>
  <c r="E55" i="309"/>
  <c r="D33" i="312"/>
  <c r="G36" i="312"/>
  <c r="D55" i="309"/>
  <c r="G55" i="309"/>
  <c r="C33" i="312"/>
  <c r="G7" i="312"/>
  <c r="G9" i="312"/>
  <c r="D6" i="312"/>
  <c r="G14" i="312"/>
  <c r="G19" i="312"/>
  <c r="G34" i="312"/>
  <c r="G37" i="312"/>
  <c r="F14" i="312"/>
  <c r="C14" i="328"/>
  <c r="C37" i="328"/>
  <c r="D37" i="328"/>
  <c r="C9" i="328"/>
  <c r="E6" i="328"/>
  <c r="D9" i="328"/>
  <c r="C29" i="328"/>
  <c r="E18" i="328"/>
  <c r="E33" i="328"/>
  <c r="E7" i="328"/>
  <c r="F19" i="327"/>
  <c r="F27" i="327"/>
  <c r="E11" i="328"/>
  <c r="E46" i="327"/>
  <c r="F57" i="327"/>
  <c r="E20" i="327"/>
  <c r="F22" i="327"/>
  <c r="E12" i="328"/>
  <c r="E35" i="328"/>
  <c r="E28" i="327"/>
  <c r="F31" i="327"/>
  <c r="F45" i="327"/>
  <c r="D20" i="327"/>
  <c r="D28" i="327"/>
  <c r="D46" i="327"/>
  <c r="F50" i="327"/>
  <c r="F15" i="327"/>
  <c r="F42" i="327"/>
  <c r="F11" i="327"/>
  <c r="F25" i="327"/>
  <c r="E13" i="328"/>
  <c r="E36" i="328"/>
  <c r="E31" i="331"/>
  <c r="E34" i="329"/>
  <c r="E19" i="329"/>
  <c r="E7" i="329"/>
  <c r="E32" i="329"/>
  <c r="C9" i="329"/>
  <c r="E12" i="329"/>
  <c r="E35" i="329"/>
  <c r="C14" i="329"/>
  <c r="C19" i="329"/>
  <c r="C24" i="329"/>
  <c r="C29" i="329"/>
  <c r="D35" i="329"/>
  <c r="D37" i="329"/>
  <c r="E6" i="329"/>
  <c r="D9" i="329"/>
  <c r="F15" i="325"/>
  <c r="F24" i="325"/>
  <c r="F98" i="325"/>
  <c r="E39" i="325"/>
  <c r="F76" i="325"/>
  <c r="F77" i="325"/>
  <c r="F61" i="325"/>
  <c r="D77" i="325"/>
  <c r="F29" i="325"/>
  <c r="F38" i="325"/>
  <c r="F49" i="325"/>
  <c r="F68" i="325"/>
  <c r="F84" i="325"/>
  <c r="F34" i="325"/>
  <c r="D39" i="325"/>
  <c r="F93" i="325"/>
  <c r="E99" i="325"/>
  <c r="D25" i="325"/>
  <c r="D69" i="325"/>
  <c r="D99" i="325"/>
  <c r="F20" i="325"/>
  <c r="E25" i="325"/>
  <c r="E69" i="325"/>
  <c r="E77" i="325"/>
  <c r="H24" i="326"/>
  <c r="H29" i="326"/>
  <c r="E77" i="323"/>
  <c r="E69" i="323"/>
  <c r="F34" i="323"/>
  <c r="E12" i="326"/>
  <c r="F38" i="323"/>
  <c r="E13" i="326"/>
  <c r="F29" i="323"/>
  <c r="E11" i="326"/>
  <c r="D77" i="323"/>
  <c r="F61" i="323"/>
  <c r="E17" i="326"/>
  <c r="E39" i="323"/>
  <c r="F68" i="323"/>
  <c r="E18" i="326"/>
  <c r="F15" i="323"/>
  <c r="E6" i="326"/>
  <c r="F20" i="323"/>
  <c r="E7" i="326"/>
  <c r="D25" i="323"/>
  <c r="E99" i="323"/>
  <c r="E25" i="323"/>
  <c r="D39" i="323"/>
  <c r="F49" i="323"/>
  <c r="E16" i="326"/>
  <c r="D69" i="323"/>
  <c r="F76" i="323"/>
  <c r="F77" i="323"/>
  <c r="F84" i="323"/>
  <c r="F93" i="323"/>
  <c r="F24" i="323"/>
  <c r="E8" i="326"/>
  <c r="F98" i="323"/>
  <c r="D99" i="323"/>
  <c r="H14" i="312"/>
  <c r="H39" i="312"/>
  <c r="F38" i="312"/>
  <c r="H38" i="312"/>
  <c r="F41" i="312"/>
  <c r="H41" i="312"/>
  <c r="F37" i="312"/>
  <c r="H37" i="312"/>
  <c r="F9" i="312"/>
  <c r="F19" i="312"/>
  <c r="H29" i="312"/>
  <c r="F36" i="312"/>
  <c r="H36" i="312"/>
  <c r="F62" i="309"/>
  <c r="I54" i="309"/>
  <c r="H33" i="312"/>
  <c r="H55" i="309"/>
  <c r="D62" i="309"/>
  <c r="E62" i="309"/>
  <c r="F54" i="309"/>
  <c r="E33" i="312"/>
  <c r="I61" i="309"/>
  <c r="I58" i="309"/>
  <c r="I49" i="309"/>
  <c r="H32" i="312"/>
  <c r="F49" i="309"/>
  <c r="F35" i="309"/>
  <c r="E18" i="312"/>
  <c r="H36" i="309"/>
  <c r="H66" i="309"/>
  <c r="D17" i="309"/>
  <c r="F16" i="309"/>
  <c r="E7" i="312"/>
  <c r="F23" i="309"/>
  <c r="E16" i="312"/>
  <c r="I23" i="309"/>
  <c r="H16" i="312"/>
  <c r="I16" i="309"/>
  <c r="H7" i="312"/>
  <c r="F30" i="309"/>
  <c r="E17" i="312"/>
  <c r="E36" i="309"/>
  <c r="D36" i="309"/>
  <c r="F41" i="309"/>
  <c r="E31" i="312"/>
  <c r="I41" i="309"/>
  <c r="H31" i="312"/>
  <c r="I35" i="309"/>
  <c r="H18" i="312"/>
  <c r="G36" i="309"/>
  <c r="G66" i="309"/>
  <c r="F11" i="309"/>
  <c r="E6" i="312"/>
  <c r="I11" i="309"/>
  <c r="H6" i="312"/>
  <c r="H9" i="312"/>
  <c r="G17" i="309"/>
  <c r="I30" i="309"/>
  <c r="H17" i="312"/>
  <c r="E98" i="308"/>
  <c r="D23" i="311"/>
  <c r="D98" i="308"/>
  <c r="C23" i="311"/>
  <c r="E96" i="308"/>
  <c r="D22" i="311"/>
  <c r="D96" i="308"/>
  <c r="C22" i="311"/>
  <c r="E93" i="308"/>
  <c r="D21" i="311"/>
  <c r="D93" i="308"/>
  <c r="C21" i="311"/>
  <c r="E90" i="308"/>
  <c r="D13" i="311"/>
  <c r="D36" i="311"/>
  <c r="D90" i="308"/>
  <c r="C13" i="311"/>
  <c r="C36" i="311"/>
  <c r="E85" i="308"/>
  <c r="D12" i="311"/>
  <c r="D35" i="311"/>
  <c r="D85" i="308"/>
  <c r="C12" i="311"/>
  <c r="C35" i="311"/>
  <c r="E81" i="308"/>
  <c r="D11" i="311"/>
  <c r="D81" i="308"/>
  <c r="C11" i="311"/>
  <c r="E76" i="308"/>
  <c r="D28" i="311"/>
  <c r="D76" i="308"/>
  <c r="C28" i="311"/>
  <c r="E71" i="308"/>
  <c r="D27" i="311"/>
  <c r="D71" i="308"/>
  <c r="C27" i="311"/>
  <c r="E62" i="308"/>
  <c r="D26" i="311"/>
  <c r="D62" i="308"/>
  <c r="C26" i="311"/>
  <c r="E54" i="308"/>
  <c r="D18" i="311"/>
  <c r="D33" i="311"/>
  <c r="D54" i="308"/>
  <c r="C18" i="311"/>
  <c r="E47" i="308"/>
  <c r="D17" i="311"/>
  <c r="D47" i="308"/>
  <c r="C17" i="311"/>
  <c r="E35" i="308"/>
  <c r="D16" i="311"/>
  <c r="D35" i="308"/>
  <c r="C16" i="311"/>
  <c r="E24" i="308"/>
  <c r="D8" i="311"/>
  <c r="D34" i="311"/>
  <c r="D24" i="308"/>
  <c r="C8" i="311"/>
  <c r="E20" i="308"/>
  <c r="D7" i="311"/>
  <c r="D32" i="311"/>
  <c r="D20" i="308"/>
  <c r="C7" i="311"/>
  <c r="E15" i="308"/>
  <c r="D6" i="311"/>
  <c r="D15" i="308"/>
  <c r="C6" i="311"/>
  <c r="D60" i="327"/>
  <c r="E14" i="328"/>
  <c r="E60" i="327"/>
  <c r="E32" i="328"/>
  <c r="C37" i="329"/>
  <c r="H34" i="312"/>
  <c r="H19" i="312"/>
  <c r="F55" i="309"/>
  <c r="E32" i="312"/>
  <c r="G42" i="312"/>
  <c r="C19" i="311"/>
  <c r="C33" i="311"/>
  <c r="C14" i="311"/>
  <c r="D14" i="311"/>
  <c r="D24" i="311"/>
  <c r="C32" i="311"/>
  <c r="C31" i="311"/>
  <c r="C34" i="311"/>
  <c r="C29" i="311"/>
  <c r="C24" i="311"/>
  <c r="C9" i="311"/>
  <c r="D31" i="311"/>
  <c r="D37" i="311"/>
  <c r="D19" i="311"/>
  <c r="D29" i="311"/>
  <c r="D9" i="311"/>
  <c r="E31" i="328"/>
  <c r="E37" i="328"/>
  <c r="E9" i="328"/>
  <c r="E19" i="328"/>
  <c r="F28" i="327"/>
  <c r="F46" i="327"/>
  <c r="F20" i="327"/>
  <c r="F60" i="327"/>
  <c r="E9" i="329"/>
  <c r="E31" i="329"/>
  <c r="E37" i="329"/>
  <c r="E14" i="329"/>
  <c r="F39" i="325"/>
  <c r="F99" i="325"/>
  <c r="F25" i="325"/>
  <c r="E101" i="325"/>
  <c r="D101" i="325"/>
  <c r="F69" i="325"/>
  <c r="F69" i="323"/>
  <c r="F39" i="323"/>
  <c r="D101" i="323"/>
  <c r="E101" i="323"/>
  <c r="F99" i="323"/>
  <c r="F25" i="323"/>
  <c r="H42" i="312"/>
  <c r="F42" i="312"/>
  <c r="D66" i="309"/>
  <c r="I62" i="309"/>
  <c r="E66" i="309"/>
  <c r="I55" i="309"/>
  <c r="F17" i="309"/>
  <c r="I17" i="309"/>
  <c r="F36" i="309"/>
  <c r="I36" i="309"/>
  <c r="E25" i="308"/>
  <c r="E77" i="308"/>
  <c r="E99" i="308"/>
  <c r="D91" i="308"/>
  <c r="E55" i="308"/>
  <c r="E91" i="308"/>
  <c r="D55" i="308"/>
  <c r="D25" i="308"/>
  <c r="D77" i="308"/>
  <c r="D99" i="308"/>
  <c r="F66" i="309"/>
  <c r="C37" i="311"/>
  <c r="F101" i="325"/>
  <c r="F101" i="323"/>
  <c r="I66" i="309"/>
  <c r="D100" i="308"/>
  <c r="E100" i="308"/>
  <c r="I47" i="327"/>
  <c r="I51" i="327"/>
  <c r="G57" i="327"/>
  <c r="F27" i="328"/>
  <c r="H50" i="327"/>
  <c r="G26" i="328"/>
  <c r="H57" i="327"/>
  <c r="G18" i="328"/>
  <c r="H42" i="327"/>
  <c r="H27" i="327"/>
  <c r="G11" i="328"/>
  <c r="H25" i="327"/>
  <c r="H22" i="327"/>
  <c r="G12" i="328"/>
  <c r="H19" i="327"/>
  <c r="G8" i="328"/>
  <c r="G34" i="328"/>
  <c r="H15" i="327"/>
  <c r="G7" i="328"/>
  <c r="H11" i="327"/>
  <c r="G50" i="327"/>
  <c r="F26" i="328"/>
  <c r="I12" i="327"/>
  <c r="I13" i="327"/>
  <c r="I14" i="327"/>
  <c r="G15" i="327"/>
  <c r="F7" i="328"/>
  <c r="D24" i="326"/>
  <c r="D35" i="326"/>
  <c r="BC43" i="273"/>
  <c r="E26" i="312"/>
  <c r="E27" i="312"/>
  <c r="G19" i="320"/>
  <c r="H19" i="320"/>
  <c r="F19" i="320"/>
  <c r="F20" i="320" s="1"/>
  <c r="BD34" i="273"/>
  <c r="BD33" i="273"/>
  <c r="BD35" i="273"/>
  <c r="BD36" i="273"/>
  <c r="BD37" i="273"/>
  <c r="BD38" i="273"/>
  <c r="BD40" i="273"/>
  <c r="BD41" i="273"/>
  <c r="BD42" i="273"/>
  <c r="BD43" i="273"/>
  <c r="BD31" i="273"/>
  <c r="L16" i="336"/>
  <c r="CB37" i="123"/>
  <c r="CA37" i="123"/>
  <c r="BZ37" i="123"/>
  <c r="BY37" i="123"/>
  <c r="CB36" i="123"/>
  <c r="CA36" i="123"/>
  <c r="BZ36" i="123"/>
  <c r="BY36" i="123"/>
  <c r="CB35" i="123"/>
  <c r="CA35" i="123"/>
  <c r="BZ35" i="123"/>
  <c r="BY35" i="123"/>
  <c r="CB34" i="123"/>
  <c r="CA34" i="123"/>
  <c r="BZ34" i="123"/>
  <c r="BY34" i="123"/>
  <c r="CB33" i="123"/>
  <c r="CA33" i="123"/>
  <c r="BZ33" i="123"/>
  <c r="BY33" i="123"/>
  <c r="CB32" i="123"/>
  <c r="CB38" i="123"/>
  <c r="CA32" i="123"/>
  <c r="BZ32" i="123"/>
  <c r="BY32" i="123"/>
  <c r="CC31" i="123"/>
  <c r="CB30" i="123"/>
  <c r="CA30" i="123"/>
  <c r="BZ30" i="123"/>
  <c r="BY30" i="123"/>
  <c r="CC29" i="123"/>
  <c r="CC28" i="123"/>
  <c r="CC27" i="123"/>
  <c r="CC26" i="123"/>
  <c r="CA25" i="123"/>
  <c r="BZ25" i="123"/>
  <c r="BY25" i="123"/>
  <c r="CC24" i="123"/>
  <c r="CC23" i="123"/>
  <c r="CC22" i="123"/>
  <c r="CB20" i="123"/>
  <c r="CA20" i="123"/>
  <c r="BZ20" i="123"/>
  <c r="BY20" i="123"/>
  <c r="CC19" i="123"/>
  <c r="CC18" i="123"/>
  <c r="CC17" i="123"/>
  <c r="CC20" i="123"/>
  <c r="CB15" i="123"/>
  <c r="CA15" i="123"/>
  <c r="BZ15" i="123"/>
  <c r="BY15" i="123"/>
  <c r="CC14" i="123"/>
  <c r="CC37" i="123"/>
  <c r="CC13" i="123"/>
  <c r="CC36" i="123"/>
  <c r="CC12" i="123"/>
  <c r="CB10" i="123"/>
  <c r="CA10" i="123"/>
  <c r="BZ10" i="123"/>
  <c r="BY10" i="123"/>
  <c r="CC9" i="123"/>
  <c r="CC8" i="123"/>
  <c r="CC10" i="123"/>
  <c r="CC7" i="123"/>
  <c r="CC25" i="123"/>
  <c r="CC34" i="123"/>
  <c r="BB43" i="273"/>
  <c r="BB44" i="273"/>
  <c r="BB130" i="273"/>
  <c r="BA43" i="273"/>
  <c r="BA44" i="273"/>
  <c r="BA130" i="273"/>
  <c r="BB83" i="273"/>
  <c r="BA83" i="273"/>
  <c r="BC60" i="273"/>
  <c r="BC83" i="273"/>
  <c r="BC44" i="273"/>
  <c r="BC130" i="273"/>
  <c r="BB60" i="273"/>
  <c r="BA60" i="273"/>
  <c r="F32" i="318"/>
  <c r="K28" i="318"/>
  <c r="J28" i="318"/>
  <c r="I28" i="318"/>
  <c r="H28" i="318"/>
  <c r="E28" i="318"/>
  <c r="D28" i="318"/>
  <c r="C28" i="318"/>
  <c r="L27" i="318"/>
  <c r="F27" i="318"/>
  <c r="L26" i="318"/>
  <c r="F26" i="318"/>
  <c r="K24" i="318"/>
  <c r="J24" i="318"/>
  <c r="I24" i="318"/>
  <c r="H24" i="318"/>
  <c r="E24" i="318"/>
  <c r="D24" i="318"/>
  <c r="C24" i="318"/>
  <c r="L23" i="318"/>
  <c r="F23" i="318"/>
  <c r="M23" i="318"/>
  <c r="N23" i="318"/>
  <c r="L22" i="318"/>
  <c r="F22" i="318"/>
  <c r="L21" i="318"/>
  <c r="F21" i="318"/>
  <c r="K19" i="318"/>
  <c r="J19" i="318"/>
  <c r="I19" i="318"/>
  <c r="H19" i="318"/>
  <c r="E19" i="318"/>
  <c r="D19" i="318"/>
  <c r="C19" i="318"/>
  <c r="L18" i="318"/>
  <c r="F18" i="318"/>
  <c r="L17" i="318"/>
  <c r="F17" i="318"/>
  <c r="L16" i="318"/>
  <c r="L19" i="318"/>
  <c r="F16" i="318"/>
  <c r="K14" i="318"/>
  <c r="J14" i="318"/>
  <c r="I14" i="318"/>
  <c r="H14" i="318"/>
  <c r="E14" i="318"/>
  <c r="D14" i="318"/>
  <c r="C14" i="318"/>
  <c r="L13" i="318"/>
  <c r="F13" i="318"/>
  <c r="L12" i="318"/>
  <c r="F12" i="318"/>
  <c r="L11" i="318"/>
  <c r="F11" i="318"/>
  <c r="K9" i="318"/>
  <c r="J9" i="318"/>
  <c r="I9" i="318"/>
  <c r="H9" i="318"/>
  <c r="E9" i="318"/>
  <c r="D9" i="318"/>
  <c r="C9" i="318"/>
  <c r="L8" i="318"/>
  <c r="F8" i="318"/>
  <c r="L7" i="318"/>
  <c r="F7" i="318"/>
  <c r="L6" i="318"/>
  <c r="F6" i="318"/>
  <c r="M7" i="318"/>
  <c r="N7" i="318"/>
  <c r="M22" i="318"/>
  <c r="N22" i="318"/>
  <c r="L28" i="318"/>
  <c r="M6" i="318"/>
  <c r="N6" i="318"/>
  <c r="M8" i="318"/>
  <c r="N8" i="318"/>
  <c r="F14" i="318"/>
  <c r="M26" i="318"/>
  <c r="N26" i="318"/>
  <c r="L9" i="318"/>
  <c r="M18" i="318"/>
  <c r="N18" i="318"/>
  <c r="F24" i="318"/>
  <c r="M24" i="318"/>
  <c r="N24" i="318"/>
  <c r="M12" i="318"/>
  <c r="N12" i="318"/>
  <c r="L24" i="318"/>
  <c r="E30" i="318"/>
  <c r="M11" i="318"/>
  <c r="N11" i="318"/>
  <c r="H30" i="318"/>
  <c r="M17" i="318"/>
  <c r="N17" i="318"/>
  <c r="D30" i="318"/>
  <c r="F9" i="318"/>
  <c r="K30" i="318"/>
  <c r="C30" i="318"/>
  <c r="F19" i="318"/>
  <c r="M19" i="318"/>
  <c r="N19" i="318"/>
  <c r="M27" i="318"/>
  <c r="N27" i="318"/>
  <c r="F28" i="318"/>
  <c r="M28" i="318"/>
  <c r="N28" i="318"/>
  <c r="I30" i="318"/>
  <c r="J30" i="318"/>
  <c r="M13" i="318"/>
  <c r="N13" i="318"/>
  <c r="L14" i="318"/>
  <c r="M21" i="318"/>
  <c r="N21" i="318"/>
  <c r="M16" i="318"/>
  <c r="N16" i="318"/>
  <c r="L30" i="318"/>
  <c r="M9" i="318"/>
  <c r="N9" i="318"/>
  <c r="M30" i="318"/>
  <c r="N30" i="318"/>
  <c r="F30" i="318"/>
  <c r="M14" i="318"/>
  <c r="N14" i="318"/>
  <c r="L32" i="318"/>
  <c r="F30" i="319"/>
  <c r="E30" i="319"/>
  <c r="G30" i="319"/>
  <c r="H30" i="319"/>
  <c r="J30" i="319"/>
  <c r="D30" i="319"/>
  <c r="C30" i="319"/>
  <c r="I29" i="319"/>
  <c r="G29" i="319"/>
  <c r="H29" i="319"/>
  <c r="J29" i="319"/>
  <c r="I28" i="319"/>
  <c r="G28" i="319"/>
  <c r="H28" i="319"/>
  <c r="J28" i="319"/>
  <c r="I27" i="319"/>
  <c r="G27" i="319"/>
  <c r="H27" i="319"/>
  <c r="J27" i="319"/>
  <c r="F25" i="319"/>
  <c r="G25" i="319"/>
  <c r="E25" i="319"/>
  <c r="D25" i="319"/>
  <c r="C25" i="319"/>
  <c r="I24" i="319"/>
  <c r="G24" i="319"/>
  <c r="G23" i="319"/>
  <c r="I23" i="319"/>
  <c r="I22" i="319"/>
  <c r="G22" i="319"/>
  <c r="F20" i="319"/>
  <c r="E20" i="319"/>
  <c r="G20" i="319"/>
  <c r="D20" i="319"/>
  <c r="I20" i="319"/>
  <c r="C20" i="319"/>
  <c r="I19" i="319"/>
  <c r="H19" i="319"/>
  <c r="J19" i="319"/>
  <c r="G19" i="319"/>
  <c r="I18" i="319"/>
  <c r="H18" i="319"/>
  <c r="J18" i="319"/>
  <c r="G18" i="319"/>
  <c r="I17" i="319"/>
  <c r="H17" i="319"/>
  <c r="J17" i="319"/>
  <c r="G17" i="319"/>
  <c r="F15" i="319"/>
  <c r="E15" i="319"/>
  <c r="G15" i="319"/>
  <c r="D15" i="319"/>
  <c r="C15" i="319"/>
  <c r="I14" i="319"/>
  <c r="H14" i="319"/>
  <c r="J14" i="319"/>
  <c r="G14" i="319"/>
  <c r="I13" i="319"/>
  <c r="H13" i="319"/>
  <c r="J13" i="319"/>
  <c r="G13" i="319"/>
  <c r="I12" i="319"/>
  <c r="H12" i="319"/>
  <c r="J12" i="319"/>
  <c r="G12" i="319"/>
  <c r="F10" i="319"/>
  <c r="E10" i="319"/>
  <c r="E32" i="319"/>
  <c r="D10" i="319"/>
  <c r="C10" i="319"/>
  <c r="I9" i="319"/>
  <c r="H9" i="319"/>
  <c r="J9" i="319"/>
  <c r="G9" i="319"/>
  <c r="I8" i="319"/>
  <c r="H8" i="319"/>
  <c r="J8" i="319"/>
  <c r="G8" i="319"/>
  <c r="I7" i="319"/>
  <c r="H7" i="319"/>
  <c r="J7" i="319"/>
  <c r="G7" i="319"/>
  <c r="H15" i="319"/>
  <c r="J15" i="319"/>
  <c r="H20" i="319"/>
  <c r="J20" i="319"/>
  <c r="F32" i="319"/>
  <c r="I25" i="319"/>
  <c r="C32" i="319"/>
  <c r="I30" i="319"/>
  <c r="I15" i="319"/>
  <c r="G10" i="319"/>
  <c r="D32" i="319"/>
  <c r="H10" i="319"/>
  <c r="J10" i="319"/>
  <c r="G32" i="319"/>
  <c r="H32" i="319"/>
  <c r="J32" i="319"/>
  <c r="I10" i="319"/>
  <c r="I32" i="319"/>
  <c r="AN7" i="263"/>
  <c r="AO7" i="263"/>
  <c r="AM7" i="263"/>
  <c r="AR10" i="273"/>
  <c r="P36" i="229"/>
  <c r="P35" i="229"/>
  <c r="P34" i="229"/>
  <c r="P33" i="229"/>
  <c r="P32" i="229"/>
  <c r="P31" i="229"/>
  <c r="P29" i="229"/>
  <c r="P19" i="229"/>
  <c r="P14" i="229"/>
  <c r="P9" i="229"/>
  <c r="P36" i="227"/>
  <c r="P35" i="227"/>
  <c r="P34" i="227"/>
  <c r="P33" i="227"/>
  <c r="P32" i="227"/>
  <c r="P31" i="227"/>
  <c r="P29" i="227"/>
  <c r="P19" i="227"/>
  <c r="P14" i="227"/>
  <c r="P9" i="227"/>
  <c r="P37" i="229"/>
  <c r="M210" i="268"/>
  <c r="N210" i="268"/>
  <c r="O210" i="268"/>
  <c r="P210" i="268"/>
  <c r="M211" i="268"/>
  <c r="M213" i="268"/>
  <c r="N211" i="268"/>
  <c r="O211" i="268"/>
  <c r="P211" i="268"/>
  <c r="M212" i="268"/>
  <c r="N212" i="268"/>
  <c r="O212" i="268"/>
  <c r="P212" i="268"/>
  <c r="N213" i="268"/>
  <c r="O213" i="268"/>
  <c r="P213" i="268"/>
  <c r="L212" i="268"/>
  <c r="L211" i="268"/>
  <c r="L210" i="268"/>
  <c r="M208" i="268"/>
  <c r="N208" i="268"/>
  <c r="O208" i="268"/>
  <c r="P208" i="268"/>
  <c r="M209" i="268"/>
  <c r="N209" i="268"/>
  <c r="O209" i="268"/>
  <c r="P209" i="268"/>
  <c r="L209" i="268"/>
  <c r="L208" i="268"/>
  <c r="L206" i="268"/>
  <c r="M207" i="268"/>
  <c r="N207" i="268"/>
  <c r="O207" i="268"/>
  <c r="P207" i="268"/>
  <c r="L207" i="268"/>
  <c r="N206" i="268"/>
  <c r="O206" i="268"/>
  <c r="P206" i="268"/>
  <c r="M206" i="268"/>
  <c r="N203" i="268"/>
  <c r="O203" i="268"/>
  <c r="P203" i="268"/>
  <c r="M203" i="268"/>
  <c r="M198" i="268"/>
  <c r="N198" i="268"/>
  <c r="O198" i="268"/>
  <c r="P198" i="268"/>
  <c r="M199" i="268"/>
  <c r="N199" i="268"/>
  <c r="O199" i="268"/>
  <c r="P199" i="268"/>
  <c r="M200" i="268"/>
  <c r="N200" i="268"/>
  <c r="O200" i="268"/>
  <c r="P200" i="268"/>
  <c r="L200" i="268"/>
  <c r="L199" i="268"/>
  <c r="L198" i="268"/>
  <c r="F189" i="268"/>
  <c r="G189" i="268"/>
  <c r="H189" i="268"/>
  <c r="I189" i="268"/>
  <c r="J189" i="268"/>
  <c r="K189" i="268"/>
  <c r="L189" i="268"/>
  <c r="M189" i="268"/>
  <c r="N189" i="268"/>
  <c r="O189" i="268"/>
  <c r="P189" i="268"/>
  <c r="P192" i="268"/>
  <c r="F190" i="268"/>
  <c r="G190" i="268"/>
  <c r="H190" i="268"/>
  <c r="I190" i="268"/>
  <c r="J190" i="268"/>
  <c r="K190" i="268"/>
  <c r="L190" i="268"/>
  <c r="M190" i="268"/>
  <c r="N190" i="268"/>
  <c r="O190" i="268"/>
  <c r="P190" i="268"/>
  <c r="F191" i="268"/>
  <c r="G191" i="268"/>
  <c r="H191" i="268"/>
  <c r="I191" i="268"/>
  <c r="J191" i="268"/>
  <c r="K191" i="268"/>
  <c r="L191" i="268"/>
  <c r="M191" i="268"/>
  <c r="N191" i="268"/>
  <c r="O191" i="268"/>
  <c r="P191" i="268"/>
  <c r="E191" i="268"/>
  <c r="E190" i="268"/>
  <c r="E189" i="268"/>
  <c r="F185" i="268"/>
  <c r="G185" i="268"/>
  <c r="H185" i="268"/>
  <c r="I185" i="268"/>
  <c r="J185" i="268"/>
  <c r="K185" i="268"/>
  <c r="L185" i="268"/>
  <c r="M185" i="268"/>
  <c r="N185" i="268"/>
  <c r="O185" i="268"/>
  <c r="P185" i="268"/>
  <c r="P188" i="268"/>
  <c r="F186" i="268"/>
  <c r="G186" i="268"/>
  <c r="H186" i="268"/>
  <c r="I186" i="268"/>
  <c r="J186" i="268"/>
  <c r="K186" i="268"/>
  <c r="L186" i="268"/>
  <c r="M186" i="268"/>
  <c r="N186" i="268"/>
  <c r="O186" i="268"/>
  <c r="P186" i="268"/>
  <c r="F187" i="268"/>
  <c r="G187" i="268"/>
  <c r="H187" i="268"/>
  <c r="I187" i="268"/>
  <c r="J187" i="268"/>
  <c r="K187" i="268"/>
  <c r="L187" i="268"/>
  <c r="M187" i="268"/>
  <c r="N187" i="268"/>
  <c r="O187" i="268"/>
  <c r="P187" i="268"/>
  <c r="E187" i="268"/>
  <c r="E186" i="268"/>
  <c r="E185" i="268"/>
  <c r="F181" i="268"/>
  <c r="G181" i="268"/>
  <c r="H181" i="268"/>
  <c r="I181" i="268"/>
  <c r="J181" i="268"/>
  <c r="K181" i="268"/>
  <c r="L181" i="268"/>
  <c r="M181" i="268"/>
  <c r="N181" i="268"/>
  <c r="O181" i="268"/>
  <c r="P181" i="268"/>
  <c r="P193" i="268"/>
  <c r="F182" i="268"/>
  <c r="G182" i="268"/>
  <c r="H182" i="268"/>
  <c r="I182" i="268"/>
  <c r="J182" i="268"/>
  <c r="K182" i="268"/>
  <c r="L182" i="268"/>
  <c r="M182" i="268"/>
  <c r="N182" i="268"/>
  <c r="O182" i="268"/>
  <c r="P182" i="268"/>
  <c r="F183" i="268"/>
  <c r="G183" i="268"/>
  <c r="H183" i="268"/>
  <c r="I183" i="268"/>
  <c r="J183" i="268"/>
  <c r="K183" i="268"/>
  <c r="L183" i="268"/>
  <c r="M183" i="268"/>
  <c r="N183" i="268"/>
  <c r="O183" i="268"/>
  <c r="P183" i="268"/>
  <c r="E183" i="268"/>
  <c r="E182" i="268"/>
  <c r="E181" i="268"/>
  <c r="F172" i="268"/>
  <c r="G172" i="268"/>
  <c r="H172" i="268"/>
  <c r="I172" i="268"/>
  <c r="J172" i="268"/>
  <c r="K172" i="268"/>
  <c r="L172" i="268"/>
  <c r="M172" i="268"/>
  <c r="N172" i="268"/>
  <c r="O172" i="268"/>
  <c r="P172" i="268"/>
  <c r="P175" i="268"/>
  <c r="F173" i="268"/>
  <c r="G173" i="268"/>
  <c r="H173" i="268"/>
  <c r="I173" i="268"/>
  <c r="J173" i="268"/>
  <c r="K173" i="268"/>
  <c r="L173" i="268"/>
  <c r="M173" i="268"/>
  <c r="N173" i="268"/>
  <c r="O173" i="268"/>
  <c r="P173" i="268"/>
  <c r="F174" i="268"/>
  <c r="G174" i="268"/>
  <c r="H174" i="268"/>
  <c r="I174" i="268"/>
  <c r="J174" i="268"/>
  <c r="K174" i="268"/>
  <c r="L174" i="268"/>
  <c r="M174" i="268"/>
  <c r="N174" i="268"/>
  <c r="O174" i="268"/>
  <c r="P174" i="268"/>
  <c r="E174" i="268"/>
  <c r="E173" i="268"/>
  <c r="F168" i="268"/>
  <c r="G168" i="268"/>
  <c r="H168" i="268"/>
  <c r="I168" i="268"/>
  <c r="J168" i="268"/>
  <c r="K168" i="268"/>
  <c r="L168" i="268"/>
  <c r="M168" i="268"/>
  <c r="N168" i="268"/>
  <c r="O168" i="268"/>
  <c r="P168" i="268"/>
  <c r="F169" i="268"/>
  <c r="G169" i="268"/>
  <c r="H169" i="268"/>
  <c r="I169" i="268"/>
  <c r="J169" i="268"/>
  <c r="K169" i="268"/>
  <c r="L169" i="268"/>
  <c r="M169" i="268"/>
  <c r="N169" i="268"/>
  <c r="O169" i="268"/>
  <c r="P169" i="268"/>
  <c r="F170" i="268"/>
  <c r="G170" i="268"/>
  <c r="H170" i="268"/>
  <c r="I170" i="268"/>
  <c r="J170" i="268"/>
  <c r="K170" i="268"/>
  <c r="L170" i="268"/>
  <c r="M170" i="268"/>
  <c r="N170" i="268"/>
  <c r="O170" i="268"/>
  <c r="P170" i="268"/>
  <c r="E170" i="268"/>
  <c r="E169" i="268"/>
  <c r="F165" i="268"/>
  <c r="G165" i="268"/>
  <c r="H165" i="268"/>
  <c r="I165" i="268"/>
  <c r="J165" i="268"/>
  <c r="K165" i="268"/>
  <c r="L165" i="268"/>
  <c r="M165" i="268"/>
  <c r="N165" i="268"/>
  <c r="O165" i="268"/>
  <c r="P165" i="268"/>
  <c r="F166" i="268"/>
  <c r="G166" i="268"/>
  <c r="H166" i="268"/>
  <c r="I166" i="268"/>
  <c r="J166" i="268"/>
  <c r="K166" i="268"/>
  <c r="L166" i="268"/>
  <c r="M166" i="268"/>
  <c r="N166" i="268"/>
  <c r="O166" i="268"/>
  <c r="P166" i="268"/>
  <c r="E166" i="268"/>
  <c r="E165" i="268"/>
  <c r="E172" i="268"/>
  <c r="E168" i="268"/>
  <c r="F164" i="268"/>
  <c r="G164" i="268"/>
  <c r="H164" i="268"/>
  <c r="I164" i="268"/>
  <c r="J164" i="268"/>
  <c r="K164" i="268"/>
  <c r="L164" i="268"/>
  <c r="M164" i="268"/>
  <c r="N164" i="268"/>
  <c r="O164" i="268"/>
  <c r="P164" i="268"/>
  <c r="P167" i="268"/>
  <c r="E164" i="268"/>
  <c r="F155" i="268"/>
  <c r="G155" i="268"/>
  <c r="H155" i="268"/>
  <c r="I155" i="268"/>
  <c r="I158" i="268"/>
  <c r="J155" i="268"/>
  <c r="K155" i="268"/>
  <c r="L155" i="268"/>
  <c r="M155" i="268"/>
  <c r="M158" i="268"/>
  <c r="N155" i="268"/>
  <c r="O155" i="268"/>
  <c r="P155" i="268"/>
  <c r="F156" i="268"/>
  <c r="G156" i="268"/>
  <c r="H156" i="268"/>
  <c r="I156" i="268"/>
  <c r="J156" i="268"/>
  <c r="K156" i="268"/>
  <c r="L156" i="268"/>
  <c r="M156" i="268"/>
  <c r="N156" i="268"/>
  <c r="O156" i="268"/>
  <c r="P156" i="268"/>
  <c r="F157" i="268"/>
  <c r="G157" i="268"/>
  <c r="H157" i="268"/>
  <c r="H158" i="268"/>
  <c r="I157" i="268"/>
  <c r="J157" i="268"/>
  <c r="K157" i="268"/>
  <c r="L157" i="268"/>
  <c r="L158" i="268"/>
  <c r="M157" i="268"/>
  <c r="N157" i="268"/>
  <c r="O157" i="268"/>
  <c r="P157" i="268"/>
  <c r="P158" i="268"/>
  <c r="E157" i="268"/>
  <c r="E156" i="268"/>
  <c r="E155" i="268"/>
  <c r="E158" i="268"/>
  <c r="F151" i="268"/>
  <c r="G151" i="268"/>
  <c r="H151" i="268"/>
  <c r="H154" i="268"/>
  <c r="I151" i="268"/>
  <c r="J151" i="268"/>
  <c r="K151" i="268"/>
  <c r="L151" i="268"/>
  <c r="L154" i="268"/>
  <c r="M151" i="268"/>
  <c r="N151" i="268"/>
  <c r="O151" i="268"/>
  <c r="P151" i="268"/>
  <c r="P154" i="268"/>
  <c r="F152" i="268"/>
  <c r="G152" i="268"/>
  <c r="H152" i="268"/>
  <c r="I152" i="268"/>
  <c r="J152" i="268"/>
  <c r="K152" i="268"/>
  <c r="L152" i="268"/>
  <c r="M152" i="268"/>
  <c r="N152" i="268"/>
  <c r="O152" i="268"/>
  <c r="P152" i="268"/>
  <c r="F153" i="268"/>
  <c r="F161" i="268"/>
  <c r="G153" i="268"/>
  <c r="G161" i="268"/>
  <c r="H153" i="268"/>
  <c r="I153" i="268"/>
  <c r="I161" i="268"/>
  <c r="J153" i="268"/>
  <c r="J161" i="268"/>
  <c r="K153" i="268"/>
  <c r="K161" i="268"/>
  <c r="L153" i="268"/>
  <c r="M153" i="268"/>
  <c r="M161" i="268"/>
  <c r="N153" i="268"/>
  <c r="N161" i="268"/>
  <c r="O153" i="268"/>
  <c r="O161" i="268"/>
  <c r="P153" i="268"/>
  <c r="E153" i="268"/>
  <c r="E152" i="268"/>
  <c r="E151" i="268"/>
  <c r="E149" i="268"/>
  <c r="E161" i="268"/>
  <c r="F148" i="268"/>
  <c r="F160" i="268"/>
  <c r="G148" i="268"/>
  <c r="G160" i="268"/>
  <c r="H148" i="268"/>
  <c r="I148" i="268"/>
  <c r="J148" i="268"/>
  <c r="J160" i="268"/>
  <c r="K148" i="268"/>
  <c r="K160" i="268"/>
  <c r="L148" i="268"/>
  <c r="M148" i="268"/>
  <c r="E148" i="268"/>
  <c r="E160" i="268"/>
  <c r="E147" i="268"/>
  <c r="E159" i="268"/>
  <c r="F147" i="268"/>
  <c r="G147" i="268"/>
  <c r="G159" i="268"/>
  <c r="H147" i="268"/>
  <c r="H150" i="268"/>
  <c r="I147" i="268"/>
  <c r="I150" i="268"/>
  <c r="J147" i="268"/>
  <c r="K147" i="268"/>
  <c r="K159" i="268"/>
  <c r="L147" i="268"/>
  <c r="L150" i="268"/>
  <c r="M147" i="268"/>
  <c r="M150" i="268"/>
  <c r="P225" i="268"/>
  <c r="P205" i="268"/>
  <c r="P224" i="268"/>
  <c r="P201" i="268"/>
  <c r="P195" i="268"/>
  <c r="P194" i="268"/>
  <c r="P184" i="268"/>
  <c r="V8" i="336"/>
  <c r="W8" i="336"/>
  <c r="V9" i="336"/>
  <c r="W9" i="336"/>
  <c r="V10" i="336"/>
  <c r="W10" i="336"/>
  <c r="V12" i="336"/>
  <c r="W12" i="336"/>
  <c r="V13" i="336"/>
  <c r="W13" i="336"/>
  <c r="V14" i="336"/>
  <c r="W14" i="336"/>
  <c r="V15" i="336"/>
  <c r="W15" i="336"/>
  <c r="V17" i="336"/>
  <c r="W17" i="336"/>
  <c r="V18" i="336"/>
  <c r="W18" i="336"/>
  <c r="V19" i="336"/>
  <c r="W19" i="336"/>
  <c r="V20" i="336"/>
  <c r="W20" i="336"/>
  <c r="V22" i="336"/>
  <c r="W22" i="336"/>
  <c r="V23" i="336"/>
  <c r="W23" i="336"/>
  <c r="V24" i="336"/>
  <c r="W24" i="336"/>
  <c r="V25" i="336"/>
  <c r="W25" i="336"/>
  <c r="V27" i="336"/>
  <c r="W27" i="336"/>
  <c r="V28" i="336"/>
  <c r="W28" i="336"/>
  <c r="V29" i="336"/>
  <c r="W29" i="336"/>
  <c r="V30" i="336"/>
  <c r="W30" i="336"/>
  <c r="V32" i="336"/>
  <c r="W32" i="336"/>
  <c r="R8" i="336"/>
  <c r="S8" i="336"/>
  <c r="R9" i="336"/>
  <c r="S9" i="336"/>
  <c r="R10" i="336"/>
  <c r="S10" i="336"/>
  <c r="R12" i="336"/>
  <c r="S12" i="336"/>
  <c r="R13" i="336"/>
  <c r="S13" i="336"/>
  <c r="R14" i="336"/>
  <c r="S14" i="336"/>
  <c r="R15" i="336"/>
  <c r="S15" i="336"/>
  <c r="R17" i="336"/>
  <c r="S17" i="336"/>
  <c r="R18" i="336"/>
  <c r="S18" i="336"/>
  <c r="R19" i="336"/>
  <c r="S19" i="336"/>
  <c r="R20" i="336"/>
  <c r="S20" i="336"/>
  <c r="R22" i="336"/>
  <c r="S22" i="336"/>
  <c r="R23" i="336"/>
  <c r="S23" i="336"/>
  <c r="R24" i="336"/>
  <c r="S24" i="336"/>
  <c r="R25" i="336"/>
  <c r="S25" i="336"/>
  <c r="R27" i="336"/>
  <c r="S27" i="336"/>
  <c r="R28" i="336"/>
  <c r="S28" i="336"/>
  <c r="R29" i="336"/>
  <c r="S29" i="336"/>
  <c r="R30" i="336"/>
  <c r="S30" i="336"/>
  <c r="R32" i="336"/>
  <c r="S32" i="336"/>
  <c r="W7" i="336"/>
  <c r="S7" i="336"/>
  <c r="V7" i="336"/>
  <c r="R7" i="336"/>
  <c r="AH8" i="336"/>
  <c r="AI8" i="336"/>
  <c r="AH9" i="336"/>
  <c r="AI9" i="336"/>
  <c r="AH10" i="336"/>
  <c r="AI10" i="336"/>
  <c r="AH12" i="336"/>
  <c r="AI12" i="336"/>
  <c r="AH13" i="336"/>
  <c r="AI13" i="336"/>
  <c r="AH14" i="336"/>
  <c r="AI14" i="336"/>
  <c r="AH15" i="336"/>
  <c r="AI15" i="336"/>
  <c r="AH17" i="336"/>
  <c r="AI17" i="336"/>
  <c r="AH18" i="336"/>
  <c r="AI18" i="336"/>
  <c r="AH19" i="336"/>
  <c r="AI19" i="336"/>
  <c r="AH20" i="336"/>
  <c r="AI20" i="336"/>
  <c r="AH22" i="336"/>
  <c r="AI22" i="336"/>
  <c r="AH23" i="336"/>
  <c r="AI23" i="336"/>
  <c r="AH24" i="336"/>
  <c r="AI24" i="336"/>
  <c r="AH25" i="336"/>
  <c r="AI25" i="336"/>
  <c r="AH27" i="336"/>
  <c r="AI27" i="336"/>
  <c r="AH28" i="336"/>
  <c r="AI28" i="336"/>
  <c r="AH29" i="336"/>
  <c r="AI29" i="336"/>
  <c r="AH30" i="336"/>
  <c r="AI30" i="336"/>
  <c r="AH32" i="336"/>
  <c r="AI32" i="336"/>
  <c r="AI7" i="336"/>
  <c r="AH7" i="336"/>
  <c r="AD8" i="336"/>
  <c r="AE8" i="336"/>
  <c r="AD9" i="336"/>
  <c r="AE9" i="336"/>
  <c r="AD10" i="336"/>
  <c r="AE10" i="336"/>
  <c r="AD12" i="336"/>
  <c r="AE12" i="336"/>
  <c r="AD13" i="336"/>
  <c r="AE13" i="336"/>
  <c r="AD14" i="336"/>
  <c r="AE14" i="336"/>
  <c r="AD15" i="336"/>
  <c r="AE15" i="336"/>
  <c r="AD17" i="336"/>
  <c r="AE17" i="336"/>
  <c r="AD18" i="336"/>
  <c r="AE18" i="336"/>
  <c r="AD19" i="336"/>
  <c r="AE19" i="336"/>
  <c r="AD20" i="336"/>
  <c r="AE20" i="336"/>
  <c r="AD22" i="336"/>
  <c r="AE22" i="336"/>
  <c r="AD23" i="336"/>
  <c r="AE23" i="336"/>
  <c r="AD24" i="336"/>
  <c r="AE24" i="336"/>
  <c r="AD25" i="336"/>
  <c r="AE25" i="336"/>
  <c r="AD27" i="336"/>
  <c r="AE27" i="336"/>
  <c r="AD28" i="336"/>
  <c r="AE28" i="336"/>
  <c r="AD29" i="336"/>
  <c r="AE29" i="336"/>
  <c r="AD30" i="336"/>
  <c r="AE30" i="336"/>
  <c r="AD32" i="336"/>
  <c r="AE32" i="336"/>
  <c r="AE7" i="336"/>
  <c r="AD7" i="336"/>
  <c r="Z8" i="336"/>
  <c r="AA8" i="336"/>
  <c r="Z9" i="336"/>
  <c r="AA9" i="336"/>
  <c r="Z10" i="336"/>
  <c r="AA10" i="336"/>
  <c r="Z12" i="336"/>
  <c r="AA12" i="336"/>
  <c r="Z13" i="336"/>
  <c r="AA13" i="336"/>
  <c r="Z14" i="336"/>
  <c r="AA14" i="336"/>
  <c r="Z15" i="336"/>
  <c r="AA15" i="336"/>
  <c r="Z17" i="336"/>
  <c r="AA17" i="336"/>
  <c r="Z18" i="336"/>
  <c r="AA18" i="336"/>
  <c r="Z19" i="336"/>
  <c r="AA19" i="336"/>
  <c r="Z20" i="336"/>
  <c r="AA20" i="336"/>
  <c r="Z22" i="336"/>
  <c r="AA22" i="336"/>
  <c r="Z23" i="336"/>
  <c r="AA23" i="336"/>
  <c r="Z24" i="336"/>
  <c r="AA24" i="336"/>
  <c r="Z25" i="336"/>
  <c r="AA25" i="336"/>
  <c r="Z27" i="336"/>
  <c r="AA27" i="336"/>
  <c r="Z28" i="336"/>
  <c r="AA28" i="336"/>
  <c r="Z29" i="336"/>
  <c r="AA29" i="336"/>
  <c r="Z30" i="336"/>
  <c r="AA30" i="336"/>
  <c r="Z32" i="336"/>
  <c r="AA32" i="336"/>
  <c r="AA7" i="336"/>
  <c r="Z7" i="336"/>
  <c r="AP8" i="336"/>
  <c r="AQ8" i="336"/>
  <c r="AP9" i="336"/>
  <c r="AQ9" i="336"/>
  <c r="AP10" i="336"/>
  <c r="AQ10" i="336"/>
  <c r="AP12" i="336"/>
  <c r="AQ12" i="336"/>
  <c r="AP13" i="336"/>
  <c r="AQ13" i="336"/>
  <c r="AP14" i="336"/>
  <c r="AQ14" i="336"/>
  <c r="AP15" i="336"/>
  <c r="AQ15" i="336"/>
  <c r="AP17" i="336"/>
  <c r="AQ17" i="336"/>
  <c r="AP18" i="336"/>
  <c r="AQ18" i="336"/>
  <c r="AP19" i="336"/>
  <c r="AQ19" i="336"/>
  <c r="AP20" i="336"/>
  <c r="AQ20" i="336"/>
  <c r="AP22" i="336"/>
  <c r="AQ22" i="336"/>
  <c r="AP23" i="336"/>
  <c r="AQ23" i="336"/>
  <c r="AP24" i="336"/>
  <c r="AQ24" i="336"/>
  <c r="AP25" i="336"/>
  <c r="AQ25" i="336"/>
  <c r="AP27" i="336"/>
  <c r="AQ27" i="336"/>
  <c r="AP28" i="336"/>
  <c r="AQ28" i="336"/>
  <c r="AP29" i="336"/>
  <c r="AQ29" i="336"/>
  <c r="AP30" i="336"/>
  <c r="AQ30" i="336"/>
  <c r="AP32" i="336"/>
  <c r="AQ32" i="336"/>
  <c r="AQ7" i="336"/>
  <c r="AP7" i="336"/>
  <c r="AL8" i="336"/>
  <c r="AM8" i="336"/>
  <c r="AL9" i="336"/>
  <c r="AM9" i="336"/>
  <c r="AL10" i="336"/>
  <c r="AM10" i="336"/>
  <c r="AL12" i="336"/>
  <c r="AM12" i="336"/>
  <c r="AL13" i="336"/>
  <c r="AM13" i="336"/>
  <c r="AL14" i="336"/>
  <c r="AM14" i="336"/>
  <c r="AL15" i="336"/>
  <c r="AM15" i="336"/>
  <c r="AL17" i="336"/>
  <c r="AM17" i="336"/>
  <c r="AL18" i="336"/>
  <c r="AM18" i="336"/>
  <c r="AL19" i="336"/>
  <c r="AM19" i="336"/>
  <c r="AL20" i="336"/>
  <c r="AM20" i="336"/>
  <c r="AL22" i="336"/>
  <c r="AM22" i="336"/>
  <c r="AL23" i="336"/>
  <c r="AM23" i="336"/>
  <c r="AL24" i="336"/>
  <c r="AM24" i="336"/>
  <c r="AL25" i="336"/>
  <c r="AM25" i="336"/>
  <c r="AL27" i="336"/>
  <c r="AM27" i="336"/>
  <c r="AL28" i="336"/>
  <c r="AM28" i="336"/>
  <c r="AL29" i="336"/>
  <c r="AM29" i="336"/>
  <c r="AL30" i="336"/>
  <c r="AM30" i="336"/>
  <c r="AL32" i="336"/>
  <c r="AM32" i="336"/>
  <c r="AM7" i="336"/>
  <c r="AL7" i="336"/>
  <c r="M160" i="268"/>
  <c r="O154" i="268"/>
  <c r="K154" i="268"/>
  <c r="J150" i="268"/>
  <c r="F159" i="268"/>
  <c r="L160" i="268"/>
  <c r="H160" i="268"/>
  <c r="E150" i="268"/>
  <c r="P161" i="268"/>
  <c r="L161" i="268"/>
  <c r="H161" i="268"/>
  <c r="N154" i="268"/>
  <c r="J154" i="268"/>
  <c r="F154" i="268"/>
  <c r="H159" i="268"/>
  <c r="H162" i="268"/>
  <c r="E154" i="268"/>
  <c r="M154" i="268"/>
  <c r="I154" i="268"/>
  <c r="I160" i="268"/>
  <c r="G154" i="268"/>
  <c r="L159" i="268"/>
  <c r="K162" i="268"/>
  <c r="F162" i="268"/>
  <c r="E162" i="268"/>
  <c r="G162" i="268"/>
  <c r="F150" i="268"/>
  <c r="J159" i="268"/>
  <c r="J162" i="268"/>
  <c r="P177" i="268"/>
  <c r="K150" i="268"/>
  <c r="G150" i="268"/>
  <c r="O158" i="268"/>
  <c r="K158" i="268"/>
  <c r="G158" i="268"/>
  <c r="N158" i="268"/>
  <c r="J158" i="268"/>
  <c r="F158" i="268"/>
  <c r="M159" i="268"/>
  <c r="M162" i="268"/>
  <c r="I159" i="268"/>
  <c r="L162" i="268"/>
  <c r="P176" i="268"/>
  <c r="P223" i="268"/>
  <c r="P222" i="268"/>
  <c r="P196" i="268"/>
  <c r="P178" i="268"/>
  <c r="P217" i="268"/>
  <c r="P171" i="268"/>
  <c r="P221" i="268"/>
  <c r="AT8" i="336"/>
  <c r="AU8" i="336"/>
  <c r="AT9" i="336"/>
  <c r="AU9" i="336"/>
  <c r="AT10" i="336"/>
  <c r="AU10" i="336"/>
  <c r="AT12" i="336"/>
  <c r="AU12" i="336"/>
  <c r="AT13" i="336"/>
  <c r="AU13" i="336"/>
  <c r="AT14" i="336"/>
  <c r="AU14" i="336"/>
  <c r="AT15" i="336"/>
  <c r="AU15" i="336"/>
  <c r="AT17" i="336"/>
  <c r="AU17" i="336"/>
  <c r="AT18" i="336"/>
  <c r="AU18" i="336"/>
  <c r="AT19" i="336"/>
  <c r="AU19" i="336"/>
  <c r="AT20" i="336"/>
  <c r="AU20" i="336"/>
  <c r="AT22" i="336"/>
  <c r="AU22" i="336"/>
  <c r="AT23" i="336"/>
  <c r="AU23" i="336"/>
  <c r="AT24" i="336"/>
  <c r="AU24" i="336"/>
  <c r="AT25" i="336"/>
  <c r="AU25" i="336"/>
  <c r="AT27" i="336"/>
  <c r="AU27" i="336"/>
  <c r="AT28" i="336"/>
  <c r="AU28" i="336"/>
  <c r="AT29" i="336"/>
  <c r="AU29" i="336"/>
  <c r="AT30" i="336"/>
  <c r="AU30" i="336"/>
  <c r="AT32" i="336"/>
  <c r="AU32" i="336"/>
  <c r="AU7" i="336"/>
  <c r="AT7" i="336"/>
  <c r="AX8" i="336"/>
  <c r="AY8" i="336"/>
  <c r="AX9" i="336"/>
  <c r="AY9" i="336"/>
  <c r="AX10" i="336"/>
  <c r="AY10" i="336"/>
  <c r="AX12" i="336"/>
  <c r="AY12" i="336"/>
  <c r="AX13" i="336"/>
  <c r="AY13" i="336"/>
  <c r="AX14" i="336"/>
  <c r="AY14" i="336"/>
  <c r="AX15" i="336"/>
  <c r="AY15" i="336"/>
  <c r="AX17" i="336"/>
  <c r="AY17" i="336"/>
  <c r="AX18" i="336"/>
  <c r="AY18" i="336"/>
  <c r="AX19" i="336"/>
  <c r="AY19" i="336"/>
  <c r="AX20" i="336"/>
  <c r="AY20" i="336"/>
  <c r="AX22" i="336"/>
  <c r="AY22" i="336"/>
  <c r="AX23" i="336"/>
  <c r="AY23" i="336"/>
  <c r="AX24" i="336"/>
  <c r="AY24" i="336"/>
  <c r="AX25" i="336"/>
  <c r="AY25" i="336"/>
  <c r="AX27" i="336"/>
  <c r="AY27" i="336"/>
  <c r="AX28" i="336"/>
  <c r="AY28" i="336"/>
  <c r="AX29" i="336"/>
  <c r="AY29" i="336"/>
  <c r="AX30" i="336"/>
  <c r="AY30" i="336"/>
  <c r="AX32" i="336"/>
  <c r="AY32" i="336"/>
  <c r="AY7" i="336"/>
  <c r="AX7" i="336"/>
  <c r="BD17" i="336"/>
  <c r="L150" i="336"/>
  <c r="BB8" i="336"/>
  <c r="BC8" i="336"/>
  <c r="BB9" i="336"/>
  <c r="BC9" i="336"/>
  <c r="BB10" i="336"/>
  <c r="BC10" i="336"/>
  <c r="BB12" i="336"/>
  <c r="BC12" i="336"/>
  <c r="BB13" i="336"/>
  <c r="BC13" i="336"/>
  <c r="BB14" i="336"/>
  <c r="BC14" i="336"/>
  <c r="BB15" i="336"/>
  <c r="BC15" i="336"/>
  <c r="BB18" i="336"/>
  <c r="BC18" i="336"/>
  <c r="BB19" i="336"/>
  <c r="BC19" i="336"/>
  <c r="BB20" i="336"/>
  <c r="BC20" i="336"/>
  <c r="BB22" i="336"/>
  <c r="BC22" i="336"/>
  <c r="BB23" i="336"/>
  <c r="BC23" i="336"/>
  <c r="BB24" i="336"/>
  <c r="BC24" i="336"/>
  <c r="BB25" i="336"/>
  <c r="BC25" i="336"/>
  <c r="BB27" i="336"/>
  <c r="BC27" i="336"/>
  <c r="BB28" i="336"/>
  <c r="BC28" i="336"/>
  <c r="BB29" i="336"/>
  <c r="BC29" i="336"/>
  <c r="BB30" i="336"/>
  <c r="BC30" i="336"/>
  <c r="BB32" i="336"/>
  <c r="BC32" i="336"/>
  <c r="BB7" i="336"/>
  <c r="BC7" i="336"/>
  <c r="BG8" i="336"/>
  <c r="BG9" i="336"/>
  <c r="BG10" i="336"/>
  <c r="BG12" i="336"/>
  <c r="BG13" i="336"/>
  <c r="BG14" i="336"/>
  <c r="BG15" i="336"/>
  <c r="BG17" i="336"/>
  <c r="BG18" i="336"/>
  <c r="BG19" i="336"/>
  <c r="BG20" i="336"/>
  <c r="BG22" i="336"/>
  <c r="BG23" i="336"/>
  <c r="BG24" i="336"/>
  <c r="BG25" i="336"/>
  <c r="BG27" i="336"/>
  <c r="BG28" i="336"/>
  <c r="BG29" i="336"/>
  <c r="BG30" i="336"/>
  <c r="BG32" i="336"/>
  <c r="BG7" i="336"/>
  <c r="BF8" i="336"/>
  <c r="BF9" i="336"/>
  <c r="BF10" i="336"/>
  <c r="BF12" i="336"/>
  <c r="BF13" i="336"/>
  <c r="BF14" i="336"/>
  <c r="BF15" i="336"/>
  <c r="BF17" i="336"/>
  <c r="BF18" i="336"/>
  <c r="BF19" i="336"/>
  <c r="BF20" i="336"/>
  <c r="BF22" i="336"/>
  <c r="BF23" i="336"/>
  <c r="BF24" i="336"/>
  <c r="BF25" i="336"/>
  <c r="BF27" i="336"/>
  <c r="BF28" i="336"/>
  <c r="BF29" i="336"/>
  <c r="BF30" i="336"/>
  <c r="BF32" i="336"/>
  <c r="BF7" i="336"/>
  <c r="BK8" i="336"/>
  <c r="BK9" i="336"/>
  <c r="BK10" i="336"/>
  <c r="BK12" i="336"/>
  <c r="BK13" i="336"/>
  <c r="BK14" i="336"/>
  <c r="BK15" i="336"/>
  <c r="BK17" i="336"/>
  <c r="BK18" i="336"/>
  <c r="BK19" i="336"/>
  <c r="BK20" i="336"/>
  <c r="BK22" i="336"/>
  <c r="BK23" i="336"/>
  <c r="BK24" i="336"/>
  <c r="BK25" i="336"/>
  <c r="BK27" i="336"/>
  <c r="BK28" i="336"/>
  <c r="BK29" i="336"/>
  <c r="BK30" i="336"/>
  <c r="BK32" i="336"/>
  <c r="BK7" i="336"/>
  <c r="BJ8" i="336"/>
  <c r="BJ9" i="336"/>
  <c r="BJ10" i="336"/>
  <c r="BJ12" i="336"/>
  <c r="BJ13" i="336"/>
  <c r="BJ14" i="336"/>
  <c r="BJ15" i="336"/>
  <c r="BJ17" i="336"/>
  <c r="BJ18" i="336"/>
  <c r="BJ19" i="336"/>
  <c r="BJ20" i="336"/>
  <c r="BJ22" i="336"/>
  <c r="BJ23" i="336"/>
  <c r="BJ24" i="336"/>
  <c r="BJ25" i="336"/>
  <c r="BJ27" i="336"/>
  <c r="BJ28" i="336"/>
  <c r="BJ29" i="336"/>
  <c r="BJ30" i="336"/>
  <c r="BJ32" i="336"/>
  <c r="BJ7" i="336"/>
  <c r="X27" i="253"/>
  <c r="X26" i="253"/>
  <c r="X25" i="253"/>
  <c r="X17" i="253"/>
  <c r="X16" i="253"/>
  <c r="X15" i="253"/>
  <c r="X35" i="253"/>
  <c r="X11" i="253"/>
  <c r="X34" i="253"/>
  <c r="X10" i="253"/>
  <c r="X7" i="253"/>
  <c r="X6" i="253"/>
  <c r="X5" i="253"/>
  <c r="P179" i="268"/>
  <c r="I162" i="268"/>
  <c r="X25" i="275"/>
  <c r="X78" i="275"/>
  <c r="AO16" i="284"/>
  <c r="AO15" i="284"/>
  <c r="AQ45" i="283"/>
  <c r="BM53" i="281"/>
  <c r="BL52" i="281"/>
  <c r="BM52" i="281"/>
  <c r="BN52" i="281"/>
  <c r="BK52" i="281"/>
  <c r="BL11" i="281"/>
  <c r="BM11" i="281"/>
  <c r="BN46" i="281"/>
  <c r="BM46" i="281"/>
  <c r="BL46" i="281"/>
  <c r="BK46" i="281"/>
  <c r="BN44" i="281"/>
  <c r="BN48" i="281"/>
  <c r="BM44" i="281"/>
  <c r="BL44" i="281"/>
  <c r="BK44" i="281"/>
  <c r="BN42" i="281"/>
  <c r="BM42" i="281"/>
  <c r="BL42" i="281"/>
  <c r="BL48" i="281"/>
  <c r="BK42" i="281"/>
  <c r="BN37" i="281"/>
  <c r="BM37" i="281"/>
  <c r="BL37" i="281"/>
  <c r="BK37" i="281"/>
  <c r="BN35" i="281"/>
  <c r="BN39" i="281"/>
  <c r="BM35" i="281"/>
  <c r="BL35" i="281"/>
  <c r="BK35" i="281"/>
  <c r="BN33" i="281"/>
  <c r="BM33" i="281"/>
  <c r="BL33" i="281"/>
  <c r="BL39" i="281"/>
  <c r="BK33" i="281"/>
  <c r="BN28" i="281"/>
  <c r="BM28" i="281"/>
  <c r="BL28" i="281"/>
  <c r="BK28" i="281"/>
  <c r="BN26" i="281"/>
  <c r="BN30" i="281"/>
  <c r="BM26" i="281"/>
  <c r="BL26" i="281"/>
  <c r="BK26" i="281"/>
  <c r="BN24" i="281"/>
  <c r="BM24" i="281"/>
  <c r="BL24" i="281"/>
  <c r="BL30" i="281"/>
  <c r="BK24" i="281"/>
  <c r="BN19" i="281"/>
  <c r="BM19" i="281"/>
  <c r="BL19" i="281"/>
  <c r="BK19" i="281"/>
  <c r="BN17" i="281"/>
  <c r="BN21" i="281"/>
  <c r="BM17" i="281"/>
  <c r="BL17" i="281"/>
  <c r="BK17" i="281"/>
  <c r="BN15" i="281"/>
  <c r="BM15" i="281"/>
  <c r="BL15" i="281"/>
  <c r="BL21" i="281"/>
  <c r="BK15" i="281"/>
  <c r="BN10" i="281"/>
  <c r="BM10" i="281"/>
  <c r="BL10" i="281"/>
  <c r="BK10" i="281"/>
  <c r="BO10" i="281"/>
  <c r="BN11" i="281"/>
  <c r="BN8" i="281"/>
  <c r="BM8" i="281"/>
  <c r="BM12" i="281"/>
  <c r="BL8" i="281"/>
  <c r="BK8" i="281"/>
  <c r="BN6" i="281"/>
  <c r="BM6" i="281"/>
  <c r="BL6" i="281"/>
  <c r="BL12" i="281"/>
  <c r="BK6" i="281"/>
  <c r="BN29" i="242"/>
  <c r="BM29" i="242"/>
  <c r="BL29" i="242"/>
  <c r="BK29" i="242"/>
  <c r="BO28" i="242"/>
  <c r="BO27" i="242"/>
  <c r="BO26" i="242"/>
  <c r="BN24" i="242"/>
  <c r="BM24" i="242"/>
  <c r="BO23" i="242"/>
  <c r="BO22" i="242"/>
  <c r="BO21" i="242"/>
  <c r="BN19" i="242"/>
  <c r="BM19" i="242"/>
  <c r="BL19" i="242"/>
  <c r="BK19" i="242"/>
  <c r="BO18" i="242"/>
  <c r="BO17" i="242"/>
  <c r="BO16" i="242"/>
  <c r="BN14" i="242"/>
  <c r="BM14" i="242"/>
  <c r="BL14" i="242"/>
  <c r="BK14" i="242"/>
  <c r="BO13" i="242"/>
  <c r="BO12" i="242"/>
  <c r="BO11" i="242"/>
  <c r="BN9" i="242"/>
  <c r="BM9" i="242"/>
  <c r="BL9" i="242"/>
  <c r="BK9" i="242"/>
  <c r="BO8" i="242"/>
  <c r="BO7" i="242"/>
  <c r="BO6" i="242"/>
  <c r="O35" i="243"/>
  <c r="O34" i="243"/>
  <c r="O33" i="243"/>
  <c r="O32" i="243"/>
  <c r="O31" i="243"/>
  <c r="O30" i="243"/>
  <c r="O36" i="243"/>
  <c r="O28" i="243"/>
  <c r="O23" i="243"/>
  <c r="O18" i="243"/>
  <c r="O13" i="243"/>
  <c r="O8" i="243"/>
  <c r="BK11" i="281"/>
  <c r="BO11" i="281"/>
  <c r="BL51" i="281"/>
  <c r="BO6" i="281"/>
  <c r="BN12" i="281"/>
  <c r="BK12" i="281"/>
  <c r="BK21" i="281"/>
  <c r="BO26" i="281"/>
  <c r="BO35" i="281"/>
  <c r="BK39" i="281"/>
  <c r="BO44" i="281"/>
  <c r="BK48" i="281"/>
  <c r="BO19" i="281"/>
  <c r="BO24" i="281"/>
  <c r="BO8" i="281"/>
  <c r="BO17" i="281"/>
  <c r="BK30" i="281"/>
  <c r="BM21" i="281"/>
  <c r="BM30" i="281"/>
  <c r="BO33" i="281"/>
  <c r="BO37" i="281"/>
  <c r="BM39" i="281"/>
  <c r="BO42" i="281"/>
  <c r="BO46" i="281"/>
  <c r="BM48" i="281"/>
  <c r="BO15" i="281"/>
  <c r="BO28" i="281"/>
  <c r="BO24" i="242"/>
  <c r="BL31" i="242"/>
  <c r="BM31" i="242"/>
  <c r="BO14" i="242"/>
  <c r="BO9" i="242"/>
  <c r="BO29" i="242"/>
  <c r="BO19" i="242"/>
  <c r="BK31" i="242"/>
  <c r="BN31" i="242"/>
  <c r="BS73" i="276"/>
  <c r="BP14" i="277"/>
  <c r="BQ14" i="277"/>
  <c r="BP15" i="277"/>
  <c r="BQ15" i="277"/>
  <c r="BP16" i="277"/>
  <c r="BQ16" i="277"/>
  <c r="BO16" i="277"/>
  <c r="BO15" i="277"/>
  <c r="BO14" i="277"/>
  <c r="BQ46" i="276"/>
  <c r="BR46" i="276"/>
  <c r="BS46" i="276"/>
  <c r="BT31" i="276"/>
  <c r="BT40" i="276"/>
  <c r="BT41" i="276"/>
  <c r="BT42" i="276"/>
  <c r="BT43" i="276"/>
  <c r="BT44" i="276"/>
  <c r="BT45" i="276"/>
  <c r="BT33" i="276"/>
  <c r="BT34" i="276"/>
  <c r="BT35" i="276"/>
  <c r="BT36" i="276"/>
  <c r="BT37" i="276"/>
  <c r="BT38" i="276"/>
  <c r="BS15" i="276"/>
  <c r="BR15" i="276"/>
  <c r="BQ15" i="276"/>
  <c r="BO17" i="277"/>
  <c r="BM49" i="281"/>
  <c r="BN47" i="281"/>
  <c r="BK47" i="281"/>
  <c r="BL47" i="281"/>
  <c r="BM47" i="281"/>
  <c r="BO48" i="281"/>
  <c r="BN43" i="281"/>
  <c r="BK43" i="281"/>
  <c r="BO43" i="281"/>
  <c r="BL43" i="281"/>
  <c r="BM43" i="281"/>
  <c r="BN45" i="281"/>
  <c r="BK45" i="281"/>
  <c r="BO45" i="281"/>
  <c r="BL45" i="281"/>
  <c r="BM45" i="281"/>
  <c r="BO39" i="281"/>
  <c r="BN34" i="281"/>
  <c r="BK34" i="281"/>
  <c r="BL34" i="281"/>
  <c r="BM34" i="281"/>
  <c r="BN36" i="281"/>
  <c r="BK36" i="281"/>
  <c r="BO36" i="281"/>
  <c r="BL36" i="281"/>
  <c r="BM36" i="281"/>
  <c r="BN38" i="281"/>
  <c r="BK38" i="281"/>
  <c r="BO38" i="281"/>
  <c r="BL38" i="281"/>
  <c r="BM38" i="281"/>
  <c r="BN25" i="281"/>
  <c r="BK25" i="281"/>
  <c r="BL25" i="281"/>
  <c r="BM25" i="281"/>
  <c r="BN29" i="281"/>
  <c r="BK29" i="281"/>
  <c r="BL29" i="281"/>
  <c r="BM29" i="281"/>
  <c r="BN27" i="281"/>
  <c r="BK27" i="281"/>
  <c r="BL27" i="281"/>
  <c r="BM27" i="281"/>
  <c r="BM18" i="281"/>
  <c r="BN18" i="281"/>
  <c r="BK18" i="281"/>
  <c r="BO18" i="281"/>
  <c r="BL18" i="281"/>
  <c r="BM20" i="281"/>
  <c r="BN20" i="281"/>
  <c r="BK20" i="281"/>
  <c r="BO20" i="281"/>
  <c r="BL20" i="281"/>
  <c r="BM16" i="281"/>
  <c r="BN16" i="281"/>
  <c r="BK16" i="281"/>
  <c r="BO16" i="281"/>
  <c r="BL16" i="281"/>
  <c r="BN9" i="281"/>
  <c r="BK9" i="281"/>
  <c r="BL9" i="281"/>
  <c r="BM9" i="281"/>
  <c r="BL7" i="281"/>
  <c r="BM7" i="281"/>
  <c r="BN7" i="281"/>
  <c r="BK7" i="281"/>
  <c r="BO21" i="281"/>
  <c r="BM22" i="281"/>
  <c r="BK51" i="281"/>
  <c r="BN51" i="281"/>
  <c r="BM51" i="281"/>
  <c r="BO30" i="281"/>
  <c r="BO12" i="281"/>
  <c r="BN13" i="281"/>
  <c r="BO31" i="242"/>
  <c r="BP17" i="277"/>
  <c r="P15" i="268"/>
  <c r="P14" i="268"/>
  <c r="P13" i="268"/>
  <c r="P16" i="268"/>
  <c r="P81" i="268"/>
  <c r="P66" i="268"/>
  <c r="P65" i="268"/>
  <c r="P64" i="268"/>
  <c r="P68" i="268"/>
  <c r="P61" i="268"/>
  <c r="P63" i="268"/>
  <c r="P82" i="268"/>
  <c r="P58" i="268"/>
  <c r="P70" i="268"/>
  <c r="P57" i="268"/>
  <c r="P59" i="268"/>
  <c r="P51" i="268"/>
  <c r="P54" i="268"/>
  <c r="P49" i="268"/>
  <c r="P53" i="268"/>
  <c r="P48" i="268"/>
  <c r="P50" i="268"/>
  <c r="P46" i="268"/>
  <c r="P45" i="268"/>
  <c r="P44" i="268"/>
  <c r="P43" i="268"/>
  <c r="P42" i="268"/>
  <c r="P41" i="268"/>
  <c r="P40" i="268"/>
  <c r="P52" i="268"/>
  <c r="P39" i="268"/>
  <c r="P33" i="268"/>
  <c r="P80" i="268"/>
  <c r="P32" i="268"/>
  <c r="P31" i="268"/>
  <c r="P30" i="268"/>
  <c r="P29" i="268"/>
  <c r="P28" i="268"/>
  <c r="P27" i="268"/>
  <c r="P26" i="268"/>
  <c r="P34" i="268"/>
  <c r="P25" i="268"/>
  <c r="P24" i="268"/>
  <c r="P36" i="268"/>
  <c r="P23" i="268"/>
  <c r="P35" i="268"/>
  <c r="P11" i="268"/>
  <c r="P10" i="268"/>
  <c r="P9" i="268"/>
  <c r="P12" i="268"/>
  <c r="P79" i="268"/>
  <c r="P7" i="268"/>
  <c r="P19" i="268"/>
  <c r="P6" i="268"/>
  <c r="P148" i="268"/>
  <c r="P160" i="268"/>
  <c r="P216" i="268"/>
  <c r="P5" i="268"/>
  <c r="Q75" i="267"/>
  <c r="Q28" i="267"/>
  <c r="Q44" i="267"/>
  <c r="Q14" i="267"/>
  <c r="Q132" i="267"/>
  <c r="Q128" i="267"/>
  <c r="Q126" i="267"/>
  <c r="Q122" i="267"/>
  <c r="Q117" i="267"/>
  <c r="Q102" i="267"/>
  <c r="Q85" i="267"/>
  <c r="Q61" i="267"/>
  <c r="P75" i="268"/>
  <c r="P17" i="268"/>
  <c r="P73" i="268"/>
  <c r="P147" i="268"/>
  <c r="BL49" i="281"/>
  <c r="BN49" i="281"/>
  <c r="BK49" i="281"/>
  <c r="BO47" i="281"/>
  <c r="BL40" i="281"/>
  <c r="BN40" i="281"/>
  <c r="BM40" i="281"/>
  <c r="BK40" i="281"/>
  <c r="BO34" i="281"/>
  <c r="BL31" i="281"/>
  <c r="BN31" i="281"/>
  <c r="BO27" i="281"/>
  <c r="BO29" i="281"/>
  <c r="BO25" i="281"/>
  <c r="BK31" i="281"/>
  <c r="BO31" i="281"/>
  <c r="BM31" i="281"/>
  <c r="BL22" i="281"/>
  <c r="BN22" i="281"/>
  <c r="BK22" i="281"/>
  <c r="BK13" i="281"/>
  <c r="BO13" i="281"/>
  <c r="BO7" i="281"/>
  <c r="BO9" i="281"/>
  <c r="BO51" i="281"/>
  <c r="BL13" i="281"/>
  <c r="BM13" i="281"/>
  <c r="BO52" i="281"/>
  <c r="P18" i="268"/>
  <c r="P37" i="268"/>
  <c r="P71" i="268"/>
  <c r="P67" i="268"/>
  <c r="P83" i="268"/>
  <c r="P8" i="268"/>
  <c r="P78" i="268"/>
  <c r="P84" i="268"/>
  <c r="P69" i="268"/>
  <c r="Q133" i="267"/>
  <c r="Q123" i="267"/>
  <c r="Q86" i="267"/>
  <c r="Q45" i="267"/>
  <c r="AN33" i="284"/>
  <c r="AN32" i="284"/>
  <c r="AN31" i="284"/>
  <c r="AM33" i="284"/>
  <c r="AM32" i="284"/>
  <c r="AM31" i="284"/>
  <c r="P20" i="268"/>
  <c r="P150" i="268"/>
  <c r="P220" i="268"/>
  <c r="P226" i="268"/>
  <c r="P159" i="268"/>
  <c r="BO49" i="281"/>
  <c r="BO40" i="281"/>
  <c r="BO22" i="281"/>
  <c r="P74" i="268"/>
  <c r="P76" i="268"/>
  <c r="Q135" i="267"/>
  <c r="AP132" i="283"/>
  <c r="AO72" i="283"/>
  <c r="AP55" i="283"/>
  <c r="AO55" i="283"/>
  <c r="AO14" i="283"/>
  <c r="AO67" i="284"/>
  <c r="AN67" i="284"/>
  <c r="AM67" i="284"/>
  <c r="AO66" i="284"/>
  <c r="AN66" i="284"/>
  <c r="AM66" i="284"/>
  <c r="AO63" i="284"/>
  <c r="AN63" i="284"/>
  <c r="AM63" i="284"/>
  <c r="AO62" i="284"/>
  <c r="AN62" i="284"/>
  <c r="AM62" i="284"/>
  <c r="AO61" i="284"/>
  <c r="AN61" i="284"/>
  <c r="AM61" i="284"/>
  <c r="AO59" i="284"/>
  <c r="AN59" i="284"/>
  <c r="AM59" i="284"/>
  <c r="AO58" i="284"/>
  <c r="AN58" i="284"/>
  <c r="AM58" i="284"/>
  <c r="AO57" i="284"/>
  <c r="AN57" i="284"/>
  <c r="AM57" i="284"/>
  <c r="AO50" i="284"/>
  <c r="AN50" i="284"/>
  <c r="AM50" i="284"/>
  <c r="AO49" i="284"/>
  <c r="AN49" i="284"/>
  <c r="AM49" i="284"/>
  <c r="AO48" i="284"/>
  <c r="AN48" i="284"/>
  <c r="AM48" i="284"/>
  <c r="AO46" i="284"/>
  <c r="AN46" i="284"/>
  <c r="AM46" i="284"/>
  <c r="AO45" i="284"/>
  <c r="AN45" i="284"/>
  <c r="AM45" i="284"/>
  <c r="AO44" i="284"/>
  <c r="AN44" i="284"/>
  <c r="AN52" i="284"/>
  <c r="AM44" i="284"/>
  <c r="AO42" i="284"/>
  <c r="AN42" i="284"/>
  <c r="AM42" i="284"/>
  <c r="AO41" i="284"/>
  <c r="AN41" i="284"/>
  <c r="AM41" i="284"/>
  <c r="AO33" i="284"/>
  <c r="AO32" i="284"/>
  <c r="AO31" i="284"/>
  <c r="AO35" i="284"/>
  <c r="AN35" i="284"/>
  <c r="AM34" i="284"/>
  <c r="AO28" i="284"/>
  <c r="AO30" i="284"/>
  <c r="AN28" i="284"/>
  <c r="AM28" i="284"/>
  <c r="AM30" i="284"/>
  <c r="AO25" i="284"/>
  <c r="AN25" i="284"/>
  <c r="AN37" i="284"/>
  <c r="AM25" i="284"/>
  <c r="AO24" i="284"/>
  <c r="AN24" i="284"/>
  <c r="AM24" i="284"/>
  <c r="AN16" i="284"/>
  <c r="AM16" i="284"/>
  <c r="AN15" i="284"/>
  <c r="AM15" i="284"/>
  <c r="AO14" i="284"/>
  <c r="AN14" i="284"/>
  <c r="AM14" i="284"/>
  <c r="AO12" i="284"/>
  <c r="AN12" i="284"/>
  <c r="AM12" i="284"/>
  <c r="AO11" i="284"/>
  <c r="AN11" i="284"/>
  <c r="AM11" i="284"/>
  <c r="AO10" i="284"/>
  <c r="AN10" i="284"/>
  <c r="AM10" i="284"/>
  <c r="AO8" i="284"/>
  <c r="AN8" i="284"/>
  <c r="AM8" i="284"/>
  <c r="AO7" i="284"/>
  <c r="AN7" i="284"/>
  <c r="AM7" i="284"/>
  <c r="AQ132" i="283"/>
  <c r="AO132" i="283"/>
  <c r="AQ127" i="283"/>
  <c r="AP127" i="283"/>
  <c r="AO127" i="283"/>
  <c r="AQ112" i="283"/>
  <c r="AP112" i="283"/>
  <c r="AO112" i="283"/>
  <c r="AQ96" i="283"/>
  <c r="AP96" i="283"/>
  <c r="AO96" i="283"/>
  <c r="AQ86" i="283"/>
  <c r="AP86" i="283"/>
  <c r="AO86" i="283"/>
  <c r="AQ72" i="283"/>
  <c r="AP72" i="283"/>
  <c r="AQ55" i="283"/>
  <c r="AQ51" i="283"/>
  <c r="AP51" i="283"/>
  <c r="AO51" i="283"/>
  <c r="AQ49" i="283"/>
  <c r="AP49" i="283"/>
  <c r="AO49" i="283"/>
  <c r="AP45" i="283"/>
  <c r="AO45" i="283"/>
  <c r="AQ28" i="283"/>
  <c r="AP28" i="283"/>
  <c r="AO28" i="283"/>
  <c r="AQ14" i="283"/>
  <c r="AP14" i="283"/>
  <c r="AQ56" i="283"/>
  <c r="AN69" i="284"/>
  <c r="AM52" i="284"/>
  <c r="P162" i="268"/>
  <c r="P215" i="268"/>
  <c r="P218" i="268"/>
  <c r="AN26" i="284"/>
  <c r="AO64" i="284"/>
  <c r="AN36" i="284"/>
  <c r="AN38" i="284"/>
  <c r="AO70" i="284"/>
  <c r="AO71" i="284"/>
  <c r="AO51" i="284"/>
  <c r="AO43" i="284"/>
  <c r="AO36" i="284"/>
  <c r="AO13" i="284"/>
  <c r="AO19" i="284"/>
  <c r="AN64" i="284"/>
  <c r="AN70" i="284"/>
  <c r="AP133" i="283"/>
  <c r="AN51" i="284"/>
  <c r="AN54" i="284"/>
  <c r="AN17" i="284"/>
  <c r="AN9" i="284"/>
  <c r="AM68" i="284"/>
  <c r="AM69" i="284"/>
  <c r="AM53" i="284"/>
  <c r="AN20" i="284"/>
  <c r="AO17" i="284"/>
  <c r="AN19" i="284"/>
  <c r="AO20" i="284"/>
  <c r="AN18" i="284"/>
  <c r="AN74" i="284"/>
  <c r="AN13" i="284"/>
  <c r="AO34" i="284"/>
  <c r="AM54" i="284"/>
  <c r="AM70" i="284"/>
  <c r="AN71" i="284"/>
  <c r="AO9" i="284"/>
  <c r="AM37" i="284"/>
  <c r="AN53" i="284"/>
  <c r="AO54" i="284"/>
  <c r="AN47" i="284"/>
  <c r="AN60" i="284"/>
  <c r="AN68" i="284"/>
  <c r="AM18" i="284"/>
  <c r="AO37" i="284"/>
  <c r="AO53" i="284"/>
  <c r="AN43" i="284"/>
  <c r="AO47" i="284"/>
  <c r="AM51" i="284"/>
  <c r="AO69" i="284"/>
  <c r="AM71" i="284"/>
  <c r="AM64" i="284"/>
  <c r="AO68" i="284"/>
  <c r="AM26" i="284"/>
  <c r="AM36" i="284"/>
  <c r="AM20" i="284"/>
  <c r="AM17" i="284"/>
  <c r="AM19" i="284"/>
  <c r="AM9" i="284"/>
  <c r="AM13" i="284"/>
  <c r="AN30" i="284"/>
  <c r="AN34" i="284"/>
  <c r="AM43" i="284"/>
  <c r="AM47" i="284"/>
  <c r="AM60" i="284"/>
  <c r="AO18" i="284"/>
  <c r="AO52" i="284"/>
  <c r="AM35" i="284"/>
  <c r="AO60" i="284"/>
  <c r="AO26" i="284"/>
  <c r="AO133" i="283"/>
  <c r="AQ133" i="283"/>
  <c r="AQ97" i="283"/>
  <c r="AO97" i="283"/>
  <c r="AP97" i="283"/>
  <c r="AO56" i="283"/>
  <c r="AP56" i="283"/>
  <c r="AQ46" i="283"/>
  <c r="AO46" i="283"/>
  <c r="AP46" i="283"/>
  <c r="M13" i="294"/>
  <c r="M27" i="294"/>
  <c r="M29" i="293"/>
  <c r="M28" i="293"/>
  <c r="M27" i="293"/>
  <c r="M26" i="293"/>
  <c r="M25" i="293"/>
  <c r="M24" i="293"/>
  <c r="M16" i="293"/>
  <c r="O28" i="292"/>
  <c r="O27" i="292"/>
  <c r="O26" i="292"/>
  <c r="O25" i="292"/>
  <c r="O24" i="292"/>
  <c r="O23" i="292"/>
  <c r="O22" i="292"/>
  <c r="O14" i="292"/>
  <c r="O38" i="291"/>
  <c r="O37" i="291"/>
  <c r="O36" i="291"/>
  <c r="O35" i="291"/>
  <c r="O34" i="291"/>
  <c r="O33" i="291"/>
  <c r="O29" i="291"/>
  <c r="O28" i="291"/>
  <c r="O27" i="291"/>
  <c r="O26" i="291"/>
  <c r="O25" i="291"/>
  <c r="O24" i="291"/>
  <c r="O16" i="291"/>
  <c r="AO55" i="284"/>
  <c r="AN21" i="284"/>
  <c r="AM38" i="284"/>
  <c r="AM76" i="284"/>
  <c r="AO72" i="284"/>
  <c r="AO75" i="284"/>
  <c r="AO38" i="284"/>
  <c r="AO76" i="284"/>
  <c r="AO21" i="284"/>
  <c r="AN76" i="284"/>
  <c r="AN75" i="284"/>
  <c r="AM72" i="284"/>
  <c r="AN55" i="284"/>
  <c r="AN72" i="284"/>
  <c r="AM75" i="284"/>
  <c r="AM55" i="284"/>
  <c r="AM21" i="284"/>
  <c r="AO74" i="284"/>
  <c r="AM74" i="284"/>
  <c r="AP135" i="283"/>
  <c r="AO135" i="283"/>
  <c r="AQ135" i="283"/>
  <c r="M24" i="294"/>
  <c r="M21" i="294"/>
  <c r="M25" i="294"/>
  <c r="M22" i="294"/>
  <c r="M26" i="294"/>
  <c r="M23" i="294"/>
  <c r="M30" i="293"/>
  <c r="M38" i="293"/>
  <c r="O29" i="292"/>
  <c r="O39" i="291"/>
  <c r="O30" i="291"/>
  <c r="AH52" i="295"/>
  <c r="AI49" i="295"/>
  <c r="AH132" i="295"/>
  <c r="AG132" i="295"/>
  <c r="AH131" i="295"/>
  <c r="AG131" i="295"/>
  <c r="AH130" i="295"/>
  <c r="AG130" i="295"/>
  <c r="AH127" i="295"/>
  <c r="AG127" i="295"/>
  <c r="AH126" i="295"/>
  <c r="AG126" i="295"/>
  <c r="AI126" i="295"/>
  <c r="AH125" i="295"/>
  <c r="AI125" i="295"/>
  <c r="AG125" i="295"/>
  <c r="AH122" i="295"/>
  <c r="AG122" i="295"/>
  <c r="AH121" i="295"/>
  <c r="AG121" i="295"/>
  <c r="AH120" i="295"/>
  <c r="AG120" i="295"/>
  <c r="AH117" i="295"/>
  <c r="AH140" i="295"/>
  <c r="AG117" i="295"/>
  <c r="AH116" i="295"/>
  <c r="AH139" i="295"/>
  <c r="AG116" i="295"/>
  <c r="AG139" i="295"/>
  <c r="AH115" i="295"/>
  <c r="AG115" i="295"/>
  <c r="AH112" i="295"/>
  <c r="AG112" i="295"/>
  <c r="AH111" i="295"/>
  <c r="AG111" i="295"/>
  <c r="AH110" i="295"/>
  <c r="AG110" i="295"/>
  <c r="AG135" i="295"/>
  <c r="AH102" i="295"/>
  <c r="AG102" i="295"/>
  <c r="AH101" i="295"/>
  <c r="AG101" i="295"/>
  <c r="AH100" i="295"/>
  <c r="AG100" i="295"/>
  <c r="AH99" i="295"/>
  <c r="AG99" i="295"/>
  <c r="AH98" i="295"/>
  <c r="AG98" i="295"/>
  <c r="AH97" i="295"/>
  <c r="AG97" i="295"/>
  <c r="AH95" i="295"/>
  <c r="AG95" i="295"/>
  <c r="AI95" i="295"/>
  <c r="AI94" i="295"/>
  <c r="AI93" i="295"/>
  <c r="AI92" i="295"/>
  <c r="AH90" i="295"/>
  <c r="AG90" i="295"/>
  <c r="AI89" i="295"/>
  <c r="AI88" i="295"/>
  <c r="AI87" i="295"/>
  <c r="AH85" i="295"/>
  <c r="AI85" i="295"/>
  <c r="AG85" i="295"/>
  <c r="AI84" i="295"/>
  <c r="AI102" i="295"/>
  <c r="AI83" i="295"/>
  <c r="AI101" i="295"/>
  <c r="AI82" i="295"/>
  <c r="AH80" i="295"/>
  <c r="AG80" i="295"/>
  <c r="AI79" i="295"/>
  <c r="AI78" i="295"/>
  <c r="AI77" i="295"/>
  <c r="AI97" i="295"/>
  <c r="AH69" i="295"/>
  <c r="AG69" i="295"/>
  <c r="AH68" i="295"/>
  <c r="AG68" i="295"/>
  <c r="AI68" i="295"/>
  <c r="AH67" i="295"/>
  <c r="AG67" i="295"/>
  <c r="AI67" i="295"/>
  <c r="AH66" i="295"/>
  <c r="AG66" i="295"/>
  <c r="AI66" i="295"/>
  <c r="AH65" i="295"/>
  <c r="AG65" i="295"/>
  <c r="AH64" i="295"/>
  <c r="AG64" i="295"/>
  <c r="AH62" i="295"/>
  <c r="AG62" i="295"/>
  <c r="AI62" i="295"/>
  <c r="AI61" i="295"/>
  <c r="AI60" i="295"/>
  <c r="AI59" i="295"/>
  <c r="AH57" i="295"/>
  <c r="AG57" i="295"/>
  <c r="AI56" i="295"/>
  <c r="AI55" i="295"/>
  <c r="AI54" i="295"/>
  <c r="AI51" i="295"/>
  <c r="AI50" i="295"/>
  <c r="AH47" i="295"/>
  <c r="AG47" i="295"/>
  <c r="AI46" i="295"/>
  <c r="AI45" i="295"/>
  <c r="AI44" i="295"/>
  <c r="AH36" i="295"/>
  <c r="AG36" i="295"/>
  <c r="AI36" i="295"/>
  <c r="AH35" i="295"/>
  <c r="AI35" i="295"/>
  <c r="AG35" i="295"/>
  <c r="AH34" i="295"/>
  <c r="AG34" i="295"/>
  <c r="AH33" i="295"/>
  <c r="AG33" i="295"/>
  <c r="AH32" i="295"/>
  <c r="AG32" i="295"/>
  <c r="AH31" i="295"/>
  <c r="AG31" i="295"/>
  <c r="AH29" i="295"/>
  <c r="AG29" i="295"/>
  <c r="AI28" i="295"/>
  <c r="AI27" i="295"/>
  <c r="AI26" i="295"/>
  <c r="AH24" i="295"/>
  <c r="AG24" i="295"/>
  <c r="AI23" i="295"/>
  <c r="AI22" i="295"/>
  <c r="AI21" i="295"/>
  <c r="AH19" i="295"/>
  <c r="AG19" i="295"/>
  <c r="AI18" i="295"/>
  <c r="AI17" i="295"/>
  <c r="AI16" i="295"/>
  <c r="AH14" i="295"/>
  <c r="AI14" i="295"/>
  <c r="AG14" i="295"/>
  <c r="AI13" i="295"/>
  <c r="AI12" i="295"/>
  <c r="AI11" i="295"/>
  <c r="AH9" i="295"/>
  <c r="AG9" i="295"/>
  <c r="AI9" i="295"/>
  <c r="AI8" i="295"/>
  <c r="AI7" i="295"/>
  <c r="AI6" i="295"/>
  <c r="BA134" i="337"/>
  <c r="AZ134" i="337"/>
  <c r="BB133" i="337"/>
  <c r="BB132" i="337"/>
  <c r="BB131" i="337"/>
  <c r="BA124" i="337"/>
  <c r="AZ124" i="337"/>
  <c r="AY124" i="337"/>
  <c r="BB123" i="337"/>
  <c r="BB122" i="337"/>
  <c r="BB121" i="337"/>
  <c r="BA119" i="337"/>
  <c r="AZ119" i="337"/>
  <c r="BB118" i="337"/>
  <c r="BB117" i="337"/>
  <c r="BB119" i="337"/>
  <c r="BA114" i="337"/>
  <c r="AZ114" i="337"/>
  <c r="AY114" i="337"/>
  <c r="AY136" i="337"/>
  <c r="BB113" i="337"/>
  <c r="BB112" i="337"/>
  <c r="BB111" i="337"/>
  <c r="BA99" i="337"/>
  <c r="AZ99" i="337"/>
  <c r="BB98" i="337"/>
  <c r="BB97" i="337"/>
  <c r="BB96" i="337"/>
  <c r="BA89" i="337"/>
  <c r="AZ89" i="337"/>
  <c r="AY89" i="337"/>
  <c r="BB88" i="337"/>
  <c r="BB87" i="337"/>
  <c r="BB86" i="337"/>
  <c r="BA84" i="337"/>
  <c r="AZ84" i="337"/>
  <c r="BB83" i="337"/>
  <c r="BB81" i="337"/>
  <c r="BA79" i="337"/>
  <c r="AZ79" i="337"/>
  <c r="AY79" i="337"/>
  <c r="AY101" i="337"/>
  <c r="BB78" i="337"/>
  <c r="BB77" i="337"/>
  <c r="BB76" i="337"/>
  <c r="BB79" i="337"/>
  <c r="BA64" i="337"/>
  <c r="AZ64" i="337"/>
  <c r="AY64" i="337"/>
  <c r="AY66" i="337"/>
  <c r="BB63" i="337"/>
  <c r="BB62" i="337"/>
  <c r="BB61" i="337"/>
  <c r="BA59" i="337"/>
  <c r="AZ59" i="337"/>
  <c r="BB58" i="337"/>
  <c r="BB57" i="337"/>
  <c r="BB56" i="337"/>
  <c r="BA54" i="337"/>
  <c r="AZ54" i="337"/>
  <c r="AY54" i="337"/>
  <c r="BB53" i="337"/>
  <c r="BB52" i="337"/>
  <c r="BB51" i="337"/>
  <c r="BA49" i="337"/>
  <c r="AZ49" i="337"/>
  <c r="BB48" i="337"/>
  <c r="BB47" i="337"/>
  <c r="BB46" i="337"/>
  <c r="BA44" i="337"/>
  <c r="AZ44" i="337"/>
  <c r="AY44" i="337"/>
  <c r="BB43" i="337"/>
  <c r="BB42" i="337"/>
  <c r="BB41" i="337"/>
  <c r="BA28" i="337"/>
  <c r="AZ28" i="337"/>
  <c r="AY28" i="337"/>
  <c r="BA27" i="337"/>
  <c r="AZ27" i="337"/>
  <c r="AY27" i="337"/>
  <c r="BA26" i="337"/>
  <c r="AZ26" i="337"/>
  <c r="AY26" i="337"/>
  <c r="BA23" i="337"/>
  <c r="AZ23" i="337"/>
  <c r="AY23" i="337"/>
  <c r="BA22" i="337"/>
  <c r="AZ22" i="337"/>
  <c r="AY22" i="337"/>
  <c r="BA21" i="337"/>
  <c r="BA24" i="337"/>
  <c r="AZ21" i="337"/>
  <c r="AY21" i="337"/>
  <c r="BA18" i="337"/>
  <c r="AZ18" i="337"/>
  <c r="AY18" i="337"/>
  <c r="BA17" i="337"/>
  <c r="AZ17" i="337"/>
  <c r="AY17" i="337"/>
  <c r="BA16" i="337"/>
  <c r="AZ16" i="337"/>
  <c r="AY16" i="337"/>
  <c r="BA13" i="337"/>
  <c r="AZ13" i="337"/>
  <c r="AY13" i="337"/>
  <c r="BA12" i="337"/>
  <c r="AZ12" i="337"/>
  <c r="AY12" i="337"/>
  <c r="BA11" i="337"/>
  <c r="AZ11" i="337"/>
  <c r="AY11" i="337"/>
  <c r="BA8" i="337"/>
  <c r="AZ8" i="337"/>
  <c r="AY8" i="337"/>
  <c r="BA7" i="337"/>
  <c r="AZ7" i="337"/>
  <c r="AY7" i="337"/>
  <c r="BA6" i="337"/>
  <c r="AZ6" i="337"/>
  <c r="AY6" i="337"/>
  <c r="AM77" i="284"/>
  <c r="AO77" i="284"/>
  <c r="AN77" i="284"/>
  <c r="M34" i="293"/>
  <c r="M36" i="293"/>
  <c r="M28" i="294"/>
  <c r="M35" i="293"/>
  <c r="M33" i="293"/>
  <c r="M39" i="293"/>
  <c r="M37" i="293"/>
  <c r="AI90" i="295"/>
  <c r="AG103" i="295"/>
  <c r="AI80" i="295"/>
  <c r="AI132" i="295"/>
  <c r="AI120" i="295"/>
  <c r="AI69" i="295"/>
  <c r="AG52" i="295"/>
  <c r="AI52" i="295"/>
  <c r="AI127" i="295"/>
  <c r="AI24" i="295"/>
  <c r="AI19" i="295"/>
  <c r="AI100" i="295"/>
  <c r="AI99" i="295"/>
  <c r="AI98" i="295"/>
  <c r="AI117" i="295"/>
  <c r="AH103" i="295"/>
  <c r="AI130" i="295"/>
  <c r="AH70" i="295"/>
  <c r="AG136" i="295"/>
  <c r="AI131" i="295"/>
  <c r="AH135" i="295"/>
  <c r="AI135" i="295"/>
  <c r="AI57" i="295"/>
  <c r="AI121" i="295"/>
  <c r="AI115" i="295"/>
  <c r="AI139" i="295"/>
  <c r="AI110" i="295"/>
  <c r="AI65" i="295"/>
  <c r="AI47" i="295"/>
  <c r="AG70" i="295"/>
  <c r="AH133" i="295"/>
  <c r="AI29" i="295"/>
  <c r="AH138" i="295"/>
  <c r="AG133" i="295"/>
  <c r="AH137" i="295"/>
  <c r="AH128" i="295"/>
  <c r="AG128" i="295"/>
  <c r="AG123" i="295"/>
  <c r="AI32" i="295"/>
  <c r="AI122" i="295"/>
  <c r="AH123" i="295"/>
  <c r="AH136" i="295"/>
  <c r="AH118" i="295"/>
  <c r="AG118" i="295"/>
  <c r="AH37" i="295"/>
  <c r="AG37" i="295"/>
  <c r="AH113" i="295"/>
  <c r="AI34" i="295"/>
  <c r="AI112" i="295"/>
  <c r="AI33" i="295"/>
  <c r="AI111" i="295"/>
  <c r="AG113" i="295"/>
  <c r="AI116" i="295"/>
  <c r="AG138" i="295"/>
  <c r="AG137" i="295"/>
  <c r="AI31" i="295"/>
  <c r="AG140" i="295"/>
  <c r="AI140" i="295"/>
  <c r="AI64" i="295"/>
  <c r="BB124" i="337"/>
  <c r="BB8" i="337"/>
  <c r="AZ29" i="337"/>
  <c r="BB28" i="337"/>
  <c r="AZ66" i="337"/>
  <c r="BB64" i="337"/>
  <c r="AZ24" i="337"/>
  <c r="BB21" i="337"/>
  <c r="BB7" i="337"/>
  <c r="BB44" i="337"/>
  <c r="BA9" i="337"/>
  <c r="AZ14" i="337"/>
  <c r="BB49" i="337"/>
  <c r="BA66" i="337"/>
  <c r="AZ19" i="337"/>
  <c r="BB18" i="337"/>
  <c r="BB54" i="337"/>
  <c r="BB23" i="337"/>
  <c r="BB59" i="337"/>
  <c r="BB22" i="337"/>
  <c r="BB24" i="337"/>
  <c r="BB12" i="337"/>
  <c r="BA14" i="337"/>
  <c r="BB13" i="337"/>
  <c r="BB84" i="337"/>
  <c r="BB89" i="337"/>
  <c r="AZ101" i="337"/>
  <c r="BA101" i="337"/>
  <c r="BB99" i="337"/>
  <c r="AY9" i="337"/>
  <c r="BB114" i="337"/>
  <c r="AZ9" i="337"/>
  <c r="BB11" i="337"/>
  <c r="BA19" i="337"/>
  <c r="BB17" i="337"/>
  <c r="BA136" i="337"/>
  <c r="AY19" i="337"/>
  <c r="BA29" i="337"/>
  <c r="BB27" i="337"/>
  <c r="AZ136" i="337"/>
  <c r="BB134" i="337"/>
  <c r="AY29" i="337"/>
  <c r="BB136" i="337"/>
  <c r="BB6" i="337"/>
  <c r="BB26" i="337"/>
  <c r="BB16" i="337"/>
  <c r="BQ67" i="277"/>
  <c r="BP67" i="277"/>
  <c r="BO67" i="277"/>
  <c r="BQ66" i="277"/>
  <c r="BP66" i="277"/>
  <c r="BO66" i="277"/>
  <c r="BQ63" i="277"/>
  <c r="BP63" i="277"/>
  <c r="BO63" i="277"/>
  <c r="BQ62" i="277"/>
  <c r="BP62" i="277"/>
  <c r="BO62" i="277"/>
  <c r="BQ61" i="277"/>
  <c r="BP61" i="277"/>
  <c r="BO61" i="277"/>
  <c r="BQ59" i="277"/>
  <c r="BP59" i="277"/>
  <c r="BP71" i="277"/>
  <c r="BO59" i="277"/>
  <c r="BQ58" i="277"/>
  <c r="BP58" i="277"/>
  <c r="BO58" i="277"/>
  <c r="BQ57" i="277"/>
  <c r="BP57" i="277"/>
  <c r="BO57" i="277"/>
  <c r="BQ50" i="277"/>
  <c r="BP50" i="277"/>
  <c r="BO50" i="277"/>
  <c r="BQ49" i="277"/>
  <c r="BP49" i="277"/>
  <c r="BO49" i="277"/>
  <c r="BQ48" i="277"/>
  <c r="BP48" i="277"/>
  <c r="BO48" i="277"/>
  <c r="BQ46" i="277"/>
  <c r="BP46" i="277"/>
  <c r="BO46" i="277"/>
  <c r="BQ45" i="277"/>
  <c r="BP45" i="277"/>
  <c r="BO45" i="277"/>
  <c r="BQ44" i="277"/>
  <c r="BP44" i="277"/>
  <c r="BO44" i="277"/>
  <c r="BQ42" i="277"/>
  <c r="BP42" i="277"/>
  <c r="BO42" i="277"/>
  <c r="BQ41" i="277"/>
  <c r="BP41" i="277"/>
  <c r="BO41" i="277"/>
  <c r="BQ33" i="277"/>
  <c r="BP33" i="277"/>
  <c r="BO33" i="277"/>
  <c r="BQ32" i="277"/>
  <c r="BP32" i="277"/>
  <c r="BO32" i="277"/>
  <c r="BQ31" i="277"/>
  <c r="BP31" i="277"/>
  <c r="BP35" i="277"/>
  <c r="BO31" i="277"/>
  <c r="BO35" i="277"/>
  <c r="BQ28" i="277"/>
  <c r="BQ30" i="277"/>
  <c r="BP28" i="277"/>
  <c r="BP30" i="277"/>
  <c r="BO28" i="277"/>
  <c r="BO30" i="277"/>
  <c r="BQ25" i="277"/>
  <c r="BP25" i="277"/>
  <c r="BO25" i="277"/>
  <c r="BO37" i="277"/>
  <c r="BQ24" i="277"/>
  <c r="BP24" i="277"/>
  <c r="BO24" i="277"/>
  <c r="BR23" i="277"/>
  <c r="BQ12" i="277"/>
  <c r="BP12" i="277"/>
  <c r="BO12" i="277"/>
  <c r="BQ11" i="277"/>
  <c r="BP11" i="277"/>
  <c r="BO11" i="277"/>
  <c r="BQ10" i="277"/>
  <c r="BP10" i="277"/>
  <c r="BO10" i="277"/>
  <c r="BQ8" i="277"/>
  <c r="BP8" i="277"/>
  <c r="BO8" i="277"/>
  <c r="BQ7" i="277"/>
  <c r="BP7" i="277"/>
  <c r="BO7" i="277"/>
  <c r="BQ6" i="277"/>
  <c r="BP6" i="277"/>
  <c r="BO6" i="277"/>
  <c r="BS131" i="276"/>
  <c r="BR131" i="276"/>
  <c r="BQ131" i="276"/>
  <c r="BT130" i="276"/>
  <c r="BT129" i="276"/>
  <c r="BT128" i="276"/>
  <c r="BT127" i="276"/>
  <c r="BS126" i="276"/>
  <c r="BR126" i="276"/>
  <c r="BQ126" i="276"/>
  <c r="BT125" i="276"/>
  <c r="BT124" i="276"/>
  <c r="BT123" i="276"/>
  <c r="BT122" i="276"/>
  <c r="BT121" i="276"/>
  <c r="BT120" i="276"/>
  <c r="BT119" i="276"/>
  <c r="BT118" i="276"/>
  <c r="BT117" i="276"/>
  <c r="BT116" i="276"/>
  <c r="BT115" i="276"/>
  <c r="BT114" i="276"/>
  <c r="BT113" i="276"/>
  <c r="BT112" i="276"/>
  <c r="BS111" i="276"/>
  <c r="BR111" i="276"/>
  <c r="BQ111" i="276"/>
  <c r="BT110" i="276"/>
  <c r="BT109" i="276"/>
  <c r="BT108" i="276"/>
  <c r="BT107" i="276"/>
  <c r="BT106" i="276"/>
  <c r="BT105" i="276"/>
  <c r="BT104" i="276"/>
  <c r="BT103" i="276"/>
  <c r="BT102" i="276"/>
  <c r="BT101" i="276"/>
  <c r="BT100" i="276"/>
  <c r="BT99" i="276"/>
  <c r="BT98" i="276"/>
  <c r="BS95" i="276"/>
  <c r="BR95" i="276"/>
  <c r="BQ95" i="276"/>
  <c r="BT94" i="276"/>
  <c r="BT93" i="276"/>
  <c r="BT92" i="276"/>
  <c r="BT91" i="276"/>
  <c r="BT90" i="276"/>
  <c r="BT89" i="276"/>
  <c r="BT88" i="276"/>
  <c r="BT87" i="276"/>
  <c r="BT86" i="276"/>
  <c r="BS85" i="276"/>
  <c r="BR85" i="276"/>
  <c r="BQ85" i="276"/>
  <c r="BT84" i="276"/>
  <c r="BT83" i="276"/>
  <c r="BT82" i="276"/>
  <c r="BT81" i="276"/>
  <c r="BT80" i="276"/>
  <c r="BT79" i="276"/>
  <c r="BT78" i="276"/>
  <c r="BT77" i="276"/>
  <c r="BT76" i="276"/>
  <c r="BT75" i="276"/>
  <c r="BT74" i="276"/>
  <c r="BR73" i="276"/>
  <c r="BQ73" i="276"/>
  <c r="BT71" i="276"/>
  <c r="BT70" i="276"/>
  <c r="BT69" i="276"/>
  <c r="BT68" i="276"/>
  <c r="BT67" i="276"/>
  <c r="BT66" i="276"/>
  <c r="BT65" i="276"/>
  <c r="BT64" i="276"/>
  <c r="BT63" i="276"/>
  <c r="BT62" i="276"/>
  <c r="BT61" i="276"/>
  <c r="BT60" i="276"/>
  <c r="BT59" i="276"/>
  <c r="BT58" i="276"/>
  <c r="BS56" i="276"/>
  <c r="BR56" i="276"/>
  <c r="BR57" i="276"/>
  <c r="BQ56" i="276"/>
  <c r="BQ57" i="276"/>
  <c r="BT55" i="276"/>
  <c r="BT54" i="276"/>
  <c r="BT53" i="276"/>
  <c r="BS52" i="276"/>
  <c r="BT51" i="276"/>
  <c r="BT52" i="276"/>
  <c r="BS50" i="276"/>
  <c r="BT49" i="276"/>
  <c r="BT48" i="276"/>
  <c r="BT39" i="276"/>
  <c r="BT32" i="276"/>
  <c r="BT30" i="276"/>
  <c r="BS29" i="276"/>
  <c r="BR29" i="276"/>
  <c r="BQ29" i="276"/>
  <c r="BT28" i="276"/>
  <c r="BT27" i="276"/>
  <c r="BT26" i="276"/>
  <c r="BT25" i="276"/>
  <c r="BT24" i="276"/>
  <c r="BT23" i="276"/>
  <c r="BT22" i="276"/>
  <c r="BT21" i="276"/>
  <c r="BT20" i="276"/>
  <c r="BT19" i="276"/>
  <c r="BT18" i="276"/>
  <c r="BT17" i="276"/>
  <c r="BT16" i="276"/>
  <c r="BQ47" i="276"/>
  <c r="BT14" i="276"/>
  <c r="BT13" i="276"/>
  <c r="BT12" i="276"/>
  <c r="BT11" i="276"/>
  <c r="BT10" i="276"/>
  <c r="BT9" i="276"/>
  <c r="BT8" i="276"/>
  <c r="BT7" i="276"/>
  <c r="BT6" i="276"/>
  <c r="BT5" i="276"/>
  <c r="BT46" i="276"/>
  <c r="BQ37" i="277"/>
  <c r="BT15" i="276"/>
  <c r="BT73" i="276"/>
  <c r="BO20" i="277"/>
  <c r="BR14" i="277"/>
  <c r="BO53" i="277"/>
  <c r="BP20" i="277"/>
  <c r="BP13" i="277"/>
  <c r="BR16" i="277"/>
  <c r="BT29" i="276"/>
  <c r="BT47" i="276"/>
  <c r="BP19" i="277"/>
  <c r="BQ20" i="277"/>
  <c r="BQ13" i="277"/>
  <c r="BR15" i="277"/>
  <c r="BO13" i="277"/>
  <c r="BR12" i="277"/>
  <c r="BR11" i="277"/>
  <c r="BP54" i="277"/>
  <c r="BR46" i="277"/>
  <c r="BQ17" i="277"/>
  <c r="BR17" i="277"/>
  <c r="BQ19" i="277"/>
  <c r="BR8" i="277"/>
  <c r="BR10" i="277"/>
  <c r="BQ9" i="277"/>
  <c r="BO19" i="277"/>
  <c r="BR6" i="277"/>
  <c r="BO52" i="277"/>
  <c r="BQ69" i="277"/>
  <c r="BO71" i="277"/>
  <c r="BO68" i="277"/>
  <c r="BQ47" i="277"/>
  <c r="BP51" i="277"/>
  <c r="BO69" i="277"/>
  <c r="BP70" i="277"/>
  <c r="BQ71" i="277"/>
  <c r="BR62" i="277"/>
  <c r="BQ68" i="277"/>
  <c r="BP18" i="277"/>
  <c r="BR32" i="277"/>
  <c r="BP64" i="277"/>
  <c r="BP36" i="277"/>
  <c r="BQ53" i="277"/>
  <c r="BR49" i="277"/>
  <c r="BP9" i="277"/>
  <c r="BP21" i="277"/>
  <c r="BQ18" i="277"/>
  <c r="BQ36" i="277"/>
  <c r="BO54" i="277"/>
  <c r="BP52" i="277"/>
  <c r="BO51" i="277"/>
  <c r="BO70" i="277"/>
  <c r="BQ64" i="277"/>
  <c r="BR63" i="277"/>
  <c r="BP68" i="277"/>
  <c r="BO36" i="277"/>
  <c r="BP37" i="277"/>
  <c r="BQ34" i="277"/>
  <c r="BR33" i="277"/>
  <c r="BP53" i="277"/>
  <c r="BQ54" i="277"/>
  <c r="BR45" i="277"/>
  <c r="BQ51" i="277"/>
  <c r="BR50" i="277"/>
  <c r="BP69" i="277"/>
  <c r="BQ70" i="277"/>
  <c r="BO64" i="277"/>
  <c r="BR67" i="277"/>
  <c r="BR7" i="277"/>
  <c r="BO9" i="277"/>
  <c r="AI103" i="295"/>
  <c r="AI70" i="295"/>
  <c r="AI128" i="295"/>
  <c r="AI123" i="295"/>
  <c r="AI37" i="295"/>
  <c r="AI136" i="295"/>
  <c r="AI138" i="295"/>
  <c r="AI113" i="295"/>
  <c r="AI133" i="295"/>
  <c r="AI137" i="295"/>
  <c r="AH141" i="295"/>
  <c r="AI118" i="295"/>
  <c r="AG141" i="295"/>
  <c r="BB101" i="337"/>
  <c r="BB14" i="337"/>
  <c r="BA31" i="337"/>
  <c r="BB9" i="337"/>
  <c r="BB66" i="337"/>
  <c r="AY31" i="337"/>
  <c r="AZ31" i="337"/>
  <c r="BB19" i="337"/>
  <c r="BB29" i="337"/>
  <c r="BR30" i="277"/>
  <c r="BQ26" i="277"/>
  <c r="BQ35" i="277"/>
  <c r="BQ43" i="277"/>
  <c r="BQ52" i="277"/>
  <c r="BO18" i="277"/>
  <c r="BR24" i="277"/>
  <c r="BR25" i="277"/>
  <c r="BR28" i="277"/>
  <c r="BR31" i="277"/>
  <c r="BR35" i="277"/>
  <c r="BR41" i="277"/>
  <c r="BR42" i="277"/>
  <c r="BR44" i="277"/>
  <c r="BR48" i="277"/>
  <c r="BR57" i="277"/>
  <c r="BR58" i="277"/>
  <c r="BR59" i="277"/>
  <c r="BR61" i="277"/>
  <c r="BR66" i="277"/>
  <c r="BO26" i="277"/>
  <c r="BO34" i="277"/>
  <c r="BO43" i="277"/>
  <c r="BO47" i="277"/>
  <c r="BO60" i="277"/>
  <c r="BP26" i="277"/>
  <c r="BP34" i="277"/>
  <c r="BP43" i="277"/>
  <c r="BP47" i="277"/>
  <c r="BP60" i="277"/>
  <c r="BQ60" i="277"/>
  <c r="BT131" i="276"/>
  <c r="BT126" i="276"/>
  <c r="BQ132" i="276"/>
  <c r="BR132" i="276"/>
  <c r="BT111" i="276"/>
  <c r="BS132" i="276"/>
  <c r="BT95" i="276"/>
  <c r="BQ96" i="276"/>
  <c r="BT85" i="276"/>
  <c r="BR96" i="276"/>
  <c r="BS96" i="276"/>
  <c r="BT56" i="276"/>
  <c r="BS57" i="276"/>
  <c r="BT50" i="276"/>
  <c r="BR47" i="276"/>
  <c r="BS47" i="276"/>
  <c r="BB128" i="273"/>
  <c r="BC82" i="273"/>
  <c r="BT96" i="276"/>
  <c r="BR13" i="277"/>
  <c r="BT57" i="276"/>
  <c r="BQ21" i="277"/>
  <c r="BO75" i="277"/>
  <c r="BO76" i="277"/>
  <c r="BP76" i="277"/>
  <c r="BR20" i="277"/>
  <c r="BR37" i="277"/>
  <c r="BR19" i="277"/>
  <c r="BP72" i="277"/>
  <c r="BO72" i="277"/>
  <c r="BQ75" i="277"/>
  <c r="BQ76" i="277"/>
  <c r="BP38" i="277"/>
  <c r="BO74" i="277"/>
  <c r="BQ72" i="277"/>
  <c r="BR52" i="277"/>
  <c r="BR18" i="277"/>
  <c r="BR51" i="277"/>
  <c r="BQ55" i="277"/>
  <c r="BP75" i="277"/>
  <c r="BQ38" i="277"/>
  <c r="BO55" i="277"/>
  <c r="BP74" i="277"/>
  <c r="BR71" i="277"/>
  <c r="BR64" i="277"/>
  <c r="BR53" i="277"/>
  <c r="BP55" i="277"/>
  <c r="BR47" i="277"/>
  <c r="BR68" i="277"/>
  <c r="BR36" i="277"/>
  <c r="BR54" i="277"/>
  <c r="BR9" i="277"/>
  <c r="BR21" i="277"/>
  <c r="BO38" i="277"/>
  <c r="BO21" i="277"/>
  <c r="AI141" i="295"/>
  <c r="BB31" i="337"/>
  <c r="BR69" i="277"/>
  <c r="BR60" i="277"/>
  <c r="BR43" i="277"/>
  <c r="BR34" i="277"/>
  <c r="BR26" i="277"/>
  <c r="BR70" i="277"/>
  <c r="BQ74" i="277"/>
  <c r="BQ134" i="276"/>
  <c r="BS134" i="276"/>
  <c r="BT132" i="276"/>
  <c r="BR134" i="276"/>
  <c r="BA112" i="273"/>
  <c r="BT134" i="276"/>
  <c r="BR75" i="277"/>
  <c r="BO77" i="277"/>
  <c r="BR76" i="277"/>
  <c r="BP77" i="277"/>
  <c r="BQ77" i="277"/>
  <c r="BR72" i="277"/>
  <c r="BR38" i="277"/>
  <c r="BR74" i="277"/>
  <c r="BR55" i="277"/>
  <c r="BA67" i="263"/>
  <c r="AZ67" i="263"/>
  <c r="AY67" i="263"/>
  <c r="BA66" i="263"/>
  <c r="AZ66" i="263"/>
  <c r="AY66" i="263"/>
  <c r="BA63" i="263"/>
  <c r="AZ63" i="263"/>
  <c r="AY63" i="263"/>
  <c r="BA62" i="263"/>
  <c r="AZ62" i="263"/>
  <c r="AY62" i="263"/>
  <c r="BA61" i="263"/>
  <c r="AZ61" i="263"/>
  <c r="AY61" i="263"/>
  <c r="BA59" i="263"/>
  <c r="AZ59" i="263"/>
  <c r="AY59" i="263"/>
  <c r="BA58" i="263"/>
  <c r="AZ58" i="263"/>
  <c r="AY58" i="263"/>
  <c r="BA57" i="263"/>
  <c r="BA69" i="263"/>
  <c r="AZ57" i="263"/>
  <c r="AY57" i="263"/>
  <c r="BA50" i="263"/>
  <c r="AZ50" i="263"/>
  <c r="AY50" i="263"/>
  <c r="BA49" i="263"/>
  <c r="AZ49" i="263"/>
  <c r="AY49" i="263"/>
  <c r="BA48" i="263"/>
  <c r="AZ48" i="263"/>
  <c r="AY48" i="263"/>
  <c r="BA46" i="263"/>
  <c r="AZ46" i="263"/>
  <c r="AY46" i="263"/>
  <c r="BA45" i="263"/>
  <c r="AZ45" i="263"/>
  <c r="AY45" i="263"/>
  <c r="BA44" i="263"/>
  <c r="AZ44" i="263"/>
  <c r="AZ52" i="263"/>
  <c r="AY44" i="263"/>
  <c r="AY52" i="263"/>
  <c r="BA42" i="263"/>
  <c r="AZ42" i="263"/>
  <c r="AY42" i="263"/>
  <c r="BA41" i="263"/>
  <c r="AZ41" i="263"/>
  <c r="AY41" i="263"/>
  <c r="BA33" i="263"/>
  <c r="AZ33" i="263"/>
  <c r="AY33" i="263"/>
  <c r="BA32" i="263"/>
  <c r="AZ32" i="263"/>
  <c r="AY32" i="263"/>
  <c r="BA31" i="263"/>
  <c r="AZ31" i="263"/>
  <c r="AZ35" i="263"/>
  <c r="AY31" i="263"/>
  <c r="AY35" i="263"/>
  <c r="BA28" i="263"/>
  <c r="BA30" i="263"/>
  <c r="AZ28" i="263"/>
  <c r="AZ30" i="263"/>
  <c r="AY28" i="263"/>
  <c r="AY30" i="263"/>
  <c r="BA25" i="263"/>
  <c r="BA37" i="263"/>
  <c r="AZ25" i="263"/>
  <c r="AY25" i="263"/>
  <c r="BA24" i="263"/>
  <c r="AZ24" i="263"/>
  <c r="AZ36" i="263"/>
  <c r="AY24" i="263"/>
  <c r="AZ17" i="263"/>
  <c r="AY17" i="263"/>
  <c r="BB16" i="263"/>
  <c r="BB15" i="263"/>
  <c r="BA17" i="263"/>
  <c r="BA12" i="263"/>
  <c r="AZ12" i="263"/>
  <c r="AY12" i="263"/>
  <c r="BA11" i="263"/>
  <c r="AZ11" i="263"/>
  <c r="AY11" i="263"/>
  <c r="BA10" i="263"/>
  <c r="AZ10" i="263"/>
  <c r="AZ13" i="263"/>
  <c r="AY10" i="263"/>
  <c r="AY18" i="263"/>
  <c r="BA8" i="263"/>
  <c r="BA20" i="263"/>
  <c r="AZ8" i="263"/>
  <c r="AY8" i="263"/>
  <c r="AY20" i="263"/>
  <c r="BA7" i="263"/>
  <c r="AZ7" i="263"/>
  <c r="AZ19" i="263"/>
  <c r="AY7" i="263"/>
  <c r="BC127" i="273"/>
  <c r="BB127" i="273"/>
  <c r="BA127" i="273"/>
  <c r="BD126" i="273"/>
  <c r="BD125" i="273"/>
  <c r="BD124" i="273"/>
  <c r="BC123" i="273"/>
  <c r="BB123" i="273"/>
  <c r="BA123" i="273"/>
  <c r="BD122" i="273"/>
  <c r="BD123" i="273"/>
  <c r="BC121" i="273"/>
  <c r="BB121" i="273"/>
  <c r="BA121" i="273"/>
  <c r="BD120" i="273"/>
  <c r="BD119" i="273"/>
  <c r="BC117" i="273"/>
  <c r="BB117" i="273"/>
  <c r="BA117" i="273"/>
  <c r="BD116" i="273"/>
  <c r="BD115" i="273"/>
  <c r="BD114" i="273"/>
  <c r="BD113" i="273"/>
  <c r="BC112" i="273"/>
  <c r="BB112" i="273"/>
  <c r="BD111" i="273"/>
  <c r="BD110" i="273"/>
  <c r="BD109" i="273"/>
  <c r="BD108" i="273"/>
  <c r="BD107" i="273"/>
  <c r="BD106" i="273"/>
  <c r="BD105" i="273"/>
  <c r="BD104" i="273"/>
  <c r="BD103" i="273"/>
  <c r="BD102" i="273"/>
  <c r="BD101" i="273"/>
  <c r="BD100" i="273"/>
  <c r="BD99" i="273"/>
  <c r="BC98" i="273"/>
  <c r="BB98" i="273"/>
  <c r="BA98" i="273"/>
  <c r="BD97" i="273"/>
  <c r="BD96" i="273"/>
  <c r="BD95" i="273"/>
  <c r="BD94" i="273"/>
  <c r="BD93" i="273"/>
  <c r="BD92" i="273"/>
  <c r="BD91" i="273"/>
  <c r="BD90" i="273"/>
  <c r="BD89" i="273"/>
  <c r="BD88" i="273"/>
  <c r="BD87" i="273"/>
  <c r="BD86" i="273"/>
  <c r="BD85" i="273"/>
  <c r="BD84" i="273"/>
  <c r="BB82" i="273"/>
  <c r="BA82" i="273"/>
  <c r="BD81" i="273"/>
  <c r="BD80" i="273"/>
  <c r="BD79" i="273"/>
  <c r="BD78" i="273"/>
  <c r="BD77" i="273"/>
  <c r="BD76" i="273"/>
  <c r="BD75" i="273"/>
  <c r="BD74" i="273"/>
  <c r="BD73" i="273"/>
  <c r="BC72" i="273"/>
  <c r="BB72" i="273"/>
  <c r="BA72" i="273"/>
  <c r="BD71" i="273"/>
  <c r="BD70" i="273"/>
  <c r="BD69" i="273"/>
  <c r="BD68" i="273"/>
  <c r="BD67" i="273"/>
  <c r="BD66" i="273"/>
  <c r="BD65" i="273"/>
  <c r="BD64" i="273"/>
  <c r="BD63" i="273"/>
  <c r="BD62" i="273"/>
  <c r="BD61" i="273"/>
  <c r="BD59" i="273"/>
  <c r="BD58" i="273"/>
  <c r="BD57" i="273"/>
  <c r="BD56" i="273"/>
  <c r="BD55" i="273"/>
  <c r="BD54" i="273"/>
  <c r="BD53" i="273"/>
  <c r="BD52" i="273"/>
  <c r="BD51" i="273"/>
  <c r="BD50" i="273"/>
  <c r="BD49" i="273"/>
  <c r="BD48" i="273"/>
  <c r="BD47" i="273"/>
  <c r="BD46" i="273"/>
  <c r="BD45" i="273"/>
  <c r="BD39" i="273"/>
  <c r="BD32" i="273"/>
  <c r="BD30" i="273"/>
  <c r="BC29" i="273"/>
  <c r="BB29" i="273"/>
  <c r="BA29" i="273"/>
  <c r="BD28" i="273"/>
  <c r="BD27" i="273"/>
  <c r="BD26" i="273"/>
  <c r="BD25" i="273"/>
  <c r="BD24" i="273"/>
  <c r="BD23" i="273"/>
  <c r="BD22" i="273"/>
  <c r="BD21" i="273"/>
  <c r="BD20" i="273"/>
  <c r="BD19" i="273"/>
  <c r="BD18" i="273"/>
  <c r="BD17" i="273"/>
  <c r="BD16" i="273"/>
  <c r="BC15" i="273"/>
  <c r="BB15" i="273"/>
  <c r="BA15" i="273"/>
  <c r="BD14" i="273"/>
  <c r="BD13" i="273"/>
  <c r="BD12" i="273"/>
  <c r="BD11" i="273"/>
  <c r="BD10" i="273"/>
  <c r="BD9" i="273"/>
  <c r="BD8" i="273"/>
  <c r="BD7" i="273"/>
  <c r="BD6" i="273"/>
  <c r="BD5" i="273"/>
  <c r="BB11" i="263"/>
  <c r="AY19" i="263"/>
  <c r="AZ20" i="263"/>
  <c r="BA13" i="263"/>
  <c r="AZ18" i="263"/>
  <c r="AY70" i="263"/>
  <c r="AZ71" i="263"/>
  <c r="AZ68" i="263"/>
  <c r="AY53" i="263"/>
  <c r="AZ54" i="263"/>
  <c r="AZ51" i="263"/>
  <c r="BD127" i="273"/>
  <c r="BB12" i="263"/>
  <c r="AY36" i="263"/>
  <c r="AZ37" i="263"/>
  <c r="BA34" i="263"/>
  <c r="BB33" i="263"/>
  <c r="AZ53" i="263"/>
  <c r="BB50" i="263"/>
  <c r="AZ69" i="263"/>
  <c r="AY64" i="263"/>
  <c r="BB63" i="263"/>
  <c r="BR77" i="277"/>
  <c r="BA54" i="263"/>
  <c r="BB46" i="263"/>
  <c r="BC128" i="273"/>
  <c r="BB32" i="263"/>
  <c r="BA26" i="263"/>
  <c r="BD121" i="273"/>
  <c r="BA71" i="263"/>
  <c r="BA70" i="263"/>
  <c r="BA51" i="263"/>
  <c r="BA53" i="263"/>
  <c r="BB49" i="263"/>
  <c r="BB45" i="263"/>
  <c r="BA47" i="263"/>
  <c r="BB66" i="263"/>
  <c r="AZ64" i="263"/>
  <c r="AZ70" i="263"/>
  <c r="AZ75" i="263"/>
  <c r="BB62" i="263"/>
  <c r="AY37" i="263"/>
  <c r="BB37" i="263"/>
  <c r="AY71" i="263"/>
  <c r="BB71" i="263"/>
  <c r="AY68" i="263"/>
  <c r="BB67" i="263"/>
  <c r="BB61" i="263"/>
  <c r="BB118" i="273"/>
  <c r="BD98" i="273"/>
  <c r="AY60" i="263"/>
  <c r="BA118" i="273"/>
  <c r="AY54" i="263"/>
  <c r="AY55" i="263"/>
  <c r="AY51" i="263"/>
  <c r="BD72" i="273"/>
  <c r="BA19" i="263"/>
  <c r="BB10" i="263"/>
  <c r="AZ9" i="263"/>
  <c r="AZ21" i="263"/>
  <c r="BB8" i="263"/>
  <c r="BB20" i="263"/>
  <c r="BB7" i="263"/>
  <c r="BB19" i="263"/>
  <c r="AZ55" i="263"/>
  <c r="AY75" i="263"/>
  <c r="AY21" i="263"/>
  <c r="BB17" i="263"/>
  <c r="AZ76" i="263"/>
  <c r="AZ38" i="263"/>
  <c r="AY9" i="263"/>
  <c r="AY13" i="263"/>
  <c r="BB13" i="263"/>
  <c r="BA18" i="263"/>
  <c r="BA35" i="263"/>
  <c r="BA36" i="263"/>
  <c r="BB36" i="263"/>
  <c r="BA43" i="263"/>
  <c r="BA52" i="263"/>
  <c r="BB14" i="263"/>
  <c r="BB24" i="263"/>
  <c r="BB25" i="263"/>
  <c r="BB28" i="263"/>
  <c r="BB30" i="263"/>
  <c r="BB31" i="263"/>
  <c r="BB41" i="263"/>
  <c r="BB42" i="263"/>
  <c r="BB44" i="263"/>
  <c r="BB48" i="263"/>
  <c r="BB57" i="263"/>
  <c r="BB58" i="263"/>
  <c r="BB59" i="263"/>
  <c r="AY69" i="263"/>
  <c r="AY74" i="263"/>
  <c r="BA9" i="263"/>
  <c r="AY26" i="263"/>
  <c r="AY34" i="263"/>
  <c r="AY43" i="263"/>
  <c r="AY47" i="263"/>
  <c r="AZ26" i="263"/>
  <c r="AZ34" i="263"/>
  <c r="AZ43" i="263"/>
  <c r="AZ47" i="263"/>
  <c r="BA60" i="263"/>
  <c r="BA64" i="263"/>
  <c r="BA68" i="263"/>
  <c r="BA128" i="273"/>
  <c r="BD117" i="273"/>
  <c r="BD112" i="273"/>
  <c r="BC118" i="273"/>
  <c r="BD82" i="273"/>
  <c r="BD60" i="273"/>
  <c r="BD29" i="273"/>
  <c r="BD15" i="273"/>
  <c r="BD128" i="273"/>
  <c r="O37" i="202"/>
  <c r="O36" i="202"/>
  <c r="O29" i="202"/>
  <c r="O28" i="202"/>
  <c r="O27" i="202"/>
  <c r="O30" i="202"/>
  <c r="O24" i="202"/>
  <c r="O23" i="202"/>
  <c r="O22" i="202"/>
  <c r="O25" i="202"/>
  <c r="O19" i="202"/>
  <c r="O34" i="202"/>
  <c r="O18" i="202"/>
  <c r="O17" i="202"/>
  <c r="O20" i="202"/>
  <c r="O14" i="202"/>
  <c r="O13" i="202"/>
  <c r="O12" i="202"/>
  <c r="O15" i="202"/>
  <c r="O9" i="202"/>
  <c r="O35" i="202"/>
  <c r="O8" i="202"/>
  <c r="O33" i="202"/>
  <c r="O7" i="202"/>
  <c r="O10" i="202"/>
  <c r="N12" i="202"/>
  <c r="N13" i="202"/>
  <c r="N14" i="202"/>
  <c r="P14" i="201"/>
  <c r="P96" i="201"/>
  <c r="P91" i="201"/>
  <c r="P82" i="201"/>
  <c r="P73" i="201"/>
  <c r="P75" i="201"/>
  <c r="P68" i="201"/>
  <c r="P61" i="201"/>
  <c r="P49" i="201"/>
  <c r="P38" i="201"/>
  <c r="P33" i="201"/>
  <c r="P29" i="201"/>
  <c r="P23" i="201"/>
  <c r="P19" i="201"/>
  <c r="BD83" i="273"/>
  <c r="BD44" i="273"/>
  <c r="BD130" i="273"/>
  <c r="BA76" i="263"/>
  <c r="AZ74" i="263"/>
  <c r="BA72" i="263"/>
  <c r="BB18" i="263"/>
  <c r="BB21" i="263"/>
  <c r="BB60" i="263"/>
  <c r="AY38" i="263"/>
  <c r="BB54" i="263"/>
  <c r="BA75" i="263"/>
  <c r="BB75" i="263"/>
  <c r="BD118" i="273"/>
  <c r="BB51" i="263"/>
  <c r="BA55" i="263"/>
  <c r="BB70" i="263"/>
  <c r="AZ72" i="263"/>
  <c r="BB64" i="263"/>
  <c r="BB68" i="263"/>
  <c r="AY76" i="263"/>
  <c r="AZ77" i="263"/>
  <c r="BB34" i="263"/>
  <c r="BB52" i="263"/>
  <c r="BB47" i="263"/>
  <c r="BA74" i="263"/>
  <c r="BA21" i="263"/>
  <c r="BB26" i="263"/>
  <c r="BB53" i="263"/>
  <c r="BB43" i="263"/>
  <c r="BB9" i="263"/>
  <c r="BB69" i="263"/>
  <c r="AY72" i="263"/>
  <c r="BA38" i="263"/>
  <c r="BB38" i="263"/>
  <c r="BB35" i="263"/>
  <c r="O32" i="202"/>
  <c r="O38" i="202"/>
  <c r="P24" i="201"/>
  <c r="P39" i="201"/>
  <c r="P69" i="201"/>
  <c r="P97" i="201"/>
  <c r="BR99" i="274"/>
  <c r="BQ99" i="274"/>
  <c r="BP99" i="274"/>
  <c r="BS98" i="274"/>
  <c r="BS97" i="274"/>
  <c r="BS96" i="274"/>
  <c r="BS95" i="274"/>
  <c r="BR94" i="274"/>
  <c r="BQ94" i="274"/>
  <c r="BP94" i="274"/>
  <c r="BS93" i="274"/>
  <c r="BS92" i="274"/>
  <c r="BS91" i="274"/>
  <c r="BS90" i="274"/>
  <c r="BS89" i="274"/>
  <c r="BS88" i="274"/>
  <c r="BS87" i="274"/>
  <c r="BS86" i="274"/>
  <c r="BR85" i="274"/>
  <c r="BQ85" i="274"/>
  <c r="BP85" i="274"/>
  <c r="BS84" i="274"/>
  <c r="BS83" i="274"/>
  <c r="BS82" i="274"/>
  <c r="BS81" i="274"/>
  <c r="BS80" i="274"/>
  <c r="BS79" i="274"/>
  <c r="BR69" i="274"/>
  <c r="BQ69" i="274"/>
  <c r="BP69" i="274"/>
  <c r="BS68" i="274"/>
  <c r="BS67" i="274"/>
  <c r="BS66" i="274"/>
  <c r="BS65" i="274"/>
  <c r="BS64" i="274"/>
  <c r="BS63" i="274"/>
  <c r="BR62" i="274"/>
  <c r="BQ62" i="274"/>
  <c r="BP62" i="274"/>
  <c r="BP70" i="274"/>
  <c r="BS61" i="274"/>
  <c r="BS60" i="274"/>
  <c r="BS59" i="274"/>
  <c r="BS58" i="274"/>
  <c r="BS57" i="274"/>
  <c r="BS56" i="274"/>
  <c r="BS55" i="274"/>
  <c r="BS54" i="274"/>
  <c r="BS53" i="274"/>
  <c r="BS52" i="274"/>
  <c r="BS51" i="274"/>
  <c r="BR50" i="274"/>
  <c r="BQ50" i="274"/>
  <c r="BP50" i="274"/>
  <c r="BS49" i="274"/>
  <c r="BS48" i="274"/>
  <c r="BS47" i="274"/>
  <c r="BS46" i="274"/>
  <c r="BS45" i="274"/>
  <c r="BS44" i="274"/>
  <c r="BS43" i="274"/>
  <c r="BS42" i="274"/>
  <c r="BS41" i="274"/>
  <c r="BR39" i="274"/>
  <c r="BQ39" i="274"/>
  <c r="BP39" i="274"/>
  <c r="BS38" i="274"/>
  <c r="BS37" i="274"/>
  <c r="BS36" i="274"/>
  <c r="BS35" i="274"/>
  <c r="BR34" i="274"/>
  <c r="BQ34" i="274"/>
  <c r="BP34" i="274"/>
  <c r="BS33" i="274"/>
  <c r="BS32" i="274"/>
  <c r="BS31" i="274"/>
  <c r="BR30" i="274"/>
  <c r="BQ30" i="274"/>
  <c r="BP30" i="274"/>
  <c r="BS29" i="274"/>
  <c r="BS28" i="274"/>
  <c r="BS27" i="274"/>
  <c r="BS26" i="274"/>
  <c r="BR24" i="274"/>
  <c r="BQ24" i="274"/>
  <c r="BP24" i="274"/>
  <c r="BS23" i="274"/>
  <c r="BS22" i="274"/>
  <c r="BS21" i="274"/>
  <c r="BR20" i="274"/>
  <c r="BP20" i="274"/>
  <c r="BS19" i="274"/>
  <c r="BS18" i="274"/>
  <c r="BQ20" i="274"/>
  <c r="BQ25" i="274"/>
  <c r="BS16" i="274"/>
  <c r="BR15" i="274"/>
  <c r="BQ15" i="274"/>
  <c r="BP15" i="274"/>
  <c r="BS14" i="274"/>
  <c r="BS13" i="274"/>
  <c r="BS12" i="274"/>
  <c r="BS11" i="274"/>
  <c r="BS10" i="274"/>
  <c r="BS9" i="274"/>
  <c r="BS8" i="274"/>
  <c r="BS7" i="274"/>
  <c r="BS6" i="274"/>
  <c r="BS5" i="274"/>
  <c r="BB76" i="263"/>
  <c r="BA77" i="263"/>
  <c r="BB72" i="263"/>
  <c r="AY77" i="263"/>
  <c r="BB55" i="263"/>
  <c r="BB74" i="263"/>
  <c r="P99" i="201"/>
  <c r="BS99" i="274"/>
  <c r="BP100" i="274"/>
  <c r="BQ100" i="274"/>
  <c r="BR100" i="274"/>
  <c r="BS34" i="274"/>
  <c r="BP40" i="274"/>
  <c r="BR25" i="274"/>
  <c r="BP25" i="274"/>
  <c r="BS17" i="274"/>
  <c r="BS20" i="274"/>
  <c r="AO28" i="194"/>
  <c r="AN28" i="194"/>
  <c r="AM28" i="194"/>
  <c r="AO27" i="194"/>
  <c r="AN27" i="194"/>
  <c r="AM27" i="194"/>
  <c r="AO26" i="194"/>
  <c r="AO29" i="194"/>
  <c r="AN26" i="194"/>
  <c r="AN29" i="194"/>
  <c r="AM26" i="194"/>
  <c r="AM29" i="194"/>
  <c r="AN24" i="194"/>
  <c r="AO23" i="194"/>
  <c r="AN23" i="194"/>
  <c r="AM23" i="194"/>
  <c r="AO22" i="194"/>
  <c r="AN22" i="194"/>
  <c r="AM22" i="194"/>
  <c r="AO21" i="194"/>
  <c r="AO24" i="194"/>
  <c r="AN21" i="194"/>
  <c r="AM21" i="194"/>
  <c r="AM24" i="194"/>
  <c r="AN19" i="194"/>
  <c r="AO18" i="194"/>
  <c r="AO33" i="194"/>
  <c r="AN18" i="194"/>
  <c r="AN33" i="194"/>
  <c r="AM18" i="194"/>
  <c r="AM33" i="194"/>
  <c r="AO17" i="194"/>
  <c r="AN17" i="194"/>
  <c r="AM17" i="194"/>
  <c r="AO16" i="194"/>
  <c r="AO19" i="194"/>
  <c r="AN16" i="194"/>
  <c r="AM16" i="194"/>
  <c r="AM19" i="194"/>
  <c r="AN14" i="194"/>
  <c r="AO13" i="194"/>
  <c r="AO36" i="194"/>
  <c r="AN13" i="194"/>
  <c r="AN36" i="194"/>
  <c r="AM13" i="194"/>
  <c r="AM36" i="194"/>
  <c r="AO12" i="194"/>
  <c r="AO35" i="194"/>
  <c r="AN12" i="194"/>
  <c r="AN35" i="194"/>
  <c r="AM12" i="194"/>
  <c r="AM35" i="194"/>
  <c r="AO11" i="194"/>
  <c r="AO14" i="194"/>
  <c r="AN11" i="194"/>
  <c r="AM11" i="194"/>
  <c r="AM14" i="194"/>
  <c r="AN9" i="194"/>
  <c r="AO8" i="194"/>
  <c r="AO34" i="194"/>
  <c r="AN8" i="194"/>
  <c r="AN34" i="194"/>
  <c r="AM8" i="194"/>
  <c r="AM34" i="194"/>
  <c r="AO7" i="194"/>
  <c r="AO32" i="194"/>
  <c r="AN7" i="194"/>
  <c r="AN32" i="194"/>
  <c r="AM7" i="194"/>
  <c r="AM32" i="194"/>
  <c r="AO6" i="194"/>
  <c r="AO31" i="194"/>
  <c r="AO37" i="194"/>
  <c r="AN6" i="194"/>
  <c r="AN31" i="194"/>
  <c r="AM6" i="194"/>
  <c r="AM31" i="194"/>
  <c r="AP97" i="193"/>
  <c r="AO97" i="193"/>
  <c r="AO98" i="193"/>
  <c r="AN97" i="193"/>
  <c r="AP92" i="193"/>
  <c r="AO92" i="193"/>
  <c r="AN92" i="193"/>
  <c r="AP83" i="193"/>
  <c r="AO83" i="193"/>
  <c r="AN83" i="193"/>
  <c r="AP74" i="193"/>
  <c r="AP76" i="193"/>
  <c r="AO74" i="193"/>
  <c r="AO76" i="193"/>
  <c r="AN74" i="193"/>
  <c r="AN76" i="193"/>
  <c r="AP69" i="193"/>
  <c r="AO69" i="193"/>
  <c r="AO70" i="193"/>
  <c r="AN69" i="193"/>
  <c r="AP62" i="193"/>
  <c r="AO62" i="193"/>
  <c r="AN62" i="193"/>
  <c r="AP50" i="193"/>
  <c r="AO50" i="193"/>
  <c r="AN50" i="193"/>
  <c r="AP39" i="193"/>
  <c r="AO39" i="193"/>
  <c r="AN39" i="193"/>
  <c r="AP34" i="193"/>
  <c r="AO34" i="193"/>
  <c r="AN34" i="193"/>
  <c r="AP30" i="193"/>
  <c r="AO30" i="193"/>
  <c r="AN30" i="193"/>
  <c r="AP24" i="193"/>
  <c r="AO24" i="193"/>
  <c r="AN24" i="193"/>
  <c r="AP20" i="193"/>
  <c r="AO20" i="193"/>
  <c r="AN20" i="193"/>
  <c r="AP15" i="193"/>
  <c r="AO15" i="193"/>
  <c r="AO25" i="193"/>
  <c r="AN15" i="193"/>
  <c r="AM37" i="194"/>
  <c r="AN37" i="194"/>
  <c r="AO9" i="194"/>
  <c r="AM9" i="194"/>
  <c r="AN98" i="193"/>
  <c r="AP98" i="193"/>
  <c r="AN70" i="193"/>
  <c r="AP70" i="193"/>
  <c r="AP40" i="193"/>
  <c r="AN40" i="193"/>
  <c r="AO40" i="193"/>
  <c r="AO100" i="193"/>
  <c r="AN25" i="193"/>
  <c r="AP25" i="193"/>
  <c r="P6" i="304"/>
  <c r="AP100" i="193"/>
  <c r="AN100" i="193"/>
  <c r="AZ36" i="234"/>
  <c r="AY36" i="234"/>
  <c r="AX36" i="234"/>
  <c r="AZ35" i="234"/>
  <c r="AY35" i="234"/>
  <c r="AX35" i="234"/>
  <c r="AZ34" i="234"/>
  <c r="AY34" i="234"/>
  <c r="AX34" i="234"/>
  <c r="AZ29" i="234"/>
  <c r="AY29" i="234"/>
  <c r="AX29" i="234"/>
  <c r="BA28" i="234"/>
  <c r="BA27" i="234"/>
  <c r="BA26" i="234"/>
  <c r="AZ19" i="234"/>
  <c r="AY19" i="234"/>
  <c r="AX19" i="234"/>
  <c r="BA18" i="234"/>
  <c r="BA17" i="234"/>
  <c r="BA16" i="234"/>
  <c r="AZ14" i="234"/>
  <c r="AY14" i="234"/>
  <c r="AX14" i="234"/>
  <c r="BA13" i="234"/>
  <c r="BA12" i="234"/>
  <c r="BA11" i="234"/>
  <c r="AZ9" i="234"/>
  <c r="AY9" i="234"/>
  <c r="AX9" i="234"/>
  <c r="BA8" i="234"/>
  <c r="BA7" i="234"/>
  <c r="BA6" i="234"/>
  <c r="BA29" i="234"/>
  <c r="BA9" i="234"/>
  <c r="BA19" i="234"/>
  <c r="BA14" i="234"/>
  <c r="P6" i="303"/>
  <c r="AO96" i="238"/>
  <c r="AO86" i="238"/>
  <c r="AO82" i="238"/>
  <c r="AO71" i="238"/>
  <c r="AO62" i="238"/>
  <c r="AO47" i="238"/>
  <c r="AO35" i="238"/>
  <c r="AO20" i="238"/>
  <c r="AO15" i="238"/>
  <c r="AP79" i="238"/>
  <c r="AP80" i="236"/>
  <c r="AO97" i="236"/>
  <c r="AO87" i="236"/>
  <c r="AO83" i="236"/>
  <c r="AO72" i="236"/>
  <c r="AO63" i="236"/>
  <c r="AO48" i="236"/>
  <c r="AO36" i="236"/>
  <c r="AO21" i="236"/>
  <c r="AO16" i="236"/>
  <c r="AN71" i="240"/>
  <c r="AN62" i="240"/>
  <c r="AN54" i="240"/>
  <c r="AN47" i="240"/>
  <c r="AN35" i="240"/>
  <c r="AN24" i="240"/>
  <c r="AN20" i="240"/>
  <c r="AN15" i="240"/>
  <c r="AN28" i="241"/>
  <c r="AO28" i="241"/>
  <c r="AM28" i="241"/>
  <c r="AN27" i="241"/>
  <c r="AM27" i="241"/>
  <c r="AN26" i="241"/>
  <c r="AM26" i="241"/>
  <c r="AN23" i="241"/>
  <c r="AM23" i="241"/>
  <c r="AN22" i="241"/>
  <c r="AO22" i="241"/>
  <c r="AM22" i="241"/>
  <c r="AN21" i="241"/>
  <c r="AM21" i="241"/>
  <c r="AN18" i="241"/>
  <c r="AM18" i="241"/>
  <c r="AM33" i="241"/>
  <c r="AN17" i="241"/>
  <c r="AM17" i="241"/>
  <c r="AN16" i="241"/>
  <c r="AM16" i="241"/>
  <c r="AM19" i="241"/>
  <c r="AN13" i="241"/>
  <c r="AN36" i="241"/>
  <c r="AO36" i="241"/>
  <c r="AN12" i="241"/>
  <c r="AN35" i="241"/>
  <c r="AO35" i="241"/>
  <c r="AN11" i="241"/>
  <c r="AN8" i="241"/>
  <c r="AM8" i="241"/>
  <c r="AN7" i="241"/>
  <c r="AM7" i="241"/>
  <c r="AN6" i="241"/>
  <c r="AM6" i="241"/>
  <c r="AM9" i="241"/>
  <c r="AP97" i="240"/>
  <c r="AO96" i="240"/>
  <c r="AO98" i="240"/>
  <c r="AN96" i="240"/>
  <c r="AN98" i="240"/>
  <c r="AP95" i="240"/>
  <c r="AP94" i="240"/>
  <c r="AP93" i="240"/>
  <c r="AO91" i="240"/>
  <c r="AN91" i="240"/>
  <c r="AP90" i="240"/>
  <c r="AP89" i="240"/>
  <c r="AP88" i="240"/>
  <c r="AP87" i="240"/>
  <c r="AO86" i="240"/>
  <c r="AN86" i="240"/>
  <c r="AP85" i="240"/>
  <c r="AP84" i="240"/>
  <c r="AP83" i="240"/>
  <c r="AO82" i="240"/>
  <c r="AN82" i="240"/>
  <c r="AN92" i="240"/>
  <c r="AP81" i="240"/>
  <c r="AP80" i="240"/>
  <c r="AP79" i="240"/>
  <c r="AP78" i="240"/>
  <c r="AP82" i="240"/>
  <c r="AO76" i="240"/>
  <c r="AN76" i="240"/>
  <c r="AP75" i="240"/>
  <c r="AP74" i="240"/>
  <c r="AP73" i="240"/>
  <c r="AP72" i="240"/>
  <c r="AO71" i="240"/>
  <c r="AO77" i="240"/>
  <c r="AP70" i="240"/>
  <c r="AP69" i="240"/>
  <c r="AP68" i="240"/>
  <c r="AP67" i="240"/>
  <c r="AP66" i="240"/>
  <c r="AP65" i="240"/>
  <c r="AP64" i="240"/>
  <c r="AP63" i="240"/>
  <c r="AO62" i="240"/>
  <c r="AP61" i="240"/>
  <c r="AP60" i="240"/>
  <c r="AP59" i="240"/>
  <c r="AP58" i="240"/>
  <c r="AP57" i="240"/>
  <c r="AP56" i="240"/>
  <c r="AO54" i="240"/>
  <c r="AP53" i="240"/>
  <c r="AP52" i="240"/>
  <c r="AP51" i="240"/>
  <c r="AP50" i="240"/>
  <c r="AP49" i="240"/>
  <c r="AP48" i="240"/>
  <c r="AO47" i="240"/>
  <c r="AP46" i="240"/>
  <c r="AP45" i="240"/>
  <c r="AP44" i="240"/>
  <c r="AP43" i="240"/>
  <c r="AP42" i="240"/>
  <c r="AP41" i="240"/>
  <c r="AP40" i="240"/>
  <c r="AP39" i="240"/>
  <c r="AP38" i="240"/>
  <c r="AP37" i="240"/>
  <c r="AP36" i="240"/>
  <c r="AO35" i="240"/>
  <c r="AP34" i="240"/>
  <c r="AP33" i="240"/>
  <c r="AP32" i="240"/>
  <c r="AP31" i="240"/>
  <c r="AP30" i="240"/>
  <c r="AP29" i="240"/>
  <c r="AP28" i="240"/>
  <c r="AP27" i="240"/>
  <c r="AP26" i="240"/>
  <c r="AO24" i="240"/>
  <c r="AP23" i="240"/>
  <c r="AP22" i="240"/>
  <c r="AP21" i="240"/>
  <c r="AO20" i="240"/>
  <c r="AN25" i="240"/>
  <c r="AP19" i="240"/>
  <c r="AP18" i="240"/>
  <c r="AP17" i="240"/>
  <c r="AP16" i="240"/>
  <c r="AO15" i="240"/>
  <c r="AP14" i="240"/>
  <c r="AP13" i="240"/>
  <c r="AP12" i="240"/>
  <c r="AP11" i="240"/>
  <c r="AP10" i="240"/>
  <c r="AP9" i="240"/>
  <c r="AP8" i="240"/>
  <c r="AP7" i="240"/>
  <c r="AP6" i="240"/>
  <c r="AP5" i="240"/>
  <c r="Z37" i="306"/>
  <c r="Y37" i="306"/>
  <c r="Z36" i="306"/>
  <c r="Y36" i="306"/>
  <c r="Z35" i="306"/>
  <c r="Y35" i="306"/>
  <c r="Z34" i="306"/>
  <c r="Y34" i="306"/>
  <c r="Z33" i="306"/>
  <c r="Y33" i="306"/>
  <c r="Z32" i="306"/>
  <c r="Y32" i="306"/>
  <c r="Z30" i="306"/>
  <c r="Y30" i="306"/>
  <c r="AA29" i="306"/>
  <c r="AA28" i="306"/>
  <c r="AA27" i="306"/>
  <c r="Z25" i="306"/>
  <c r="Y25" i="306"/>
  <c r="AA24" i="306"/>
  <c r="AA23" i="306"/>
  <c r="AA22" i="306"/>
  <c r="Z20" i="306"/>
  <c r="Y20" i="306"/>
  <c r="AA19" i="306"/>
  <c r="AA18" i="306"/>
  <c r="AA17" i="306"/>
  <c r="Z15" i="306"/>
  <c r="Y15" i="306"/>
  <c r="AA14" i="306"/>
  <c r="AA37" i="306"/>
  <c r="AA13" i="306"/>
  <c r="AA36" i="306"/>
  <c r="AA12" i="306"/>
  <c r="Z10" i="306"/>
  <c r="Y10" i="306"/>
  <c r="AA9" i="306"/>
  <c r="AA35" i="306"/>
  <c r="AA8" i="306"/>
  <c r="AA7" i="306"/>
  <c r="AA10" i="306"/>
  <c r="AN28" i="239"/>
  <c r="AM28" i="239"/>
  <c r="AN27" i="239"/>
  <c r="AM27" i="239"/>
  <c r="AO26" i="239"/>
  <c r="AN26" i="239"/>
  <c r="AM26" i="239"/>
  <c r="AM29" i="239"/>
  <c r="AN23" i="239"/>
  <c r="AM23" i="239"/>
  <c r="AN22" i="239"/>
  <c r="AM22" i="239"/>
  <c r="AN21" i="239"/>
  <c r="AO21" i="239"/>
  <c r="AM21" i="239"/>
  <c r="AM24" i="239"/>
  <c r="AN18" i="239"/>
  <c r="AM18" i="239"/>
  <c r="AM33" i="239"/>
  <c r="AN17" i="239"/>
  <c r="AM17" i="239"/>
  <c r="AN16" i="239"/>
  <c r="AO16" i="239"/>
  <c r="AM16" i="239"/>
  <c r="AM19" i="239"/>
  <c r="AN13" i="239"/>
  <c r="AN36" i="239"/>
  <c r="AM13" i="239"/>
  <c r="AM36" i="239"/>
  <c r="AN12" i="239"/>
  <c r="AN35" i="239"/>
  <c r="AM12" i="239"/>
  <c r="AN11" i="239"/>
  <c r="AO11" i="239"/>
  <c r="AM11" i="239"/>
  <c r="AM14" i="239"/>
  <c r="AN8" i="239"/>
  <c r="AM8" i="239"/>
  <c r="AM34" i="239"/>
  <c r="AN7" i="239"/>
  <c r="AM7" i="239"/>
  <c r="AM32" i="239"/>
  <c r="AN6" i="239"/>
  <c r="AM6" i="239"/>
  <c r="AM9" i="239"/>
  <c r="AK100" i="238"/>
  <c r="AN71" i="238"/>
  <c r="AN62" i="238"/>
  <c r="AN54" i="238"/>
  <c r="AN55" i="238"/>
  <c r="AN47" i="238"/>
  <c r="AN35" i="238"/>
  <c r="AN20" i="238"/>
  <c r="AN15" i="238"/>
  <c r="AP97" i="238"/>
  <c r="AO98" i="238"/>
  <c r="AN96" i="238"/>
  <c r="AN98" i="238"/>
  <c r="AN100" i="238"/>
  <c r="AP95" i="238"/>
  <c r="AP94" i="238"/>
  <c r="AP93" i="238"/>
  <c r="AO91" i="238"/>
  <c r="AN91" i="238"/>
  <c r="AP90" i="238"/>
  <c r="AP89" i="238"/>
  <c r="AP88" i="238"/>
  <c r="AP87" i="238"/>
  <c r="AN86" i="238"/>
  <c r="AP85" i="238"/>
  <c r="AP84" i="238"/>
  <c r="AP83" i="238"/>
  <c r="AN82" i="238"/>
  <c r="AP81" i="238"/>
  <c r="AP80" i="238"/>
  <c r="AP78" i="238"/>
  <c r="AO76" i="238"/>
  <c r="AO77" i="238"/>
  <c r="AN76" i="238"/>
  <c r="AP75" i="238"/>
  <c r="AP74" i="238"/>
  <c r="AP73" i="238"/>
  <c r="AP72" i="238"/>
  <c r="AP70" i="238"/>
  <c r="AP69" i="238"/>
  <c r="AP68" i="238"/>
  <c r="AP67" i="238"/>
  <c r="AP66" i="238"/>
  <c r="AP65" i="238"/>
  <c r="AP64" i="238"/>
  <c r="AP63" i="238"/>
  <c r="AP61" i="238"/>
  <c r="AP60" i="238"/>
  <c r="AP59" i="238"/>
  <c r="AP58" i="238"/>
  <c r="AP57" i="238"/>
  <c r="AP56" i="238"/>
  <c r="AO54" i="238"/>
  <c r="AO55" i="238"/>
  <c r="AP53" i="238"/>
  <c r="AP52" i="238"/>
  <c r="AP51" i="238"/>
  <c r="AP50" i="238"/>
  <c r="AP49" i="238"/>
  <c r="AP48" i="238"/>
  <c r="AP46" i="238"/>
  <c r="AP45" i="238"/>
  <c r="AP44" i="238"/>
  <c r="AP43" i="238"/>
  <c r="AP42" i="238"/>
  <c r="AP41" i="238"/>
  <c r="AP40" i="238"/>
  <c r="AP39" i="238"/>
  <c r="AP38" i="238"/>
  <c r="AP37" i="238"/>
  <c r="AP36" i="238"/>
  <c r="AP34" i="238"/>
  <c r="AP33" i="238"/>
  <c r="AP32" i="238"/>
  <c r="AP31" i="238"/>
  <c r="AP30" i="238"/>
  <c r="AP29" i="238"/>
  <c r="AP28" i="238"/>
  <c r="AP27" i="238"/>
  <c r="AP26" i="238"/>
  <c r="AO24" i="238"/>
  <c r="AO25" i="238"/>
  <c r="AN24" i="238"/>
  <c r="AP23" i="238"/>
  <c r="AP22" i="238"/>
  <c r="AP21" i="238"/>
  <c r="AP19" i="238"/>
  <c r="AP18" i="238"/>
  <c r="AP17" i="238"/>
  <c r="AP16" i="238"/>
  <c r="AP14" i="238"/>
  <c r="AP13" i="238"/>
  <c r="AP12" i="238"/>
  <c r="AP11" i="238"/>
  <c r="AP10" i="238"/>
  <c r="AP9" i="238"/>
  <c r="AP8" i="238"/>
  <c r="AP7" i="238"/>
  <c r="AP6" i="238"/>
  <c r="AP5" i="238"/>
  <c r="AE36" i="296"/>
  <c r="AD36" i="296"/>
  <c r="AE35" i="296"/>
  <c r="AD35" i="296"/>
  <c r="AF35" i="296"/>
  <c r="AE34" i="296"/>
  <c r="AD34" i="296"/>
  <c r="AE33" i="296"/>
  <c r="AD33" i="296"/>
  <c r="AE32" i="296"/>
  <c r="AD32" i="296"/>
  <c r="AE31" i="296"/>
  <c r="AD31" i="296"/>
  <c r="AE29" i="296"/>
  <c r="AD29" i="296"/>
  <c r="AF29" i="296"/>
  <c r="AF28" i="296"/>
  <c r="AF27" i="296"/>
  <c r="AF26" i="296"/>
  <c r="AE24" i="296"/>
  <c r="AD24" i="296"/>
  <c r="AF23" i="296"/>
  <c r="AF22" i="296"/>
  <c r="AF21" i="296"/>
  <c r="AE19" i="296"/>
  <c r="AD19" i="296"/>
  <c r="AF18" i="296"/>
  <c r="AF17" i="296"/>
  <c r="AF16" i="296"/>
  <c r="AE14" i="296"/>
  <c r="AD14" i="296"/>
  <c r="AF13" i="296"/>
  <c r="AF12" i="296"/>
  <c r="AF11" i="296"/>
  <c r="AE9" i="296"/>
  <c r="AD9" i="296"/>
  <c r="AF8" i="296"/>
  <c r="AF7" i="296"/>
  <c r="AF6" i="296"/>
  <c r="AN77" i="236"/>
  <c r="AN72" i="236"/>
  <c r="AN63" i="236"/>
  <c r="AN55" i="236"/>
  <c r="AN36" i="236"/>
  <c r="AN48" i="236"/>
  <c r="AN56" i="236"/>
  <c r="AN25" i="236"/>
  <c r="AN21" i="236"/>
  <c r="AN16" i="236"/>
  <c r="AO23" i="241"/>
  <c r="AN33" i="241"/>
  <c r="AO33" i="241"/>
  <c r="AO21" i="241"/>
  <c r="AP96" i="240"/>
  <c r="AN24" i="241"/>
  <c r="AO13" i="241"/>
  <c r="AO92" i="240"/>
  <c r="AN34" i="241"/>
  <c r="AN29" i="241"/>
  <c r="AO26" i="241"/>
  <c r="AN19" i="241"/>
  <c r="AO19" i="241"/>
  <c r="AP24" i="240"/>
  <c r="AO8" i="241"/>
  <c r="AN9" i="241"/>
  <c r="AO9" i="241"/>
  <c r="AN32" i="241"/>
  <c r="AA15" i="306"/>
  <c r="AA34" i="306"/>
  <c r="AA30" i="306"/>
  <c r="AO23" i="239"/>
  <c r="AN34" i="239"/>
  <c r="AN32" i="239"/>
  <c r="AO32" i="239"/>
  <c r="AN24" i="239"/>
  <c r="AO24" i="239"/>
  <c r="AN33" i="239"/>
  <c r="AO33" i="239"/>
  <c r="AO22" i="239"/>
  <c r="AO14" i="239"/>
  <c r="AP86" i="238"/>
  <c r="AO12" i="239"/>
  <c r="AN14" i="239"/>
  <c r="AO29" i="239"/>
  <c r="AO28" i="239"/>
  <c r="AN29" i="239"/>
  <c r="AO27" i="239"/>
  <c r="AP54" i="238"/>
  <c r="AN31" i="239"/>
  <c r="AO17" i="239"/>
  <c r="AO6" i="239"/>
  <c r="AN9" i="239"/>
  <c r="AO9" i="239"/>
  <c r="AF33" i="296"/>
  <c r="AF14" i="296"/>
  <c r="AF34" i="296"/>
  <c r="AF9" i="296"/>
  <c r="AM11" i="241"/>
  <c r="AM32" i="241"/>
  <c r="AP62" i="240"/>
  <c r="AP76" i="240"/>
  <c r="AO27" i="241"/>
  <c r="AO18" i="241"/>
  <c r="AO6" i="241"/>
  <c r="AO17" i="241"/>
  <c r="AM24" i="241"/>
  <c r="AM29" i="241"/>
  <c r="AO29" i="241"/>
  <c r="AN31" i="241"/>
  <c r="AN37" i="241"/>
  <c r="AM34" i="241"/>
  <c r="AO34" i="241"/>
  <c r="AO12" i="241"/>
  <c r="AN14" i="241"/>
  <c r="AO16" i="241"/>
  <c r="AO7" i="241"/>
  <c r="AM31" i="241"/>
  <c r="AP98" i="240"/>
  <c r="AP91" i="240"/>
  <c r="AP86" i="240"/>
  <c r="AP71" i="240"/>
  <c r="AN77" i="240"/>
  <c r="AP54" i="240"/>
  <c r="AP47" i="240"/>
  <c r="AN55" i="240"/>
  <c r="AO55" i="240"/>
  <c r="AP35" i="240"/>
  <c r="AP20" i="240"/>
  <c r="AP15" i="240"/>
  <c r="AP25" i="240"/>
  <c r="AO25" i="240"/>
  <c r="AP92" i="240"/>
  <c r="AA33" i="306"/>
  <c r="AA25" i="306"/>
  <c r="AA20" i="306"/>
  <c r="Z38" i="306"/>
  <c r="Y38" i="306"/>
  <c r="AA32" i="306"/>
  <c r="AO34" i="239"/>
  <c r="AO36" i="239"/>
  <c r="AO8" i="239"/>
  <c r="AO13" i="239"/>
  <c r="AO18" i="239"/>
  <c r="AM31" i="239"/>
  <c r="AM35" i="239"/>
  <c r="AO35" i="239"/>
  <c r="AO7" i="239"/>
  <c r="AN19" i="239"/>
  <c r="AO19" i="239"/>
  <c r="AP76" i="238"/>
  <c r="AP24" i="238"/>
  <c r="AP20" i="238"/>
  <c r="AO92" i="238"/>
  <c r="AO100" i="238"/>
  <c r="AP91" i="238"/>
  <c r="AN92" i="238"/>
  <c r="AP82" i="238"/>
  <c r="AP71" i="238"/>
  <c r="AN77" i="238"/>
  <c r="AP62" i="238"/>
  <c r="AP77" i="238"/>
  <c r="AP47" i="238"/>
  <c r="AP35" i="238"/>
  <c r="AP15" i="238"/>
  <c r="AN25" i="238"/>
  <c r="AP96" i="238"/>
  <c r="AP98" i="238"/>
  <c r="AF24" i="296"/>
  <c r="AF19" i="296"/>
  <c r="AF32" i="296"/>
  <c r="AF36" i="296"/>
  <c r="AD37" i="296"/>
  <c r="AE37" i="296"/>
  <c r="AF31" i="296"/>
  <c r="AO24" i="241"/>
  <c r="AP77" i="240"/>
  <c r="AP55" i="240"/>
  <c r="AO100" i="240"/>
  <c r="AO32" i="241"/>
  <c r="AN37" i="239"/>
  <c r="AP25" i="238"/>
  <c r="AM14" i="241"/>
  <c r="AO14" i="241"/>
  <c r="AO11" i="241"/>
  <c r="AN100" i="240"/>
  <c r="AM37" i="241"/>
  <c r="AO31" i="241"/>
  <c r="AO37" i="241"/>
  <c r="AP100" i="240"/>
  <c r="AA38" i="306"/>
  <c r="AM37" i="239"/>
  <c r="AO31" i="239"/>
  <c r="AO37" i="239"/>
  <c r="AP55" i="238"/>
  <c r="AP92" i="238"/>
  <c r="AF37" i="296"/>
  <c r="AN28" i="237"/>
  <c r="AM28" i="237"/>
  <c r="AN27" i="237"/>
  <c r="AM27" i="237"/>
  <c r="AN26" i="237"/>
  <c r="AM26" i="237"/>
  <c r="AM29" i="237"/>
  <c r="AN23" i="237"/>
  <c r="AM23" i="237"/>
  <c r="AN22" i="237"/>
  <c r="AM22" i="237"/>
  <c r="AO22" i="237"/>
  <c r="AN21" i="237"/>
  <c r="AM21" i="237"/>
  <c r="AM24" i="237"/>
  <c r="AN18" i="237"/>
  <c r="AM18" i="237"/>
  <c r="AM33" i="237"/>
  <c r="AN17" i="237"/>
  <c r="AM17" i="237"/>
  <c r="AO17" i="237"/>
  <c r="AN16" i="237"/>
  <c r="AN19" i="237"/>
  <c r="AM16" i="237"/>
  <c r="AN13" i="237"/>
  <c r="AN36" i="237"/>
  <c r="AM13" i="237"/>
  <c r="AM36" i="237"/>
  <c r="AO36" i="237"/>
  <c r="AN12" i="237"/>
  <c r="AN35" i="237"/>
  <c r="AM12" i="237"/>
  <c r="AN11" i="237"/>
  <c r="AM11" i="237"/>
  <c r="AM14" i="237"/>
  <c r="AN8" i="237"/>
  <c r="AM8" i="237"/>
  <c r="AM34" i="237"/>
  <c r="AN7" i="237"/>
  <c r="AM7" i="237"/>
  <c r="AN6" i="237"/>
  <c r="AM6" i="237"/>
  <c r="AO92" i="236"/>
  <c r="AL87" i="236"/>
  <c r="AP98" i="236"/>
  <c r="AO99" i="236"/>
  <c r="AN97" i="236"/>
  <c r="AN99" i="236"/>
  <c r="AP96" i="236"/>
  <c r="AP95" i="236"/>
  <c r="AP97" i="236"/>
  <c r="AP94" i="236"/>
  <c r="AO93" i="236"/>
  <c r="AN92" i="236"/>
  <c r="AP91" i="236"/>
  <c r="AP90" i="236"/>
  <c r="AP89" i="236"/>
  <c r="AP88" i="236"/>
  <c r="AN87" i="236"/>
  <c r="AP86" i="236"/>
  <c r="AP85" i="236"/>
  <c r="AP84" i="236"/>
  <c r="AN83" i="236"/>
  <c r="AP82" i="236"/>
  <c r="AP81" i="236"/>
  <c r="AP79" i="236"/>
  <c r="AO77" i="236"/>
  <c r="AP76" i="236"/>
  <c r="AP75" i="236"/>
  <c r="AP74" i="236"/>
  <c r="AP73" i="236"/>
  <c r="AP71" i="236"/>
  <c r="AP70" i="236"/>
  <c r="AP69" i="236"/>
  <c r="AP68" i="236"/>
  <c r="AP67" i="236"/>
  <c r="AP66" i="236"/>
  <c r="AP65" i="236"/>
  <c r="AP64" i="236"/>
  <c r="AO78" i="236"/>
  <c r="AP62" i="236"/>
  <c r="AP61" i="236"/>
  <c r="AP60" i="236"/>
  <c r="AP59" i="236"/>
  <c r="AP58" i="236"/>
  <c r="AP57" i="236"/>
  <c r="AO55" i="236"/>
  <c r="AP54" i="236"/>
  <c r="AP53" i="236"/>
  <c r="AP52" i="236"/>
  <c r="AP51" i="236"/>
  <c r="AP50" i="236"/>
  <c r="AP49" i="236"/>
  <c r="AP47" i="236"/>
  <c r="AP46" i="236"/>
  <c r="AP45" i="236"/>
  <c r="AP44" i="236"/>
  <c r="AP43" i="236"/>
  <c r="AP42" i="236"/>
  <c r="AP41" i="236"/>
  <c r="AP40" i="236"/>
  <c r="AP39" i="236"/>
  <c r="AP38" i="236"/>
  <c r="AP37" i="236"/>
  <c r="AP35" i="236"/>
  <c r="AP34" i="236"/>
  <c r="AP33" i="236"/>
  <c r="AP32" i="236"/>
  <c r="AP31" i="236"/>
  <c r="AP30" i="236"/>
  <c r="AP29" i="236"/>
  <c r="AP28" i="236"/>
  <c r="AP27" i="236"/>
  <c r="AO25" i="236"/>
  <c r="AP24" i="236"/>
  <c r="AP23" i="236"/>
  <c r="AP22" i="236"/>
  <c r="AP20" i="236"/>
  <c r="AP19" i="236"/>
  <c r="AP18" i="236"/>
  <c r="AP17" i="236"/>
  <c r="AP15" i="236"/>
  <c r="AP14" i="236"/>
  <c r="AP13" i="236"/>
  <c r="AP12" i="236"/>
  <c r="AP11" i="236"/>
  <c r="AP10" i="236"/>
  <c r="AP9" i="236"/>
  <c r="AP8" i="236"/>
  <c r="AP7" i="236"/>
  <c r="AP6" i="236"/>
  <c r="AP100" i="238"/>
  <c r="AN24" i="237"/>
  <c r="AN33" i="237"/>
  <c r="AO33" i="237"/>
  <c r="AO23" i="237"/>
  <c r="AO12" i="237"/>
  <c r="AN14" i="237"/>
  <c r="AN29" i="237"/>
  <c r="AN32" i="237"/>
  <c r="AO27" i="237"/>
  <c r="AN34" i="237"/>
  <c r="AO28" i="237"/>
  <c r="AN31" i="237"/>
  <c r="AN37" i="237"/>
  <c r="AN9" i="237"/>
  <c r="AO34" i="237"/>
  <c r="AO21" i="237"/>
  <c r="AO24" i="237"/>
  <c r="AO11" i="237"/>
  <c r="AP77" i="236"/>
  <c r="AP25" i="236"/>
  <c r="AO26" i="237"/>
  <c r="AM32" i="237"/>
  <c r="AM19" i="237"/>
  <c r="AO16" i="237"/>
  <c r="AN26" i="236"/>
  <c r="AM9" i="237"/>
  <c r="AO6" i="237"/>
  <c r="AO8" i="237"/>
  <c r="AO13" i="237"/>
  <c r="AO14" i="237"/>
  <c r="AO18" i="237"/>
  <c r="AM31" i="237"/>
  <c r="AM35" i="237"/>
  <c r="AO35" i="237"/>
  <c r="AO7" i="237"/>
  <c r="AP92" i="236"/>
  <c r="AP87" i="236"/>
  <c r="AN93" i="236"/>
  <c r="AP83" i="236"/>
  <c r="AN78" i="236"/>
  <c r="AP72" i="236"/>
  <c r="AP63" i="236"/>
  <c r="AP55" i="236"/>
  <c r="AO56" i="236"/>
  <c r="AP48" i="236"/>
  <c r="AP36" i="236"/>
  <c r="AP21" i="236"/>
  <c r="AO26" i="236"/>
  <c r="AP16" i="236"/>
  <c r="AP99" i="236"/>
  <c r="AO32" i="237"/>
  <c r="AP93" i="236"/>
  <c r="AO29" i="237"/>
  <c r="AO19" i="237"/>
  <c r="AP78" i="236"/>
  <c r="AP26" i="236"/>
  <c r="AO9" i="237"/>
  <c r="AM37" i="237"/>
  <c r="AO31" i="237"/>
  <c r="AO37" i="237"/>
  <c r="AN101" i="236"/>
  <c r="AO101" i="236"/>
  <c r="AP56" i="236"/>
  <c r="AW134" i="337"/>
  <c r="AV134" i="337"/>
  <c r="AS134" i="337"/>
  <c r="AR134" i="337"/>
  <c r="AK134" i="337"/>
  <c r="AJ134" i="337"/>
  <c r="AI134" i="337"/>
  <c r="AX133" i="337"/>
  <c r="AT133" i="337"/>
  <c r="AP133" i="337"/>
  <c r="AL133" i="337"/>
  <c r="AX132" i="337"/>
  <c r="AT132" i="337"/>
  <c r="AP132" i="337"/>
  <c r="AL132" i="337"/>
  <c r="AX131" i="337"/>
  <c r="AX134" i="337"/>
  <c r="AT131" i="337"/>
  <c r="AT134" i="337"/>
  <c r="AP131" i="337"/>
  <c r="AP134" i="337"/>
  <c r="AL131" i="337"/>
  <c r="AL134" i="337"/>
  <c r="AW124" i="337"/>
  <c r="AV124" i="337"/>
  <c r="AU124" i="337"/>
  <c r="AS124" i="337"/>
  <c r="AR124" i="337"/>
  <c r="AQ124" i="337"/>
  <c r="AO124" i="337"/>
  <c r="AN124" i="337"/>
  <c r="AM124" i="337"/>
  <c r="AK124" i="337"/>
  <c r="AJ124" i="337"/>
  <c r="AI124" i="337"/>
  <c r="AX123" i="337"/>
  <c r="AT123" i="337"/>
  <c r="AP123" i="337"/>
  <c r="AL123" i="337"/>
  <c r="AX122" i="337"/>
  <c r="AT122" i="337"/>
  <c r="AP122" i="337"/>
  <c r="AL122" i="337"/>
  <c r="AX121" i="337"/>
  <c r="AX124" i="337"/>
  <c r="AT121" i="337"/>
  <c r="AT124" i="337"/>
  <c r="AP121" i="337"/>
  <c r="AP124" i="337"/>
  <c r="AL121" i="337"/>
  <c r="AL124" i="337"/>
  <c r="AW119" i="337"/>
  <c r="AV119" i="337"/>
  <c r="AS119" i="337"/>
  <c r="AR119" i="337"/>
  <c r="AN119" i="337"/>
  <c r="AJ119" i="337"/>
  <c r="AX118" i="337"/>
  <c r="AP118" i="337"/>
  <c r="AX117" i="337"/>
  <c r="AT117" i="337"/>
  <c r="AP117" i="337"/>
  <c r="AL117" i="337"/>
  <c r="AT116" i="337"/>
  <c r="AP116" i="337"/>
  <c r="AL116" i="337"/>
  <c r="AW114" i="337"/>
  <c r="AV114" i="337"/>
  <c r="AU114" i="337"/>
  <c r="AS114" i="337"/>
  <c r="AR114" i="337"/>
  <c r="AQ114" i="337"/>
  <c r="AQ136" i="337"/>
  <c r="AO114" i="337"/>
  <c r="AN114" i="337"/>
  <c r="AM114" i="337"/>
  <c r="AM136" i="337"/>
  <c r="AK114" i="337"/>
  <c r="AJ114" i="337"/>
  <c r="AI114" i="337"/>
  <c r="AX113" i="337"/>
  <c r="AT113" i="337"/>
  <c r="AP113" i="337"/>
  <c r="AL113" i="337"/>
  <c r="AX112" i="337"/>
  <c r="AT112" i="337"/>
  <c r="AP112" i="337"/>
  <c r="AL112" i="337"/>
  <c r="AX111" i="337"/>
  <c r="AX114" i="337"/>
  <c r="AT111" i="337"/>
  <c r="AT114" i="337"/>
  <c r="AP111" i="337"/>
  <c r="AP114" i="337"/>
  <c r="AL111" i="337"/>
  <c r="AL114" i="337"/>
  <c r="AW99" i="337"/>
  <c r="AV99" i="337"/>
  <c r="AS99" i="337"/>
  <c r="AR99" i="337"/>
  <c r="AO99" i="337"/>
  <c r="AN99" i="337"/>
  <c r="AK99" i="337"/>
  <c r="AJ99" i="337"/>
  <c r="AG99" i="337"/>
  <c r="AF99" i="337"/>
  <c r="AC99" i="337"/>
  <c r="AB99" i="337"/>
  <c r="AX98" i="337"/>
  <c r="AT98" i="337"/>
  <c r="AP98" i="337"/>
  <c r="AL98" i="337"/>
  <c r="AH98" i="337"/>
  <c r="AD98" i="337"/>
  <c r="AX97" i="337"/>
  <c r="AT97" i="337"/>
  <c r="AP97" i="337"/>
  <c r="AL97" i="337"/>
  <c r="AH97" i="337"/>
  <c r="AD97" i="337"/>
  <c r="AX96" i="337"/>
  <c r="AT96" i="337"/>
  <c r="AP96" i="337"/>
  <c r="AL96" i="337"/>
  <c r="AH96" i="337"/>
  <c r="AD96" i="337"/>
  <c r="AW89" i="337"/>
  <c r="AV89" i="337"/>
  <c r="AU89" i="337"/>
  <c r="AS89" i="337"/>
  <c r="AR89" i="337"/>
  <c r="AQ89" i="337"/>
  <c r="AO89" i="337"/>
  <c r="AN89" i="337"/>
  <c r="AM89" i="337"/>
  <c r="AK89" i="337"/>
  <c r="AJ89" i="337"/>
  <c r="AI89" i="337"/>
  <c r="AG89" i="337"/>
  <c r="AF89" i="337"/>
  <c r="AE89" i="337"/>
  <c r="AC89" i="337"/>
  <c r="AB89" i="337"/>
  <c r="AA89" i="337"/>
  <c r="AX88" i="337"/>
  <c r="AT88" i="337"/>
  <c r="AP88" i="337"/>
  <c r="AL88" i="337"/>
  <c r="AH88" i="337"/>
  <c r="AD88" i="337"/>
  <c r="AX87" i="337"/>
  <c r="AT87" i="337"/>
  <c r="AP87" i="337"/>
  <c r="AL87" i="337"/>
  <c r="AH87" i="337"/>
  <c r="AD87" i="337"/>
  <c r="AX86" i="337"/>
  <c r="AT86" i="337"/>
  <c r="AP86" i="337"/>
  <c r="AL86" i="337"/>
  <c r="AH86" i="337"/>
  <c r="AD86" i="337"/>
  <c r="AW84" i="337"/>
  <c r="AV84" i="337"/>
  <c r="AS84" i="337"/>
  <c r="AR84" i="337"/>
  <c r="AN84" i="337"/>
  <c r="AJ84" i="337"/>
  <c r="AF84" i="337"/>
  <c r="AB84" i="337"/>
  <c r="AX83" i="337"/>
  <c r="AT83" i="337"/>
  <c r="AX81" i="337"/>
  <c r="AT81" i="337"/>
  <c r="AP81" i="337"/>
  <c r="AP84" i="337"/>
  <c r="AL81" i="337"/>
  <c r="AL84" i="337"/>
  <c r="AH81" i="337"/>
  <c r="AH84" i="337"/>
  <c r="AD81" i="337"/>
  <c r="AD84" i="337"/>
  <c r="AW79" i="337"/>
  <c r="AV79" i="337"/>
  <c r="AU79" i="337"/>
  <c r="AU101" i="337"/>
  <c r="AS79" i="337"/>
  <c r="AR79" i="337"/>
  <c r="AQ79" i="337"/>
  <c r="AQ101" i="337"/>
  <c r="AO79" i="337"/>
  <c r="AN79" i="337"/>
  <c r="AM79" i="337"/>
  <c r="AM101" i="337"/>
  <c r="AK79" i="337"/>
  <c r="AJ79" i="337"/>
  <c r="AJ101" i="337"/>
  <c r="AI79" i="337"/>
  <c r="AI101" i="337"/>
  <c r="AG79" i="337"/>
  <c r="AF79" i="337"/>
  <c r="AE79" i="337"/>
  <c r="AE101" i="337"/>
  <c r="AC79" i="337"/>
  <c r="AB79" i="337"/>
  <c r="AB101" i="337"/>
  <c r="AA79" i="337"/>
  <c r="AA101" i="337"/>
  <c r="AX78" i="337"/>
  <c r="AT78" i="337"/>
  <c r="AP78" i="337"/>
  <c r="AL78" i="337"/>
  <c r="AH78" i="337"/>
  <c r="AD78" i="337"/>
  <c r="AX77" i="337"/>
  <c r="AT77" i="337"/>
  <c r="AP77" i="337"/>
  <c r="AL77" i="337"/>
  <c r="AH77" i="337"/>
  <c r="AD77" i="337"/>
  <c r="AX76" i="337"/>
  <c r="AT76" i="337"/>
  <c r="AP76" i="337"/>
  <c r="AL76" i="337"/>
  <c r="AH76" i="337"/>
  <c r="AD76" i="337"/>
  <c r="AW64" i="337"/>
  <c r="AV64" i="337"/>
  <c r="AU64" i="337"/>
  <c r="AS64" i="337"/>
  <c r="AR64" i="337"/>
  <c r="AQ64" i="337"/>
  <c r="AO64" i="337"/>
  <c r="AN64" i="337"/>
  <c r="AM64" i="337"/>
  <c r="AK64" i="337"/>
  <c r="AJ64" i="337"/>
  <c r="AI64" i="337"/>
  <c r="AX63" i="337"/>
  <c r="AT63" i="337"/>
  <c r="AP63" i="337"/>
  <c r="AL63" i="337"/>
  <c r="AX62" i="337"/>
  <c r="AT62" i="337"/>
  <c r="AP62" i="337"/>
  <c r="AL62" i="337"/>
  <c r="AX61" i="337"/>
  <c r="AT61" i="337"/>
  <c r="AT64" i="337"/>
  <c r="AP61" i="337"/>
  <c r="AP64" i="337"/>
  <c r="AL61" i="337"/>
  <c r="AL64" i="337"/>
  <c r="AW59" i="337"/>
  <c r="AV59" i="337"/>
  <c r="AS59" i="337"/>
  <c r="AR59" i="337"/>
  <c r="AO59" i="337"/>
  <c r="AK59" i="337"/>
  <c r="AX58" i="337"/>
  <c r="AT58" i="337"/>
  <c r="AP58" i="337"/>
  <c r="AL58" i="337"/>
  <c r="AX57" i="337"/>
  <c r="AT57" i="337"/>
  <c r="AP57" i="337"/>
  <c r="AL57" i="337"/>
  <c r="AX56" i="337"/>
  <c r="AX59" i="337"/>
  <c r="AT56" i="337"/>
  <c r="AT59" i="337"/>
  <c r="AP56" i="337"/>
  <c r="AP59" i="337"/>
  <c r="AL56" i="337"/>
  <c r="AL59" i="337"/>
  <c r="AW54" i="337"/>
  <c r="AV54" i="337"/>
  <c r="AU54" i="337"/>
  <c r="AS54" i="337"/>
  <c r="AR54" i="337"/>
  <c r="AQ54" i="337"/>
  <c r="AO54" i="337"/>
  <c r="AN54" i="337"/>
  <c r="AM54" i="337"/>
  <c r="AK54" i="337"/>
  <c r="AJ54" i="337"/>
  <c r="AI54" i="337"/>
  <c r="AX53" i="337"/>
  <c r="AT53" i="337"/>
  <c r="AP53" i="337"/>
  <c r="AL53" i="337"/>
  <c r="AX52" i="337"/>
  <c r="AT52" i="337"/>
  <c r="AP52" i="337"/>
  <c r="AL52" i="337"/>
  <c r="AX51" i="337"/>
  <c r="AX54" i="337"/>
  <c r="AT51" i="337"/>
  <c r="AT54" i="337"/>
  <c r="AP51" i="337"/>
  <c r="AP54" i="337"/>
  <c r="AL51" i="337"/>
  <c r="AL54" i="337"/>
  <c r="AW49" i="337"/>
  <c r="AV49" i="337"/>
  <c r="AS49" i="337"/>
  <c r="AR49" i="337"/>
  <c r="AO49" i="337"/>
  <c r="AN49" i="337"/>
  <c r="AK49" i="337"/>
  <c r="AJ49" i="337"/>
  <c r="AX48" i="337"/>
  <c r="AT48" i="337"/>
  <c r="AP48" i="337"/>
  <c r="AL48" i="337"/>
  <c r="Z48" i="337"/>
  <c r="AX47" i="337"/>
  <c r="AT47" i="337"/>
  <c r="AP47" i="337"/>
  <c r="AL47" i="337"/>
  <c r="Z47" i="337"/>
  <c r="AX46" i="337"/>
  <c r="AT46" i="337"/>
  <c r="AP46" i="337"/>
  <c r="AL46" i="337"/>
  <c r="Z46" i="337"/>
  <c r="AW44" i="337"/>
  <c r="AV44" i="337"/>
  <c r="AU44" i="337"/>
  <c r="AS44" i="337"/>
  <c r="AR44" i="337"/>
  <c r="AQ44" i="337"/>
  <c r="AO44" i="337"/>
  <c r="AN44" i="337"/>
  <c r="AM44" i="337"/>
  <c r="AK44" i="337"/>
  <c r="AJ44" i="337"/>
  <c r="AI44" i="337"/>
  <c r="AX43" i="337"/>
  <c r="AT43" i="337"/>
  <c r="AP43" i="337"/>
  <c r="AL43" i="337"/>
  <c r="AX42" i="337"/>
  <c r="AT42" i="337"/>
  <c r="AP42" i="337"/>
  <c r="AL42" i="337"/>
  <c r="AX41" i="337"/>
  <c r="AX44" i="337"/>
  <c r="AT41" i="337"/>
  <c r="AT44" i="337"/>
  <c r="AP41" i="337"/>
  <c r="AP44" i="337"/>
  <c r="AL41" i="337"/>
  <c r="AL44" i="337"/>
  <c r="AO29" i="337"/>
  <c r="AN29" i="337"/>
  <c r="AM29" i="337"/>
  <c r="AK29" i="337"/>
  <c r="AJ29" i="337"/>
  <c r="AI29" i="337"/>
  <c r="AH29" i="337"/>
  <c r="AG29" i="337"/>
  <c r="AF29" i="337"/>
  <c r="AE29" i="337"/>
  <c r="AC29" i="337"/>
  <c r="AB29" i="337"/>
  <c r="AA29" i="337"/>
  <c r="Y29" i="337"/>
  <c r="X29" i="337"/>
  <c r="W29" i="337"/>
  <c r="V29" i="337"/>
  <c r="R29" i="337"/>
  <c r="N29" i="337"/>
  <c r="F29" i="337"/>
  <c r="AW28" i="337"/>
  <c r="AV28" i="337"/>
  <c r="AU28" i="337"/>
  <c r="AS28" i="337"/>
  <c r="AR28" i="337"/>
  <c r="AQ28" i="337"/>
  <c r="AP28" i="337"/>
  <c r="AL28" i="337"/>
  <c r="AD28" i="337"/>
  <c r="Z28" i="337"/>
  <c r="AW27" i="337"/>
  <c r="AV27" i="337"/>
  <c r="AU27" i="337"/>
  <c r="AS27" i="337"/>
  <c r="AR27" i="337"/>
  <c r="AQ27" i="337"/>
  <c r="AP27" i="337"/>
  <c r="AL27" i="337"/>
  <c r="AD27" i="337"/>
  <c r="Z27" i="337"/>
  <c r="AW26" i="337"/>
  <c r="AV26" i="337"/>
  <c r="AU26" i="337"/>
  <c r="AU29" i="337"/>
  <c r="AS26" i="337"/>
  <c r="AR26" i="337"/>
  <c r="AQ26" i="337"/>
  <c r="AP26" i="337"/>
  <c r="AP29" i="337"/>
  <c r="AL26" i="337"/>
  <c r="AD26" i="337"/>
  <c r="Z26" i="337"/>
  <c r="AO24" i="337"/>
  <c r="AK24" i="337"/>
  <c r="AH24" i="337"/>
  <c r="AG24" i="337"/>
  <c r="AC24" i="337"/>
  <c r="AW23" i="337"/>
  <c r="AV23" i="337"/>
  <c r="AU23" i="337"/>
  <c r="AS23" i="337"/>
  <c r="AR23" i="337"/>
  <c r="AQ23" i="337"/>
  <c r="AP23" i="337"/>
  <c r="AL23" i="337"/>
  <c r="AD23" i="337"/>
  <c r="AD24" i="337"/>
  <c r="AW22" i="337"/>
  <c r="AV22" i="337"/>
  <c r="AU22" i="337"/>
  <c r="AS22" i="337"/>
  <c r="AT22" i="337"/>
  <c r="AR22" i="337"/>
  <c r="AQ22" i="337"/>
  <c r="AP22" i="337"/>
  <c r="AL22" i="337"/>
  <c r="AW21" i="337"/>
  <c r="AV21" i="337"/>
  <c r="AU21" i="337"/>
  <c r="AS21" i="337"/>
  <c r="AR21" i="337"/>
  <c r="AQ21" i="337"/>
  <c r="AP21" i="337"/>
  <c r="AP24" i="337"/>
  <c r="AL21" i="337"/>
  <c r="AO19" i="337"/>
  <c r="AN19" i="337"/>
  <c r="AM19" i="337"/>
  <c r="AK19" i="337"/>
  <c r="AJ19" i="337"/>
  <c r="AI19" i="337"/>
  <c r="AH19" i="337"/>
  <c r="AG19" i="337"/>
  <c r="AF19" i="337"/>
  <c r="AF31" i="337"/>
  <c r="AE19" i="337"/>
  <c r="AC19" i="337"/>
  <c r="AB19" i="337"/>
  <c r="AA19" i="337"/>
  <c r="Y19" i="337"/>
  <c r="X19" i="337"/>
  <c r="W19" i="337"/>
  <c r="V19" i="337"/>
  <c r="R19" i="337"/>
  <c r="AW18" i="337"/>
  <c r="AV18" i="337"/>
  <c r="AU18" i="337"/>
  <c r="AS18" i="337"/>
  <c r="AR18" i="337"/>
  <c r="AQ18" i="337"/>
  <c r="AP18" i="337"/>
  <c r="AL18" i="337"/>
  <c r="AD18" i="337"/>
  <c r="Z18" i="337"/>
  <c r="AW17" i="337"/>
  <c r="AV17" i="337"/>
  <c r="AU17" i="337"/>
  <c r="AS17" i="337"/>
  <c r="AR17" i="337"/>
  <c r="AQ17" i="337"/>
  <c r="AP17" i="337"/>
  <c r="AL17" i="337"/>
  <c r="AD17" i="337"/>
  <c r="Z17" i="337"/>
  <c r="AW16" i="337"/>
  <c r="AW19" i="337"/>
  <c r="AV16" i="337"/>
  <c r="AU16" i="337"/>
  <c r="AS16" i="337"/>
  <c r="AR16" i="337"/>
  <c r="AQ16" i="337"/>
  <c r="AP16" i="337"/>
  <c r="AL16" i="337"/>
  <c r="AD16" i="337"/>
  <c r="Z16" i="337"/>
  <c r="AO14" i="337"/>
  <c r="AN14" i="337"/>
  <c r="AK14" i="337"/>
  <c r="AJ14" i="337"/>
  <c r="AC14" i="337"/>
  <c r="AB14" i="337"/>
  <c r="Y14" i="337"/>
  <c r="X14" i="337"/>
  <c r="V14" i="337"/>
  <c r="M14" i="337"/>
  <c r="AW13" i="337"/>
  <c r="AV13" i="337"/>
  <c r="AU13" i="337"/>
  <c r="AS13" i="337"/>
  <c r="AR13" i="337"/>
  <c r="AQ13" i="337"/>
  <c r="AP13" i="337"/>
  <c r="AL13" i="337"/>
  <c r="AD13" i="337"/>
  <c r="Z13" i="337"/>
  <c r="AW12" i="337"/>
  <c r="AV12" i="337"/>
  <c r="AU12" i="337"/>
  <c r="AS12" i="337"/>
  <c r="AR12" i="337"/>
  <c r="AQ12" i="337"/>
  <c r="AP12" i="337"/>
  <c r="AL12" i="337"/>
  <c r="AD12" i="337"/>
  <c r="Z12" i="337"/>
  <c r="AW11" i="337"/>
  <c r="AV11" i="337"/>
  <c r="AU11" i="337"/>
  <c r="AS11" i="337"/>
  <c r="AR11" i="337"/>
  <c r="AQ11" i="337"/>
  <c r="AP11" i="337"/>
  <c r="AL11" i="337"/>
  <c r="AD11" i="337"/>
  <c r="Z11" i="337"/>
  <c r="Z14" i="337"/>
  <c r="AO9" i="337"/>
  <c r="AN9" i="337"/>
  <c r="AM9" i="337"/>
  <c r="AK9" i="337"/>
  <c r="AJ9" i="337"/>
  <c r="AI9" i="337"/>
  <c r="AC9" i="337"/>
  <c r="AB9" i="337"/>
  <c r="AB31" i="337"/>
  <c r="AA9" i="337"/>
  <c r="Y9" i="337"/>
  <c r="X9" i="337"/>
  <c r="W9" i="337"/>
  <c r="W31" i="337"/>
  <c r="E9" i="337"/>
  <c r="D9" i="337"/>
  <c r="C9" i="337"/>
  <c r="AW8" i="337"/>
  <c r="AV8" i="337"/>
  <c r="AU8" i="337"/>
  <c r="AS8" i="337"/>
  <c r="AR8" i="337"/>
  <c r="AQ8" i="337"/>
  <c r="AP8" i="337"/>
  <c r="AL8" i="337"/>
  <c r="AD8" i="337"/>
  <c r="Z8" i="337"/>
  <c r="F8" i="337"/>
  <c r="AW7" i="337"/>
  <c r="AV7" i="337"/>
  <c r="AU7" i="337"/>
  <c r="AS7" i="337"/>
  <c r="AR7" i="337"/>
  <c r="AQ7" i="337"/>
  <c r="AP7" i="337"/>
  <c r="AL7" i="337"/>
  <c r="AD7" i="337"/>
  <c r="Z7" i="337"/>
  <c r="F7" i="337"/>
  <c r="AW6" i="337"/>
  <c r="AV6" i="337"/>
  <c r="AU6" i="337"/>
  <c r="AS6" i="337"/>
  <c r="AR6" i="337"/>
  <c r="AQ6" i="337"/>
  <c r="AP6" i="337"/>
  <c r="AL6" i="337"/>
  <c r="AD6" i="337"/>
  <c r="Z6" i="337"/>
  <c r="F6" i="337"/>
  <c r="AP79" i="337"/>
  <c r="AP89" i="337"/>
  <c r="AP101" i="236"/>
  <c r="AX64" i="337"/>
  <c r="AS19" i="337"/>
  <c r="AO31" i="337"/>
  <c r="AP14" i="337"/>
  <c r="AP19" i="337"/>
  <c r="AX22" i="337"/>
  <c r="AT23" i="337"/>
  <c r="AW66" i="337"/>
  <c r="AK136" i="337"/>
  <c r="AV136" i="337"/>
  <c r="AL19" i="337"/>
  <c r="AT17" i="337"/>
  <c r="AP9" i="337"/>
  <c r="AQ9" i="337"/>
  <c r="AI31" i="337"/>
  <c r="AN31" i="337"/>
  <c r="AS14" i="337"/>
  <c r="AH31" i="337"/>
  <c r="AR24" i="337"/>
  <c r="AS29" i="337"/>
  <c r="AI66" i="337"/>
  <c r="AN66" i="337"/>
  <c r="AS66" i="337"/>
  <c r="AT49" i="337"/>
  <c r="AT66" i="337"/>
  <c r="AT84" i="337"/>
  <c r="AL99" i="337"/>
  <c r="AI136" i="337"/>
  <c r="AN136" i="337"/>
  <c r="AS136" i="337"/>
  <c r="AL119" i="337"/>
  <c r="AL136" i="337"/>
  <c r="AW24" i="337"/>
  <c r="AL49" i="337"/>
  <c r="AM66" i="337"/>
  <c r="AU136" i="337"/>
  <c r="AT119" i="337"/>
  <c r="AT136" i="337"/>
  <c r="F9" i="337"/>
  <c r="Z9" i="337"/>
  <c r="Z19" i="337"/>
  <c r="AG101" i="337"/>
  <c r="AR9" i="337"/>
  <c r="X31" i="337"/>
  <c r="AM31" i="337"/>
  <c r="AD14" i="337"/>
  <c r="AR14" i="337"/>
  <c r="AW14" i="337"/>
  <c r="AX12" i="337"/>
  <c r="AK31" i="337"/>
  <c r="AD19" i="337"/>
  <c r="AT21" i="337"/>
  <c r="AV24" i="337"/>
  <c r="Z29" i="337"/>
  <c r="AQ29" i="337"/>
  <c r="AV29" i="337"/>
  <c r="AT28" i="337"/>
  <c r="Y31" i="337"/>
  <c r="AE31" i="337"/>
  <c r="AJ66" i="337"/>
  <c r="AO66" i="337"/>
  <c r="AU66" i="337"/>
  <c r="AD79" i="337"/>
  <c r="AT79" i="337"/>
  <c r="AC101" i="337"/>
  <c r="AN101" i="337"/>
  <c r="AS101" i="337"/>
  <c r="AD89" i="337"/>
  <c r="AT89" i="337"/>
  <c r="AD99" i="337"/>
  <c r="AT99" i="337"/>
  <c r="AJ136" i="337"/>
  <c r="AO136" i="337"/>
  <c r="AP119" i="337"/>
  <c r="AW9" i="337"/>
  <c r="AV14" i="337"/>
  <c r="AT16" i="337"/>
  <c r="AT18" i="337"/>
  <c r="AR29" i="337"/>
  <c r="AX27" i="337"/>
  <c r="AV66" i="337"/>
  <c r="AP49" i="337"/>
  <c r="AP66" i="337"/>
  <c r="AQ66" i="337"/>
  <c r="AH79" i="337"/>
  <c r="AX79" i="337"/>
  <c r="AX84" i="337"/>
  <c r="AH89" i="337"/>
  <c r="AX89" i="337"/>
  <c r="AH99" i="337"/>
  <c r="AX99" i="337"/>
  <c r="AP99" i="337"/>
  <c r="AX119" i="337"/>
  <c r="AL14" i="337"/>
  <c r="AC31" i="337"/>
  <c r="AD29" i="337"/>
  <c r="AW29" i="337"/>
  <c r="AK66" i="337"/>
  <c r="AL9" i="337"/>
  <c r="AS9" i="337"/>
  <c r="AU9" i="337"/>
  <c r="AT8" i="337"/>
  <c r="AV9" i="337"/>
  <c r="AA31" i="337"/>
  <c r="AJ31" i="337"/>
  <c r="AX11" i="337"/>
  <c r="AX13" i="337"/>
  <c r="AL24" i="337"/>
  <c r="AS24" i="337"/>
  <c r="AX23" i="337"/>
  <c r="AG31" i="337"/>
  <c r="AR66" i="337"/>
  <c r="AF101" i="337"/>
  <c r="AK101" i="337"/>
  <c r="AV101" i="337"/>
  <c r="AR136" i="337"/>
  <c r="AW136" i="337"/>
  <c r="AV19" i="337"/>
  <c r="AL29" i="337"/>
  <c r="AT27" i="337"/>
  <c r="AL79" i="337"/>
  <c r="AP31" i="337"/>
  <c r="AT6" i="337"/>
  <c r="AX6" i="337"/>
  <c r="AX8" i="337"/>
  <c r="AT11" i="337"/>
  <c r="AT13" i="337"/>
  <c r="AR19" i="337"/>
  <c r="AX17" i="337"/>
  <c r="AX21" i="337"/>
  <c r="AX24" i="337"/>
  <c r="AX28" i="337"/>
  <c r="AL66" i="337"/>
  <c r="Z49" i="337"/>
  <c r="AX49" i="337"/>
  <c r="AX66" i="337"/>
  <c r="AR101" i="337"/>
  <c r="AW101" i="337"/>
  <c r="AL89" i="337"/>
  <c r="AP136" i="337"/>
  <c r="AD9" i="337"/>
  <c r="AT12" i="337"/>
  <c r="AX16" i="337"/>
  <c r="AX18" i="337"/>
  <c r="AO101" i="337"/>
  <c r="AX136" i="337"/>
  <c r="AT7" i="337"/>
  <c r="AX7" i="337"/>
  <c r="AQ19" i="337"/>
  <c r="AU19" i="337"/>
  <c r="AU31" i="337"/>
  <c r="AT26" i="337"/>
  <c r="AX26" i="337"/>
  <c r="AS31" i="337"/>
  <c r="AD31" i="337"/>
  <c r="AP101" i="337"/>
  <c r="AT24" i="337"/>
  <c r="AR31" i="337"/>
  <c r="AH101" i="337"/>
  <c r="AT101" i="337"/>
  <c r="AX14" i="337"/>
  <c r="AL31" i="337"/>
  <c r="AW31" i="337"/>
  <c r="AV31" i="337"/>
  <c r="AQ31" i="337"/>
  <c r="AX101" i="337"/>
  <c r="AT19" i="337"/>
  <c r="Z31" i="337"/>
  <c r="AX29" i="337"/>
  <c r="AX9" i="337"/>
  <c r="AD101" i="337"/>
  <c r="AT29" i="337"/>
  <c r="AT9" i="337"/>
  <c r="AT14" i="337"/>
  <c r="AX19" i="337"/>
  <c r="AX31" i="337"/>
  <c r="AL101" i="337"/>
  <c r="AT31" i="337"/>
  <c r="BT32" i="123"/>
  <c r="C32" i="123"/>
  <c r="D32" i="123"/>
  <c r="E32" i="123"/>
  <c r="G32" i="123"/>
  <c r="H32" i="123"/>
  <c r="I32" i="123"/>
  <c r="J32" i="123"/>
  <c r="L32" i="123"/>
  <c r="M32" i="123"/>
  <c r="N32" i="123"/>
  <c r="O32" i="123"/>
  <c r="Q32" i="123"/>
  <c r="R32" i="123"/>
  <c r="S32" i="123"/>
  <c r="T32" i="123"/>
  <c r="T38" i="123"/>
  <c r="V32" i="123"/>
  <c r="W32" i="123"/>
  <c r="X32" i="123"/>
  <c r="Y32" i="123"/>
  <c r="AA32" i="123"/>
  <c r="AB32" i="123"/>
  <c r="AC32" i="123"/>
  <c r="AD32" i="123"/>
  <c r="AF32" i="123"/>
  <c r="AG32" i="123"/>
  <c r="AH32" i="123"/>
  <c r="AI32" i="123"/>
  <c r="AK32" i="123"/>
  <c r="AL32" i="123"/>
  <c r="AM32" i="123"/>
  <c r="AN32" i="123"/>
  <c r="AP32" i="123"/>
  <c r="AQ32" i="123"/>
  <c r="AR32" i="123"/>
  <c r="AS32" i="123"/>
  <c r="AU32" i="123"/>
  <c r="AV32" i="123"/>
  <c r="AW32" i="123"/>
  <c r="AX32" i="123"/>
  <c r="AZ32" i="123"/>
  <c r="AZ38" i="123"/>
  <c r="BA32" i="123"/>
  <c r="BB32" i="123"/>
  <c r="BC32" i="123"/>
  <c r="BE32" i="123"/>
  <c r="BF32" i="123"/>
  <c r="BG32" i="123"/>
  <c r="BH32" i="123"/>
  <c r="BH38" i="123"/>
  <c r="BJ32" i="123"/>
  <c r="BK32" i="123"/>
  <c r="BL32" i="123"/>
  <c r="BM32" i="123"/>
  <c r="BO32" i="123"/>
  <c r="BP32" i="123"/>
  <c r="BP38" i="123"/>
  <c r="BQ32" i="123"/>
  <c r="BR32" i="123"/>
  <c r="BU32" i="123"/>
  <c r="BU38" i="123"/>
  <c r="BV32" i="123"/>
  <c r="BW32" i="123"/>
  <c r="C33" i="123"/>
  <c r="D33" i="123"/>
  <c r="E33" i="123"/>
  <c r="G33" i="123"/>
  <c r="H33" i="123"/>
  <c r="I33" i="123"/>
  <c r="J33" i="123"/>
  <c r="L33" i="123"/>
  <c r="L38" i="123"/>
  <c r="M33" i="123"/>
  <c r="N33" i="123"/>
  <c r="O33" i="123"/>
  <c r="Q33" i="123"/>
  <c r="R33" i="123"/>
  <c r="S33" i="123"/>
  <c r="T33" i="123"/>
  <c r="V33" i="123"/>
  <c r="W33" i="123"/>
  <c r="X33" i="123"/>
  <c r="Y33" i="123"/>
  <c r="AA33" i="123"/>
  <c r="AB33" i="123"/>
  <c r="AB38" i="123"/>
  <c r="AC33" i="123"/>
  <c r="AD33" i="123"/>
  <c r="AF33" i="123"/>
  <c r="AG33" i="123"/>
  <c r="AH33" i="123"/>
  <c r="AI33" i="123"/>
  <c r="AK33" i="123"/>
  <c r="AL33" i="123"/>
  <c r="AM33" i="123"/>
  <c r="AN33" i="123"/>
  <c r="AP33" i="123"/>
  <c r="AQ33" i="123"/>
  <c r="AR33" i="123"/>
  <c r="AR38" i="123"/>
  <c r="AS33" i="123"/>
  <c r="AU33" i="123"/>
  <c r="AV33" i="123"/>
  <c r="AW33" i="123"/>
  <c r="AX33" i="123"/>
  <c r="AZ33" i="123"/>
  <c r="BA33" i="123"/>
  <c r="BB33" i="123"/>
  <c r="BC33" i="123"/>
  <c r="BE33" i="123"/>
  <c r="BF33" i="123"/>
  <c r="BG33" i="123"/>
  <c r="BH33" i="123"/>
  <c r="BJ33" i="123"/>
  <c r="BK33" i="123"/>
  <c r="BL33" i="123"/>
  <c r="BM33" i="123"/>
  <c r="BO33" i="123"/>
  <c r="BP33" i="123"/>
  <c r="BQ33" i="123"/>
  <c r="BR33" i="123"/>
  <c r="BT33" i="123"/>
  <c r="BU33" i="123"/>
  <c r="BV33" i="123"/>
  <c r="BW33" i="123"/>
  <c r="C34" i="123"/>
  <c r="D34" i="123"/>
  <c r="D38" i="123"/>
  <c r="E34" i="123"/>
  <c r="G34" i="123"/>
  <c r="G38" i="123"/>
  <c r="H34" i="123"/>
  <c r="I34" i="123"/>
  <c r="I38" i="123"/>
  <c r="J34" i="123"/>
  <c r="L34" i="123"/>
  <c r="M34" i="123"/>
  <c r="N34" i="123"/>
  <c r="O34" i="123"/>
  <c r="O38" i="123"/>
  <c r="Q34" i="123"/>
  <c r="R34" i="123"/>
  <c r="S34" i="123"/>
  <c r="T34" i="123"/>
  <c r="V34" i="123"/>
  <c r="W34" i="123"/>
  <c r="W38" i="123"/>
  <c r="X34" i="123"/>
  <c r="Y34" i="123"/>
  <c r="Y38" i="123"/>
  <c r="AA34" i="123"/>
  <c r="AB34" i="123"/>
  <c r="AC34" i="123"/>
  <c r="AD34" i="123"/>
  <c r="AF34" i="123"/>
  <c r="AG34" i="123"/>
  <c r="AH34" i="123"/>
  <c r="AI34" i="123"/>
  <c r="AK34" i="123"/>
  <c r="AL34" i="123"/>
  <c r="AM34" i="123"/>
  <c r="AM38" i="123"/>
  <c r="AN34" i="123"/>
  <c r="AP34" i="123"/>
  <c r="AQ34" i="123"/>
  <c r="AR34" i="123"/>
  <c r="AS34" i="123"/>
  <c r="AU34" i="123"/>
  <c r="AU38" i="123"/>
  <c r="AV34" i="123"/>
  <c r="AW34" i="123"/>
  <c r="AW38" i="123"/>
  <c r="AX34" i="123"/>
  <c r="AZ34" i="123"/>
  <c r="BA34" i="123"/>
  <c r="BB34" i="123"/>
  <c r="BC34" i="123"/>
  <c r="BC38" i="123"/>
  <c r="BE34" i="123"/>
  <c r="BE38" i="123"/>
  <c r="BF34" i="123"/>
  <c r="BG34" i="123"/>
  <c r="BH34" i="123"/>
  <c r="BJ34" i="123"/>
  <c r="BK34" i="123"/>
  <c r="BK38" i="123"/>
  <c r="BL34" i="123"/>
  <c r="BM34" i="123"/>
  <c r="BM38" i="123"/>
  <c r="BO34" i="123"/>
  <c r="BP34" i="123"/>
  <c r="BQ34" i="123"/>
  <c r="BR34" i="123"/>
  <c r="BT34" i="123"/>
  <c r="BU34" i="123"/>
  <c r="BV34" i="123"/>
  <c r="BW34" i="123"/>
  <c r="C35" i="123"/>
  <c r="D35" i="123"/>
  <c r="E35" i="123"/>
  <c r="G35" i="123"/>
  <c r="H35" i="123"/>
  <c r="I35" i="123"/>
  <c r="J35" i="123"/>
  <c r="L35" i="123"/>
  <c r="M35" i="123"/>
  <c r="N35" i="123"/>
  <c r="O35" i="123"/>
  <c r="Q35" i="123"/>
  <c r="Q38" i="123"/>
  <c r="R35" i="123"/>
  <c r="S35" i="123"/>
  <c r="T35" i="123"/>
  <c r="V35" i="123"/>
  <c r="W35" i="123"/>
  <c r="X35" i="123"/>
  <c r="Y35" i="123"/>
  <c r="AA35" i="123"/>
  <c r="AB35" i="123"/>
  <c r="AC35" i="123"/>
  <c r="AD35" i="123"/>
  <c r="AF35" i="123"/>
  <c r="AG35" i="123"/>
  <c r="AG38" i="123"/>
  <c r="AH35" i="123"/>
  <c r="AI35" i="123"/>
  <c r="AK35" i="123"/>
  <c r="AL35" i="123"/>
  <c r="AM35" i="123"/>
  <c r="AN35" i="123"/>
  <c r="AP35" i="123"/>
  <c r="AQ35" i="123"/>
  <c r="AR35" i="123"/>
  <c r="AS35" i="123"/>
  <c r="AU35" i="123"/>
  <c r="AV35" i="123"/>
  <c r="AW35" i="123"/>
  <c r="AX35" i="123"/>
  <c r="AZ35" i="123"/>
  <c r="BA35" i="123"/>
  <c r="BB35" i="123"/>
  <c r="BC35" i="123"/>
  <c r="BE35" i="123"/>
  <c r="BF35" i="123"/>
  <c r="BG35" i="123"/>
  <c r="BH35" i="123"/>
  <c r="BJ35" i="123"/>
  <c r="BK35" i="123"/>
  <c r="BL35" i="123"/>
  <c r="BM35" i="123"/>
  <c r="BO35" i="123"/>
  <c r="BP35" i="123"/>
  <c r="BQ35" i="123"/>
  <c r="BR35" i="123"/>
  <c r="BT35" i="123"/>
  <c r="BU35" i="123"/>
  <c r="BV35" i="123"/>
  <c r="BW35" i="123"/>
  <c r="C36" i="123"/>
  <c r="C38" i="123"/>
  <c r="D36" i="123"/>
  <c r="E36" i="123"/>
  <c r="G36" i="123"/>
  <c r="H36" i="123"/>
  <c r="H38" i="123"/>
  <c r="I36" i="123"/>
  <c r="J36" i="123"/>
  <c r="K36" i="123"/>
  <c r="L36" i="123"/>
  <c r="M36" i="123"/>
  <c r="N36" i="123"/>
  <c r="O36" i="123"/>
  <c r="P36" i="123"/>
  <c r="Q36" i="123"/>
  <c r="R36" i="123"/>
  <c r="S36" i="123"/>
  <c r="T36" i="123"/>
  <c r="U36" i="123"/>
  <c r="V36" i="123"/>
  <c r="W36" i="123"/>
  <c r="X36" i="123"/>
  <c r="X38" i="123"/>
  <c r="Y36" i="123"/>
  <c r="Z36" i="123"/>
  <c r="AA36" i="123"/>
  <c r="AB36" i="123"/>
  <c r="AC36" i="123"/>
  <c r="AD36" i="123"/>
  <c r="AF36" i="123"/>
  <c r="AG36" i="123"/>
  <c r="AH36" i="123"/>
  <c r="AI36" i="123"/>
  <c r="AK36" i="123"/>
  <c r="AL36" i="123"/>
  <c r="AM36" i="123"/>
  <c r="AN36" i="123"/>
  <c r="AN38" i="123"/>
  <c r="AP36" i="123"/>
  <c r="AQ36" i="123"/>
  <c r="AR36" i="123"/>
  <c r="AS36" i="123"/>
  <c r="AU36" i="123"/>
  <c r="AV36" i="123"/>
  <c r="AW36" i="123"/>
  <c r="AX36" i="123"/>
  <c r="AZ36" i="123"/>
  <c r="BA36" i="123"/>
  <c r="BB36" i="123"/>
  <c r="BC36" i="123"/>
  <c r="BE36" i="123"/>
  <c r="BF36" i="123"/>
  <c r="BG36" i="123"/>
  <c r="BH36" i="123"/>
  <c r="BJ36" i="123"/>
  <c r="BK36" i="123"/>
  <c r="BL36" i="123"/>
  <c r="BM36" i="123"/>
  <c r="BO36" i="123"/>
  <c r="BP36" i="123"/>
  <c r="BQ36" i="123"/>
  <c r="BR36" i="123"/>
  <c r="BT36" i="123"/>
  <c r="BT38" i="123"/>
  <c r="BU36" i="123"/>
  <c r="BV36" i="123"/>
  <c r="BW36" i="123"/>
  <c r="C37" i="123"/>
  <c r="D37" i="123"/>
  <c r="E37" i="123"/>
  <c r="G37" i="123"/>
  <c r="H37" i="123"/>
  <c r="I37" i="123"/>
  <c r="J37" i="123"/>
  <c r="K37" i="123"/>
  <c r="L37" i="123"/>
  <c r="M37" i="123"/>
  <c r="N37" i="123"/>
  <c r="O37" i="123"/>
  <c r="P37" i="123"/>
  <c r="Q37" i="123"/>
  <c r="R37" i="123"/>
  <c r="S37" i="123"/>
  <c r="S38" i="123"/>
  <c r="T37" i="123"/>
  <c r="U37" i="123"/>
  <c r="V37" i="123"/>
  <c r="W37" i="123"/>
  <c r="X37" i="123"/>
  <c r="Y37" i="123"/>
  <c r="Z37" i="123"/>
  <c r="AA37" i="123"/>
  <c r="AB37" i="123"/>
  <c r="AC37" i="123"/>
  <c r="AD37" i="123"/>
  <c r="AF37" i="123"/>
  <c r="AG37" i="123"/>
  <c r="AH37" i="123"/>
  <c r="AI37" i="123"/>
  <c r="AI38" i="123"/>
  <c r="AK37" i="123"/>
  <c r="AL37" i="123"/>
  <c r="AM37" i="123"/>
  <c r="AN37" i="123"/>
  <c r="AP37" i="123"/>
  <c r="AQ37" i="123"/>
  <c r="AR37" i="123"/>
  <c r="AS37" i="123"/>
  <c r="AU37" i="123"/>
  <c r="AV37" i="123"/>
  <c r="AW37" i="123"/>
  <c r="AX37" i="123"/>
  <c r="AZ37" i="123"/>
  <c r="BA37" i="123"/>
  <c r="BB37" i="123"/>
  <c r="BC37" i="123"/>
  <c r="BE37" i="123"/>
  <c r="BF37" i="123"/>
  <c r="BG37" i="123"/>
  <c r="BH37" i="123"/>
  <c r="BJ37" i="123"/>
  <c r="BK37" i="123"/>
  <c r="BL37" i="123"/>
  <c r="BM37" i="123"/>
  <c r="BO37" i="123"/>
  <c r="BO38" i="123"/>
  <c r="BP37" i="123"/>
  <c r="BQ37" i="123"/>
  <c r="BR37" i="123"/>
  <c r="BT37" i="123"/>
  <c r="BU37" i="123"/>
  <c r="BV37" i="123"/>
  <c r="BW37" i="123"/>
  <c r="E38" i="123"/>
  <c r="M38" i="123"/>
  <c r="AA38" i="123"/>
  <c r="AC38" i="123"/>
  <c r="AF38" i="123"/>
  <c r="AK38" i="123"/>
  <c r="AQ38" i="123"/>
  <c r="AS38" i="123"/>
  <c r="AV38" i="123"/>
  <c r="BA38" i="123"/>
  <c r="BG38" i="123"/>
  <c r="BL38" i="123"/>
  <c r="BQ38" i="123"/>
  <c r="BW38" i="123"/>
  <c r="B37" i="123"/>
  <c r="F37" i="123"/>
  <c r="B36" i="123"/>
  <c r="F36" i="123"/>
  <c r="B35" i="123"/>
  <c r="F35" i="123"/>
  <c r="B34" i="123"/>
  <c r="F34" i="123"/>
  <c r="B33" i="123"/>
  <c r="F33" i="123"/>
  <c r="B32" i="123"/>
  <c r="B38" i="123"/>
  <c r="C30" i="123"/>
  <c r="D30" i="123"/>
  <c r="E30" i="123"/>
  <c r="G30" i="123"/>
  <c r="H30" i="123"/>
  <c r="I30" i="123"/>
  <c r="J30" i="123"/>
  <c r="L30" i="123"/>
  <c r="M30" i="123"/>
  <c r="N30" i="123"/>
  <c r="O30" i="123"/>
  <c r="Q30" i="123"/>
  <c r="R30" i="123"/>
  <c r="S30" i="123"/>
  <c r="T30" i="123"/>
  <c r="V30" i="123"/>
  <c r="W30" i="123"/>
  <c r="X30" i="123"/>
  <c r="Y30" i="123"/>
  <c r="AA30" i="123"/>
  <c r="AB30" i="123"/>
  <c r="AC30" i="123"/>
  <c r="AD30" i="123"/>
  <c r="AF30" i="123"/>
  <c r="AG30" i="123"/>
  <c r="AH30" i="123"/>
  <c r="AI30" i="123"/>
  <c r="AK30" i="123"/>
  <c r="AL30" i="123"/>
  <c r="AM30" i="123"/>
  <c r="AN30" i="123"/>
  <c r="AP30" i="123"/>
  <c r="AQ30" i="123"/>
  <c r="AR30" i="123"/>
  <c r="AS30" i="123"/>
  <c r="AU30" i="123"/>
  <c r="AV30" i="123"/>
  <c r="AW30" i="123"/>
  <c r="AX30" i="123"/>
  <c r="AZ30" i="123"/>
  <c r="BA30" i="123"/>
  <c r="BB30" i="123"/>
  <c r="BC30" i="123"/>
  <c r="BE30" i="123"/>
  <c r="BF30" i="123"/>
  <c r="BG30" i="123"/>
  <c r="BH30" i="123"/>
  <c r="BJ30" i="123"/>
  <c r="BK30" i="123"/>
  <c r="BL30" i="123"/>
  <c r="BM30" i="123"/>
  <c r="BO30" i="123"/>
  <c r="BP30" i="123"/>
  <c r="BQ30" i="123"/>
  <c r="BR30" i="123"/>
  <c r="BT30" i="123"/>
  <c r="BU30" i="123"/>
  <c r="BV30" i="123"/>
  <c r="BW30" i="123"/>
  <c r="B30" i="123"/>
  <c r="BB25" i="123"/>
  <c r="BE25" i="123"/>
  <c r="BF25" i="123"/>
  <c r="BG25" i="123"/>
  <c r="BJ25" i="123"/>
  <c r="BK25" i="123"/>
  <c r="BL25" i="123"/>
  <c r="BO25" i="123"/>
  <c r="BP25" i="123"/>
  <c r="BQ25" i="123"/>
  <c r="BT25" i="123"/>
  <c r="BU25" i="123"/>
  <c r="BV25" i="123"/>
  <c r="BA25" i="123"/>
  <c r="C20" i="123"/>
  <c r="D20" i="123"/>
  <c r="E20" i="123"/>
  <c r="G20" i="123"/>
  <c r="H20" i="123"/>
  <c r="I20" i="123"/>
  <c r="J20" i="123"/>
  <c r="L20" i="123"/>
  <c r="M20" i="123"/>
  <c r="N20" i="123"/>
  <c r="O20" i="123"/>
  <c r="Q20" i="123"/>
  <c r="R20" i="123"/>
  <c r="S20" i="123"/>
  <c r="T20" i="123"/>
  <c r="V20" i="123"/>
  <c r="W20" i="123"/>
  <c r="X20" i="123"/>
  <c r="Y20" i="123"/>
  <c r="AA20" i="123"/>
  <c r="AB20" i="123"/>
  <c r="AC20" i="123"/>
  <c r="AD20" i="123"/>
  <c r="AF20" i="123"/>
  <c r="AG20" i="123"/>
  <c r="AH20" i="123"/>
  <c r="AI20" i="123"/>
  <c r="AK20" i="123"/>
  <c r="AL20" i="123"/>
  <c r="AM20" i="123"/>
  <c r="AN20" i="123"/>
  <c r="AP20" i="123"/>
  <c r="AQ20" i="123"/>
  <c r="AR20" i="123"/>
  <c r="AS20" i="123"/>
  <c r="AU20" i="123"/>
  <c r="AV20" i="123"/>
  <c r="AW20" i="123"/>
  <c r="AX20" i="123"/>
  <c r="AZ20" i="123"/>
  <c r="BA20" i="123"/>
  <c r="BB20" i="123"/>
  <c r="BC20" i="123"/>
  <c r="BE20" i="123"/>
  <c r="BF20" i="123"/>
  <c r="BG20" i="123"/>
  <c r="BH20" i="123"/>
  <c r="BJ20" i="123"/>
  <c r="BK20" i="123"/>
  <c r="BL20" i="123"/>
  <c r="BM20" i="123"/>
  <c r="BO20" i="123"/>
  <c r="BP20" i="123"/>
  <c r="BQ20" i="123"/>
  <c r="BR20" i="123"/>
  <c r="BT20" i="123"/>
  <c r="BU20" i="123"/>
  <c r="BV20" i="123"/>
  <c r="BW20" i="123"/>
  <c r="B20" i="123"/>
  <c r="AB15" i="123"/>
  <c r="AC15" i="123"/>
  <c r="AD15" i="123"/>
  <c r="AF15" i="123"/>
  <c r="AG15" i="123"/>
  <c r="AH15" i="123"/>
  <c r="AI15" i="123"/>
  <c r="AK15" i="123"/>
  <c r="AL15" i="123"/>
  <c r="AM15" i="123"/>
  <c r="AN15" i="123"/>
  <c r="AP15" i="123"/>
  <c r="AQ15" i="123"/>
  <c r="AR15" i="123"/>
  <c r="AS15" i="123"/>
  <c r="AU15" i="123"/>
  <c r="AV15" i="123"/>
  <c r="AW15" i="123"/>
  <c r="AX15" i="123"/>
  <c r="AZ15" i="123"/>
  <c r="BA15" i="123"/>
  <c r="BB15" i="123"/>
  <c r="BC15" i="123"/>
  <c r="BE15" i="123"/>
  <c r="BF15" i="123"/>
  <c r="BG15" i="123"/>
  <c r="BH15" i="123"/>
  <c r="BJ15" i="123"/>
  <c r="BK15" i="123"/>
  <c r="BL15" i="123"/>
  <c r="BM15" i="123"/>
  <c r="BO15" i="123"/>
  <c r="BP15" i="123"/>
  <c r="BQ15" i="123"/>
  <c r="BR15" i="123"/>
  <c r="BT15" i="123"/>
  <c r="BU15" i="123"/>
  <c r="BV15" i="123"/>
  <c r="BW15" i="123"/>
  <c r="AA15" i="123"/>
  <c r="C10" i="123"/>
  <c r="D10" i="123"/>
  <c r="E10" i="123"/>
  <c r="G10" i="123"/>
  <c r="H10" i="123"/>
  <c r="I10" i="123"/>
  <c r="J10" i="123"/>
  <c r="L10" i="123"/>
  <c r="M10" i="123"/>
  <c r="N10" i="123"/>
  <c r="O10" i="123"/>
  <c r="Q10" i="123"/>
  <c r="R10" i="123"/>
  <c r="S10" i="123"/>
  <c r="T10" i="123"/>
  <c r="V10" i="123"/>
  <c r="W10" i="123"/>
  <c r="X10" i="123"/>
  <c r="Y10" i="123"/>
  <c r="AA10" i="123"/>
  <c r="AB10" i="123"/>
  <c r="AC10" i="123"/>
  <c r="AD10" i="123"/>
  <c r="AF10" i="123"/>
  <c r="AG10" i="123"/>
  <c r="AH10" i="123"/>
  <c r="AI10" i="123"/>
  <c r="AK10" i="123"/>
  <c r="AL10" i="123"/>
  <c r="AM10" i="123"/>
  <c r="AN10" i="123"/>
  <c r="AP10" i="123"/>
  <c r="AQ10" i="123"/>
  <c r="AR10" i="123"/>
  <c r="AS10" i="123"/>
  <c r="AU10" i="123"/>
  <c r="AV10" i="123"/>
  <c r="AW10" i="123"/>
  <c r="AX10" i="123"/>
  <c r="AZ10" i="123"/>
  <c r="BA10" i="123"/>
  <c r="BB10" i="123"/>
  <c r="BC10" i="123"/>
  <c r="BE10" i="123"/>
  <c r="BF10" i="123"/>
  <c r="BG10" i="123"/>
  <c r="BH10" i="123"/>
  <c r="BJ10" i="123"/>
  <c r="BK10" i="123"/>
  <c r="BL10" i="123"/>
  <c r="BM10" i="123"/>
  <c r="BO10" i="123"/>
  <c r="BP10" i="123"/>
  <c r="BQ10" i="123"/>
  <c r="BR10" i="123"/>
  <c r="BT10" i="123"/>
  <c r="BU10" i="123"/>
  <c r="BV10" i="123"/>
  <c r="BW10" i="123"/>
  <c r="B10" i="123"/>
  <c r="BX8" i="123"/>
  <c r="BX33" i="123"/>
  <c r="BX9" i="123"/>
  <c r="BX35" i="123"/>
  <c r="BX12" i="123"/>
  <c r="BX13" i="123"/>
  <c r="BX15" i="123"/>
  <c r="BX14" i="123"/>
  <c r="BX37" i="123"/>
  <c r="BX17" i="123"/>
  <c r="BX18" i="123"/>
  <c r="BX19" i="123"/>
  <c r="BX34" i="123"/>
  <c r="BX22" i="123"/>
  <c r="BX23" i="123"/>
  <c r="BX24" i="123"/>
  <c r="BX26" i="123"/>
  <c r="BX27" i="123"/>
  <c r="BX28" i="123"/>
  <c r="BX29" i="123"/>
  <c r="BX31" i="123"/>
  <c r="BX7" i="123"/>
  <c r="BX32" i="123"/>
  <c r="BS8" i="123"/>
  <c r="BS33" i="123"/>
  <c r="BS9" i="123"/>
  <c r="BS35" i="123"/>
  <c r="BS12" i="123"/>
  <c r="BS15" i="123"/>
  <c r="BS13" i="123"/>
  <c r="BS36" i="123"/>
  <c r="BS14" i="123"/>
  <c r="BS37" i="123"/>
  <c r="BS17" i="123"/>
  <c r="BS18" i="123"/>
  <c r="BS19" i="123"/>
  <c r="BS34" i="123"/>
  <c r="BS22" i="123"/>
  <c r="BS23" i="123"/>
  <c r="BS24" i="123"/>
  <c r="BS26" i="123"/>
  <c r="BS27" i="123"/>
  <c r="BS28" i="123"/>
  <c r="BS29" i="123"/>
  <c r="BS31" i="123"/>
  <c r="BS7" i="123"/>
  <c r="BS10" i="123"/>
  <c r="BN8" i="123"/>
  <c r="BN33" i="123"/>
  <c r="BN9" i="123"/>
  <c r="BN35" i="123"/>
  <c r="BN12" i="123"/>
  <c r="BN13" i="123"/>
  <c r="BN36" i="123"/>
  <c r="BN14" i="123"/>
  <c r="BN37" i="123"/>
  <c r="BN17" i="123"/>
  <c r="BN20" i="123"/>
  <c r="BN18" i="123"/>
  <c r="BN19" i="123"/>
  <c r="BN34" i="123"/>
  <c r="BN22" i="123"/>
  <c r="BN23" i="123"/>
  <c r="BN24" i="123"/>
  <c r="BN26" i="123"/>
  <c r="BN27" i="123"/>
  <c r="BN28" i="123"/>
  <c r="BN30" i="123"/>
  <c r="BN29" i="123"/>
  <c r="BN31" i="123"/>
  <c r="BN7" i="123"/>
  <c r="BI8" i="123"/>
  <c r="BI33" i="123"/>
  <c r="BI9" i="123"/>
  <c r="BI35" i="123"/>
  <c r="BI12" i="123"/>
  <c r="BI15" i="123"/>
  <c r="BI13" i="123"/>
  <c r="BI36" i="123"/>
  <c r="BI14" i="123"/>
  <c r="BI37" i="123"/>
  <c r="BI17" i="123"/>
  <c r="BI18" i="123"/>
  <c r="BI19" i="123"/>
  <c r="BI34" i="123"/>
  <c r="BI22" i="123"/>
  <c r="BI25" i="123"/>
  <c r="BI23" i="123"/>
  <c r="BI24" i="123"/>
  <c r="BI26" i="123"/>
  <c r="BI27" i="123"/>
  <c r="BI30" i="123"/>
  <c r="BI28" i="123"/>
  <c r="BI29" i="123"/>
  <c r="BI31" i="123"/>
  <c r="BI7" i="123"/>
  <c r="BI10" i="123"/>
  <c r="BD8" i="123"/>
  <c r="BD33" i="123"/>
  <c r="BD9" i="123"/>
  <c r="BD35" i="123"/>
  <c r="BD12" i="123"/>
  <c r="BD13" i="123"/>
  <c r="BD15" i="123"/>
  <c r="BD14" i="123"/>
  <c r="BD37" i="123"/>
  <c r="BD17" i="123"/>
  <c r="BD18" i="123"/>
  <c r="BD19" i="123"/>
  <c r="BD34" i="123"/>
  <c r="BD22" i="123"/>
  <c r="BD25" i="123"/>
  <c r="BD23" i="123"/>
  <c r="BD24" i="123"/>
  <c r="BD26" i="123"/>
  <c r="BD27" i="123"/>
  <c r="BD28" i="123"/>
  <c r="BD29" i="123"/>
  <c r="BD31" i="123"/>
  <c r="BD7" i="123"/>
  <c r="BD32" i="123"/>
  <c r="AY8" i="123"/>
  <c r="AY33" i="123"/>
  <c r="AY9" i="123"/>
  <c r="AY35" i="123"/>
  <c r="AY12" i="123"/>
  <c r="AY15" i="123"/>
  <c r="AY13" i="123"/>
  <c r="AY36" i="123"/>
  <c r="AY14" i="123"/>
  <c r="AY37" i="123"/>
  <c r="AY17" i="123"/>
  <c r="AY18" i="123"/>
  <c r="AY19" i="123"/>
  <c r="AY34" i="123"/>
  <c r="AY26" i="123"/>
  <c r="AY27" i="123"/>
  <c r="AY28" i="123"/>
  <c r="AY30" i="123"/>
  <c r="AY29" i="123"/>
  <c r="AY31" i="123"/>
  <c r="AY7" i="123"/>
  <c r="AT8" i="123"/>
  <c r="AT33" i="123"/>
  <c r="AT9" i="123"/>
  <c r="AT35" i="123"/>
  <c r="AT12" i="123"/>
  <c r="AT15" i="123"/>
  <c r="AT13" i="123"/>
  <c r="AT36" i="123"/>
  <c r="AT14" i="123"/>
  <c r="AT37" i="123"/>
  <c r="AT17" i="123"/>
  <c r="AT18" i="123"/>
  <c r="AT19" i="123"/>
  <c r="AT34" i="123"/>
  <c r="AT26" i="123"/>
  <c r="AT27" i="123"/>
  <c r="AT28" i="123"/>
  <c r="AT29" i="123"/>
  <c r="AT31" i="123"/>
  <c r="AT7" i="123"/>
  <c r="AT32" i="123"/>
  <c r="AO8" i="123"/>
  <c r="AO33" i="123"/>
  <c r="AO9" i="123"/>
  <c r="AO35" i="123"/>
  <c r="AO12" i="123"/>
  <c r="AO15" i="123"/>
  <c r="AO13" i="123"/>
  <c r="AO36" i="123"/>
  <c r="AO14" i="123"/>
  <c r="AO37" i="123"/>
  <c r="AO17" i="123"/>
  <c r="AO18" i="123"/>
  <c r="AO19" i="123"/>
  <c r="AO34" i="123"/>
  <c r="AO26" i="123"/>
  <c r="AO27" i="123"/>
  <c r="AO28" i="123"/>
  <c r="AO30" i="123"/>
  <c r="AO29" i="123"/>
  <c r="AO31" i="123"/>
  <c r="AO7" i="123"/>
  <c r="AJ8" i="123"/>
  <c r="AJ33" i="123"/>
  <c r="AJ9" i="123"/>
  <c r="AJ35" i="123"/>
  <c r="AJ12" i="123"/>
  <c r="AJ15" i="123"/>
  <c r="AJ13" i="123"/>
  <c r="AJ36" i="123"/>
  <c r="AJ14" i="123"/>
  <c r="AJ37" i="123"/>
  <c r="AJ17" i="123"/>
  <c r="AJ18" i="123"/>
  <c r="AJ19" i="123"/>
  <c r="AJ34" i="123"/>
  <c r="AJ26" i="123"/>
  <c r="AJ27" i="123"/>
  <c r="AJ28" i="123"/>
  <c r="AJ29" i="123"/>
  <c r="AJ31" i="123"/>
  <c r="AJ7" i="123"/>
  <c r="AJ32" i="123"/>
  <c r="AE8" i="123"/>
  <c r="AE33" i="123"/>
  <c r="AE9" i="123"/>
  <c r="AE35" i="123"/>
  <c r="AE12" i="123"/>
  <c r="AE15" i="123"/>
  <c r="AE13" i="123"/>
  <c r="AE36" i="123"/>
  <c r="AE14" i="123"/>
  <c r="AE37" i="123"/>
  <c r="AE17" i="123"/>
  <c r="AE18" i="123"/>
  <c r="AE19" i="123"/>
  <c r="AE34" i="123"/>
  <c r="AE27" i="123"/>
  <c r="AE28" i="123"/>
  <c r="AE29" i="123"/>
  <c r="AE30" i="123"/>
  <c r="AE31" i="123"/>
  <c r="AE7" i="123"/>
  <c r="AE10" i="123"/>
  <c r="Z8" i="123"/>
  <c r="Z33" i="123"/>
  <c r="Z9" i="123"/>
  <c r="Z35" i="123"/>
  <c r="Z17" i="123"/>
  <c r="Z18" i="123"/>
  <c r="Z19" i="123"/>
  <c r="Z34" i="123"/>
  <c r="Z27" i="123"/>
  <c r="Z30" i="123"/>
  <c r="Z28" i="123"/>
  <c r="Z29" i="123"/>
  <c r="Z31" i="123"/>
  <c r="Z7" i="123"/>
  <c r="Z10" i="123"/>
  <c r="U8" i="123"/>
  <c r="U33" i="123"/>
  <c r="U9" i="123"/>
  <c r="U35" i="123"/>
  <c r="U17" i="123"/>
  <c r="U18" i="123"/>
  <c r="U19" i="123"/>
  <c r="U34" i="123"/>
  <c r="U27" i="123"/>
  <c r="U28" i="123"/>
  <c r="U29" i="123"/>
  <c r="U30" i="123"/>
  <c r="U31" i="123"/>
  <c r="U7" i="123"/>
  <c r="U10" i="123"/>
  <c r="P8" i="123"/>
  <c r="P33" i="123"/>
  <c r="P9" i="123"/>
  <c r="P35" i="123"/>
  <c r="P17" i="123"/>
  <c r="P18" i="123"/>
  <c r="P19" i="123"/>
  <c r="P34" i="123"/>
  <c r="P27" i="123"/>
  <c r="P30" i="123"/>
  <c r="P28" i="123"/>
  <c r="P29" i="123"/>
  <c r="P31" i="123"/>
  <c r="P7" i="123"/>
  <c r="P10" i="123"/>
  <c r="K8" i="123"/>
  <c r="K33" i="123"/>
  <c r="K9" i="123"/>
  <c r="K35" i="123"/>
  <c r="K17" i="123"/>
  <c r="K18" i="123"/>
  <c r="K19" i="123"/>
  <c r="K34" i="123"/>
  <c r="K27" i="123"/>
  <c r="K28" i="123"/>
  <c r="K29" i="123"/>
  <c r="K31" i="123"/>
  <c r="K7" i="123"/>
  <c r="K10" i="123"/>
  <c r="F8" i="123"/>
  <c r="F9" i="123"/>
  <c r="F18" i="123"/>
  <c r="F19" i="123"/>
  <c r="F20" i="123"/>
  <c r="F27" i="123"/>
  <c r="F28" i="123"/>
  <c r="F30" i="123"/>
  <c r="F29" i="123"/>
  <c r="F7" i="123"/>
  <c r="F10" i="123"/>
  <c r="AJ38" i="123"/>
  <c r="AT38" i="123"/>
  <c r="BD38" i="123"/>
  <c r="Z38" i="123"/>
  <c r="BN15" i="123"/>
  <c r="BX36" i="123"/>
  <c r="BX38" i="123"/>
  <c r="BD36" i="123"/>
  <c r="P32" i="123"/>
  <c r="P38" i="123"/>
  <c r="K20" i="123"/>
  <c r="U20" i="123"/>
  <c r="AE20" i="123"/>
  <c r="AO10" i="123"/>
  <c r="AY10" i="123"/>
  <c r="AY20" i="123"/>
  <c r="BN10" i="123"/>
  <c r="BN25" i="123"/>
  <c r="BS20" i="123"/>
  <c r="BS32" i="123"/>
  <c r="BS38" i="123"/>
  <c r="AY32" i="123"/>
  <c r="AY38" i="123"/>
  <c r="AE32" i="123"/>
  <c r="AE38" i="123"/>
  <c r="K32" i="123"/>
  <c r="K38" i="123"/>
  <c r="F32" i="123"/>
  <c r="F38" i="123"/>
  <c r="K30" i="123"/>
  <c r="BS30" i="123"/>
  <c r="BN32" i="123"/>
  <c r="BN38" i="123"/>
  <c r="Z32" i="123"/>
  <c r="BD20" i="123"/>
  <c r="BS25" i="123"/>
  <c r="BX20" i="123"/>
  <c r="P20" i="123"/>
  <c r="Z20" i="123"/>
  <c r="AJ10" i="123"/>
  <c r="AJ30" i="123"/>
  <c r="AJ20" i="123"/>
  <c r="AO20" i="123"/>
  <c r="AT10" i="123"/>
  <c r="AT30" i="123"/>
  <c r="AT20" i="123"/>
  <c r="BD10" i="123"/>
  <c r="BD30" i="123"/>
  <c r="BI20" i="123"/>
  <c r="BX10" i="123"/>
  <c r="BX30" i="123"/>
  <c r="BX25" i="123"/>
  <c r="BV38" i="123"/>
  <c r="BR38" i="123"/>
  <c r="BJ38" i="123"/>
  <c r="BF38" i="123"/>
  <c r="BB38" i="123"/>
  <c r="AX38" i="123"/>
  <c r="AP38" i="123"/>
  <c r="AL38" i="123"/>
  <c r="AH38" i="123"/>
  <c r="AD38" i="123"/>
  <c r="V38" i="123"/>
  <c r="R38" i="123"/>
  <c r="N38" i="123"/>
  <c r="J38" i="123"/>
  <c r="BI32" i="123"/>
  <c r="BI38" i="123"/>
  <c r="AO32" i="123"/>
  <c r="AO38" i="123"/>
  <c r="U32" i="123"/>
  <c r="U38" i="123"/>
  <c r="AX99" i="274"/>
  <c r="AW99" i="274"/>
  <c r="AV99" i="274"/>
  <c r="AY99" i="274"/>
  <c r="AY98" i="274"/>
  <c r="AY97" i="274"/>
  <c r="AY96" i="274"/>
  <c r="AY95" i="274"/>
  <c r="AX94" i="274"/>
  <c r="AW94" i="274"/>
  <c r="AV94" i="274"/>
  <c r="AY94" i="274"/>
  <c r="AY93" i="274"/>
  <c r="AY92" i="274"/>
  <c r="AY91" i="274"/>
  <c r="AY90" i="274"/>
  <c r="AY89" i="274"/>
  <c r="AY88" i="274"/>
  <c r="AY87" i="274"/>
  <c r="AY86" i="274"/>
  <c r="AX85" i="274"/>
  <c r="AW85" i="274"/>
  <c r="AV85" i="274"/>
  <c r="AY85" i="274"/>
  <c r="AY84" i="274"/>
  <c r="AY83" i="274"/>
  <c r="AY82" i="274"/>
  <c r="AY81" i="274"/>
  <c r="AY80" i="274"/>
  <c r="AY79" i="274"/>
  <c r="AX69" i="274"/>
  <c r="AW69" i="274"/>
  <c r="AV69" i="274"/>
  <c r="AY68" i="274"/>
  <c r="AY67" i="274"/>
  <c r="AY66" i="274"/>
  <c r="AY65" i="274"/>
  <c r="AY64" i="274"/>
  <c r="AY63" i="274"/>
  <c r="AX62" i="274"/>
  <c r="AW62" i="274"/>
  <c r="AV62" i="274"/>
  <c r="AY61" i="274"/>
  <c r="AY60" i="274"/>
  <c r="AY59" i="274"/>
  <c r="AY58" i="274"/>
  <c r="AY57" i="274"/>
  <c r="AY56" i="274"/>
  <c r="AY55" i="274"/>
  <c r="AY54" i="274"/>
  <c r="AY53" i="274"/>
  <c r="AY52" i="274"/>
  <c r="AY51" i="274"/>
  <c r="AX50" i="274"/>
  <c r="AW50" i="274"/>
  <c r="AV50" i="274"/>
  <c r="AY50" i="274"/>
  <c r="AY49" i="274"/>
  <c r="AY48" i="274"/>
  <c r="AY47" i="274"/>
  <c r="AY46" i="274"/>
  <c r="AY45" i="274"/>
  <c r="AY44" i="274"/>
  <c r="AY43" i="274"/>
  <c r="AY42" i="274"/>
  <c r="AY41" i="274"/>
  <c r="AX39" i="274"/>
  <c r="AW39" i="274"/>
  <c r="AV39" i="274"/>
  <c r="AY39" i="274"/>
  <c r="AY38" i="274"/>
  <c r="AY37" i="274"/>
  <c r="AY36" i="274"/>
  <c r="AY35" i="274"/>
  <c r="AX34" i="274"/>
  <c r="AW34" i="274"/>
  <c r="AV34" i="274"/>
  <c r="AY33" i="274"/>
  <c r="AY32" i="274"/>
  <c r="AY31" i="274"/>
  <c r="AX30" i="274"/>
  <c r="AW30" i="274"/>
  <c r="AW40" i="274"/>
  <c r="AV30" i="274"/>
  <c r="AV40" i="274"/>
  <c r="AY29" i="274"/>
  <c r="AY28" i="274"/>
  <c r="AY27" i="274"/>
  <c r="AY26" i="274"/>
  <c r="AX24" i="274"/>
  <c r="AW24" i="274"/>
  <c r="AV24" i="274"/>
  <c r="AY23" i="274"/>
  <c r="AY22" i="274"/>
  <c r="AY21" i="274"/>
  <c r="AX20" i="274"/>
  <c r="AW20" i="274"/>
  <c r="AY20" i="274"/>
  <c r="AV20" i="274"/>
  <c r="AY19" i="274"/>
  <c r="AY18" i="274"/>
  <c r="AY17" i="274"/>
  <c r="AY16" i="274"/>
  <c r="AX15" i="274"/>
  <c r="AW15" i="274"/>
  <c r="AV15" i="274"/>
  <c r="AY14" i="274"/>
  <c r="AY13" i="274"/>
  <c r="AY12" i="274"/>
  <c r="AY11" i="274"/>
  <c r="AY10" i="274"/>
  <c r="AY9" i="274"/>
  <c r="AY8" i="274"/>
  <c r="AY7" i="274"/>
  <c r="AY6" i="274"/>
  <c r="AY5" i="274"/>
  <c r="AT99" i="274"/>
  <c r="AS99" i="274"/>
  <c r="AR99" i="274"/>
  <c r="AU98" i="274"/>
  <c r="AU97" i="274"/>
  <c r="AU96" i="274"/>
  <c r="AU95" i="274"/>
  <c r="AT94" i="274"/>
  <c r="AS94" i="274"/>
  <c r="AR94" i="274"/>
  <c r="AU93" i="274"/>
  <c r="AU92" i="274"/>
  <c r="AU91" i="274"/>
  <c r="AU90" i="274"/>
  <c r="AU89" i="274"/>
  <c r="AU88" i="274"/>
  <c r="AU87" i="274"/>
  <c r="AU86" i="274"/>
  <c r="AT85" i="274"/>
  <c r="AS85" i="274"/>
  <c r="AR85" i="274"/>
  <c r="AU84" i="274"/>
  <c r="AU83" i="274"/>
  <c r="AU82" i="274"/>
  <c r="AU81" i="274"/>
  <c r="AU80" i="274"/>
  <c r="AU79" i="274"/>
  <c r="AT69" i="274"/>
  <c r="AS69" i="274"/>
  <c r="AR69" i="274"/>
  <c r="AU68" i="274"/>
  <c r="AU67" i="274"/>
  <c r="AU66" i="274"/>
  <c r="AU65" i="274"/>
  <c r="AU64" i="274"/>
  <c r="AU63" i="274"/>
  <c r="AT62" i="274"/>
  <c r="AS62" i="274"/>
  <c r="AR62" i="274"/>
  <c r="AU62" i="274"/>
  <c r="AU61" i="274"/>
  <c r="AU60" i="274"/>
  <c r="AU59" i="274"/>
  <c r="AU58" i="274"/>
  <c r="AU57" i="274"/>
  <c r="AU56" i="274"/>
  <c r="AU55" i="274"/>
  <c r="AU54" i="274"/>
  <c r="AU53" i="274"/>
  <c r="AU52" i="274"/>
  <c r="AU51" i="274"/>
  <c r="AT50" i="274"/>
  <c r="AS50" i="274"/>
  <c r="AR50" i="274"/>
  <c r="AU49" i="274"/>
  <c r="AU48" i="274"/>
  <c r="AU47" i="274"/>
  <c r="AU46" i="274"/>
  <c r="AU45" i="274"/>
  <c r="AU44" i="274"/>
  <c r="AU43" i="274"/>
  <c r="AU42" i="274"/>
  <c r="AU41" i="274"/>
  <c r="AT39" i="274"/>
  <c r="AS39" i="274"/>
  <c r="AR39" i="274"/>
  <c r="AU39" i="274"/>
  <c r="AU38" i="274"/>
  <c r="AU37" i="274"/>
  <c r="AU36" i="274"/>
  <c r="AU35" i="274"/>
  <c r="AT34" i="274"/>
  <c r="AS34" i="274"/>
  <c r="AR34" i="274"/>
  <c r="AU34" i="274"/>
  <c r="AU33" i="274"/>
  <c r="AU32" i="274"/>
  <c r="AU31" i="274"/>
  <c r="AT30" i="274"/>
  <c r="AT40" i="274"/>
  <c r="AS30" i="274"/>
  <c r="AR30" i="274"/>
  <c r="AU30" i="274"/>
  <c r="AU29" i="274"/>
  <c r="AU28" i="274"/>
  <c r="AU27" i="274"/>
  <c r="AU26" i="274"/>
  <c r="AT24" i="274"/>
  <c r="AS24" i="274"/>
  <c r="AR24" i="274"/>
  <c r="AU23" i="274"/>
  <c r="AU22" i="274"/>
  <c r="AU21" i="274"/>
  <c r="AT20" i="274"/>
  <c r="AS20" i="274"/>
  <c r="AS25" i="274"/>
  <c r="AR20" i="274"/>
  <c r="AU19" i="274"/>
  <c r="AU18" i="274"/>
  <c r="AU17" i="274"/>
  <c r="AU16" i="274"/>
  <c r="AT15" i="274"/>
  <c r="AS15" i="274"/>
  <c r="AR15" i="274"/>
  <c r="AU15" i="274"/>
  <c r="AU14" i="274"/>
  <c r="AU13" i="274"/>
  <c r="AU12" i="274"/>
  <c r="AU11" i="274"/>
  <c r="AU10" i="274"/>
  <c r="AU9" i="274"/>
  <c r="AU8" i="274"/>
  <c r="AU7" i="274"/>
  <c r="AU6" i="274"/>
  <c r="AU5" i="274"/>
  <c r="AY24" i="274"/>
  <c r="AY30" i="274"/>
  <c r="AY69" i="274"/>
  <c r="AX100" i="274"/>
  <c r="AR100" i="274"/>
  <c r="AR40" i="274"/>
  <c r="AT70" i="274"/>
  <c r="E53" i="281"/>
  <c r="J53" i="281"/>
  <c r="O53" i="281"/>
  <c r="T53" i="281"/>
  <c r="Y53" i="281"/>
  <c r="AD53" i="281"/>
  <c r="AI53" i="281"/>
  <c r="E16" i="173"/>
  <c r="F16" i="173"/>
  <c r="G16" i="173"/>
  <c r="J16" i="173"/>
  <c r="M16" i="173"/>
  <c r="N16" i="173"/>
  <c r="BM17" i="274"/>
  <c r="BO27" i="274"/>
  <c r="G19" i="331"/>
  <c r="F19" i="331"/>
  <c r="F36" i="331"/>
  <c r="F34" i="331"/>
  <c r="F33" i="331"/>
  <c r="G31" i="331"/>
  <c r="F31" i="331"/>
  <c r="F29" i="331"/>
  <c r="H28" i="331"/>
  <c r="G24" i="331"/>
  <c r="H24" i="331"/>
  <c r="H16" i="331"/>
  <c r="H35" i="331"/>
  <c r="F9" i="331"/>
  <c r="H7" i="331"/>
  <c r="H6" i="331"/>
  <c r="E58" i="324"/>
  <c r="D58" i="324"/>
  <c r="E56" i="324"/>
  <c r="D56" i="324"/>
  <c r="F14" i="324"/>
  <c r="F19" i="324"/>
  <c r="F55" i="324"/>
  <c r="F56" i="324" s="1"/>
  <c r="F57" i="324"/>
  <c r="F58" i="324" s="1"/>
  <c r="F7" i="324"/>
  <c r="F11" i="324" s="1"/>
  <c r="G11" i="327"/>
  <c r="F6" i="328"/>
  <c r="H28" i="328"/>
  <c r="H24" i="328"/>
  <c r="G24" i="328"/>
  <c r="F24" i="328"/>
  <c r="F18" i="328"/>
  <c r="I44" i="327"/>
  <c r="I45" i="327"/>
  <c r="I29" i="327"/>
  <c r="G42" i="327"/>
  <c r="I41" i="327"/>
  <c r="I40" i="327"/>
  <c r="I39" i="327"/>
  <c r="I38" i="327"/>
  <c r="I37" i="327"/>
  <c r="I36" i="327"/>
  <c r="I35" i="327"/>
  <c r="I34" i="327"/>
  <c r="I33" i="327"/>
  <c r="I32" i="327"/>
  <c r="I31" i="327"/>
  <c r="G27" i="327"/>
  <c r="F11" i="328"/>
  <c r="I26" i="327"/>
  <c r="I27" i="327"/>
  <c r="H11" i="328"/>
  <c r="G25" i="327"/>
  <c r="F13" i="328"/>
  <c r="I24" i="327"/>
  <c r="I25" i="327"/>
  <c r="H13" i="328"/>
  <c r="G22" i="327"/>
  <c r="F12" i="328"/>
  <c r="I21" i="327"/>
  <c r="I22" i="327"/>
  <c r="H12" i="328"/>
  <c r="G19" i="327"/>
  <c r="F8" i="328"/>
  <c r="I18" i="327"/>
  <c r="I16" i="327"/>
  <c r="I10" i="327"/>
  <c r="I9" i="327"/>
  <c r="I8" i="327"/>
  <c r="I6" i="327"/>
  <c r="D33" i="326"/>
  <c r="C33" i="326"/>
  <c r="D31" i="326"/>
  <c r="D36" i="326"/>
  <c r="C36" i="326"/>
  <c r="C35" i="326"/>
  <c r="C31" i="326"/>
  <c r="E36" i="326"/>
  <c r="C19" i="326"/>
  <c r="C9" i="326"/>
  <c r="H98" i="325"/>
  <c r="G28" i="329"/>
  <c r="G98" i="325"/>
  <c r="F28" i="329"/>
  <c r="H28" i="329"/>
  <c r="I97" i="325"/>
  <c r="I96" i="325"/>
  <c r="I95" i="325"/>
  <c r="I94" i="325"/>
  <c r="H93" i="325"/>
  <c r="G27" i="329"/>
  <c r="G93" i="325"/>
  <c r="F27" i="329"/>
  <c r="H27" i="329"/>
  <c r="I92" i="325"/>
  <c r="I91" i="325"/>
  <c r="I90" i="325"/>
  <c r="I89" i="325"/>
  <c r="I88" i="325"/>
  <c r="I87" i="325"/>
  <c r="I86" i="325"/>
  <c r="I85" i="325"/>
  <c r="H84" i="325"/>
  <c r="G26" i="329"/>
  <c r="G29" i="329"/>
  <c r="G84" i="325"/>
  <c r="F26" i="329"/>
  <c r="I83" i="325"/>
  <c r="I82" i="325"/>
  <c r="I81" i="325"/>
  <c r="I80" i="325"/>
  <c r="I79" i="325"/>
  <c r="I78" i="325"/>
  <c r="H76" i="325"/>
  <c r="G23" i="329"/>
  <c r="G76" i="325"/>
  <c r="F23" i="329"/>
  <c r="H23" i="329"/>
  <c r="I75" i="325"/>
  <c r="I74" i="325"/>
  <c r="H73" i="325"/>
  <c r="G22" i="329"/>
  <c r="G73" i="325"/>
  <c r="F22" i="329"/>
  <c r="H22" i="329"/>
  <c r="I72" i="325"/>
  <c r="H71" i="325"/>
  <c r="G21" i="329"/>
  <c r="G71" i="325"/>
  <c r="F21" i="329"/>
  <c r="I70" i="325"/>
  <c r="I71" i="325"/>
  <c r="H68" i="325"/>
  <c r="G18" i="329"/>
  <c r="G33" i="329"/>
  <c r="G68" i="325"/>
  <c r="F18" i="329"/>
  <c r="I67" i="325"/>
  <c r="I66" i="325"/>
  <c r="I65" i="325"/>
  <c r="I64" i="325"/>
  <c r="I63" i="325"/>
  <c r="I62" i="325"/>
  <c r="H61" i="325"/>
  <c r="G17" i="329"/>
  <c r="G61" i="325"/>
  <c r="F17" i="329"/>
  <c r="I60" i="325"/>
  <c r="I58" i="325"/>
  <c r="I57" i="325"/>
  <c r="I56" i="325"/>
  <c r="I55" i="325"/>
  <c r="I54" i="325"/>
  <c r="I53" i="325"/>
  <c r="I52" i="325"/>
  <c r="I51" i="325"/>
  <c r="I50" i="325"/>
  <c r="H49" i="325"/>
  <c r="G16" i="329"/>
  <c r="G19" i="329"/>
  <c r="G49" i="325"/>
  <c r="F16" i="329"/>
  <c r="I48" i="325"/>
  <c r="I47" i="325"/>
  <c r="I46" i="325"/>
  <c r="I49" i="325"/>
  <c r="I69" i="325"/>
  <c r="I42" i="325"/>
  <c r="I41" i="325"/>
  <c r="I40" i="325"/>
  <c r="H38" i="325"/>
  <c r="G11" i="329"/>
  <c r="G38" i="325"/>
  <c r="F11" i="329"/>
  <c r="I36" i="325"/>
  <c r="I37" i="325"/>
  <c r="I35" i="325"/>
  <c r="G13" i="329"/>
  <c r="G36" i="329"/>
  <c r="F13" i="329"/>
  <c r="I33" i="325"/>
  <c r="I32" i="325"/>
  <c r="I30" i="325"/>
  <c r="I31" i="325"/>
  <c r="H29" i="325"/>
  <c r="G12" i="329"/>
  <c r="G35" i="329"/>
  <c r="G29" i="325"/>
  <c r="F12" i="329"/>
  <c r="I28" i="325"/>
  <c r="I27" i="325"/>
  <c r="I26" i="325"/>
  <c r="H24" i="325"/>
  <c r="G8" i="329"/>
  <c r="G34" i="329"/>
  <c r="G24" i="325"/>
  <c r="F8" i="329"/>
  <c r="I23" i="325"/>
  <c r="I22" i="325"/>
  <c r="I21" i="325"/>
  <c r="H20" i="325"/>
  <c r="G7" i="329"/>
  <c r="G20" i="325"/>
  <c r="F7" i="329"/>
  <c r="I19" i="325"/>
  <c r="I18" i="325"/>
  <c r="I17" i="325"/>
  <c r="I16" i="325"/>
  <c r="H15" i="325"/>
  <c r="G6" i="329"/>
  <c r="G15" i="325"/>
  <c r="F6" i="329"/>
  <c r="I14" i="325"/>
  <c r="I13" i="325"/>
  <c r="I12" i="325"/>
  <c r="I11" i="325"/>
  <c r="I10" i="325"/>
  <c r="I9" i="325"/>
  <c r="I8" i="325"/>
  <c r="I6" i="325"/>
  <c r="I5" i="325"/>
  <c r="H98" i="323"/>
  <c r="G98" i="323"/>
  <c r="I97" i="323"/>
  <c r="I96" i="323"/>
  <c r="I95" i="323"/>
  <c r="I94" i="323"/>
  <c r="H93" i="323"/>
  <c r="G93" i="323"/>
  <c r="G99" i="323"/>
  <c r="I92" i="323"/>
  <c r="I91" i="323"/>
  <c r="I90" i="323"/>
  <c r="I89" i="323"/>
  <c r="I88" i="323"/>
  <c r="I87" i="323"/>
  <c r="I86" i="323"/>
  <c r="I85" i="323"/>
  <c r="H84" i="323"/>
  <c r="G84" i="323"/>
  <c r="I83" i="323"/>
  <c r="I82" i="323"/>
  <c r="I81" i="323"/>
  <c r="I80" i="323"/>
  <c r="I79" i="323"/>
  <c r="I78" i="323"/>
  <c r="I74" i="323"/>
  <c r="I76" i="323"/>
  <c r="I75" i="323"/>
  <c r="H73" i="323"/>
  <c r="G73" i="323"/>
  <c r="I72" i="323"/>
  <c r="I73" i="323"/>
  <c r="H71" i="323"/>
  <c r="G71" i="323"/>
  <c r="G77" i="323"/>
  <c r="I70" i="323"/>
  <c r="I71" i="323"/>
  <c r="H68" i="323"/>
  <c r="G18" i="326"/>
  <c r="G33" i="326"/>
  <c r="G68" i="323"/>
  <c r="F18" i="326"/>
  <c r="F33" i="326"/>
  <c r="I67" i="323"/>
  <c r="I66" i="323"/>
  <c r="I65" i="323"/>
  <c r="I64" i="323"/>
  <c r="I63" i="323"/>
  <c r="I62" i="323"/>
  <c r="H61" i="323"/>
  <c r="G17" i="326"/>
  <c r="G61" i="323"/>
  <c r="F17" i="326"/>
  <c r="I60" i="323"/>
  <c r="I59" i="323"/>
  <c r="I58" i="323"/>
  <c r="I57" i="323"/>
  <c r="I56" i="323"/>
  <c r="I55" i="323"/>
  <c r="I54" i="323"/>
  <c r="I53" i="323"/>
  <c r="I52" i="323"/>
  <c r="I51" i="323"/>
  <c r="I50" i="323"/>
  <c r="H49" i="323"/>
  <c r="G16" i="326"/>
  <c r="G49" i="323"/>
  <c r="F16" i="326"/>
  <c r="F19" i="326"/>
  <c r="I48" i="323"/>
  <c r="I47" i="323"/>
  <c r="I46" i="323"/>
  <c r="I44" i="323"/>
  <c r="I43" i="323"/>
  <c r="I42" i="323"/>
  <c r="I41" i="323"/>
  <c r="I40" i="323"/>
  <c r="H38" i="323"/>
  <c r="G13" i="326"/>
  <c r="G36" i="326"/>
  <c r="G38" i="323"/>
  <c r="F13" i="326"/>
  <c r="F36" i="326"/>
  <c r="I37" i="323"/>
  <c r="I36" i="323"/>
  <c r="I35" i="323"/>
  <c r="I30" i="323"/>
  <c r="I34" i="323"/>
  <c r="H12" i="326"/>
  <c r="I31" i="323"/>
  <c r="H29" i="323"/>
  <c r="G11" i="326"/>
  <c r="G14" i="326"/>
  <c r="G29" i="323"/>
  <c r="F11" i="326"/>
  <c r="I28" i="323"/>
  <c r="I27" i="323"/>
  <c r="I26" i="323"/>
  <c r="H24" i="323"/>
  <c r="G8" i="326"/>
  <c r="G34" i="326"/>
  <c r="G24" i="323"/>
  <c r="F8" i="326"/>
  <c r="F34" i="326"/>
  <c r="I23" i="323"/>
  <c r="I22" i="323"/>
  <c r="I21" i="323"/>
  <c r="H20" i="323"/>
  <c r="G7" i="326"/>
  <c r="G32" i="326"/>
  <c r="G20" i="323"/>
  <c r="F7" i="326"/>
  <c r="F32" i="326"/>
  <c r="I19" i="323"/>
  <c r="I18" i="323"/>
  <c r="I17" i="323"/>
  <c r="I16" i="323"/>
  <c r="H15" i="323"/>
  <c r="G6" i="326"/>
  <c r="G15" i="323"/>
  <c r="I14" i="323"/>
  <c r="I13" i="323"/>
  <c r="I12" i="323"/>
  <c r="I11" i="323"/>
  <c r="I10" i="323"/>
  <c r="I8" i="323"/>
  <c r="I9" i="323"/>
  <c r="I7" i="323"/>
  <c r="I6" i="323"/>
  <c r="I5" i="323"/>
  <c r="H29" i="331"/>
  <c r="I24" i="325"/>
  <c r="I29" i="325"/>
  <c r="I76" i="325"/>
  <c r="I84" i="325"/>
  <c r="H99" i="325"/>
  <c r="I68" i="325"/>
  <c r="G69" i="325"/>
  <c r="I93" i="325"/>
  <c r="I61" i="325"/>
  <c r="G77" i="325"/>
  <c r="G99" i="325"/>
  <c r="H77" i="325"/>
  <c r="H69" i="325"/>
  <c r="I29" i="323"/>
  <c r="H11" i="326"/>
  <c r="I98" i="323"/>
  <c r="C14" i="326"/>
  <c r="I20" i="325"/>
  <c r="I98" i="325"/>
  <c r="I99" i="325"/>
  <c r="I73" i="325"/>
  <c r="I38" i="325"/>
  <c r="P11" i="297"/>
  <c r="O11" i="297"/>
  <c r="F29" i="173"/>
  <c r="G29" i="173"/>
  <c r="H29" i="173"/>
  <c r="I29" i="173"/>
  <c r="J29" i="173"/>
  <c r="K29" i="173"/>
  <c r="L29" i="173"/>
  <c r="M29" i="173"/>
  <c r="N29" i="173"/>
  <c r="BP23" i="278"/>
  <c r="BP24" i="278"/>
  <c r="BD7" i="276"/>
  <c r="AZ7" i="276"/>
  <c r="AZ26" i="276"/>
  <c r="AY29" i="276"/>
  <c r="AX29" i="276"/>
  <c r="B39" i="288"/>
  <c r="E53" i="287"/>
  <c r="F53" i="287"/>
  <c r="D53" i="287"/>
  <c r="C53" i="287"/>
  <c r="E48" i="287"/>
  <c r="D48" i="287"/>
  <c r="F48" i="287"/>
  <c r="C48" i="287"/>
  <c r="E43" i="287"/>
  <c r="D43" i="287"/>
  <c r="C43" i="287"/>
  <c r="E38" i="287"/>
  <c r="D38" i="287"/>
  <c r="C38" i="287"/>
  <c r="E34" i="287"/>
  <c r="D34" i="287"/>
  <c r="C34" i="287"/>
  <c r="F8" i="306"/>
  <c r="F9" i="306"/>
  <c r="F12" i="306"/>
  <c r="F13" i="306"/>
  <c r="F14" i="306"/>
  <c r="F17" i="306"/>
  <c r="F18" i="306"/>
  <c r="F19" i="306"/>
  <c r="F27" i="306"/>
  <c r="F28" i="306"/>
  <c r="F29" i="306"/>
  <c r="F7" i="306"/>
  <c r="I8" i="306"/>
  <c r="I9" i="306"/>
  <c r="I12" i="306"/>
  <c r="I13" i="306"/>
  <c r="I14" i="306"/>
  <c r="I17" i="306"/>
  <c r="I18" i="306"/>
  <c r="I19" i="306"/>
  <c r="I27" i="306"/>
  <c r="I28" i="306"/>
  <c r="I29" i="306"/>
  <c r="I7" i="306"/>
  <c r="L8" i="306"/>
  <c r="L9" i="306"/>
  <c r="L12" i="306"/>
  <c r="L13" i="306"/>
  <c r="L14" i="306"/>
  <c r="L17" i="306"/>
  <c r="L18" i="306"/>
  <c r="L19" i="306"/>
  <c r="L20" i="306"/>
  <c r="L27" i="306"/>
  <c r="L28" i="306"/>
  <c r="L29" i="306"/>
  <c r="L7" i="306"/>
  <c r="I30" i="306"/>
  <c r="F30" i="306"/>
  <c r="L10" i="306"/>
  <c r="I10" i="306"/>
  <c r="F10" i="306"/>
  <c r="I15" i="306"/>
  <c r="F15" i="306"/>
  <c r="I20" i="306"/>
  <c r="F20" i="306"/>
  <c r="L15" i="306"/>
  <c r="L30" i="306"/>
  <c r="P30" i="306"/>
  <c r="Q30" i="306"/>
  <c r="P25" i="306"/>
  <c r="Q25" i="306"/>
  <c r="P20" i="306"/>
  <c r="Q20" i="306"/>
  <c r="P15" i="306"/>
  <c r="Q15" i="306"/>
  <c r="P10" i="306"/>
  <c r="Q10" i="306"/>
  <c r="O8" i="306"/>
  <c r="O9" i="306"/>
  <c r="O12" i="306"/>
  <c r="O13" i="306"/>
  <c r="O14" i="306"/>
  <c r="O17" i="306"/>
  <c r="O18" i="306"/>
  <c r="O19" i="306"/>
  <c r="O22" i="306"/>
  <c r="O23" i="306"/>
  <c r="O24" i="306"/>
  <c r="O27" i="306"/>
  <c r="O28" i="306"/>
  <c r="O29" i="306"/>
  <c r="O7" i="306"/>
  <c r="O20" i="306"/>
  <c r="O25" i="306"/>
  <c r="O30" i="306"/>
  <c r="O10" i="306"/>
  <c r="O15" i="306"/>
  <c r="R8" i="306"/>
  <c r="R9" i="306"/>
  <c r="R12" i="306"/>
  <c r="R13" i="306"/>
  <c r="R14" i="306"/>
  <c r="R17" i="306"/>
  <c r="R18" i="306"/>
  <c r="R19" i="306"/>
  <c r="R22" i="306"/>
  <c r="R23" i="306"/>
  <c r="R24" i="306"/>
  <c r="R27" i="306"/>
  <c r="R28" i="306"/>
  <c r="R29" i="306"/>
  <c r="R7" i="306"/>
  <c r="R30" i="306"/>
  <c r="R10" i="306"/>
  <c r="R15" i="306"/>
  <c r="R20" i="306"/>
  <c r="R25" i="306"/>
  <c r="U8" i="306"/>
  <c r="U9" i="306"/>
  <c r="U12" i="306"/>
  <c r="U13" i="306"/>
  <c r="U14" i="306"/>
  <c r="U17" i="306"/>
  <c r="U18" i="306"/>
  <c r="U19" i="306"/>
  <c r="U22" i="306"/>
  <c r="U23" i="306"/>
  <c r="U24" i="306"/>
  <c r="U27" i="306"/>
  <c r="U28" i="306"/>
  <c r="U29" i="306"/>
  <c r="U7" i="306"/>
  <c r="D32" i="306"/>
  <c r="E32" i="306"/>
  <c r="G32" i="306"/>
  <c r="H32" i="306"/>
  <c r="J32" i="306"/>
  <c r="K32" i="306"/>
  <c r="M32" i="306"/>
  <c r="N32" i="306"/>
  <c r="P32" i="306"/>
  <c r="Q32" i="306"/>
  <c r="S32" i="306"/>
  <c r="T32" i="306"/>
  <c r="D33" i="306"/>
  <c r="E33" i="306"/>
  <c r="G33" i="306"/>
  <c r="H33" i="306"/>
  <c r="J33" i="306"/>
  <c r="K33" i="306"/>
  <c r="M33" i="306"/>
  <c r="N33" i="306"/>
  <c r="P33" i="306"/>
  <c r="Q33" i="306"/>
  <c r="S33" i="306"/>
  <c r="T33" i="306"/>
  <c r="D34" i="306"/>
  <c r="E34" i="306"/>
  <c r="G34" i="306"/>
  <c r="H34" i="306"/>
  <c r="J34" i="306"/>
  <c r="K34" i="306"/>
  <c r="M34" i="306"/>
  <c r="N34" i="306"/>
  <c r="P34" i="306"/>
  <c r="Q34" i="306"/>
  <c r="S34" i="306"/>
  <c r="T34" i="306"/>
  <c r="D35" i="306"/>
  <c r="E35" i="306"/>
  <c r="G35" i="306"/>
  <c r="H35" i="306"/>
  <c r="J35" i="306"/>
  <c r="K35" i="306"/>
  <c r="M35" i="306"/>
  <c r="N35" i="306"/>
  <c r="P35" i="306"/>
  <c r="Q35" i="306"/>
  <c r="S35" i="306"/>
  <c r="T35" i="306"/>
  <c r="D36" i="306"/>
  <c r="E36" i="306"/>
  <c r="G36" i="306"/>
  <c r="H36" i="306"/>
  <c r="J36" i="306"/>
  <c r="K36" i="306"/>
  <c r="M36" i="306"/>
  <c r="N36" i="306"/>
  <c r="P36" i="306"/>
  <c r="Q36" i="306"/>
  <c r="S36" i="306"/>
  <c r="T36" i="306"/>
  <c r="D37" i="306"/>
  <c r="E37" i="306"/>
  <c r="G37" i="306"/>
  <c r="H37" i="306"/>
  <c r="J37" i="306"/>
  <c r="K37" i="306"/>
  <c r="M37" i="306"/>
  <c r="N37" i="306"/>
  <c r="P37" i="306"/>
  <c r="Q37" i="306"/>
  <c r="S37" i="306"/>
  <c r="T37" i="306"/>
  <c r="D30" i="306"/>
  <c r="E30" i="306"/>
  <c r="G30" i="306"/>
  <c r="H30" i="306"/>
  <c r="J30" i="306"/>
  <c r="K30" i="306"/>
  <c r="M30" i="306"/>
  <c r="N30" i="306"/>
  <c r="S30" i="306"/>
  <c r="T30" i="306"/>
  <c r="M25" i="306"/>
  <c r="N25" i="306"/>
  <c r="S25" i="306"/>
  <c r="T25" i="306"/>
  <c r="D20" i="306"/>
  <c r="E20" i="306"/>
  <c r="G20" i="306"/>
  <c r="H20" i="306"/>
  <c r="J20" i="306"/>
  <c r="K20" i="306"/>
  <c r="M20" i="306"/>
  <c r="N20" i="306"/>
  <c r="S20" i="306"/>
  <c r="T20" i="306"/>
  <c r="D15" i="306"/>
  <c r="E15" i="306"/>
  <c r="G15" i="306"/>
  <c r="H15" i="306"/>
  <c r="J15" i="306"/>
  <c r="K15" i="306"/>
  <c r="M15" i="306"/>
  <c r="N15" i="306"/>
  <c r="S15" i="306"/>
  <c r="T15" i="306"/>
  <c r="D10" i="306"/>
  <c r="E10" i="306"/>
  <c r="G10" i="306"/>
  <c r="H10" i="306"/>
  <c r="J10" i="306"/>
  <c r="K10" i="306"/>
  <c r="M10" i="306"/>
  <c r="N10" i="306"/>
  <c r="S10" i="306"/>
  <c r="T10" i="306"/>
  <c r="U20" i="306"/>
  <c r="F37" i="306"/>
  <c r="S38" i="306"/>
  <c r="T38" i="306"/>
  <c r="U37" i="306"/>
  <c r="L35" i="306"/>
  <c r="U33" i="306"/>
  <c r="U30" i="306"/>
  <c r="U36" i="306"/>
  <c r="E38" i="306"/>
  <c r="U32" i="306"/>
  <c r="U15" i="306"/>
  <c r="U34" i="306"/>
  <c r="F32" i="306"/>
  <c r="U25" i="306"/>
  <c r="U10" i="306"/>
  <c r="F34" i="306"/>
  <c r="F36" i="306"/>
  <c r="F33" i="306"/>
  <c r="F35" i="306"/>
  <c r="D38" i="306"/>
  <c r="I37" i="306"/>
  <c r="I35" i="306"/>
  <c r="I34" i="306"/>
  <c r="I33" i="306"/>
  <c r="I36" i="306"/>
  <c r="I32" i="306"/>
  <c r="H38" i="306"/>
  <c r="G38" i="306"/>
  <c r="L34" i="306"/>
  <c r="L37" i="306"/>
  <c r="L33" i="306"/>
  <c r="L36" i="306"/>
  <c r="L32" i="306"/>
  <c r="K38" i="306"/>
  <c r="J38" i="306"/>
  <c r="R36" i="306"/>
  <c r="R32" i="306"/>
  <c r="P38" i="306"/>
  <c r="Q38" i="306"/>
  <c r="O37" i="306"/>
  <c r="O33" i="306"/>
  <c r="O35" i="306"/>
  <c r="O36" i="306"/>
  <c r="O34" i="306"/>
  <c r="O32" i="306"/>
  <c r="M38" i="306"/>
  <c r="N38" i="306"/>
  <c r="R37" i="306"/>
  <c r="R33" i="306"/>
  <c r="R34" i="306"/>
  <c r="R35" i="306"/>
  <c r="U35" i="306"/>
  <c r="U38" i="306"/>
  <c r="F38" i="306"/>
  <c r="I38" i="306"/>
  <c r="L38" i="306"/>
  <c r="R38" i="306"/>
  <c r="O38" i="306"/>
  <c r="W32" i="306"/>
  <c r="W33" i="306"/>
  <c r="W34" i="306"/>
  <c r="W35" i="306"/>
  <c r="W36" i="306"/>
  <c r="W37" i="306"/>
  <c r="V37" i="306"/>
  <c r="V36" i="306"/>
  <c r="V35" i="306"/>
  <c r="V34" i="306"/>
  <c r="V33" i="306"/>
  <c r="V32" i="306"/>
  <c r="X28" i="306"/>
  <c r="X29" i="306"/>
  <c r="X27" i="306"/>
  <c r="W30" i="306"/>
  <c r="V30" i="306"/>
  <c r="X23" i="306"/>
  <c r="X24" i="306"/>
  <c r="X22" i="306"/>
  <c r="W25" i="306"/>
  <c r="V25" i="306"/>
  <c r="X18" i="306"/>
  <c r="X19" i="306"/>
  <c r="X17" i="306"/>
  <c r="W20" i="306"/>
  <c r="V20" i="306"/>
  <c r="X13" i="306"/>
  <c r="X36" i="306"/>
  <c r="X14" i="306"/>
  <c r="X12" i="306"/>
  <c r="W15" i="306"/>
  <c r="V15" i="306"/>
  <c r="X9" i="306"/>
  <c r="X8" i="306"/>
  <c r="X7" i="306"/>
  <c r="W10" i="306"/>
  <c r="V10" i="306"/>
  <c r="X35" i="306"/>
  <c r="X10" i="306"/>
  <c r="X25" i="306"/>
  <c r="V38" i="306"/>
  <c r="X32" i="306"/>
  <c r="X30" i="306"/>
  <c r="X34" i="306"/>
  <c r="X33" i="306"/>
  <c r="X20" i="306"/>
  <c r="W38" i="306"/>
  <c r="X15" i="306"/>
  <c r="X37" i="306"/>
  <c r="X38" i="306"/>
  <c r="G41" i="314"/>
  <c r="F41" i="314"/>
  <c r="E41" i="314"/>
  <c r="D41" i="314"/>
  <c r="H40" i="314"/>
  <c r="H39" i="314"/>
  <c r="H38" i="314"/>
  <c r="G37" i="314"/>
  <c r="F37" i="314"/>
  <c r="E37" i="314"/>
  <c r="D37" i="314"/>
  <c r="H36" i="314"/>
  <c r="H35" i="314"/>
  <c r="G34" i="314"/>
  <c r="F34" i="314"/>
  <c r="E34" i="314"/>
  <c r="D34" i="314"/>
  <c r="H33" i="314"/>
  <c r="H32" i="314"/>
  <c r="H31" i="314"/>
  <c r="H30" i="314"/>
  <c r="H29" i="314"/>
  <c r="F49" i="287"/>
  <c r="F50" i="287"/>
  <c r="C64" i="287"/>
  <c r="D64" i="287"/>
  <c r="E64" i="287"/>
  <c r="C68" i="287"/>
  <c r="D68" i="287"/>
  <c r="E68" i="287"/>
  <c r="C73" i="287"/>
  <c r="D73" i="287"/>
  <c r="E73" i="287"/>
  <c r="C78" i="287"/>
  <c r="F51" i="287"/>
  <c r="F58" i="287"/>
  <c r="F57" i="287"/>
  <c r="F56" i="287"/>
  <c r="F55" i="287"/>
  <c r="F54" i="287"/>
  <c r="F47" i="287"/>
  <c r="F46" i="287"/>
  <c r="F45" i="287"/>
  <c r="F44" i="287"/>
  <c r="F42" i="287"/>
  <c r="F41" i="287"/>
  <c r="F40" i="287"/>
  <c r="F39" i="287"/>
  <c r="F37" i="287"/>
  <c r="F36" i="287"/>
  <c r="F35" i="287"/>
  <c r="F76" i="288"/>
  <c r="E76" i="288"/>
  <c r="G75" i="288"/>
  <c r="G74" i="288"/>
  <c r="G73" i="288"/>
  <c r="G72" i="288"/>
  <c r="G71" i="288"/>
  <c r="G70" i="288"/>
  <c r="C76" i="288"/>
  <c r="B76" i="288"/>
  <c r="D75" i="288"/>
  <c r="D74" i="288"/>
  <c r="D73" i="288"/>
  <c r="D72" i="288"/>
  <c r="D71" i="288"/>
  <c r="D70" i="288"/>
  <c r="F51" i="288"/>
  <c r="C51" i="288"/>
  <c r="B51" i="288"/>
  <c r="F63" i="288"/>
  <c r="E63" i="288"/>
  <c r="C63" i="288"/>
  <c r="B63" i="288"/>
  <c r="I62" i="288"/>
  <c r="H62" i="288"/>
  <c r="G62" i="288"/>
  <c r="D62" i="288"/>
  <c r="I61" i="288"/>
  <c r="J61" i="288"/>
  <c r="H61" i="288"/>
  <c r="G61" i="288"/>
  <c r="D61" i="288"/>
  <c r="I60" i="288"/>
  <c r="J60" i="288"/>
  <c r="H60" i="288"/>
  <c r="G60" i="288"/>
  <c r="D60" i="288"/>
  <c r="I59" i="288"/>
  <c r="J59" i="288"/>
  <c r="H59" i="288"/>
  <c r="G59" i="288"/>
  <c r="D59" i="288"/>
  <c r="I58" i="288"/>
  <c r="J58" i="288"/>
  <c r="H58" i="288"/>
  <c r="G58" i="288"/>
  <c r="D58" i="288"/>
  <c r="I57" i="288"/>
  <c r="J57" i="288"/>
  <c r="H57" i="288"/>
  <c r="G57" i="288"/>
  <c r="D57" i="288"/>
  <c r="I50" i="288"/>
  <c r="J50" i="288"/>
  <c r="H50" i="288"/>
  <c r="G50" i="288"/>
  <c r="D50" i="288"/>
  <c r="I49" i="288"/>
  <c r="J49" i="288"/>
  <c r="H49" i="288"/>
  <c r="G49" i="288"/>
  <c r="D49" i="288"/>
  <c r="I48" i="288"/>
  <c r="J48" i="288"/>
  <c r="H48" i="288"/>
  <c r="G48" i="288"/>
  <c r="D48" i="288"/>
  <c r="I47" i="288"/>
  <c r="J47" i="288"/>
  <c r="H47" i="288"/>
  <c r="G47" i="288"/>
  <c r="D47" i="288"/>
  <c r="I46" i="288"/>
  <c r="J46" i="288"/>
  <c r="H46" i="288"/>
  <c r="G46" i="288"/>
  <c r="D46" i="288"/>
  <c r="I45" i="288"/>
  <c r="I51" i="288"/>
  <c r="H45" i="288"/>
  <c r="G45" i="288"/>
  <c r="D45" i="288"/>
  <c r="I34" i="288"/>
  <c r="J34" i="288"/>
  <c r="I35" i="288"/>
  <c r="I36" i="288"/>
  <c r="I37" i="288"/>
  <c r="I38" i="288"/>
  <c r="J38" i="288"/>
  <c r="I33" i="288"/>
  <c r="H34" i="288"/>
  <c r="H35" i="288"/>
  <c r="H36" i="288"/>
  <c r="H37" i="288"/>
  <c r="H38" i="288"/>
  <c r="H33" i="288"/>
  <c r="M27" i="288"/>
  <c r="F39" i="288"/>
  <c r="E39" i="288"/>
  <c r="C39" i="288"/>
  <c r="G38" i="288"/>
  <c r="D38" i="288"/>
  <c r="G37" i="288"/>
  <c r="D37" i="288"/>
  <c r="G36" i="288"/>
  <c r="D36" i="288"/>
  <c r="G35" i="288"/>
  <c r="D35" i="288"/>
  <c r="G34" i="288"/>
  <c r="G39" i="288"/>
  <c r="D34" i="288"/>
  <c r="G33" i="288"/>
  <c r="D33" i="288"/>
  <c r="D63" i="288"/>
  <c r="H63" i="288"/>
  <c r="D51" i="288"/>
  <c r="G63" i="288"/>
  <c r="G51" i="288"/>
  <c r="H51" i="288"/>
  <c r="I8" i="303"/>
  <c r="I9" i="303"/>
  <c r="AD76" i="270"/>
  <c r="AD71" i="270"/>
  <c r="AD62" i="270"/>
  <c r="AD54" i="270"/>
  <c r="AD47" i="270"/>
  <c r="AD35" i="270"/>
  <c r="AD24" i="270"/>
  <c r="AD20" i="270"/>
  <c r="AD15" i="270"/>
  <c r="AD25" i="270"/>
  <c r="BL51" i="278"/>
  <c r="BH51" i="278"/>
  <c r="C184" i="319"/>
  <c r="E179" i="319"/>
  <c r="D179" i="319"/>
  <c r="C179" i="319"/>
  <c r="F178" i="319"/>
  <c r="F177" i="319"/>
  <c r="F176" i="319"/>
  <c r="E174" i="319"/>
  <c r="D174" i="319"/>
  <c r="C174" i="319"/>
  <c r="F173" i="319"/>
  <c r="F172" i="319"/>
  <c r="F171" i="319"/>
  <c r="E169" i="319"/>
  <c r="D169" i="319"/>
  <c r="C169" i="319"/>
  <c r="F168" i="319"/>
  <c r="F167" i="319"/>
  <c r="F166" i="319"/>
  <c r="F157" i="319"/>
  <c r="E157" i="319"/>
  <c r="G157" i="319"/>
  <c r="D157" i="319"/>
  <c r="C157" i="319"/>
  <c r="G156" i="319"/>
  <c r="G155" i="319"/>
  <c r="G154" i="319"/>
  <c r="F152" i="319"/>
  <c r="E152" i="319"/>
  <c r="D152" i="319"/>
  <c r="C152" i="319"/>
  <c r="G151" i="319"/>
  <c r="G150" i="319"/>
  <c r="G149" i="319"/>
  <c r="F147" i="319"/>
  <c r="E147" i="319"/>
  <c r="D147" i="319"/>
  <c r="C147" i="319"/>
  <c r="G146" i="319"/>
  <c r="H146" i="319"/>
  <c r="G145" i="319"/>
  <c r="H145" i="319"/>
  <c r="G144" i="319"/>
  <c r="H144" i="319"/>
  <c r="F142" i="319"/>
  <c r="E142" i="319"/>
  <c r="D142" i="319"/>
  <c r="C142" i="319"/>
  <c r="G141" i="319"/>
  <c r="H141" i="319"/>
  <c r="G140" i="319"/>
  <c r="H140" i="319"/>
  <c r="G139" i="319"/>
  <c r="H139" i="319"/>
  <c r="F137" i="319"/>
  <c r="F159" i="319"/>
  <c r="E137" i="319"/>
  <c r="D137" i="319"/>
  <c r="C137" i="319"/>
  <c r="G136" i="319"/>
  <c r="H136" i="319"/>
  <c r="G135" i="319"/>
  <c r="H135" i="319"/>
  <c r="G134" i="319"/>
  <c r="H134" i="319"/>
  <c r="F125" i="319"/>
  <c r="E125" i="319"/>
  <c r="D125" i="319"/>
  <c r="C125" i="319"/>
  <c r="G124" i="319"/>
  <c r="H124" i="319"/>
  <c r="I124" i="319"/>
  <c r="G123" i="319"/>
  <c r="H123" i="319"/>
  <c r="I123" i="319"/>
  <c r="G122" i="319"/>
  <c r="H122" i="319"/>
  <c r="I122" i="319"/>
  <c r="F120" i="319"/>
  <c r="E120" i="319"/>
  <c r="D120" i="319"/>
  <c r="C120" i="319"/>
  <c r="G119" i="319"/>
  <c r="G118" i="319"/>
  <c r="G117" i="319"/>
  <c r="F115" i="319"/>
  <c r="E115" i="319"/>
  <c r="D115" i="319"/>
  <c r="C115" i="319"/>
  <c r="G114" i="319"/>
  <c r="H114" i="319"/>
  <c r="I114" i="319"/>
  <c r="G113" i="319"/>
  <c r="H113" i="319"/>
  <c r="I113" i="319"/>
  <c r="G112" i="319"/>
  <c r="H112" i="319"/>
  <c r="I112" i="319"/>
  <c r="F110" i="319"/>
  <c r="E110" i="319"/>
  <c r="D110" i="319"/>
  <c r="C110" i="319"/>
  <c r="G109" i="319"/>
  <c r="H109" i="319"/>
  <c r="I109" i="319"/>
  <c r="G108" i="319"/>
  <c r="H108" i="319"/>
  <c r="I108" i="319"/>
  <c r="G107" i="319"/>
  <c r="H107" i="319"/>
  <c r="I107" i="319"/>
  <c r="F105" i="319"/>
  <c r="E105" i="319"/>
  <c r="D105" i="319"/>
  <c r="C105" i="319"/>
  <c r="G104" i="319"/>
  <c r="H104" i="319"/>
  <c r="I104" i="319"/>
  <c r="G103" i="319"/>
  <c r="H103" i="319"/>
  <c r="I103" i="319"/>
  <c r="G102" i="319"/>
  <c r="H102" i="319"/>
  <c r="I102" i="319"/>
  <c r="F93" i="319"/>
  <c r="E93" i="319"/>
  <c r="D93" i="319"/>
  <c r="C93" i="319"/>
  <c r="G92" i="319"/>
  <c r="H92" i="319"/>
  <c r="I92" i="319"/>
  <c r="G91" i="319"/>
  <c r="H91" i="319"/>
  <c r="I91" i="319"/>
  <c r="G90" i="319"/>
  <c r="H90" i="319"/>
  <c r="I90" i="319"/>
  <c r="F88" i="319"/>
  <c r="E88" i="319"/>
  <c r="D88" i="319"/>
  <c r="C88" i="319"/>
  <c r="G87" i="319"/>
  <c r="G86" i="319"/>
  <c r="G85" i="319"/>
  <c r="F83" i="319"/>
  <c r="E83" i="319"/>
  <c r="D83" i="319"/>
  <c r="C83" i="319"/>
  <c r="G82" i="319"/>
  <c r="H82" i="319"/>
  <c r="I82" i="319"/>
  <c r="G81" i="319"/>
  <c r="H81" i="319"/>
  <c r="I81" i="319"/>
  <c r="G80" i="319"/>
  <c r="H80" i="319"/>
  <c r="I80" i="319"/>
  <c r="F78" i="319"/>
  <c r="E78" i="319"/>
  <c r="D78" i="319"/>
  <c r="C78" i="319"/>
  <c r="G77" i="319"/>
  <c r="H77" i="319"/>
  <c r="I77" i="319"/>
  <c r="G76" i="319"/>
  <c r="H76" i="319"/>
  <c r="I76" i="319"/>
  <c r="G75" i="319"/>
  <c r="H75" i="319"/>
  <c r="I75" i="319"/>
  <c r="F73" i="319"/>
  <c r="E73" i="319"/>
  <c r="G73" i="319"/>
  <c r="D73" i="319"/>
  <c r="D95" i="319"/>
  <c r="C73" i="319"/>
  <c r="G72" i="319"/>
  <c r="H72" i="319"/>
  <c r="I72" i="319"/>
  <c r="G71" i="319"/>
  <c r="H71" i="319"/>
  <c r="I71" i="319"/>
  <c r="G70" i="319"/>
  <c r="H70" i="319"/>
  <c r="I70" i="319"/>
  <c r="F61" i="319"/>
  <c r="E61" i="319"/>
  <c r="D61" i="319"/>
  <c r="C61" i="319"/>
  <c r="G60" i="319"/>
  <c r="H60" i="319"/>
  <c r="J60" i="319"/>
  <c r="G59" i="319"/>
  <c r="H59" i="319"/>
  <c r="J59" i="319"/>
  <c r="G58" i="319"/>
  <c r="H58" i="319"/>
  <c r="J58" i="319"/>
  <c r="F56" i="319"/>
  <c r="E56" i="319"/>
  <c r="D56" i="319"/>
  <c r="C56" i="319"/>
  <c r="G55" i="319"/>
  <c r="I55" i="319"/>
  <c r="G54" i="319"/>
  <c r="I54" i="319"/>
  <c r="G53" i="319"/>
  <c r="I53" i="319"/>
  <c r="F51" i="319"/>
  <c r="E51" i="319"/>
  <c r="D51" i="319"/>
  <c r="C51" i="319"/>
  <c r="G50" i="319"/>
  <c r="H50" i="319"/>
  <c r="J50" i="319"/>
  <c r="G49" i="319"/>
  <c r="H49" i="319"/>
  <c r="J49" i="319"/>
  <c r="G48" i="319"/>
  <c r="H48" i="319"/>
  <c r="J48" i="319"/>
  <c r="F46" i="319"/>
  <c r="E46" i="319"/>
  <c r="D46" i="319"/>
  <c r="C46" i="319"/>
  <c r="G45" i="319"/>
  <c r="H45" i="319"/>
  <c r="J45" i="319"/>
  <c r="G44" i="319"/>
  <c r="H44" i="319"/>
  <c r="J44" i="319"/>
  <c r="G43" i="319"/>
  <c r="H43" i="319"/>
  <c r="J43" i="319"/>
  <c r="F41" i="319"/>
  <c r="E41" i="319"/>
  <c r="D41" i="319"/>
  <c r="C41" i="319"/>
  <c r="G40" i="319"/>
  <c r="H40" i="319"/>
  <c r="J40" i="319"/>
  <c r="G39" i="319"/>
  <c r="H39" i="319"/>
  <c r="J39" i="319"/>
  <c r="G38" i="319"/>
  <c r="H38" i="319"/>
  <c r="J38" i="319"/>
  <c r="E178" i="318"/>
  <c r="D178" i="318"/>
  <c r="C178" i="318"/>
  <c r="F177" i="318"/>
  <c r="F176" i="318"/>
  <c r="F175" i="318"/>
  <c r="E173" i="318"/>
  <c r="D173" i="318"/>
  <c r="C173" i="318"/>
  <c r="F173" i="318"/>
  <c r="F172" i="318"/>
  <c r="F171" i="318"/>
  <c r="F170" i="318"/>
  <c r="E168" i="318"/>
  <c r="D168" i="318"/>
  <c r="C168" i="318"/>
  <c r="F167" i="318"/>
  <c r="F166" i="318"/>
  <c r="F165" i="318"/>
  <c r="K156" i="318"/>
  <c r="J156" i="318"/>
  <c r="I156" i="318"/>
  <c r="H156" i="318"/>
  <c r="E156" i="318"/>
  <c r="D156" i="318"/>
  <c r="C156" i="318"/>
  <c r="L153" i="318"/>
  <c r="L156" i="318"/>
  <c r="F153" i="318"/>
  <c r="F156" i="318"/>
  <c r="K151" i="318"/>
  <c r="J151" i="318"/>
  <c r="I151" i="318"/>
  <c r="H151" i="318"/>
  <c r="E151" i="318"/>
  <c r="D151" i="318"/>
  <c r="C151" i="318"/>
  <c r="L150" i="318"/>
  <c r="F150" i="318"/>
  <c r="L149" i="318"/>
  <c r="F149" i="318"/>
  <c r="L148" i="318"/>
  <c r="F148" i="318"/>
  <c r="K146" i="318"/>
  <c r="J146" i="318"/>
  <c r="I146" i="318"/>
  <c r="H146" i="318"/>
  <c r="E146" i="318"/>
  <c r="D146" i="318"/>
  <c r="C146" i="318"/>
  <c r="L145" i="318"/>
  <c r="F145" i="318"/>
  <c r="L144" i="318"/>
  <c r="F144" i="318"/>
  <c r="M144" i="318"/>
  <c r="L143" i="318"/>
  <c r="F143" i="318"/>
  <c r="K141" i="318"/>
  <c r="J141" i="318"/>
  <c r="I141" i="318"/>
  <c r="I158" i="318"/>
  <c r="H141" i="318"/>
  <c r="E141" i="318"/>
  <c r="D141" i="318"/>
  <c r="C141" i="318"/>
  <c r="L140" i="318"/>
  <c r="F140" i="318"/>
  <c r="L139" i="318"/>
  <c r="F139" i="318"/>
  <c r="L138" i="318"/>
  <c r="F138" i="318"/>
  <c r="K127" i="318"/>
  <c r="J127" i="318"/>
  <c r="I127" i="318"/>
  <c r="H127" i="318"/>
  <c r="E127" i="318"/>
  <c r="D127" i="318"/>
  <c r="C127" i="318"/>
  <c r="L126" i="318"/>
  <c r="F126" i="318"/>
  <c r="L125" i="318"/>
  <c r="F125" i="318"/>
  <c r="K123" i="318"/>
  <c r="J123" i="318"/>
  <c r="I123" i="318"/>
  <c r="H123" i="318"/>
  <c r="E123" i="318"/>
  <c r="D123" i="318"/>
  <c r="C123" i="318"/>
  <c r="L122" i="318"/>
  <c r="F122" i="318"/>
  <c r="L121" i="318"/>
  <c r="F121" i="318"/>
  <c r="L120" i="318"/>
  <c r="F120" i="318"/>
  <c r="K118" i="318"/>
  <c r="J118" i="318"/>
  <c r="I118" i="318"/>
  <c r="H118" i="318"/>
  <c r="E118" i="318"/>
  <c r="D118" i="318"/>
  <c r="C118" i="318"/>
  <c r="L117" i="318"/>
  <c r="F117" i="318"/>
  <c r="L116" i="318"/>
  <c r="F116" i="318"/>
  <c r="L115" i="318"/>
  <c r="F115" i="318"/>
  <c r="F118" i="318"/>
  <c r="K113" i="318"/>
  <c r="J113" i="318"/>
  <c r="I113" i="318"/>
  <c r="H113" i="318"/>
  <c r="E113" i="318"/>
  <c r="D113" i="318"/>
  <c r="C113" i="318"/>
  <c r="F112" i="318"/>
  <c r="M112" i="318"/>
  <c r="N112" i="318"/>
  <c r="F111" i="318"/>
  <c r="M111" i="318"/>
  <c r="N111" i="318"/>
  <c r="L110" i="318"/>
  <c r="L113" i="318"/>
  <c r="F110" i="318"/>
  <c r="K108" i="318"/>
  <c r="J108" i="318"/>
  <c r="I108" i="318"/>
  <c r="H108" i="318"/>
  <c r="E108" i="318"/>
  <c r="D108" i="318"/>
  <c r="C108" i="318"/>
  <c r="L107" i="318"/>
  <c r="F107" i="318"/>
  <c r="L106" i="318"/>
  <c r="F106" i="318"/>
  <c r="L105" i="318"/>
  <c r="F105" i="318"/>
  <c r="F108" i="318"/>
  <c r="F98" i="318"/>
  <c r="K94" i="318"/>
  <c r="J94" i="318"/>
  <c r="I94" i="318"/>
  <c r="H94" i="318"/>
  <c r="E94" i="318"/>
  <c r="D94" i="318"/>
  <c r="C94" i="318"/>
  <c r="L93" i="318"/>
  <c r="F93" i="318"/>
  <c r="L92" i="318"/>
  <c r="F92" i="318"/>
  <c r="F94" i="318"/>
  <c r="K90" i="318"/>
  <c r="J90" i="318"/>
  <c r="I90" i="318"/>
  <c r="H90" i="318"/>
  <c r="E90" i="318"/>
  <c r="D90" i="318"/>
  <c r="C90" i="318"/>
  <c r="L89" i="318"/>
  <c r="F89" i="318"/>
  <c r="L88" i="318"/>
  <c r="F88" i="318"/>
  <c r="L87" i="318"/>
  <c r="F87" i="318"/>
  <c r="K85" i="318"/>
  <c r="J85" i="318"/>
  <c r="I85" i="318"/>
  <c r="H85" i="318"/>
  <c r="E85" i="318"/>
  <c r="D85" i="318"/>
  <c r="C85" i="318"/>
  <c r="L84" i="318"/>
  <c r="F84" i="318"/>
  <c r="L83" i="318"/>
  <c r="F83" i="318"/>
  <c r="L82" i="318"/>
  <c r="F82" i="318"/>
  <c r="K80" i="318"/>
  <c r="J80" i="318"/>
  <c r="I80" i="318"/>
  <c r="H80" i="318"/>
  <c r="E80" i="318"/>
  <c r="D80" i="318"/>
  <c r="C80" i="318"/>
  <c r="L79" i="318"/>
  <c r="F79" i="318"/>
  <c r="F78" i="318"/>
  <c r="M78" i="318"/>
  <c r="N78" i="318"/>
  <c r="L77" i="318"/>
  <c r="F77" i="318"/>
  <c r="K75" i="318"/>
  <c r="J75" i="318"/>
  <c r="I75" i="318"/>
  <c r="H75" i="318"/>
  <c r="H96" i="318"/>
  <c r="E75" i="318"/>
  <c r="D75" i="318"/>
  <c r="C75" i="318"/>
  <c r="L74" i="318"/>
  <c r="F74" i="318"/>
  <c r="L73" i="318"/>
  <c r="F73" i="318"/>
  <c r="L72" i="318"/>
  <c r="F72" i="318"/>
  <c r="F65" i="318"/>
  <c r="K61" i="318"/>
  <c r="J61" i="318"/>
  <c r="I61" i="318"/>
  <c r="H61" i="318"/>
  <c r="E61" i="318"/>
  <c r="D61" i="318"/>
  <c r="C61" i="318"/>
  <c r="L60" i="318"/>
  <c r="M60" i="318"/>
  <c r="N60" i="318"/>
  <c r="F60" i="318"/>
  <c r="L59" i="318"/>
  <c r="F59" i="318"/>
  <c r="K57" i="318"/>
  <c r="J57" i="318"/>
  <c r="I57" i="318"/>
  <c r="H57" i="318"/>
  <c r="E57" i="318"/>
  <c r="D57" i="318"/>
  <c r="C57" i="318"/>
  <c r="L56" i="318"/>
  <c r="F56" i="318"/>
  <c r="L55" i="318"/>
  <c r="F55" i="318"/>
  <c r="L54" i="318"/>
  <c r="F54" i="318"/>
  <c r="K52" i="318"/>
  <c r="J52" i="318"/>
  <c r="I52" i="318"/>
  <c r="H52" i="318"/>
  <c r="E52" i="318"/>
  <c r="D52" i="318"/>
  <c r="C52" i="318"/>
  <c r="L51" i="318"/>
  <c r="F51" i="318"/>
  <c r="L50" i="318"/>
  <c r="F50" i="318"/>
  <c r="L49" i="318"/>
  <c r="F49" i="318"/>
  <c r="K47" i="318"/>
  <c r="J47" i="318"/>
  <c r="I47" i="318"/>
  <c r="H47" i="318"/>
  <c r="E47" i="318"/>
  <c r="D47" i="318"/>
  <c r="C47" i="318"/>
  <c r="L46" i="318"/>
  <c r="F46" i="318"/>
  <c r="L45" i="318"/>
  <c r="F45" i="318"/>
  <c r="L44" i="318"/>
  <c r="F44" i="318"/>
  <c r="K42" i="318"/>
  <c r="J42" i="318"/>
  <c r="I42" i="318"/>
  <c r="H42" i="318"/>
  <c r="E42" i="318"/>
  <c r="D42" i="318"/>
  <c r="C42" i="318"/>
  <c r="L41" i="318"/>
  <c r="F41" i="318"/>
  <c r="L40" i="318"/>
  <c r="M40" i="318"/>
  <c r="N40" i="318"/>
  <c r="F40" i="318"/>
  <c r="L39" i="318"/>
  <c r="F39" i="318"/>
  <c r="M121" i="318"/>
  <c r="N121" i="318"/>
  <c r="M39" i="318"/>
  <c r="N39" i="318"/>
  <c r="M88" i="318"/>
  <c r="N88" i="318"/>
  <c r="L151" i="318"/>
  <c r="M150" i="318"/>
  <c r="M122" i="318"/>
  <c r="N122" i="318"/>
  <c r="M87" i="318"/>
  <c r="N87" i="318"/>
  <c r="M72" i="318"/>
  <c r="N72" i="318"/>
  <c r="G41" i="319"/>
  <c r="G88" i="319"/>
  <c r="G78" i="319"/>
  <c r="H78" i="319"/>
  <c r="I78" i="319"/>
  <c r="G93" i="319"/>
  <c r="F47" i="318"/>
  <c r="F168" i="318"/>
  <c r="M74" i="318"/>
  <c r="N74" i="318"/>
  <c r="L52" i="318"/>
  <c r="F57" i="318"/>
  <c r="L85" i="318"/>
  <c r="M107" i="318"/>
  <c r="N107" i="318"/>
  <c r="M51" i="318"/>
  <c r="N51" i="318"/>
  <c r="M77" i="318"/>
  <c r="N77" i="318"/>
  <c r="F85" i="318"/>
  <c r="F127" i="318"/>
  <c r="F146" i="318"/>
  <c r="D127" i="319"/>
  <c r="G56" i="319"/>
  <c r="I56" i="319"/>
  <c r="M56" i="318"/>
  <c r="N56" i="318"/>
  <c r="M106" i="318"/>
  <c r="N106" i="318"/>
  <c r="E158" i="318"/>
  <c r="M149" i="318"/>
  <c r="C127" i="319"/>
  <c r="D159" i="319"/>
  <c r="E63" i="318"/>
  <c r="F80" i="318"/>
  <c r="M83" i="318"/>
  <c r="N83" i="318"/>
  <c r="M89" i="318"/>
  <c r="N89" i="318"/>
  <c r="E180" i="318"/>
  <c r="C95" i="319"/>
  <c r="G120" i="319"/>
  <c r="G152" i="319"/>
  <c r="M41" i="318"/>
  <c r="N41" i="318"/>
  <c r="M105" i="318"/>
  <c r="N105" i="318"/>
  <c r="I129" i="318"/>
  <c r="L57" i="318"/>
  <c r="M57" i="318"/>
  <c r="N57" i="318"/>
  <c r="C96" i="318"/>
  <c r="M46" i="318"/>
  <c r="N46" i="318"/>
  <c r="K63" i="318"/>
  <c r="F75" i="318"/>
  <c r="M84" i="318"/>
  <c r="N84" i="318"/>
  <c r="F123" i="318"/>
  <c r="F141" i="318"/>
  <c r="M156" i="318"/>
  <c r="G46" i="319"/>
  <c r="I46" i="319"/>
  <c r="G105" i="319"/>
  <c r="H105" i="319"/>
  <c r="I105" i="319"/>
  <c r="G115" i="319"/>
  <c r="G125" i="319"/>
  <c r="H125" i="319"/>
  <c r="I125" i="319"/>
  <c r="G147" i="319"/>
  <c r="H147" i="319"/>
  <c r="F179" i="319"/>
  <c r="M73" i="318"/>
  <c r="N73" i="318"/>
  <c r="M139" i="318"/>
  <c r="M44" i="318"/>
  <c r="N44" i="318"/>
  <c r="M59" i="318"/>
  <c r="N59" i="318"/>
  <c r="K129" i="318"/>
  <c r="D158" i="318"/>
  <c r="J63" i="318"/>
  <c r="F52" i="318"/>
  <c r="D129" i="318"/>
  <c r="L123" i="318"/>
  <c r="G83" i="319"/>
  <c r="H83" i="319"/>
  <c r="I83" i="319"/>
  <c r="C63" i="319"/>
  <c r="D63" i="319"/>
  <c r="G51" i="319"/>
  <c r="H51" i="319"/>
  <c r="J51" i="319"/>
  <c r="E127" i="319"/>
  <c r="C159" i="319"/>
  <c r="G142" i="319"/>
  <c r="H142" i="319"/>
  <c r="C186" i="319"/>
  <c r="F174" i="319"/>
  <c r="E63" i="319"/>
  <c r="H115" i="319"/>
  <c r="I115" i="319"/>
  <c r="D186" i="319"/>
  <c r="G61" i="319"/>
  <c r="F95" i="319"/>
  <c r="G110" i="319"/>
  <c r="H110" i="319"/>
  <c r="I110" i="319"/>
  <c r="H73" i="319"/>
  <c r="I73" i="319"/>
  <c r="H61" i="319"/>
  <c r="J61" i="319"/>
  <c r="I61" i="319"/>
  <c r="H46" i="319"/>
  <c r="J46" i="319"/>
  <c r="H41" i="319"/>
  <c r="J41" i="319"/>
  <c r="I41" i="319"/>
  <c r="I38" i="319"/>
  <c r="I39" i="319"/>
  <c r="I40" i="319"/>
  <c r="I43" i="319"/>
  <c r="I44" i="319"/>
  <c r="I45" i="319"/>
  <c r="I48" i="319"/>
  <c r="I49" i="319"/>
  <c r="I50" i="319"/>
  <c r="I58" i="319"/>
  <c r="I59" i="319"/>
  <c r="I60" i="319"/>
  <c r="E95" i="319"/>
  <c r="F127" i="319"/>
  <c r="F169" i="319"/>
  <c r="F63" i="319"/>
  <c r="G137" i="319"/>
  <c r="E159" i="319"/>
  <c r="E186" i="319"/>
  <c r="F186" i="319"/>
  <c r="L75" i="318"/>
  <c r="E129" i="318"/>
  <c r="M138" i="318"/>
  <c r="F61" i="318"/>
  <c r="M79" i="318"/>
  <c r="N79" i="318"/>
  <c r="F90" i="318"/>
  <c r="L90" i="318"/>
  <c r="M93" i="318"/>
  <c r="N93" i="318"/>
  <c r="M110" i="318"/>
  <c r="N110" i="318"/>
  <c r="M116" i="318"/>
  <c r="N116" i="318"/>
  <c r="H129" i="318"/>
  <c r="M126" i="318"/>
  <c r="N126" i="318"/>
  <c r="M143" i="318"/>
  <c r="M145" i="318"/>
  <c r="H158" i="318"/>
  <c r="M148" i="318"/>
  <c r="D63" i="318"/>
  <c r="M45" i="318"/>
  <c r="N45" i="318"/>
  <c r="M55" i="318"/>
  <c r="N55" i="318"/>
  <c r="L80" i="318"/>
  <c r="M80" i="318"/>
  <c r="N80" i="318"/>
  <c r="D96" i="318"/>
  <c r="C129" i="318"/>
  <c r="C158" i="318"/>
  <c r="F178" i="318"/>
  <c r="F180" i="318"/>
  <c r="F42" i="318"/>
  <c r="H63" i="318"/>
  <c r="L42" i="318"/>
  <c r="L61" i="318"/>
  <c r="M61" i="318"/>
  <c r="N61" i="318"/>
  <c r="J96" i="318"/>
  <c r="I96" i="318"/>
  <c r="C63" i="318"/>
  <c r="M50" i="318"/>
  <c r="N50" i="318"/>
  <c r="I63" i="318"/>
  <c r="E96" i="318"/>
  <c r="K96" i="318"/>
  <c r="M92" i="318"/>
  <c r="N92" i="318"/>
  <c r="M115" i="318"/>
  <c r="N115" i="318"/>
  <c r="M117" i="318"/>
  <c r="N117" i="318"/>
  <c r="J129" i="318"/>
  <c r="L127" i="318"/>
  <c r="L141" i="318"/>
  <c r="M140" i="318"/>
  <c r="K158" i="318"/>
  <c r="J158" i="318"/>
  <c r="D180" i="318"/>
  <c r="F63" i="318"/>
  <c r="F151" i="318"/>
  <c r="C180" i="318"/>
  <c r="L47" i="318"/>
  <c r="M54" i="318"/>
  <c r="N54" i="318"/>
  <c r="M82" i="318"/>
  <c r="N82" i="318"/>
  <c r="L94" i="318"/>
  <c r="M94" i="318"/>
  <c r="N94" i="318"/>
  <c r="L108" i="318"/>
  <c r="F113" i="318"/>
  <c r="L118" i="318"/>
  <c r="M118" i="318"/>
  <c r="N118" i="318"/>
  <c r="M125" i="318"/>
  <c r="N125" i="318"/>
  <c r="M153" i="318"/>
  <c r="M120" i="318"/>
  <c r="N120" i="318"/>
  <c r="L146" i="318"/>
  <c r="M49" i="318"/>
  <c r="N49" i="318"/>
  <c r="G98" i="308"/>
  <c r="F23" i="311"/>
  <c r="F98" i="308"/>
  <c r="E23" i="311"/>
  <c r="G96" i="308"/>
  <c r="F22" i="311"/>
  <c r="F96" i="308"/>
  <c r="E22" i="311"/>
  <c r="G93" i="308"/>
  <c r="F21" i="311"/>
  <c r="F93" i="308"/>
  <c r="E21" i="311"/>
  <c r="G90" i="308"/>
  <c r="F13" i="311"/>
  <c r="F36" i="311"/>
  <c r="F90" i="308"/>
  <c r="E13" i="311"/>
  <c r="E36" i="311"/>
  <c r="G85" i="308"/>
  <c r="F12" i="311"/>
  <c r="F85" i="308"/>
  <c r="E12" i="311"/>
  <c r="E35" i="311"/>
  <c r="G81" i="308"/>
  <c r="F11" i="311"/>
  <c r="F81" i="308"/>
  <c r="E11" i="311"/>
  <c r="G76" i="308"/>
  <c r="F28" i="311"/>
  <c r="F76" i="308"/>
  <c r="E28" i="311"/>
  <c r="G71" i="308"/>
  <c r="F27" i="311"/>
  <c r="F71" i="308"/>
  <c r="E27" i="311"/>
  <c r="G62" i="308"/>
  <c r="F26" i="311"/>
  <c r="F62" i="308"/>
  <c r="E26" i="311"/>
  <c r="G47" i="308"/>
  <c r="F47" i="308"/>
  <c r="G35" i="308"/>
  <c r="F16" i="311"/>
  <c r="F35" i="308"/>
  <c r="E16" i="311"/>
  <c r="G24" i="308"/>
  <c r="F8" i="311"/>
  <c r="F24" i="308"/>
  <c r="E8" i="311"/>
  <c r="G20" i="308"/>
  <c r="F7" i="311"/>
  <c r="F20" i="308"/>
  <c r="E7" i="311"/>
  <c r="G15" i="308"/>
  <c r="F6" i="311"/>
  <c r="F15" i="308"/>
  <c r="E6" i="311"/>
  <c r="Y99" i="270"/>
  <c r="X23" i="271"/>
  <c r="Z99" i="270"/>
  <c r="Y23" i="271"/>
  <c r="AA99" i="270"/>
  <c r="Z23" i="271"/>
  <c r="AB99" i="270"/>
  <c r="AA23" i="271"/>
  <c r="AC99" i="270"/>
  <c r="AD99" i="270"/>
  <c r="AC23" i="271"/>
  <c r="AE99" i="270"/>
  <c r="AD23" i="271"/>
  <c r="X99" i="270"/>
  <c r="W23" i="271"/>
  <c r="X97" i="270"/>
  <c r="W22" i="271"/>
  <c r="Y94" i="270"/>
  <c r="X21" i="271"/>
  <c r="Z94" i="270"/>
  <c r="AA94" i="270"/>
  <c r="AB94" i="270"/>
  <c r="AC94" i="270"/>
  <c r="AB21" i="271"/>
  <c r="AD94" i="270"/>
  <c r="AE94" i="270"/>
  <c r="X94" i="270"/>
  <c r="M127" i="318"/>
  <c r="N127" i="318"/>
  <c r="F129" i="318"/>
  <c r="M141" i="318"/>
  <c r="M123" i="318"/>
  <c r="N123" i="318"/>
  <c r="M52" i="318"/>
  <c r="N52" i="318"/>
  <c r="M146" i="318"/>
  <c r="M151" i="318"/>
  <c r="M47" i="318"/>
  <c r="N47" i="318"/>
  <c r="M42" i="318"/>
  <c r="N42" i="318"/>
  <c r="G95" i="319"/>
  <c r="H95" i="319"/>
  <c r="I95" i="319"/>
  <c r="H93" i="319"/>
  <c r="I93" i="319"/>
  <c r="M85" i="318"/>
  <c r="N85" i="318"/>
  <c r="M90" i="318"/>
  <c r="N90" i="318"/>
  <c r="M75" i="318"/>
  <c r="N75" i="318"/>
  <c r="X100" i="270"/>
  <c r="F96" i="318"/>
  <c r="G63" i="319"/>
  <c r="H63" i="319"/>
  <c r="J63" i="319"/>
  <c r="AB23" i="271"/>
  <c r="G127" i="319"/>
  <c r="H127" i="319"/>
  <c r="I127" i="319"/>
  <c r="I51" i="319"/>
  <c r="H137" i="319"/>
  <c r="G159" i="319"/>
  <c r="H159" i="319"/>
  <c r="M113" i="318"/>
  <c r="N113" i="318"/>
  <c r="F158" i="318"/>
  <c r="L63" i="318"/>
  <c r="M63" i="318"/>
  <c r="N63" i="318"/>
  <c r="L158" i="318"/>
  <c r="L129" i="318"/>
  <c r="M129" i="318"/>
  <c r="N129" i="318"/>
  <c r="M108" i="318"/>
  <c r="N108" i="318"/>
  <c r="L96" i="318"/>
  <c r="M96" i="318"/>
  <c r="N96" i="318"/>
  <c r="G77" i="308"/>
  <c r="G91" i="308"/>
  <c r="F25" i="308"/>
  <c r="G25" i="308"/>
  <c r="AA21" i="271"/>
  <c r="W21" i="271"/>
  <c r="W24" i="271"/>
  <c r="AD21" i="271"/>
  <c r="Z21" i="271"/>
  <c r="AC21" i="271"/>
  <c r="Y21" i="271"/>
  <c r="L98" i="318"/>
  <c r="M158" i="318"/>
  <c r="I63" i="319"/>
  <c r="M160" i="318"/>
  <c r="L131" i="318"/>
  <c r="L65" i="318"/>
  <c r="K226" i="285"/>
  <c r="L226" i="285"/>
  <c r="B185" i="285"/>
  <c r="L254" i="293"/>
  <c r="L273" i="285"/>
  <c r="K254" i="293"/>
  <c r="K273" i="285"/>
  <c r="Q301" i="285"/>
  <c r="P301" i="285"/>
  <c r="Q300" i="285"/>
  <c r="P300" i="285"/>
  <c r="Q299" i="285"/>
  <c r="P299" i="285"/>
  <c r="Q297" i="285"/>
  <c r="P297" i="285"/>
  <c r="Q296" i="285"/>
  <c r="P296" i="285"/>
  <c r="Q295" i="285"/>
  <c r="P295" i="285"/>
  <c r="Q294" i="285"/>
  <c r="P294" i="285"/>
  <c r="Q293" i="285"/>
  <c r="P293" i="285"/>
  <c r="Q292" i="285"/>
  <c r="P292" i="285"/>
  <c r="Q291" i="285"/>
  <c r="P291" i="285"/>
  <c r="Q290" i="285"/>
  <c r="P290" i="285"/>
  <c r="Q281" i="285"/>
  <c r="P281" i="285"/>
  <c r="Q275" i="285"/>
  <c r="P275" i="285"/>
  <c r="K207" i="293"/>
  <c r="Q261" i="285"/>
  <c r="P261" i="285"/>
  <c r="Q246" i="285"/>
  <c r="P246" i="285"/>
  <c r="Q236" i="285"/>
  <c r="P236" i="285"/>
  <c r="Q230" i="285"/>
  <c r="P230" i="285"/>
  <c r="P302" i="285"/>
  <c r="P303" i="285"/>
  <c r="Q302" i="285"/>
  <c r="Q303" i="285"/>
  <c r="Q262" i="285"/>
  <c r="P262" i="285"/>
  <c r="C211" i="285"/>
  <c r="B211" i="285"/>
  <c r="G210" i="285"/>
  <c r="C209" i="285"/>
  <c r="B209" i="285"/>
  <c r="C206" i="285"/>
  <c r="C204" i="285"/>
  <c r="C202" i="285"/>
  <c r="G200" i="285"/>
  <c r="F200" i="285"/>
  <c r="C200" i="285"/>
  <c r="F199" i="285"/>
  <c r="F198" i="285"/>
  <c r="L197" i="285"/>
  <c r="K197" i="285"/>
  <c r="C197" i="285"/>
  <c r="B197" i="285"/>
  <c r="F196" i="285"/>
  <c r="G195" i="285"/>
  <c r="F195" i="285"/>
  <c r="G193" i="285"/>
  <c r="F193" i="285"/>
  <c r="C193" i="285"/>
  <c r="C213" i="285"/>
  <c r="B193" i="285"/>
  <c r="B213" i="285"/>
  <c r="K165" i="285"/>
  <c r="L159" i="285"/>
  <c r="L165" i="285"/>
  <c r="F182" i="285"/>
  <c r="F177" i="285"/>
  <c r="F169" i="285"/>
  <c r="G168" i="285"/>
  <c r="G185" i="285"/>
  <c r="F168" i="285"/>
  <c r="F167" i="285"/>
  <c r="F163" i="285"/>
  <c r="F160" i="285"/>
  <c r="C182" i="285"/>
  <c r="C178" i="285"/>
  <c r="C185" i="285"/>
  <c r="F185" i="285"/>
  <c r="F215" i="285"/>
  <c r="G215" i="285"/>
  <c r="G149" i="285"/>
  <c r="F149" i="285"/>
  <c r="C149" i="285"/>
  <c r="B149" i="285"/>
  <c r="G148" i="285"/>
  <c r="F148" i="285"/>
  <c r="G147" i="285"/>
  <c r="F147" i="285"/>
  <c r="G146" i="285"/>
  <c r="F146" i="285"/>
  <c r="C146" i="285"/>
  <c r="B146" i="285"/>
  <c r="G145" i="285"/>
  <c r="F145" i="285"/>
  <c r="C145" i="285"/>
  <c r="B145" i="285"/>
  <c r="G144" i="285"/>
  <c r="F144" i="285"/>
  <c r="C144" i="285"/>
  <c r="B144" i="285"/>
  <c r="K143" i="285"/>
  <c r="C143" i="285"/>
  <c r="B143" i="285"/>
  <c r="C142" i="285"/>
  <c r="B142" i="285"/>
  <c r="L141" i="285"/>
  <c r="L147" i="285"/>
  <c r="K141" i="285"/>
  <c r="C141" i="285"/>
  <c r="B141" i="285"/>
  <c r="G138" i="285"/>
  <c r="F138" i="285"/>
  <c r="C138" i="285"/>
  <c r="B138" i="285"/>
  <c r="C137" i="285"/>
  <c r="G136" i="285"/>
  <c r="F136" i="285"/>
  <c r="C136" i="285"/>
  <c r="G135" i="285"/>
  <c r="F135" i="285"/>
  <c r="C135" i="285"/>
  <c r="B135" i="285"/>
  <c r="G134" i="285"/>
  <c r="F134" i="285"/>
  <c r="C134" i="285"/>
  <c r="B134" i="285"/>
  <c r="C133" i="285"/>
  <c r="B133" i="285"/>
  <c r="C132" i="285"/>
  <c r="B132" i="285"/>
  <c r="G131" i="285"/>
  <c r="F131" i="285"/>
  <c r="C131" i="285"/>
  <c r="B131" i="285"/>
  <c r="G130" i="285"/>
  <c r="F130" i="285"/>
  <c r="C130" i="285"/>
  <c r="B130" i="285"/>
  <c r="C129" i="285"/>
  <c r="B129" i="285"/>
  <c r="C128" i="285"/>
  <c r="B128" i="285"/>
  <c r="C127" i="285"/>
  <c r="B127" i="285"/>
  <c r="G124" i="285"/>
  <c r="F124" i="285"/>
  <c r="C124" i="285"/>
  <c r="B124" i="285"/>
  <c r="G123" i="285"/>
  <c r="F123" i="285"/>
  <c r="C123" i="285"/>
  <c r="B123" i="285"/>
  <c r="C122" i="285"/>
  <c r="B122" i="285"/>
  <c r="G121" i="285"/>
  <c r="G151" i="285"/>
  <c r="F121" i="285"/>
  <c r="F151" i="285"/>
  <c r="C121" i="285"/>
  <c r="B121" i="285"/>
  <c r="B151" i="285"/>
  <c r="C151" i="285"/>
  <c r="K147" i="285"/>
  <c r="G112" i="285"/>
  <c r="F112" i="285"/>
  <c r="G111" i="285"/>
  <c r="F111" i="285"/>
  <c r="G110" i="285"/>
  <c r="F110" i="285"/>
  <c r="G109" i="285"/>
  <c r="F109" i="285"/>
  <c r="G108" i="285"/>
  <c r="F108" i="285"/>
  <c r="G107" i="285"/>
  <c r="F107" i="285"/>
  <c r="G106" i="285"/>
  <c r="F106" i="285"/>
  <c r="G105" i="285"/>
  <c r="F105" i="285"/>
  <c r="C103" i="285"/>
  <c r="B103" i="285"/>
  <c r="G102" i="285"/>
  <c r="F102" i="285"/>
  <c r="C102" i="285"/>
  <c r="B102" i="285"/>
  <c r="K99" i="285"/>
  <c r="G98" i="285"/>
  <c r="F98" i="285"/>
  <c r="C98" i="285"/>
  <c r="B98" i="285"/>
  <c r="G97" i="285"/>
  <c r="F97" i="285"/>
  <c r="C97" i="285"/>
  <c r="B97" i="285"/>
  <c r="G96" i="285"/>
  <c r="F96" i="285"/>
  <c r="C96" i="285"/>
  <c r="B96" i="285"/>
  <c r="G95" i="285"/>
  <c r="F95" i="285"/>
  <c r="C95" i="285"/>
  <c r="B95" i="285"/>
  <c r="C94" i="285"/>
  <c r="B94" i="285"/>
  <c r="C93" i="285"/>
  <c r="B93" i="285"/>
  <c r="G92" i="285"/>
  <c r="F92" i="285"/>
  <c r="G91" i="285"/>
  <c r="F91" i="285"/>
  <c r="C91" i="285"/>
  <c r="B91" i="285"/>
  <c r="G90" i="285"/>
  <c r="F90" i="285"/>
  <c r="C89" i="285"/>
  <c r="B89" i="285"/>
  <c r="C87" i="285"/>
  <c r="B87" i="285"/>
  <c r="C86" i="285"/>
  <c r="B86" i="285"/>
  <c r="G85" i="285"/>
  <c r="F85" i="285"/>
  <c r="C85" i="285"/>
  <c r="B85" i="285"/>
  <c r="G84" i="285"/>
  <c r="F84" i="285"/>
  <c r="C84" i="285"/>
  <c r="B84" i="285"/>
  <c r="F82" i="285"/>
  <c r="G82" i="285"/>
  <c r="G81" i="285"/>
  <c r="F81" i="285"/>
  <c r="C81" i="285"/>
  <c r="B81" i="285"/>
  <c r="G80" i="285"/>
  <c r="F80" i="285"/>
  <c r="C80" i="285"/>
  <c r="B80" i="285"/>
  <c r="G79" i="285"/>
  <c r="F79" i="285"/>
  <c r="C79" i="285"/>
  <c r="G78" i="285"/>
  <c r="F78" i="285"/>
  <c r="F113" i="285"/>
  <c r="C78" i="285"/>
  <c r="C104" i="285"/>
  <c r="B78" i="285"/>
  <c r="L77" i="285"/>
  <c r="L99" i="285"/>
  <c r="B104" i="285"/>
  <c r="G113" i="285"/>
  <c r="G69" i="285"/>
  <c r="F69" i="285"/>
  <c r="G67" i="285"/>
  <c r="F67" i="285"/>
  <c r="G66" i="285"/>
  <c r="F66" i="285"/>
  <c r="G61" i="285"/>
  <c r="F61" i="285"/>
  <c r="L60" i="285"/>
  <c r="K60" i="285"/>
  <c r="C59" i="285"/>
  <c r="B59" i="285"/>
  <c r="G56" i="285"/>
  <c r="F56" i="285"/>
  <c r="C55" i="285"/>
  <c r="B55" i="285"/>
  <c r="G54" i="285"/>
  <c r="F54" i="285"/>
  <c r="G53" i="285"/>
  <c r="F53" i="285"/>
  <c r="G52" i="285"/>
  <c r="F52" i="285"/>
  <c r="G51" i="285"/>
  <c r="F51" i="285"/>
  <c r="G49" i="285"/>
  <c r="G70" i="285"/>
  <c r="F49" i="285"/>
  <c r="C49" i="285"/>
  <c r="B49" i="285"/>
  <c r="C48" i="285"/>
  <c r="B48" i="285"/>
  <c r="C47" i="285"/>
  <c r="B47" i="285"/>
  <c r="B60" i="285"/>
  <c r="C46" i="285"/>
  <c r="B46" i="285"/>
  <c r="F70" i="285"/>
  <c r="C60" i="285"/>
  <c r="E19" i="173"/>
  <c r="C26" i="282"/>
  <c r="D26" i="282"/>
  <c r="C27" i="282"/>
  <c r="D27" i="282"/>
  <c r="C28" i="282"/>
  <c r="D28" i="282"/>
  <c r="C29" i="282"/>
  <c r="D29" i="282"/>
  <c r="C30" i="282"/>
  <c r="D30" i="282"/>
  <c r="C31" i="282"/>
  <c r="D31" i="282"/>
  <c r="D24" i="282"/>
  <c r="C24" i="282"/>
  <c r="D120" i="314"/>
  <c r="E120" i="314"/>
  <c r="D115" i="314"/>
  <c r="E115" i="314"/>
  <c r="E78" i="314"/>
  <c r="D78" i="314"/>
  <c r="H78" i="314"/>
  <c r="G78" i="314"/>
  <c r="F77" i="314"/>
  <c r="F78" i="314"/>
  <c r="I77" i="314"/>
  <c r="I78" i="314"/>
  <c r="E76" i="314"/>
  <c r="D76" i="314"/>
  <c r="H76" i="314"/>
  <c r="G76" i="314"/>
  <c r="F75" i="314"/>
  <c r="F76" i="314"/>
  <c r="I75" i="314"/>
  <c r="I76" i="314"/>
  <c r="E74" i="314"/>
  <c r="D74" i="314"/>
  <c r="H74" i="314"/>
  <c r="G74" i="314"/>
  <c r="F73" i="314"/>
  <c r="F74" i="314"/>
  <c r="I73" i="314"/>
  <c r="I74" i="314"/>
  <c r="E71" i="314"/>
  <c r="D71" i="314"/>
  <c r="H71" i="314"/>
  <c r="G71" i="314"/>
  <c r="F70" i="314"/>
  <c r="F71" i="314"/>
  <c r="I70" i="314"/>
  <c r="I71" i="314"/>
  <c r="E69" i="314"/>
  <c r="D69" i="314"/>
  <c r="H69" i="314"/>
  <c r="G69" i="314"/>
  <c r="F68" i="314"/>
  <c r="I68" i="314"/>
  <c r="F67" i="314"/>
  <c r="I67" i="314"/>
  <c r="F66" i="314"/>
  <c r="I66" i="314"/>
  <c r="E64" i="314"/>
  <c r="D64" i="314"/>
  <c r="H64" i="314"/>
  <c r="G64" i="314"/>
  <c r="F63" i="314"/>
  <c r="F64" i="314"/>
  <c r="I63" i="314"/>
  <c r="I64" i="314"/>
  <c r="E62" i="314"/>
  <c r="D62" i="314"/>
  <c r="H62" i="314"/>
  <c r="G62" i="314"/>
  <c r="F61" i="314"/>
  <c r="I61" i="314"/>
  <c r="F60" i="314"/>
  <c r="I60" i="314"/>
  <c r="E58" i="314"/>
  <c r="D58" i="314"/>
  <c r="H58" i="314"/>
  <c r="G58" i="314"/>
  <c r="F57" i="314"/>
  <c r="I57" i="314"/>
  <c r="F56" i="314"/>
  <c r="I56" i="314"/>
  <c r="E55" i="314"/>
  <c r="D55" i="314"/>
  <c r="H55" i="314"/>
  <c r="G55" i="314"/>
  <c r="F54" i="314"/>
  <c r="I54" i="314"/>
  <c r="F53" i="314"/>
  <c r="I53" i="314"/>
  <c r="F52" i="314"/>
  <c r="I52" i="314"/>
  <c r="E51" i="314"/>
  <c r="D51" i="314"/>
  <c r="H51" i="314"/>
  <c r="G51" i="314"/>
  <c r="F50" i="314"/>
  <c r="I50" i="314"/>
  <c r="F49" i="314"/>
  <c r="I49" i="314"/>
  <c r="L41" i="314"/>
  <c r="K41" i="314"/>
  <c r="J41" i="314"/>
  <c r="I41" i="314"/>
  <c r="M40" i="314"/>
  <c r="M39" i="314"/>
  <c r="L37" i="314"/>
  <c r="K37" i="314"/>
  <c r="J37" i="314"/>
  <c r="I37" i="314"/>
  <c r="M38" i="314"/>
  <c r="M36" i="314"/>
  <c r="L34" i="314"/>
  <c r="K34" i="314"/>
  <c r="J34" i="314"/>
  <c r="I34" i="314"/>
  <c r="M35" i="314"/>
  <c r="M33" i="314"/>
  <c r="M32" i="314"/>
  <c r="M31" i="314"/>
  <c r="M30" i="314"/>
  <c r="M29" i="314"/>
  <c r="D22" i="313"/>
  <c r="E22" i="313"/>
  <c r="F22" i="313"/>
  <c r="D23" i="313"/>
  <c r="E23" i="313"/>
  <c r="E24" i="313"/>
  <c r="F23" i="313"/>
  <c r="C23" i="313"/>
  <c r="C22" i="313"/>
  <c r="C24" i="313"/>
  <c r="D16" i="313"/>
  <c r="E16" i="313"/>
  <c r="F16" i="313"/>
  <c r="D17" i="313"/>
  <c r="D27" i="313"/>
  <c r="E17" i="313"/>
  <c r="E27" i="313"/>
  <c r="F17" i="313"/>
  <c r="F27" i="313"/>
  <c r="D18" i="313"/>
  <c r="E18" i="313"/>
  <c r="F18" i="313"/>
  <c r="F19" i="313"/>
  <c r="C18" i="313"/>
  <c r="C17" i="313"/>
  <c r="C27" i="313"/>
  <c r="C16" i="313"/>
  <c r="D12" i="313"/>
  <c r="D30" i="313"/>
  <c r="E12" i="313"/>
  <c r="F12" i="313"/>
  <c r="F30" i="313"/>
  <c r="D13" i="313"/>
  <c r="D31" i="313"/>
  <c r="E13" i="313"/>
  <c r="E31" i="313"/>
  <c r="F13" i="313"/>
  <c r="F31" i="313"/>
  <c r="C13" i="313"/>
  <c r="C31" i="313"/>
  <c r="C12" i="313"/>
  <c r="D8" i="313"/>
  <c r="E8" i="313"/>
  <c r="F8" i="313"/>
  <c r="F29" i="313"/>
  <c r="C8" i="313"/>
  <c r="D6" i="313"/>
  <c r="E6" i="313"/>
  <c r="E26" i="313"/>
  <c r="F6" i="313"/>
  <c r="F9" i="313"/>
  <c r="C6" i="313"/>
  <c r="F28" i="313"/>
  <c r="D39" i="312"/>
  <c r="D36" i="312"/>
  <c r="D37" i="312"/>
  <c r="D24" i="312"/>
  <c r="E23" i="312"/>
  <c r="E22" i="312"/>
  <c r="E21" i="312"/>
  <c r="C24" i="312"/>
  <c r="D41" i="312"/>
  <c r="D40" i="312"/>
  <c r="C40" i="312"/>
  <c r="E40" i="312"/>
  <c r="E8" i="312"/>
  <c r="H57" i="310"/>
  <c r="G57" i="310"/>
  <c r="F57" i="310"/>
  <c r="E57" i="310"/>
  <c r="I56" i="310"/>
  <c r="G23" i="313"/>
  <c r="I54" i="310"/>
  <c r="I51" i="310"/>
  <c r="I50" i="310"/>
  <c r="H45" i="310"/>
  <c r="G45" i="310"/>
  <c r="F45" i="310"/>
  <c r="E45" i="310"/>
  <c r="I44" i="310"/>
  <c r="I42" i="310"/>
  <c r="I41" i="310"/>
  <c r="I40" i="310"/>
  <c r="I39" i="310"/>
  <c r="I38" i="310"/>
  <c r="I35" i="310"/>
  <c r="I34" i="310"/>
  <c r="I33" i="310"/>
  <c r="I32" i="310"/>
  <c r="I31" i="310"/>
  <c r="I30" i="310"/>
  <c r="I29" i="310"/>
  <c r="I28" i="310"/>
  <c r="I27" i="310"/>
  <c r="I25" i="310"/>
  <c r="I24" i="310"/>
  <c r="I23" i="310"/>
  <c r="I21" i="310"/>
  <c r="G13" i="313"/>
  <c r="G31" i="313"/>
  <c r="I19" i="310"/>
  <c r="H16" i="310"/>
  <c r="G16" i="310"/>
  <c r="F16" i="310"/>
  <c r="E16" i="310"/>
  <c r="I15" i="310"/>
  <c r="G8" i="313"/>
  <c r="G29" i="313"/>
  <c r="I11" i="310"/>
  <c r="I9" i="310"/>
  <c r="I8" i="310"/>
  <c r="I6" i="310"/>
  <c r="I5" i="310"/>
  <c r="D9" i="312"/>
  <c r="D14" i="312"/>
  <c r="E34" i="312"/>
  <c r="D34" i="312"/>
  <c r="F24" i="313"/>
  <c r="C34" i="312"/>
  <c r="D19" i="312"/>
  <c r="C19" i="312"/>
  <c r="C14" i="312"/>
  <c r="E24" i="312"/>
  <c r="E19" i="312"/>
  <c r="E9" i="312"/>
  <c r="C9" i="312"/>
  <c r="E12" i="312"/>
  <c r="C39" i="312"/>
  <c r="C41" i="312"/>
  <c r="AE97" i="270"/>
  <c r="AD22" i="271"/>
  <c r="AD24" i="271"/>
  <c r="AE100" i="270"/>
  <c r="BL58" i="279"/>
  <c r="BM42" i="279"/>
  <c r="BM41" i="279"/>
  <c r="BM40" i="279"/>
  <c r="BL7" i="279"/>
  <c r="BL8" i="279"/>
  <c r="BK7" i="279"/>
  <c r="BK9" i="279"/>
  <c r="BK8" i="279"/>
  <c r="BK10" i="279"/>
  <c r="BL10" i="279"/>
  <c r="BK11" i="279"/>
  <c r="BK13" i="279"/>
  <c r="BL11" i="279"/>
  <c r="BK12" i="279"/>
  <c r="BL12" i="279"/>
  <c r="BM12" i="279"/>
  <c r="BM11" i="279"/>
  <c r="BM10" i="279"/>
  <c r="BM7" i="279"/>
  <c r="BM8" i="279"/>
  <c r="BM66" i="279"/>
  <c r="BM62" i="279"/>
  <c r="BM59" i="279"/>
  <c r="BM58" i="279"/>
  <c r="BM70" i="279"/>
  <c r="X13" i="233"/>
  <c r="X31" i="233"/>
  <c r="W13" i="233"/>
  <c r="X12" i="233"/>
  <c r="X30" i="233"/>
  <c r="Z30" i="233"/>
  <c r="Y11" i="233"/>
  <c r="Y14" i="233"/>
  <c r="X11" i="233"/>
  <c r="J145" i="266"/>
  <c r="J140" i="266"/>
  <c r="J138" i="266"/>
  <c r="Y23" i="233"/>
  <c r="X23" i="233"/>
  <c r="X22" i="233"/>
  <c r="W22" i="233"/>
  <c r="W28" i="233"/>
  <c r="Y22" i="233"/>
  <c r="Y21" i="233"/>
  <c r="X21" i="233"/>
  <c r="W21" i="233"/>
  <c r="Z21" i="233"/>
  <c r="Y18" i="233"/>
  <c r="X18" i="233"/>
  <c r="W18" i="233"/>
  <c r="Y17" i="233"/>
  <c r="Z17" i="233"/>
  <c r="X17" i="233"/>
  <c r="W17" i="233"/>
  <c r="Y16" i="233"/>
  <c r="X16" i="233"/>
  <c r="Z16" i="233"/>
  <c r="X29" i="233"/>
  <c r="E195" i="268"/>
  <c r="F195" i="268"/>
  <c r="G195" i="268"/>
  <c r="H195" i="268"/>
  <c r="I195" i="268"/>
  <c r="J195" i="268"/>
  <c r="K195" i="268"/>
  <c r="L195" i="268"/>
  <c r="M195" i="268"/>
  <c r="N195" i="268"/>
  <c r="O195" i="268"/>
  <c r="E194" i="268"/>
  <c r="F194" i="268"/>
  <c r="G194" i="268"/>
  <c r="H194" i="268"/>
  <c r="I194" i="268"/>
  <c r="J194" i="268"/>
  <c r="K194" i="268"/>
  <c r="L194" i="268"/>
  <c r="M194" i="268"/>
  <c r="N194" i="268"/>
  <c r="O194" i="268"/>
  <c r="E192" i="268"/>
  <c r="F192" i="268"/>
  <c r="G192" i="268"/>
  <c r="H192" i="268"/>
  <c r="I192" i="268"/>
  <c r="J192" i="268"/>
  <c r="K192" i="268"/>
  <c r="L192" i="268"/>
  <c r="M192" i="268"/>
  <c r="N192" i="268"/>
  <c r="O192" i="268"/>
  <c r="E188" i="268"/>
  <c r="F188" i="268"/>
  <c r="G188" i="268"/>
  <c r="H188" i="268"/>
  <c r="I188" i="268"/>
  <c r="J188" i="268"/>
  <c r="K188" i="268"/>
  <c r="L188" i="268"/>
  <c r="M188" i="268"/>
  <c r="N188" i="268"/>
  <c r="O188" i="268"/>
  <c r="E184" i="268"/>
  <c r="F184" i="268"/>
  <c r="G184" i="268"/>
  <c r="H184" i="268"/>
  <c r="I184" i="268"/>
  <c r="J184" i="268"/>
  <c r="K184" i="268"/>
  <c r="L184" i="268"/>
  <c r="M184" i="268"/>
  <c r="N184" i="268"/>
  <c r="O184" i="268"/>
  <c r="E177" i="268"/>
  <c r="F177" i="268"/>
  <c r="G177" i="268"/>
  <c r="H177" i="268"/>
  <c r="I177" i="268"/>
  <c r="J177" i="268"/>
  <c r="K177" i="268"/>
  <c r="L177" i="268"/>
  <c r="M177" i="268"/>
  <c r="N177" i="268"/>
  <c r="O177" i="268"/>
  <c r="E178" i="268"/>
  <c r="F178" i="268"/>
  <c r="G178" i="268"/>
  <c r="H178" i="268"/>
  <c r="I178" i="268"/>
  <c r="J178" i="268"/>
  <c r="K178" i="268"/>
  <c r="L178" i="268"/>
  <c r="M178" i="268"/>
  <c r="N178" i="268"/>
  <c r="O178" i="268"/>
  <c r="E175" i="268"/>
  <c r="F175" i="268"/>
  <c r="G175" i="268"/>
  <c r="H175" i="268"/>
  <c r="H222" i="268"/>
  <c r="I175" i="268"/>
  <c r="J175" i="268"/>
  <c r="K175" i="268"/>
  <c r="L175" i="268"/>
  <c r="L222" i="268"/>
  <c r="M175" i="268"/>
  <c r="N175" i="268"/>
  <c r="O175" i="268"/>
  <c r="E171" i="268"/>
  <c r="F171" i="268"/>
  <c r="G171" i="268"/>
  <c r="H171" i="268"/>
  <c r="I171" i="268"/>
  <c r="I221" i="268"/>
  <c r="J171" i="268"/>
  <c r="K171" i="268"/>
  <c r="K221" i="268"/>
  <c r="L171" i="268"/>
  <c r="M171" i="268"/>
  <c r="N171" i="268"/>
  <c r="O171" i="268"/>
  <c r="E167" i="268"/>
  <c r="F167" i="268"/>
  <c r="G167" i="268"/>
  <c r="H167" i="268"/>
  <c r="H220" i="268"/>
  <c r="I167" i="268"/>
  <c r="J167" i="268"/>
  <c r="K167" i="268"/>
  <c r="L167" i="268"/>
  <c r="L220" i="268"/>
  <c r="M167" i="268"/>
  <c r="N167" i="268"/>
  <c r="O167" i="268"/>
  <c r="F217" i="268"/>
  <c r="G217" i="268"/>
  <c r="H217" i="268"/>
  <c r="J217" i="268"/>
  <c r="K217" i="268"/>
  <c r="L217" i="268"/>
  <c r="N217" i="268"/>
  <c r="H223" i="268"/>
  <c r="G221" i="268"/>
  <c r="M225" i="268"/>
  <c r="N205" i="268"/>
  <c r="O205" i="268"/>
  <c r="M205" i="268"/>
  <c r="M224" i="268"/>
  <c r="M201" i="268"/>
  <c r="N201" i="268"/>
  <c r="O201" i="268"/>
  <c r="L201" i="268"/>
  <c r="E193" i="268"/>
  <c r="F193" i="268"/>
  <c r="G193" i="268"/>
  <c r="G196" i="268"/>
  <c r="H193" i="268"/>
  <c r="I193" i="268"/>
  <c r="I215" i="268"/>
  <c r="J193" i="268"/>
  <c r="K193" i="268"/>
  <c r="K196" i="268"/>
  <c r="L193" i="268"/>
  <c r="M193" i="268"/>
  <c r="N193" i="268"/>
  <c r="O193" i="268"/>
  <c r="O196" i="268"/>
  <c r="E176" i="268"/>
  <c r="F176" i="268"/>
  <c r="G176" i="268"/>
  <c r="H176" i="268"/>
  <c r="H215" i="268"/>
  <c r="I176" i="268"/>
  <c r="J176" i="268"/>
  <c r="J215" i="268"/>
  <c r="J218" i="268"/>
  <c r="K176" i="268"/>
  <c r="L176" i="268"/>
  <c r="L215" i="268"/>
  <c r="M176" i="268"/>
  <c r="N176" i="268"/>
  <c r="O176" i="268"/>
  <c r="E216" i="268"/>
  <c r="F216" i="268"/>
  <c r="G216" i="268"/>
  <c r="I216" i="268"/>
  <c r="J216" i="268"/>
  <c r="K216" i="268"/>
  <c r="M216" i="268"/>
  <c r="K215" i="268"/>
  <c r="K218" i="268"/>
  <c r="E221" i="268"/>
  <c r="M221" i="268"/>
  <c r="E196" i="268"/>
  <c r="L216" i="268"/>
  <c r="L218" i="268"/>
  <c r="L196" i="268"/>
  <c r="L213" i="268"/>
  <c r="I217" i="268"/>
  <c r="I218" i="268"/>
  <c r="F215" i="268"/>
  <c r="F218" i="268"/>
  <c r="L223" i="268"/>
  <c r="O217" i="268"/>
  <c r="M215" i="268"/>
  <c r="E215" i="268"/>
  <c r="I196" i="268"/>
  <c r="O221" i="268"/>
  <c r="M196" i="268"/>
  <c r="G215" i="268"/>
  <c r="G218" i="268"/>
  <c r="H216" i="268"/>
  <c r="H218" i="268"/>
  <c r="H196" i="268"/>
  <c r="M217" i="268"/>
  <c r="E217" i="268"/>
  <c r="J220" i="268"/>
  <c r="F220" i="268"/>
  <c r="N221" i="268"/>
  <c r="J221" i="268"/>
  <c r="F221" i="268"/>
  <c r="O222" i="268"/>
  <c r="K222" i="268"/>
  <c r="G222" i="268"/>
  <c r="O223" i="268"/>
  <c r="K223" i="268"/>
  <c r="G223" i="268"/>
  <c r="O224" i="268"/>
  <c r="N225" i="268"/>
  <c r="M220" i="268"/>
  <c r="I220" i="268"/>
  <c r="E220" i="268"/>
  <c r="N222" i="268"/>
  <c r="J222" i="268"/>
  <c r="F222" i="268"/>
  <c r="N223" i="268"/>
  <c r="J223" i="268"/>
  <c r="F223" i="268"/>
  <c r="N224" i="268"/>
  <c r="L221" i="268"/>
  <c r="L226" i="268"/>
  <c r="H221" i="268"/>
  <c r="H226" i="268"/>
  <c r="M222" i="268"/>
  <c r="I222" i="268"/>
  <c r="E222" i="268"/>
  <c r="M223" i="268"/>
  <c r="I223" i="268"/>
  <c r="E223" i="268"/>
  <c r="K220" i="268"/>
  <c r="G220" i="268"/>
  <c r="O225" i="268"/>
  <c r="N196" i="268"/>
  <c r="J196" i="268"/>
  <c r="F196" i="268"/>
  <c r="M179" i="268"/>
  <c r="I179" i="268"/>
  <c r="E179" i="268"/>
  <c r="L179" i="268"/>
  <c r="H179" i="268"/>
  <c r="N179" i="268"/>
  <c r="J179" i="268"/>
  <c r="F179" i="268"/>
  <c r="O179" i="268"/>
  <c r="K179" i="268"/>
  <c r="G179" i="268"/>
  <c r="N13" i="172"/>
  <c r="K226" i="268"/>
  <c r="G226" i="268"/>
  <c r="E218" i="268"/>
  <c r="M218" i="268"/>
  <c r="M226" i="268"/>
  <c r="I226" i="268"/>
  <c r="F226" i="268"/>
  <c r="E226" i="268"/>
  <c r="J226" i="268"/>
  <c r="N38" i="173"/>
  <c r="BN39" i="274"/>
  <c r="BM39" i="274"/>
  <c r="BL39" i="274"/>
  <c r="BO38" i="274"/>
  <c r="O6" i="304"/>
  <c r="O6" i="303"/>
  <c r="N61" i="288"/>
  <c r="O61" i="288"/>
  <c r="P61" i="288"/>
  <c r="Q61" i="288"/>
  <c r="R61" i="288"/>
  <c r="S61" i="288"/>
  <c r="T61" i="288"/>
  <c r="U61" i="288"/>
  <c r="V61" i="288"/>
  <c r="W61" i="288"/>
  <c r="X61" i="288"/>
  <c r="M61" i="288"/>
  <c r="N89" i="288"/>
  <c r="O89" i="288"/>
  <c r="P89" i="288"/>
  <c r="Q89" i="288"/>
  <c r="R89" i="288"/>
  <c r="S89" i="288"/>
  <c r="T89" i="288"/>
  <c r="U89" i="288"/>
  <c r="V89" i="288"/>
  <c r="W89" i="288"/>
  <c r="X89" i="288"/>
  <c r="M89" i="288"/>
  <c r="X27" i="288"/>
  <c r="W27" i="288"/>
  <c r="V27" i="288"/>
  <c r="U27" i="288"/>
  <c r="T27" i="288"/>
  <c r="S27" i="288"/>
  <c r="R27" i="288"/>
  <c r="Q27" i="288"/>
  <c r="P27" i="288"/>
  <c r="O27" i="288"/>
  <c r="N27" i="288"/>
  <c r="E218" i="287"/>
  <c r="D218" i="287"/>
  <c r="C218" i="287"/>
  <c r="B218" i="287"/>
  <c r="F217" i="287"/>
  <c r="F216" i="287"/>
  <c r="F215" i="287"/>
  <c r="F214" i="287"/>
  <c r="F213" i="287"/>
  <c r="E210" i="287"/>
  <c r="D210" i="287"/>
  <c r="C210" i="287"/>
  <c r="B210" i="287"/>
  <c r="F209" i="287"/>
  <c r="F208" i="287"/>
  <c r="F207" i="287"/>
  <c r="F206" i="287"/>
  <c r="F205" i="287"/>
  <c r="E202" i="287"/>
  <c r="D202" i="287"/>
  <c r="C202" i="287"/>
  <c r="B202" i="287"/>
  <c r="F201" i="287"/>
  <c r="F200" i="287"/>
  <c r="F199" i="287"/>
  <c r="F198" i="287"/>
  <c r="F197" i="287"/>
  <c r="E194" i="287"/>
  <c r="D194" i="287"/>
  <c r="C194" i="287"/>
  <c r="B194" i="287"/>
  <c r="F193" i="287"/>
  <c r="F192" i="287"/>
  <c r="F191" i="287"/>
  <c r="F190" i="287"/>
  <c r="E187" i="287"/>
  <c r="D187" i="287"/>
  <c r="C187" i="287"/>
  <c r="B187" i="287"/>
  <c r="F186" i="287"/>
  <c r="F185" i="287"/>
  <c r="F184" i="287"/>
  <c r="F183" i="287"/>
  <c r="E180" i="287"/>
  <c r="D180" i="287"/>
  <c r="C180" i="287"/>
  <c r="B180" i="287"/>
  <c r="F179" i="287"/>
  <c r="F178" i="287"/>
  <c r="F177" i="287"/>
  <c r="F176" i="287"/>
  <c r="F175" i="287"/>
  <c r="E172" i="287"/>
  <c r="D172" i="287"/>
  <c r="C172" i="287"/>
  <c r="B172" i="287"/>
  <c r="F171" i="287"/>
  <c r="F170" i="287"/>
  <c r="F169" i="287"/>
  <c r="F168" i="287"/>
  <c r="F167" i="287"/>
  <c r="F113" i="287"/>
  <c r="F112" i="287"/>
  <c r="F111" i="287"/>
  <c r="F110" i="287"/>
  <c r="F109" i="287"/>
  <c r="E108" i="287"/>
  <c r="D108" i="287"/>
  <c r="C108" i="287"/>
  <c r="F107" i="287"/>
  <c r="F106" i="287"/>
  <c r="F105" i="287"/>
  <c r="E104" i="287"/>
  <c r="D104" i="287"/>
  <c r="C104" i="287"/>
  <c r="F103" i="287"/>
  <c r="F102" i="287"/>
  <c r="F101" i="287"/>
  <c r="F100" i="287"/>
  <c r="E99" i="287"/>
  <c r="D99" i="287"/>
  <c r="C99" i="287"/>
  <c r="F98" i="287"/>
  <c r="F97" i="287"/>
  <c r="F96" i="287"/>
  <c r="F95" i="287"/>
  <c r="E94" i="287"/>
  <c r="D94" i="287"/>
  <c r="C94" i="287"/>
  <c r="F93" i="287"/>
  <c r="F92" i="287"/>
  <c r="F91" i="287"/>
  <c r="E90" i="287"/>
  <c r="D90" i="287"/>
  <c r="C90" i="287"/>
  <c r="F86" i="287"/>
  <c r="F85" i="287"/>
  <c r="F84" i="287"/>
  <c r="F83" i="287"/>
  <c r="F82" i="287"/>
  <c r="E81" i="287"/>
  <c r="D81" i="287"/>
  <c r="C81" i="287"/>
  <c r="F80" i="287"/>
  <c r="F79" i="287"/>
  <c r="F77" i="287"/>
  <c r="F76" i="287"/>
  <c r="F75" i="287"/>
  <c r="F74" i="287"/>
  <c r="F72" i="287"/>
  <c r="F71" i="287"/>
  <c r="F70" i="287"/>
  <c r="F69" i="287"/>
  <c r="F67" i="287"/>
  <c r="F66" i="287"/>
  <c r="F65" i="287"/>
  <c r="I27" i="294"/>
  <c r="I26" i="294"/>
  <c r="I25" i="294"/>
  <c r="I24" i="294"/>
  <c r="I23" i="294"/>
  <c r="I22" i="294"/>
  <c r="I21" i="294"/>
  <c r="L13" i="294"/>
  <c r="L25" i="294"/>
  <c r="K13" i="294"/>
  <c r="K27" i="294"/>
  <c r="J13" i="294"/>
  <c r="H13" i="294"/>
  <c r="G13" i="294"/>
  <c r="G25" i="294"/>
  <c r="F13" i="294"/>
  <c r="F24" i="294"/>
  <c r="E13" i="294"/>
  <c r="E24" i="294"/>
  <c r="D13" i="294"/>
  <c r="D25" i="294"/>
  <c r="C13" i="294"/>
  <c r="C25" i="294"/>
  <c r="I38" i="293"/>
  <c r="I33" i="293"/>
  <c r="L29" i="293"/>
  <c r="L28" i="293"/>
  <c r="K28" i="293"/>
  <c r="J28" i="293"/>
  <c r="I28" i="293"/>
  <c r="I37" i="293"/>
  <c r="H28" i="293"/>
  <c r="G28" i="293"/>
  <c r="F28" i="293"/>
  <c r="E28" i="293"/>
  <c r="D28" i="293"/>
  <c r="C28" i="293"/>
  <c r="L27" i="293"/>
  <c r="K27" i="293"/>
  <c r="J27" i="293"/>
  <c r="I27" i="293"/>
  <c r="I36" i="293"/>
  <c r="H27" i="293"/>
  <c r="G27" i="293"/>
  <c r="F27" i="293"/>
  <c r="E27" i="293"/>
  <c r="D27" i="293"/>
  <c r="C27" i="293"/>
  <c r="L26" i="293"/>
  <c r="K26" i="293"/>
  <c r="J26" i="293"/>
  <c r="I26" i="293"/>
  <c r="I35" i="293"/>
  <c r="H26" i="293"/>
  <c r="G26" i="293"/>
  <c r="F26" i="293"/>
  <c r="E26" i="293"/>
  <c r="D26" i="293"/>
  <c r="C26" i="293"/>
  <c r="L25" i="293"/>
  <c r="K25" i="293"/>
  <c r="J25" i="293"/>
  <c r="I25" i="293"/>
  <c r="I34" i="293"/>
  <c r="H25" i="293"/>
  <c r="G25" i="293"/>
  <c r="F25" i="293"/>
  <c r="E25" i="293"/>
  <c r="D25" i="293"/>
  <c r="C25" i="293"/>
  <c r="L24" i="293"/>
  <c r="L16" i="293"/>
  <c r="K16" i="293"/>
  <c r="J16" i="293"/>
  <c r="H16" i="293"/>
  <c r="G16" i="293"/>
  <c r="F16" i="293"/>
  <c r="E16" i="293"/>
  <c r="D16" i="293"/>
  <c r="C16" i="293"/>
  <c r="W40" i="47"/>
  <c r="V40" i="47"/>
  <c r="U40" i="47"/>
  <c r="T40" i="47"/>
  <c r="S40" i="47"/>
  <c r="R40" i="47"/>
  <c r="O40" i="47"/>
  <c r="N40" i="47"/>
  <c r="M40" i="47"/>
  <c r="L40" i="47"/>
  <c r="K40" i="47"/>
  <c r="J40" i="47"/>
  <c r="G40" i="47"/>
  <c r="F40" i="47"/>
  <c r="E40" i="47"/>
  <c r="D40" i="47"/>
  <c r="C40" i="47"/>
  <c r="B40" i="47"/>
  <c r="X39" i="47"/>
  <c r="P39" i="47"/>
  <c r="H39" i="47"/>
  <c r="X38" i="47"/>
  <c r="P38" i="47"/>
  <c r="X37" i="47"/>
  <c r="P37" i="47"/>
  <c r="H37" i="47"/>
  <c r="X36" i="47"/>
  <c r="P36" i="47"/>
  <c r="H36" i="47"/>
  <c r="X35" i="47"/>
  <c r="P35" i="47"/>
  <c r="H35" i="47"/>
  <c r="H40" i="47"/>
  <c r="W29" i="47"/>
  <c r="V29" i="47"/>
  <c r="U29" i="47"/>
  <c r="T29" i="47"/>
  <c r="S29" i="47"/>
  <c r="R29" i="47"/>
  <c r="O29" i="47"/>
  <c r="N29" i="47"/>
  <c r="M29" i="47"/>
  <c r="L29" i="47"/>
  <c r="K29" i="47"/>
  <c r="J29" i="47"/>
  <c r="G29" i="47"/>
  <c r="F29" i="47"/>
  <c r="E29" i="47"/>
  <c r="D29" i="47"/>
  <c r="C29" i="47"/>
  <c r="B29" i="47"/>
  <c r="X28" i="47"/>
  <c r="P28" i="47"/>
  <c r="H28" i="47"/>
  <c r="X27" i="47"/>
  <c r="P27" i="47"/>
  <c r="H27" i="47"/>
  <c r="X26" i="47"/>
  <c r="P26" i="47"/>
  <c r="H26" i="47"/>
  <c r="X25" i="47"/>
  <c r="P25" i="47"/>
  <c r="H25" i="47"/>
  <c r="W19" i="47"/>
  <c r="V19" i="47"/>
  <c r="U19" i="47"/>
  <c r="T19" i="47"/>
  <c r="S19" i="47"/>
  <c r="R19" i="47"/>
  <c r="O19" i="47"/>
  <c r="N19" i="47"/>
  <c r="M19" i="47"/>
  <c r="L19" i="47"/>
  <c r="K19" i="47"/>
  <c r="J19" i="47"/>
  <c r="G19" i="47"/>
  <c r="F19" i="47"/>
  <c r="E19" i="47"/>
  <c r="D19" i="47"/>
  <c r="C19" i="47"/>
  <c r="B19" i="47"/>
  <c r="X18" i="47"/>
  <c r="P18" i="47"/>
  <c r="H18" i="47"/>
  <c r="X17" i="47"/>
  <c r="P17" i="47"/>
  <c r="H17" i="47"/>
  <c r="X16" i="47"/>
  <c r="P16" i="47"/>
  <c r="H16" i="47"/>
  <c r="X15" i="47"/>
  <c r="P15" i="47"/>
  <c r="P19" i="47"/>
  <c r="H15" i="47"/>
  <c r="W9" i="47"/>
  <c r="V9" i="47"/>
  <c r="U9" i="47"/>
  <c r="T9" i="47"/>
  <c r="S9" i="47"/>
  <c r="R9" i="47"/>
  <c r="O9" i="47"/>
  <c r="N9" i="47"/>
  <c r="M9" i="47"/>
  <c r="L9" i="47"/>
  <c r="K9" i="47"/>
  <c r="J9" i="47"/>
  <c r="G9" i="47"/>
  <c r="F9" i="47"/>
  <c r="E9" i="47"/>
  <c r="D9" i="47"/>
  <c r="C9" i="47"/>
  <c r="B9" i="47"/>
  <c r="X8" i="47"/>
  <c r="P8" i="47"/>
  <c r="H8" i="47"/>
  <c r="X7" i="47"/>
  <c r="P7" i="47"/>
  <c r="H7" i="47"/>
  <c r="X5" i="47"/>
  <c r="P5" i="47"/>
  <c r="H5" i="47"/>
  <c r="H9" i="47"/>
  <c r="M73" i="46"/>
  <c r="L73" i="46"/>
  <c r="K73" i="46"/>
  <c r="J73" i="46"/>
  <c r="I73" i="46"/>
  <c r="H73" i="46"/>
  <c r="G73" i="46"/>
  <c r="F73" i="46"/>
  <c r="E73" i="46"/>
  <c r="D73" i="46"/>
  <c r="C73" i="46"/>
  <c r="M72" i="46"/>
  <c r="L72" i="46"/>
  <c r="K72" i="46"/>
  <c r="J72" i="46"/>
  <c r="I72" i="46"/>
  <c r="H72" i="46"/>
  <c r="G72" i="46"/>
  <c r="F72" i="46"/>
  <c r="E72" i="46"/>
  <c r="D72" i="46"/>
  <c r="C72" i="46"/>
  <c r="M71" i="46"/>
  <c r="L71" i="46"/>
  <c r="K71" i="46"/>
  <c r="J71" i="46"/>
  <c r="I71" i="46"/>
  <c r="H71" i="46"/>
  <c r="G71" i="46"/>
  <c r="F71" i="46"/>
  <c r="E71" i="46"/>
  <c r="D71" i="46"/>
  <c r="C71" i="46"/>
  <c r="M70" i="46"/>
  <c r="L70" i="46"/>
  <c r="K70" i="46"/>
  <c r="J70" i="46"/>
  <c r="I70" i="46"/>
  <c r="H70" i="46"/>
  <c r="G70" i="46"/>
  <c r="F70" i="46"/>
  <c r="E70" i="46"/>
  <c r="D70" i="46"/>
  <c r="C70" i="46"/>
  <c r="M69" i="46"/>
  <c r="L69" i="46"/>
  <c r="K69" i="46"/>
  <c r="J69" i="46"/>
  <c r="I69" i="46"/>
  <c r="H69" i="46"/>
  <c r="G69" i="46"/>
  <c r="F69" i="46"/>
  <c r="E69" i="46"/>
  <c r="D69" i="46"/>
  <c r="C69" i="46"/>
  <c r="N59" i="46"/>
  <c r="N58" i="46"/>
  <c r="N57" i="46"/>
  <c r="N56" i="46"/>
  <c r="N55" i="46"/>
  <c r="N45" i="46"/>
  <c r="N44" i="46"/>
  <c r="N41" i="46"/>
  <c r="N40" i="46"/>
  <c r="N39" i="46"/>
  <c r="N38" i="46"/>
  <c r="N37" i="46"/>
  <c r="N27" i="46"/>
  <c r="N26" i="46"/>
  <c r="N25" i="46"/>
  <c r="N24" i="46"/>
  <c r="N23" i="46"/>
  <c r="N16" i="46"/>
  <c r="N73" i="46"/>
  <c r="N15" i="46"/>
  <c r="N14" i="46"/>
  <c r="N13" i="46"/>
  <c r="N12" i="46"/>
  <c r="N69" i="46"/>
  <c r="AV36" i="234"/>
  <c r="AU36" i="234"/>
  <c r="AT36" i="234"/>
  <c r="AR36" i="234"/>
  <c r="AQ36" i="234"/>
  <c r="AP36" i="234"/>
  <c r="AN36" i="234"/>
  <c r="AM36" i="234"/>
  <c r="AL36" i="234"/>
  <c r="AJ36" i="234"/>
  <c r="AI36" i="234"/>
  <c r="AH36" i="234"/>
  <c r="AF36" i="234"/>
  <c r="AE36" i="234"/>
  <c r="AD36" i="234"/>
  <c r="AV35" i="234"/>
  <c r="AU35" i="234"/>
  <c r="AT35" i="234"/>
  <c r="AR35" i="234"/>
  <c r="AQ35" i="234"/>
  <c r="AP35" i="234"/>
  <c r="AN35" i="234"/>
  <c r="AM35" i="234"/>
  <c r="AL35" i="234"/>
  <c r="AJ35" i="234"/>
  <c r="AI35" i="234"/>
  <c r="AH35" i="234"/>
  <c r="AF35" i="234"/>
  <c r="AE35" i="234"/>
  <c r="AD35" i="234"/>
  <c r="AV34" i="234"/>
  <c r="AU34" i="234"/>
  <c r="AT34" i="234"/>
  <c r="AR34" i="234"/>
  <c r="AQ34" i="234"/>
  <c r="AP34" i="234"/>
  <c r="AN34" i="234"/>
  <c r="AM34" i="234"/>
  <c r="AL34" i="234"/>
  <c r="AJ34" i="234"/>
  <c r="AI34" i="234"/>
  <c r="AH34" i="234"/>
  <c r="AF34" i="234"/>
  <c r="AE34" i="234"/>
  <c r="AD34" i="234"/>
  <c r="AV33" i="234"/>
  <c r="AU33" i="234"/>
  <c r="AT33" i="234"/>
  <c r="AR33" i="234"/>
  <c r="AQ33" i="234"/>
  <c r="AP33" i="234"/>
  <c r="AN33" i="234"/>
  <c r="AM33" i="234"/>
  <c r="AL33" i="234"/>
  <c r="AJ33" i="234"/>
  <c r="AI33" i="234"/>
  <c r="AH33" i="234"/>
  <c r="AF33" i="234"/>
  <c r="AE33" i="234"/>
  <c r="AD33" i="234"/>
  <c r="AV32" i="234"/>
  <c r="AU32" i="234"/>
  <c r="AT32" i="234"/>
  <c r="AR32" i="234"/>
  <c r="AQ32" i="234"/>
  <c r="AP32" i="234"/>
  <c r="AN32" i="234"/>
  <c r="AM32" i="234"/>
  <c r="AL32" i="234"/>
  <c r="AJ32" i="234"/>
  <c r="AI32" i="234"/>
  <c r="AH32" i="234"/>
  <c r="AF32" i="234"/>
  <c r="AE32" i="234"/>
  <c r="AD32" i="234"/>
  <c r="AV31" i="234"/>
  <c r="AV37" i="234"/>
  <c r="AU31" i="234"/>
  <c r="AT31" i="234"/>
  <c r="AT37" i="234"/>
  <c r="AR31" i="234"/>
  <c r="AQ31" i="234"/>
  <c r="AP31" i="234"/>
  <c r="AN31" i="234"/>
  <c r="AM31" i="234"/>
  <c r="AL31" i="234"/>
  <c r="AL37" i="234"/>
  <c r="AJ31" i="234"/>
  <c r="AJ37" i="234"/>
  <c r="AI31" i="234"/>
  <c r="AH31" i="234"/>
  <c r="AF31" i="234"/>
  <c r="AE31" i="234"/>
  <c r="AD31" i="234"/>
  <c r="AD37" i="234"/>
  <c r="AV29" i="234"/>
  <c r="AU29" i="234"/>
  <c r="AT29" i="234"/>
  <c r="AR29" i="234"/>
  <c r="AQ29" i="234"/>
  <c r="AP29" i="234"/>
  <c r="AN29" i="234"/>
  <c r="AM29" i="234"/>
  <c r="AL29" i="234"/>
  <c r="AJ29" i="234"/>
  <c r="AI29" i="234"/>
  <c r="AH29" i="234"/>
  <c r="AF29" i="234"/>
  <c r="AE29" i="234"/>
  <c r="AD29" i="234"/>
  <c r="AW28" i="234"/>
  <c r="AS28" i="234"/>
  <c r="AO28" i="234"/>
  <c r="AK28" i="234"/>
  <c r="AG28" i="234"/>
  <c r="AW27" i="234"/>
  <c r="AS27" i="234"/>
  <c r="AO27" i="234"/>
  <c r="AK27" i="234"/>
  <c r="AG27" i="234"/>
  <c r="AW26" i="234"/>
  <c r="AS26" i="234"/>
  <c r="AO26" i="234"/>
  <c r="AK26" i="234"/>
  <c r="AG26" i="234"/>
  <c r="AV19" i="234"/>
  <c r="AU19" i="234"/>
  <c r="AT19" i="234"/>
  <c r="AR19" i="234"/>
  <c r="AQ19" i="234"/>
  <c r="AP19" i="234"/>
  <c r="AN19" i="234"/>
  <c r="AM19" i="234"/>
  <c r="AL19" i="234"/>
  <c r="AJ19" i="234"/>
  <c r="AI19" i="234"/>
  <c r="AH19" i="234"/>
  <c r="AF19" i="234"/>
  <c r="AE19" i="234"/>
  <c r="AD19" i="234"/>
  <c r="AW18" i="234"/>
  <c r="AS18" i="234"/>
  <c r="AO18" i="234"/>
  <c r="AK18" i="234"/>
  <c r="AG18" i="234"/>
  <c r="AW17" i="234"/>
  <c r="AS17" i="234"/>
  <c r="AO17" i="234"/>
  <c r="AK17" i="234"/>
  <c r="AG17" i="234"/>
  <c r="AW16" i="234"/>
  <c r="AS16" i="234"/>
  <c r="AO16" i="234"/>
  <c r="AK16" i="234"/>
  <c r="AG16" i="234"/>
  <c r="AV14" i="234"/>
  <c r="AU14" i="234"/>
  <c r="AT14" i="234"/>
  <c r="AR14" i="234"/>
  <c r="AQ14" i="234"/>
  <c r="AP14" i="234"/>
  <c r="AN14" i="234"/>
  <c r="AM14" i="234"/>
  <c r="AL14" i="234"/>
  <c r="AJ14" i="234"/>
  <c r="AI14" i="234"/>
  <c r="AH14" i="234"/>
  <c r="AF14" i="234"/>
  <c r="AE14" i="234"/>
  <c r="AD14" i="234"/>
  <c r="AW13" i="234"/>
  <c r="AW36" i="234"/>
  <c r="AS13" i="234"/>
  <c r="AS36" i="234" s="1"/>
  <c r="AO13" i="234"/>
  <c r="AO36" i="234"/>
  <c r="AK13" i="234"/>
  <c r="AK36" i="234"/>
  <c r="AG13" i="234"/>
  <c r="AG36" i="234"/>
  <c r="AW12" i="234"/>
  <c r="AW35" i="234"/>
  <c r="AS12" i="234"/>
  <c r="AO12" i="234"/>
  <c r="AO35" i="234"/>
  <c r="AK12" i="234"/>
  <c r="AK35" i="234"/>
  <c r="AG12" i="234"/>
  <c r="AG35" i="234"/>
  <c r="AW11" i="234"/>
  <c r="AS11" i="234"/>
  <c r="AO11" i="234"/>
  <c r="AK11" i="234"/>
  <c r="AG11" i="234"/>
  <c r="AV9" i="234"/>
  <c r="AU9" i="234"/>
  <c r="AW9" i="234"/>
  <c r="AT9" i="234"/>
  <c r="AR9" i="234"/>
  <c r="AQ9" i="234"/>
  <c r="AP9" i="234"/>
  <c r="AS9" i="234"/>
  <c r="AN9" i="234"/>
  <c r="AM9" i="234"/>
  <c r="AL9" i="234"/>
  <c r="AJ9" i="234"/>
  <c r="AI9" i="234"/>
  <c r="AH9" i="234"/>
  <c r="AF9" i="234"/>
  <c r="AE9" i="234"/>
  <c r="AD9" i="234"/>
  <c r="AW8" i="234"/>
  <c r="AW34" i="234"/>
  <c r="AS8" i="234"/>
  <c r="AS34" i="234" s="1"/>
  <c r="AO8" i="234"/>
  <c r="AO34" i="234"/>
  <c r="AK8" i="234"/>
  <c r="AG8" i="234"/>
  <c r="AG34" i="234"/>
  <c r="AW7" i="234"/>
  <c r="AW32" i="234"/>
  <c r="AS7" i="234"/>
  <c r="AS32" i="234" s="1"/>
  <c r="AO7" i="234"/>
  <c r="AK7" i="234"/>
  <c r="AG7" i="234"/>
  <c r="AW6" i="234"/>
  <c r="AW31" i="234"/>
  <c r="AS6" i="234"/>
  <c r="AO6" i="234"/>
  <c r="AO31" i="234"/>
  <c r="AK6" i="234"/>
  <c r="AK31" i="234"/>
  <c r="AG6" i="234"/>
  <c r="AG31" i="234"/>
  <c r="N35" i="243"/>
  <c r="M35" i="243"/>
  <c r="L35" i="243"/>
  <c r="K35" i="243"/>
  <c r="J35" i="243"/>
  <c r="H35" i="243"/>
  <c r="G35" i="243"/>
  <c r="F35" i="243"/>
  <c r="E35" i="243"/>
  <c r="D35" i="243"/>
  <c r="C35" i="243"/>
  <c r="N34" i="243"/>
  <c r="M34" i="243"/>
  <c r="L34" i="243"/>
  <c r="K34" i="243"/>
  <c r="J34" i="243"/>
  <c r="H34" i="243"/>
  <c r="G34" i="243"/>
  <c r="F34" i="243"/>
  <c r="E34" i="243"/>
  <c r="D34" i="243"/>
  <c r="C34" i="243"/>
  <c r="N33" i="243"/>
  <c r="M33" i="243"/>
  <c r="L33" i="243"/>
  <c r="K33" i="243"/>
  <c r="J33" i="243"/>
  <c r="H33" i="243"/>
  <c r="G33" i="243"/>
  <c r="F33" i="243"/>
  <c r="E33" i="243"/>
  <c r="D33" i="243"/>
  <c r="C33" i="243"/>
  <c r="N32" i="243"/>
  <c r="M32" i="243"/>
  <c r="L32" i="243"/>
  <c r="K32" i="243"/>
  <c r="J32" i="243"/>
  <c r="H32" i="243"/>
  <c r="G32" i="243"/>
  <c r="F32" i="243"/>
  <c r="E32" i="243"/>
  <c r="D32" i="243"/>
  <c r="C32" i="243"/>
  <c r="N31" i="243"/>
  <c r="M31" i="243"/>
  <c r="L31" i="243"/>
  <c r="K31" i="243"/>
  <c r="J31" i="243"/>
  <c r="H31" i="243"/>
  <c r="G31" i="243"/>
  <c r="F31" i="243"/>
  <c r="E31" i="243"/>
  <c r="D31" i="243"/>
  <c r="C31" i="243"/>
  <c r="N30" i="243"/>
  <c r="M30" i="243"/>
  <c r="M36" i="243"/>
  <c r="L30" i="243"/>
  <c r="L36" i="243"/>
  <c r="K30" i="243"/>
  <c r="J30" i="243"/>
  <c r="H30" i="243"/>
  <c r="H36" i="243"/>
  <c r="G30" i="243"/>
  <c r="F30" i="243"/>
  <c r="F36" i="243"/>
  <c r="E30" i="243"/>
  <c r="D30" i="243"/>
  <c r="D36" i="243"/>
  <c r="C30" i="243"/>
  <c r="N28" i="243"/>
  <c r="M28" i="243"/>
  <c r="L28" i="243"/>
  <c r="K28" i="243"/>
  <c r="J28" i="243"/>
  <c r="H28" i="243"/>
  <c r="G28" i="243"/>
  <c r="F28" i="243"/>
  <c r="E28" i="243"/>
  <c r="D28" i="243"/>
  <c r="C28" i="243"/>
  <c r="I27" i="243"/>
  <c r="I33" i="243"/>
  <c r="I26" i="243"/>
  <c r="I25" i="243"/>
  <c r="N23" i="243"/>
  <c r="M23" i="243"/>
  <c r="N18" i="243"/>
  <c r="M18" i="243"/>
  <c r="L18" i="243"/>
  <c r="K18" i="243"/>
  <c r="J18" i="243"/>
  <c r="H18" i="243"/>
  <c r="G18" i="243"/>
  <c r="F18" i="243"/>
  <c r="E18" i="243"/>
  <c r="D18" i="243"/>
  <c r="C18" i="243"/>
  <c r="I17" i="243"/>
  <c r="I32" i="243"/>
  <c r="I16" i="243"/>
  <c r="I15" i="243"/>
  <c r="N13" i="243"/>
  <c r="M13" i="243"/>
  <c r="L13" i="243"/>
  <c r="K13" i="243"/>
  <c r="J13" i="243"/>
  <c r="H13" i="243"/>
  <c r="G13" i="243"/>
  <c r="F13" i="243"/>
  <c r="E13" i="243"/>
  <c r="D13" i="243"/>
  <c r="I12" i="243"/>
  <c r="I35" i="243"/>
  <c r="I11" i="243"/>
  <c r="I34" i="243"/>
  <c r="I10" i="243"/>
  <c r="I13" i="243"/>
  <c r="N8" i="243"/>
  <c r="M8" i="243"/>
  <c r="L8" i="243"/>
  <c r="K8" i="243"/>
  <c r="J8" i="243"/>
  <c r="H8" i="243"/>
  <c r="G8" i="243"/>
  <c r="F8" i="243"/>
  <c r="E8" i="243"/>
  <c r="D8" i="243"/>
  <c r="C8" i="243"/>
  <c r="I6" i="243"/>
  <c r="I31" i="243"/>
  <c r="I5" i="243"/>
  <c r="AX53" i="281"/>
  <c r="AS53" i="281"/>
  <c r="AN53" i="281"/>
  <c r="BI46" i="281"/>
  <c r="BH46" i="281"/>
  <c r="BG46" i="281"/>
  <c r="BF46" i="281"/>
  <c r="BD46" i="281"/>
  <c r="BC46" i="281"/>
  <c r="BB46" i="281"/>
  <c r="BA46" i="281"/>
  <c r="BI44" i="281"/>
  <c r="BH44" i="281"/>
  <c r="BG44" i="281"/>
  <c r="BF44" i="281"/>
  <c r="BD44" i="281"/>
  <c r="BC44" i="281"/>
  <c r="BB44" i="281"/>
  <c r="BA44" i="281"/>
  <c r="BI42" i="281"/>
  <c r="BH42" i="281"/>
  <c r="BH48" i="281"/>
  <c r="BG42" i="281"/>
  <c r="BF42" i="281"/>
  <c r="BD42" i="281"/>
  <c r="BC42" i="281"/>
  <c r="BB42" i="281"/>
  <c r="BA42" i="281"/>
  <c r="BI37" i="281"/>
  <c r="BH37" i="281"/>
  <c r="BG37" i="281"/>
  <c r="BF37" i="281"/>
  <c r="BD37" i="281"/>
  <c r="BC37" i="281"/>
  <c r="BB37" i="281"/>
  <c r="BA37" i="281"/>
  <c r="BI35" i="281"/>
  <c r="BH35" i="281"/>
  <c r="BG35" i="281"/>
  <c r="BF35" i="281"/>
  <c r="BD35" i="281"/>
  <c r="BC35" i="281"/>
  <c r="BB35" i="281"/>
  <c r="BA35" i="281"/>
  <c r="BI33" i="281"/>
  <c r="BH33" i="281"/>
  <c r="BG33" i="281"/>
  <c r="BF33" i="281"/>
  <c r="BD33" i="281"/>
  <c r="BC33" i="281"/>
  <c r="BB33" i="281"/>
  <c r="BA33" i="281"/>
  <c r="AK29" i="281"/>
  <c r="AJ29" i="281"/>
  <c r="AI29" i="281"/>
  <c r="AH29" i="281"/>
  <c r="BI28" i="281"/>
  <c r="BH28" i="281"/>
  <c r="BG28" i="281"/>
  <c r="BF28" i="281"/>
  <c r="BD28" i="281"/>
  <c r="BC28" i="281"/>
  <c r="BB28" i="281"/>
  <c r="BA28" i="281"/>
  <c r="AK27" i="281"/>
  <c r="AJ27" i="281"/>
  <c r="AI27" i="281"/>
  <c r="AH27" i="281"/>
  <c r="BI26" i="281"/>
  <c r="BH26" i="281"/>
  <c r="BG26" i="281"/>
  <c r="BF26" i="281"/>
  <c r="BD26" i="281"/>
  <c r="BC26" i="281"/>
  <c r="BB26" i="281"/>
  <c r="BA26" i="281"/>
  <c r="BI24" i="281"/>
  <c r="BH24" i="281"/>
  <c r="BG24" i="281"/>
  <c r="BG30" i="281"/>
  <c r="BF24" i="281"/>
  <c r="BF30" i="281"/>
  <c r="BD24" i="281"/>
  <c r="BC24" i="281"/>
  <c r="BB24" i="281"/>
  <c r="BA24" i="281"/>
  <c r="BI19" i="281"/>
  <c r="BH19" i="281"/>
  <c r="BG19" i="281"/>
  <c r="BF19" i="281"/>
  <c r="BJ19" i="281"/>
  <c r="BD19" i="281"/>
  <c r="BC19" i="281"/>
  <c r="BB19" i="281"/>
  <c r="BA19" i="281"/>
  <c r="BI17" i="281"/>
  <c r="BH17" i="281"/>
  <c r="BG17" i="281"/>
  <c r="BF17" i="281"/>
  <c r="BD17" i="281"/>
  <c r="BC17" i="281"/>
  <c r="BB17" i="281"/>
  <c r="BA17" i="281"/>
  <c r="BE17" i="281"/>
  <c r="AF16" i="281"/>
  <c r="AE16" i="281"/>
  <c r="BI15" i="281"/>
  <c r="BH15" i="281"/>
  <c r="BG15" i="281"/>
  <c r="BF15" i="281"/>
  <c r="BD15" i="281"/>
  <c r="BC15" i="281"/>
  <c r="BB15" i="281"/>
  <c r="BA15" i="281"/>
  <c r="BI10" i="281"/>
  <c r="BH10" i="281"/>
  <c r="BG10" i="281"/>
  <c r="BF10" i="281"/>
  <c r="BD10" i="281"/>
  <c r="BC10" i="281"/>
  <c r="BB10" i="281"/>
  <c r="BA10" i="281"/>
  <c r="BI8" i="281"/>
  <c r="BH8" i="281"/>
  <c r="BG8" i="281"/>
  <c r="BF8" i="281"/>
  <c r="BD8" i="281"/>
  <c r="BC8" i="281"/>
  <c r="BB8" i="281"/>
  <c r="BA8" i="281"/>
  <c r="BI6" i="281"/>
  <c r="BI12" i="281"/>
  <c r="BH6" i="281"/>
  <c r="BG6" i="281"/>
  <c r="BG12" i="281"/>
  <c r="BF6" i="281"/>
  <c r="BF12" i="281"/>
  <c r="BD6" i="281"/>
  <c r="BC6" i="281"/>
  <c r="BB6" i="281"/>
  <c r="BA6" i="281"/>
  <c r="BI29" i="242"/>
  <c r="BH29" i="242"/>
  <c r="BG29" i="242"/>
  <c r="BF29" i="242"/>
  <c r="BD29" i="242"/>
  <c r="BC29" i="242"/>
  <c r="BB29" i="242"/>
  <c r="BA29" i="242"/>
  <c r="AY29" i="242"/>
  <c r="AX29" i="242"/>
  <c r="AW29" i="242"/>
  <c r="AV29" i="242"/>
  <c r="AT29" i="242"/>
  <c r="AS29" i="242"/>
  <c r="AR29" i="242"/>
  <c r="AQ29" i="242"/>
  <c r="AO29" i="242"/>
  <c r="AN29" i="242"/>
  <c r="AM29" i="242"/>
  <c r="AL29" i="242"/>
  <c r="BJ28" i="242"/>
  <c r="BE28" i="242"/>
  <c r="AZ28" i="242"/>
  <c r="AU28" i="242"/>
  <c r="AP28" i="242"/>
  <c r="BJ27" i="242"/>
  <c r="BE27" i="242"/>
  <c r="AZ27" i="242"/>
  <c r="AU27" i="242"/>
  <c r="AP27" i="242"/>
  <c r="BJ26" i="242"/>
  <c r="BE26" i="242"/>
  <c r="AZ26" i="242"/>
  <c r="AU26" i="242"/>
  <c r="AP26" i="242"/>
  <c r="BI24" i="242"/>
  <c r="BH24" i="242"/>
  <c r="BD24" i="242"/>
  <c r="BC24" i="242"/>
  <c r="BA24" i="242"/>
  <c r="BJ23" i="242"/>
  <c r="BE23" i="242"/>
  <c r="BJ22" i="242"/>
  <c r="BE22" i="242"/>
  <c r="BJ21" i="242"/>
  <c r="BJ24" i="242"/>
  <c r="BE21" i="242"/>
  <c r="BI19" i="242"/>
  <c r="BH19" i="242"/>
  <c r="BG19" i="242"/>
  <c r="BF19" i="242"/>
  <c r="BD19" i="242"/>
  <c r="BC19" i="242"/>
  <c r="BB19" i="242"/>
  <c r="BA19" i="242"/>
  <c r="AY19" i="242"/>
  <c r="AX19" i="242"/>
  <c r="AW19" i="242"/>
  <c r="AZ19" i="242"/>
  <c r="AV19" i="242"/>
  <c r="AT19" i="242"/>
  <c r="AS19" i="242"/>
  <c r="AR19" i="242"/>
  <c r="AQ19" i="242"/>
  <c r="AO19" i="242"/>
  <c r="AN19" i="242"/>
  <c r="AM19" i="242"/>
  <c r="AL19" i="242"/>
  <c r="BJ18" i="242"/>
  <c r="BE18" i="242"/>
  <c r="AZ18" i="242"/>
  <c r="AU18" i="242"/>
  <c r="AP18" i="242"/>
  <c r="BJ17" i="242"/>
  <c r="BE17" i="242"/>
  <c r="AZ17" i="242"/>
  <c r="AU17" i="242"/>
  <c r="AP17" i="242"/>
  <c r="BJ16" i="242"/>
  <c r="BE16" i="242"/>
  <c r="AZ16" i="242"/>
  <c r="AU16" i="242"/>
  <c r="AP16" i="242"/>
  <c r="BI14" i="242"/>
  <c r="BH14" i="242"/>
  <c r="BG14" i="242"/>
  <c r="BF14" i="242"/>
  <c r="BD14" i="242"/>
  <c r="BC14" i="242"/>
  <c r="BB14" i="242"/>
  <c r="BA14" i="242"/>
  <c r="AY14" i="242"/>
  <c r="AX14" i="242"/>
  <c r="AW14" i="242"/>
  <c r="AV14" i="242"/>
  <c r="AT14" i="242"/>
  <c r="AS14" i="242"/>
  <c r="AQ14" i="242"/>
  <c r="AO14" i="242"/>
  <c r="AN14" i="242"/>
  <c r="AL14" i="242"/>
  <c r="BJ13" i="242"/>
  <c r="BE13" i="242"/>
  <c r="AZ13" i="242"/>
  <c r="AU13" i="242"/>
  <c r="AP13" i="242"/>
  <c r="BJ12" i="242"/>
  <c r="BE12" i="242"/>
  <c r="AZ12" i="242"/>
  <c r="AU12" i="242"/>
  <c r="AP12" i="242"/>
  <c r="BJ11" i="242"/>
  <c r="BE11" i="242"/>
  <c r="AZ11" i="242"/>
  <c r="AU11" i="242"/>
  <c r="AP11" i="242"/>
  <c r="BI9" i="242"/>
  <c r="BI31" i="242"/>
  <c r="BH9" i="242"/>
  <c r="BG9" i="242"/>
  <c r="BF9" i="242"/>
  <c r="BF31" i="242"/>
  <c r="BD9" i="242"/>
  <c r="BC9" i="242"/>
  <c r="BC31" i="242"/>
  <c r="BB9" i="242"/>
  <c r="BB31" i="242"/>
  <c r="BA9" i="242"/>
  <c r="AY9" i="242"/>
  <c r="AX9" i="242"/>
  <c r="AW9" i="242"/>
  <c r="AW31" i="242"/>
  <c r="AV9" i="242"/>
  <c r="AT9" i="242"/>
  <c r="AT31" i="242"/>
  <c r="AS9" i="242"/>
  <c r="AS31" i="242"/>
  <c r="AR9" i="242"/>
  <c r="AQ9" i="242"/>
  <c r="AO9" i="242"/>
  <c r="AN9" i="242"/>
  <c r="AM9" i="242"/>
  <c r="AM31" i="242"/>
  <c r="AL9" i="242"/>
  <c r="BJ8" i="242"/>
  <c r="BE8" i="242"/>
  <c r="AZ8" i="242"/>
  <c r="AU8" i="242"/>
  <c r="AP8" i="242"/>
  <c r="BJ7" i="242"/>
  <c r="BE7" i="242"/>
  <c r="AZ7" i="242"/>
  <c r="AU7" i="242"/>
  <c r="AP7" i="242"/>
  <c r="BJ6" i="242"/>
  <c r="BJ9" i="242"/>
  <c r="BE6" i="242"/>
  <c r="AZ6" i="242"/>
  <c r="AU6" i="242"/>
  <c r="AP6" i="242"/>
  <c r="O122" i="302"/>
  <c r="L122" i="302"/>
  <c r="AA121" i="302"/>
  <c r="Z121" i="302"/>
  <c r="Y121" i="302"/>
  <c r="X121" i="302"/>
  <c r="W121" i="302"/>
  <c r="V121" i="302"/>
  <c r="U121" i="302"/>
  <c r="T121" i="302"/>
  <c r="S121" i="302"/>
  <c r="S122" i="302"/>
  <c r="R121" i="302"/>
  <c r="Q121" i="302"/>
  <c r="P121" i="302"/>
  <c r="O121" i="302"/>
  <c r="N121" i="302"/>
  <c r="M121" i="302"/>
  <c r="L121" i="302"/>
  <c r="K121" i="302"/>
  <c r="K122" i="302"/>
  <c r="J121" i="302"/>
  <c r="I121" i="302"/>
  <c r="H121" i="302"/>
  <c r="AA120" i="302"/>
  <c r="AA119" i="302"/>
  <c r="AA118" i="302"/>
  <c r="Z117" i="302"/>
  <c r="Y117" i="302"/>
  <c r="AA116" i="302"/>
  <c r="AA115" i="302"/>
  <c r="AA114" i="302"/>
  <c r="AA117" i="302"/>
  <c r="Z113" i="302"/>
  <c r="Y113" i="302"/>
  <c r="X113" i="302"/>
  <c r="W113" i="302"/>
  <c r="V113" i="302"/>
  <c r="U113" i="302"/>
  <c r="T113" i="302"/>
  <c r="S113" i="302"/>
  <c r="R113" i="302"/>
  <c r="Q113" i="302"/>
  <c r="P113" i="302"/>
  <c r="O113" i="302"/>
  <c r="N113" i="302"/>
  <c r="M113" i="302"/>
  <c r="L113" i="302"/>
  <c r="K113" i="302"/>
  <c r="J113" i="302"/>
  <c r="I113" i="302"/>
  <c r="H113" i="302"/>
  <c r="AA112" i="302"/>
  <c r="AA111" i="302"/>
  <c r="AA110" i="302"/>
  <c r="Z109" i="302"/>
  <c r="Y109" i="302"/>
  <c r="X109" i="302"/>
  <c r="W109" i="302"/>
  <c r="AA108" i="302"/>
  <c r="AA107" i="302"/>
  <c r="AA106" i="302"/>
  <c r="AA109" i="302"/>
  <c r="Z105" i="302"/>
  <c r="Y105" i="302"/>
  <c r="Y122" i="302"/>
  <c r="X105" i="302"/>
  <c r="W105" i="302"/>
  <c r="W122" i="302"/>
  <c r="V105" i="302"/>
  <c r="U105" i="302"/>
  <c r="U122" i="302"/>
  <c r="T105" i="302"/>
  <c r="T122" i="302"/>
  <c r="S105" i="302"/>
  <c r="R105" i="302"/>
  <c r="R122" i="302"/>
  <c r="Q105" i="302"/>
  <c r="Q122" i="302"/>
  <c r="P105" i="302"/>
  <c r="O105" i="302"/>
  <c r="N105" i="302"/>
  <c r="M105" i="302"/>
  <c r="M122" i="302"/>
  <c r="L105" i="302"/>
  <c r="K105" i="302"/>
  <c r="J105" i="302"/>
  <c r="J122" i="302"/>
  <c r="I105" i="302"/>
  <c r="I122" i="302"/>
  <c r="H105" i="302"/>
  <c r="AA104" i="302"/>
  <c r="AA103" i="302"/>
  <c r="AA102" i="302"/>
  <c r="AA105" i="302"/>
  <c r="R98" i="302"/>
  <c r="K98" i="302"/>
  <c r="Z97" i="302"/>
  <c r="Y97" i="302"/>
  <c r="X97" i="302"/>
  <c r="W97" i="302"/>
  <c r="V97" i="302"/>
  <c r="U97" i="302"/>
  <c r="T97" i="302"/>
  <c r="S97" i="302"/>
  <c r="R97" i="302"/>
  <c r="Q97" i="302"/>
  <c r="P97" i="302"/>
  <c r="O97" i="302"/>
  <c r="N97" i="302"/>
  <c r="N98" i="302"/>
  <c r="M97" i="302"/>
  <c r="L97" i="302"/>
  <c r="K97" i="302"/>
  <c r="J97" i="302"/>
  <c r="I97" i="302"/>
  <c r="H97" i="302"/>
  <c r="AA96" i="302"/>
  <c r="AA95" i="302"/>
  <c r="AA94" i="302"/>
  <c r="Z93" i="302"/>
  <c r="Y93" i="302"/>
  <c r="X93" i="302"/>
  <c r="AA92" i="302"/>
  <c r="AA91" i="302"/>
  <c r="AA90" i="302"/>
  <c r="AA93" i="302"/>
  <c r="Z89" i="302"/>
  <c r="Y89" i="302"/>
  <c r="X89" i="302"/>
  <c r="W89" i="302"/>
  <c r="V89" i="302"/>
  <c r="U89" i="302"/>
  <c r="T89" i="302"/>
  <c r="S89" i="302"/>
  <c r="R89" i="302"/>
  <c r="Q89" i="302"/>
  <c r="P89" i="302"/>
  <c r="O89" i="302"/>
  <c r="N89" i="302"/>
  <c r="M89" i="302"/>
  <c r="L89" i="302"/>
  <c r="K89" i="302"/>
  <c r="J89" i="302"/>
  <c r="I89" i="302"/>
  <c r="H89" i="302"/>
  <c r="AA88" i="302"/>
  <c r="AA87" i="302"/>
  <c r="AA86" i="302"/>
  <c r="AA89" i="302"/>
  <c r="Z85" i="302"/>
  <c r="Y85" i="302"/>
  <c r="X85" i="302"/>
  <c r="W85" i="302"/>
  <c r="V85" i="302"/>
  <c r="U85" i="302"/>
  <c r="T85" i="302"/>
  <c r="S85" i="302"/>
  <c r="S98" i="302"/>
  <c r="R85" i="302"/>
  <c r="AA84" i="302"/>
  <c r="AA83" i="302"/>
  <c r="AA82" i="302"/>
  <c r="AA85" i="302"/>
  <c r="Z81" i="302"/>
  <c r="Z98" i="302"/>
  <c r="Y81" i="302"/>
  <c r="Y98" i="302"/>
  <c r="X81" i="302"/>
  <c r="X98" i="302"/>
  <c r="W81" i="302"/>
  <c r="V81" i="302"/>
  <c r="U81" i="302"/>
  <c r="U98" i="302"/>
  <c r="T81" i="302"/>
  <c r="T98" i="302"/>
  <c r="S81" i="302"/>
  <c r="R81" i="302"/>
  <c r="Q81" i="302"/>
  <c r="Q98" i="302"/>
  <c r="P81" i="302"/>
  <c r="P98" i="302"/>
  <c r="O81" i="302"/>
  <c r="N81" i="302"/>
  <c r="M81" i="302"/>
  <c r="M98" i="302"/>
  <c r="L81" i="302"/>
  <c r="L98" i="302"/>
  <c r="K81" i="302"/>
  <c r="J81" i="302"/>
  <c r="J98" i="302"/>
  <c r="I81" i="302"/>
  <c r="I98" i="302"/>
  <c r="H81" i="302"/>
  <c r="H98" i="302"/>
  <c r="AA80" i="302"/>
  <c r="AA79" i="302"/>
  <c r="AA78" i="302"/>
  <c r="AA81" i="302"/>
  <c r="AA74" i="302"/>
  <c r="S74" i="302"/>
  <c r="K74" i="302"/>
  <c r="I74" i="302"/>
  <c r="Z73" i="302"/>
  <c r="Y73" i="302"/>
  <c r="X73" i="302"/>
  <c r="W73" i="302"/>
  <c r="V73" i="302"/>
  <c r="U73" i="302"/>
  <c r="T73" i="302"/>
  <c r="S73" i="302"/>
  <c r="R73" i="302"/>
  <c r="Q73" i="302"/>
  <c r="P73" i="302"/>
  <c r="O73" i="302"/>
  <c r="N73" i="302"/>
  <c r="M73" i="302"/>
  <c r="L73" i="302"/>
  <c r="K73" i="302"/>
  <c r="J73" i="302"/>
  <c r="I73" i="302"/>
  <c r="H73" i="302"/>
  <c r="G73" i="302"/>
  <c r="F73" i="302"/>
  <c r="E73" i="302"/>
  <c r="AA72" i="302"/>
  <c r="AA71" i="302"/>
  <c r="AA70" i="302"/>
  <c r="AA73" i="302"/>
  <c r="Z69" i="302"/>
  <c r="Y69" i="302"/>
  <c r="X69" i="302"/>
  <c r="AA68" i="302"/>
  <c r="AA67" i="302"/>
  <c r="AA66" i="302"/>
  <c r="AA69" i="302"/>
  <c r="Z65" i="302"/>
  <c r="Y65" i="302"/>
  <c r="X65" i="302"/>
  <c r="W65" i="302"/>
  <c r="V65" i="302"/>
  <c r="U65" i="302"/>
  <c r="T65" i="302"/>
  <c r="S65" i="302"/>
  <c r="R65" i="302"/>
  <c r="Q65" i="302"/>
  <c r="Q74" i="302"/>
  <c r="P65" i="302"/>
  <c r="O65" i="302"/>
  <c r="N65" i="302"/>
  <c r="M65" i="302"/>
  <c r="L65" i="302"/>
  <c r="K65" i="302"/>
  <c r="J65" i="302"/>
  <c r="I65" i="302"/>
  <c r="H65" i="302"/>
  <c r="G65" i="302"/>
  <c r="F65" i="302"/>
  <c r="E65" i="302"/>
  <c r="AA64" i="302"/>
  <c r="AA63" i="302"/>
  <c r="AA65" i="302"/>
  <c r="AA62" i="302"/>
  <c r="Z61" i="302"/>
  <c r="Y61" i="302"/>
  <c r="Y74" i="302"/>
  <c r="X61" i="302"/>
  <c r="W61" i="302"/>
  <c r="V61" i="302"/>
  <c r="U61" i="302"/>
  <c r="T61" i="302"/>
  <c r="S61" i="302"/>
  <c r="R61" i="302"/>
  <c r="AA60" i="302"/>
  <c r="AA61" i="302"/>
  <c r="AA59" i="302"/>
  <c r="AA58" i="302"/>
  <c r="Z57" i="302"/>
  <c r="Y57" i="302"/>
  <c r="X57" i="302"/>
  <c r="W57" i="302"/>
  <c r="V57" i="302"/>
  <c r="V74" i="302"/>
  <c r="U57" i="302"/>
  <c r="U74" i="302"/>
  <c r="T57" i="302"/>
  <c r="T74" i="302"/>
  <c r="S57" i="302"/>
  <c r="R57" i="302"/>
  <c r="Q57" i="302"/>
  <c r="P57" i="302"/>
  <c r="O57" i="302"/>
  <c r="N57" i="302"/>
  <c r="N74" i="302"/>
  <c r="M57" i="302"/>
  <c r="M74" i="302"/>
  <c r="L57" i="302"/>
  <c r="L74" i="302"/>
  <c r="K57" i="302"/>
  <c r="J57" i="302"/>
  <c r="I57" i="302"/>
  <c r="H57" i="302"/>
  <c r="G57" i="302"/>
  <c r="F57" i="302"/>
  <c r="F74" i="302"/>
  <c r="E57" i="302"/>
  <c r="E74" i="302"/>
  <c r="AA56" i="302"/>
  <c r="AA55" i="302"/>
  <c r="AA54" i="302"/>
  <c r="AA57" i="302"/>
  <c r="R50" i="302"/>
  <c r="Q50" i="302"/>
  <c r="I50" i="302"/>
  <c r="AA49" i="302"/>
  <c r="Z49" i="302"/>
  <c r="Z50" i="302"/>
  <c r="Y49" i="302"/>
  <c r="X49" i="302"/>
  <c r="W49" i="302"/>
  <c r="V49" i="302"/>
  <c r="U49" i="302"/>
  <c r="T49" i="302"/>
  <c r="S49" i="302"/>
  <c r="R49" i="302"/>
  <c r="Q49" i="302"/>
  <c r="P49" i="302"/>
  <c r="O49" i="302"/>
  <c r="N49" i="302"/>
  <c r="M49" i="302"/>
  <c r="L49" i="302"/>
  <c r="K49" i="302"/>
  <c r="J49" i="302"/>
  <c r="J50" i="302"/>
  <c r="I49" i="302"/>
  <c r="H49" i="302"/>
  <c r="G49" i="302"/>
  <c r="F49" i="302"/>
  <c r="E49" i="302"/>
  <c r="D49" i="302"/>
  <c r="C49" i="302"/>
  <c r="AA48" i="302"/>
  <c r="AA47" i="302"/>
  <c r="AA46" i="302"/>
  <c r="Z45" i="302"/>
  <c r="Y45" i="302"/>
  <c r="AA44" i="302"/>
  <c r="AA43" i="302"/>
  <c r="AA42" i="302"/>
  <c r="AA45" i="302"/>
  <c r="AA41" i="302"/>
  <c r="Z41" i="302"/>
  <c r="Y41" i="302"/>
  <c r="X41" i="302"/>
  <c r="W41" i="302"/>
  <c r="V41" i="302"/>
  <c r="U41" i="302"/>
  <c r="T41" i="302"/>
  <c r="S41" i="302"/>
  <c r="R41" i="302"/>
  <c r="Q41" i="302"/>
  <c r="P41" i="302"/>
  <c r="O41" i="302"/>
  <c r="N41" i="302"/>
  <c r="M41" i="302"/>
  <c r="L41" i="302"/>
  <c r="K41" i="302"/>
  <c r="J41" i="302"/>
  <c r="I41" i="302"/>
  <c r="H41" i="302"/>
  <c r="G41" i="302"/>
  <c r="F41" i="302"/>
  <c r="E41" i="302"/>
  <c r="D41" i="302"/>
  <c r="C41" i="302"/>
  <c r="AA40" i="302"/>
  <c r="AA39" i="302"/>
  <c r="AA38" i="302"/>
  <c r="Z37" i="302"/>
  <c r="Y37" i="302"/>
  <c r="Y50" i="302"/>
  <c r="X37" i="302"/>
  <c r="W37" i="302"/>
  <c r="V37" i="302"/>
  <c r="U37" i="302"/>
  <c r="T37" i="302"/>
  <c r="S37" i="302"/>
  <c r="R37" i="302"/>
  <c r="AA36" i="302"/>
  <c r="AA35" i="302"/>
  <c r="AA37" i="302"/>
  <c r="AA34" i="302"/>
  <c r="Z33" i="302"/>
  <c r="Y33" i="302"/>
  <c r="X33" i="302"/>
  <c r="X50" i="302"/>
  <c r="W33" i="302"/>
  <c r="W50" i="302"/>
  <c r="V33" i="302"/>
  <c r="V50" i="302"/>
  <c r="U33" i="302"/>
  <c r="U50" i="302"/>
  <c r="T33" i="302"/>
  <c r="S33" i="302"/>
  <c r="R33" i="302"/>
  <c r="Q33" i="302"/>
  <c r="P33" i="302"/>
  <c r="P50" i="302"/>
  <c r="O33" i="302"/>
  <c r="O50" i="302"/>
  <c r="N33" i="302"/>
  <c r="N50" i="302"/>
  <c r="M33" i="302"/>
  <c r="M50" i="302"/>
  <c r="L33" i="302"/>
  <c r="K33" i="302"/>
  <c r="J33" i="302"/>
  <c r="I33" i="302"/>
  <c r="H33" i="302"/>
  <c r="H50" i="302"/>
  <c r="G33" i="302"/>
  <c r="G50" i="302"/>
  <c r="F33" i="302"/>
  <c r="F50" i="302"/>
  <c r="E33" i="302"/>
  <c r="E50" i="302"/>
  <c r="D33" i="302"/>
  <c r="C33" i="302"/>
  <c r="AA32" i="302"/>
  <c r="AA31" i="302"/>
  <c r="AA30" i="302"/>
  <c r="AA33" i="302"/>
  <c r="Z26" i="302"/>
  <c r="T26" i="302"/>
  <c r="R26" i="302"/>
  <c r="J26" i="302"/>
  <c r="AA25" i="302"/>
  <c r="Z25" i="302"/>
  <c r="Y25" i="302"/>
  <c r="X25" i="302"/>
  <c r="W25" i="302"/>
  <c r="V25" i="302"/>
  <c r="U25" i="302"/>
  <c r="T25" i="302"/>
  <c r="S25" i="302"/>
  <c r="R25" i="302"/>
  <c r="Q25" i="302"/>
  <c r="P25" i="302"/>
  <c r="O25" i="302"/>
  <c r="N25" i="302"/>
  <c r="M25" i="302"/>
  <c r="L25" i="302"/>
  <c r="K25" i="302"/>
  <c r="J25" i="302"/>
  <c r="I25" i="302"/>
  <c r="H25" i="302"/>
  <c r="G25" i="302"/>
  <c r="F25" i="302"/>
  <c r="E25" i="302"/>
  <c r="D25" i="302"/>
  <c r="C25" i="302"/>
  <c r="AA24" i="302"/>
  <c r="AA23" i="302"/>
  <c r="AA22" i="302"/>
  <c r="Z21" i="302"/>
  <c r="AA20" i="302"/>
  <c r="AA19" i="302"/>
  <c r="AA18" i="302"/>
  <c r="AA21" i="302"/>
  <c r="AA17" i="302"/>
  <c r="Z17" i="302"/>
  <c r="Y17" i="302"/>
  <c r="X17" i="302"/>
  <c r="W17" i="302"/>
  <c r="V17" i="302"/>
  <c r="U17" i="302"/>
  <c r="T17" i="302"/>
  <c r="S17" i="302"/>
  <c r="R17" i="302"/>
  <c r="Q17" i="302"/>
  <c r="P17" i="302"/>
  <c r="O17" i="302"/>
  <c r="N17" i="302"/>
  <c r="M17" i="302"/>
  <c r="L17" i="302"/>
  <c r="K17" i="302"/>
  <c r="J17" i="302"/>
  <c r="I17" i="302"/>
  <c r="H17" i="302"/>
  <c r="G17" i="302"/>
  <c r="F17" i="302"/>
  <c r="E17" i="302"/>
  <c r="D17" i="302"/>
  <c r="C17" i="302"/>
  <c r="AA16" i="302"/>
  <c r="AA15" i="302"/>
  <c r="AA14" i="302"/>
  <c r="Z13" i="302"/>
  <c r="Y13" i="302"/>
  <c r="X13" i="302"/>
  <c r="W13" i="302"/>
  <c r="V13" i="302"/>
  <c r="U13" i="302"/>
  <c r="T13" i="302"/>
  <c r="S13" i="302"/>
  <c r="R13" i="302"/>
  <c r="AA12" i="302"/>
  <c r="AA11" i="302"/>
  <c r="AA10" i="302"/>
  <c r="AA13" i="302"/>
  <c r="Z9" i="302"/>
  <c r="Y9" i="302"/>
  <c r="Y26" i="302"/>
  <c r="X9" i="302"/>
  <c r="X26" i="302"/>
  <c r="W9" i="302"/>
  <c r="V9" i="302"/>
  <c r="V26" i="302"/>
  <c r="U9" i="302"/>
  <c r="U26" i="302"/>
  <c r="T9" i="302"/>
  <c r="S9" i="302"/>
  <c r="R9" i="302"/>
  <c r="Q9" i="302"/>
  <c r="Q26" i="302"/>
  <c r="P9" i="302"/>
  <c r="P26" i="302"/>
  <c r="O9" i="302"/>
  <c r="N9" i="302"/>
  <c r="N26" i="302"/>
  <c r="M9" i="302"/>
  <c r="M26" i="302"/>
  <c r="L9" i="302"/>
  <c r="L26" i="302"/>
  <c r="K9" i="302"/>
  <c r="J9" i="302"/>
  <c r="I9" i="302"/>
  <c r="I26" i="302"/>
  <c r="H9" i="302"/>
  <c r="H26" i="302"/>
  <c r="G9" i="302"/>
  <c r="F9" i="302"/>
  <c r="F26" i="302"/>
  <c r="E9" i="302"/>
  <c r="E26" i="302"/>
  <c r="D9" i="302"/>
  <c r="D26" i="302"/>
  <c r="C9" i="302"/>
  <c r="AA8" i="302"/>
  <c r="AA7" i="302"/>
  <c r="AA6" i="302"/>
  <c r="AA9" i="302"/>
  <c r="AA26" i="302"/>
  <c r="N14" i="292"/>
  <c r="N28" i="292"/>
  <c r="M14" i="292"/>
  <c r="M25" i="292"/>
  <c r="L14" i="292"/>
  <c r="L25" i="292"/>
  <c r="K14" i="292"/>
  <c r="K25" i="292"/>
  <c r="J14" i="292"/>
  <c r="J27" i="292"/>
  <c r="I14" i="292"/>
  <c r="I27" i="292"/>
  <c r="H14" i="292"/>
  <c r="H27" i="292"/>
  <c r="G14" i="292"/>
  <c r="G26" i="292"/>
  <c r="F12" i="292"/>
  <c r="E12" i="292"/>
  <c r="D12" i="292"/>
  <c r="C12" i="292"/>
  <c r="F11" i="292"/>
  <c r="E11" i="292"/>
  <c r="D11" i="292"/>
  <c r="C11" i="292"/>
  <c r="F10" i="292"/>
  <c r="E10" i="292"/>
  <c r="D10" i="292"/>
  <c r="C10" i="292"/>
  <c r="F9" i="292"/>
  <c r="E9" i="292"/>
  <c r="D9" i="292"/>
  <c r="C9" i="292"/>
  <c r="F8" i="292"/>
  <c r="E8" i="292"/>
  <c r="D8" i="292"/>
  <c r="C8" i="292"/>
  <c r="F7" i="292"/>
  <c r="E7" i="292"/>
  <c r="D7" i="292"/>
  <c r="C7" i="292"/>
  <c r="F6" i="292"/>
  <c r="E6" i="292"/>
  <c r="E14" i="292"/>
  <c r="D6" i="292"/>
  <c r="C6" i="292"/>
  <c r="C14" i="292"/>
  <c r="C25" i="292"/>
  <c r="N29" i="291"/>
  <c r="H29" i="291"/>
  <c r="G29" i="291"/>
  <c r="F29" i="291"/>
  <c r="E29" i="291"/>
  <c r="C29" i="291"/>
  <c r="N28" i="291"/>
  <c r="M28" i="291"/>
  <c r="L28" i="291"/>
  <c r="K28" i="291"/>
  <c r="J28" i="291"/>
  <c r="I28" i="291"/>
  <c r="N27" i="291"/>
  <c r="M27" i="291"/>
  <c r="L27" i="291"/>
  <c r="K27" i="291"/>
  <c r="J27" i="291"/>
  <c r="I27" i="291"/>
  <c r="N26" i="291"/>
  <c r="M26" i="291"/>
  <c r="L26" i="291"/>
  <c r="K26" i="291"/>
  <c r="J26" i="291"/>
  <c r="I26" i="291"/>
  <c r="N25" i="291"/>
  <c r="M25" i="291"/>
  <c r="L25" i="291"/>
  <c r="L30" i="291"/>
  <c r="K25" i="291"/>
  <c r="J25" i="291"/>
  <c r="I25" i="291"/>
  <c r="N24" i="291"/>
  <c r="H24" i="291"/>
  <c r="G24" i="291"/>
  <c r="F24" i="291"/>
  <c r="E24" i="291"/>
  <c r="D24" i="291"/>
  <c r="N16" i="291"/>
  <c r="M16" i="291"/>
  <c r="L16" i="291"/>
  <c r="K16" i="291"/>
  <c r="J16" i="291"/>
  <c r="I16" i="291"/>
  <c r="H14" i="291"/>
  <c r="G14" i="291"/>
  <c r="F14" i="291"/>
  <c r="E14" i="291"/>
  <c r="C14" i="291"/>
  <c r="H13" i="291"/>
  <c r="G13" i="291"/>
  <c r="F13" i="291"/>
  <c r="F28" i="291"/>
  <c r="E13" i="291"/>
  <c r="D13" i="291"/>
  <c r="C13" i="291"/>
  <c r="H12" i="291"/>
  <c r="H28" i="291"/>
  <c r="G12" i="291"/>
  <c r="G28" i="291"/>
  <c r="E12" i="291"/>
  <c r="D12" i="291"/>
  <c r="C12" i="291"/>
  <c r="C28" i="291"/>
  <c r="H11" i="291"/>
  <c r="G11" i="291"/>
  <c r="F11" i="291"/>
  <c r="E11" i="291"/>
  <c r="D11" i="291"/>
  <c r="C11" i="291"/>
  <c r="H10" i="291"/>
  <c r="G10" i="291"/>
  <c r="G27" i="291"/>
  <c r="F10" i="291"/>
  <c r="F27" i="291"/>
  <c r="E10" i="291"/>
  <c r="D10" i="291"/>
  <c r="C10" i="291"/>
  <c r="C27" i="291"/>
  <c r="H9" i="291"/>
  <c r="G9" i="291"/>
  <c r="F9" i="291"/>
  <c r="E9" i="291"/>
  <c r="E26" i="291"/>
  <c r="D9" i="291"/>
  <c r="C9" i="291"/>
  <c r="H8" i="291"/>
  <c r="G8" i="291"/>
  <c r="G26" i="291"/>
  <c r="F8" i="291"/>
  <c r="E8" i="291"/>
  <c r="D8" i="291"/>
  <c r="C8" i="291"/>
  <c r="C26" i="291"/>
  <c r="H7" i="291"/>
  <c r="G7" i="291"/>
  <c r="F7" i="291"/>
  <c r="E7" i="291"/>
  <c r="D7" i="291"/>
  <c r="C7" i="291"/>
  <c r="C25" i="291"/>
  <c r="H6" i="291"/>
  <c r="G6" i="291"/>
  <c r="F6" i="291"/>
  <c r="F25" i="291"/>
  <c r="E6" i="291"/>
  <c r="D6" i="291"/>
  <c r="H5" i="291"/>
  <c r="H16" i="291"/>
  <c r="G5" i="291"/>
  <c r="F5" i="291"/>
  <c r="E5" i="291"/>
  <c r="D5" i="291"/>
  <c r="D16" i="291"/>
  <c r="AE132" i="295"/>
  <c r="AF132" i="295"/>
  <c r="AD132" i="295"/>
  <c r="AB132" i="295"/>
  <c r="AA132" i="295"/>
  <c r="Y132" i="295"/>
  <c r="X132" i="295"/>
  <c r="V132" i="295"/>
  <c r="U132" i="295"/>
  <c r="S132" i="295"/>
  <c r="R132" i="295"/>
  <c r="P132" i="295"/>
  <c r="O132" i="295"/>
  <c r="M132" i="295"/>
  <c r="L132" i="295"/>
  <c r="J132" i="295"/>
  <c r="I132" i="295"/>
  <c r="G132" i="295"/>
  <c r="F132" i="295"/>
  <c r="D132" i="295"/>
  <c r="C132" i="295"/>
  <c r="AE131" i="295"/>
  <c r="AD131" i="295"/>
  <c r="AB131" i="295"/>
  <c r="AA131" i="295"/>
  <c r="Y131" i="295"/>
  <c r="X131" i="295"/>
  <c r="V131" i="295"/>
  <c r="U131" i="295"/>
  <c r="S131" i="295"/>
  <c r="R131" i="295"/>
  <c r="P131" i="295"/>
  <c r="O131" i="295"/>
  <c r="M131" i="295"/>
  <c r="L131" i="295"/>
  <c r="J131" i="295"/>
  <c r="I131" i="295"/>
  <c r="G131" i="295"/>
  <c r="F131" i="295"/>
  <c r="D131" i="295"/>
  <c r="C131" i="295"/>
  <c r="AE130" i="295"/>
  <c r="AD130" i="295"/>
  <c r="AD133" i="295"/>
  <c r="AB130" i="295"/>
  <c r="AB133" i="295"/>
  <c r="AA130" i="295"/>
  <c r="AA133" i="295"/>
  <c r="AC133" i="295"/>
  <c r="Y130" i="295"/>
  <c r="X130" i="295"/>
  <c r="X133" i="295"/>
  <c r="V130" i="295"/>
  <c r="V133" i="295"/>
  <c r="U130" i="295"/>
  <c r="U133" i="295"/>
  <c r="S130" i="295"/>
  <c r="S133" i="295"/>
  <c r="R130" i="295"/>
  <c r="R133" i="295"/>
  <c r="P130" i="295"/>
  <c r="O130" i="295"/>
  <c r="M130" i="295"/>
  <c r="L130" i="295"/>
  <c r="J130" i="295"/>
  <c r="I130" i="295"/>
  <c r="G130" i="295"/>
  <c r="F130" i="295"/>
  <c r="D130" i="295"/>
  <c r="C130" i="295"/>
  <c r="AE127" i="295"/>
  <c r="AD127" i="295"/>
  <c r="AB127" i="295"/>
  <c r="AA127" i="295"/>
  <c r="Y127" i="295"/>
  <c r="X127" i="295"/>
  <c r="V127" i="295"/>
  <c r="U127" i="295"/>
  <c r="S127" i="295"/>
  <c r="R127" i="295"/>
  <c r="Q127" i="295"/>
  <c r="P127" i="295"/>
  <c r="O127" i="295"/>
  <c r="AE126" i="295"/>
  <c r="AD126" i="295"/>
  <c r="AB126" i="295"/>
  <c r="AA126" i="295"/>
  <c r="Y126" i="295"/>
  <c r="X126" i="295"/>
  <c r="V126" i="295"/>
  <c r="U126" i="295"/>
  <c r="S126" i="295"/>
  <c r="R126" i="295"/>
  <c r="Q126" i="295"/>
  <c r="P126" i="295"/>
  <c r="O126" i="295"/>
  <c r="AE125" i="295"/>
  <c r="AD125" i="295"/>
  <c r="AD128" i="295"/>
  <c r="AB125" i="295"/>
  <c r="AA125" i="295"/>
  <c r="Y125" i="295"/>
  <c r="X125" i="295"/>
  <c r="V125" i="295"/>
  <c r="U125" i="295"/>
  <c r="U128" i="295"/>
  <c r="S125" i="295"/>
  <c r="S128" i="295"/>
  <c r="R125" i="295"/>
  <c r="R128" i="295"/>
  <c r="Q125" i="295"/>
  <c r="Q128" i="295"/>
  <c r="P125" i="295"/>
  <c r="O125" i="295"/>
  <c r="AE122" i="295"/>
  <c r="AE137" i="295"/>
  <c r="AD122" i="295"/>
  <c r="AD137" i="295"/>
  <c r="AB122" i="295"/>
  <c r="AB137" i="295"/>
  <c r="AA122" i="295"/>
  <c r="Y122" i="295"/>
  <c r="Y137" i="295"/>
  <c r="X122" i="295"/>
  <c r="X137" i="295"/>
  <c r="V122" i="295"/>
  <c r="U122" i="295"/>
  <c r="U137" i="295"/>
  <c r="S122" i="295"/>
  <c r="S137" i="295"/>
  <c r="R122" i="295"/>
  <c r="R137" i="295"/>
  <c r="P122" i="295"/>
  <c r="P137" i="295"/>
  <c r="O122" i="295"/>
  <c r="M122" i="295"/>
  <c r="L122" i="295"/>
  <c r="L137" i="295"/>
  <c r="J122" i="295"/>
  <c r="J137" i="295"/>
  <c r="I122" i="295"/>
  <c r="I137" i="295"/>
  <c r="G122" i="295"/>
  <c r="G137" i="295"/>
  <c r="F122" i="295"/>
  <c r="F137" i="295"/>
  <c r="D122" i="295"/>
  <c r="D137" i="295"/>
  <c r="C122" i="295"/>
  <c r="C137" i="295"/>
  <c r="AE121" i="295"/>
  <c r="AD121" i="295"/>
  <c r="AF121" i="295"/>
  <c r="AB121" i="295"/>
  <c r="AA121" i="295"/>
  <c r="Y121" i="295"/>
  <c r="X121" i="295"/>
  <c r="V121" i="295"/>
  <c r="U121" i="295"/>
  <c r="S121" i="295"/>
  <c r="R121" i="295"/>
  <c r="P121" i="295"/>
  <c r="O121" i="295"/>
  <c r="M121" i="295"/>
  <c r="L121" i="295"/>
  <c r="J121" i="295"/>
  <c r="I121" i="295"/>
  <c r="G121" i="295"/>
  <c r="F121" i="295"/>
  <c r="D121" i="295"/>
  <c r="C121" i="295"/>
  <c r="AE120" i="295"/>
  <c r="AE123" i="295"/>
  <c r="AD120" i="295"/>
  <c r="AB120" i="295"/>
  <c r="AB123" i="295"/>
  <c r="AA120" i="295"/>
  <c r="Y120" i="295"/>
  <c r="Y123" i="295"/>
  <c r="X120" i="295"/>
  <c r="X123" i="295"/>
  <c r="V120" i="295"/>
  <c r="V123" i="295"/>
  <c r="U120" i="295"/>
  <c r="U123" i="295"/>
  <c r="S120" i="295"/>
  <c r="S123" i="295"/>
  <c r="R120" i="295"/>
  <c r="P120" i="295"/>
  <c r="P123" i="295"/>
  <c r="O120" i="295"/>
  <c r="O123" i="295"/>
  <c r="M120" i="295"/>
  <c r="M123" i="295"/>
  <c r="L120" i="295"/>
  <c r="L123" i="295"/>
  <c r="J120" i="295"/>
  <c r="I120" i="295"/>
  <c r="G120" i="295"/>
  <c r="G123" i="295"/>
  <c r="F120" i="295"/>
  <c r="F123" i="295"/>
  <c r="D120" i="295"/>
  <c r="D123" i="295"/>
  <c r="C120" i="295"/>
  <c r="C123" i="295"/>
  <c r="AE117" i="295"/>
  <c r="AE140" i="295"/>
  <c r="AD117" i="295"/>
  <c r="AD140" i="295"/>
  <c r="AB117" i="295"/>
  <c r="AB140" i="295"/>
  <c r="AA117" i="295"/>
  <c r="AA140" i="295"/>
  <c r="Y117" i="295"/>
  <c r="Y140" i="295"/>
  <c r="X117" i="295"/>
  <c r="X140" i="295"/>
  <c r="V117" i="295"/>
  <c r="V140" i="295"/>
  <c r="U117" i="295"/>
  <c r="U140" i="295"/>
  <c r="S117" i="295"/>
  <c r="S140" i="295"/>
  <c r="R117" i="295"/>
  <c r="R140" i="295"/>
  <c r="P117" i="295"/>
  <c r="P140" i="295"/>
  <c r="O117" i="295"/>
  <c r="O140" i="295"/>
  <c r="M117" i="295"/>
  <c r="M140" i="295"/>
  <c r="L117" i="295"/>
  <c r="L140" i="295"/>
  <c r="J117" i="295"/>
  <c r="J140" i="295"/>
  <c r="I117" i="295"/>
  <c r="I140" i="295"/>
  <c r="H117" i="295"/>
  <c r="H140" i="295"/>
  <c r="G117" i="295"/>
  <c r="G140" i="295"/>
  <c r="F117" i="295"/>
  <c r="F140" i="295"/>
  <c r="E117" i="295"/>
  <c r="E140" i="295"/>
  <c r="D117" i="295"/>
  <c r="D140" i="295"/>
  <c r="C117" i="295"/>
  <c r="C140" i="295"/>
  <c r="AE116" i="295"/>
  <c r="AE139" i="295"/>
  <c r="AD116" i="295"/>
  <c r="AB116" i="295"/>
  <c r="AB139" i="295"/>
  <c r="AA116" i="295"/>
  <c r="AA139" i="295"/>
  <c r="AC139" i="295"/>
  <c r="Y116" i="295"/>
  <c r="Y139" i="295"/>
  <c r="X116" i="295"/>
  <c r="X139" i="295"/>
  <c r="V116" i="295"/>
  <c r="V139" i="295"/>
  <c r="U116" i="295"/>
  <c r="S116" i="295"/>
  <c r="S139" i="295"/>
  <c r="R116" i="295"/>
  <c r="R139" i="295"/>
  <c r="P116" i="295"/>
  <c r="P139" i="295"/>
  <c r="O116" i="295"/>
  <c r="O139" i="295"/>
  <c r="M116" i="295"/>
  <c r="M139" i="295"/>
  <c r="L116" i="295"/>
  <c r="L139" i="295"/>
  <c r="J116" i="295"/>
  <c r="J139" i="295"/>
  <c r="I116" i="295"/>
  <c r="I139" i="295"/>
  <c r="H116" i="295"/>
  <c r="H139" i="295"/>
  <c r="G116" i="295"/>
  <c r="G139" i="295"/>
  <c r="F116" i="295"/>
  <c r="E116" i="295"/>
  <c r="E139" i="295"/>
  <c r="D116" i="295"/>
  <c r="C116" i="295"/>
  <c r="C139" i="295"/>
  <c r="AE115" i="295"/>
  <c r="AD115" i="295"/>
  <c r="AB115" i="295"/>
  <c r="AB118" i="295"/>
  <c r="AA115" i="295"/>
  <c r="Y115" i="295"/>
  <c r="X115" i="295"/>
  <c r="V115" i="295"/>
  <c r="V118" i="295"/>
  <c r="U115" i="295"/>
  <c r="S115" i="295"/>
  <c r="R115" i="295"/>
  <c r="R118" i="295"/>
  <c r="P115" i="295"/>
  <c r="O115" i="295"/>
  <c r="M115" i="295"/>
  <c r="M118" i="295"/>
  <c r="L115" i="295"/>
  <c r="L118" i="295"/>
  <c r="J115" i="295"/>
  <c r="J118" i="295"/>
  <c r="I115" i="295"/>
  <c r="H115" i="295"/>
  <c r="G115" i="295"/>
  <c r="F115" i="295"/>
  <c r="E115" i="295"/>
  <c r="E118" i="295"/>
  <c r="D115" i="295"/>
  <c r="C115" i="295"/>
  <c r="C118" i="295"/>
  <c r="AE112" i="295"/>
  <c r="AE138" i="295"/>
  <c r="AD112" i="295"/>
  <c r="AB112" i="295"/>
  <c r="AB138" i="295"/>
  <c r="AA112" i="295"/>
  <c r="AA138" i="295"/>
  <c r="AC138" i="295"/>
  <c r="Y112" i="295"/>
  <c r="Y138" i="295"/>
  <c r="X112" i="295"/>
  <c r="X138" i="295"/>
  <c r="V112" i="295"/>
  <c r="V138" i="295"/>
  <c r="U112" i="295"/>
  <c r="U138" i="295"/>
  <c r="W138" i="295"/>
  <c r="S112" i="295"/>
  <c r="R112" i="295"/>
  <c r="R138" i="295"/>
  <c r="P112" i="295"/>
  <c r="P138" i="295"/>
  <c r="O112" i="295"/>
  <c r="O138" i="295"/>
  <c r="M112" i="295"/>
  <c r="M138" i="295"/>
  <c r="L112" i="295"/>
  <c r="L138" i="295"/>
  <c r="J112" i="295"/>
  <c r="J138" i="295"/>
  <c r="I112" i="295"/>
  <c r="I138" i="295"/>
  <c r="G112" i="295"/>
  <c r="F112" i="295"/>
  <c r="F138" i="295"/>
  <c r="D112" i="295"/>
  <c r="D138" i="295"/>
  <c r="C112" i="295"/>
  <c r="C138" i="295"/>
  <c r="AE111" i="295"/>
  <c r="AD111" i="295"/>
  <c r="AD136" i="295"/>
  <c r="AB111" i="295"/>
  <c r="AB136" i="295"/>
  <c r="AA111" i="295"/>
  <c r="AA136" i="295"/>
  <c r="Y111" i="295"/>
  <c r="Y136" i="295"/>
  <c r="X111" i="295"/>
  <c r="V111" i="295"/>
  <c r="U111" i="295"/>
  <c r="U136" i="295"/>
  <c r="S111" i="295"/>
  <c r="S136" i="295"/>
  <c r="R111" i="295"/>
  <c r="P111" i="295"/>
  <c r="O111" i="295"/>
  <c r="M111" i="295"/>
  <c r="L111" i="295"/>
  <c r="J111" i="295"/>
  <c r="I111" i="295"/>
  <c r="I136" i="295"/>
  <c r="G111" i="295"/>
  <c r="G136" i="295"/>
  <c r="F111" i="295"/>
  <c r="F136" i="295"/>
  <c r="D111" i="295"/>
  <c r="D136" i="295"/>
  <c r="C111" i="295"/>
  <c r="AE110" i="295"/>
  <c r="AE135" i="295"/>
  <c r="AD110" i="295"/>
  <c r="AB110" i="295"/>
  <c r="AB135" i="295"/>
  <c r="AA110" i="295"/>
  <c r="Y110" i="295"/>
  <c r="Y135" i="295"/>
  <c r="X110" i="295"/>
  <c r="X113" i="295"/>
  <c r="V110" i="295"/>
  <c r="U110" i="295"/>
  <c r="U135" i="295"/>
  <c r="S110" i="295"/>
  <c r="S135" i="295"/>
  <c r="R110" i="295"/>
  <c r="P110" i="295"/>
  <c r="P113" i="295"/>
  <c r="O110" i="295"/>
  <c r="M110" i="295"/>
  <c r="L110" i="295"/>
  <c r="L135" i="295"/>
  <c r="J110" i="295"/>
  <c r="I110" i="295"/>
  <c r="I135" i="295"/>
  <c r="G110" i="295"/>
  <c r="F110" i="295"/>
  <c r="F135" i="295"/>
  <c r="D110" i="295"/>
  <c r="C110" i="295"/>
  <c r="C135" i="295"/>
  <c r="AE102" i="295"/>
  <c r="AD102" i="295"/>
  <c r="AB102" i="295"/>
  <c r="AA102" i="295"/>
  <c r="Y102" i="295"/>
  <c r="X102" i="295"/>
  <c r="AE101" i="295"/>
  <c r="AD101" i="295"/>
  <c r="AB101" i="295"/>
  <c r="AA101" i="295"/>
  <c r="Y101" i="295"/>
  <c r="X101" i="295"/>
  <c r="V101" i="295"/>
  <c r="U101" i="295"/>
  <c r="AE100" i="295"/>
  <c r="AD100" i="295"/>
  <c r="AB100" i="295"/>
  <c r="AA100" i="295"/>
  <c r="Y100" i="295"/>
  <c r="X100" i="295"/>
  <c r="V100" i="295"/>
  <c r="U100" i="295"/>
  <c r="S100" i="295"/>
  <c r="R100" i="295"/>
  <c r="P100" i="295"/>
  <c r="O100" i="295"/>
  <c r="M100" i="295"/>
  <c r="L100" i="295"/>
  <c r="J100" i="295"/>
  <c r="I100" i="295"/>
  <c r="G100" i="295"/>
  <c r="F100" i="295"/>
  <c r="D100" i="295"/>
  <c r="C100" i="295"/>
  <c r="AE99" i="295"/>
  <c r="AD99" i="295"/>
  <c r="AB99" i="295"/>
  <c r="AA99" i="295"/>
  <c r="Y99" i="295"/>
  <c r="X99" i="295"/>
  <c r="V99" i="295"/>
  <c r="U99" i="295"/>
  <c r="S99" i="295"/>
  <c r="R99" i="295"/>
  <c r="P99" i="295"/>
  <c r="O99" i="295"/>
  <c r="M99" i="295"/>
  <c r="L99" i="295"/>
  <c r="J99" i="295"/>
  <c r="I99" i="295"/>
  <c r="G99" i="295"/>
  <c r="F99" i="295"/>
  <c r="D99" i="295"/>
  <c r="C99" i="295"/>
  <c r="AE98" i="295"/>
  <c r="AD98" i="295"/>
  <c r="AB98" i="295"/>
  <c r="AA98" i="295"/>
  <c r="Y98" i="295"/>
  <c r="X98" i="295"/>
  <c r="V98" i="295"/>
  <c r="U98" i="295"/>
  <c r="S98" i="295"/>
  <c r="R98" i="295"/>
  <c r="P98" i="295"/>
  <c r="O98" i="295"/>
  <c r="M98" i="295"/>
  <c r="L98" i="295"/>
  <c r="J98" i="295"/>
  <c r="I98" i="295"/>
  <c r="G98" i="295"/>
  <c r="F98" i="295"/>
  <c r="D98" i="295"/>
  <c r="C98" i="295"/>
  <c r="AE97" i="295"/>
  <c r="AE103" i="295"/>
  <c r="AD97" i="295"/>
  <c r="AD103" i="295"/>
  <c r="AB97" i="295"/>
  <c r="AA97" i="295"/>
  <c r="Y97" i="295"/>
  <c r="Y103" i="295"/>
  <c r="X97" i="295"/>
  <c r="X103" i="295"/>
  <c r="V97" i="295"/>
  <c r="V103" i="295"/>
  <c r="U97" i="295"/>
  <c r="U103" i="295"/>
  <c r="S97" i="295"/>
  <c r="R97" i="295"/>
  <c r="P97" i="295"/>
  <c r="P103" i="295"/>
  <c r="O97" i="295"/>
  <c r="O103" i="295"/>
  <c r="M97" i="295"/>
  <c r="M103" i="295"/>
  <c r="L97" i="295"/>
  <c r="J97" i="295"/>
  <c r="I97" i="295"/>
  <c r="G97" i="295"/>
  <c r="G103" i="295"/>
  <c r="F97" i="295"/>
  <c r="F103" i="295"/>
  <c r="D97" i="295"/>
  <c r="D103" i="295"/>
  <c r="C97" i="295"/>
  <c r="C103" i="295"/>
  <c r="AE95" i="295"/>
  <c r="AD95" i="295"/>
  <c r="AB95" i="295"/>
  <c r="AA95" i="295"/>
  <c r="Y95" i="295"/>
  <c r="X95" i="295"/>
  <c r="V95" i="295"/>
  <c r="U95" i="295"/>
  <c r="S95" i="295"/>
  <c r="R95" i="295"/>
  <c r="T95" i="295"/>
  <c r="P95" i="295"/>
  <c r="O95" i="295"/>
  <c r="Q95" i="295"/>
  <c r="M95" i="295"/>
  <c r="L95" i="295"/>
  <c r="J95" i="295"/>
  <c r="I95" i="295"/>
  <c r="G95" i="295"/>
  <c r="F95" i="295"/>
  <c r="D95" i="295"/>
  <c r="C95" i="295"/>
  <c r="AF94" i="295"/>
  <c r="AC94" i="295"/>
  <c r="Z94" i="295"/>
  <c r="W94" i="295"/>
  <c r="T94" i="295"/>
  <c r="Q94" i="295"/>
  <c r="N94" i="295"/>
  <c r="K94" i="295"/>
  <c r="H94" i="295"/>
  <c r="E94" i="295"/>
  <c r="AF93" i="295"/>
  <c r="AC93" i="295"/>
  <c r="Z93" i="295"/>
  <c r="W93" i="295"/>
  <c r="T93" i="295"/>
  <c r="Q93" i="295"/>
  <c r="N93" i="295"/>
  <c r="K93" i="295"/>
  <c r="H93" i="295"/>
  <c r="E93" i="295"/>
  <c r="AF92" i="295"/>
  <c r="AC92" i="295"/>
  <c r="Z92" i="295"/>
  <c r="W92" i="295"/>
  <c r="T92" i="295"/>
  <c r="Q92" i="295"/>
  <c r="N92" i="295"/>
  <c r="K92" i="295"/>
  <c r="H92" i="295"/>
  <c r="E92" i="295"/>
  <c r="E95" i="295"/>
  <c r="AE90" i="295"/>
  <c r="AD90" i="295"/>
  <c r="AF90" i="295"/>
  <c r="AB90" i="295"/>
  <c r="AA90" i="295"/>
  <c r="Y90" i="295"/>
  <c r="X90" i="295"/>
  <c r="V90" i="295"/>
  <c r="U90" i="295"/>
  <c r="W90" i="295"/>
  <c r="S90" i="295"/>
  <c r="R90" i="295"/>
  <c r="P90" i="295"/>
  <c r="O90" i="295"/>
  <c r="Q90" i="295"/>
  <c r="M90" i="295"/>
  <c r="L90" i="295"/>
  <c r="N90" i="295"/>
  <c r="J90" i="295"/>
  <c r="I90" i="295"/>
  <c r="G90" i="295"/>
  <c r="F90" i="295"/>
  <c r="D90" i="295"/>
  <c r="C90" i="295"/>
  <c r="AF89" i="295"/>
  <c r="AF99" i="295"/>
  <c r="AC89" i="295"/>
  <c r="AC99" i="295"/>
  <c r="Z89" i="295"/>
  <c r="Z99" i="295"/>
  <c r="W89" i="295"/>
  <c r="W99" i="295"/>
  <c r="T89" i="295"/>
  <c r="T99" i="295"/>
  <c r="Q89" i="295"/>
  <c r="N89" i="295"/>
  <c r="K89" i="295"/>
  <c r="K99" i="295"/>
  <c r="H89" i="295"/>
  <c r="H99" i="295"/>
  <c r="E89" i="295"/>
  <c r="E99" i="295"/>
  <c r="AF88" i="295"/>
  <c r="AC88" i="295"/>
  <c r="Z88" i="295"/>
  <c r="W88" i="295"/>
  <c r="T88" i="295"/>
  <c r="Q88" i="295"/>
  <c r="N88" i="295"/>
  <c r="K88" i="295"/>
  <c r="H88" i="295"/>
  <c r="E88" i="295"/>
  <c r="AF87" i="295"/>
  <c r="AC87" i="295"/>
  <c r="Z87" i="295"/>
  <c r="W87" i="295"/>
  <c r="T87" i="295"/>
  <c r="Q87" i="295"/>
  <c r="N87" i="295"/>
  <c r="K87" i="295"/>
  <c r="K90" i="295"/>
  <c r="H87" i="295"/>
  <c r="E87" i="295"/>
  <c r="AE85" i="295"/>
  <c r="AD85" i="295"/>
  <c r="AB85" i="295"/>
  <c r="AA85" i="295"/>
  <c r="Y85" i="295"/>
  <c r="Z85" i="295"/>
  <c r="X85" i="295"/>
  <c r="V85" i="295"/>
  <c r="U85" i="295"/>
  <c r="AF84" i="295"/>
  <c r="AF102" i="295"/>
  <c r="AC84" i="295"/>
  <c r="AC102" i="295"/>
  <c r="Z84" i="295"/>
  <c r="Z102" i="295"/>
  <c r="AF83" i="295"/>
  <c r="AF101" i="295"/>
  <c r="AC83" i="295"/>
  <c r="AC101" i="295"/>
  <c r="Z83" i="295"/>
  <c r="Z101" i="295"/>
  <c r="W83" i="295"/>
  <c r="AF82" i="295"/>
  <c r="AC82" i="295"/>
  <c r="Z82" i="295"/>
  <c r="W82" i="295"/>
  <c r="AE80" i="295"/>
  <c r="AD80" i="295"/>
  <c r="AB80" i="295"/>
  <c r="AA80" i="295"/>
  <c r="AC80" i="295"/>
  <c r="Y80" i="295"/>
  <c r="X80" i="295"/>
  <c r="V80" i="295"/>
  <c r="U80" i="295"/>
  <c r="W80" i="295"/>
  <c r="S80" i="295"/>
  <c r="R80" i="295"/>
  <c r="P80" i="295"/>
  <c r="O80" i="295"/>
  <c r="Q80" i="295"/>
  <c r="M80" i="295"/>
  <c r="L80" i="295"/>
  <c r="J80" i="295"/>
  <c r="I80" i="295"/>
  <c r="G80" i="295"/>
  <c r="F80" i="295"/>
  <c r="D80" i="295"/>
  <c r="C80" i="295"/>
  <c r="AF79" i="295"/>
  <c r="AC79" i="295"/>
  <c r="AC100" i="295"/>
  <c r="Z79" i="295"/>
  <c r="Z100" i="295"/>
  <c r="W79" i="295"/>
  <c r="W100" i="295"/>
  <c r="T79" i="295"/>
  <c r="Q79" i="295"/>
  <c r="Q100" i="295"/>
  <c r="N79" i="295"/>
  <c r="K79" i="295"/>
  <c r="H79" i="295"/>
  <c r="E79" i="295"/>
  <c r="E100" i="295"/>
  <c r="AF78" i="295"/>
  <c r="AC78" i="295"/>
  <c r="Z78" i="295"/>
  <c r="W78" i="295"/>
  <c r="W98" i="295"/>
  <c r="T78" i="295"/>
  <c r="T98" i="295"/>
  <c r="Q78" i="295"/>
  <c r="Q98" i="295"/>
  <c r="N78" i="295"/>
  <c r="K78" i="295"/>
  <c r="K98" i="295"/>
  <c r="H78" i="295"/>
  <c r="E78" i="295"/>
  <c r="AF77" i="295"/>
  <c r="AF97" i="295"/>
  <c r="AC77" i="295"/>
  <c r="AC97" i="295"/>
  <c r="Z77" i="295"/>
  <c r="Z97" i="295"/>
  <c r="W77" i="295"/>
  <c r="W97" i="295"/>
  <c r="T77" i="295"/>
  <c r="Q77" i="295"/>
  <c r="Q97" i="295"/>
  <c r="N77" i="295"/>
  <c r="K77" i="295"/>
  <c r="H77" i="295"/>
  <c r="E77" i="295"/>
  <c r="E97" i="295"/>
  <c r="AE69" i="295"/>
  <c r="AD69" i="295"/>
  <c r="AB69" i="295"/>
  <c r="AA69" i="295"/>
  <c r="AC69" i="295"/>
  <c r="Y69" i="295"/>
  <c r="X69" i="295"/>
  <c r="V69" i="295"/>
  <c r="U69" i="295"/>
  <c r="S69" i="295"/>
  <c r="R69" i="295"/>
  <c r="T69" i="295"/>
  <c r="P69" i="295"/>
  <c r="O69" i="295"/>
  <c r="M69" i="295"/>
  <c r="L69" i="295"/>
  <c r="N69" i="295"/>
  <c r="J69" i="295"/>
  <c r="I69" i="295"/>
  <c r="H69" i="295"/>
  <c r="G69" i="295"/>
  <c r="F69" i="295"/>
  <c r="E69" i="295"/>
  <c r="D69" i="295"/>
  <c r="C69" i="295"/>
  <c r="AE68" i="295"/>
  <c r="AD68" i="295"/>
  <c r="AB68" i="295"/>
  <c r="AA68" i="295"/>
  <c r="AC68" i="295"/>
  <c r="Y68" i="295"/>
  <c r="X68" i="295"/>
  <c r="V68" i="295"/>
  <c r="U68" i="295"/>
  <c r="S68" i="295"/>
  <c r="R68" i="295"/>
  <c r="P68" i="295"/>
  <c r="O68" i="295"/>
  <c r="Q68" i="295"/>
  <c r="M68" i="295"/>
  <c r="L68" i="295"/>
  <c r="J68" i="295"/>
  <c r="I68" i="295"/>
  <c r="H68" i="295"/>
  <c r="G68" i="295"/>
  <c r="F68" i="295"/>
  <c r="E68" i="295"/>
  <c r="D68" i="295"/>
  <c r="C68" i="295"/>
  <c r="AE67" i="295"/>
  <c r="AF67" i="295"/>
  <c r="AD67" i="295"/>
  <c r="AB67" i="295"/>
  <c r="AA67" i="295"/>
  <c r="Y67" i="295"/>
  <c r="X67" i="295"/>
  <c r="V67" i="295"/>
  <c r="U67" i="295"/>
  <c r="S67" i="295"/>
  <c r="R67" i="295"/>
  <c r="P67" i="295"/>
  <c r="Q67" i="295"/>
  <c r="O67" i="295"/>
  <c r="M67" i="295"/>
  <c r="L67" i="295"/>
  <c r="J67" i="295"/>
  <c r="I67" i="295"/>
  <c r="G67" i="295"/>
  <c r="F67" i="295"/>
  <c r="D67" i="295"/>
  <c r="C67" i="295"/>
  <c r="AE66" i="295"/>
  <c r="AD66" i="295"/>
  <c r="AB66" i="295"/>
  <c r="AA66" i="295"/>
  <c r="Y66" i="295"/>
  <c r="X66" i="295"/>
  <c r="V66" i="295"/>
  <c r="U66" i="295"/>
  <c r="S66" i="295"/>
  <c r="T66" i="295"/>
  <c r="R66" i="295"/>
  <c r="P66" i="295"/>
  <c r="O66" i="295"/>
  <c r="M66" i="295"/>
  <c r="L66" i="295"/>
  <c r="J66" i="295"/>
  <c r="I66" i="295"/>
  <c r="G66" i="295"/>
  <c r="F66" i="295"/>
  <c r="D66" i="295"/>
  <c r="C66" i="295"/>
  <c r="AE65" i="295"/>
  <c r="AD65" i="295"/>
  <c r="AC65" i="295"/>
  <c r="AB65" i="295"/>
  <c r="AA65" i="295"/>
  <c r="Y65" i="295"/>
  <c r="X65" i="295"/>
  <c r="V65" i="295"/>
  <c r="U65" i="295"/>
  <c r="S65" i="295"/>
  <c r="T65" i="295"/>
  <c r="R65" i="295"/>
  <c r="P65" i="295"/>
  <c r="O65" i="295"/>
  <c r="M65" i="295"/>
  <c r="L65" i="295"/>
  <c r="J65" i="295"/>
  <c r="I65" i="295"/>
  <c r="G65" i="295"/>
  <c r="F65" i="295"/>
  <c r="D65" i="295"/>
  <c r="C65" i="295"/>
  <c r="AE64" i="295"/>
  <c r="AF64" i="295"/>
  <c r="AD64" i="295"/>
  <c r="AB64" i="295"/>
  <c r="AA64" i="295"/>
  <c r="AC64" i="295"/>
  <c r="Y64" i="295"/>
  <c r="Y70" i="295"/>
  <c r="X64" i="295"/>
  <c r="X70" i="295"/>
  <c r="V64" i="295"/>
  <c r="U64" i="295"/>
  <c r="S64" i="295"/>
  <c r="R64" i="295"/>
  <c r="P64" i="295"/>
  <c r="O64" i="295"/>
  <c r="Q64" i="295"/>
  <c r="M64" i="295"/>
  <c r="L64" i="295"/>
  <c r="J64" i="295"/>
  <c r="J70" i="295"/>
  <c r="I64" i="295"/>
  <c r="G64" i="295"/>
  <c r="F64" i="295"/>
  <c r="D64" i="295"/>
  <c r="D70" i="295"/>
  <c r="C64" i="295"/>
  <c r="AE62" i="295"/>
  <c r="AD62" i="295"/>
  <c r="AF62" i="295"/>
  <c r="AB62" i="295"/>
  <c r="AA62" i="295"/>
  <c r="Y62" i="295"/>
  <c r="X62" i="295"/>
  <c r="Z62" i="295"/>
  <c r="V62" i="295"/>
  <c r="W62" i="295"/>
  <c r="U62" i="295"/>
  <c r="S62" i="295"/>
  <c r="T62" i="295"/>
  <c r="R62" i="295"/>
  <c r="P62" i="295"/>
  <c r="P133" i="295"/>
  <c r="O62" i="295"/>
  <c r="M62" i="295"/>
  <c r="M133" i="295"/>
  <c r="L62" i="295"/>
  <c r="N62" i="295"/>
  <c r="J62" i="295"/>
  <c r="J133" i="295"/>
  <c r="I62" i="295"/>
  <c r="I133" i="295"/>
  <c r="G62" i="295"/>
  <c r="G133" i="295"/>
  <c r="F62" i="295"/>
  <c r="D62" i="295"/>
  <c r="C62" i="295"/>
  <c r="C133" i="295"/>
  <c r="AF61" i="295"/>
  <c r="AC61" i="295"/>
  <c r="Z61" i="295"/>
  <c r="W61" i="295"/>
  <c r="T61" i="295"/>
  <c r="Q61" i="295"/>
  <c r="Q132" i="295"/>
  <c r="N61" i="295"/>
  <c r="K61" i="295"/>
  <c r="H61" i="295"/>
  <c r="E61" i="295"/>
  <c r="E132" i="295"/>
  <c r="AF60" i="295"/>
  <c r="AC60" i="295"/>
  <c r="Z60" i="295"/>
  <c r="W60" i="295"/>
  <c r="T60" i="295"/>
  <c r="Q60" i="295"/>
  <c r="N60" i="295"/>
  <c r="K60" i="295"/>
  <c r="K131" i="295"/>
  <c r="H60" i="295"/>
  <c r="E60" i="295"/>
  <c r="AF59" i="295"/>
  <c r="AC59" i="295"/>
  <c r="Z59" i="295"/>
  <c r="W59" i="295"/>
  <c r="T59" i="295"/>
  <c r="Q59" i="295"/>
  <c r="Q130" i="295"/>
  <c r="N59" i="295"/>
  <c r="N130" i="295"/>
  <c r="K59" i="295"/>
  <c r="K130" i="295"/>
  <c r="H59" i="295"/>
  <c r="E59" i="295"/>
  <c r="AE57" i="295"/>
  <c r="AD57" i="295"/>
  <c r="AB57" i="295"/>
  <c r="AA57" i="295"/>
  <c r="AC57" i="295"/>
  <c r="Y57" i="295"/>
  <c r="X57" i="295"/>
  <c r="Z57" i="295"/>
  <c r="V57" i="295"/>
  <c r="U57" i="295"/>
  <c r="W57" i="295"/>
  <c r="S57" i="295"/>
  <c r="R57" i="295"/>
  <c r="P57" i="295"/>
  <c r="O57" i="295"/>
  <c r="Q57" i="295"/>
  <c r="M57" i="295"/>
  <c r="L57" i="295"/>
  <c r="J57" i="295"/>
  <c r="I57" i="295"/>
  <c r="G57" i="295"/>
  <c r="F57" i="295"/>
  <c r="D57" i="295"/>
  <c r="C57" i="295"/>
  <c r="AF56" i="295"/>
  <c r="AC56" i="295"/>
  <c r="Z56" i="295"/>
  <c r="W56" i="295"/>
  <c r="T56" i="295"/>
  <c r="Q56" i="295"/>
  <c r="Q122" i="295"/>
  <c r="N56" i="295"/>
  <c r="N122" i="295"/>
  <c r="K56" i="295"/>
  <c r="K66" i="295"/>
  <c r="H56" i="295"/>
  <c r="H122" i="295"/>
  <c r="E56" i="295"/>
  <c r="E122" i="295"/>
  <c r="AF55" i="295"/>
  <c r="AC55" i="295"/>
  <c r="Z55" i="295"/>
  <c r="W55" i="295"/>
  <c r="T55" i="295"/>
  <c r="Q55" i="295"/>
  <c r="Q121" i="295"/>
  <c r="N55" i="295"/>
  <c r="K55" i="295"/>
  <c r="K121" i="295"/>
  <c r="H55" i="295"/>
  <c r="H121" i="295"/>
  <c r="E55" i="295"/>
  <c r="E121" i="295"/>
  <c r="AF54" i="295"/>
  <c r="AC54" i="295"/>
  <c r="Z54" i="295"/>
  <c r="W54" i="295"/>
  <c r="T54" i="295"/>
  <c r="Q54" i="295"/>
  <c r="Q120" i="295"/>
  <c r="N54" i="295"/>
  <c r="N120" i="295"/>
  <c r="K54" i="295"/>
  <c r="K120" i="295"/>
  <c r="H54" i="295"/>
  <c r="E54" i="295"/>
  <c r="AE52" i="295"/>
  <c r="AD52" i="295"/>
  <c r="AF52" i="295"/>
  <c r="AB52" i="295"/>
  <c r="AA52" i="295"/>
  <c r="Y52" i="295"/>
  <c r="X52" i="295"/>
  <c r="V52" i="295"/>
  <c r="U52" i="295"/>
  <c r="W52" i="295"/>
  <c r="S52" i="295"/>
  <c r="R52" i="295"/>
  <c r="P52" i="295"/>
  <c r="O52" i="295"/>
  <c r="Q52" i="295"/>
  <c r="M52" i="295"/>
  <c r="L52" i="295"/>
  <c r="J52" i="295"/>
  <c r="I52" i="295"/>
  <c r="AF51" i="295"/>
  <c r="AC51" i="295"/>
  <c r="Z51" i="295"/>
  <c r="W51" i="295"/>
  <c r="T51" i="295"/>
  <c r="Q51" i="295"/>
  <c r="Q117" i="295"/>
  <c r="Q140" i="295"/>
  <c r="N51" i="295"/>
  <c r="N117" i="295"/>
  <c r="N140" i="295"/>
  <c r="K51" i="295"/>
  <c r="AF50" i="295"/>
  <c r="AC50" i="295"/>
  <c r="Z50" i="295"/>
  <c r="W50" i="295"/>
  <c r="T50" i="295"/>
  <c r="Q50" i="295"/>
  <c r="Q116" i="295"/>
  <c r="Q139" i="295"/>
  <c r="N50" i="295"/>
  <c r="N116" i="295"/>
  <c r="N139" i="295"/>
  <c r="K50" i="295"/>
  <c r="AF49" i="295"/>
  <c r="AC49" i="295"/>
  <c r="Z49" i="295"/>
  <c r="W49" i="295"/>
  <c r="T49" i="295"/>
  <c r="Q49" i="295"/>
  <c r="Q115" i="295"/>
  <c r="N49" i="295"/>
  <c r="N115" i="295"/>
  <c r="K49" i="295"/>
  <c r="K52" i="295"/>
  <c r="AE47" i="295"/>
  <c r="AD47" i="295"/>
  <c r="AB47" i="295"/>
  <c r="AA47" i="295"/>
  <c r="Y47" i="295"/>
  <c r="X47" i="295"/>
  <c r="V47" i="295"/>
  <c r="U47" i="295"/>
  <c r="W47" i="295"/>
  <c r="S47" i="295"/>
  <c r="R47" i="295"/>
  <c r="P47" i="295"/>
  <c r="Q47" i="295"/>
  <c r="O47" i="295"/>
  <c r="N47" i="295"/>
  <c r="M47" i="295"/>
  <c r="L47" i="295"/>
  <c r="J47" i="295"/>
  <c r="I47" i="295"/>
  <c r="G47" i="295"/>
  <c r="F47" i="295"/>
  <c r="D47" i="295"/>
  <c r="C47" i="295"/>
  <c r="AF46" i="295"/>
  <c r="AC46" i="295"/>
  <c r="Z46" i="295"/>
  <c r="W46" i="295"/>
  <c r="T46" i="295"/>
  <c r="Q46" i="295"/>
  <c r="Q112" i="295"/>
  <c r="Q138" i="295"/>
  <c r="N46" i="295"/>
  <c r="N112" i="295"/>
  <c r="K46" i="295"/>
  <c r="H46" i="295"/>
  <c r="H112" i="295"/>
  <c r="E46" i="295"/>
  <c r="AF45" i="295"/>
  <c r="AC45" i="295"/>
  <c r="Z45" i="295"/>
  <c r="W45" i="295"/>
  <c r="T45" i="295"/>
  <c r="Q45" i="295"/>
  <c r="Q111" i="295"/>
  <c r="Q136" i="295"/>
  <c r="N45" i="295"/>
  <c r="N111" i="295"/>
  <c r="K45" i="295"/>
  <c r="H45" i="295"/>
  <c r="E45" i="295"/>
  <c r="E111" i="295"/>
  <c r="AF44" i="295"/>
  <c r="AC44" i="295"/>
  <c r="Z44" i="295"/>
  <c r="W44" i="295"/>
  <c r="T44" i="295"/>
  <c r="Q44" i="295"/>
  <c r="Q110" i="295"/>
  <c r="N44" i="295"/>
  <c r="N110" i="295"/>
  <c r="K44" i="295"/>
  <c r="K110" i="295"/>
  <c r="H44" i="295"/>
  <c r="H110" i="295"/>
  <c r="E44" i="295"/>
  <c r="E110" i="295"/>
  <c r="AE36" i="295"/>
  <c r="AD36" i="295"/>
  <c r="AB36" i="295"/>
  <c r="AA36" i="295"/>
  <c r="Y36" i="295"/>
  <c r="X36" i="295"/>
  <c r="Z36" i="295"/>
  <c r="V36" i="295"/>
  <c r="U36" i="295"/>
  <c r="S36" i="295"/>
  <c r="R36" i="295"/>
  <c r="T36" i="295"/>
  <c r="AE35" i="295"/>
  <c r="AD35" i="295"/>
  <c r="AB35" i="295"/>
  <c r="AC35" i="295"/>
  <c r="AA35" i="295"/>
  <c r="Y35" i="295"/>
  <c r="X35" i="295"/>
  <c r="V35" i="295"/>
  <c r="U35" i="295"/>
  <c r="S35" i="295"/>
  <c r="R35" i="295"/>
  <c r="AE34" i="295"/>
  <c r="AF34" i="295"/>
  <c r="AD34" i="295"/>
  <c r="AB34" i="295"/>
  <c r="AC34" i="295"/>
  <c r="AA34" i="295"/>
  <c r="Y34" i="295"/>
  <c r="Z34" i="295"/>
  <c r="X34" i="295"/>
  <c r="V34" i="295"/>
  <c r="U34" i="295"/>
  <c r="S34" i="295"/>
  <c r="R34" i="295"/>
  <c r="AE33" i="295"/>
  <c r="AD33" i="295"/>
  <c r="AB33" i="295"/>
  <c r="AA33" i="295"/>
  <c r="Y33" i="295"/>
  <c r="X33" i="295"/>
  <c r="V33" i="295"/>
  <c r="U33" i="295"/>
  <c r="S33" i="295"/>
  <c r="T33" i="295"/>
  <c r="R33" i="295"/>
  <c r="AF32" i="295"/>
  <c r="AE32" i="295"/>
  <c r="AD32" i="295"/>
  <c r="AB32" i="295"/>
  <c r="AA32" i="295"/>
  <c r="Y32" i="295"/>
  <c r="X32" i="295"/>
  <c r="Z32" i="295"/>
  <c r="V32" i="295"/>
  <c r="U32" i="295"/>
  <c r="W32" i="295"/>
  <c r="S32" i="295"/>
  <c r="R32" i="295"/>
  <c r="AE31" i="295"/>
  <c r="AD31" i="295"/>
  <c r="AB31" i="295"/>
  <c r="AA31" i="295"/>
  <c r="AC31" i="295"/>
  <c r="Y31" i="295"/>
  <c r="X31" i="295"/>
  <c r="V31" i="295"/>
  <c r="U31" i="295"/>
  <c r="S31" i="295"/>
  <c r="R31" i="295"/>
  <c r="AE29" i="295"/>
  <c r="AD29" i="295"/>
  <c r="AF29" i="295"/>
  <c r="AB29" i="295"/>
  <c r="AA29" i="295"/>
  <c r="Y29" i="295"/>
  <c r="X29" i="295"/>
  <c r="V29" i="295"/>
  <c r="U29" i="295"/>
  <c r="S29" i="295"/>
  <c r="R29" i="295"/>
  <c r="AF28" i="295"/>
  <c r="AC28" i="295"/>
  <c r="AC132" i="295"/>
  <c r="Z28" i="295"/>
  <c r="W28" i="295"/>
  <c r="W132" i="295"/>
  <c r="T28" i="295"/>
  <c r="AF27" i="295"/>
  <c r="AC27" i="295"/>
  <c r="AC131" i="295"/>
  <c r="Z27" i="295"/>
  <c r="W27" i="295"/>
  <c r="W131" i="295"/>
  <c r="T27" i="295"/>
  <c r="AF26" i="295"/>
  <c r="AC26" i="295"/>
  <c r="AC130" i="295"/>
  <c r="Z26" i="295"/>
  <c r="W26" i="295"/>
  <c r="W130" i="295"/>
  <c r="T26" i="295"/>
  <c r="AE24" i="295"/>
  <c r="AD24" i="295"/>
  <c r="AB24" i="295"/>
  <c r="AA24" i="295"/>
  <c r="Y24" i="295"/>
  <c r="Z24" i="295"/>
  <c r="X24" i="295"/>
  <c r="V24" i="295"/>
  <c r="U24" i="295"/>
  <c r="S24" i="295"/>
  <c r="R24" i="295"/>
  <c r="AF23" i="295"/>
  <c r="AC23" i="295"/>
  <c r="AC127" i="295"/>
  <c r="Z23" i="295"/>
  <c r="Z127" i="295"/>
  <c r="W23" i="295"/>
  <c r="W127" i="295"/>
  <c r="T23" i="295"/>
  <c r="T127" i="295"/>
  <c r="AF22" i="295"/>
  <c r="AC22" i="295"/>
  <c r="AC126" i="295"/>
  <c r="Z22" i="295"/>
  <c r="Z126" i="295"/>
  <c r="W22" i="295"/>
  <c r="W126" i="295"/>
  <c r="T22" i="295"/>
  <c r="T126" i="295"/>
  <c r="AF21" i="295"/>
  <c r="AC21" i="295"/>
  <c r="AC125" i="295"/>
  <c r="Z21" i="295"/>
  <c r="Z125" i="295"/>
  <c r="W21" i="295"/>
  <c r="W125" i="295"/>
  <c r="T21" i="295"/>
  <c r="T125" i="295"/>
  <c r="AE19" i="295"/>
  <c r="AD19" i="295"/>
  <c r="AF19" i="295"/>
  <c r="AB19" i="295"/>
  <c r="AA19" i="295"/>
  <c r="Y19" i="295"/>
  <c r="X19" i="295"/>
  <c r="Z19" i="295"/>
  <c r="V19" i="295"/>
  <c r="U19" i="295"/>
  <c r="S19" i="295"/>
  <c r="R19" i="295"/>
  <c r="T19" i="295"/>
  <c r="AF18" i="295"/>
  <c r="AC18" i="295"/>
  <c r="AC122" i="295"/>
  <c r="Z18" i="295"/>
  <c r="W18" i="295"/>
  <c r="W122" i="295"/>
  <c r="T18" i="295"/>
  <c r="AF17" i="295"/>
  <c r="AC17" i="295"/>
  <c r="AC121" i="295"/>
  <c r="Z17" i="295"/>
  <c r="Z121" i="295"/>
  <c r="W17" i="295"/>
  <c r="W121" i="295"/>
  <c r="T17" i="295"/>
  <c r="T121" i="295"/>
  <c r="AF16" i="295"/>
  <c r="AC16" i="295"/>
  <c r="AC120" i="295"/>
  <c r="Z16" i="295"/>
  <c r="W16" i="295"/>
  <c r="W120" i="295"/>
  <c r="T16" i="295"/>
  <c r="AE14" i="295"/>
  <c r="AD14" i="295"/>
  <c r="AB14" i="295"/>
  <c r="AA14" i="295"/>
  <c r="Y14" i="295"/>
  <c r="X14" i="295"/>
  <c r="Z14" i="295"/>
  <c r="V14" i="295"/>
  <c r="U14" i="295"/>
  <c r="W14" i="295"/>
  <c r="S14" i="295"/>
  <c r="R14" i="295"/>
  <c r="AF13" i="295"/>
  <c r="AC13" i="295"/>
  <c r="Z13" i="295"/>
  <c r="W13" i="295"/>
  <c r="W117" i="295"/>
  <c r="T13" i="295"/>
  <c r="T117" i="295"/>
  <c r="AF12" i="295"/>
  <c r="AC12" i="295"/>
  <c r="Z12" i="295"/>
  <c r="Z116" i="295"/>
  <c r="W12" i="295"/>
  <c r="T12" i="295"/>
  <c r="T116" i="295"/>
  <c r="AF11" i="295"/>
  <c r="AC11" i="295"/>
  <c r="Z11" i="295"/>
  <c r="W11" i="295"/>
  <c r="W115" i="295"/>
  <c r="T11" i="295"/>
  <c r="T115" i="295"/>
  <c r="AE9" i="295"/>
  <c r="AD9" i="295"/>
  <c r="AB9" i="295"/>
  <c r="AC9" i="295"/>
  <c r="AA9" i="295"/>
  <c r="Y9" i="295"/>
  <c r="X9" i="295"/>
  <c r="V9" i="295"/>
  <c r="U9" i="295"/>
  <c r="T9" i="295"/>
  <c r="S9" i="295"/>
  <c r="R9" i="295"/>
  <c r="AF8" i="295"/>
  <c r="AC8" i="295"/>
  <c r="Z8" i="295"/>
  <c r="Z112" i="295"/>
  <c r="W8" i="295"/>
  <c r="W112" i="295"/>
  <c r="T8" i="295"/>
  <c r="T112" i="295"/>
  <c r="AF7" i="295"/>
  <c r="AC7" i="295"/>
  <c r="Z7" i="295"/>
  <c r="Z111" i="295"/>
  <c r="W7" i="295"/>
  <c r="T7" i="295"/>
  <c r="T111" i="295"/>
  <c r="AF6" i="295"/>
  <c r="AC6" i="295"/>
  <c r="Z6" i="295"/>
  <c r="Z110" i="295"/>
  <c r="W6" i="295"/>
  <c r="T6" i="295"/>
  <c r="T110" i="295"/>
  <c r="P31" i="282"/>
  <c r="O31" i="282"/>
  <c r="N31" i="282"/>
  <c r="M31" i="282"/>
  <c r="L31" i="282"/>
  <c r="K31" i="282"/>
  <c r="J31" i="282"/>
  <c r="I31" i="282"/>
  <c r="H31" i="282"/>
  <c r="G31" i="282"/>
  <c r="F31" i="282"/>
  <c r="E31" i="282"/>
  <c r="P30" i="282"/>
  <c r="O30" i="282"/>
  <c r="N30" i="282"/>
  <c r="M30" i="282"/>
  <c r="L30" i="282"/>
  <c r="K30" i="282"/>
  <c r="J30" i="282"/>
  <c r="I30" i="282"/>
  <c r="H30" i="282"/>
  <c r="G30" i="282"/>
  <c r="F30" i="282"/>
  <c r="E30" i="282"/>
  <c r="P29" i="282"/>
  <c r="O29" i="282"/>
  <c r="N29" i="282"/>
  <c r="M29" i="282"/>
  <c r="L29" i="282"/>
  <c r="K29" i="282"/>
  <c r="J29" i="282"/>
  <c r="I29" i="282"/>
  <c r="H29" i="282"/>
  <c r="G29" i="282"/>
  <c r="F29" i="282"/>
  <c r="E29" i="282"/>
  <c r="P28" i="282"/>
  <c r="O28" i="282"/>
  <c r="N28" i="282"/>
  <c r="M28" i="282"/>
  <c r="L28" i="282"/>
  <c r="K28" i="282"/>
  <c r="J28" i="282"/>
  <c r="I28" i="282"/>
  <c r="H28" i="282"/>
  <c r="G28" i="282"/>
  <c r="F28" i="282"/>
  <c r="E28" i="282"/>
  <c r="P27" i="282"/>
  <c r="O27" i="282"/>
  <c r="N27" i="282"/>
  <c r="M27" i="282"/>
  <c r="L27" i="282"/>
  <c r="K27" i="282"/>
  <c r="J27" i="282"/>
  <c r="I27" i="282"/>
  <c r="H27" i="282"/>
  <c r="G27" i="282"/>
  <c r="F27" i="282"/>
  <c r="E27" i="282"/>
  <c r="P26" i="282"/>
  <c r="P32" i="282"/>
  <c r="O26" i="282"/>
  <c r="N26" i="282"/>
  <c r="N32" i="282"/>
  <c r="M26" i="282"/>
  <c r="M32" i="282"/>
  <c r="L26" i="282"/>
  <c r="K26" i="282"/>
  <c r="K32" i="282"/>
  <c r="J26" i="282"/>
  <c r="J32" i="282"/>
  <c r="I26" i="282"/>
  <c r="I32" i="282"/>
  <c r="H26" i="282"/>
  <c r="H32" i="282"/>
  <c r="G26" i="282"/>
  <c r="F26" i="282"/>
  <c r="F32" i="282"/>
  <c r="E26" i="282"/>
  <c r="P24" i="282"/>
  <c r="O24" i="282"/>
  <c r="N24" i="282"/>
  <c r="M24" i="282"/>
  <c r="L24" i="282"/>
  <c r="K24" i="282"/>
  <c r="J24" i="282"/>
  <c r="I24" i="282"/>
  <c r="H24" i="282"/>
  <c r="G24" i="282"/>
  <c r="F24" i="282"/>
  <c r="E24" i="282"/>
  <c r="P19" i="282"/>
  <c r="O19" i="282"/>
  <c r="N19" i="282"/>
  <c r="M19" i="282"/>
  <c r="L19" i="282"/>
  <c r="K19" i="282"/>
  <c r="J19" i="282"/>
  <c r="I19" i="282"/>
  <c r="P14" i="282"/>
  <c r="O14" i="282"/>
  <c r="N14" i="282"/>
  <c r="M14" i="282"/>
  <c r="L14" i="282"/>
  <c r="K14" i="282"/>
  <c r="J14" i="282"/>
  <c r="I14" i="282"/>
  <c r="U39" i="124"/>
  <c r="J39" i="124"/>
  <c r="H39" i="124"/>
  <c r="AG38" i="124"/>
  <c r="AF38" i="124"/>
  <c r="AE38" i="124"/>
  <c r="AD38" i="124"/>
  <c r="AC38" i="124"/>
  <c r="AB38" i="124"/>
  <c r="AA38" i="124"/>
  <c r="Z38" i="124"/>
  <c r="Y38" i="124"/>
  <c r="W38" i="124"/>
  <c r="V38" i="124"/>
  <c r="U38" i="124"/>
  <c r="T38" i="124"/>
  <c r="M38" i="124"/>
  <c r="L38" i="124"/>
  <c r="K38" i="124"/>
  <c r="J38" i="124"/>
  <c r="I38" i="124"/>
  <c r="H38" i="124"/>
  <c r="G38" i="124"/>
  <c r="F38" i="124"/>
  <c r="E38" i="124"/>
  <c r="AG37" i="124"/>
  <c r="AF37" i="124"/>
  <c r="AE37" i="124"/>
  <c r="AD37" i="124"/>
  <c r="AC37" i="124"/>
  <c r="AB37" i="124"/>
  <c r="AA37" i="124"/>
  <c r="Z37" i="124"/>
  <c r="Y37" i="124"/>
  <c r="W37" i="124"/>
  <c r="V37" i="124"/>
  <c r="U37" i="124"/>
  <c r="T37" i="124"/>
  <c r="M37" i="124"/>
  <c r="L37" i="124"/>
  <c r="K37" i="124"/>
  <c r="J37" i="124"/>
  <c r="H37" i="124"/>
  <c r="G37" i="124"/>
  <c r="F37" i="124"/>
  <c r="E37" i="124"/>
  <c r="AG36" i="124"/>
  <c r="AF36" i="124"/>
  <c r="AE36" i="124"/>
  <c r="AD36" i="124"/>
  <c r="AB36" i="124"/>
  <c r="AA36" i="124"/>
  <c r="Z36" i="124"/>
  <c r="Y36" i="124"/>
  <c r="W36" i="124"/>
  <c r="V36" i="124"/>
  <c r="U36" i="124"/>
  <c r="T36" i="124"/>
  <c r="M36" i="124"/>
  <c r="L36" i="124"/>
  <c r="K36" i="124"/>
  <c r="J36" i="124"/>
  <c r="H36" i="124"/>
  <c r="G36" i="124"/>
  <c r="F36" i="124"/>
  <c r="E36" i="124"/>
  <c r="AG35" i="124"/>
  <c r="AF35" i="124"/>
  <c r="AE35" i="124"/>
  <c r="AD35" i="124"/>
  <c r="AB35" i="124"/>
  <c r="AA35" i="124"/>
  <c r="AA39" i="124"/>
  <c r="Z35" i="124"/>
  <c r="Y35" i="124"/>
  <c r="W35" i="124"/>
  <c r="V35" i="124"/>
  <c r="U35" i="124"/>
  <c r="T35" i="124"/>
  <c r="M35" i="124"/>
  <c r="L35" i="124"/>
  <c r="K35" i="124"/>
  <c r="J35" i="124"/>
  <c r="H35" i="124"/>
  <c r="G35" i="124"/>
  <c r="F35" i="124"/>
  <c r="E35" i="124"/>
  <c r="AG34" i="124"/>
  <c r="AF34" i="124"/>
  <c r="AE34" i="124"/>
  <c r="AE39" i="124"/>
  <c r="AD34" i="124"/>
  <c r="AB34" i="124"/>
  <c r="AA34" i="124"/>
  <c r="Z34" i="124"/>
  <c r="Y34" i="124"/>
  <c r="X34" i="124"/>
  <c r="W34" i="124"/>
  <c r="W39" i="124"/>
  <c r="V34" i="124"/>
  <c r="U34" i="124"/>
  <c r="T34" i="124"/>
  <c r="M34" i="124"/>
  <c r="L34" i="124"/>
  <c r="K34" i="124"/>
  <c r="J34" i="124"/>
  <c r="H34" i="124"/>
  <c r="G34" i="124"/>
  <c r="F34" i="124"/>
  <c r="F39" i="124"/>
  <c r="E34" i="124"/>
  <c r="AG33" i="124"/>
  <c r="AF33" i="124"/>
  <c r="AF39" i="124"/>
  <c r="AE33" i="124"/>
  <c r="AD33" i="124"/>
  <c r="AD39" i="124"/>
  <c r="AB33" i="124"/>
  <c r="AB39" i="124"/>
  <c r="AA33" i="124"/>
  <c r="Z33" i="124"/>
  <c r="Y33" i="124"/>
  <c r="W33" i="124"/>
  <c r="V33" i="124"/>
  <c r="U33" i="124"/>
  <c r="T33" i="124"/>
  <c r="T39" i="124"/>
  <c r="M33" i="124"/>
  <c r="M39" i="124"/>
  <c r="L33" i="124"/>
  <c r="K33" i="124"/>
  <c r="J33" i="124"/>
  <c r="H33" i="124"/>
  <c r="G33" i="124"/>
  <c r="G39" i="124"/>
  <c r="F33" i="124"/>
  <c r="E33" i="124"/>
  <c r="E39" i="124"/>
  <c r="AH31" i="124"/>
  <c r="AG31" i="124"/>
  <c r="AF31" i="124"/>
  <c r="AE31" i="124"/>
  <c r="AD31" i="124"/>
  <c r="AB31" i="124"/>
  <c r="AA31" i="124"/>
  <c r="Z31" i="124"/>
  <c r="Y31" i="124"/>
  <c r="W31" i="124"/>
  <c r="V31" i="124"/>
  <c r="U31" i="124"/>
  <c r="T31" i="124"/>
  <c r="M31" i="124"/>
  <c r="L31" i="124"/>
  <c r="K31" i="124"/>
  <c r="H31" i="124"/>
  <c r="G31" i="124"/>
  <c r="F31" i="124"/>
  <c r="E31" i="124"/>
  <c r="AH30" i="124"/>
  <c r="AH36" i="124"/>
  <c r="AC30" i="124"/>
  <c r="AC31" i="124"/>
  <c r="X30" i="124"/>
  <c r="N30" i="124"/>
  <c r="I30" i="124"/>
  <c r="AH29" i="124"/>
  <c r="AC29" i="124"/>
  <c r="X29" i="124"/>
  <c r="N29" i="124"/>
  <c r="N31" i="124"/>
  <c r="I29" i="124"/>
  <c r="I35" i="124"/>
  <c r="AH28" i="124"/>
  <c r="AC28" i="124"/>
  <c r="X28" i="124"/>
  <c r="X31" i="124"/>
  <c r="N28" i="124"/>
  <c r="I28" i="124"/>
  <c r="AG26" i="124"/>
  <c r="AF26" i="124"/>
  <c r="AE26" i="124"/>
  <c r="AD26" i="124"/>
  <c r="AB26" i="124"/>
  <c r="AA26" i="124"/>
  <c r="Z26" i="124"/>
  <c r="Y26" i="124"/>
  <c r="AH25" i="124"/>
  <c r="AC25" i="124"/>
  <c r="AH24" i="124"/>
  <c r="AC24" i="124"/>
  <c r="AH23" i="124"/>
  <c r="AH33" i="124"/>
  <c r="AC23" i="124"/>
  <c r="AC26" i="124"/>
  <c r="AH21" i="124"/>
  <c r="AG21" i="124"/>
  <c r="AF21" i="124"/>
  <c r="AE21" i="124"/>
  <c r="AD21" i="124"/>
  <c r="AB21" i="124"/>
  <c r="AA21" i="124"/>
  <c r="Z21" i="124"/>
  <c r="Y21" i="124"/>
  <c r="W21" i="124"/>
  <c r="V21" i="124"/>
  <c r="U21" i="124"/>
  <c r="T21" i="124"/>
  <c r="M21" i="124"/>
  <c r="L21" i="124"/>
  <c r="K21" i="124"/>
  <c r="H21" i="124"/>
  <c r="G21" i="124"/>
  <c r="F21" i="124"/>
  <c r="E21" i="124"/>
  <c r="AH20" i="124"/>
  <c r="AH35" i="124"/>
  <c r="AC20" i="124"/>
  <c r="AC35" i="124"/>
  <c r="X20" i="124"/>
  <c r="X21" i="124"/>
  <c r="N20" i="124"/>
  <c r="I20" i="124"/>
  <c r="AH19" i="124"/>
  <c r="AC19" i="124"/>
  <c r="X19" i="124"/>
  <c r="N19" i="124"/>
  <c r="I19" i="124"/>
  <c r="AH18" i="124"/>
  <c r="AC18" i="124"/>
  <c r="X18" i="124"/>
  <c r="N18" i="124"/>
  <c r="N21" i="124"/>
  <c r="I18" i="124"/>
  <c r="I21" i="124"/>
  <c r="AG16" i="124"/>
  <c r="AF16" i="124"/>
  <c r="AE16" i="124"/>
  <c r="AD16" i="124"/>
  <c r="AB16" i="124"/>
  <c r="AA16" i="124"/>
  <c r="Z16" i="124"/>
  <c r="Y16" i="124"/>
  <c r="X16" i="124"/>
  <c r="W16" i="124"/>
  <c r="V16" i="124"/>
  <c r="U16" i="124"/>
  <c r="T16" i="124"/>
  <c r="M16" i="124"/>
  <c r="L16" i="124"/>
  <c r="K16" i="124"/>
  <c r="H16" i="124"/>
  <c r="G16" i="124"/>
  <c r="F16" i="124"/>
  <c r="E16" i="124"/>
  <c r="AH15" i="124"/>
  <c r="AH38" i="124"/>
  <c r="AC15" i="124"/>
  <c r="X15" i="124"/>
  <c r="X38" i="124"/>
  <c r="N15" i="124"/>
  <c r="N38" i="124"/>
  <c r="I15" i="124"/>
  <c r="AH14" i="124"/>
  <c r="AH37" i="124"/>
  <c r="AC14" i="124"/>
  <c r="X14" i="124"/>
  <c r="X37" i="124"/>
  <c r="N14" i="124"/>
  <c r="N37" i="124"/>
  <c r="I14" i="124"/>
  <c r="AH13" i="124"/>
  <c r="AH16" i="124"/>
  <c r="AC13" i="124"/>
  <c r="X13" i="124"/>
  <c r="N13" i="124"/>
  <c r="I13" i="124"/>
  <c r="AG11" i="124"/>
  <c r="AF11" i="124"/>
  <c r="AE11" i="124"/>
  <c r="AD11" i="124"/>
  <c r="AB11" i="124"/>
  <c r="AA11" i="124"/>
  <c r="Z11" i="124"/>
  <c r="Y11" i="124"/>
  <c r="X11" i="124"/>
  <c r="W11" i="124"/>
  <c r="V11" i="124"/>
  <c r="U11" i="124"/>
  <c r="T11" i="124"/>
  <c r="M11" i="124"/>
  <c r="L11" i="124"/>
  <c r="K11" i="124"/>
  <c r="I11" i="124"/>
  <c r="H11" i="124"/>
  <c r="G11" i="124"/>
  <c r="F11" i="124"/>
  <c r="E11" i="124"/>
  <c r="AH10" i="124"/>
  <c r="AC10" i="124"/>
  <c r="AC36" i="124"/>
  <c r="X10" i="124"/>
  <c r="X36" i="124"/>
  <c r="N10" i="124"/>
  <c r="N36" i="124"/>
  <c r="I10" i="124"/>
  <c r="I36" i="124"/>
  <c r="AH9" i="124"/>
  <c r="AC9" i="124"/>
  <c r="X9" i="124"/>
  <c r="N9" i="124"/>
  <c r="N34" i="124"/>
  <c r="I9" i="124"/>
  <c r="I34" i="124"/>
  <c r="AH8" i="124"/>
  <c r="AH11" i="124"/>
  <c r="AC8" i="124"/>
  <c r="X8" i="124"/>
  <c r="X33" i="124"/>
  <c r="N8" i="124"/>
  <c r="I8" i="124"/>
  <c r="Z36" i="271"/>
  <c r="Y36" i="271"/>
  <c r="X36" i="271"/>
  <c r="W36" i="271"/>
  <c r="V36" i="271"/>
  <c r="U36" i="271"/>
  <c r="Z35" i="271"/>
  <c r="Y35" i="271"/>
  <c r="X35" i="271"/>
  <c r="W35" i="271"/>
  <c r="V35" i="271"/>
  <c r="U35" i="271"/>
  <c r="Z34" i="271"/>
  <c r="Y34" i="271"/>
  <c r="X34" i="271"/>
  <c r="W34" i="271"/>
  <c r="V34" i="271"/>
  <c r="U34" i="271"/>
  <c r="F34" i="271"/>
  <c r="E34" i="271"/>
  <c r="D34" i="271"/>
  <c r="C34" i="271"/>
  <c r="Z33" i="271"/>
  <c r="Y33" i="271"/>
  <c r="X33" i="271"/>
  <c r="W33" i="271"/>
  <c r="V33" i="271"/>
  <c r="U33" i="271"/>
  <c r="F33" i="271"/>
  <c r="E33" i="271"/>
  <c r="D33" i="271"/>
  <c r="C33" i="271"/>
  <c r="W32" i="271"/>
  <c r="V32" i="271"/>
  <c r="U32" i="271"/>
  <c r="F32" i="271"/>
  <c r="E32" i="271"/>
  <c r="D32" i="271"/>
  <c r="C32" i="271"/>
  <c r="Z31" i="271"/>
  <c r="Y31" i="271"/>
  <c r="X31" i="271"/>
  <c r="W31" i="271"/>
  <c r="V31" i="271"/>
  <c r="V37" i="271"/>
  <c r="U31" i="271"/>
  <c r="F31" i="271"/>
  <c r="E31" i="271"/>
  <c r="D31" i="271"/>
  <c r="D37" i="271"/>
  <c r="C31" i="271"/>
  <c r="Z29" i="271"/>
  <c r="Y29" i="271"/>
  <c r="X29" i="271"/>
  <c r="W29" i="271"/>
  <c r="V29" i="271"/>
  <c r="U29" i="271"/>
  <c r="F29" i="271"/>
  <c r="E29" i="271"/>
  <c r="D29" i="271"/>
  <c r="C29" i="271"/>
  <c r="AC28" i="271"/>
  <c r="AC26" i="271"/>
  <c r="Z19" i="271"/>
  <c r="Y19" i="271"/>
  <c r="X19" i="271"/>
  <c r="W19" i="271"/>
  <c r="V19" i="271"/>
  <c r="U19" i="271"/>
  <c r="F19" i="271"/>
  <c r="E19" i="271"/>
  <c r="D19" i="271"/>
  <c r="C19" i="271"/>
  <c r="AC18" i="271"/>
  <c r="AC17" i="271"/>
  <c r="AC16" i="271"/>
  <c r="Z14" i="271"/>
  <c r="Y14" i="271"/>
  <c r="X14" i="271"/>
  <c r="W14" i="271"/>
  <c r="V14" i="271"/>
  <c r="U14" i="271"/>
  <c r="Z9" i="271"/>
  <c r="Y9" i="271"/>
  <c r="X9" i="271"/>
  <c r="W9" i="271"/>
  <c r="V9" i="271"/>
  <c r="U9" i="271"/>
  <c r="F9" i="271"/>
  <c r="E9" i="271"/>
  <c r="D9" i="271"/>
  <c r="C9" i="271"/>
  <c r="AC7" i="271"/>
  <c r="AD97" i="270"/>
  <c r="AC97" i="270"/>
  <c r="AB97" i="270"/>
  <c r="AA97" i="270"/>
  <c r="Z97" i="270"/>
  <c r="Y97" i="270"/>
  <c r="AE91" i="270"/>
  <c r="AD13" i="271"/>
  <c r="AD36" i="271"/>
  <c r="AD91" i="270"/>
  <c r="AC13" i="271"/>
  <c r="AC36" i="271"/>
  <c r="AC91" i="270"/>
  <c r="AB13" i="271"/>
  <c r="AB36" i="271"/>
  <c r="AB91" i="270"/>
  <c r="AA13" i="271"/>
  <c r="AA36" i="271"/>
  <c r="AA91" i="270"/>
  <c r="Z91" i="270"/>
  <c r="Y91" i="270"/>
  <c r="X91" i="270"/>
  <c r="W91" i="270"/>
  <c r="V91" i="270"/>
  <c r="U91" i="270"/>
  <c r="T91" i="270"/>
  <c r="S91" i="270"/>
  <c r="R91" i="270"/>
  <c r="Q91" i="270"/>
  <c r="P91" i="270"/>
  <c r="O91" i="270"/>
  <c r="N91" i="270"/>
  <c r="M91" i="270"/>
  <c r="L91" i="270"/>
  <c r="AE86" i="270"/>
  <c r="AD12" i="271"/>
  <c r="AD35" i="271"/>
  <c r="AD86" i="270"/>
  <c r="AC12" i="271"/>
  <c r="AC35" i="271"/>
  <c r="AC86" i="270"/>
  <c r="AB12" i="271"/>
  <c r="AB35" i="271"/>
  <c r="AB86" i="270"/>
  <c r="AA12" i="271"/>
  <c r="AA86" i="270"/>
  <c r="AA92" i="270"/>
  <c r="Z86" i="270"/>
  <c r="Y86" i="270"/>
  <c r="X86" i="270"/>
  <c r="W86" i="270"/>
  <c r="W92" i="270"/>
  <c r="V86" i="270"/>
  <c r="U86" i="270"/>
  <c r="T86" i="270"/>
  <c r="S86" i="270"/>
  <c r="S92" i="270"/>
  <c r="R86" i="270"/>
  <c r="Q86" i="270"/>
  <c r="P86" i="270"/>
  <c r="O86" i="270"/>
  <c r="N86" i="270"/>
  <c r="M86" i="270"/>
  <c r="L86" i="270"/>
  <c r="AE82" i="270"/>
  <c r="AD11" i="271"/>
  <c r="AD82" i="270"/>
  <c r="AC82" i="270"/>
  <c r="AB11" i="271"/>
  <c r="AB82" i="270"/>
  <c r="AA11" i="271"/>
  <c r="AA82" i="270"/>
  <c r="Z82" i="270"/>
  <c r="Y82" i="270"/>
  <c r="X82" i="270"/>
  <c r="W82" i="270"/>
  <c r="V82" i="270"/>
  <c r="U82" i="270"/>
  <c r="T82" i="270"/>
  <c r="S82" i="270"/>
  <c r="R82" i="270"/>
  <c r="Q82" i="270"/>
  <c r="P82" i="270"/>
  <c r="O82" i="270"/>
  <c r="N82" i="270"/>
  <c r="M82" i="270"/>
  <c r="L82" i="270"/>
  <c r="AE76" i="270"/>
  <c r="AD28" i="271"/>
  <c r="AC76" i="270"/>
  <c r="AB28" i="271"/>
  <c r="AB76" i="270"/>
  <c r="AA76" i="270"/>
  <c r="Z76" i="270"/>
  <c r="Y76" i="270"/>
  <c r="X76" i="270"/>
  <c r="W76" i="270"/>
  <c r="V76" i="270"/>
  <c r="U76" i="270"/>
  <c r="T76" i="270"/>
  <c r="S76" i="270"/>
  <c r="R76" i="270"/>
  <c r="Q76" i="270"/>
  <c r="P76" i="270"/>
  <c r="O76" i="270"/>
  <c r="N76" i="270"/>
  <c r="M76" i="270"/>
  <c r="L76" i="270"/>
  <c r="K76" i="270"/>
  <c r="J76" i="270"/>
  <c r="I76" i="270"/>
  <c r="H76" i="270"/>
  <c r="G76" i="270"/>
  <c r="F76" i="270"/>
  <c r="E76" i="270"/>
  <c r="D76" i="270"/>
  <c r="AE71" i="270"/>
  <c r="AD27" i="271"/>
  <c r="AD77" i="270"/>
  <c r="AC71" i="270"/>
  <c r="AB27" i="271"/>
  <c r="AB71" i="270"/>
  <c r="AA27" i="271"/>
  <c r="AA33" i="271"/>
  <c r="AA71" i="270"/>
  <c r="Z71" i="270"/>
  <c r="Y71" i="270"/>
  <c r="X71" i="270"/>
  <c r="W71" i="270"/>
  <c r="V71" i="270"/>
  <c r="U71" i="270"/>
  <c r="T71" i="270"/>
  <c r="S71" i="270"/>
  <c r="R71" i="270"/>
  <c r="Q71" i="270"/>
  <c r="P71" i="270"/>
  <c r="O71" i="270"/>
  <c r="N71" i="270"/>
  <c r="M71" i="270"/>
  <c r="L71" i="270"/>
  <c r="K71" i="270"/>
  <c r="J71" i="270"/>
  <c r="I71" i="270"/>
  <c r="H71" i="270"/>
  <c r="G71" i="270"/>
  <c r="F71" i="270"/>
  <c r="E71" i="270"/>
  <c r="D71" i="270"/>
  <c r="AE62" i="270"/>
  <c r="AC62" i="270"/>
  <c r="AB26" i="271"/>
  <c r="AB62" i="270"/>
  <c r="AA26" i="271"/>
  <c r="AA62" i="270"/>
  <c r="Z62" i="270"/>
  <c r="Y62" i="270"/>
  <c r="X62" i="270"/>
  <c r="W62" i="270"/>
  <c r="V62" i="270"/>
  <c r="U62" i="270"/>
  <c r="T62" i="270"/>
  <c r="S62" i="270"/>
  <c r="R62" i="270"/>
  <c r="Q62" i="270"/>
  <c r="P62" i="270"/>
  <c r="O62" i="270"/>
  <c r="N62" i="270"/>
  <c r="M62" i="270"/>
  <c r="L62" i="270"/>
  <c r="K62" i="270"/>
  <c r="J62" i="270"/>
  <c r="I62" i="270"/>
  <c r="H62" i="270"/>
  <c r="G62" i="270"/>
  <c r="F62" i="270"/>
  <c r="E62" i="270"/>
  <c r="D62" i="270"/>
  <c r="AD55" i="270"/>
  <c r="AE54" i="270"/>
  <c r="AD18" i="271"/>
  <c r="AC54" i="270"/>
  <c r="AB18" i="271"/>
  <c r="AB54" i="270"/>
  <c r="AA18" i="271"/>
  <c r="AA54" i="270"/>
  <c r="Z54" i="270"/>
  <c r="Y54" i="270"/>
  <c r="X54" i="270"/>
  <c r="W54" i="270"/>
  <c r="V54" i="270"/>
  <c r="U54" i="270"/>
  <c r="T54" i="270"/>
  <c r="S54" i="270"/>
  <c r="R54" i="270"/>
  <c r="Q54" i="270"/>
  <c r="P54" i="270"/>
  <c r="O54" i="270"/>
  <c r="N54" i="270"/>
  <c r="M54" i="270"/>
  <c r="L54" i="270"/>
  <c r="K54" i="270"/>
  <c r="J54" i="270"/>
  <c r="I54" i="270"/>
  <c r="H54" i="270"/>
  <c r="G54" i="270"/>
  <c r="F54" i="270"/>
  <c r="E54" i="270"/>
  <c r="D54" i="270"/>
  <c r="AE47" i="270"/>
  <c r="AD17" i="271"/>
  <c r="AC47" i="270"/>
  <c r="AB17" i="271"/>
  <c r="AB47" i="270"/>
  <c r="AA17" i="271"/>
  <c r="AA47" i="270"/>
  <c r="Z47" i="270"/>
  <c r="Y47" i="270"/>
  <c r="X47" i="270"/>
  <c r="W47" i="270"/>
  <c r="V47" i="270"/>
  <c r="U47" i="270"/>
  <c r="T47" i="270"/>
  <c r="S47" i="270"/>
  <c r="R47" i="270"/>
  <c r="Q47" i="270"/>
  <c r="P47" i="270"/>
  <c r="O47" i="270"/>
  <c r="N47" i="270"/>
  <c r="M47" i="270"/>
  <c r="L47" i="270"/>
  <c r="K47" i="270"/>
  <c r="J47" i="270"/>
  <c r="I47" i="270"/>
  <c r="H47" i="270"/>
  <c r="G47" i="270"/>
  <c r="F47" i="270"/>
  <c r="E47" i="270"/>
  <c r="D47" i="270"/>
  <c r="AE35" i="270"/>
  <c r="AC35" i="270"/>
  <c r="AB16" i="271"/>
  <c r="AB19" i="271"/>
  <c r="AB35" i="270"/>
  <c r="AA16" i="271"/>
  <c r="AA35" i="270"/>
  <c r="Z35" i="270"/>
  <c r="Y35" i="270"/>
  <c r="X35" i="270"/>
  <c r="W35" i="270"/>
  <c r="V35" i="270"/>
  <c r="U35" i="270"/>
  <c r="T35" i="270"/>
  <c r="S35" i="270"/>
  <c r="R35" i="270"/>
  <c r="Q35" i="270"/>
  <c r="P35" i="270"/>
  <c r="O35" i="270"/>
  <c r="N35" i="270"/>
  <c r="M35" i="270"/>
  <c r="L35" i="270"/>
  <c r="K35" i="270"/>
  <c r="J35" i="270"/>
  <c r="I35" i="270"/>
  <c r="H35" i="270"/>
  <c r="G35" i="270"/>
  <c r="F35" i="270"/>
  <c r="E35" i="270"/>
  <c r="D35" i="270"/>
  <c r="AE24" i="270"/>
  <c r="AD8" i="271"/>
  <c r="AC8" i="271"/>
  <c r="AC24" i="270"/>
  <c r="AB24" i="270"/>
  <c r="AA8" i="271"/>
  <c r="AA24" i="270"/>
  <c r="Z24" i="270"/>
  <c r="Y24" i="270"/>
  <c r="X24" i="270"/>
  <c r="W24" i="270"/>
  <c r="V24" i="270"/>
  <c r="U24" i="270"/>
  <c r="T24" i="270"/>
  <c r="S24" i="270"/>
  <c r="R24" i="270"/>
  <c r="Q24" i="270"/>
  <c r="P24" i="270"/>
  <c r="O24" i="270"/>
  <c r="N24" i="270"/>
  <c r="M24" i="270"/>
  <c r="L24" i="270"/>
  <c r="K24" i="270"/>
  <c r="J24" i="270"/>
  <c r="I24" i="270"/>
  <c r="H24" i="270"/>
  <c r="G24" i="270"/>
  <c r="F24" i="270"/>
  <c r="E24" i="270"/>
  <c r="D24" i="270"/>
  <c r="AE20" i="270"/>
  <c r="AD7" i="271"/>
  <c r="AC20" i="270"/>
  <c r="AB7" i="271"/>
  <c r="AB20" i="270"/>
  <c r="AA7" i="271"/>
  <c r="AA20" i="270"/>
  <c r="Z20" i="270"/>
  <c r="Y20" i="270"/>
  <c r="X20" i="270"/>
  <c r="W20" i="270"/>
  <c r="V20" i="270"/>
  <c r="U20" i="270"/>
  <c r="T20" i="270"/>
  <c r="S20" i="270"/>
  <c r="R20" i="270"/>
  <c r="Q20" i="270"/>
  <c r="P20" i="270"/>
  <c r="O20" i="270"/>
  <c r="N20" i="270"/>
  <c r="M20" i="270"/>
  <c r="L20" i="270"/>
  <c r="K20" i="270"/>
  <c r="J20" i="270"/>
  <c r="I20" i="270"/>
  <c r="H20" i="270"/>
  <c r="G20" i="270"/>
  <c r="F20" i="270"/>
  <c r="E20" i="270"/>
  <c r="D20" i="270"/>
  <c r="AE15" i="270"/>
  <c r="AD6" i="271"/>
  <c r="AD31" i="271"/>
  <c r="AC15" i="270"/>
  <c r="AB6" i="271"/>
  <c r="AB15" i="270"/>
  <c r="AA6" i="271"/>
  <c r="AA15" i="270"/>
  <c r="Z15" i="270"/>
  <c r="Y15" i="270"/>
  <c r="X15" i="270"/>
  <c r="W15" i="270"/>
  <c r="V15" i="270"/>
  <c r="U15" i="270"/>
  <c r="T15" i="270"/>
  <c r="S15" i="270"/>
  <c r="R15" i="270"/>
  <c r="Q15" i="270"/>
  <c r="P15" i="270"/>
  <c r="O15" i="270"/>
  <c r="N15" i="270"/>
  <c r="M15" i="270"/>
  <c r="L15" i="270"/>
  <c r="K15" i="270"/>
  <c r="J15" i="270"/>
  <c r="I15" i="270"/>
  <c r="H15" i="270"/>
  <c r="G15" i="270"/>
  <c r="F15" i="270"/>
  <c r="E15" i="270"/>
  <c r="D15" i="270"/>
  <c r="V30" i="233"/>
  <c r="U23" i="233"/>
  <c r="T23" i="233"/>
  <c r="Q23" i="233"/>
  <c r="Q24" i="233"/>
  <c r="P23" i="233"/>
  <c r="M23" i="233"/>
  <c r="L23" i="233"/>
  <c r="I23" i="233"/>
  <c r="I29" i="233"/>
  <c r="H23" i="233"/>
  <c r="E23" i="233"/>
  <c r="D23" i="233"/>
  <c r="U22" i="233"/>
  <c r="V22" i="233"/>
  <c r="T22" i="233"/>
  <c r="S22" i="233"/>
  <c r="Q22" i="233"/>
  <c r="P22" i="233"/>
  <c r="R22" i="233"/>
  <c r="R28" i="233"/>
  <c r="O22" i="233"/>
  <c r="M22" i="233"/>
  <c r="L22" i="233"/>
  <c r="K22" i="233"/>
  <c r="N22" i="233"/>
  <c r="I22" i="233"/>
  <c r="H22" i="233"/>
  <c r="G22" i="233"/>
  <c r="E22" i="233"/>
  <c r="F22" i="233"/>
  <c r="D22" i="233"/>
  <c r="C22" i="233"/>
  <c r="U21" i="233"/>
  <c r="U24" i="233"/>
  <c r="T21" i="233"/>
  <c r="S21" i="233"/>
  <c r="Q21" i="233"/>
  <c r="P21" i="233"/>
  <c r="P24" i="233"/>
  <c r="O21" i="233"/>
  <c r="M21" i="233"/>
  <c r="L21" i="233"/>
  <c r="L24" i="233"/>
  <c r="K21" i="233"/>
  <c r="N21" i="233"/>
  <c r="I21" i="233"/>
  <c r="H21" i="233"/>
  <c r="G21" i="233"/>
  <c r="E21" i="233"/>
  <c r="E24" i="233"/>
  <c r="D21" i="233"/>
  <c r="C21" i="233"/>
  <c r="Y28" i="233"/>
  <c r="U18" i="233"/>
  <c r="T18" i="233"/>
  <c r="T28" i="233"/>
  <c r="S18" i="233"/>
  <c r="Q18" i="233"/>
  <c r="P18" i="233"/>
  <c r="R18" i="233"/>
  <c r="O18" i="233"/>
  <c r="M18" i="233"/>
  <c r="L18" i="233"/>
  <c r="L28" i="233"/>
  <c r="K18" i="233"/>
  <c r="N18" i="233"/>
  <c r="I18" i="233"/>
  <c r="I28" i="233"/>
  <c r="H18" i="233"/>
  <c r="G18" i="233"/>
  <c r="E18" i="233"/>
  <c r="E28" i="233"/>
  <c r="D18" i="233"/>
  <c r="D28" i="233"/>
  <c r="C18" i="233"/>
  <c r="W19" i="233"/>
  <c r="U17" i="233"/>
  <c r="T17" i="233"/>
  <c r="S17" i="233"/>
  <c r="Q17" i="233"/>
  <c r="P17" i="233"/>
  <c r="O17" i="233"/>
  <c r="O19" i="233"/>
  <c r="M17" i="233"/>
  <c r="L17" i="233"/>
  <c r="K17" i="233"/>
  <c r="N17" i="233"/>
  <c r="I17" i="233"/>
  <c r="H17" i="233"/>
  <c r="G17" i="233"/>
  <c r="G19" i="233"/>
  <c r="E17" i="233"/>
  <c r="D17" i="233"/>
  <c r="C17" i="233"/>
  <c r="U16" i="233"/>
  <c r="T16" i="233"/>
  <c r="V16" i="233"/>
  <c r="Q16" i="233"/>
  <c r="P16" i="233"/>
  <c r="M16" i="233"/>
  <c r="L16" i="233"/>
  <c r="L19" i="233"/>
  <c r="I16" i="233"/>
  <c r="H16" i="233"/>
  <c r="E16" i="233"/>
  <c r="D16" i="233"/>
  <c r="F16" i="233"/>
  <c r="U14" i="233"/>
  <c r="S13" i="233"/>
  <c r="S31" i="233"/>
  <c r="V31" i="233"/>
  <c r="Z12" i="233"/>
  <c r="V12" i="233"/>
  <c r="X14" i="233"/>
  <c r="T11" i="233"/>
  <c r="Y29" i="233"/>
  <c r="U8" i="233"/>
  <c r="U29" i="233"/>
  <c r="T8" i="233"/>
  <c r="S8" i="233"/>
  <c r="Q8" i="233"/>
  <c r="P8" i="233"/>
  <c r="P29" i="233"/>
  <c r="O8" i="233"/>
  <c r="M8" i="233"/>
  <c r="L8" i="233"/>
  <c r="K8" i="233"/>
  <c r="N8" i="233"/>
  <c r="I8" i="233"/>
  <c r="H8" i="233"/>
  <c r="H29" i="233"/>
  <c r="G8" i="233"/>
  <c r="E8" i="233"/>
  <c r="E29" i="233"/>
  <c r="D8" i="233"/>
  <c r="C8" i="233"/>
  <c r="C29" i="233"/>
  <c r="X27" i="233"/>
  <c r="U7" i="233"/>
  <c r="V7" i="233"/>
  <c r="T7" i="233"/>
  <c r="S7" i="233"/>
  <c r="S27" i="233"/>
  <c r="Q7" i="233"/>
  <c r="P7" i="233"/>
  <c r="P27" i="233"/>
  <c r="O7" i="233"/>
  <c r="M7" i="233"/>
  <c r="L7" i="233"/>
  <c r="K7" i="233"/>
  <c r="N7" i="233"/>
  <c r="I7" i="233"/>
  <c r="H7" i="233"/>
  <c r="G7" i="233"/>
  <c r="E7" i="233"/>
  <c r="E9" i="233"/>
  <c r="D7" i="233"/>
  <c r="C7" i="233"/>
  <c r="W26" i="233"/>
  <c r="U6" i="233"/>
  <c r="V6" i="233"/>
  <c r="T6" i="233"/>
  <c r="S6" i="233"/>
  <c r="S26" i="233"/>
  <c r="Q6" i="233"/>
  <c r="P6" i="233"/>
  <c r="P26" i="233"/>
  <c r="O6" i="233"/>
  <c r="O26" i="233"/>
  <c r="K6" i="233"/>
  <c r="K26" i="233"/>
  <c r="I6" i="233"/>
  <c r="H6" i="233"/>
  <c r="H9" i="233"/>
  <c r="G6" i="233"/>
  <c r="G26" i="233"/>
  <c r="E6" i="233"/>
  <c r="D6" i="233"/>
  <c r="C6" i="233"/>
  <c r="C26" i="233"/>
  <c r="I145" i="266"/>
  <c r="I138" i="266"/>
  <c r="J134" i="266"/>
  <c r="I134" i="266"/>
  <c r="H134" i="266"/>
  <c r="G134" i="266"/>
  <c r="F134" i="266"/>
  <c r="E134" i="266"/>
  <c r="J129" i="266"/>
  <c r="I129" i="266"/>
  <c r="H129" i="266"/>
  <c r="G129" i="266"/>
  <c r="F129" i="266"/>
  <c r="E129" i="266"/>
  <c r="J114" i="266"/>
  <c r="I114" i="266"/>
  <c r="H114" i="266"/>
  <c r="G114" i="266"/>
  <c r="F114" i="266"/>
  <c r="E114" i="266"/>
  <c r="J95" i="266"/>
  <c r="I95" i="266"/>
  <c r="H95" i="266"/>
  <c r="G95" i="266"/>
  <c r="F95" i="266"/>
  <c r="E95" i="266"/>
  <c r="J82" i="266"/>
  <c r="J96" i="266"/>
  <c r="I82" i="266"/>
  <c r="H82" i="266"/>
  <c r="G82" i="266"/>
  <c r="F82" i="266"/>
  <c r="F96" i="266"/>
  <c r="E82" i="266"/>
  <c r="J66" i="266"/>
  <c r="I66" i="266"/>
  <c r="H66" i="266"/>
  <c r="G66" i="266"/>
  <c r="F66" i="266"/>
  <c r="E66" i="266"/>
  <c r="J44" i="266"/>
  <c r="I44" i="266"/>
  <c r="H44" i="266"/>
  <c r="G44" i="266"/>
  <c r="F44" i="266"/>
  <c r="E44" i="266"/>
  <c r="J26" i="266"/>
  <c r="I26" i="266"/>
  <c r="H26" i="266"/>
  <c r="G26" i="266"/>
  <c r="F26" i="266"/>
  <c r="E26" i="266"/>
  <c r="J12" i="266"/>
  <c r="I12" i="266"/>
  <c r="H12" i="266"/>
  <c r="H45" i="266"/>
  <c r="F12" i="266"/>
  <c r="E12" i="266"/>
  <c r="G10" i="266"/>
  <c r="M6" i="233"/>
  <c r="G6" i="266"/>
  <c r="G5" i="266"/>
  <c r="BI71" i="279"/>
  <c r="BH71" i="279"/>
  <c r="BG71" i="279"/>
  <c r="BJ71" i="279"/>
  <c r="BL70" i="279"/>
  <c r="BM69" i="279"/>
  <c r="BK69" i="279"/>
  <c r="BI69" i="279"/>
  <c r="BG69" i="279"/>
  <c r="BM68" i="279"/>
  <c r="BK68" i="279"/>
  <c r="BI68" i="279"/>
  <c r="BG68" i="279"/>
  <c r="BN67" i="279"/>
  <c r="BJ67" i="279"/>
  <c r="BN66" i="279"/>
  <c r="BJ66" i="279"/>
  <c r="BL65" i="279"/>
  <c r="BL69" i="279"/>
  <c r="BH65" i="279"/>
  <c r="BH69" i="279"/>
  <c r="BM64" i="279"/>
  <c r="BL64" i="279"/>
  <c r="BK64" i="279"/>
  <c r="BI64" i="279"/>
  <c r="BH64" i="279"/>
  <c r="BG64" i="279"/>
  <c r="BN63" i="279"/>
  <c r="BJ63" i="279"/>
  <c r="BN62" i="279"/>
  <c r="BJ62" i="279"/>
  <c r="BN61" i="279"/>
  <c r="BJ61" i="279"/>
  <c r="BL59" i="279"/>
  <c r="BL71" i="279"/>
  <c r="BK59" i="279"/>
  <c r="BJ59" i="279"/>
  <c r="BK58" i="279"/>
  <c r="BK70" i="279"/>
  <c r="BI58" i="279"/>
  <c r="BI60" i="279"/>
  <c r="BH58" i="279"/>
  <c r="BH70" i="279"/>
  <c r="BG58" i="279"/>
  <c r="BG70" i="279"/>
  <c r="BN57" i="279"/>
  <c r="BJ57" i="279"/>
  <c r="BA54" i="279"/>
  <c r="AZ54" i="279"/>
  <c r="AY54" i="279"/>
  <c r="AW54" i="279"/>
  <c r="AV54" i="279"/>
  <c r="AU54" i="279"/>
  <c r="AT54" i="279"/>
  <c r="AS54" i="279"/>
  <c r="AR54" i="279"/>
  <c r="AQ54" i="279"/>
  <c r="AL54" i="279"/>
  <c r="AK54" i="279"/>
  <c r="AJ54" i="279"/>
  <c r="AI54" i="279"/>
  <c r="AH54" i="279"/>
  <c r="AG54" i="279"/>
  <c r="AF54" i="279"/>
  <c r="AE54" i="279"/>
  <c r="AD54" i="279"/>
  <c r="AC54" i="279"/>
  <c r="AB54" i="279"/>
  <c r="AA54" i="279"/>
  <c r="Z54" i="279"/>
  <c r="Y54" i="279"/>
  <c r="X54" i="279"/>
  <c r="W54" i="279"/>
  <c r="V54" i="279"/>
  <c r="U54" i="279"/>
  <c r="T54" i="279"/>
  <c r="S54" i="279"/>
  <c r="BA53" i="279"/>
  <c r="AZ53" i="279"/>
  <c r="AY53" i="279"/>
  <c r="AW53" i="279"/>
  <c r="AV53" i="279"/>
  <c r="AU53" i="279"/>
  <c r="AT53" i="279"/>
  <c r="AS53" i="279"/>
  <c r="AR53" i="279"/>
  <c r="AQ53" i="279"/>
  <c r="AL53" i="279"/>
  <c r="AK53" i="279"/>
  <c r="AJ53" i="279"/>
  <c r="AI53" i="279"/>
  <c r="AH53" i="279"/>
  <c r="AG53" i="279"/>
  <c r="AF53" i="279"/>
  <c r="AE53" i="279"/>
  <c r="AD53" i="279"/>
  <c r="AC53" i="279"/>
  <c r="AB53" i="279"/>
  <c r="AA53" i="279"/>
  <c r="Z53" i="279"/>
  <c r="Y53" i="279"/>
  <c r="X53" i="279"/>
  <c r="W53" i="279"/>
  <c r="V53" i="279"/>
  <c r="U53" i="279"/>
  <c r="T53" i="279"/>
  <c r="S53" i="279"/>
  <c r="BA52" i="279"/>
  <c r="BA55" i="279"/>
  <c r="AZ52" i="279"/>
  <c r="AY52" i="279"/>
  <c r="AW52" i="279"/>
  <c r="AV52" i="279"/>
  <c r="AU52" i="279"/>
  <c r="AU55" i="279"/>
  <c r="AT52" i="279"/>
  <c r="AT55" i="279"/>
  <c r="AS52" i="279"/>
  <c r="AR52" i="279"/>
  <c r="AR55" i="279"/>
  <c r="AQ52" i="279"/>
  <c r="AL52" i="279"/>
  <c r="AK52" i="279"/>
  <c r="AJ52" i="279"/>
  <c r="AI52" i="279"/>
  <c r="AI55" i="279"/>
  <c r="AH52" i="279"/>
  <c r="AH55" i="279"/>
  <c r="AG52" i="279"/>
  <c r="AF52" i="279"/>
  <c r="AF55" i="279"/>
  <c r="AE52" i="279"/>
  <c r="AD52" i="279"/>
  <c r="AC52" i="279"/>
  <c r="AB52" i="279"/>
  <c r="AA52" i="279"/>
  <c r="AA55" i="279"/>
  <c r="Z52" i="279"/>
  <c r="Z55" i="279"/>
  <c r="Y52" i="279"/>
  <c r="X52" i="279"/>
  <c r="X55" i="279"/>
  <c r="W52" i="279"/>
  <c r="V52" i="279"/>
  <c r="U52" i="279"/>
  <c r="T52" i="279"/>
  <c r="S52" i="279"/>
  <c r="S55" i="279"/>
  <c r="BA51" i="279"/>
  <c r="AZ51" i="279"/>
  <c r="AY51" i="279"/>
  <c r="AW51" i="279"/>
  <c r="AV51" i="279"/>
  <c r="AU51" i="279"/>
  <c r="O51" i="279"/>
  <c r="M51" i="279"/>
  <c r="L51" i="279"/>
  <c r="K51" i="279"/>
  <c r="I51" i="279"/>
  <c r="H51" i="279"/>
  <c r="J51" i="279"/>
  <c r="G51" i="279"/>
  <c r="E51" i="279"/>
  <c r="D51" i="279"/>
  <c r="C51" i="279"/>
  <c r="BM50" i="279"/>
  <c r="BL50" i="279"/>
  <c r="BK50" i="279"/>
  <c r="BI50" i="279"/>
  <c r="BH50" i="279"/>
  <c r="BG50" i="279"/>
  <c r="BE50" i="279"/>
  <c r="BD50" i="279"/>
  <c r="BC50" i="279"/>
  <c r="BB50" i="279"/>
  <c r="AX50" i="279"/>
  <c r="R50" i="279"/>
  <c r="N50" i="279"/>
  <c r="J50" i="279"/>
  <c r="F50" i="279"/>
  <c r="BM49" i="279"/>
  <c r="BL49" i="279"/>
  <c r="BK49" i="279"/>
  <c r="BI49" i="279"/>
  <c r="BI51" i="279"/>
  <c r="BH49" i="279"/>
  <c r="BH51" i="279"/>
  <c r="BG49" i="279"/>
  <c r="BE49" i="279"/>
  <c r="BE51" i="279"/>
  <c r="BD49" i="279"/>
  <c r="BC49" i="279"/>
  <c r="BB49" i="279"/>
  <c r="AX49" i="279"/>
  <c r="Q49" i="279"/>
  <c r="R49" i="279"/>
  <c r="P49" i="279"/>
  <c r="P51" i="279"/>
  <c r="N49" i="279"/>
  <c r="J49" i="279"/>
  <c r="F49" i="279"/>
  <c r="BA47" i="279"/>
  <c r="AZ47" i="279"/>
  <c r="AY47" i="279"/>
  <c r="AW47" i="279"/>
  <c r="AV47" i="279"/>
  <c r="AU47" i="279"/>
  <c r="BM46" i="279"/>
  <c r="BL46" i="279"/>
  <c r="BK46" i="279"/>
  <c r="BI46" i="279"/>
  <c r="BH46" i="279"/>
  <c r="BG46" i="279"/>
  <c r="BE46" i="279"/>
  <c r="BD46" i="279"/>
  <c r="BC46" i="279"/>
  <c r="BB46" i="279"/>
  <c r="AX46" i="279"/>
  <c r="Q46" i="279"/>
  <c r="P46" i="279"/>
  <c r="O46" i="279"/>
  <c r="M46" i="279"/>
  <c r="L46" i="279"/>
  <c r="K46" i="279"/>
  <c r="I46" i="279"/>
  <c r="H46" i="279"/>
  <c r="G46" i="279"/>
  <c r="E46" i="279"/>
  <c r="D46" i="279"/>
  <c r="C46" i="279"/>
  <c r="BM45" i="279"/>
  <c r="BL45" i="279"/>
  <c r="BK45" i="279"/>
  <c r="BI45" i="279"/>
  <c r="BH45" i="279"/>
  <c r="BG45" i="279"/>
  <c r="BE45" i="279"/>
  <c r="BD45" i="279"/>
  <c r="BC45" i="279"/>
  <c r="BB45" i="279"/>
  <c r="AX45" i="279"/>
  <c r="Q45" i="279"/>
  <c r="P45" i="279"/>
  <c r="O45" i="279"/>
  <c r="M45" i="279"/>
  <c r="L45" i="279"/>
  <c r="K45" i="279"/>
  <c r="I45" i="279"/>
  <c r="H45" i="279"/>
  <c r="G45" i="279"/>
  <c r="E45" i="279"/>
  <c r="D45" i="279"/>
  <c r="C45" i="279"/>
  <c r="BM44" i="279"/>
  <c r="BL44" i="279"/>
  <c r="BK44" i="279"/>
  <c r="BK47" i="279"/>
  <c r="BI44" i="279"/>
  <c r="BH44" i="279"/>
  <c r="BG44" i="279"/>
  <c r="BE44" i="279"/>
  <c r="BE47" i="279"/>
  <c r="BD44" i="279"/>
  <c r="BD47" i="279"/>
  <c r="BC44" i="279"/>
  <c r="BB44" i="279"/>
  <c r="AX44" i="279"/>
  <c r="Q44" i="279"/>
  <c r="P44" i="279"/>
  <c r="O44" i="279"/>
  <c r="M44" i="279"/>
  <c r="L44" i="279"/>
  <c r="L47" i="279"/>
  <c r="K44" i="279"/>
  <c r="I44" i="279"/>
  <c r="H44" i="279"/>
  <c r="G44" i="279"/>
  <c r="E44" i="279"/>
  <c r="D44" i="279"/>
  <c r="C44" i="279"/>
  <c r="C47" i="279"/>
  <c r="BA43" i="279"/>
  <c r="AZ43" i="279"/>
  <c r="BB43" i="279"/>
  <c r="AY43" i="279"/>
  <c r="AW43" i="279"/>
  <c r="AV43" i="279"/>
  <c r="AU43" i="279"/>
  <c r="BL42" i="279"/>
  <c r="BK42" i="279"/>
  <c r="BI42" i="279"/>
  <c r="BH42" i="279"/>
  <c r="BG42" i="279"/>
  <c r="BE42" i="279"/>
  <c r="BE54" i="279"/>
  <c r="BD42" i="279"/>
  <c r="BC42" i="279"/>
  <c r="BB42" i="279"/>
  <c r="AX42" i="279"/>
  <c r="Q42" i="279"/>
  <c r="P42" i="279"/>
  <c r="O42" i="279"/>
  <c r="M42" i="279"/>
  <c r="M54" i="279"/>
  <c r="L42" i="279"/>
  <c r="L54" i="279"/>
  <c r="K42" i="279"/>
  <c r="I42" i="279"/>
  <c r="H42" i="279"/>
  <c r="G42" i="279"/>
  <c r="E42" i="279"/>
  <c r="D42" i="279"/>
  <c r="D54" i="279"/>
  <c r="C42" i="279"/>
  <c r="C54" i="279"/>
  <c r="BL41" i="279"/>
  <c r="BK41" i="279"/>
  <c r="BI41" i="279"/>
  <c r="BI53" i="279"/>
  <c r="BH41" i="279"/>
  <c r="BG41" i="279"/>
  <c r="BE41" i="279"/>
  <c r="BD41" i="279"/>
  <c r="BD53" i="279"/>
  <c r="BC41" i="279"/>
  <c r="BB41" i="279"/>
  <c r="AX41" i="279"/>
  <c r="Q41" i="279"/>
  <c r="P41" i="279"/>
  <c r="O41" i="279"/>
  <c r="M41" i="279"/>
  <c r="L41" i="279"/>
  <c r="L53" i="279"/>
  <c r="K41" i="279"/>
  <c r="K53" i="279"/>
  <c r="I41" i="279"/>
  <c r="H41" i="279"/>
  <c r="G41" i="279"/>
  <c r="E41" i="279"/>
  <c r="D41" i="279"/>
  <c r="C41" i="279"/>
  <c r="C53" i="279"/>
  <c r="BM52" i="279"/>
  <c r="BL40" i="279"/>
  <c r="BK40" i="279"/>
  <c r="BI40" i="279"/>
  <c r="BI52" i="279"/>
  <c r="BH40" i="279"/>
  <c r="BG40" i="279"/>
  <c r="BE40" i="279"/>
  <c r="BD40" i="279"/>
  <c r="BD52" i="279"/>
  <c r="BC40" i="279"/>
  <c r="BC52" i="279"/>
  <c r="BB40" i="279"/>
  <c r="AX40" i="279"/>
  <c r="Q40" i="279"/>
  <c r="Q52" i="279"/>
  <c r="P40" i="279"/>
  <c r="O40" i="279"/>
  <c r="M40" i="279"/>
  <c r="L40" i="279"/>
  <c r="K40" i="279"/>
  <c r="I40" i="279"/>
  <c r="I52" i="279"/>
  <c r="H40" i="279"/>
  <c r="G40" i="279"/>
  <c r="E40" i="279"/>
  <c r="D40" i="279"/>
  <c r="C40" i="279"/>
  <c r="BA37" i="279"/>
  <c r="AZ37" i="279"/>
  <c r="AY37" i="279"/>
  <c r="AW37" i="279"/>
  <c r="AV37" i="279"/>
  <c r="AU37" i="279"/>
  <c r="AT37" i="279"/>
  <c r="AS37" i="279"/>
  <c r="AR37" i="279"/>
  <c r="AQ37" i="279"/>
  <c r="AL37" i="279"/>
  <c r="AK37" i="279"/>
  <c r="AJ37" i="279"/>
  <c r="AI37" i="279"/>
  <c r="AH37" i="279"/>
  <c r="AG37" i="279"/>
  <c r="AF37" i="279"/>
  <c r="AE37" i="279"/>
  <c r="AD37" i="279"/>
  <c r="AC37" i="279"/>
  <c r="AB37" i="279"/>
  <c r="AA37" i="279"/>
  <c r="Z37" i="279"/>
  <c r="Y37" i="279"/>
  <c r="X37" i="279"/>
  <c r="W37" i="279"/>
  <c r="V37" i="279"/>
  <c r="U37" i="279"/>
  <c r="T37" i="279"/>
  <c r="S37" i="279"/>
  <c r="BA36" i="279"/>
  <c r="AZ36" i="279"/>
  <c r="AY36" i="279"/>
  <c r="AW36" i="279"/>
  <c r="AV36" i="279"/>
  <c r="AU36" i="279"/>
  <c r="AT36" i="279"/>
  <c r="AS36" i="279"/>
  <c r="AR36" i="279"/>
  <c r="AQ36" i="279"/>
  <c r="AL36" i="279"/>
  <c r="AK36" i="279"/>
  <c r="AJ36" i="279"/>
  <c r="AI36" i="279"/>
  <c r="AH36" i="279"/>
  <c r="AG36" i="279"/>
  <c r="AF36" i="279"/>
  <c r="AE36" i="279"/>
  <c r="AD36" i="279"/>
  <c r="AC36" i="279"/>
  <c r="AB36" i="279"/>
  <c r="AA36" i="279"/>
  <c r="Z36" i="279"/>
  <c r="Y36" i="279"/>
  <c r="X36" i="279"/>
  <c r="W36" i="279"/>
  <c r="V36" i="279"/>
  <c r="U36" i="279"/>
  <c r="T36" i="279"/>
  <c r="S36" i="279"/>
  <c r="BA35" i="279"/>
  <c r="BA38" i="279"/>
  <c r="AZ35" i="279"/>
  <c r="AZ38" i="279"/>
  <c r="AY35" i="279"/>
  <c r="AW35" i="279"/>
  <c r="AW38" i="279"/>
  <c r="AV35" i="279"/>
  <c r="AU35" i="279"/>
  <c r="AT35" i="279"/>
  <c r="AS35" i="279"/>
  <c r="AR35" i="279"/>
  <c r="AR38" i="279"/>
  <c r="AQ35" i="279"/>
  <c r="AQ38" i="279"/>
  <c r="AL35" i="279"/>
  <c r="AK35" i="279"/>
  <c r="AK38" i="279"/>
  <c r="AJ35" i="279"/>
  <c r="AI35" i="279"/>
  <c r="AH35" i="279"/>
  <c r="AG35" i="279"/>
  <c r="AF35" i="279"/>
  <c r="AF38" i="279"/>
  <c r="AE35" i="279"/>
  <c r="AE38" i="279"/>
  <c r="AD35" i="279"/>
  <c r="AC35" i="279"/>
  <c r="AC38" i="279"/>
  <c r="AB35" i="279"/>
  <c r="AA35" i="279"/>
  <c r="Z35" i="279"/>
  <c r="Y35" i="279"/>
  <c r="X35" i="279"/>
  <c r="X38" i="279"/>
  <c r="W35" i="279"/>
  <c r="W38" i="279"/>
  <c r="V35" i="279"/>
  <c r="U35" i="279"/>
  <c r="U38" i="279"/>
  <c r="T35" i="279"/>
  <c r="S35" i="279"/>
  <c r="BA34" i="279"/>
  <c r="AZ34" i="279"/>
  <c r="AY34" i="279"/>
  <c r="BB34" i="279"/>
  <c r="AW34" i="279"/>
  <c r="AV34" i="279"/>
  <c r="AU34" i="279"/>
  <c r="BM33" i="279"/>
  <c r="BL33" i="279"/>
  <c r="BK33" i="279"/>
  <c r="BI33" i="279"/>
  <c r="BH33" i="279"/>
  <c r="BG33" i="279"/>
  <c r="BE33" i="279"/>
  <c r="BD33" i="279"/>
  <c r="BC33" i="279"/>
  <c r="BB33" i="279"/>
  <c r="AX33" i="279"/>
  <c r="Q33" i="279"/>
  <c r="P33" i="279"/>
  <c r="O33" i="279"/>
  <c r="M33" i="279"/>
  <c r="L33" i="279"/>
  <c r="K33" i="279"/>
  <c r="I33" i="279"/>
  <c r="H33" i="279"/>
  <c r="G33" i="279"/>
  <c r="E33" i="279"/>
  <c r="D33" i="279"/>
  <c r="C33" i="279"/>
  <c r="BM32" i="279"/>
  <c r="BL32" i="279"/>
  <c r="BK32" i="279"/>
  <c r="BI32" i="279"/>
  <c r="BH32" i="279"/>
  <c r="BG32" i="279"/>
  <c r="BE32" i="279"/>
  <c r="BD32" i="279"/>
  <c r="BC32" i="279"/>
  <c r="BB32" i="279"/>
  <c r="AX32" i="279"/>
  <c r="Q32" i="279"/>
  <c r="P32" i="279"/>
  <c r="O32" i="279"/>
  <c r="M32" i="279"/>
  <c r="L32" i="279"/>
  <c r="K32" i="279"/>
  <c r="I32" i="279"/>
  <c r="H32" i="279"/>
  <c r="G32" i="279"/>
  <c r="E32" i="279"/>
  <c r="D32" i="279"/>
  <c r="C32" i="279"/>
  <c r="BM31" i="279"/>
  <c r="BL31" i="279"/>
  <c r="BK31" i="279"/>
  <c r="BI31" i="279"/>
  <c r="BH31" i="279"/>
  <c r="BG31" i="279"/>
  <c r="BE31" i="279"/>
  <c r="BE34" i="279"/>
  <c r="BD31" i="279"/>
  <c r="BC31" i="279"/>
  <c r="BB31" i="279"/>
  <c r="AX31" i="279"/>
  <c r="Q31" i="279"/>
  <c r="P31" i="279"/>
  <c r="O31" i="279"/>
  <c r="M31" i="279"/>
  <c r="M34" i="279"/>
  <c r="L31" i="279"/>
  <c r="K31" i="279"/>
  <c r="I31" i="279"/>
  <c r="H31" i="279"/>
  <c r="G31" i="279"/>
  <c r="E31" i="279"/>
  <c r="D31" i="279"/>
  <c r="C31" i="279"/>
  <c r="BA30" i="279"/>
  <c r="AZ30" i="279"/>
  <c r="AY30" i="279"/>
  <c r="AW30" i="279"/>
  <c r="AV30" i="279"/>
  <c r="AU30" i="279"/>
  <c r="BM29" i="279"/>
  <c r="BL29" i="279"/>
  <c r="BK29" i="279"/>
  <c r="BI29" i="279"/>
  <c r="BH29" i="279"/>
  <c r="BG29" i="279"/>
  <c r="BE29" i="279"/>
  <c r="BD29" i="279"/>
  <c r="BC29" i="279"/>
  <c r="BB29" i="279"/>
  <c r="AX29" i="279"/>
  <c r="Q29" i="279"/>
  <c r="P29" i="279"/>
  <c r="O29" i="279"/>
  <c r="M29" i="279"/>
  <c r="L29" i="279"/>
  <c r="K29" i="279"/>
  <c r="I29" i="279"/>
  <c r="H29" i="279"/>
  <c r="G29" i="279"/>
  <c r="E29" i="279"/>
  <c r="D29" i="279"/>
  <c r="C29" i="279"/>
  <c r="BM28" i="279"/>
  <c r="BL28" i="279"/>
  <c r="BK28" i="279"/>
  <c r="BI28" i="279"/>
  <c r="BH28" i="279"/>
  <c r="BG28" i="279"/>
  <c r="BE28" i="279"/>
  <c r="BD28" i="279"/>
  <c r="BC28" i="279"/>
  <c r="BB28" i="279"/>
  <c r="AX28" i="279"/>
  <c r="Q28" i="279"/>
  <c r="P28" i="279"/>
  <c r="O28" i="279"/>
  <c r="M28" i="279"/>
  <c r="L28" i="279"/>
  <c r="K28" i="279"/>
  <c r="I28" i="279"/>
  <c r="H28" i="279"/>
  <c r="G28" i="279"/>
  <c r="E28" i="279"/>
  <c r="D28" i="279"/>
  <c r="C28" i="279"/>
  <c r="BM27" i="279"/>
  <c r="BL27" i="279"/>
  <c r="BK27" i="279"/>
  <c r="BI27" i="279"/>
  <c r="BH27" i="279"/>
  <c r="BG27" i="279"/>
  <c r="BG35" i="279"/>
  <c r="BE27" i="279"/>
  <c r="BD27" i="279"/>
  <c r="BC27" i="279"/>
  <c r="BB27" i="279"/>
  <c r="AX27" i="279"/>
  <c r="Q27" i="279"/>
  <c r="P27" i="279"/>
  <c r="O27" i="279"/>
  <c r="O35" i="279"/>
  <c r="M27" i="279"/>
  <c r="L27" i="279"/>
  <c r="K27" i="279"/>
  <c r="I27" i="279"/>
  <c r="I35" i="279"/>
  <c r="H27" i="279"/>
  <c r="G27" i="279"/>
  <c r="G35" i="279"/>
  <c r="E27" i="279"/>
  <c r="D27" i="279"/>
  <c r="C27" i="279"/>
  <c r="BA26" i="279"/>
  <c r="AZ26" i="279"/>
  <c r="AY26" i="279"/>
  <c r="AW26" i="279"/>
  <c r="AV26" i="279"/>
  <c r="AX26" i="279"/>
  <c r="AU26" i="279"/>
  <c r="BM25" i="279"/>
  <c r="BL25" i="279"/>
  <c r="BK25" i="279"/>
  <c r="BI25" i="279"/>
  <c r="BH25" i="279"/>
  <c r="BG25" i="279"/>
  <c r="BE25" i="279"/>
  <c r="BD25" i="279"/>
  <c r="BD37" i="279"/>
  <c r="BC25" i="279"/>
  <c r="BC37" i="279"/>
  <c r="BB25" i="279"/>
  <c r="AX25" i="279"/>
  <c r="Q25" i="279"/>
  <c r="P25" i="279"/>
  <c r="O25" i="279"/>
  <c r="M25" i="279"/>
  <c r="M37" i="279"/>
  <c r="L25" i="279"/>
  <c r="K25" i="279"/>
  <c r="K37" i="279"/>
  <c r="I25" i="279"/>
  <c r="H25" i="279"/>
  <c r="G25" i="279"/>
  <c r="E25" i="279"/>
  <c r="D25" i="279"/>
  <c r="C25" i="279"/>
  <c r="C37" i="279"/>
  <c r="BM24" i="279"/>
  <c r="BL24" i="279"/>
  <c r="BK24" i="279"/>
  <c r="BK26" i="279"/>
  <c r="BI24" i="279"/>
  <c r="BH24" i="279"/>
  <c r="BG24" i="279"/>
  <c r="BE24" i="279"/>
  <c r="BD24" i="279"/>
  <c r="BC24" i="279"/>
  <c r="BB24" i="279"/>
  <c r="AX24" i="279"/>
  <c r="Q24" i="279"/>
  <c r="P24" i="279"/>
  <c r="O24" i="279"/>
  <c r="O26" i="279"/>
  <c r="M24" i="279"/>
  <c r="L24" i="279"/>
  <c r="L36" i="279"/>
  <c r="K24" i="279"/>
  <c r="I24" i="279"/>
  <c r="I36" i="279"/>
  <c r="H24" i="279"/>
  <c r="G24" i="279"/>
  <c r="E24" i="279"/>
  <c r="D24" i="279"/>
  <c r="C24" i="279"/>
  <c r="C36" i="279"/>
  <c r="BA20" i="279"/>
  <c r="BA76" i="279"/>
  <c r="AZ20" i="279"/>
  <c r="AY20" i="279"/>
  <c r="AW20" i="279"/>
  <c r="AV20" i="279"/>
  <c r="AU20" i="279"/>
  <c r="AT20" i="279"/>
  <c r="AS20" i="279"/>
  <c r="AR20" i="279"/>
  <c r="AR76" i="279"/>
  <c r="AQ20" i="279"/>
  <c r="AL20" i="279"/>
  <c r="AK20" i="279"/>
  <c r="AJ20" i="279"/>
  <c r="AI20" i="279"/>
  <c r="AH20" i="279"/>
  <c r="AG20" i="279"/>
  <c r="AF20" i="279"/>
  <c r="AF76" i="279"/>
  <c r="AE20" i="279"/>
  <c r="AD20" i="279"/>
  <c r="AC20" i="279"/>
  <c r="AB20" i="279"/>
  <c r="AA20" i="279"/>
  <c r="Z20" i="279"/>
  <c r="Y20" i="279"/>
  <c r="X20" i="279"/>
  <c r="X76" i="279"/>
  <c r="W20" i="279"/>
  <c r="V20" i="279"/>
  <c r="U20" i="279"/>
  <c r="T20" i="279"/>
  <c r="S20" i="279"/>
  <c r="S76" i="279"/>
  <c r="BA19" i="279"/>
  <c r="BA75" i="279"/>
  <c r="AZ19" i="279"/>
  <c r="AY19" i="279"/>
  <c r="AY75" i="279"/>
  <c r="AW19" i="279"/>
  <c r="AV19" i="279"/>
  <c r="AU19" i="279"/>
  <c r="AU75" i="279"/>
  <c r="AT19" i="279"/>
  <c r="AS19" i="279"/>
  <c r="AS75" i="279"/>
  <c r="AR19" i="279"/>
  <c r="AR75" i="279"/>
  <c r="AQ19" i="279"/>
  <c r="AL19" i="279"/>
  <c r="AL75" i="279"/>
  <c r="AK19" i="279"/>
  <c r="AJ19" i="279"/>
  <c r="AI19" i="279"/>
  <c r="AI75" i="279"/>
  <c r="AH19" i="279"/>
  <c r="AG19" i="279"/>
  <c r="AG75" i="279"/>
  <c r="AF19" i="279"/>
  <c r="AF75" i="279"/>
  <c r="AE19" i="279"/>
  <c r="AD19" i="279"/>
  <c r="AD75" i="279"/>
  <c r="AC19" i="279"/>
  <c r="AB19" i="279"/>
  <c r="AA19" i="279"/>
  <c r="AA75" i="279"/>
  <c r="Z19" i="279"/>
  <c r="Y19" i="279"/>
  <c r="Y75" i="279"/>
  <c r="X19" i="279"/>
  <c r="X75" i="279"/>
  <c r="W19" i="279"/>
  <c r="V19" i="279"/>
  <c r="V75" i="279"/>
  <c r="U19" i="279"/>
  <c r="T19" i="279"/>
  <c r="S19" i="279"/>
  <c r="S75" i="279"/>
  <c r="BA18" i="279"/>
  <c r="AZ18" i="279"/>
  <c r="AZ74" i="279"/>
  <c r="AY18" i="279"/>
  <c r="AY74" i="279"/>
  <c r="AW18" i="279"/>
  <c r="AV18" i="279"/>
  <c r="AV74" i="279"/>
  <c r="AU18" i="279"/>
  <c r="AT18" i="279"/>
  <c r="AS18" i="279"/>
  <c r="AS74" i="279"/>
  <c r="AR18" i="279"/>
  <c r="AQ18" i="279"/>
  <c r="AQ74" i="279"/>
  <c r="AL18" i="279"/>
  <c r="AL74" i="279"/>
  <c r="AK18" i="279"/>
  <c r="AJ18" i="279"/>
  <c r="AJ74" i="279"/>
  <c r="AI18" i="279"/>
  <c r="AH18" i="279"/>
  <c r="AG18" i="279"/>
  <c r="AG74" i="279"/>
  <c r="AF18" i="279"/>
  <c r="AE18" i="279"/>
  <c r="AE74" i="279"/>
  <c r="AD18" i="279"/>
  <c r="AD74" i="279"/>
  <c r="AC18" i="279"/>
  <c r="AB18" i="279"/>
  <c r="AB74" i="279"/>
  <c r="AA18" i="279"/>
  <c r="Z18" i="279"/>
  <c r="Y18" i="279"/>
  <c r="Y74" i="279"/>
  <c r="X18" i="279"/>
  <c r="W18" i="279"/>
  <c r="W74" i="279"/>
  <c r="V18" i="279"/>
  <c r="V74" i="279"/>
  <c r="U18" i="279"/>
  <c r="T18" i="279"/>
  <c r="T74" i="279"/>
  <c r="S18" i="279"/>
  <c r="BA17" i="279"/>
  <c r="AZ17" i="279"/>
  <c r="AY17" i="279"/>
  <c r="BB17" i="279"/>
  <c r="AW17" i="279"/>
  <c r="AV17" i="279"/>
  <c r="AU17" i="279"/>
  <c r="AT17" i="279"/>
  <c r="AS17" i="279"/>
  <c r="AR17" i="279"/>
  <c r="AQ17" i="279"/>
  <c r="BM16" i="279"/>
  <c r="BL16" i="279"/>
  <c r="BK16" i="279"/>
  <c r="BK20" i="279"/>
  <c r="BI16" i="279"/>
  <c r="BH16" i="279"/>
  <c r="BG16" i="279"/>
  <c r="BE16" i="279"/>
  <c r="BD16" i="279"/>
  <c r="BC16" i="279"/>
  <c r="BB16" i="279"/>
  <c r="AX16" i="279"/>
  <c r="Q16" i="279"/>
  <c r="P16" i="279"/>
  <c r="O16" i="279"/>
  <c r="M16" i="279"/>
  <c r="L16" i="279"/>
  <c r="K16" i="279"/>
  <c r="I16" i="279"/>
  <c r="H16" i="279"/>
  <c r="G16" i="279"/>
  <c r="E16" i="279"/>
  <c r="D16" i="279"/>
  <c r="C16" i="279"/>
  <c r="BM15" i="279"/>
  <c r="BL15" i="279"/>
  <c r="BL19" i="279"/>
  <c r="BK15" i="279"/>
  <c r="BI15" i="279"/>
  <c r="BH15" i="279"/>
  <c r="BG15" i="279"/>
  <c r="BE15" i="279"/>
  <c r="BD15" i="279"/>
  <c r="BC15" i="279"/>
  <c r="BB15" i="279"/>
  <c r="AX15" i="279"/>
  <c r="Q15" i="279"/>
  <c r="P15" i="279"/>
  <c r="O15" i="279"/>
  <c r="M15" i="279"/>
  <c r="L15" i="279"/>
  <c r="K15" i="279"/>
  <c r="I15" i="279"/>
  <c r="H15" i="279"/>
  <c r="G15" i="279"/>
  <c r="E15" i="279"/>
  <c r="D15" i="279"/>
  <c r="C15" i="279"/>
  <c r="BM14" i="279"/>
  <c r="BL14" i="279"/>
  <c r="BK14" i="279"/>
  <c r="BI14" i="279"/>
  <c r="BH14" i="279"/>
  <c r="BG14" i="279"/>
  <c r="BE14" i="279"/>
  <c r="BD14" i="279"/>
  <c r="BC14" i="279"/>
  <c r="BB14" i="279"/>
  <c r="AX14" i="279"/>
  <c r="Q14" i="279"/>
  <c r="P14" i="279"/>
  <c r="O14" i="279"/>
  <c r="M14" i="279"/>
  <c r="L14" i="279"/>
  <c r="K14" i="279"/>
  <c r="I14" i="279"/>
  <c r="H14" i="279"/>
  <c r="G14" i="279"/>
  <c r="E14" i="279"/>
  <c r="D14" i="279"/>
  <c r="C14" i="279"/>
  <c r="BA13" i="279"/>
  <c r="AZ13" i="279"/>
  <c r="AY13" i="279"/>
  <c r="AW13" i="279"/>
  <c r="AV13" i="279"/>
  <c r="AU13" i="279"/>
  <c r="AT13" i="279"/>
  <c r="AS13" i="279"/>
  <c r="AR13" i="279"/>
  <c r="AQ13" i="279"/>
  <c r="BI12" i="279"/>
  <c r="BH12" i="279"/>
  <c r="BG12" i="279"/>
  <c r="BE12" i="279"/>
  <c r="BD12" i="279"/>
  <c r="BC12" i="279"/>
  <c r="BB12" i="279"/>
  <c r="AX12" i="279"/>
  <c r="Q12" i="279"/>
  <c r="P12" i="279"/>
  <c r="O12" i="279"/>
  <c r="M12" i="279"/>
  <c r="L12" i="279"/>
  <c r="K12" i="279"/>
  <c r="I12" i="279"/>
  <c r="H12" i="279"/>
  <c r="G12" i="279"/>
  <c r="E12" i="279"/>
  <c r="D12" i="279"/>
  <c r="C12" i="279"/>
  <c r="BI11" i="279"/>
  <c r="BH11" i="279"/>
  <c r="BG11" i="279"/>
  <c r="BE11" i="279"/>
  <c r="BD11" i="279"/>
  <c r="BC11" i="279"/>
  <c r="BB11" i="279"/>
  <c r="AX11" i="279"/>
  <c r="Q11" i="279"/>
  <c r="P11" i="279"/>
  <c r="O11" i="279"/>
  <c r="M11" i="279"/>
  <c r="L11" i="279"/>
  <c r="K11" i="279"/>
  <c r="I11" i="279"/>
  <c r="H11" i="279"/>
  <c r="G11" i="279"/>
  <c r="E11" i="279"/>
  <c r="D11" i="279"/>
  <c r="C11" i="279"/>
  <c r="BM18" i="279"/>
  <c r="BI10" i="279"/>
  <c r="BH10" i="279"/>
  <c r="BG10" i="279"/>
  <c r="BE10" i="279"/>
  <c r="BD10" i="279"/>
  <c r="BD18" i="279"/>
  <c r="BC10" i="279"/>
  <c r="BB10" i="279"/>
  <c r="AX10" i="279"/>
  <c r="Q10" i="279"/>
  <c r="P10" i="279"/>
  <c r="O10" i="279"/>
  <c r="M10" i="279"/>
  <c r="L10" i="279"/>
  <c r="K10" i="279"/>
  <c r="I10" i="279"/>
  <c r="I13" i="279"/>
  <c r="H10" i="279"/>
  <c r="G10" i="279"/>
  <c r="E10" i="279"/>
  <c r="D10" i="279"/>
  <c r="C10" i="279"/>
  <c r="BA9" i="279"/>
  <c r="AZ9" i="279"/>
  <c r="AY9" i="279"/>
  <c r="AW9" i="279"/>
  <c r="AV9" i="279"/>
  <c r="AU9" i="279"/>
  <c r="AT9" i="279"/>
  <c r="AS9" i="279"/>
  <c r="AR9" i="279"/>
  <c r="AQ9" i="279"/>
  <c r="BI8" i="279"/>
  <c r="BH8" i="279"/>
  <c r="BG8" i="279"/>
  <c r="BE8" i="279"/>
  <c r="BD8" i="279"/>
  <c r="BD20" i="279"/>
  <c r="BC8" i="279"/>
  <c r="BB8" i="279"/>
  <c r="AX8" i="279"/>
  <c r="Q8" i="279"/>
  <c r="P8" i="279"/>
  <c r="O8" i="279"/>
  <c r="M8" i="279"/>
  <c r="L8" i="279"/>
  <c r="L20" i="279"/>
  <c r="K8" i="279"/>
  <c r="I8" i="279"/>
  <c r="H8" i="279"/>
  <c r="G8" i="279"/>
  <c r="E8" i="279"/>
  <c r="D8" i="279"/>
  <c r="C8" i="279"/>
  <c r="BL9" i="279"/>
  <c r="BI7" i="279"/>
  <c r="BH7" i="279"/>
  <c r="BG7" i="279"/>
  <c r="BE7" i="279"/>
  <c r="BD7" i="279"/>
  <c r="BC7" i="279"/>
  <c r="BB7" i="279"/>
  <c r="AX7" i="279"/>
  <c r="Q7" i="279"/>
  <c r="P7" i="279"/>
  <c r="O7" i="279"/>
  <c r="M7" i="279"/>
  <c r="L7" i="279"/>
  <c r="K7" i="279"/>
  <c r="I7" i="279"/>
  <c r="I19" i="279"/>
  <c r="H7" i="279"/>
  <c r="G7" i="279"/>
  <c r="E7" i="279"/>
  <c r="D7" i="279"/>
  <c r="C7" i="279"/>
  <c r="AX6" i="279"/>
  <c r="Q6" i="279"/>
  <c r="P6" i="279"/>
  <c r="O6" i="279"/>
  <c r="M6" i="279"/>
  <c r="L6" i="279"/>
  <c r="K6" i="279"/>
  <c r="I6" i="279"/>
  <c r="H6" i="279"/>
  <c r="G6" i="279"/>
  <c r="E6" i="279"/>
  <c r="E18" i="279"/>
  <c r="D6" i="279"/>
  <c r="C6" i="279"/>
  <c r="BO125" i="278"/>
  <c r="BN125" i="278"/>
  <c r="BM125" i="278"/>
  <c r="BK125" i="278"/>
  <c r="BJ125" i="278"/>
  <c r="BI125" i="278"/>
  <c r="BP123" i="278"/>
  <c r="BL123" i="278"/>
  <c r="BP122" i="278"/>
  <c r="BL122" i="278"/>
  <c r="BP121" i="278"/>
  <c r="BL121" i="278"/>
  <c r="BO120" i="278"/>
  <c r="BN120" i="278"/>
  <c r="BM120" i="278"/>
  <c r="BK120" i="278"/>
  <c r="BJ120" i="278"/>
  <c r="BI120" i="278"/>
  <c r="BP119" i="278"/>
  <c r="BP120" i="278"/>
  <c r="BL119" i="278"/>
  <c r="BL120" i="278"/>
  <c r="BO118" i="278"/>
  <c r="BO126" i="278"/>
  <c r="BN118" i="278"/>
  <c r="BM118" i="278"/>
  <c r="BK118" i="278"/>
  <c r="BK126" i="278"/>
  <c r="BJ118" i="278"/>
  <c r="BJ126" i="278"/>
  <c r="BI118" i="278"/>
  <c r="BI126" i="278"/>
  <c r="BP117" i="278"/>
  <c r="BL117" i="278"/>
  <c r="BL118" i="278"/>
  <c r="BP116" i="278"/>
  <c r="BL116" i="278"/>
  <c r="BO114" i="278"/>
  <c r="BN114" i="278"/>
  <c r="BM114" i="278"/>
  <c r="BK114" i="278"/>
  <c r="BJ114" i="278"/>
  <c r="BI114" i="278"/>
  <c r="BG114" i="278"/>
  <c r="BF114" i="278"/>
  <c r="BE114" i="278"/>
  <c r="BC114" i="278"/>
  <c r="BB114" i="278"/>
  <c r="BA114" i="278"/>
  <c r="AY114" i="278"/>
  <c r="AX114" i="278"/>
  <c r="AW114" i="278"/>
  <c r="AU114" i="278"/>
  <c r="AT114" i="278"/>
  <c r="AS114" i="278"/>
  <c r="AQ114" i="278"/>
  <c r="AP114" i="278"/>
  <c r="AO114" i="278"/>
  <c r="AM114" i="278"/>
  <c r="AL114" i="278"/>
  <c r="AK114" i="278"/>
  <c r="AI114" i="278"/>
  <c r="AH114" i="278"/>
  <c r="AG114" i="278"/>
  <c r="AE114" i="278"/>
  <c r="AD114" i="278"/>
  <c r="AC114" i="278"/>
  <c r="AA114" i="278"/>
  <c r="Z114" i="278"/>
  <c r="Y114" i="278"/>
  <c r="X114" i="278"/>
  <c r="W114" i="278"/>
  <c r="V114" i="278"/>
  <c r="U114" i="278"/>
  <c r="S114" i="278"/>
  <c r="R114" i="278"/>
  <c r="BP113" i="278"/>
  <c r="BL113" i="278"/>
  <c r="BH113" i="278"/>
  <c r="BD113" i="278"/>
  <c r="AZ113" i="278"/>
  <c r="AV113" i="278"/>
  <c r="AR113" i="278"/>
  <c r="BP112" i="278"/>
  <c r="BL112" i="278"/>
  <c r="BH112" i="278"/>
  <c r="BP111" i="278"/>
  <c r="BL111" i="278"/>
  <c r="BD111" i="278"/>
  <c r="BP110" i="278"/>
  <c r="BL110" i="278"/>
  <c r="BH110" i="278"/>
  <c r="BD110" i="278"/>
  <c r="AZ110" i="278"/>
  <c r="AV110" i="278"/>
  <c r="AR110" i="278"/>
  <c r="AN110" i="278"/>
  <c r="AN114" i="278"/>
  <c r="AJ110" i="278"/>
  <c r="AJ114" i="278"/>
  <c r="AF110" i="278"/>
  <c r="AF114" i="278"/>
  <c r="AB110" i="278"/>
  <c r="AB114" i="278"/>
  <c r="T110" i="278"/>
  <c r="T114" i="278"/>
  <c r="BO109" i="278"/>
  <c r="BN109" i="278"/>
  <c r="BM109" i="278"/>
  <c r="BK109" i="278"/>
  <c r="BJ109" i="278"/>
  <c r="BI109" i="278"/>
  <c r="BG109" i="278"/>
  <c r="BF109" i="278"/>
  <c r="BE109" i="278"/>
  <c r="BC109" i="278"/>
  <c r="BB109" i="278"/>
  <c r="BA109" i="278"/>
  <c r="AY109" i="278"/>
  <c r="AX109" i="278"/>
  <c r="AW109" i="278"/>
  <c r="AU109" i="278"/>
  <c r="AT109" i="278"/>
  <c r="AS109" i="278"/>
  <c r="AQ109" i="278"/>
  <c r="AP109" i="278"/>
  <c r="AO109" i="278"/>
  <c r="AM109" i="278"/>
  <c r="AL109" i="278"/>
  <c r="AK109" i="278"/>
  <c r="AI109" i="278"/>
  <c r="AH109" i="278"/>
  <c r="AG109" i="278"/>
  <c r="AE109" i="278"/>
  <c r="AD109" i="278"/>
  <c r="AC109" i="278"/>
  <c r="AA109" i="278"/>
  <c r="Z109" i="278"/>
  <c r="Y109" i="278"/>
  <c r="W109" i="278"/>
  <c r="V109" i="278"/>
  <c r="U109" i="278"/>
  <c r="S109" i="278"/>
  <c r="R109" i="278"/>
  <c r="Q109" i="278"/>
  <c r="O109" i="278"/>
  <c r="N109" i="278"/>
  <c r="M109" i="278"/>
  <c r="K109" i="278"/>
  <c r="J109" i="278"/>
  <c r="I109" i="278"/>
  <c r="G109" i="278"/>
  <c r="F109" i="278"/>
  <c r="E109" i="278"/>
  <c r="BP108" i="278"/>
  <c r="BL108" i="278"/>
  <c r="BH108" i="278"/>
  <c r="BD108" i="278"/>
  <c r="AZ108" i="278"/>
  <c r="AV108" i="278"/>
  <c r="AR108" i="278"/>
  <c r="L108" i="278"/>
  <c r="BP107" i="278"/>
  <c r="BL107" i="278"/>
  <c r="BH107" i="278"/>
  <c r="BD107" i="278"/>
  <c r="AZ107" i="278"/>
  <c r="AV107" i="278"/>
  <c r="AR107" i="278"/>
  <c r="AN107" i="278"/>
  <c r="AJ107" i="278"/>
  <c r="AF107" i="278"/>
  <c r="AB107" i="278"/>
  <c r="X107" i="278"/>
  <c r="T107" i="278"/>
  <c r="P107" i="278"/>
  <c r="L107" i="278"/>
  <c r="H107" i="278"/>
  <c r="BP106" i="278"/>
  <c r="BL106" i="278"/>
  <c r="BH106" i="278"/>
  <c r="BD106" i="278"/>
  <c r="AZ106" i="278"/>
  <c r="AV106" i="278"/>
  <c r="AR106" i="278"/>
  <c r="AN106" i="278"/>
  <c r="AJ106" i="278"/>
  <c r="AF106" i="278"/>
  <c r="AB106" i="278"/>
  <c r="BP105" i="278"/>
  <c r="BL105" i="278"/>
  <c r="BH105" i="278"/>
  <c r="BD105" i="278"/>
  <c r="AZ105" i="278"/>
  <c r="AV105" i="278"/>
  <c r="AR105" i="278"/>
  <c r="AN105" i="278"/>
  <c r="AJ105" i="278"/>
  <c r="AF105" i="278"/>
  <c r="AB105" i="278"/>
  <c r="X105" i="278"/>
  <c r="T105" i="278"/>
  <c r="P105" i="278"/>
  <c r="L105" i="278"/>
  <c r="BP104" i="278"/>
  <c r="BH104" i="278"/>
  <c r="BD104" i="278"/>
  <c r="AZ104" i="278"/>
  <c r="AV104" i="278"/>
  <c r="AR104" i="278"/>
  <c r="AN104" i="278"/>
  <c r="AJ104" i="278"/>
  <c r="P104" i="278"/>
  <c r="L104" i="278"/>
  <c r="H104" i="278"/>
  <c r="BP103" i="278"/>
  <c r="BL103" i="278"/>
  <c r="BH103" i="278"/>
  <c r="BD103" i="278"/>
  <c r="AZ103" i="278"/>
  <c r="AV103" i="278"/>
  <c r="AR103" i="278"/>
  <c r="AN103" i="278"/>
  <c r="AJ103" i="278"/>
  <c r="AF103" i="278"/>
  <c r="AB103" i="278"/>
  <c r="X103" i="278"/>
  <c r="T103" i="278"/>
  <c r="P103" i="278"/>
  <c r="L103" i="278"/>
  <c r="H103" i="278"/>
  <c r="BP102" i="278"/>
  <c r="BL102" i="278"/>
  <c r="BH102" i="278"/>
  <c r="BD102" i="278"/>
  <c r="AZ102" i="278"/>
  <c r="AV102" i="278"/>
  <c r="AR102" i="278"/>
  <c r="AN102" i="278"/>
  <c r="AJ102" i="278"/>
  <c r="AF102" i="278"/>
  <c r="AB102" i="278"/>
  <c r="X102" i="278"/>
  <c r="P102" i="278"/>
  <c r="L102" i="278"/>
  <c r="H102" i="278"/>
  <c r="BP101" i="278"/>
  <c r="BL101" i="278"/>
  <c r="BH101" i="278"/>
  <c r="BD101" i="278"/>
  <c r="AZ101" i="278"/>
  <c r="AV101" i="278"/>
  <c r="AR101" i="278"/>
  <c r="AJ101" i="278"/>
  <c r="AF101" i="278"/>
  <c r="AB101" i="278"/>
  <c r="X101" i="278"/>
  <c r="T101" i="278"/>
  <c r="P101" i="278"/>
  <c r="L101" i="278"/>
  <c r="H101" i="278"/>
  <c r="BP100" i="278"/>
  <c r="BL100" i="278"/>
  <c r="BD100" i="278"/>
  <c r="BP99" i="278"/>
  <c r="BD99" i="278"/>
  <c r="AZ99" i="278"/>
  <c r="AV99" i="278"/>
  <c r="AR99" i="278"/>
  <c r="AJ99" i="278"/>
  <c r="AF99" i="278"/>
  <c r="AB99" i="278"/>
  <c r="X99" i="278"/>
  <c r="T99" i="278"/>
  <c r="P99" i="278"/>
  <c r="L99" i="278"/>
  <c r="H99" i="278"/>
  <c r="BP98" i="278"/>
  <c r="BD98" i="278"/>
  <c r="AZ98" i="278"/>
  <c r="AV98" i="278"/>
  <c r="AR98" i="278"/>
  <c r="X98" i="278"/>
  <c r="T98" i="278"/>
  <c r="P98" i="278"/>
  <c r="L98" i="278"/>
  <c r="BP97" i="278"/>
  <c r="BH97" i="278"/>
  <c r="BD97" i="278"/>
  <c r="AZ97" i="278"/>
  <c r="AV97" i="278"/>
  <c r="AR97" i="278"/>
  <c r="AN97" i="278"/>
  <c r="AF97" i="278"/>
  <c r="AB97" i="278"/>
  <c r="X97" i="278"/>
  <c r="BO96" i="278"/>
  <c r="BN96" i="278"/>
  <c r="BN115" i="278"/>
  <c r="BM96" i="278"/>
  <c r="BK96" i="278"/>
  <c r="BJ96" i="278"/>
  <c r="BI96" i="278"/>
  <c r="BG96" i="278"/>
  <c r="BG115" i="278"/>
  <c r="BF96" i="278"/>
  <c r="BE96" i="278"/>
  <c r="BC96" i="278"/>
  <c r="BB96" i="278"/>
  <c r="BA96" i="278"/>
  <c r="AY96" i="278"/>
  <c r="AY115" i="278"/>
  <c r="AX96" i="278"/>
  <c r="AW96" i="278"/>
  <c r="AU96" i="278"/>
  <c r="AT96" i="278"/>
  <c r="AS96" i="278"/>
  <c r="AQ96" i="278"/>
  <c r="AP96" i="278"/>
  <c r="AO96" i="278"/>
  <c r="AM96" i="278"/>
  <c r="AL96" i="278"/>
  <c r="AK96" i="278"/>
  <c r="AI96" i="278"/>
  <c r="AH96" i="278"/>
  <c r="AG96" i="278"/>
  <c r="AE96" i="278"/>
  <c r="AD96" i="278"/>
  <c r="AC96" i="278"/>
  <c r="AA96" i="278"/>
  <c r="Z96" i="278"/>
  <c r="Y96" i="278"/>
  <c r="W96" i="278"/>
  <c r="V96" i="278"/>
  <c r="U96" i="278"/>
  <c r="U115" i="278"/>
  <c r="S96" i="278"/>
  <c r="S115" i="278"/>
  <c r="R96" i="278"/>
  <c r="Q96" i="278"/>
  <c r="O96" i="278"/>
  <c r="N96" i="278"/>
  <c r="M96" i="278"/>
  <c r="M115" i="278"/>
  <c r="K96" i="278"/>
  <c r="K115" i="278"/>
  <c r="J96" i="278"/>
  <c r="J115" i="278"/>
  <c r="I96" i="278"/>
  <c r="G96" i="278"/>
  <c r="F96" i="278"/>
  <c r="E96" i="278"/>
  <c r="BP95" i="278"/>
  <c r="BL95" i="278"/>
  <c r="BH95" i="278"/>
  <c r="BD95" i="278"/>
  <c r="AZ95" i="278"/>
  <c r="AV95" i="278"/>
  <c r="AR95" i="278"/>
  <c r="AN95" i="278"/>
  <c r="AJ95" i="278"/>
  <c r="AF95" i="278"/>
  <c r="AB95" i="278"/>
  <c r="X95" i="278"/>
  <c r="T95" i="278"/>
  <c r="P95" i="278"/>
  <c r="L95" i="278"/>
  <c r="H95" i="278"/>
  <c r="BP94" i="278"/>
  <c r="BL94" i="278"/>
  <c r="BH94" i="278"/>
  <c r="BD94" i="278"/>
  <c r="AZ94" i="278"/>
  <c r="AV94" i="278"/>
  <c r="AR94" i="278"/>
  <c r="AN94" i="278"/>
  <c r="AF94" i="278"/>
  <c r="BP93" i="278"/>
  <c r="BL93" i="278"/>
  <c r="BH93" i="278"/>
  <c r="BD93" i="278"/>
  <c r="AZ93" i="278"/>
  <c r="AV93" i="278"/>
  <c r="AR93" i="278"/>
  <c r="AN93" i="278"/>
  <c r="AJ93" i="278"/>
  <c r="AF93" i="278"/>
  <c r="BP92" i="278"/>
  <c r="T92" i="278"/>
  <c r="P92" i="278"/>
  <c r="BP91" i="278"/>
  <c r="BP90" i="278"/>
  <c r="BL90" i="278"/>
  <c r="BH90" i="278"/>
  <c r="BD90" i="278"/>
  <c r="AZ90" i="278"/>
  <c r="AV90" i="278"/>
  <c r="AR90" i="278"/>
  <c r="AN90" i="278"/>
  <c r="T90" i="278"/>
  <c r="H90" i="278"/>
  <c r="BP89" i="278"/>
  <c r="BL89" i="278"/>
  <c r="BH89" i="278"/>
  <c r="BD89" i="278"/>
  <c r="AZ89" i="278"/>
  <c r="AV89" i="278"/>
  <c r="AR89" i="278"/>
  <c r="AN89" i="278"/>
  <c r="AF89" i="278"/>
  <c r="X89" i="278"/>
  <c r="BP88" i="278"/>
  <c r="BL88" i="278"/>
  <c r="BH88" i="278"/>
  <c r="BD88" i="278"/>
  <c r="AZ88" i="278"/>
  <c r="AV88" i="278"/>
  <c r="AR88" i="278"/>
  <c r="AN88" i="278"/>
  <c r="AJ88" i="278"/>
  <c r="AF88" i="278"/>
  <c r="AB88" i="278"/>
  <c r="X88" i="278"/>
  <c r="T88" i="278"/>
  <c r="P88" i="278"/>
  <c r="L88" i="278"/>
  <c r="BP87" i="278"/>
  <c r="BL87" i="278"/>
  <c r="BH87" i="278"/>
  <c r="BD87" i="278"/>
  <c r="AZ87" i="278"/>
  <c r="AV87" i="278"/>
  <c r="AR87" i="278"/>
  <c r="AN87" i="278"/>
  <c r="AJ87" i="278"/>
  <c r="AF87" i="278"/>
  <c r="AB87" i="278"/>
  <c r="X87" i="278"/>
  <c r="T87" i="278"/>
  <c r="P87" i="278"/>
  <c r="L87" i="278"/>
  <c r="H87" i="278"/>
  <c r="BP86" i="278"/>
  <c r="BL86" i="278"/>
  <c r="BH86" i="278"/>
  <c r="BD86" i="278"/>
  <c r="AZ86" i="278"/>
  <c r="AV86" i="278"/>
  <c r="AR86" i="278"/>
  <c r="AN86" i="278"/>
  <c r="AJ86" i="278"/>
  <c r="AF86" i="278"/>
  <c r="X86" i="278"/>
  <c r="T86" i="278"/>
  <c r="P86" i="278"/>
  <c r="L86" i="278"/>
  <c r="H86" i="278"/>
  <c r="BP85" i="278"/>
  <c r="BL85" i="278"/>
  <c r="BH85" i="278"/>
  <c r="BD85" i="278"/>
  <c r="AZ85" i="278"/>
  <c r="AV85" i="278"/>
  <c r="AR85" i="278"/>
  <c r="AN85" i="278"/>
  <c r="AJ85" i="278"/>
  <c r="AF85" i="278"/>
  <c r="AB85" i="278"/>
  <c r="X85" i="278"/>
  <c r="T85" i="278"/>
  <c r="P85" i="278"/>
  <c r="L85" i="278"/>
  <c r="H85" i="278"/>
  <c r="BP84" i="278"/>
  <c r="BL84" i="278"/>
  <c r="BH84" i="278"/>
  <c r="BD84" i="278"/>
  <c r="AZ84" i="278"/>
  <c r="AV84" i="278"/>
  <c r="AR84" i="278"/>
  <c r="AN84" i="278"/>
  <c r="AJ84" i="278"/>
  <c r="AF84" i="278"/>
  <c r="AB84" i="278"/>
  <c r="X84" i="278"/>
  <c r="T84" i="278"/>
  <c r="L84" i="278"/>
  <c r="BP83" i="278"/>
  <c r="BL83" i="278"/>
  <c r="BH83" i="278"/>
  <c r="BD83" i="278"/>
  <c r="AZ83" i="278"/>
  <c r="AV83" i="278"/>
  <c r="AR83" i="278"/>
  <c r="AN83" i="278"/>
  <c r="AJ83" i="278"/>
  <c r="AF83" i="278"/>
  <c r="AB83" i="278"/>
  <c r="X83" i="278"/>
  <c r="T83" i="278"/>
  <c r="P83" i="278"/>
  <c r="L83" i="278"/>
  <c r="H83" i="278"/>
  <c r="BP82" i="278"/>
  <c r="BL82" i="278"/>
  <c r="BH82" i="278"/>
  <c r="BD82" i="278"/>
  <c r="AZ82" i="278"/>
  <c r="AV82" i="278"/>
  <c r="AR82" i="278"/>
  <c r="AN82" i="278"/>
  <c r="AJ82" i="278"/>
  <c r="AF82" i="278"/>
  <c r="AB82" i="278"/>
  <c r="X82" i="278"/>
  <c r="T82" i="278"/>
  <c r="P82" i="278"/>
  <c r="BP81" i="278"/>
  <c r="BL81" i="278"/>
  <c r="BH81" i="278"/>
  <c r="BD81" i="278"/>
  <c r="AZ81" i="278"/>
  <c r="AV81" i="278"/>
  <c r="AR81" i="278"/>
  <c r="AN81" i="278"/>
  <c r="AJ81" i="278"/>
  <c r="AF81" i="278"/>
  <c r="AB81" i="278"/>
  <c r="BP80" i="278"/>
  <c r="BL80" i="278"/>
  <c r="BH80" i="278"/>
  <c r="BD80" i="278"/>
  <c r="AZ80" i="278"/>
  <c r="AV80" i="278"/>
  <c r="AR80" i="278"/>
  <c r="AN80" i="278"/>
  <c r="AJ80" i="278"/>
  <c r="AF80" i="278"/>
  <c r="AB80" i="278"/>
  <c r="X80" i="278"/>
  <c r="T80" i="278"/>
  <c r="P80" i="278"/>
  <c r="L80" i="278"/>
  <c r="BO78" i="278"/>
  <c r="BN78" i="278"/>
  <c r="BM78" i="278"/>
  <c r="BK78" i="278"/>
  <c r="BJ78" i="278"/>
  <c r="BI78" i="278"/>
  <c r="BG78" i="278"/>
  <c r="BF78" i="278"/>
  <c r="BE78" i="278"/>
  <c r="BC78" i="278"/>
  <c r="BB78" i="278"/>
  <c r="BA78" i="278"/>
  <c r="AY78" i="278"/>
  <c r="AX78" i="278"/>
  <c r="AW78" i="278"/>
  <c r="AU78" i="278"/>
  <c r="AT78" i="278"/>
  <c r="AS78" i="278"/>
  <c r="AQ78" i="278"/>
  <c r="AP78" i="278"/>
  <c r="AO78" i="278"/>
  <c r="AM78" i="278"/>
  <c r="AL78" i="278"/>
  <c r="AK78" i="278"/>
  <c r="AI78" i="278"/>
  <c r="AH78" i="278"/>
  <c r="AG78" i="278"/>
  <c r="AE78" i="278"/>
  <c r="AD78" i="278"/>
  <c r="AC78" i="278"/>
  <c r="AA78" i="278"/>
  <c r="Z78" i="278"/>
  <c r="Y78" i="278"/>
  <c r="W78" i="278"/>
  <c r="V78" i="278"/>
  <c r="U78" i="278"/>
  <c r="S78" i="278"/>
  <c r="R78" i="278"/>
  <c r="Q78" i="278"/>
  <c r="O78" i="278"/>
  <c r="N78" i="278"/>
  <c r="M78" i="278"/>
  <c r="K78" i="278"/>
  <c r="J78" i="278"/>
  <c r="I78" i="278"/>
  <c r="G78" i="278"/>
  <c r="F78" i="278"/>
  <c r="E78" i="278"/>
  <c r="BP77" i="278"/>
  <c r="BL77" i="278"/>
  <c r="BH77" i="278"/>
  <c r="BD77" i="278"/>
  <c r="AZ77" i="278"/>
  <c r="AV77" i="278"/>
  <c r="AR77" i="278"/>
  <c r="AN77" i="278"/>
  <c r="AJ77" i="278"/>
  <c r="AF77" i="278"/>
  <c r="AB77" i="278"/>
  <c r="X77" i="278"/>
  <c r="T77" i="278"/>
  <c r="P77" i="278"/>
  <c r="L77" i="278"/>
  <c r="H77" i="278"/>
  <c r="BP76" i="278"/>
  <c r="BL76" i="278"/>
  <c r="BH76" i="278"/>
  <c r="BD76" i="278"/>
  <c r="AZ76" i="278"/>
  <c r="AV76" i="278"/>
  <c r="AR76" i="278"/>
  <c r="AN76" i="278"/>
  <c r="AJ76" i="278"/>
  <c r="AJ78" i="278"/>
  <c r="AF76" i="278"/>
  <c r="AB76" i="278"/>
  <c r="BP75" i="278"/>
  <c r="BL75" i="278"/>
  <c r="BH75" i="278"/>
  <c r="BD75" i="278"/>
  <c r="AZ75" i="278"/>
  <c r="AV75" i="278"/>
  <c r="AR75" i="278"/>
  <c r="AN75" i="278"/>
  <c r="AJ75" i="278"/>
  <c r="AF75" i="278"/>
  <c r="AB75" i="278"/>
  <c r="X75" i="278"/>
  <c r="T75" i="278"/>
  <c r="P75" i="278"/>
  <c r="L75" i="278"/>
  <c r="H74" i="278"/>
  <c r="BP73" i="278"/>
  <c r="BL73" i="278"/>
  <c r="BH73" i="278"/>
  <c r="BD73" i="278"/>
  <c r="AZ73" i="278"/>
  <c r="AV73" i="278"/>
  <c r="AR73" i="278"/>
  <c r="AN73" i="278"/>
  <c r="AJ73" i="278"/>
  <c r="AF73" i="278"/>
  <c r="AB73" i="278"/>
  <c r="X73" i="278"/>
  <c r="BP72" i="278"/>
  <c r="BL72" i="278"/>
  <c r="BH72" i="278"/>
  <c r="BD72" i="278"/>
  <c r="AZ72" i="278"/>
  <c r="AV72" i="278"/>
  <c r="AR72" i="278"/>
  <c r="AN72" i="278"/>
  <c r="AJ72" i="278"/>
  <c r="AF72" i="278"/>
  <c r="AB72" i="278"/>
  <c r="X72" i="278"/>
  <c r="T72" i="278"/>
  <c r="P72" i="278"/>
  <c r="L72" i="278"/>
  <c r="H72" i="278"/>
  <c r="BP71" i="278"/>
  <c r="BL71" i="278"/>
  <c r="BH71" i="278"/>
  <c r="BD71" i="278"/>
  <c r="AZ71" i="278"/>
  <c r="AV71" i="278"/>
  <c r="AB71" i="278"/>
  <c r="X71" i="278"/>
  <c r="T71" i="278"/>
  <c r="P71" i="278"/>
  <c r="L71" i="278"/>
  <c r="H71" i="278"/>
  <c r="BP70" i="278"/>
  <c r="BL70" i="278"/>
  <c r="BH70" i="278"/>
  <c r="BD70" i="278"/>
  <c r="AZ70" i="278"/>
  <c r="AV70" i="278"/>
  <c r="AR70" i="278"/>
  <c r="AN70" i="278"/>
  <c r="AJ70" i="278"/>
  <c r="AF70" i="278"/>
  <c r="AB70" i="278"/>
  <c r="X70" i="278"/>
  <c r="T70" i="278"/>
  <c r="P70" i="278"/>
  <c r="L70" i="278"/>
  <c r="H70" i="278"/>
  <c r="BP69" i="278"/>
  <c r="BL69" i="278"/>
  <c r="BH69" i="278"/>
  <c r="BD69" i="278"/>
  <c r="AZ69" i="278"/>
  <c r="AV69" i="278"/>
  <c r="AR69" i="278"/>
  <c r="AN69" i="278"/>
  <c r="AJ69" i="278"/>
  <c r="AF69" i="278"/>
  <c r="AB69" i="278"/>
  <c r="X69" i="278"/>
  <c r="P69" i="278"/>
  <c r="BP68" i="278"/>
  <c r="BL68" i="278"/>
  <c r="BH68" i="278"/>
  <c r="BD68" i="278"/>
  <c r="AZ68" i="278"/>
  <c r="AV68" i="278"/>
  <c r="AR68" i="278"/>
  <c r="AN68" i="278"/>
  <c r="AJ68" i="278"/>
  <c r="AF68" i="278"/>
  <c r="AB68" i="278"/>
  <c r="X68" i="278"/>
  <c r="T68" i="278"/>
  <c r="P68" i="278"/>
  <c r="L68" i="278"/>
  <c r="H68" i="278"/>
  <c r="BO67" i="278"/>
  <c r="BN67" i="278"/>
  <c r="BM67" i="278"/>
  <c r="BK67" i="278"/>
  <c r="BJ67" i="278"/>
  <c r="BI67" i="278"/>
  <c r="BG67" i="278"/>
  <c r="BF67" i="278"/>
  <c r="BE67" i="278"/>
  <c r="BC67" i="278"/>
  <c r="BB67" i="278"/>
  <c r="BA67" i="278"/>
  <c r="AY67" i="278"/>
  <c r="AX67" i="278"/>
  <c r="AW67" i="278"/>
  <c r="AU67" i="278"/>
  <c r="AT67" i="278"/>
  <c r="AS67" i="278"/>
  <c r="AQ67" i="278"/>
  <c r="AP67" i="278"/>
  <c r="AO67" i="278"/>
  <c r="AM67" i="278"/>
  <c r="AL67" i="278"/>
  <c r="AK67" i="278"/>
  <c r="AI67" i="278"/>
  <c r="AH67" i="278"/>
  <c r="AG67" i="278"/>
  <c r="AE67" i="278"/>
  <c r="AD67" i="278"/>
  <c r="AC67" i="278"/>
  <c r="AA67" i="278"/>
  <c r="Z67" i="278"/>
  <c r="Y67" i="278"/>
  <c r="W67" i="278"/>
  <c r="V67" i="278"/>
  <c r="U67" i="278"/>
  <c r="S67" i="278"/>
  <c r="R67" i="278"/>
  <c r="Q67" i="278"/>
  <c r="O67" i="278"/>
  <c r="N67" i="278"/>
  <c r="M67" i="278"/>
  <c r="K67" i="278"/>
  <c r="J67" i="278"/>
  <c r="I67" i="278"/>
  <c r="G67" i="278"/>
  <c r="F67" i="278"/>
  <c r="E67" i="278"/>
  <c r="BP66" i="278"/>
  <c r="BL66" i="278"/>
  <c r="BH66" i="278"/>
  <c r="BD66" i="278"/>
  <c r="AZ66" i="278"/>
  <c r="AV66" i="278"/>
  <c r="AR66" i="278"/>
  <c r="AN66" i="278"/>
  <c r="AJ66" i="278"/>
  <c r="AF66" i="278"/>
  <c r="AB66" i="278"/>
  <c r="X66" i="278"/>
  <c r="P66" i="278"/>
  <c r="H66" i="278"/>
  <c r="BP65" i="278"/>
  <c r="BL65" i="278"/>
  <c r="BH65" i="278"/>
  <c r="BD65" i="278"/>
  <c r="AZ65" i="278"/>
  <c r="AV65" i="278"/>
  <c r="AR65" i="278"/>
  <c r="AN65" i="278"/>
  <c r="AJ65" i="278"/>
  <c r="AF65" i="278"/>
  <c r="AB65" i="278"/>
  <c r="X65" i="278"/>
  <c r="T65" i="278"/>
  <c r="P65" i="278"/>
  <c r="BP64" i="278"/>
  <c r="BL64" i="278"/>
  <c r="BH64" i="278"/>
  <c r="BD64" i="278"/>
  <c r="AZ64" i="278"/>
  <c r="AV64" i="278"/>
  <c r="AR64" i="278"/>
  <c r="AN64" i="278"/>
  <c r="AJ64" i="278"/>
  <c r="AF64" i="278"/>
  <c r="AB64" i="278"/>
  <c r="X64" i="278"/>
  <c r="T64" i="278"/>
  <c r="P64" i="278"/>
  <c r="L64" i="278"/>
  <c r="BP63" i="278"/>
  <c r="BL63" i="278"/>
  <c r="BH63" i="278"/>
  <c r="BD63" i="278"/>
  <c r="AZ63" i="278"/>
  <c r="AV63" i="278"/>
  <c r="AR63" i="278"/>
  <c r="AN63" i="278"/>
  <c r="AJ63" i="278"/>
  <c r="AF63" i="278"/>
  <c r="AB63" i="278"/>
  <c r="X63" i="278"/>
  <c r="T63" i="278"/>
  <c r="P63" i="278"/>
  <c r="L63" i="278"/>
  <c r="BP62" i="278"/>
  <c r="BL62" i="278"/>
  <c r="BH62" i="278"/>
  <c r="BD62" i="278"/>
  <c r="AZ62" i="278"/>
  <c r="AV62" i="278"/>
  <c r="AR62" i="278"/>
  <c r="AN62" i="278"/>
  <c r="AJ62" i="278"/>
  <c r="AF62" i="278"/>
  <c r="AB62" i="278"/>
  <c r="X62" i="278"/>
  <c r="T62" i="278"/>
  <c r="P62" i="278"/>
  <c r="L62" i="278"/>
  <c r="BP61" i="278"/>
  <c r="BD61" i="278"/>
  <c r="AZ61" i="278"/>
  <c r="AV61" i="278"/>
  <c r="P61" i="278"/>
  <c r="L61" i="278"/>
  <c r="H61" i="278"/>
  <c r="BP60" i="278"/>
  <c r="BD60" i="278"/>
  <c r="AZ60" i="278"/>
  <c r="AV60" i="278"/>
  <c r="AR60" i="278"/>
  <c r="AB60" i="278"/>
  <c r="T60" i="278"/>
  <c r="P60" i="278"/>
  <c r="L60" i="278"/>
  <c r="H60" i="278"/>
  <c r="BP59" i="278"/>
  <c r="BD59" i="278"/>
  <c r="AZ59" i="278"/>
  <c r="P59" i="278"/>
  <c r="L59" i="278"/>
  <c r="H59" i="278"/>
  <c r="BP58" i="278"/>
  <c r="BL58" i="278"/>
  <c r="BH58" i="278"/>
  <c r="BD58" i="278"/>
  <c r="AZ58" i="278"/>
  <c r="AV58" i="278"/>
  <c r="AR58" i="278"/>
  <c r="AN58" i="278"/>
  <c r="AJ58" i="278"/>
  <c r="T58" i="278"/>
  <c r="P58" i="278"/>
  <c r="BP57" i="278"/>
  <c r="BL57" i="278"/>
  <c r="BH57" i="278"/>
  <c r="BD57" i="278"/>
  <c r="AZ57" i="278"/>
  <c r="AV57" i="278"/>
  <c r="AR57" i="278"/>
  <c r="AN57" i="278"/>
  <c r="AJ57" i="278"/>
  <c r="AF57" i="278"/>
  <c r="AB57" i="278"/>
  <c r="X57" i="278"/>
  <c r="T57" i="278"/>
  <c r="P57" i="278"/>
  <c r="L57" i="278"/>
  <c r="BP56" i="278"/>
  <c r="BL56" i="278"/>
  <c r="BH56" i="278"/>
  <c r="BD56" i="278"/>
  <c r="AZ56" i="278"/>
  <c r="AV56" i="278"/>
  <c r="AR56" i="278"/>
  <c r="AN56" i="278"/>
  <c r="AJ56" i="278"/>
  <c r="AF56" i="278"/>
  <c r="AB56" i="278"/>
  <c r="X56" i="278"/>
  <c r="T56" i="278"/>
  <c r="P56" i="278"/>
  <c r="L56" i="278"/>
  <c r="H56" i="278"/>
  <c r="BP55" i="278"/>
  <c r="BL55" i="278"/>
  <c r="BH55" i="278"/>
  <c r="BD55" i="278"/>
  <c r="AZ55" i="278"/>
  <c r="AV55" i="278"/>
  <c r="AR55" i="278"/>
  <c r="AJ55" i="278"/>
  <c r="AB55" i="278"/>
  <c r="X55" i="278"/>
  <c r="T55" i="278"/>
  <c r="P55" i="278"/>
  <c r="L55" i="278"/>
  <c r="H55" i="278"/>
  <c r="BP54" i="278"/>
  <c r="BL54" i="278"/>
  <c r="BH54" i="278"/>
  <c r="BD54" i="278"/>
  <c r="AZ54" i="278"/>
  <c r="AV54" i="278"/>
  <c r="AR54" i="278"/>
  <c r="AN54" i="278"/>
  <c r="AJ54" i="278"/>
  <c r="AF54" i="278"/>
  <c r="AB54" i="278"/>
  <c r="X54" i="278"/>
  <c r="T54" i="278"/>
  <c r="P54" i="278"/>
  <c r="L54" i="278"/>
  <c r="H54" i="278"/>
  <c r="BP53" i="278"/>
  <c r="BL53" i="278"/>
  <c r="BH53" i="278"/>
  <c r="BD53" i="278"/>
  <c r="AZ53" i="278"/>
  <c r="AV53" i="278"/>
  <c r="AR53" i="278"/>
  <c r="AJ53" i="278"/>
  <c r="AF53" i="278"/>
  <c r="AB53" i="278"/>
  <c r="X53" i="278"/>
  <c r="T53" i="278"/>
  <c r="P53" i="278"/>
  <c r="L53" i="278"/>
  <c r="H53" i="278"/>
  <c r="BO52" i="278"/>
  <c r="BN52" i="278"/>
  <c r="BM52" i="278"/>
  <c r="BK52" i="278"/>
  <c r="BK79" i="278"/>
  <c r="BJ52" i="278"/>
  <c r="BJ79" i="278"/>
  <c r="BI52" i="278"/>
  <c r="BI79" i="278"/>
  <c r="BG52" i="278"/>
  <c r="BF52" i="278"/>
  <c r="BF79" i="278"/>
  <c r="BE52" i="278"/>
  <c r="BE79" i="278"/>
  <c r="BC52" i="278"/>
  <c r="BC79" i="278"/>
  <c r="BB52" i="278"/>
  <c r="BA52" i="278"/>
  <c r="AY52" i="278"/>
  <c r="AY79" i="278"/>
  <c r="AX52" i="278"/>
  <c r="AW52" i="278"/>
  <c r="AU52" i="278"/>
  <c r="AU79" i="278"/>
  <c r="AT52" i="278"/>
  <c r="AT79" i="278"/>
  <c r="AS52" i="278"/>
  <c r="AQ52" i="278"/>
  <c r="AP52" i="278"/>
  <c r="AO52" i="278"/>
  <c r="AO79" i="278"/>
  <c r="AM52" i="278"/>
  <c r="AM79" i="278"/>
  <c r="AL52" i="278"/>
  <c r="AK52" i="278"/>
  <c r="AK79" i="278"/>
  <c r="AI52" i="278"/>
  <c r="AH52" i="278"/>
  <c r="AH79" i="278"/>
  <c r="AG52" i="278"/>
  <c r="AE52" i="278"/>
  <c r="AE79" i="278"/>
  <c r="AD52" i="278"/>
  <c r="AD79" i="278"/>
  <c r="AC52" i="278"/>
  <c r="AA52" i="278"/>
  <c r="Z52" i="278"/>
  <c r="Y52" i="278"/>
  <c r="Y79" i="278"/>
  <c r="W52" i="278"/>
  <c r="W79" i="278"/>
  <c r="V52" i="278"/>
  <c r="U52" i="278"/>
  <c r="U79" i="278"/>
  <c r="S52" i="278"/>
  <c r="S79" i="278"/>
  <c r="R52" i="278"/>
  <c r="Q52" i="278"/>
  <c r="O52" i="278"/>
  <c r="O79" i="278"/>
  <c r="N52" i="278"/>
  <c r="N79" i="278"/>
  <c r="M52" i="278"/>
  <c r="K52" i="278"/>
  <c r="J52" i="278"/>
  <c r="J79" i="278"/>
  <c r="I52" i="278"/>
  <c r="I79" i="278"/>
  <c r="G52" i="278"/>
  <c r="G79" i="278"/>
  <c r="F52" i="278"/>
  <c r="E52" i="278"/>
  <c r="BP51" i="278"/>
  <c r="BD51" i="278"/>
  <c r="AZ51" i="278"/>
  <c r="AV51" i="278"/>
  <c r="AR51" i="278"/>
  <c r="AN51" i="278"/>
  <c r="AJ51" i="278"/>
  <c r="AF51" i="278"/>
  <c r="AB51" i="278"/>
  <c r="X51" i="278"/>
  <c r="T51" i="278"/>
  <c r="P51" i="278"/>
  <c r="L51" i="278"/>
  <c r="H51" i="278"/>
  <c r="BP50" i="278"/>
  <c r="BL50" i="278"/>
  <c r="BH50" i="278"/>
  <c r="BD50" i="278"/>
  <c r="AZ50" i="278"/>
  <c r="AV50" i="278"/>
  <c r="AR50" i="278"/>
  <c r="AN50" i="278"/>
  <c r="AJ50" i="278"/>
  <c r="X50" i="278"/>
  <c r="BP49" i="278"/>
  <c r="BL49" i="278"/>
  <c r="BH49" i="278"/>
  <c r="BD49" i="278"/>
  <c r="AZ49" i="278"/>
  <c r="AV49" i="278"/>
  <c r="AR49" i="278"/>
  <c r="AN49" i="278"/>
  <c r="AJ49" i="278"/>
  <c r="AF49" i="278"/>
  <c r="AB49" i="278"/>
  <c r="X49" i="278"/>
  <c r="BP48" i="278"/>
  <c r="BL48" i="278"/>
  <c r="BH48" i="278"/>
  <c r="BD48" i="278"/>
  <c r="AZ48" i="278"/>
  <c r="AV48" i="278"/>
  <c r="AR48" i="278"/>
  <c r="AN48" i="278"/>
  <c r="AJ48" i="278"/>
  <c r="AF48" i="278"/>
  <c r="AB48" i="278"/>
  <c r="X48" i="278"/>
  <c r="BP47" i="278"/>
  <c r="BL47" i="278"/>
  <c r="BH47" i="278"/>
  <c r="BD47" i="278"/>
  <c r="AZ47" i="278"/>
  <c r="AV47" i="278"/>
  <c r="AR47" i="278"/>
  <c r="AN47" i="278"/>
  <c r="AJ47" i="278"/>
  <c r="AF47" i="278"/>
  <c r="BP46" i="278"/>
  <c r="BL46" i="278"/>
  <c r="BH46" i="278"/>
  <c r="BD46" i="278"/>
  <c r="AZ46" i="278"/>
  <c r="AV46" i="278"/>
  <c r="AR46" i="278"/>
  <c r="AN46" i="278"/>
  <c r="AJ46" i="278"/>
  <c r="AB46" i="278"/>
  <c r="X46" i="278"/>
  <c r="BP44" i="278"/>
  <c r="BL44" i="278"/>
  <c r="BH44" i="278"/>
  <c r="BD44" i="278"/>
  <c r="AZ44" i="278"/>
  <c r="AV44" i="278"/>
  <c r="AR44" i="278"/>
  <c r="AN44" i="278"/>
  <c r="BP43" i="278"/>
  <c r="BL43" i="278"/>
  <c r="BH43" i="278"/>
  <c r="BD43" i="278"/>
  <c r="AZ43" i="278"/>
  <c r="AV43" i="278"/>
  <c r="AR43" i="278"/>
  <c r="AN43" i="278"/>
  <c r="AJ43" i="278"/>
  <c r="AF43" i="278"/>
  <c r="AB43" i="278"/>
  <c r="X43" i="278"/>
  <c r="T43" i="278"/>
  <c r="P43" i="278"/>
  <c r="L43" i="278"/>
  <c r="H43" i="278"/>
  <c r="BP42" i="278"/>
  <c r="BL42" i="278"/>
  <c r="BH42" i="278"/>
  <c r="BD42" i="278"/>
  <c r="AZ42" i="278"/>
  <c r="AV42" i="278"/>
  <c r="AR42" i="278"/>
  <c r="AN42" i="278"/>
  <c r="AJ42" i="278"/>
  <c r="AF42" i="278"/>
  <c r="AB42" i="278"/>
  <c r="X42" i="278"/>
  <c r="T42" i="278"/>
  <c r="P42" i="278"/>
  <c r="L42" i="278"/>
  <c r="H42" i="278"/>
  <c r="BP41" i="278"/>
  <c r="BL41" i="278"/>
  <c r="BH41" i="278"/>
  <c r="BD41" i="278"/>
  <c r="AZ41" i="278"/>
  <c r="AV41" i="278"/>
  <c r="AR41" i="278"/>
  <c r="AN41" i="278"/>
  <c r="AJ41" i="278"/>
  <c r="AF41" i="278"/>
  <c r="AB41" i="278"/>
  <c r="X41" i="278"/>
  <c r="T41" i="278"/>
  <c r="P41" i="278"/>
  <c r="L41" i="278"/>
  <c r="H41" i="278"/>
  <c r="BP40" i="278"/>
  <c r="BL40" i="278"/>
  <c r="BH40" i="278"/>
  <c r="BD40" i="278"/>
  <c r="AZ40" i="278"/>
  <c r="AV40" i="278"/>
  <c r="AR40" i="278"/>
  <c r="AN40" i="278"/>
  <c r="AJ40" i="278"/>
  <c r="AF40" i="278"/>
  <c r="AB40" i="278"/>
  <c r="X40" i="278"/>
  <c r="T40" i="278"/>
  <c r="P40" i="278"/>
  <c r="L40" i="278"/>
  <c r="H40" i="278"/>
  <c r="BP39" i="278"/>
  <c r="BL39" i="278"/>
  <c r="BD39" i="278"/>
  <c r="AZ39" i="278"/>
  <c r="AZ52" i="278"/>
  <c r="AV39" i="278"/>
  <c r="AR39" i="278"/>
  <c r="AN39" i="278"/>
  <c r="AF39" i="278"/>
  <c r="AF52" i="278"/>
  <c r="AB39" i="278"/>
  <c r="X39" i="278"/>
  <c r="T39" i="278"/>
  <c r="P39" i="278"/>
  <c r="L39" i="278"/>
  <c r="L52" i="278"/>
  <c r="H39" i="278"/>
  <c r="BO37" i="278"/>
  <c r="BN37" i="278"/>
  <c r="BM37" i="278"/>
  <c r="BK37" i="278"/>
  <c r="BJ37" i="278"/>
  <c r="BI37" i="278"/>
  <c r="BG37" i="278"/>
  <c r="BF37" i="278"/>
  <c r="BE37" i="278"/>
  <c r="BC37" i="278"/>
  <c r="BB37" i="278"/>
  <c r="BA37" i="278"/>
  <c r="AY37" i="278"/>
  <c r="AX37" i="278"/>
  <c r="AW37" i="278"/>
  <c r="AU37" i="278"/>
  <c r="AT37" i="278"/>
  <c r="AS37" i="278"/>
  <c r="AQ37" i="278"/>
  <c r="AP37" i="278"/>
  <c r="AO37" i="278"/>
  <c r="AM37" i="278"/>
  <c r="AL37" i="278"/>
  <c r="AK37" i="278"/>
  <c r="AI37" i="278"/>
  <c r="AH37" i="278"/>
  <c r="AG37" i="278"/>
  <c r="AE37" i="278"/>
  <c r="AD37" i="278"/>
  <c r="AC37" i="278"/>
  <c r="AA37" i="278"/>
  <c r="Z37" i="278"/>
  <c r="Y37" i="278"/>
  <c r="W37" i="278"/>
  <c r="V37" i="278"/>
  <c r="U37" i="278"/>
  <c r="S37" i="278"/>
  <c r="R37" i="278"/>
  <c r="Q37" i="278"/>
  <c r="O37" i="278"/>
  <c r="N37" i="278"/>
  <c r="M37" i="278"/>
  <c r="K37" i="278"/>
  <c r="J37" i="278"/>
  <c r="I37" i="278"/>
  <c r="G37" i="278"/>
  <c r="F37" i="278"/>
  <c r="E37" i="278"/>
  <c r="BP33" i="278"/>
  <c r="BH33" i="278"/>
  <c r="BD33" i="278"/>
  <c r="AZ33" i="278"/>
  <c r="AV33" i="278"/>
  <c r="AR33" i="278"/>
  <c r="AN33" i="278"/>
  <c r="AJ33" i="278"/>
  <c r="AF33" i="278"/>
  <c r="AB33" i="278"/>
  <c r="P33" i="278"/>
  <c r="BP30" i="278"/>
  <c r="BL30" i="278"/>
  <c r="BH30" i="278"/>
  <c r="BD30" i="278"/>
  <c r="T30" i="278"/>
  <c r="P30" i="278"/>
  <c r="H30" i="278"/>
  <c r="BP29" i="278"/>
  <c r="BD29" i="278"/>
  <c r="AZ29" i="278"/>
  <c r="AV29" i="278"/>
  <c r="AR29" i="278"/>
  <c r="AN29" i="278"/>
  <c r="AJ29" i="278"/>
  <c r="AF29" i="278"/>
  <c r="AB29" i="278"/>
  <c r="X29" i="278"/>
  <c r="T29" i="278"/>
  <c r="BP28" i="278"/>
  <c r="BL28" i="278"/>
  <c r="BH28" i="278"/>
  <c r="BD28" i="278"/>
  <c r="AZ28" i="278"/>
  <c r="AV28" i="278"/>
  <c r="AR28" i="278"/>
  <c r="AR37" i="278"/>
  <c r="AN28" i="278"/>
  <c r="AJ28" i="278"/>
  <c r="AF28" i="278"/>
  <c r="AB28" i="278"/>
  <c r="X28" i="278"/>
  <c r="T28" i="278"/>
  <c r="P28" i="278"/>
  <c r="L28" i="278"/>
  <c r="L37" i="278"/>
  <c r="H28" i="278"/>
  <c r="BO27" i="278"/>
  <c r="BN27" i="278"/>
  <c r="BM27" i="278"/>
  <c r="BK27" i="278"/>
  <c r="BJ27" i="278"/>
  <c r="BI27" i="278"/>
  <c r="BG27" i="278"/>
  <c r="BF27" i="278"/>
  <c r="BE27" i="278"/>
  <c r="BC27" i="278"/>
  <c r="BB27" i="278"/>
  <c r="BA27" i="278"/>
  <c r="AY27" i="278"/>
  <c r="AX27" i="278"/>
  <c r="AW27" i="278"/>
  <c r="AU27" i="278"/>
  <c r="AT27" i="278"/>
  <c r="AS27" i="278"/>
  <c r="AQ27" i="278"/>
  <c r="AP27" i="278"/>
  <c r="AO27" i="278"/>
  <c r="AM27" i="278"/>
  <c r="AL27" i="278"/>
  <c r="AK27" i="278"/>
  <c r="AI27" i="278"/>
  <c r="AH27" i="278"/>
  <c r="AG27" i="278"/>
  <c r="AE27" i="278"/>
  <c r="AD27" i="278"/>
  <c r="AC27" i="278"/>
  <c r="AA27" i="278"/>
  <c r="Z27" i="278"/>
  <c r="Y27" i="278"/>
  <c r="W27" i="278"/>
  <c r="V27" i="278"/>
  <c r="U27" i="278"/>
  <c r="S27" i="278"/>
  <c r="R27" i="278"/>
  <c r="Q27" i="278"/>
  <c r="O27" i="278"/>
  <c r="N27" i="278"/>
  <c r="M27" i="278"/>
  <c r="K27" i="278"/>
  <c r="J27" i="278"/>
  <c r="I27" i="278"/>
  <c r="G27" i="278"/>
  <c r="F27" i="278"/>
  <c r="BP26" i="278"/>
  <c r="BL26" i="278"/>
  <c r="BH26" i="278"/>
  <c r="BD26" i="278"/>
  <c r="AZ26" i="278"/>
  <c r="AV26" i="278"/>
  <c r="AR26" i="278"/>
  <c r="BP25" i="278"/>
  <c r="BH25" i="278"/>
  <c r="BD25" i="278"/>
  <c r="AZ25" i="278"/>
  <c r="AV25" i="278"/>
  <c r="AR25" i="278"/>
  <c r="AJ25" i="278"/>
  <c r="BH24" i="278"/>
  <c r="BD24" i="278"/>
  <c r="AZ24" i="278"/>
  <c r="BP22" i="278"/>
  <c r="BL22" i="278"/>
  <c r="BH22" i="278"/>
  <c r="BD22" i="278"/>
  <c r="AZ22" i="278"/>
  <c r="AV22" i="278"/>
  <c r="AR22" i="278"/>
  <c r="AJ22" i="278"/>
  <c r="AF22" i="278"/>
  <c r="AB22" i="278"/>
  <c r="X22" i="278"/>
  <c r="T22" i="278"/>
  <c r="P22" i="278"/>
  <c r="H22" i="278"/>
  <c r="BP21" i="278"/>
  <c r="BL21" i="278"/>
  <c r="BH21" i="278"/>
  <c r="BD21" i="278"/>
  <c r="AZ21" i="278"/>
  <c r="AV21" i="278"/>
  <c r="AR21" i="278"/>
  <c r="AN21" i="278"/>
  <c r="AJ21" i="278"/>
  <c r="AF21" i="278"/>
  <c r="AB21" i="278"/>
  <c r="X21" i="278"/>
  <c r="T21" i="278"/>
  <c r="P21" i="278"/>
  <c r="L21" i="278"/>
  <c r="H21" i="278"/>
  <c r="BP20" i="278"/>
  <c r="BH20" i="278"/>
  <c r="BD20" i="278"/>
  <c r="AZ20" i="278"/>
  <c r="AV20" i="278"/>
  <c r="AR20" i="278"/>
  <c r="BP19" i="278"/>
  <c r="BH19" i="278"/>
  <c r="BD19" i="278"/>
  <c r="AZ19" i="278"/>
  <c r="AV19" i="278"/>
  <c r="AR19" i="278"/>
  <c r="AN19" i="278"/>
  <c r="AJ19" i="278"/>
  <c r="BP18" i="278"/>
  <c r="BH18" i="278"/>
  <c r="BD18" i="278"/>
  <c r="AZ18" i="278"/>
  <c r="AV18" i="278"/>
  <c r="AR18" i="278"/>
  <c r="AN18" i="278"/>
  <c r="AJ18" i="278"/>
  <c r="AF18" i="278"/>
  <c r="AB18" i="278"/>
  <c r="X18" i="278"/>
  <c r="T18" i="278"/>
  <c r="P18" i="278"/>
  <c r="L18" i="278"/>
  <c r="BP17" i="278"/>
  <c r="BL17" i="278"/>
  <c r="BH17" i="278"/>
  <c r="BD17" i="278"/>
  <c r="AZ17" i="278"/>
  <c r="BP16" i="278"/>
  <c r="BH16" i="278"/>
  <c r="BD16" i="278"/>
  <c r="AZ16" i="278"/>
  <c r="AV16" i="278"/>
  <c r="BP15" i="278"/>
  <c r="BH15" i="278"/>
  <c r="BH27" i="278"/>
  <c r="BD15" i="278"/>
  <c r="AZ15" i="278"/>
  <c r="AV15" i="278"/>
  <c r="AR15" i="278"/>
  <c r="AR27" i="278"/>
  <c r="AN15" i="278"/>
  <c r="AJ15" i="278"/>
  <c r="AF15" i="278"/>
  <c r="BP14" i="278"/>
  <c r="BL14" i="278"/>
  <c r="BH14" i="278"/>
  <c r="BD14" i="278"/>
  <c r="AZ14" i="278"/>
  <c r="AZ27" i="278"/>
  <c r="AV14" i="278"/>
  <c r="AR14" i="278"/>
  <c r="AN14" i="278"/>
  <c r="AJ14" i="278"/>
  <c r="AF14" i="278"/>
  <c r="AB14" i="278"/>
  <c r="X14" i="278"/>
  <c r="T14" i="278"/>
  <c r="P14" i="278"/>
  <c r="L14" i="278"/>
  <c r="H14" i="278"/>
  <c r="BO13" i="278"/>
  <c r="BN13" i="278"/>
  <c r="BM13" i="278"/>
  <c r="BK13" i="278"/>
  <c r="BJ13" i="278"/>
  <c r="BJ38" i="278"/>
  <c r="BI13" i="278"/>
  <c r="BG13" i="278"/>
  <c r="BG38" i="278"/>
  <c r="BF13" i="278"/>
  <c r="BE13" i="278"/>
  <c r="BC13" i="278"/>
  <c r="BB13" i="278"/>
  <c r="BB38" i="278"/>
  <c r="BA13" i="278"/>
  <c r="AY13" i="278"/>
  <c r="AX13" i="278"/>
  <c r="AW13" i="278"/>
  <c r="AW38" i="278"/>
  <c r="AU13" i="278"/>
  <c r="AT13" i="278"/>
  <c r="AS13" i="278"/>
  <c r="AS38" i="278"/>
  <c r="AQ13" i="278"/>
  <c r="AQ38" i="278"/>
  <c r="AP13" i="278"/>
  <c r="AO13" i="278"/>
  <c r="AO38" i="278"/>
  <c r="AM13" i="278"/>
  <c r="AL13" i="278"/>
  <c r="AL38" i="278"/>
  <c r="AK13" i="278"/>
  <c r="AI13" i="278"/>
  <c r="AH13" i="278"/>
  <c r="AH38" i="278"/>
  <c r="AG13" i="278"/>
  <c r="AG38" i="278"/>
  <c r="AE13" i="278"/>
  <c r="AD13" i="278"/>
  <c r="AD38" i="278"/>
  <c r="AC13" i="278"/>
  <c r="AC38" i="278"/>
  <c r="AA13" i="278"/>
  <c r="AA38" i="278"/>
  <c r="Z13" i="278"/>
  <c r="Y13" i="278"/>
  <c r="W13" i="278"/>
  <c r="W38" i="278"/>
  <c r="V13" i="278"/>
  <c r="V38" i="278"/>
  <c r="U13" i="278"/>
  <c r="S13" i="278"/>
  <c r="S38" i="278"/>
  <c r="R13" i="278"/>
  <c r="R38" i="278"/>
  <c r="Q13" i="278"/>
  <c r="Q38" i="278"/>
  <c r="O13" i="278"/>
  <c r="N13" i="278"/>
  <c r="N38" i="278"/>
  <c r="M13" i="278"/>
  <c r="M38" i="278"/>
  <c r="K13" i="278"/>
  <c r="K38" i="278"/>
  <c r="J13" i="278"/>
  <c r="I13" i="278"/>
  <c r="I38" i="278"/>
  <c r="G13" i="278"/>
  <c r="F13" i="278"/>
  <c r="E13" i="278"/>
  <c r="E38" i="278"/>
  <c r="BP12" i="278"/>
  <c r="BL12" i="278"/>
  <c r="BH12" i="278"/>
  <c r="BD12" i="278"/>
  <c r="AZ12" i="278"/>
  <c r="AV12" i="278"/>
  <c r="AR12" i="278"/>
  <c r="BP11" i="278"/>
  <c r="BL11" i="278"/>
  <c r="BH11" i="278"/>
  <c r="BD11" i="278"/>
  <c r="AZ11" i="278"/>
  <c r="AV11" i="278"/>
  <c r="AR11" i="278"/>
  <c r="AN11" i="278"/>
  <c r="AJ11" i="278"/>
  <c r="AF11" i="278"/>
  <c r="AB11" i="278"/>
  <c r="X11" i="278"/>
  <c r="T11" i="278"/>
  <c r="BP10" i="278"/>
  <c r="BP9" i="278"/>
  <c r="BP13" i="278"/>
  <c r="BP8" i="278"/>
  <c r="BL8" i="278"/>
  <c r="BH8" i="278"/>
  <c r="BD8" i="278"/>
  <c r="AZ8" i="278"/>
  <c r="AV8" i="278"/>
  <c r="AR8" i="278"/>
  <c r="AN8" i="278"/>
  <c r="AJ8" i="278"/>
  <c r="AF8" i="278"/>
  <c r="AB8" i="278"/>
  <c r="X8" i="278"/>
  <c r="T8" i="278"/>
  <c r="P8" i="278"/>
  <c r="L8" i="278"/>
  <c r="L13" i="278"/>
  <c r="H8" i="278"/>
  <c r="H13" i="278"/>
  <c r="BP7" i="278"/>
  <c r="BL7" i="278"/>
  <c r="BH7" i="278"/>
  <c r="BD7" i="278"/>
  <c r="AZ7" i="278"/>
  <c r="AV7" i="278"/>
  <c r="AR7" i="278"/>
  <c r="AN7" i="278"/>
  <c r="AJ7" i="278"/>
  <c r="AF7" i="278"/>
  <c r="AB7" i="278"/>
  <c r="BP6" i="278"/>
  <c r="BL6" i="278"/>
  <c r="BH6" i="278"/>
  <c r="BD6" i="278"/>
  <c r="AZ6" i="278"/>
  <c r="AV6" i="278"/>
  <c r="AR6" i="278"/>
  <c r="AR13" i="278"/>
  <c r="AR38" i="278"/>
  <c r="AN6" i="278"/>
  <c r="AJ6" i="278"/>
  <c r="AF6" i="278"/>
  <c r="AB6" i="278"/>
  <c r="X6" i="278"/>
  <c r="T6" i="278"/>
  <c r="P6" i="278"/>
  <c r="BD5" i="278"/>
  <c r="BD13" i="278"/>
  <c r="AZ5" i="278"/>
  <c r="X5" i="278"/>
  <c r="T5" i="278"/>
  <c r="I81" i="268"/>
  <c r="H81" i="268"/>
  <c r="G81" i="268"/>
  <c r="F81" i="268"/>
  <c r="E81" i="268"/>
  <c r="D81" i="268"/>
  <c r="I80" i="268"/>
  <c r="H80" i="268"/>
  <c r="G80" i="268"/>
  <c r="F80" i="268"/>
  <c r="E80" i="268"/>
  <c r="D80" i="268"/>
  <c r="I79" i="268"/>
  <c r="H79" i="268"/>
  <c r="G79" i="268"/>
  <c r="D79" i="268"/>
  <c r="I78" i="268"/>
  <c r="H78" i="268"/>
  <c r="G78" i="268"/>
  <c r="F78" i="268"/>
  <c r="E78" i="268"/>
  <c r="D78" i="268"/>
  <c r="M70" i="268"/>
  <c r="L70" i="268"/>
  <c r="M69" i="268"/>
  <c r="L69" i="268"/>
  <c r="M68" i="268"/>
  <c r="L68" i="268"/>
  <c r="M67" i="268"/>
  <c r="O66" i="268"/>
  <c r="N66" i="268"/>
  <c r="O65" i="268"/>
  <c r="N65" i="268"/>
  <c r="O64" i="268"/>
  <c r="N64" i="268"/>
  <c r="M63" i="268"/>
  <c r="O61" i="268"/>
  <c r="N61" i="268"/>
  <c r="N63" i="268"/>
  <c r="M59" i="268"/>
  <c r="L59" i="268"/>
  <c r="O58" i="268"/>
  <c r="N58" i="268"/>
  <c r="O57" i="268"/>
  <c r="N57" i="268"/>
  <c r="M53" i="268"/>
  <c r="L53" i="268"/>
  <c r="K53" i="268"/>
  <c r="J53" i="268"/>
  <c r="I53" i="268"/>
  <c r="H53" i="268"/>
  <c r="G53" i="268"/>
  <c r="F53" i="268"/>
  <c r="E53" i="268"/>
  <c r="D53" i="268"/>
  <c r="M52" i="268"/>
  <c r="L52" i="268"/>
  <c r="K52" i="268"/>
  <c r="J52" i="268"/>
  <c r="I52" i="268"/>
  <c r="H52" i="268"/>
  <c r="G52" i="268"/>
  <c r="F52" i="268"/>
  <c r="E52" i="268"/>
  <c r="D52" i="268"/>
  <c r="M51" i="268"/>
  <c r="L51" i="268"/>
  <c r="K51" i="268"/>
  <c r="J51" i="268"/>
  <c r="I51" i="268"/>
  <c r="H51" i="268"/>
  <c r="G51" i="268"/>
  <c r="F51" i="268"/>
  <c r="E51" i="268"/>
  <c r="D51" i="268"/>
  <c r="M50" i="268"/>
  <c r="L50" i="268"/>
  <c r="K50" i="268"/>
  <c r="J50" i="268"/>
  <c r="O49" i="268"/>
  <c r="N49" i="268"/>
  <c r="O48" i="268"/>
  <c r="N48" i="268"/>
  <c r="M46" i="268"/>
  <c r="L46" i="268"/>
  <c r="K46" i="268"/>
  <c r="J46" i="268"/>
  <c r="O45" i="268"/>
  <c r="N45" i="268"/>
  <c r="O44" i="268"/>
  <c r="N44" i="268"/>
  <c r="O43" i="268"/>
  <c r="N43" i="268"/>
  <c r="M42" i="268"/>
  <c r="L42" i="268"/>
  <c r="K42" i="268"/>
  <c r="J42" i="268"/>
  <c r="O41" i="268"/>
  <c r="N41" i="268"/>
  <c r="O40" i="268"/>
  <c r="N40" i="268"/>
  <c r="O39" i="268"/>
  <c r="N39" i="268"/>
  <c r="M36" i="268"/>
  <c r="L36" i="268"/>
  <c r="K36" i="268"/>
  <c r="J36" i="268"/>
  <c r="I36" i="268"/>
  <c r="H36" i="268"/>
  <c r="G36" i="268"/>
  <c r="F36" i="268"/>
  <c r="E36" i="268"/>
  <c r="D36" i="268"/>
  <c r="M35" i="268"/>
  <c r="L35" i="268"/>
  <c r="K35" i="268"/>
  <c r="J35" i="268"/>
  <c r="I35" i="268"/>
  <c r="H35" i="268"/>
  <c r="G35" i="268"/>
  <c r="F35" i="268"/>
  <c r="E35" i="268"/>
  <c r="D35" i="268"/>
  <c r="M34" i="268"/>
  <c r="L34" i="268"/>
  <c r="K34" i="268"/>
  <c r="J34" i="268"/>
  <c r="I34" i="268"/>
  <c r="H34" i="268"/>
  <c r="G34" i="268"/>
  <c r="F34" i="268"/>
  <c r="E34" i="268"/>
  <c r="D34" i="268"/>
  <c r="M33" i="268"/>
  <c r="L33" i="268"/>
  <c r="K33" i="268"/>
  <c r="J33" i="268"/>
  <c r="O32" i="268"/>
  <c r="N32" i="268"/>
  <c r="O31" i="268"/>
  <c r="N31" i="268"/>
  <c r="O30" i="268"/>
  <c r="N30" i="268"/>
  <c r="M29" i="268"/>
  <c r="L29" i="268"/>
  <c r="K29" i="268"/>
  <c r="J29" i="268"/>
  <c r="O28" i="268"/>
  <c r="N28" i="268"/>
  <c r="O27" i="268"/>
  <c r="N27" i="268"/>
  <c r="O26" i="268"/>
  <c r="N26" i="268"/>
  <c r="M25" i="268"/>
  <c r="L25" i="268"/>
  <c r="K25" i="268"/>
  <c r="J25" i="268"/>
  <c r="O24" i="268"/>
  <c r="N24" i="268"/>
  <c r="O23" i="268"/>
  <c r="N23" i="268"/>
  <c r="M19" i="268"/>
  <c r="L19" i="268"/>
  <c r="K19" i="268"/>
  <c r="J19" i="268"/>
  <c r="I19" i="268"/>
  <c r="H19" i="268"/>
  <c r="G19" i="268"/>
  <c r="F19" i="268"/>
  <c r="E19" i="268"/>
  <c r="D19" i="268"/>
  <c r="M18" i="268"/>
  <c r="L18" i="268"/>
  <c r="K18" i="268"/>
  <c r="J18" i="268"/>
  <c r="I18" i="268"/>
  <c r="H18" i="268"/>
  <c r="G18" i="268"/>
  <c r="F18" i="268"/>
  <c r="E18" i="268"/>
  <c r="D18" i="268"/>
  <c r="M17" i="268"/>
  <c r="L17" i="268"/>
  <c r="K17" i="268"/>
  <c r="J17" i="268"/>
  <c r="I17" i="268"/>
  <c r="H17" i="268"/>
  <c r="G17" i="268"/>
  <c r="F17" i="268"/>
  <c r="E17" i="268"/>
  <c r="D17" i="268"/>
  <c r="M16" i="268"/>
  <c r="L16" i="268"/>
  <c r="K16" i="268"/>
  <c r="J16" i="268"/>
  <c r="O15" i="268"/>
  <c r="N15" i="268"/>
  <c r="O14" i="268"/>
  <c r="N14" i="268"/>
  <c r="O13" i="268"/>
  <c r="N13" i="268"/>
  <c r="M12" i="268"/>
  <c r="L12" i="268"/>
  <c r="K12" i="268"/>
  <c r="J12" i="268"/>
  <c r="O11" i="268"/>
  <c r="N11" i="268"/>
  <c r="O10" i="268"/>
  <c r="N10" i="268"/>
  <c r="O9" i="268"/>
  <c r="N9" i="268"/>
  <c r="M8" i="268"/>
  <c r="L8" i="268"/>
  <c r="K8" i="268"/>
  <c r="J8" i="268"/>
  <c r="O7" i="268"/>
  <c r="N7" i="268"/>
  <c r="O6" i="268"/>
  <c r="O148" i="268"/>
  <c r="O160" i="268"/>
  <c r="O216" i="268"/>
  <c r="N6" i="268"/>
  <c r="N148" i="268"/>
  <c r="N160" i="268"/>
  <c r="N216" i="268"/>
  <c r="O5" i="268"/>
  <c r="N5" i="268"/>
  <c r="N147" i="268"/>
  <c r="P132" i="267"/>
  <c r="O132" i="267"/>
  <c r="N132" i="267"/>
  <c r="P128" i="267"/>
  <c r="O128" i="267"/>
  <c r="N128" i="267"/>
  <c r="P126" i="267"/>
  <c r="O126" i="267"/>
  <c r="N126" i="267"/>
  <c r="M126" i="267"/>
  <c r="M133" i="267"/>
  <c r="P123" i="267"/>
  <c r="P122" i="267"/>
  <c r="O122" i="267"/>
  <c r="N122" i="267"/>
  <c r="M122" i="267"/>
  <c r="L122" i="267"/>
  <c r="K122" i="267"/>
  <c r="J122" i="267"/>
  <c r="I122" i="267"/>
  <c r="H122" i="267"/>
  <c r="G122" i="267"/>
  <c r="F122" i="267"/>
  <c r="E122" i="267"/>
  <c r="P117" i="267"/>
  <c r="O117" i="267"/>
  <c r="N117" i="267"/>
  <c r="M117" i="267"/>
  <c r="L117" i="267"/>
  <c r="K117" i="267"/>
  <c r="J117" i="267"/>
  <c r="I117" i="267"/>
  <c r="H117" i="267"/>
  <c r="G117" i="267"/>
  <c r="F117" i="267"/>
  <c r="E117" i="267"/>
  <c r="P102" i="267"/>
  <c r="O102" i="267"/>
  <c r="N102" i="267"/>
  <c r="M102" i="267"/>
  <c r="L102" i="267"/>
  <c r="K102" i="267"/>
  <c r="J102" i="267"/>
  <c r="I102" i="267"/>
  <c r="H102" i="267"/>
  <c r="H123" i="267"/>
  <c r="G102" i="267"/>
  <c r="F102" i="267"/>
  <c r="E102" i="267"/>
  <c r="P85" i="267"/>
  <c r="O85" i="267"/>
  <c r="N85" i="267"/>
  <c r="M85" i="267"/>
  <c r="L85" i="267"/>
  <c r="K85" i="267"/>
  <c r="J85" i="267"/>
  <c r="I85" i="267"/>
  <c r="H85" i="267"/>
  <c r="G85" i="267"/>
  <c r="F85" i="267"/>
  <c r="E85" i="267"/>
  <c r="P75" i="267"/>
  <c r="O75" i="267"/>
  <c r="N75" i="267"/>
  <c r="M75" i="267"/>
  <c r="L75" i="267"/>
  <c r="K75" i="267"/>
  <c r="J75" i="267"/>
  <c r="I75" i="267"/>
  <c r="H75" i="267"/>
  <c r="G75" i="267"/>
  <c r="F75" i="267"/>
  <c r="E75" i="267"/>
  <c r="P61" i="267"/>
  <c r="O61" i="267"/>
  <c r="N61" i="267"/>
  <c r="M61" i="267"/>
  <c r="L61" i="267"/>
  <c r="K61" i="267"/>
  <c r="J61" i="267"/>
  <c r="I61" i="267"/>
  <c r="H61" i="267"/>
  <c r="G61" i="267"/>
  <c r="F61" i="267"/>
  <c r="E61" i="267"/>
  <c r="P44" i="267"/>
  <c r="O44" i="267"/>
  <c r="N44" i="267"/>
  <c r="M44" i="267"/>
  <c r="L44" i="267"/>
  <c r="K44" i="267"/>
  <c r="J44" i="267"/>
  <c r="I44" i="267"/>
  <c r="H44" i="267"/>
  <c r="G44" i="267"/>
  <c r="F44" i="267"/>
  <c r="E44" i="267"/>
  <c r="P28" i="267"/>
  <c r="O28" i="267"/>
  <c r="N28" i="267"/>
  <c r="M28" i="267"/>
  <c r="L28" i="267"/>
  <c r="K28" i="267"/>
  <c r="J28" i="267"/>
  <c r="I28" i="267"/>
  <c r="H28" i="267"/>
  <c r="G28" i="267"/>
  <c r="F28" i="267"/>
  <c r="E28" i="267"/>
  <c r="P14" i="267"/>
  <c r="P45" i="267"/>
  <c r="O14" i="267"/>
  <c r="O45" i="267"/>
  <c r="N14" i="267"/>
  <c r="M14" i="267"/>
  <c r="L14" i="267"/>
  <c r="K14" i="267"/>
  <c r="J14" i="267"/>
  <c r="J45" i="267"/>
  <c r="I14" i="267"/>
  <c r="I45" i="267"/>
  <c r="H14" i="267"/>
  <c r="H45" i="267"/>
  <c r="G14" i="267"/>
  <c r="G45" i="267"/>
  <c r="F14" i="267"/>
  <c r="E14" i="267"/>
  <c r="AG70" i="27"/>
  <c r="U70" i="27"/>
  <c r="K70" i="27"/>
  <c r="AD69" i="27"/>
  <c r="Q69" i="27"/>
  <c r="AI68" i="27"/>
  <c r="X68" i="27"/>
  <c r="K68" i="27"/>
  <c r="W66" i="27"/>
  <c r="R66" i="27"/>
  <c r="Q66" i="27"/>
  <c r="O66" i="27"/>
  <c r="X65" i="27"/>
  <c r="W65" i="27"/>
  <c r="V65" i="27"/>
  <c r="U65" i="27"/>
  <c r="T65" i="27"/>
  <c r="S65" i="27"/>
  <c r="S70" i="27"/>
  <c r="R65" i="27"/>
  <c r="Q65" i="27"/>
  <c r="P65" i="27"/>
  <c r="O65" i="27"/>
  <c r="N65" i="27"/>
  <c r="M65" i="27"/>
  <c r="L65" i="27"/>
  <c r="K65" i="27"/>
  <c r="J65" i="27"/>
  <c r="I65" i="27"/>
  <c r="X64" i="27"/>
  <c r="W64" i="27"/>
  <c r="V64" i="27"/>
  <c r="U64" i="27"/>
  <c r="T64" i="27"/>
  <c r="S64" i="27"/>
  <c r="R64" i="27"/>
  <c r="Q64" i="27"/>
  <c r="P64" i="27"/>
  <c r="O64" i="27"/>
  <c r="N64" i="27"/>
  <c r="M64" i="27"/>
  <c r="L64" i="27"/>
  <c r="K64" i="27"/>
  <c r="J64" i="27"/>
  <c r="I64" i="27"/>
  <c r="X63" i="27"/>
  <c r="X66" i="27"/>
  <c r="W63" i="27"/>
  <c r="V63" i="27"/>
  <c r="V66" i="27"/>
  <c r="U63" i="27"/>
  <c r="U66" i="27"/>
  <c r="T63" i="27"/>
  <c r="T66" i="27"/>
  <c r="S63" i="27"/>
  <c r="S66" i="27"/>
  <c r="R63" i="27"/>
  <c r="Q63" i="27"/>
  <c r="P63" i="27"/>
  <c r="P66" i="27"/>
  <c r="O63" i="27"/>
  <c r="N63" i="27"/>
  <c r="N66" i="27"/>
  <c r="M63" i="27"/>
  <c r="M66" i="27"/>
  <c r="L63" i="27"/>
  <c r="L66" i="27"/>
  <c r="K63" i="27"/>
  <c r="K66" i="27"/>
  <c r="J63" i="27"/>
  <c r="J66" i="27"/>
  <c r="I63" i="27"/>
  <c r="I66" i="27"/>
  <c r="AC46" i="27"/>
  <c r="S46" i="27"/>
  <c r="AI45" i="27"/>
  <c r="AI70" i="27"/>
  <c r="AH45" i="27"/>
  <c r="AH70" i="27"/>
  <c r="AG45" i="27"/>
  <c r="AE45" i="27"/>
  <c r="AE70" i="27"/>
  <c r="AD45" i="27"/>
  <c r="AD70" i="27"/>
  <c r="AC45" i="27"/>
  <c r="X45" i="27"/>
  <c r="W45" i="27"/>
  <c r="V45" i="27"/>
  <c r="U45" i="27"/>
  <c r="T45" i="27"/>
  <c r="S45" i="27"/>
  <c r="R45" i="27"/>
  <c r="R70" i="27"/>
  <c r="Q45" i="27"/>
  <c r="P45" i="27"/>
  <c r="O45" i="27"/>
  <c r="N45" i="27"/>
  <c r="M45" i="27"/>
  <c r="L45" i="27"/>
  <c r="K45" i="27"/>
  <c r="J45" i="27"/>
  <c r="J70" i="27"/>
  <c r="I45" i="27"/>
  <c r="AI44" i="27"/>
  <c r="AH44" i="27"/>
  <c r="AH69" i="27"/>
  <c r="AG44" i="27"/>
  <c r="AE44" i="27"/>
  <c r="AD44" i="27"/>
  <c r="AC44" i="27"/>
  <c r="X44" i="27"/>
  <c r="X46" i="27"/>
  <c r="W44" i="27"/>
  <c r="V44" i="27"/>
  <c r="U44" i="27"/>
  <c r="T44" i="27"/>
  <c r="S44" i="27"/>
  <c r="S69" i="27"/>
  <c r="R44" i="27"/>
  <c r="Q44" i="27"/>
  <c r="P44" i="27"/>
  <c r="O44" i="27"/>
  <c r="N44" i="27"/>
  <c r="M44" i="27"/>
  <c r="L44" i="27"/>
  <c r="K44" i="27"/>
  <c r="J44" i="27"/>
  <c r="I44" i="27"/>
  <c r="AJ43" i="27"/>
  <c r="AI43" i="27"/>
  <c r="AH43" i="27"/>
  <c r="AH68" i="27"/>
  <c r="AH71" i="27"/>
  <c r="AG43" i="27"/>
  <c r="AG46" i="27"/>
  <c r="AE43" i="27"/>
  <c r="AE68" i="27"/>
  <c r="AD43" i="27"/>
  <c r="AC43" i="27"/>
  <c r="X43" i="27"/>
  <c r="W43" i="27"/>
  <c r="V43" i="27"/>
  <c r="V46" i="27"/>
  <c r="U43" i="27"/>
  <c r="U46" i="27"/>
  <c r="T43" i="27"/>
  <c r="T46" i="27"/>
  <c r="S43" i="27"/>
  <c r="R43" i="27"/>
  <c r="Q43" i="27"/>
  <c r="P43" i="27"/>
  <c r="O43" i="27"/>
  <c r="N43" i="27"/>
  <c r="N46" i="27"/>
  <c r="M43" i="27"/>
  <c r="M46" i="27"/>
  <c r="L43" i="27"/>
  <c r="L46" i="27"/>
  <c r="K43" i="27"/>
  <c r="J43" i="27"/>
  <c r="I43" i="27"/>
  <c r="AI41" i="27"/>
  <c r="AH41" i="27"/>
  <c r="AG41" i="27"/>
  <c r="AF41" i="27"/>
  <c r="AE41" i="27"/>
  <c r="AD41" i="27"/>
  <c r="AC41" i="27"/>
  <c r="AJ40" i="27"/>
  <c r="AF40" i="27"/>
  <c r="AJ39" i="27"/>
  <c r="AF39" i="27"/>
  <c r="AJ38" i="27"/>
  <c r="AJ41" i="27"/>
  <c r="AF38" i="27"/>
  <c r="AI36" i="27"/>
  <c r="AH36" i="27"/>
  <c r="AG36" i="27"/>
  <c r="AE36" i="27"/>
  <c r="AD36" i="27"/>
  <c r="AC36" i="27"/>
  <c r="AJ35" i="27"/>
  <c r="AJ45" i="27"/>
  <c r="AF35" i="27"/>
  <c r="AJ34" i="27"/>
  <c r="AF34" i="27"/>
  <c r="AJ33" i="27"/>
  <c r="AF33" i="27"/>
  <c r="AI31" i="27"/>
  <c r="AH31" i="27"/>
  <c r="AG31" i="27"/>
  <c r="AE31" i="27"/>
  <c r="AD31" i="27"/>
  <c r="AC31" i="27"/>
  <c r="AJ30" i="27"/>
  <c r="AF30" i="27"/>
  <c r="AJ29" i="27"/>
  <c r="AF29" i="27"/>
  <c r="AI26" i="27"/>
  <c r="AH26" i="27"/>
  <c r="AE26" i="27"/>
  <c r="AD26" i="27"/>
  <c r="U26" i="27"/>
  <c r="R26" i="27"/>
  <c r="Q26" i="27"/>
  <c r="O26" i="27"/>
  <c r="J26" i="27"/>
  <c r="AG25" i="27"/>
  <c r="AC25" i="27"/>
  <c r="X25" i="27"/>
  <c r="X70" i="27"/>
  <c r="W25" i="27"/>
  <c r="V25" i="27"/>
  <c r="V70" i="27"/>
  <c r="U25" i="27"/>
  <c r="T25" i="27"/>
  <c r="T70" i="27"/>
  <c r="S25" i="27"/>
  <c r="R25" i="27"/>
  <c r="Q25" i="27"/>
  <c r="Q70" i="27"/>
  <c r="P25" i="27"/>
  <c r="P70" i="27"/>
  <c r="O25" i="27"/>
  <c r="N25" i="27"/>
  <c r="N70" i="27"/>
  <c r="M25" i="27"/>
  <c r="M70" i="27"/>
  <c r="L25" i="27"/>
  <c r="L70" i="27"/>
  <c r="K25" i="27"/>
  <c r="J25" i="27"/>
  <c r="I25" i="27"/>
  <c r="I70" i="27"/>
  <c r="AJ24" i="27"/>
  <c r="AG24" i="27"/>
  <c r="AG69" i="27"/>
  <c r="AC24" i="27"/>
  <c r="X24" i="27"/>
  <c r="W24" i="27"/>
  <c r="W69" i="27"/>
  <c r="V24" i="27"/>
  <c r="V69" i="27"/>
  <c r="U24" i="27"/>
  <c r="U69" i="27"/>
  <c r="U71" i="27"/>
  <c r="T24" i="27"/>
  <c r="T69" i="27"/>
  <c r="S24" i="27"/>
  <c r="R24" i="27"/>
  <c r="R69" i="27"/>
  <c r="Q24" i="27"/>
  <c r="P24" i="27"/>
  <c r="O24" i="27"/>
  <c r="O69" i="27"/>
  <c r="N24" i="27"/>
  <c r="N69" i="27"/>
  <c r="M24" i="27"/>
  <c r="M69" i="27"/>
  <c r="L24" i="27"/>
  <c r="L69" i="27"/>
  <c r="K24" i="27"/>
  <c r="J24" i="27"/>
  <c r="J69" i="27"/>
  <c r="I24" i="27"/>
  <c r="I69" i="27"/>
  <c r="AJ23" i="27"/>
  <c r="AG23" i="27"/>
  <c r="AG68" i="27"/>
  <c r="AC23" i="27"/>
  <c r="X23" i="27"/>
  <c r="W23" i="27"/>
  <c r="V23" i="27"/>
  <c r="U23" i="27"/>
  <c r="U68" i="27"/>
  <c r="T23" i="27"/>
  <c r="S23" i="27"/>
  <c r="R23" i="27"/>
  <c r="Q23" i="27"/>
  <c r="Q68" i="27"/>
  <c r="P23" i="27"/>
  <c r="P68" i="27"/>
  <c r="O23" i="27"/>
  <c r="N23" i="27"/>
  <c r="M23" i="27"/>
  <c r="M68" i="27"/>
  <c r="L23" i="27"/>
  <c r="K23" i="27"/>
  <c r="K26" i="27"/>
  <c r="J23" i="27"/>
  <c r="I23" i="27"/>
  <c r="AJ16" i="27"/>
  <c r="AI16" i="27"/>
  <c r="AH16" i="27"/>
  <c r="AG16" i="27"/>
  <c r="AF16" i="27"/>
  <c r="AE16" i="27"/>
  <c r="AD16" i="27"/>
  <c r="AC16" i="27"/>
  <c r="AJ15" i="27"/>
  <c r="AF15" i="27"/>
  <c r="AJ14" i="27"/>
  <c r="AF14" i="27"/>
  <c r="AJ11" i="27"/>
  <c r="AI11" i="27"/>
  <c r="AH11" i="27"/>
  <c r="AG11" i="27"/>
  <c r="AE11" i="27"/>
  <c r="AD11" i="27"/>
  <c r="AC11" i="27"/>
  <c r="AJ10" i="27"/>
  <c r="AF10" i="27"/>
  <c r="AJ9" i="27"/>
  <c r="AF9" i="27"/>
  <c r="AF11" i="27"/>
  <c r="AI90" i="169"/>
  <c r="AH90" i="169"/>
  <c r="AG90" i="169"/>
  <c r="AE90" i="169"/>
  <c r="AD90" i="169"/>
  <c r="AC90" i="169"/>
  <c r="AA90" i="169"/>
  <c r="Z90" i="169"/>
  <c r="Y90" i="169"/>
  <c r="X90" i="169"/>
  <c r="W90" i="169"/>
  <c r="V90" i="169"/>
  <c r="U90" i="169"/>
  <c r="T90" i="169"/>
  <c r="S90" i="169"/>
  <c r="R90" i="169"/>
  <c r="Q90" i="169"/>
  <c r="P90" i="169"/>
  <c r="O90" i="169"/>
  <c r="N90" i="169"/>
  <c r="M90" i="169"/>
  <c r="L90" i="169"/>
  <c r="K90" i="169"/>
  <c r="J90" i="169"/>
  <c r="I90" i="169"/>
  <c r="H90" i="169"/>
  <c r="G90" i="169"/>
  <c r="F90" i="169"/>
  <c r="E90" i="169"/>
  <c r="AJ89" i="169"/>
  <c r="AF89" i="169"/>
  <c r="AB89" i="169"/>
  <c r="AJ88" i="169"/>
  <c r="AF88" i="169"/>
  <c r="AB88" i="169"/>
  <c r="AJ87" i="169"/>
  <c r="AF87" i="169"/>
  <c r="AB87" i="169"/>
  <c r="AJ86" i="169"/>
  <c r="AF86" i="169"/>
  <c r="AB86" i="169"/>
  <c r="AJ85" i="169"/>
  <c r="AF85" i="169"/>
  <c r="AB85" i="169"/>
  <c r="AJ84" i="169"/>
  <c r="AF84" i="169"/>
  <c r="AB84" i="169"/>
  <c r="AJ83" i="169"/>
  <c r="AF83" i="169"/>
  <c r="AB83" i="169"/>
  <c r="AJ82" i="169"/>
  <c r="AF82" i="169"/>
  <c r="AB82" i="169"/>
  <c r="AJ81" i="169"/>
  <c r="AF81" i="169"/>
  <c r="AB81" i="169"/>
  <c r="AJ80" i="169"/>
  <c r="AF80" i="169"/>
  <c r="AB80" i="169"/>
  <c r="AJ79" i="169"/>
  <c r="AF79" i="169"/>
  <c r="AB79" i="169"/>
  <c r="AJ78" i="169"/>
  <c r="AF78" i="169"/>
  <c r="AB78" i="169"/>
  <c r="AJ77" i="169"/>
  <c r="AF77" i="169"/>
  <c r="AB77" i="169"/>
  <c r="AJ76" i="169"/>
  <c r="AF76" i="169"/>
  <c r="AB76" i="169"/>
  <c r="AJ75" i="169"/>
  <c r="AF75" i="169"/>
  <c r="AB75" i="169"/>
  <c r="AJ74" i="169"/>
  <c r="AF74" i="169"/>
  <c r="AB74" i="169"/>
  <c r="AJ73" i="169"/>
  <c r="AF73" i="169"/>
  <c r="AB73" i="169"/>
  <c r="AJ72" i="169"/>
  <c r="AF72" i="169"/>
  <c r="AB72" i="169"/>
  <c r="AJ71" i="169"/>
  <c r="AF71" i="169"/>
  <c r="AB71" i="169"/>
  <c r="AJ70" i="169"/>
  <c r="AF70" i="169"/>
  <c r="AB70" i="169"/>
  <c r="AJ69" i="169"/>
  <c r="AF69" i="169"/>
  <c r="AB69" i="169"/>
  <c r="AJ68" i="169"/>
  <c r="AF68" i="169"/>
  <c r="AB68" i="169"/>
  <c r="AJ67" i="169"/>
  <c r="AF67" i="169"/>
  <c r="AB67" i="169"/>
  <c r="AJ66" i="169"/>
  <c r="AF66" i="169"/>
  <c r="AB66" i="169"/>
  <c r="AJ65" i="169"/>
  <c r="AF65" i="169"/>
  <c r="AB65" i="169"/>
  <c r="AJ64" i="169"/>
  <c r="AF64" i="169"/>
  <c r="AB64" i="169"/>
  <c r="AJ63" i="169"/>
  <c r="AF63" i="169"/>
  <c r="AB63" i="169"/>
  <c r="AJ62" i="169"/>
  <c r="AF62" i="169"/>
  <c r="AB62" i="169"/>
  <c r="AJ61" i="169"/>
  <c r="AF61" i="169"/>
  <c r="AB61" i="169"/>
  <c r="AJ60" i="169"/>
  <c r="AF60" i="169"/>
  <c r="AB60" i="169"/>
  <c r="AJ59" i="169"/>
  <c r="AF59" i="169"/>
  <c r="AB59" i="169"/>
  <c r="AJ58" i="169"/>
  <c r="AF58" i="169"/>
  <c r="AB58" i="169"/>
  <c r="AJ57" i="169"/>
  <c r="AF57" i="169"/>
  <c r="AB57" i="169"/>
  <c r="AJ56" i="169"/>
  <c r="AF56" i="169"/>
  <c r="AB56" i="169"/>
  <c r="AJ55" i="169"/>
  <c r="AF55" i="169"/>
  <c r="AB55" i="169"/>
  <c r="AJ54" i="169"/>
  <c r="AF54" i="169"/>
  <c r="AB54" i="169"/>
  <c r="AJ53" i="169"/>
  <c r="AF53" i="169"/>
  <c r="AB53" i="169"/>
  <c r="AJ52" i="169"/>
  <c r="AF52" i="169"/>
  <c r="AB52" i="169"/>
  <c r="AJ51" i="169"/>
  <c r="AF51" i="169"/>
  <c r="AB51" i="169"/>
  <c r="AJ50" i="169"/>
  <c r="AF50" i="169"/>
  <c r="AB50" i="169"/>
  <c r="AJ49" i="169"/>
  <c r="AF49" i="169"/>
  <c r="AB49" i="169"/>
  <c r="AJ48" i="169"/>
  <c r="AF48" i="169"/>
  <c r="AB48" i="169"/>
  <c r="AJ47" i="169"/>
  <c r="AF47" i="169"/>
  <c r="AB47" i="169"/>
  <c r="AJ46" i="169"/>
  <c r="AF46" i="169"/>
  <c r="AB46" i="169"/>
  <c r="AJ45" i="169"/>
  <c r="AF45" i="169"/>
  <c r="AB45" i="169"/>
  <c r="AJ44" i="169"/>
  <c r="AF44" i="169"/>
  <c r="AB44" i="169"/>
  <c r="AJ43" i="169"/>
  <c r="AF43" i="169"/>
  <c r="AB43" i="169"/>
  <c r="AJ42" i="169"/>
  <c r="AF42" i="169"/>
  <c r="AB42" i="169"/>
  <c r="AJ41" i="169"/>
  <c r="AF41" i="169"/>
  <c r="AB41" i="169"/>
  <c r="AJ40" i="169"/>
  <c r="AF40" i="169"/>
  <c r="AB40" i="169"/>
  <c r="AJ39" i="169"/>
  <c r="AF39" i="169"/>
  <c r="AB39" i="169"/>
  <c r="AJ38" i="169"/>
  <c r="AF38" i="169"/>
  <c r="AB38" i="169"/>
  <c r="AJ37" i="169"/>
  <c r="AF37" i="169"/>
  <c r="AB37" i="169"/>
  <c r="AJ36" i="169"/>
  <c r="AF36" i="169"/>
  <c r="AB36" i="169"/>
  <c r="AJ35" i="169"/>
  <c r="AF35" i="169"/>
  <c r="AB35" i="169"/>
  <c r="AJ34" i="169"/>
  <c r="AF34" i="169"/>
  <c r="AB34" i="169"/>
  <c r="AJ33" i="169"/>
  <c r="AF33" i="169"/>
  <c r="AB33" i="169"/>
  <c r="AJ32" i="169"/>
  <c r="AF32" i="169"/>
  <c r="AB32" i="169"/>
  <c r="AJ31" i="169"/>
  <c r="AF31" i="169"/>
  <c r="AB31" i="169"/>
  <c r="AJ30" i="169"/>
  <c r="AF30" i="169"/>
  <c r="AB30" i="169"/>
  <c r="AJ29" i="169"/>
  <c r="AF29" i="169"/>
  <c r="AB29" i="169"/>
  <c r="AJ28" i="169"/>
  <c r="AF28" i="169"/>
  <c r="AB28" i="169"/>
  <c r="AJ27" i="169"/>
  <c r="AF27" i="169"/>
  <c r="AB27" i="169"/>
  <c r="AJ26" i="169"/>
  <c r="AF26" i="169"/>
  <c r="AB26" i="169"/>
  <c r="AJ25" i="169"/>
  <c r="AF25" i="169"/>
  <c r="AB25" i="169"/>
  <c r="AJ24" i="169"/>
  <c r="AF24" i="169"/>
  <c r="AB24" i="169"/>
  <c r="AJ23" i="169"/>
  <c r="AF23" i="169"/>
  <c r="AB23" i="169"/>
  <c r="AJ22" i="169"/>
  <c r="AF22" i="169"/>
  <c r="AB22" i="169"/>
  <c r="AJ21" i="169"/>
  <c r="AF21" i="169"/>
  <c r="AB21" i="169"/>
  <c r="AJ20" i="169"/>
  <c r="AF20" i="169"/>
  <c r="AB20" i="169"/>
  <c r="AJ19" i="169"/>
  <c r="AF19" i="169"/>
  <c r="AB19" i="169"/>
  <c r="AJ18" i="169"/>
  <c r="AF18" i="169"/>
  <c r="AB18" i="169"/>
  <c r="AJ17" i="169"/>
  <c r="AF17" i="169"/>
  <c r="AB17" i="169"/>
  <c r="AJ16" i="169"/>
  <c r="AF16" i="169"/>
  <c r="AB16" i="169"/>
  <c r="AJ15" i="169"/>
  <c r="AF15" i="169"/>
  <c r="AB15" i="169"/>
  <c r="AJ14" i="169"/>
  <c r="AF14" i="169"/>
  <c r="AB14" i="169"/>
  <c r="AJ13" i="169"/>
  <c r="AF13" i="169"/>
  <c r="AB13" i="169"/>
  <c r="AJ12" i="169"/>
  <c r="AF12" i="169"/>
  <c r="AB12" i="169"/>
  <c r="AJ11" i="169"/>
  <c r="AF11" i="169"/>
  <c r="AB11" i="169"/>
  <c r="AJ10" i="169"/>
  <c r="AF10" i="169"/>
  <c r="AB10" i="169"/>
  <c r="AJ9" i="169"/>
  <c r="AJ90" i="169"/>
  <c r="AF9" i="169"/>
  <c r="AB9" i="169"/>
  <c r="AJ8" i="169"/>
  <c r="AF8" i="169"/>
  <c r="AB8" i="169"/>
  <c r="AJ7" i="169"/>
  <c r="AF7" i="169"/>
  <c r="AF90" i="169"/>
  <c r="AB7" i="169"/>
  <c r="AB90" i="169"/>
  <c r="E62" i="26"/>
  <c r="AC61" i="26"/>
  <c r="U61" i="26"/>
  <c r="T61" i="26"/>
  <c r="L61" i="26"/>
  <c r="H61" i="26"/>
  <c r="G61" i="26"/>
  <c r="F61" i="26"/>
  <c r="AC60" i="26"/>
  <c r="AB60" i="26"/>
  <c r="Q60" i="26"/>
  <c r="N60" i="26"/>
  <c r="N62" i="26"/>
  <c r="M60" i="26"/>
  <c r="I60" i="26"/>
  <c r="I62" i="26"/>
  <c r="F60" i="26"/>
  <c r="E60" i="26"/>
  <c r="V59" i="26"/>
  <c r="T59" i="26"/>
  <c r="P59" i="26"/>
  <c r="P62" i="26"/>
  <c r="L59" i="26"/>
  <c r="G59" i="26"/>
  <c r="G62" i="26"/>
  <c r="AE57" i="26"/>
  <c r="AD57" i="26"/>
  <c r="AC57" i="26"/>
  <c r="AB57" i="26"/>
  <c r="W57" i="26"/>
  <c r="U57" i="26"/>
  <c r="S57" i="26"/>
  <c r="M57" i="26"/>
  <c r="L57" i="26"/>
  <c r="H57" i="26"/>
  <c r="E57" i="26"/>
  <c r="D57" i="26"/>
  <c r="AE56" i="26"/>
  <c r="W56" i="26"/>
  <c r="V56" i="26"/>
  <c r="U56" i="26"/>
  <c r="T56" i="26"/>
  <c r="S56" i="26"/>
  <c r="R56" i="26"/>
  <c r="R61" i="26"/>
  <c r="Q56" i="26"/>
  <c r="P56" i="26"/>
  <c r="O56" i="26"/>
  <c r="O57" i="26"/>
  <c r="M56" i="26"/>
  <c r="M61" i="26"/>
  <c r="AE55" i="26"/>
  <c r="W55" i="26"/>
  <c r="V55" i="26"/>
  <c r="U55" i="26"/>
  <c r="T55" i="26"/>
  <c r="S55" i="26"/>
  <c r="R55" i="26"/>
  <c r="Q55" i="26"/>
  <c r="P55" i="26"/>
  <c r="O55" i="26"/>
  <c r="L55" i="26"/>
  <c r="K55" i="26"/>
  <c r="K57" i="26"/>
  <c r="J55" i="26"/>
  <c r="J57" i="26"/>
  <c r="H55" i="26"/>
  <c r="G55" i="26"/>
  <c r="E55" i="26"/>
  <c r="D55" i="26"/>
  <c r="AE54" i="26"/>
  <c r="W54" i="26"/>
  <c r="V54" i="26"/>
  <c r="V57" i="26"/>
  <c r="U54" i="26"/>
  <c r="T54" i="26"/>
  <c r="S54" i="26"/>
  <c r="R54" i="26"/>
  <c r="Q54" i="26"/>
  <c r="P54" i="26"/>
  <c r="P57" i="26"/>
  <c r="G54" i="26"/>
  <c r="G57" i="26"/>
  <c r="AE53" i="26"/>
  <c r="AD53" i="26"/>
  <c r="AC53" i="26"/>
  <c r="AB53" i="26"/>
  <c r="AE52" i="26"/>
  <c r="AE51" i="26"/>
  <c r="AE50" i="26"/>
  <c r="AD49" i="26"/>
  <c r="AC49" i="26"/>
  <c r="AB49" i="26"/>
  <c r="AE48" i="26"/>
  <c r="AE47" i="26"/>
  <c r="AE46" i="26"/>
  <c r="AE49" i="26"/>
  <c r="AD45" i="26"/>
  <c r="AC45" i="26"/>
  <c r="AB45" i="26"/>
  <c r="AE44" i="26"/>
  <c r="AE45" i="26"/>
  <c r="AE43" i="26"/>
  <c r="AE42" i="26"/>
  <c r="U40" i="26"/>
  <c r="P40" i="26"/>
  <c r="N40" i="26"/>
  <c r="M40" i="26"/>
  <c r="K40" i="26"/>
  <c r="J40" i="26"/>
  <c r="E40" i="26"/>
  <c r="D40" i="26"/>
  <c r="AD39" i="26"/>
  <c r="AD61" i="26"/>
  <c r="AC39" i="26"/>
  <c r="AB39" i="26"/>
  <c r="W39" i="26"/>
  <c r="W61" i="26"/>
  <c r="V39" i="26"/>
  <c r="V61" i="26"/>
  <c r="U39" i="26"/>
  <c r="T39" i="26"/>
  <c r="S39" i="26"/>
  <c r="R39" i="26"/>
  <c r="Q39" i="26"/>
  <c r="P39" i="26"/>
  <c r="P61" i="26"/>
  <c r="O39" i="26"/>
  <c r="O61" i="26"/>
  <c r="L39" i="26"/>
  <c r="K39" i="26"/>
  <c r="J39" i="26"/>
  <c r="H39" i="26"/>
  <c r="G39" i="26"/>
  <c r="F39" i="26"/>
  <c r="AD38" i="26"/>
  <c r="AC38" i="26"/>
  <c r="AB38" i="26"/>
  <c r="W38" i="26"/>
  <c r="V38" i="26"/>
  <c r="U38" i="26"/>
  <c r="T38" i="26"/>
  <c r="T60" i="26"/>
  <c r="S38" i="26"/>
  <c r="R38" i="26"/>
  <c r="R60" i="26"/>
  <c r="Q38" i="26"/>
  <c r="P38" i="26"/>
  <c r="P60" i="26"/>
  <c r="O38" i="26"/>
  <c r="N38" i="26"/>
  <c r="M38" i="26"/>
  <c r="L38" i="26"/>
  <c r="L40" i="26"/>
  <c r="K38" i="26"/>
  <c r="J38" i="26"/>
  <c r="H38" i="26"/>
  <c r="H40" i="26"/>
  <c r="G38" i="26"/>
  <c r="G40" i="26"/>
  <c r="F38" i="26"/>
  <c r="E38" i="26"/>
  <c r="D38" i="26"/>
  <c r="D60" i="26"/>
  <c r="AD37" i="26"/>
  <c r="AC37" i="26"/>
  <c r="AB37" i="26"/>
  <c r="AB59" i="26"/>
  <c r="W37" i="26"/>
  <c r="V37" i="26"/>
  <c r="V40" i="26"/>
  <c r="U37" i="26"/>
  <c r="T37" i="26"/>
  <c r="S37" i="26"/>
  <c r="S40" i="26"/>
  <c r="R37" i="26"/>
  <c r="Q37" i="26"/>
  <c r="Q40" i="26"/>
  <c r="P37" i="26"/>
  <c r="AD32" i="26"/>
  <c r="AC32" i="26"/>
  <c r="AB32" i="26"/>
  <c r="AE31" i="26"/>
  <c r="AE30" i="26"/>
  <c r="AE38" i="26"/>
  <c r="AE29" i="26"/>
  <c r="AD28" i="26"/>
  <c r="AC28" i="26"/>
  <c r="AB28" i="26"/>
  <c r="AE27" i="26"/>
  <c r="AE26" i="26"/>
  <c r="AE25" i="26"/>
  <c r="AD23" i="26"/>
  <c r="W23" i="26"/>
  <c r="S23" i="26"/>
  <c r="R23" i="26"/>
  <c r="P23" i="26"/>
  <c r="I23" i="26"/>
  <c r="G23" i="26"/>
  <c r="AB22" i="26"/>
  <c r="AB61" i="26"/>
  <c r="S22" i="26"/>
  <c r="S61" i="26"/>
  <c r="Q22" i="26"/>
  <c r="K22" i="26"/>
  <c r="K61" i="26"/>
  <c r="J22" i="26"/>
  <c r="J61" i="26"/>
  <c r="AE21" i="26"/>
  <c r="AD21" i="26"/>
  <c r="AB21" i="26"/>
  <c r="W21" i="26"/>
  <c r="W60" i="26"/>
  <c r="W62" i="26"/>
  <c r="V21" i="26"/>
  <c r="V23" i="26"/>
  <c r="U21" i="26"/>
  <c r="T21" i="26"/>
  <c r="T23" i="26"/>
  <c r="S21" i="26"/>
  <c r="S60" i="26"/>
  <c r="Q21" i="26"/>
  <c r="Q23" i="26"/>
  <c r="P21" i="26"/>
  <c r="O21" i="26"/>
  <c r="L21" i="26"/>
  <c r="K21" i="26"/>
  <c r="K23" i="26"/>
  <c r="J21" i="26"/>
  <c r="I21" i="26"/>
  <c r="H21" i="26"/>
  <c r="H23" i="26"/>
  <c r="G21" i="26"/>
  <c r="G60" i="26"/>
  <c r="D21" i="26"/>
  <c r="W20" i="26"/>
  <c r="W59" i="26"/>
  <c r="U20" i="26"/>
  <c r="S20" i="26"/>
  <c r="S59" i="26"/>
  <c r="S62" i="26"/>
  <c r="R20" i="26"/>
  <c r="Q20" i="26"/>
  <c r="O20" i="26"/>
  <c r="M20" i="26"/>
  <c r="L20" i="26"/>
  <c r="G20" i="26"/>
  <c r="F20" i="26"/>
  <c r="D20" i="26"/>
  <c r="AE17" i="26"/>
  <c r="AB11" i="26"/>
  <c r="AE10" i="26"/>
  <c r="AE22" i="26"/>
  <c r="AE9" i="26"/>
  <c r="AE86" i="168"/>
  <c r="AD86" i="168"/>
  <c r="AC86" i="168"/>
  <c r="AA86" i="168"/>
  <c r="Z86" i="168"/>
  <c r="Y86" i="168"/>
  <c r="X86" i="168"/>
  <c r="W86" i="168"/>
  <c r="V86" i="168"/>
  <c r="U86" i="168"/>
  <c r="T86" i="168"/>
  <c r="S86" i="168"/>
  <c r="R86" i="168"/>
  <c r="Q86" i="168"/>
  <c r="P86" i="168"/>
  <c r="O86" i="168"/>
  <c r="N86" i="168"/>
  <c r="M86" i="168"/>
  <c r="L86" i="168"/>
  <c r="K86" i="168"/>
  <c r="J86" i="168"/>
  <c r="I86" i="168"/>
  <c r="H86" i="168"/>
  <c r="G86" i="168"/>
  <c r="F86" i="168"/>
  <c r="E86" i="168"/>
  <c r="AF84" i="168"/>
  <c r="AB83" i="168"/>
  <c r="AB80" i="168"/>
  <c r="AF76" i="168"/>
  <c r="AB72" i="168"/>
  <c r="AF69" i="168"/>
  <c r="AB69" i="168"/>
  <c r="AB68" i="168"/>
  <c r="AB54" i="168"/>
  <c r="AB52" i="168"/>
  <c r="AF49" i="168"/>
  <c r="AB48" i="168"/>
  <c r="AF47" i="168"/>
  <c r="AB46" i="168"/>
  <c r="AF42" i="168"/>
  <c r="AF36" i="168"/>
  <c r="AF30" i="168"/>
  <c r="AB30" i="168"/>
  <c r="AF26" i="168"/>
  <c r="AB26" i="168"/>
  <c r="AB25" i="168"/>
  <c r="AF10" i="168"/>
  <c r="AB8" i="168"/>
  <c r="AF7" i="168"/>
  <c r="AB7" i="168"/>
  <c r="AC71" i="284"/>
  <c r="AB71" i="284"/>
  <c r="AA71" i="284"/>
  <c r="Z71" i="284"/>
  <c r="Y71" i="284"/>
  <c r="X71" i="284"/>
  <c r="W71" i="284"/>
  <c r="V71" i="284"/>
  <c r="U71" i="284"/>
  <c r="Q71" i="284"/>
  <c r="P71" i="284"/>
  <c r="O71" i="284"/>
  <c r="N71" i="284"/>
  <c r="M71" i="284"/>
  <c r="L71" i="284"/>
  <c r="K71" i="284"/>
  <c r="J71" i="284"/>
  <c r="I71" i="284"/>
  <c r="H71" i="284"/>
  <c r="G71" i="284"/>
  <c r="F71" i="284"/>
  <c r="E71" i="284"/>
  <c r="D71" i="284"/>
  <c r="C71" i="284"/>
  <c r="AC70" i="284"/>
  <c r="AB70" i="284"/>
  <c r="AA70" i="284"/>
  <c r="Z70" i="284"/>
  <c r="Y70" i="284"/>
  <c r="X70" i="284"/>
  <c r="W70" i="284"/>
  <c r="V70" i="284"/>
  <c r="U70" i="284"/>
  <c r="Q70" i="284"/>
  <c r="P70" i="284"/>
  <c r="O70" i="284"/>
  <c r="N70" i="284"/>
  <c r="M70" i="284"/>
  <c r="L70" i="284"/>
  <c r="K70" i="284"/>
  <c r="J70" i="284"/>
  <c r="I70" i="284"/>
  <c r="H70" i="284"/>
  <c r="G70" i="284"/>
  <c r="F70" i="284"/>
  <c r="E70" i="284"/>
  <c r="D70" i="284"/>
  <c r="C70" i="284"/>
  <c r="AC69" i="284"/>
  <c r="AB69" i="284"/>
  <c r="AA69" i="284"/>
  <c r="Z69" i="284"/>
  <c r="Y69" i="284"/>
  <c r="X69" i="284"/>
  <c r="W69" i="284"/>
  <c r="V69" i="284"/>
  <c r="U69" i="284"/>
  <c r="Q69" i="284"/>
  <c r="Q72" i="284"/>
  <c r="P69" i="284"/>
  <c r="P72" i="284"/>
  <c r="O69" i="284"/>
  <c r="O72" i="284"/>
  <c r="N69" i="284"/>
  <c r="N72" i="284"/>
  <c r="M69" i="284"/>
  <c r="L69" i="284"/>
  <c r="K69" i="284"/>
  <c r="J69" i="284"/>
  <c r="I69" i="284"/>
  <c r="I72" i="284"/>
  <c r="H69" i="284"/>
  <c r="H72" i="284"/>
  <c r="G69" i="284"/>
  <c r="G72" i="284"/>
  <c r="F69" i="284"/>
  <c r="F72" i="284"/>
  <c r="E69" i="284"/>
  <c r="E72" i="284"/>
  <c r="D69" i="284"/>
  <c r="C69" i="284"/>
  <c r="AC68" i="284"/>
  <c r="AB68" i="284"/>
  <c r="AA68" i="284"/>
  <c r="Z68" i="284"/>
  <c r="Y68" i="284"/>
  <c r="X68" i="284"/>
  <c r="W68" i="284"/>
  <c r="V68" i="284"/>
  <c r="U68" i="284"/>
  <c r="AL67" i="284"/>
  <c r="AK67" i="284"/>
  <c r="AJ67" i="284"/>
  <c r="AI67" i="284"/>
  <c r="AH67" i="284"/>
  <c r="AG67" i="284"/>
  <c r="AF67" i="284"/>
  <c r="AE67" i="284"/>
  <c r="AD67" i="284"/>
  <c r="AL66" i="284"/>
  <c r="AL68" i="284"/>
  <c r="AK66" i="284"/>
  <c r="AK68" i="284"/>
  <c r="AJ66" i="284"/>
  <c r="AJ68" i="284"/>
  <c r="AI66" i="284"/>
  <c r="AH66" i="284"/>
  <c r="AH68" i="284"/>
  <c r="AG66" i="284"/>
  <c r="AF66" i="284"/>
  <c r="AF68" i="284"/>
  <c r="AE66" i="284"/>
  <c r="AE68" i="284"/>
  <c r="AD66" i="284"/>
  <c r="AD68" i="284"/>
  <c r="AC64" i="284"/>
  <c r="AB64" i="284"/>
  <c r="AA64" i="284"/>
  <c r="Z64" i="284"/>
  <c r="Y64" i="284"/>
  <c r="X64" i="284"/>
  <c r="W64" i="284"/>
  <c r="V64" i="284"/>
  <c r="U64" i="284"/>
  <c r="AL63" i="284"/>
  <c r="AK63" i="284"/>
  <c r="AJ63" i="284"/>
  <c r="AI63" i="284"/>
  <c r="AH63" i="284"/>
  <c r="AG63" i="284"/>
  <c r="AF63" i="284"/>
  <c r="AE63" i="284"/>
  <c r="AD63" i="284"/>
  <c r="AL62" i="284"/>
  <c r="AK62" i="284"/>
  <c r="AJ62" i="284"/>
  <c r="AI62" i="284"/>
  <c r="AH62" i="284"/>
  <c r="AG62" i="284"/>
  <c r="AF62" i="284"/>
  <c r="AE62" i="284"/>
  <c r="AD62" i="284"/>
  <c r="AL61" i="284"/>
  <c r="AK61" i="284"/>
  <c r="AK64" i="284"/>
  <c r="AJ61" i="284"/>
  <c r="AJ64" i="284"/>
  <c r="AI61" i="284"/>
  <c r="AH61" i="284"/>
  <c r="AG61" i="284"/>
  <c r="AF61" i="284"/>
  <c r="AE61" i="284"/>
  <c r="AE64" i="284"/>
  <c r="AD61" i="284"/>
  <c r="AC60" i="284"/>
  <c r="AB60" i="284"/>
  <c r="AB72" i="284"/>
  <c r="AA60" i="284"/>
  <c r="AA72" i="284"/>
  <c r="Z60" i="284"/>
  <c r="Z72" i="284"/>
  <c r="Y60" i="284"/>
  <c r="Y72" i="284"/>
  <c r="X60" i="284"/>
  <c r="W60" i="284"/>
  <c r="W72" i="284"/>
  <c r="V60" i="284"/>
  <c r="V72" i="284"/>
  <c r="U60" i="284"/>
  <c r="U72" i="284"/>
  <c r="AL59" i="284"/>
  <c r="AL71" i="284"/>
  <c r="AK59" i="284"/>
  <c r="AK71" i="284"/>
  <c r="AJ59" i="284"/>
  <c r="AJ71" i="284"/>
  <c r="AI59" i="284"/>
  <c r="AH59" i="284"/>
  <c r="AG59" i="284"/>
  <c r="AG71" i="284"/>
  <c r="AF59" i="284"/>
  <c r="AF71" i="284"/>
  <c r="AE59" i="284"/>
  <c r="AE71" i="284"/>
  <c r="AD59" i="284"/>
  <c r="AD71" i="284"/>
  <c r="AL58" i="284"/>
  <c r="AL70" i="284"/>
  <c r="AK58" i="284"/>
  <c r="AK70" i="284"/>
  <c r="AJ58" i="284"/>
  <c r="AI58" i="284"/>
  <c r="AH58" i="284"/>
  <c r="AH70" i="284"/>
  <c r="AG58" i="284"/>
  <c r="AF58" i="284"/>
  <c r="AF70" i="284"/>
  <c r="AE58" i="284"/>
  <c r="AE70" i="284"/>
  <c r="AD58" i="284"/>
  <c r="AD70" i="284"/>
  <c r="AL57" i="284"/>
  <c r="AL69" i="284"/>
  <c r="AK57" i="284"/>
  <c r="AK60" i="284"/>
  <c r="AK72" i="284"/>
  <c r="AJ57" i="284"/>
  <c r="AJ60" i="284"/>
  <c r="AJ72" i="284"/>
  <c r="AI57" i="284"/>
  <c r="AH57" i="284"/>
  <c r="AG57" i="284"/>
  <c r="AG69" i="284"/>
  <c r="AF57" i="284"/>
  <c r="AF69" i="284"/>
  <c r="AE57" i="284"/>
  <c r="AD57" i="284"/>
  <c r="AD69" i="284"/>
  <c r="AC54" i="284"/>
  <c r="AB54" i="284"/>
  <c r="AA54" i="284"/>
  <c r="Z54" i="284"/>
  <c r="Y54" i="284"/>
  <c r="X54" i="284"/>
  <c r="W54" i="284"/>
  <c r="V54" i="284"/>
  <c r="U54" i="284"/>
  <c r="Q54" i="284"/>
  <c r="Q76" i="284"/>
  <c r="P54" i="284"/>
  <c r="P76" i="284"/>
  <c r="O54" i="284"/>
  <c r="O76" i="284"/>
  <c r="N54" i="284"/>
  <c r="M54" i="284"/>
  <c r="M76" i="284"/>
  <c r="L54" i="284"/>
  <c r="L76" i="284"/>
  <c r="K54" i="284"/>
  <c r="J54" i="284"/>
  <c r="I54" i="284"/>
  <c r="I76" i="284"/>
  <c r="H54" i="284"/>
  <c r="H76" i="284"/>
  <c r="G54" i="284"/>
  <c r="G76" i="284"/>
  <c r="F54" i="284"/>
  <c r="F76" i="284"/>
  <c r="E54" i="284"/>
  <c r="E76" i="284"/>
  <c r="D54" i="284"/>
  <c r="D76" i="284"/>
  <c r="C54" i="284"/>
  <c r="AC53" i="284"/>
  <c r="AB53" i="284"/>
  <c r="AA53" i="284"/>
  <c r="Z53" i="284"/>
  <c r="Y53" i="284"/>
  <c r="X53" i="284"/>
  <c r="W53" i="284"/>
  <c r="V53" i="284"/>
  <c r="U53" i="284"/>
  <c r="Q53" i="284"/>
  <c r="Q75" i="284"/>
  <c r="P53" i="284"/>
  <c r="P75" i="284"/>
  <c r="O53" i="284"/>
  <c r="O75" i="284"/>
  <c r="N53" i="284"/>
  <c r="M53" i="284"/>
  <c r="L53" i="284"/>
  <c r="L75" i="284"/>
  <c r="K53" i="284"/>
  <c r="K75" i="284"/>
  <c r="J53" i="284"/>
  <c r="J75" i="284"/>
  <c r="I53" i="284"/>
  <c r="I75" i="284"/>
  <c r="H53" i="284"/>
  <c r="H75" i="284"/>
  <c r="G53" i="284"/>
  <c r="G75" i="284"/>
  <c r="F53" i="284"/>
  <c r="F75" i="284"/>
  <c r="E53" i="284"/>
  <c r="D53" i="284"/>
  <c r="D75" i="284"/>
  <c r="C53" i="284"/>
  <c r="C75" i="284"/>
  <c r="AC52" i="284"/>
  <c r="AB52" i="284"/>
  <c r="AA52" i="284"/>
  <c r="Z52" i="284"/>
  <c r="Y52" i="284"/>
  <c r="X52" i="284"/>
  <c r="W52" i="284"/>
  <c r="V52" i="284"/>
  <c r="U52" i="284"/>
  <c r="Q52" i="284"/>
  <c r="Q74" i="284"/>
  <c r="P52" i="284"/>
  <c r="O52" i="284"/>
  <c r="N52" i="284"/>
  <c r="N74" i="284"/>
  <c r="M52" i="284"/>
  <c r="L52" i="284"/>
  <c r="L74" i="284"/>
  <c r="K52" i="284"/>
  <c r="K74" i="284"/>
  <c r="J52" i="284"/>
  <c r="J55" i="284"/>
  <c r="I52" i="284"/>
  <c r="I74" i="284"/>
  <c r="H52" i="284"/>
  <c r="H74" i="284"/>
  <c r="G52" i="284"/>
  <c r="G74" i="284"/>
  <c r="G77" i="284"/>
  <c r="F52" i="284"/>
  <c r="F74" i="284"/>
  <c r="F77" i="284"/>
  <c r="E52" i="284"/>
  <c r="E74" i="284"/>
  <c r="D52" i="284"/>
  <c r="D74" i="284"/>
  <c r="D77" i="284"/>
  <c r="C52" i="284"/>
  <c r="C74" i="284"/>
  <c r="AC51" i="284"/>
  <c r="AB51" i="284"/>
  <c r="AA51" i="284"/>
  <c r="Z51" i="284"/>
  <c r="Y51" i="284"/>
  <c r="X51" i="284"/>
  <c r="W51" i="284"/>
  <c r="V51" i="284"/>
  <c r="U51" i="284"/>
  <c r="AL50" i="284"/>
  <c r="AK50" i="284"/>
  <c r="AJ50" i="284"/>
  <c r="AI50" i="284"/>
  <c r="AH50" i="284"/>
  <c r="AG50" i="284"/>
  <c r="AF50" i="284"/>
  <c r="AE50" i="284"/>
  <c r="AD50" i="284"/>
  <c r="AL49" i="284"/>
  <c r="AK49" i="284"/>
  <c r="AJ49" i="284"/>
  <c r="AI49" i="284"/>
  <c r="AH49" i="284"/>
  <c r="AG49" i="284"/>
  <c r="AF49" i="284"/>
  <c r="AE49" i="284"/>
  <c r="AD49" i="284"/>
  <c r="AL48" i="284"/>
  <c r="AL51" i="284"/>
  <c r="AK48" i="284"/>
  <c r="AJ48" i="284"/>
  <c r="AJ51" i="284"/>
  <c r="AI48" i="284"/>
  <c r="AI51" i="284"/>
  <c r="AH48" i="284"/>
  <c r="AG48" i="284"/>
  <c r="AF48" i="284"/>
  <c r="AE48" i="284"/>
  <c r="AE51" i="284"/>
  <c r="AD48" i="284"/>
  <c r="AD51" i="284"/>
  <c r="AC47" i="284"/>
  <c r="AB47" i="284"/>
  <c r="AA47" i="284"/>
  <c r="Z47" i="284"/>
  <c r="Y47" i="284"/>
  <c r="X47" i="284"/>
  <c r="W47" i="284"/>
  <c r="V47" i="284"/>
  <c r="U47" i="284"/>
  <c r="AL46" i="284"/>
  <c r="AK46" i="284"/>
  <c r="AJ46" i="284"/>
  <c r="AI46" i="284"/>
  <c r="AH46" i="284"/>
  <c r="AG46" i="284"/>
  <c r="AF46" i="284"/>
  <c r="AE46" i="284"/>
  <c r="AD46" i="284"/>
  <c r="AL45" i="284"/>
  <c r="AK45" i="284"/>
  <c r="AJ45" i="284"/>
  <c r="AI45" i="284"/>
  <c r="AH45" i="284"/>
  <c r="AG45" i="284"/>
  <c r="AF45" i="284"/>
  <c r="AE45" i="284"/>
  <c r="AD45" i="284"/>
  <c r="AL44" i="284"/>
  <c r="AL52" i="284"/>
  <c r="AK44" i="284"/>
  <c r="AK52" i="284"/>
  <c r="AJ44" i="284"/>
  <c r="AI44" i="284"/>
  <c r="AI47" i="284"/>
  <c r="AH44" i="284"/>
  <c r="AG44" i="284"/>
  <c r="AG52" i="284"/>
  <c r="AF44" i="284"/>
  <c r="AF52" i="284"/>
  <c r="AE44" i="284"/>
  <c r="AE47" i="284"/>
  <c r="AD44" i="284"/>
  <c r="AD52" i="284"/>
  <c r="AC43" i="284"/>
  <c r="AB43" i="284"/>
  <c r="AA43" i="284"/>
  <c r="AA55" i="284"/>
  <c r="Z43" i="284"/>
  <c r="Z55" i="284"/>
  <c r="Y43" i="284"/>
  <c r="Y55" i="284"/>
  <c r="X43" i="284"/>
  <c r="W43" i="284"/>
  <c r="V43" i="284"/>
  <c r="V55" i="284"/>
  <c r="U43" i="284"/>
  <c r="U55" i="284"/>
  <c r="AL42" i="284"/>
  <c r="AL54" i="284"/>
  <c r="AK42" i="284"/>
  <c r="AK54" i="284"/>
  <c r="AJ42" i="284"/>
  <c r="AJ54" i="284"/>
  <c r="AI42" i="284"/>
  <c r="AI54" i="284"/>
  <c r="AH42" i="284"/>
  <c r="AG42" i="284"/>
  <c r="AF42" i="284"/>
  <c r="AE42" i="284"/>
  <c r="AE54" i="284"/>
  <c r="AD42" i="284"/>
  <c r="AD54" i="284"/>
  <c r="AL41" i="284"/>
  <c r="AK41" i="284"/>
  <c r="AK53" i="284"/>
  <c r="AJ41" i="284"/>
  <c r="AJ53" i="284"/>
  <c r="AI41" i="284"/>
  <c r="AH41" i="284"/>
  <c r="AG41" i="284"/>
  <c r="AF41" i="284"/>
  <c r="AF53" i="284"/>
  <c r="AE41" i="284"/>
  <c r="AE53" i="284"/>
  <c r="AD41" i="284"/>
  <c r="AC37" i="284"/>
  <c r="AB37" i="284"/>
  <c r="AA37" i="284"/>
  <c r="AC36" i="284"/>
  <c r="AB36" i="284"/>
  <c r="AA36" i="284"/>
  <c r="AD35" i="284"/>
  <c r="AL33" i="284"/>
  <c r="AK33" i="284"/>
  <c r="AJ33" i="284"/>
  <c r="AI33" i="284"/>
  <c r="AH33" i="284"/>
  <c r="AG33" i="284"/>
  <c r="AF33" i="284"/>
  <c r="AE33" i="284"/>
  <c r="AL32" i="284"/>
  <c r="AK32" i="284"/>
  <c r="AJ32" i="284"/>
  <c r="AI32" i="284"/>
  <c r="AH32" i="284"/>
  <c r="AG32" i="284"/>
  <c r="AF32" i="284"/>
  <c r="AL31" i="284"/>
  <c r="AL35" i="284"/>
  <c r="AK31" i="284"/>
  <c r="AK35" i="284"/>
  <c r="AJ31" i="284"/>
  <c r="AJ35" i="284"/>
  <c r="AI31" i="284"/>
  <c r="AH31" i="284"/>
  <c r="AG31" i="284"/>
  <c r="AG35" i="284"/>
  <c r="AF31" i="284"/>
  <c r="AF35" i="284"/>
  <c r="AE31" i="284"/>
  <c r="AE34" i="284"/>
  <c r="AL28" i="284"/>
  <c r="AL30" i="284"/>
  <c r="AK28" i="284"/>
  <c r="AK30" i="284"/>
  <c r="AJ28" i="284"/>
  <c r="AJ30" i="284"/>
  <c r="AI28" i="284"/>
  <c r="AI30" i="284"/>
  <c r="AH28" i="284"/>
  <c r="AG28" i="284"/>
  <c r="AG30" i="284"/>
  <c r="AF28" i="284"/>
  <c r="AF30" i="284"/>
  <c r="AC26" i="284"/>
  <c r="AB26" i="284"/>
  <c r="AA26" i="284"/>
  <c r="AL25" i="284"/>
  <c r="AL37" i="284"/>
  <c r="AK25" i="284"/>
  <c r="AK37" i="284"/>
  <c r="AJ25" i="284"/>
  <c r="AI25" i="284"/>
  <c r="AH25" i="284"/>
  <c r="AH37" i="284"/>
  <c r="AG25" i="284"/>
  <c r="AG37" i="284"/>
  <c r="AF25" i="284"/>
  <c r="AF37" i="284"/>
  <c r="AE25" i="284"/>
  <c r="AE37" i="284"/>
  <c r="AD25" i="284"/>
  <c r="AD37" i="284"/>
  <c r="AL24" i="284"/>
  <c r="AK24" i="284"/>
  <c r="AJ24" i="284"/>
  <c r="AI24" i="284"/>
  <c r="AH24" i="284"/>
  <c r="AG24" i="284"/>
  <c r="AF24" i="284"/>
  <c r="AF36" i="284"/>
  <c r="AE24" i="284"/>
  <c r="AE36" i="284"/>
  <c r="AD24" i="284"/>
  <c r="AD36" i="284"/>
  <c r="Q21" i="284"/>
  <c r="P21" i="284"/>
  <c r="O21" i="284"/>
  <c r="N21" i="284"/>
  <c r="M21" i="284"/>
  <c r="L21" i="284"/>
  <c r="K21" i="284"/>
  <c r="J21" i="284"/>
  <c r="I21" i="284"/>
  <c r="H21" i="284"/>
  <c r="G21" i="284"/>
  <c r="F21" i="284"/>
  <c r="E21" i="284"/>
  <c r="D21" i="284"/>
  <c r="C21" i="284"/>
  <c r="AC20" i="284"/>
  <c r="AC76" i="284"/>
  <c r="AB20" i="284"/>
  <c r="AB76" i="284"/>
  <c r="AA20" i="284"/>
  <c r="Z20" i="284"/>
  <c r="Y20" i="284"/>
  <c r="X20" i="284"/>
  <c r="X76" i="284"/>
  <c r="W20" i="284"/>
  <c r="V20" i="284"/>
  <c r="U20" i="284"/>
  <c r="AC19" i="284"/>
  <c r="AB19" i="284"/>
  <c r="AB75" i="284"/>
  <c r="AA19" i="284"/>
  <c r="AA75" i="284"/>
  <c r="Z19" i="284"/>
  <c r="Z75" i="284"/>
  <c r="Y19" i="284"/>
  <c r="X19" i="284"/>
  <c r="W19" i="284"/>
  <c r="W75" i="284"/>
  <c r="V19" i="284"/>
  <c r="V75" i="284"/>
  <c r="U19" i="284"/>
  <c r="U75" i="284"/>
  <c r="AC18" i="284"/>
  <c r="AC74" i="284"/>
  <c r="AB18" i="284"/>
  <c r="AB74" i="284"/>
  <c r="AA18" i="284"/>
  <c r="AA74" i="284"/>
  <c r="Z18" i="284"/>
  <c r="Z74" i="284"/>
  <c r="Y18" i="284"/>
  <c r="Y74" i="284"/>
  <c r="X18" i="284"/>
  <c r="X74" i="284"/>
  <c r="W18" i="284"/>
  <c r="W74" i="284"/>
  <c r="V18" i="284"/>
  <c r="V74" i="284"/>
  <c r="U18" i="284"/>
  <c r="AC17" i="284"/>
  <c r="AB17" i="284"/>
  <c r="AA17" i="284"/>
  <c r="Z17" i="284"/>
  <c r="Y17" i="284"/>
  <c r="X17" i="284"/>
  <c r="W17" i="284"/>
  <c r="V17" i="284"/>
  <c r="U17" i="284"/>
  <c r="AL16" i="284"/>
  <c r="AK16" i="284"/>
  <c r="AJ16" i="284"/>
  <c r="AI16" i="284"/>
  <c r="AH16" i="284"/>
  <c r="AG16" i="284"/>
  <c r="AF16" i="284"/>
  <c r="AE16" i="284"/>
  <c r="AD16" i="284"/>
  <c r="AL15" i="284"/>
  <c r="AK15" i="284"/>
  <c r="AJ15" i="284"/>
  <c r="AI15" i="284"/>
  <c r="AH15" i="284"/>
  <c r="AG15" i="284"/>
  <c r="AF15" i="284"/>
  <c r="AE15" i="284"/>
  <c r="AD15" i="284"/>
  <c r="AL14" i="284"/>
  <c r="AK14" i="284"/>
  <c r="AJ14" i="284"/>
  <c r="AI14" i="284"/>
  <c r="AH14" i="284"/>
  <c r="AG14" i="284"/>
  <c r="AF14" i="284"/>
  <c r="AE14" i="284"/>
  <c r="AD14" i="284"/>
  <c r="AC13" i="284"/>
  <c r="AB13" i="284"/>
  <c r="AA13" i="284"/>
  <c r="Z13" i="284"/>
  <c r="Y13" i="284"/>
  <c r="X13" i="284"/>
  <c r="W13" i="284"/>
  <c r="V13" i="284"/>
  <c r="U13" i="284"/>
  <c r="AL12" i="284"/>
  <c r="AK12" i="284"/>
  <c r="AJ12" i="284"/>
  <c r="AI12" i="284"/>
  <c r="AH12" i="284"/>
  <c r="AG12" i="284"/>
  <c r="AF12" i="284"/>
  <c r="AE12" i="284"/>
  <c r="AD12" i="284"/>
  <c r="AL11" i="284"/>
  <c r="AK11" i="284"/>
  <c r="AJ11" i="284"/>
  <c r="AI11" i="284"/>
  <c r="AH11" i="284"/>
  <c r="AG11" i="284"/>
  <c r="AF11" i="284"/>
  <c r="AE11" i="284"/>
  <c r="AD11" i="284"/>
  <c r="AL10" i="284"/>
  <c r="AL18" i="284"/>
  <c r="AK10" i="284"/>
  <c r="AK13" i="284"/>
  <c r="AJ10" i="284"/>
  <c r="AI10" i="284"/>
  <c r="AH10" i="284"/>
  <c r="AG10" i="284"/>
  <c r="AG18" i="284"/>
  <c r="AF10" i="284"/>
  <c r="AE10" i="284"/>
  <c r="AE18" i="284"/>
  <c r="AD10" i="284"/>
  <c r="AD18" i="284"/>
  <c r="AC9" i="284"/>
  <c r="AC21" i="284"/>
  <c r="AB9" i="284"/>
  <c r="AA9" i="284"/>
  <c r="AA21" i="284"/>
  <c r="Z9" i="284"/>
  <c r="Z21" i="284"/>
  <c r="Y9" i="284"/>
  <c r="Y21" i="284"/>
  <c r="X9" i="284"/>
  <c r="X21" i="284"/>
  <c r="W9" i="284"/>
  <c r="V9" i="284"/>
  <c r="V21" i="284"/>
  <c r="V77" i="284"/>
  <c r="U9" i="284"/>
  <c r="U21" i="284"/>
  <c r="AL8" i="284"/>
  <c r="AK8" i="284"/>
  <c r="AK20" i="284"/>
  <c r="AJ8" i="284"/>
  <c r="AJ20" i="284"/>
  <c r="AI8" i="284"/>
  <c r="AI20" i="284"/>
  <c r="AH8" i="284"/>
  <c r="AH20" i="284"/>
  <c r="AG8" i="284"/>
  <c r="AF8" i="284"/>
  <c r="AF20" i="284"/>
  <c r="AE8" i="284"/>
  <c r="AE20" i="284"/>
  <c r="AD8" i="284"/>
  <c r="AL7" i="284"/>
  <c r="AL19" i="284"/>
  <c r="AK7" i="284"/>
  <c r="AK19" i="284"/>
  <c r="AJ7" i="284"/>
  <c r="AI7" i="284"/>
  <c r="AH7" i="284"/>
  <c r="AG7" i="284"/>
  <c r="AG19" i="284"/>
  <c r="AF7" i="284"/>
  <c r="AF19" i="284"/>
  <c r="AE7" i="284"/>
  <c r="AD7" i="284"/>
  <c r="AD19" i="284"/>
  <c r="AN132" i="283"/>
  <c r="AM132" i="283"/>
  <c r="AL132" i="283"/>
  <c r="AK132" i="283"/>
  <c r="AJ132" i="283"/>
  <c r="AI132" i="283"/>
  <c r="AH132" i="283"/>
  <c r="AG132" i="283"/>
  <c r="AF132" i="283"/>
  <c r="AE132" i="283"/>
  <c r="AD132" i="283"/>
  <c r="AC132" i="283"/>
  <c r="AB132" i="283"/>
  <c r="AA132" i="283"/>
  <c r="Z132" i="283"/>
  <c r="Y132" i="283"/>
  <c r="X132" i="283"/>
  <c r="W132" i="283"/>
  <c r="V132" i="283"/>
  <c r="U132" i="283"/>
  <c r="T132" i="283"/>
  <c r="S132" i="283"/>
  <c r="R132" i="283"/>
  <c r="Q132" i="283"/>
  <c r="P132" i="283"/>
  <c r="O132" i="283"/>
  <c r="N132" i="283"/>
  <c r="M132" i="283"/>
  <c r="L132" i="283"/>
  <c r="K132" i="283"/>
  <c r="J132" i="283"/>
  <c r="I132" i="283"/>
  <c r="H132" i="283"/>
  <c r="G132" i="283"/>
  <c r="F132" i="283"/>
  <c r="E132" i="283"/>
  <c r="AN127" i="283"/>
  <c r="AM127" i="283"/>
  <c r="AL127" i="283"/>
  <c r="AK127" i="283"/>
  <c r="AJ127" i="283"/>
  <c r="AI127" i="283"/>
  <c r="AH127" i="283"/>
  <c r="AG127" i="283"/>
  <c r="AF127" i="283"/>
  <c r="AE127" i="283"/>
  <c r="AD127" i="283"/>
  <c r="AC127" i="283"/>
  <c r="AB127" i="283"/>
  <c r="AA127" i="283"/>
  <c r="Z127" i="283"/>
  <c r="Y127" i="283"/>
  <c r="X127" i="283"/>
  <c r="W127" i="283"/>
  <c r="V127" i="283"/>
  <c r="U127" i="283"/>
  <c r="T127" i="283"/>
  <c r="S127" i="283"/>
  <c r="R127" i="283"/>
  <c r="Q127" i="283"/>
  <c r="P127" i="283"/>
  <c r="O127" i="283"/>
  <c r="N127" i="283"/>
  <c r="M127" i="283"/>
  <c r="L127" i="283"/>
  <c r="K127" i="283"/>
  <c r="J127" i="283"/>
  <c r="I127" i="283"/>
  <c r="H127" i="283"/>
  <c r="G127" i="283"/>
  <c r="F127" i="283"/>
  <c r="E127" i="283"/>
  <c r="AN112" i="283"/>
  <c r="AM112" i="283"/>
  <c r="AL112" i="283"/>
  <c r="AK112" i="283"/>
  <c r="AJ112" i="283"/>
  <c r="AI112" i="283"/>
  <c r="AH112" i="283"/>
  <c r="AG112" i="283"/>
  <c r="AF112" i="283"/>
  <c r="AE112" i="283"/>
  <c r="AD112" i="283"/>
  <c r="AC112" i="283"/>
  <c r="AB112" i="283"/>
  <c r="AA112" i="283"/>
  <c r="Z112" i="283"/>
  <c r="Y112" i="283"/>
  <c r="X112" i="283"/>
  <c r="W112" i="283"/>
  <c r="V112" i="283"/>
  <c r="U112" i="283"/>
  <c r="T112" i="283"/>
  <c r="S112" i="283"/>
  <c r="R112" i="283"/>
  <c r="Q112" i="283"/>
  <c r="P112" i="283"/>
  <c r="O112" i="283"/>
  <c r="N112" i="283"/>
  <c r="M112" i="283"/>
  <c r="L112" i="283"/>
  <c r="K112" i="283"/>
  <c r="J112" i="283"/>
  <c r="I112" i="283"/>
  <c r="H112" i="283"/>
  <c r="G112" i="283"/>
  <c r="F112" i="283"/>
  <c r="E112" i="283"/>
  <c r="AN96" i="283"/>
  <c r="AM96" i="283"/>
  <c r="AL96" i="283"/>
  <c r="AK96" i="283"/>
  <c r="AJ96" i="283"/>
  <c r="AI96" i="283"/>
  <c r="AH96" i="283"/>
  <c r="AG96" i="283"/>
  <c r="AF96" i="283"/>
  <c r="AE96" i="283"/>
  <c r="AD96" i="283"/>
  <c r="AC96" i="283"/>
  <c r="AB96" i="283"/>
  <c r="AA96" i="283"/>
  <c r="Z96" i="283"/>
  <c r="Y96" i="283"/>
  <c r="X96" i="283"/>
  <c r="W96" i="283"/>
  <c r="V96" i="283"/>
  <c r="U96" i="283"/>
  <c r="T96" i="283"/>
  <c r="S96" i="283"/>
  <c r="R96" i="283"/>
  <c r="Q96" i="283"/>
  <c r="P96" i="283"/>
  <c r="O96" i="283"/>
  <c r="N96" i="283"/>
  <c r="M96" i="283"/>
  <c r="L96" i="283"/>
  <c r="K96" i="283"/>
  <c r="J96" i="283"/>
  <c r="I96" i="283"/>
  <c r="H96" i="283"/>
  <c r="G96" i="283"/>
  <c r="F96" i="283"/>
  <c r="E96" i="283"/>
  <c r="AN86" i="283"/>
  <c r="AM86" i="283"/>
  <c r="AL86" i="283"/>
  <c r="AK86" i="283"/>
  <c r="AJ86" i="283"/>
  <c r="AI86" i="283"/>
  <c r="AH86" i="283"/>
  <c r="AG86" i="283"/>
  <c r="AF86" i="283"/>
  <c r="AE86" i="283"/>
  <c r="AD86" i="283"/>
  <c r="AC86" i="283"/>
  <c r="AB86" i="283"/>
  <c r="AA86" i="283"/>
  <c r="Z86" i="283"/>
  <c r="Y86" i="283"/>
  <c r="X86" i="283"/>
  <c r="W86" i="283"/>
  <c r="V86" i="283"/>
  <c r="U86" i="283"/>
  <c r="T86" i="283"/>
  <c r="S86" i="283"/>
  <c r="R86" i="283"/>
  <c r="Q86" i="283"/>
  <c r="P86" i="283"/>
  <c r="O86" i="283"/>
  <c r="N86" i="283"/>
  <c r="M86" i="283"/>
  <c r="L86" i="283"/>
  <c r="K86" i="283"/>
  <c r="J86" i="283"/>
  <c r="I86" i="283"/>
  <c r="H86" i="283"/>
  <c r="G86" i="283"/>
  <c r="F86" i="283"/>
  <c r="E86" i="283"/>
  <c r="AN72" i="283"/>
  <c r="AM72" i="283"/>
  <c r="AL72" i="283"/>
  <c r="AK72" i="283"/>
  <c r="AJ72" i="283"/>
  <c r="AI72" i="283"/>
  <c r="AH72" i="283"/>
  <c r="AG72" i="283"/>
  <c r="AF72" i="283"/>
  <c r="AE72" i="283"/>
  <c r="AD72" i="283"/>
  <c r="AC72" i="283"/>
  <c r="AB72" i="283"/>
  <c r="AA72" i="283"/>
  <c r="Z72" i="283"/>
  <c r="Y72" i="283"/>
  <c r="X72" i="283"/>
  <c r="W72" i="283"/>
  <c r="V72" i="283"/>
  <c r="U72" i="283"/>
  <c r="T72" i="283"/>
  <c r="S72" i="283"/>
  <c r="R72" i="283"/>
  <c r="Q72" i="283"/>
  <c r="P72" i="283"/>
  <c r="O72" i="283"/>
  <c r="N72" i="283"/>
  <c r="M72" i="283"/>
  <c r="L72" i="283"/>
  <c r="K72" i="283"/>
  <c r="J72" i="283"/>
  <c r="I72" i="283"/>
  <c r="H72" i="283"/>
  <c r="G72" i="283"/>
  <c r="F72" i="283"/>
  <c r="E72" i="283"/>
  <c r="AN55" i="283"/>
  <c r="AM55" i="283"/>
  <c r="AL55" i="283"/>
  <c r="AK55" i="283"/>
  <c r="AJ55" i="283"/>
  <c r="AI55" i="283"/>
  <c r="AH55" i="283"/>
  <c r="AG55" i="283"/>
  <c r="AN51" i="283"/>
  <c r="AM51" i="283"/>
  <c r="AL51" i="283"/>
  <c r="AK51" i="283"/>
  <c r="AJ51" i="283"/>
  <c r="AI51" i="283"/>
  <c r="AH51" i="283"/>
  <c r="AN49" i="283"/>
  <c r="AM49" i="283"/>
  <c r="AL49" i="283"/>
  <c r="AL56" i="283"/>
  <c r="AK49" i="283"/>
  <c r="AK56" i="283"/>
  <c r="AJ49" i="283"/>
  <c r="AI49" i="283"/>
  <c r="AI56" i="283"/>
  <c r="AH49" i="283"/>
  <c r="AG49" i="283"/>
  <c r="AG56" i="283"/>
  <c r="AF49" i="283"/>
  <c r="AF56" i="283"/>
  <c r="AE49" i="283"/>
  <c r="AE56" i="283"/>
  <c r="AD49" i="283"/>
  <c r="AD56" i="283"/>
  <c r="AC49" i="283"/>
  <c r="AC56" i="283"/>
  <c r="AN45" i="283"/>
  <c r="AM45" i="283"/>
  <c r="AL45" i="283"/>
  <c r="AK45" i="283"/>
  <c r="AJ45" i="283"/>
  <c r="AI45" i="283"/>
  <c r="AH45" i="283"/>
  <c r="AG45" i="283"/>
  <c r="AF45" i="283"/>
  <c r="AE45" i="283"/>
  <c r="AD45" i="283"/>
  <c r="AC45" i="283"/>
  <c r="AB45" i="283"/>
  <c r="AA45" i="283"/>
  <c r="Z45" i="283"/>
  <c r="Y45" i="283"/>
  <c r="X45" i="283"/>
  <c r="W45" i="283"/>
  <c r="V45" i="283"/>
  <c r="U45" i="283"/>
  <c r="T45" i="283"/>
  <c r="S45" i="283"/>
  <c r="R45" i="283"/>
  <c r="Q45" i="283"/>
  <c r="P45" i="283"/>
  <c r="O45" i="283"/>
  <c r="N45" i="283"/>
  <c r="M45" i="283"/>
  <c r="L45" i="283"/>
  <c r="K45" i="283"/>
  <c r="J45" i="283"/>
  <c r="I45" i="283"/>
  <c r="H45" i="283"/>
  <c r="G45" i="283"/>
  <c r="F45" i="283"/>
  <c r="E45" i="283"/>
  <c r="AN28" i="283"/>
  <c r="AM28" i="283"/>
  <c r="AL28" i="283"/>
  <c r="AK28" i="283"/>
  <c r="AJ28" i="283"/>
  <c r="AI28" i="283"/>
  <c r="AH28" i="283"/>
  <c r="AG28" i="283"/>
  <c r="AF28" i="283"/>
  <c r="AE28" i="283"/>
  <c r="AD28" i="283"/>
  <c r="AC28" i="283"/>
  <c r="AB28" i="283"/>
  <c r="AA28" i="283"/>
  <c r="Z28" i="283"/>
  <c r="Y28" i="283"/>
  <c r="X28" i="283"/>
  <c r="W28" i="283"/>
  <c r="V28" i="283"/>
  <c r="U28" i="283"/>
  <c r="T28" i="283"/>
  <c r="S28" i="283"/>
  <c r="R28" i="283"/>
  <c r="Q28" i="283"/>
  <c r="P28" i="283"/>
  <c r="O28" i="283"/>
  <c r="N28" i="283"/>
  <c r="M28" i="283"/>
  <c r="L28" i="283"/>
  <c r="K28" i="283"/>
  <c r="J28" i="283"/>
  <c r="I28" i="283"/>
  <c r="H28" i="283"/>
  <c r="G28" i="283"/>
  <c r="F28" i="283"/>
  <c r="E28" i="283"/>
  <c r="AN14" i="283"/>
  <c r="AM14" i="283"/>
  <c r="AL14" i="283"/>
  <c r="AL46" i="283"/>
  <c r="AK14" i="283"/>
  <c r="AJ14" i="283"/>
  <c r="AI14" i="283"/>
  <c r="AH14" i="283"/>
  <c r="AG14" i="283"/>
  <c r="AF14" i="283"/>
  <c r="AE14" i="283"/>
  <c r="AD14" i="283"/>
  <c r="AC14" i="283"/>
  <c r="AB14" i="283"/>
  <c r="AA14" i="283"/>
  <c r="Z14" i="283"/>
  <c r="Y14" i="283"/>
  <c r="X14" i="283"/>
  <c r="W14" i="283"/>
  <c r="V14" i="283"/>
  <c r="U14" i="283"/>
  <c r="T14" i="283"/>
  <c r="S14" i="283"/>
  <c r="R14" i="283"/>
  <c r="Q14" i="283"/>
  <c r="P14" i="283"/>
  <c r="O14" i="283"/>
  <c r="N14" i="283"/>
  <c r="M14" i="283"/>
  <c r="L14" i="283"/>
  <c r="K14" i="283"/>
  <c r="J14" i="283"/>
  <c r="I14" i="283"/>
  <c r="H14" i="283"/>
  <c r="G14" i="283"/>
  <c r="F14" i="283"/>
  <c r="E14" i="283"/>
  <c r="AA61" i="248"/>
  <c r="W61" i="248"/>
  <c r="U61" i="248"/>
  <c r="T61" i="248"/>
  <c r="S61" i="248"/>
  <c r="L61" i="248"/>
  <c r="D61" i="248"/>
  <c r="U60" i="248"/>
  <c r="T60" i="248"/>
  <c r="S60" i="248"/>
  <c r="R60" i="248"/>
  <c r="O60" i="248"/>
  <c r="G60" i="248"/>
  <c r="W59" i="248"/>
  <c r="U59" i="248"/>
  <c r="T59" i="248"/>
  <c r="S59" i="248"/>
  <c r="R59" i="248"/>
  <c r="K59" i="248"/>
  <c r="J59" i="248"/>
  <c r="Z57" i="248"/>
  <c r="O57" i="248"/>
  <c r="L57" i="248"/>
  <c r="G57" i="248"/>
  <c r="D57" i="248"/>
  <c r="AA56" i="248"/>
  <c r="Z56" i="248"/>
  <c r="Y56" i="248"/>
  <c r="X56" i="248"/>
  <c r="W56" i="248"/>
  <c r="V56" i="248"/>
  <c r="R56" i="248"/>
  <c r="Q56" i="248"/>
  <c r="Q57" i="248"/>
  <c r="P56" i="248"/>
  <c r="O56" i="248"/>
  <c r="N56" i="248"/>
  <c r="M56" i="248"/>
  <c r="L56" i="248"/>
  <c r="K56" i="248"/>
  <c r="J56" i="248"/>
  <c r="I56" i="248"/>
  <c r="H56" i="248"/>
  <c r="G56" i="248"/>
  <c r="F56" i="248"/>
  <c r="E56" i="248"/>
  <c r="D56" i="248"/>
  <c r="AA55" i="248"/>
  <c r="Z55" i="248"/>
  <c r="Y55" i="248"/>
  <c r="X55" i="248"/>
  <c r="W55" i="248"/>
  <c r="V55" i="248"/>
  <c r="R55" i="248"/>
  <c r="Q55" i="248"/>
  <c r="P55" i="248"/>
  <c r="O55" i="248"/>
  <c r="N55" i="248"/>
  <c r="M55" i="248"/>
  <c r="L55" i="248"/>
  <c r="K55" i="248"/>
  <c r="K60" i="248"/>
  <c r="J55" i="248"/>
  <c r="J60" i="248"/>
  <c r="I55" i="248"/>
  <c r="I57" i="248"/>
  <c r="H55" i="248"/>
  <c r="G55" i="248"/>
  <c r="F55" i="248"/>
  <c r="E55" i="248"/>
  <c r="D55" i="248"/>
  <c r="AA54" i="248"/>
  <c r="AA59" i="248"/>
  <c r="Z54" i="248"/>
  <c r="Z59" i="248"/>
  <c r="Y54" i="248"/>
  <c r="X54" i="248"/>
  <c r="W54" i="248"/>
  <c r="V54" i="248"/>
  <c r="R54" i="248"/>
  <c r="Q54" i="248"/>
  <c r="P54" i="248"/>
  <c r="P57" i="248"/>
  <c r="O54" i="248"/>
  <c r="O59" i="248"/>
  <c r="N54" i="248"/>
  <c r="M54" i="248"/>
  <c r="L54" i="248"/>
  <c r="K54" i="248"/>
  <c r="J54" i="248"/>
  <c r="I54" i="248"/>
  <c r="H54" i="248"/>
  <c r="H57" i="248"/>
  <c r="G54" i="248"/>
  <c r="G59" i="248"/>
  <c r="F54" i="248"/>
  <c r="E54" i="248"/>
  <c r="D54" i="248"/>
  <c r="AA53" i="248"/>
  <c r="Z53" i="248"/>
  <c r="Y53" i="248"/>
  <c r="X53" i="248"/>
  <c r="W53" i="248"/>
  <c r="W57" i="248"/>
  <c r="V53" i="248"/>
  <c r="R53" i="248"/>
  <c r="Q53" i="248"/>
  <c r="P53" i="248"/>
  <c r="O53" i="248"/>
  <c r="N53" i="248"/>
  <c r="M53" i="248"/>
  <c r="L53" i="248"/>
  <c r="K53" i="248"/>
  <c r="J53" i="248"/>
  <c r="I53" i="248"/>
  <c r="H53" i="248"/>
  <c r="G53" i="248"/>
  <c r="F53" i="248"/>
  <c r="E53" i="248"/>
  <c r="D53" i="248"/>
  <c r="AA49" i="248"/>
  <c r="AA57" i="248"/>
  <c r="Z49" i="248"/>
  <c r="Y49" i="248"/>
  <c r="X49" i="248"/>
  <c r="W49" i="248"/>
  <c r="V49" i="248"/>
  <c r="R49" i="248"/>
  <c r="Q49" i="248"/>
  <c r="P49" i="248"/>
  <c r="O49" i="248"/>
  <c r="N49" i="248"/>
  <c r="M49" i="248"/>
  <c r="L49" i="248"/>
  <c r="K49" i="248"/>
  <c r="J49" i="248"/>
  <c r="I49" i="248"/>
  <c r="H49" i="248"/>
  <c r="G49" i="248"/>
  <c r="F49" i="248"/>
  <c r="E49" i="248"/>
  <c r="D49" i="248"/>
  <c r="AA45" i="248"/>
  <c r="Z45" i="248"/>
  <c r="Y45" i="248"/>
  <c r="Y57" i="248"/>
  <c r="X45" i="248"/>
  <c r="W45" i="248"/>
  <c r="V45" i="248"/>
  <c r="V57" i="248"/>
  <c r="R45" i="248"/>
  <c r="Q45" i="248"/>
  <c r="P45" i="248"/>
  <c r="O45" i="248"/>
  <c r="N45" i="248"/>
  <c r="M45" i="248"/>
  <c r="L45" i="248"/>
  <c r="K45" i="248"/>
  <c r="J45" i="248"/>
  <c r="I45" i="248"/>
  <c r="H45" i="248"/>
  <c r="G45" i="248"/>
  <c r="F45" i="248"/>
  <c r="E45" i="248"/>
  <c r="D45" i="248"/>
  <c r="Z40" i="248"/>
  <c r="W40" i="248"/>
  <c r="R40" i="248"/>
  <c r="AA39" i="248"/>
  <c r="Z39" i="248"/>
  <c r="Y39" i="248"/>
  <c r="X39" i="248"/>
  <c r="W39" i="248"/>
  <c r="V39" i="248"/>
  <c r="R39" i="248"/>
  <c r="Q39" i="248"/>
  <c r="P39" i="248"/>
  <c r="O39" i="248"/>
  <c r="O40" i="248"/>
  <c r="N39" i="248"/>
  <c r="M39" i="248"/>
  <c r="L39" i="248"/>
  <c r="K39" i="248"/>
  <c r="J39" i="248"/>
  <c r="I39" i="248"/>
  <c r="H39" i="248"/>
  <c r="G39" i="248"/>
  <c r="G40" i="248"/>
  <c r="F39" i="248"/>
  <c r="E39" i="248"/>
  <c r="D39" i="248"/>
  <c r="AA38" i="248"/>
  <c r="Z38" i="248"/>
  <c r="Y38" i="248"/>
  <c r="X38" i="248"/>
  <c r="W38" i="248"/>
  <c r="V38" i="248"/>
  <c r="R38" i="248"/>
  <c r="Q38" i="248"/>
  <c r="P38" i="248"/>
  <c r="O38" i="248"/>
  <c r="N38" i="248"/>
  <c r="M38" i="248"/>
  <c r="L38" i="248"/>
  <c r="L40" i="248"/>
  <c r="K38" i="248"/>
  <c r="J38" i="248"/>
  <c r="I38" i="248"/>
  <c r="H38" i="248"/>
  <c r="G38" i="248"/>
  <c r="F38" i="248"/>
  <c r="E38" i="248"/>
  <c r="D38" i="248"/>
  <c r="D40" i="248"/>
  <c r="AA37" i="248"/>
  <c r="Z37" i="248"/>
  <c r="Y37" i="248"/>
  <c r="X37" i="248"/>
  <c r="W37" i="248"/>
  <c r="V37" i="248"/>
  <c r="R37" i="248"/>
  <c r="Q37" i="248"/>
  <c r="Q40" i="248"/>
  <c r="P37" i="248"/>
  <c r="P40" i="248"/>
  <c r="O37" i="248"/>
  <c r="N37" i="248"/>
  <c r="M37" i="248"/>
  <c r="L37" i="248"/>
  <c r="K37" i="248"/>
  <c r="K40" i="248"/>
  <c r="J37" i="248"/>
  <c r="J40" i="248"/>
  <c r="I37" i="248"/>
  <c r="I40" i="248"/>
  <c r="H37" i="248"/>
  <c r="H40" i="248"/>
  <c r="G37" i="248"/>
  <c r="F37" i="248"/>
  <c r="E37" i="248"/>
  <c r="D37" i="248"/>
  <c r="AA36" i="248"/>
  <c r="Z36" i="248"/>
  <c r="Y36" i="248"/>
  <c r="X36" i="248"/>
  <c r="W36" i="248"/>
  <c r="V36" i="248"/>
  <c r="R36" i="248"/>
  <c r="Q36" i="248"/>
  <c r="P36" i="248"/>
  <c r="O36" i="248"/>
  <c r="N36" i="248"/>
  <c r="M36" i="248"/>
  <c r="L36" i="248"/>
  <c r="K36" i="248"/>
  <c r="J36" i="248"/>
  <c r="I36" i="248"/>
  <c r="H36" i="248"/>
  <c r="G36" i="248"/>
  <c r="F36" i="248"/>
  <c r="E36" i="248"/>
  <c r="D36" i="248"/>
  <c r="AA32" i="248"/>
  <c r="Z32" i="248"/>
  <c r="Y32" i="248"/>
  <c r="X32" i="248"/>
  <c r="W32" i="248"/>
  <c r="V32" i="248"/>
  <c r="V40" i="248"/>
  <c r="R32" i="248"/>
  <c r="Q32" i="248"/>
  <c r="P32" i="248"/>
  <c r="O32" i="248"/>
  <c r="N32" i="248"/>
  <c r="M32" i="248"/>
  <c r="L32" i="248"/>
  <c r="K32" i="248"/>
  <c r="J32" i="248"/>
  <c r="I32" i="248"/>
  <c r="H32" i="248"/>
  <c r="G32" i="248"/>
  <c r="F32" i="248"/>
  <c r="E32" i="248"/>
  <c r="D32" i="248"/>
  <c r="AA28" i="248"/>
  <c r="AA40" i="248"/>
  <c r="Z28" i="248"/>
  <c r="Y28" i="248"/>
  <c r="Y40" i="248"/>
  <c r="X28" i="248"/>
  <c r="W28" i="248"/>
  <c r="V28" i="248"/>
  <c r="R28" i="248"/>
  <c r="Q28" i="248"/>
  <c r="P28" i="248"/>
  <c r="O28" i="248"/>
  <c r="N28" i="248"/>
  <c r="M28" i="248"/>
  <c r="L28" i="248"/>
  <c r="K28" i="248"/>
  <c r="J28" i="248"/>
  <c r="I28" i="248"/>
  <c r="H28" i="248"/>
  <c r="G28" i="248"/>
  <c r="F28" i="248"/>
  <c r="E28" i="248"/>
  <c r="D28" i="248"/>
  <c r="Z23" i="248"/>
  <c r="Z62" i="248"/>
  <c r="X23" i="248"/>
  <c r="R23" i="248"/>
  <c r="N23" i="248"/>
  <c r="F23" i="248"/>
  <c r="AA22" i="248"/>
  <c r="Z22" i="248"/>
  <c r="Z61" i="248"/>
  <c r="Y22" i="248"/>
  <c r="X22" i="248"/>
  <c r="W22" i="248"/>
  <c r="V22" i="248"/>
  <c r="V61" i="248"/>
  <c r="R22" i="248"/>
  <c r="R61" i="248"/>
  <c r="Q22" i="248"/>
  <c r="P22" i="248"/>
  <c r="P61" i="248"/>
  <c r="O22" i="248"/>
  <c r="N22" i="248"/>
  <c r="M22" i="248"/>
  <c r="L22" i="248"/>
  <c r="K22" i="248"/>
  <c r="K61" i="248"/>
  <c r="J22" i="248"/>
  <c r="J23" i="248"/>
  <c r="I22" i="248"/>
  <c r="H22" i="248"/>
  <c r="H61" i="248"/>
  <c r="G22" i="248"/>
  <c r="G61" i="248"/>
  <c r="F22" i="248"/>
  <c r="E22" i="248"/>
  <c r="D22" i="248"/>
  <c r="AA21" i="248"/>
  <c r="AA60" i="248"/>
  <c r="Z21" i="248"/>
  <c r="Z60" i="248"/>
  <c r="Y21" i="248"/>
  <c r="X21" i="248"/>
  <c r="X60" i="248"/>
  <c r="W21" i="248"/>
  <c r="W60" i="248"/>
  <c r="V21" i="248"/>
  <c r="R21" i="248"/>
  <c r="Q21" i="248"/>
  <c r="P21" i="248"/>
  <c r="P60" i="248"/>
  <c r="O21" i="248"/>
  <c r="N21" i="248"/>
  <c r="M21" i="248"/>
  <c r="M60" i="248"/>
  <c r="L21" i="248"/>
  <c r="L60" i="248"/>
  <c r="K21" i="248"/>
  <c r="J21" i="248"/>
  <c r="I21" i="248"/>
  <c r="H21" i="248"/>
  <c r="H60" i="248"/>
  <c r="G21" i="248"/>
  <c r="F21" i="248"/>
  <c r="E21" i="248"/>
  <c r="E60" i="248"/>
  <c r="D21" i="248"/>
  <c r="D60" i="248"/>
  <c r="AA20" i="248"/>
  <c r="Z20" i="248"/>
  <c r="Y20" i="248"/>
  <c r="X20" i="248"/>
  <c r="X59" i="248"/>
  <c r="W20" i="248"/>
  <c r="V20" i="248"/>
  <c r="R20" i="248"/>
  <c r="Q20" i="248"/>
  <c r="P20" i="248"/>
  <c r="O20" i="248"/>
  <c r="N20" i="248"/>
  <c r="M20" i="248"/>
  <c r="L20" i="248"/>
  <c r="L59" i="248"/>
  <c r="K20" i="248"/>
  <c r="J20" i="248"/>
  <c r="I20" i="248"/>
  <c r="H20" i="248"/>
  <c r="G20" i="248"/>
  <c r="F20" i="248"/>
  <c r="E20" i="248"/>
  <c r="D20" i="248"/>
  <c r="AA19" i="248"/>
  <c r="Z19" i="248"/>
  <c r="Y19" i="248"/>
  <c r="X19" i="248"/>
  <c r="W19" i="248"/>
  <c r="V19" i="248"/>
  <c r="R19" i="248"/>
  <c r="Q19" i="248"/>
  <c r="P19" i="248"/>
  <c r="O19" i="248"/>
  <c r="N19" i="248"/>
  <c r="M19" i="248"/>
  <c r="L19" i="248"/>
  <c r="K19" i="248"/>
  <c r="J19" i="248"/>
  <c r="I19" i="248"/>
  <c r="H19" i="248"/>
  <c r="G19" i="248"/>
  <c r="F19" i="248"/>
  <c r="E19" i="248"/>
  <c r="D19" i="248"/>
  <c r="AA15" i="248"/>
  <c r="Z15" i="248"/>
  <c r="Y15" i="248"/>
  <c r="X15" i="248"/>
  <c r="W15" i="248"/>
  <c r="V15" i="248"/>
  <c r="R15" i="248"/>
  <c r="Q15" i="248"/>
  <c r="P15" i="248"/>
  <c r="O15" i="248"/>
  <c r="N15" i="248"/>
  <c r="M15" i="248"/>
  <c r="L15" i="248"/>
  <c r="K15" i="248"/>
  <c r="J15" i="248"/>
  <c r="I15" i="248"/>
  <c r="H15" i="248"/>
  <c r="G15" i="248"/>
  <c r="F15" i="248"/>
  <c r="E15" i="248"/>
  <c r="D15" i="248"/>
  <c r="AA11" i="248"/>
  <c r="AA23" i="248"/>
  <c r="AA62" i="248"/>
  <c r="Z11" i="248"/>
  <c r="Y11" i="248"/>
  <c r="X11" i="248"/>
  <c r="W11" i="248"/>
  <c r="W23" i="248"/>
  <c r="W62" i="248"/>
  <c r="V11" i="248"/>
  <c r="R11" i="248"/>
  <c r="Q11" i="248"/>
  <c r="P11" i="248"/>
  <c r="O11" i="248"/>
  <c r="N11" i="248"/>
  <c r="M11" i="248"/>
  <c r="L11" i="248"/>
  <c r="K11" i="248"/>
  <c r="J11" i="248"/>
  <c r="I11" i="248"/>
  <c r="H11" i="248"/>
  <c r="G11" i="248"/>
  <c r="F11" i="248"/>
  <c r="E11" i="248"/>
  <c r="D11" i="248"/>
  <c r="U92" i="247"/>
  <c r="AA90" i="247"/>
  <c r="Z90" i="247"/>
  <c r="Z92" i="247"/>
  <c r="Y90" i="247"/>
  <c r="Y92" i="247"/>
  <c r="X90" i="247"/>
  <c r="W90" i="247"/>
  <c r="W92" i="247"/>
  <c r="V90" i="247"/>
  <c r="V92" i="247"/>
  <c r="U90" i="247"/>
  <c r="T90" i="247"/>
  <c r="S90" i="247"/>
  <c r="R90" i="247"/>
  <c r="R92" i="247"/>
  <c r="Q90" i="247"/>
  <c r="Q92" i="247"/>
  <c r="P90" i="247"/>
  <c r="O90" i="247"/>
  <c r="O92" i="247"/>
  <c r="N90" i="247"/>
  <c r="N92" i="247"/>
  <c r="M90" i="247"/>
  <c r="L90" i="247"/>
  <c r="L92" i="247"/>
  <c r="K90" i="247"/>
  <c r="J90" i="247"/>
  <c r="J92" i="247"/>
  <c r="I90" i="247"/>
  <c r="I92" i="247"/>
  <c r="H90" i="247"/>
  <c r="G90" i="247"/>
  <c r="G92" i="247"/>
  <c r="F90" i="247"/>
  <c r="F92" i="247"/>
  <c r="E90" i="247"/>
  <c r="E92" i="247"/>
  <c r="D90" i="247"/>
  <c r="D92" i="247"/>
  <c r="AA62" i="247"/>
  <c r="Z62" i="247"/>
  <c r="Y62" i="247"/>
  <c r="X62" i="247"/>
  <c r="W62" i="247"/>
  <c r="V62" i="247"/>
  <c r="U62" i="247"/>
  <c r="T62" i="247"/>
  <c r="S62" i="247"/>
  <c r="R62" i="247"/>
  <c r="Q62" i="247"/>
  <c r="P62" i="247"/>
  <c r="O62" i="247"/>
  <c r="N62" i="247"/>
  <c r="M62" i="247"/>
  <c r="L62" i="247"/>
  <c r="K62" i="247"/>
  <c r="J62" i="247"/>
  <c r="I62" i="247"/>
  <c r="H62" i="247"/>
  <c r="G62" i="247"/>
  <c r="F62" i="247"/>
  <c r="E62" i="247"/>
  <c r="D62" i="247"/>
  <c r="AA27" i="247"/>
  <c r="Z27" i="247"/>
  <c r="Y27" i="247"/>
  <c r="X27" i="247"/>
  <c r="W27" i="247"/>
  <c r="V27" i="247"/>
  <c r="U27" i="247"/>
  <c r="T27" i="247"/>
  <c r="S27" i="247"/>
  <c r="R27" i="247"/>
  <c r="Q27" i="247"/>
  <c r="P27" i="247"/>
  <c r="O27" i="247"/>
  <c r="N27" i="247"/>
  <c r="M27" i="247"/>
  <c r="L27" i="247"/>
  <c r="K27" i="247"/>
  <c r="J27" i="247"/>
  <c r="I27" i="247"/>
  <c r="H27" i="247"/>
  <c r="G27" i="247"/>
  <c r="F27" i="247"/>
  <c r="E27" i="247"/>
  <c r="D27" i="247"/>
  <c r="AL76" i="277"/>
  <c r="AK76" i="277"/>
  <c r="AJ76" i="277"/>
  <c r="AI76" i="277"/>
  <c r="AH76" i="277"/>
  <c r="AG76" i="277"/>
  <c r="AF76" i="277"/>
  <c r="AE76" i="277"/>
  <c r="AD76" i="277"/>
  <c r="AC76" i="277"/>
  <c r="AB76" i="277"/>
  <c r="AA76" i="277"/>
  <c r="Z76" i="277"/>
  <c r="Y76" i="277"/>
  <c r="X76" i="277"/>
  <c r="W76" i="277"/>
  <c r="V76" i="277"/>
  <c r="U76" i="277"/>
  <c r="T76" i="277"/>
  <c r="S76" i="277"/>
  <c r="AL75" i="277"/>
  <c r="AK75" i="277"/>
  <c r="AJ75" i="277"/>
  <c r="AI75" i="277"/>
  <c r="AH75" i="277"/>
  <c r="AG75" i="277"/>
  <c r="AF75" i="277"/>
  <c r="AE75" i="277"/>
  <c r="AD75" i="277"/>
  <c r="AC75" i="277"/>
  <c r="AB75" i="277"/>
  <c r="AA75" i="277"/>
  <c r="Z75" i="277"/>
  <c r="Y75" i="277"/>
  <c r="X75" i="277"/>
  <c r="W75" i="277"/>
  <c r="V75" i="277"/>
  <c r="U75" i="277"/>
  <c r="T75" i="277"/>
  <c r="S75" i="277"/>
  <c r="AL74" i="277"/>
  <c r="AL77" i="277"/>
  <c r="AK74" i="277"/>
  <c r="AK77" i="277"/>
  <c r="AJ74" i="277"/>
  <c r="AJ77" i="277"/>
  <c r="AI74" i="277"/>
  <c r="AI77" i="277"/>
  <c r="AH74" i="277"/>
  <c r="AG74" i="277"/>
  <c r="AG77" i="277"/>
  <c r="AF74" i="277"/>
  <c r="AE74" i="277"/>
  <c r="AE77" i="277"/>
  <c r="AD74" i="277"/>
  <c r="AD77" i="277"/>
  <c r="AC74" i="277"/>
  <c r="AC77" i="277"/>
  <c r="AB74" i="277"/>
  <c r="AB77" i="277"/>
  <c r="AA74" i="277"/>
  <c r="AA77" i="277"/>
  <c r="Z74" i="277"/>
  <c r="Y74" i="277"/>
  <c r="Y77" i="277"/>
  <c r="X74" i="277"/>
  <c r="W74" i="277"/>
  <c r="W77" i="277"/>
  <c r="V74" i="277"/>
  <c r="V77" i="277"/>
  <c r="U74" i="277"/>
  <c r="U77" i="277"/>
  <c r="T74" i="277"/>
  <c r="T77" i="277"/>
  <c r="S74" i="277"/>
  <c r="S77" i="277"/>
  <c r="AL72" i="277"/>
  <c r="AK72" i="277"/>
  <c r="AJ72" i="277"/>
  <c r="AI72" i="277"/>
  <c r="AH72" i="277"/>
  <c r="AG72" i="277"/>
  <c r="AF72" i="277"/>
  <c r="AE72" i="277"/>
  <c r="AD72" i="277"/>
  <c r="AC72" i="277"/>
  <c r="AB72" i="277"/>
  <c r="AA72" i="277"/>
  <c r="Z72" i="277"/>
  <c r="Y72" i="277"/>
  <c r="W72" i="277"/>
  <c r="V72" i="277"/>
  <c r="U72" i="277"/>
  <c r="T72" i="277"/>
  <c r="S72" i="277"/>
  <c r="BA71" i="277"/>
  <c r="AZ71" i="277"/>
  <c r="AY71" i="277"/>
  <c r="AW71" i="277"/>
  <c r="AU71" i="277"/>
  <c r="AS71" i="277"/>
  <c r="AQ71" i="277"/>
  <c r="BA70" i="277"/>
  <c r="AZ70" i="277"/>
  <c r="AY70" i="277"/>
  <c r="AW70" i="277"/>
  <c r="AV70" i="277"/>
  <c r="AU70" i="277"/>
  <c r="AS70" i="277"/>
  <c r="AR70" i="277"/>
  <c r="AQ70" i="277"/>
  <c r="BA69" i="277"/>
  <c r="AY69" i="277"/>
  <c r="AW69" i="277"/>
  <c r="AS69" i="277"/>
  <c r="AQ69" i="277"/>
  <c r="BA68" i="277"/>
  <c r="AZ68" i="277"/>
  <c r="AY68" i="277"/>
  <c r="AW68" i="277"/>
  <c r="AU68" i="277"/>
  <c r="AS68" i="277"/>
  <c r="AR68" i="277"/>
  <c r="AQ68" i="277"/>
  <c r="AT68" i="277"/>
  <c r="BM67" i="277"/>
  <c r="BL67" i="277"/>
  <c r="BK67" i="277"/>
  <c r="BI67" i="277"/>
  <c r="BG67" i="277"/>
  <c r="BG68" i="277"/>
  <c r="BC67" i="277"/>
  <c r="BF67" i="277"/>
  <c r="BB67" i="277"/>
  <c r="AX67" i="277"/>
  <c r="AT67" i="277"/>
  <c r="Q67" i="277"/>
  <c r="P67" i="277"/>
  <c r="O67" i="277"/>
  <c r="M67" i="277"/>
  <c r="L67" i="277"/>
  <c r="K67" i="277"/>
  <c r="I67" i="277"/>
  <c r="H67" i="277"/>
  <c r="G67" i="277"/>
  <c r="E67" i="277"/>
  <c r="D67" i="277"/>
  <c r="C67" i="277"/>
  <c r="BM66" i="277"/>
  <c r="BM68" i="277"/>
  <c r="BL66" i="277"/>
  <c r="BK66" i="277"/>
  <c r="BI66" i="277"/>
  <c r="BI68" i="277"/>
  <c r="BH66" i="277"/>
  <c r="BE66" i="277"/>
  <c r="BB66" i="277"/>
  <c r="BB68" i="277"/>
  <c r="AX66" i="277"/>
  <c r="AT66" i="277"/>
  <c r="Q66" i="277"/>
  <c r="Q68" i="277"/>
  <c r="P66" i="277"/>
  <c r="O66" i="277"/>
  <c r="M66" i="277"/>
  <c r="L66" i="277"/>
  <c r="L68" i="277"/>
  <c r="K66" i="277"/>
  <c r="I66" i="277"/>
  <c r="H66" i="277"/>
  <c r="H68" i="277"/>
  <c r="G66" i="277"/>
  <c r="E66" i="277"/>
  <c r="D66" i="277"/>
  <c r="C66" i="277"/>
  <c r="C68" i="277"/>
  <c r="BA64" i="277"/>
  <c r="AZ64" i="277"/>
  <c r="AY64" i="277"/>
  <c r="BB64" i="277"/>
  <c r="AW64" i="277"/>
  <c r="AV64" i="277"/>
  <c r="AV72" i="277"/>
  <c r="AU64" i="277"/>
  <c r="AS64" i="277"/>
  <c r="AR64" i="277"/>
  <c r="AR72" i="277"/>
  <c r="AQ64" i="277"/>
  <c r="BM63" i="277"/>
  <c r="BL63" i="277"/>
  <c r="BK63" i="277"/>
  <c r="BI63" i="277"/>
  <c r="BG63" i="277"/>
  <c r="BE63" i="277"/>
  <c r="BC63" i="277"/>
  <c r="BB63" i="277"/>
  <c r="AX63" i="277"/>
  <c r="AX71" i="277"/>
  <c r="AT63" i="277"/>
  <c r="Q63" i="277"/>
  <c r="P63" i="277"/>
  <c r="O63" i="277"/>
  <c r="M63" i="277"/>
  <c r="L63" i="277"/>
  <c r="K63" i="277"/>
  <c r="I63" i="277"/>
  <c r="H63" i="277"/>
  <c r="G63" i="277"/>
  <c r="E63" i="277"/>
  <c r="D63" i="277"/>
  <c r="C63" i="277"/>
  <c r="BM62" i="277"/>
  <c r="BL62" i="277"/>
  <c r="BK62" i="277"/>
  <c r="BI62" i="277"/>
  <c r="BI70" i="277"/>
  <c r="BH62" i="277"/>
  <c r="BG62" i="277"/>
  <c r="BE62" i="277"/>
  <c r="BD62" i="277"/>
  <c r="BD70" i="277"/>
  <c r="BD72" i="277"/>
  <c r="BC62" i="277"/>
  <c r="BC64" i="277"/>
  <c r="BB62" i="277"/>
  <c r="AX62" i="277"/>
  <c r="AT62" i="277"/>
  <c r="Q62" i="277"/>
  <c r="P62" i="277"/>
  <c r="O62" i="277"/>
  <c r="M62" i="277"/>
  <c r="L62" i="277"/>
  <c r="K62" i="277"/>
  <c r="I62" i="277"/>
  <c r="H62" i="277"/>
  <c r="G62" i="277"/>
  <c r="E62" i="277"/>
  <c r="D62" i="277"/>
  <c r="C62" i="277"/>
  <c r="BM61" i="277"/>
  <c r="BL61" i="277"/>
  <c r="BK61" i="277"/>
  <c r="BI61" i="277"/>
  <c r="BG61" i="277"/>
  <c r="BG69" i="277"/>
  <c r="BB61" i="277"/>
  <c r="AT61" i="277"/>
  <c r="Q61" i="277"/>
  <c r="Q64" i="277"/>
  <c r="P61" i="277"/>
  <c r="O61" i="277"/>
  <c r="M61" i="277"/>
  <c r="L61" i="277"/>
  <c r="K61" i="277"/>
  <c r="I61" i="277"/>
  <c r="H61" i="277"/>
  <c r="G61" i="277"/>
  <c r="G64" i="277"/>
  <c r="E61" i="277"/>
  <c r="D61" i="277"/>
  <c r="C61" i="277"/>
  <c r="BA60" i="277"/>
  <c r="AY60" i="277"/>
  <c r="AW60" i="277"/>
  <c r="AS60" i="277"/>
  <c r="AQ60" i="277"/>
  <c r="BM59" i="277"/>
  <c r="BL59" i="277"/>
  <c r="BK59" i="277"/>
  <c r="BI59" i="277"/>
  <c r="BG59" i="277"/>
  <c r="BB59" i="277"/>
  <c r="BB71" i="277"/>
  <c r="AT59" i="277"/>
  <c r="Q59" i="277"/>
  <c r="Q71" i="277"/>
  <c r="P59" i="277"/>
  <c r="O59" i="277"/>
  <c r="M59" i="277"/>
  <c r="L59" i="277"/>
  <c r="L71" i="277"/>
  <c r="K59" i="277"/>
  <c r="I59" i="277"/>
  <c r="I71" i="277"/>
  <c r="H59" i="277"/>
  <c r="G59" i="277"/>
  <c r="E59" i="277"/>
  <c r="D59" i="277"/>
  <c r="C59" i="277"/>
  <c r="BM58" i="277"/>
  <c r="BM70" i="277"/>
  <c r="BL58" i="277"/>
  <c r="BK58" i="277"/>
  <c r="BJ58" i="277"/>
  <c r="BE58" i="277"/>
  <c r="BC58" i="277"/>
  <c r="BC60" i="277"/>
  <c r="BB58" i="277"/>
  <c r="BB70" i="277"/>
  <c r="AX58" i="277"/>
  <c r="AX70" i="277"/>
  <c r="AT58" i="277"/>
  <c r="Q58" i="277"/>
  <c r="P58" i="277"/>
  <c r="O58" i="277"/>
  <c r="M58" i="277"/>
  <c r="M70" i="277"/>
  <c r="L58" i="277"/>
  <c r="K58" i="277"/>
  <c r="I58" i="277"/>
  <c r="I70" i="277"/>
  <c r="H58" i="277"/>
  <c r="G58" i="277"/>
  <c r="E58" i="277"/>
  <c r="D58" i="277"/>
  <c r="C58" i="277"/>
  <c r="C70" i="277"/>
  <c r="BM57" i="277"/>
  <c r="BM60" i="277"/>
  <c r="BL57" i="277"/>
  <c r="BK57" i="277"/>
  <c r="BI57" i="277"/>
  <c r="BB57" i="277"/>
  <c r="AX57" i="277"/>
  <c r="AX69" i="277"/>
  <c r="AT57" i="277"/>
  <c r="AT69" i="277"/>
  <c r="Q57" i="277"/>
  <c r="P57" i="277"/>
  <c r="P69" i="277"/>
  <c r="O57" i="277"/>
  <c r="M57" i="277"/>
  <c r="L57" i="277"/>
  <c r="K57" i="277"/>
  <c r="I57" i="277"/>
  <c r="I69" i="277"/>
  <c r="H57" i="277"/>
  <c r="H69" i="277"/>
  <c r="G57" i="277"/>
  <c r="G69" i="277"/>
  <c r="E57" i="277"/>
  <c r="D57" i="277"/>
  <c r="C57" i="277"/>
  <c r="AL55" i="277"/>
  <c r="AK55" i="277"/>
  <c r="AJ55" i="277"/>
  <c r="AI55" i="277"/>
  <c r="AH55" i="277"/>
  <c r="AG55" i="277"/>
  <c r="AF55" i="277"/>
  <c r="AE55" i="277"/>
  <c r="AD55" i="277"/>
  <c r="AC55" i="277"/>
  <c r="AB55" i="277"/>
  <c r="AA55" i="277"/>
  <c r="Z55" i="277"/>
  <c r="Y55" i="277"/>
  <c r="X55" i="277"/>
  <c r="W55" i="277"/>
  <c r="V55" i="277"/>
  <c r="U55" i="277"/>
  <c r="T55" i="277"/>
  <c r="S55" i="277"/>
  <c r="BA54" i="277"/>
  <c r="AZ54" i="277"/>
  <c r="AY54" i="277"/>
  <c r="BB54" i="277"/>
  <c r="AW54" i="277"/>
  <c r="AV54" i="277"/>
  <c r="AU54" i="277"/>
  <c r="AS54" i="277"/>
  <c r="AR54" i="277"/>
  <c r="AQ54" i="277"/>
  <c r="BA53" i="277"/>
  <c r="AZ53" i="277"/>
  <c r="AZ75" i="277"/>
  <c r="AY53" i="277"/>
  <c r="AW53" i="277"/>
  <c r="AV53" i="277"/>
  <c r="AV75" i="277"/>
  <c r="AU53" i="277"/>
  <c r="AS53" i="277"/>
  <c r="AR53" i="277"/>
  <c r="AR75" i="277"/>
  <c r="AQ53" i="277"/>
  <c r="BA52" i="277"/>
  <c r="AZ52" i="277"/>
  <c r="AZ74" i="277"/>
  <c r="AY52" i="277"/>
  <c r="AW52" i="277"/>
  <c r="AV52" i="277"/>
  <c r="AV74" i="277"/>
  <c r="AU52" i="277"/>
  <c r="AU74" i="277"/>
  <c r="AS52" i="277"/>
  <c r="AR52" i="277"/>
  <c r="AR74" i="277"/>
  <c r="AQ52" i="277"/>
  <c r="AQ74" i="277"/>
  <c r="BA51" i="277"/>
  <c r="AZ51" i="277"/>
  <c r="AY51" i="277"/>
  <c r="AW51" i="277"/>
  <c r="AV51" i="277"/>
  <c r="AU51" i="277"/>
  <c r="AS51" i="277"/>
  <c r="AR51" i="277"/>
  <c r="AQ51" i="277"/>
  <c r="BM50" i="277"/>
  <c r="BL50" i="277"/>
  <c r="BK50" i="277"/>
  <c r="BI50" i="277"/>
  <c r="BG50" i="277"/>
  <c r="BE50" i="277"/>
  <c r="BC50" i="277"/>
  <c r="BB50" i="277"/>
  <c r="AX50" i="277"/>
  <c r="AT50" i="277"/>
  <c r="Q50" i="277"/>
  <c r="P50" i="277"/>
  <c r="O50" i="277"/>
  <c r="M50" i="277"/>
  <c r="L50" i="277"/>
  <c r="K50" i="277"/>
  <c r="I50" i="277"/>
  <c r="H50" i="277"/>
  <c r="G50" i="277"/>
  <c r="E50" i="277"/>
  <c r="D50" i="277"/>
  <c r="C50" i="277"/>
  <c r="BM49" i="277"/>
  <c r="BL49" i="277"/>
  <c r="BK49" i="277"/>
  <c r="BI49" i="277"/>
  <c r="BJ49" i="277"/>
  <c r="BE49" i="277"/>
  <c r="BC49" i="277"/>
  <c r="BB49" i="277"/>
  <c r="AX49" i="277"/>
  <c r="AT49" i="277"/>
  <c r="Q49" i="277"/>
  <c r="P49" i="277"/>
  <c r="O49" i="277"/>
  <c r="M49" i="277"/>
  <c r="L49" i="277"/>
  <c r="K49" i="277"/>
  <c r="I49" i="277"/>
  <c r="H49" i="277"/>
  <c r="G49" i="277"/>
  <c r="E49" i="277"/>
  <c r="D49" i="277"/>
  <c r="C49" i="277"/>
  <c r="BM48" i="277"/>
  <c r="BL48" i="277"/>
  <c r="BL51" i="277"/>
  <c r="BK48" i="277"/>
  <c r="BI48" i="277"/>
  <c r="BH48" i="277"/>
  <c r="BH51" i="277"/>
  <c r="BG48" i="277"/>
  <c r="BE48" i="277"/>
  <c r="BE52" i="277"/>
  <c r="BD48" i="277"/>
  <c r="BC48" i="277"/>
  <c r="BB48" i="277"/>
  <c r="AX48" i="277"/>
  <c r="AT48" i="277"/>
  <c r="Q48" i="277"/>
  <c r="P48" i="277"/>
  <c r="P51" i="277"/>
  <c r="O48" i="277"/>
  <c r="M48" i="277"/>
  <c r="L48" i="277"/>
  <c r="K48" i="277"/>
  <c r="K51" i="277"/>
  <c r="I48" i="277"/>
  <c r="I51" i="277"/>
  <c r="H48" i="277"/>
  <c r="G48" i="277"/>
  <c r="E48" i="277"/>
  <c r="D48" i="277"/>
  <c r="C48" i="277"/>
  <c r="BA47" i="277"/>
  <c r="AZ47" i="277"/>
  <c r="AY47" i="277"/>
  <c r="AW47" i="277"/>
  <c r="AU47" i="277"/>
  <c r="AS47" i="277"/>
  <c r="AR47" i="277"/>
  <c r="AQ47" i="277"/>
  <c r="AT47" i="277"/>
  <c r="BM46" i="277"/>
  <c r="BL46" i="277"/>
  <c r="BK46" i="277"/>
  <c r="BI46" i="277"/>
  <c r="BH46" i="277"/>
  <c r="BG46" i="277"/>
  <c r="BE46" i="277"/>
  <c r="BD46" i="277"/>
  <c r="BC46" i="277"/>
  <c r="BB46" i="277"/>
  <c r="AX46" i="277"/>
  <c r="AT46" i="277"/>
  <c r="Q46" i="277"/>
  <c r="P46" i="277"/>
  <c r="O46" i="277"/>
  <c r="M46" i="277"/>
  <c r="L46" i="277"/>
  <c r="K46" i="277"/>
  <c r="I46" i="277"/>
  <c r="H46" i="277"/>
  <c r="G46" i="277"/>
  <c r="E46" i="277"/>
  <c r="D46" i="277"/>
  <c r="C46" i="277"/>
  <c r="BM45" i="277"/>
  <c r="BL45" i="277"/>
  <c r="BK45" i="277"/>
  <c r="BI45" i="277"/>
  <c r="BG45" i="277"/>
  <c r="BE45" i="277"/>
  <c r="BD45" i="277"/>
  <c r="BC45" i="277"/>
  <c r="BB45" i="277"/>
  <c r="AX45" i="277"/>
  <c r="AT45" i="277"/>
  <c r="Q45" i="277"/>
  <c r="P45" i="277"/>
  <c r="O45" i="277"/>
  <c r="M45" i="277"/>
  <c r="L45" i="277"/>
  <c r="K45" i="277"/>
  <c r="I45" i="277"/>
  <c r="H45" i="277"/>
  <c r="G45" i="277"/>
  <c r="E45" i="277"/>
  <c r="D45" i="277"/>
  <c r="C45" i="277"/>
  <c r="BM44" i="277"/>
  <c r="BM52" i="277"/>
  <c r="BL44" i="277"/>
  <c r="BL52" i="277"/>
  <c r="BK44" i="277"/>
  <c r="BI44" i="277"/>
  <c r="BB44" i="277"/>
  <c r="AX44" i="277"/>
  <c r="AX52" i="277"/>
  <c r="AT44" i="277"/>
  <c r="AT52" i="277"/>
  <c r="Q44" i="277"/>
  <c r="Q52" i="277"/>
  <c r="P44" i="277"/>
  <c r="P47" i="277"/>
  <c r="O44" i="277"/>
  <c r="M44" i="277"/>
  <c r="L44" i="277"/>
  <c r="L52" i="277"/>
  <c r="K44" i="277"/>
  <c r="I44" i="277"/>
  <c r="I47" i="277"/>
  <c r="H44" i="277"/>
  <c r="G44" i="277"/>
  <c r="E44" i="277"/>
  <c r="D44" i="277"/>
  <c r="D47" i="277"/>
  <c r="C44" i="277"/>
  <c r="BA43" i="277"/>
  <c r="AZ43" i="277"/>
  <c r="AY43" i="277"/>
  <c r="AW43" i="277"/>
  <c r="AV43" i="277"/>
  <c r="AV55" i="277"/>
  <c r="AU43" i="277"/>
  <c r="AX43" i="277"/>
  <c r="AS43" i="277"/>
  <c r="AS55" i="277"/>
  <c r="AR43" i="277"/>
  <c r="AR55" i="277"/>
  <c r="AQ43" i="277"/>
  <c r="BM42" i="277"/>
  <c r="BL42" i="277"/>
  <c r="BK42" i="277"/>
  <c r="BI42" i="277"/>
  <c r="BH42" i="277"/>
  <c r="BG42" i="277"/>
  <c r="BE42" i="277"/>
  <c r="BD42" i="277"/>
  <c r="BC42" i="277"/>
  <c r="BB42" i="277"/>
  <c r="AX42" i="277"/>
  <c r="AX54" i="277"/>
  <c r="AT42" i="277"/>
  <c r="AT54" i="277"/>
  <c r="Q42" i="277"/>
  <c r="Q54" i="277"/>
  <c r="P42" i="277"/>
  <c r="O42" i="277"/>
  <c r="M42" i="277"/>
  <c r="L42" i="277"/>
  <c r="K42" i="277"/>
  <c r="I42" i="277"/>
  <c r="H42" i="277"/>
  <c r="G42" i="277"/>
  <c r="E42" i="277"/>
  <c r="E54" i="277"/>
  <c r="D42" i="277"/>
  <c r="D54" i="277"/>
  <c r="C42" i="277"/>
  <c r="BM41" i="277"/>
  <c r="BL41" i="277"/>
  <c r="BK41" i="277"/>
  <c r="BK43" i="277"/>
  <c r="BI41" i="277"/>
  <c r="BH41" i="277"/>
  <c r="BG41" i="277"/>
  <c r="BE41" i="277"/>
  <c r="BD41" i="277"/>
  <c r="BC41" i="277"/>
  <c r="BC43" i="277"/>
  <c r="BB41" i="277"/>
  <c r="AX41" i="277"/>
  <c r="AX53" i="277"/>
  <c r="AT41" i="277"/>
  <c r="AT53" i="277"/>
  <c r="Q41" i="277"/>
  <c r="P41" i="277"/>
  <c r="O41" i="277"/>
  <c r="M41" i="277"/>
  <c r="L41" i="277"/>
  <c r="K41" i="277"/>
  <c r="I41" i="277"/>
  <c r="I53" i="277"/>
  <c r="H41" i="277"/>
  <c r="G41" i="277"/>
  <c r="E41" i="277"/>
  <c r="E43" i="277"/>
  <c r="D41" i="277"/>
  <c r="C41" i="277"/>
  <c r="C43" i="277"/>
  <c r="BD36" i="277"/>
  <c r="BM33" i="277"/>
  <c r="BL33" i="277"/>
  <c r="BK33" i="277"/>
  <c r="BI33" i="277"/>
  <c r="BH33" i="277"/>
  <c r="BH34" i="277"/>
  <c r="BG33" i="277"/>
  <c r="BE33" i="277"/>
  <c r="BD33" i="277"/>
  <c r="BD37" i="277"/>
  <c r="BM32" i="277"/>
  <c r="BL32" i="277"/>
  <c r="BK32" i="277"/>
  <c r="BI32" i="277"/>
  <c r="BJ32" i="277"/>
  <c r="BE32" i="277"/>
  <c r="BF32" i="277"/>
  <c r="BM31" i="277"/>
  <c r="BM35" i="277"/>
  <c r="BL31" i="277"/>
  <c r="BL35" i="277"/>
  <c r="BK31" i="277"/>
  <c r="BI31" i="277"/>
  <c r="BG31" i="277"/>
  <c r="BG34" i="277"/>
  <c r="BE31" i="277"/>
  <c r="BE35" i="277"/>
  <c r="BD31" i="277"/>
  <c r="BD35" i="277"/>
  <c r="BM28" i="277"/>
  <c r="BM30" i="277"/>
  <c r="BL28" i="277"/>
  <c r="BL30" i="277"/>
  <c r="BK28" i="277"/>
  <c r="BK30" i="277"/>
  <c r="BI28" i="277"/>
  <c r="BE28" i="277"/>
  <c r="AY26" i="277"/>
  <c r="BB26" i="277"/>
  <c r="BM25" i="277"/>
  <c r="BM37" i="277"/>
  <c r="BL25" i="277"/>
  <c r="BL26" i="277"/>
  <c r="BK25" i="277"/>
  <c r="BI25" i="277"/>
  <c r="BI26" i="277"/>
  <c r="BH25" i="277"/>
  <c r="BH26" i="277"/>
  <c r="BC25" i="277"/>
  <c r="BF25" i="277"/>
  <c r="BB25" i="277"/>
  <c r="BM24" i="277"/>
  <c r="BL24" i="277"/>
  <c r="BK24" i="277"/>
  <c r="BG24" i="277"/>
  <c r="BC24" i="277"/>
  <c r="BB24" i="277"/>
  <c r="BN23" i="277"/>
  <c r="AL21" i="277"/>
  <c r="AK21" i="277"/>
  <c r="AJ21" i="277"/>
  <c r="AI21" i="277"/>
  <c r="AH21" i="277"/>
  <c r="AG21" i="277"/>
  <c r="AF21" i="277"/>
  <c r="AE21" i="277"/>
  <c r="AD21" i="277"/>
  <c r="AC21" i="277"/>
  <c r="AA21" i="277"/>
  <c r="Z21" i="277"/>
  <c r="Y21" i="277"/>
  <c r="X21" i="277"/>
  <c r="W21" i="277"/>
  <c r="V21" i="277"/>
  <c r="U21" i="277"/>
  <c r="T21" i="277"/>
  <c r="S21" i="277"/>
  <c r="BA20" i="277"/>
  <c r="AZ20" i="277"/>
  <c r="AZ76" i="277"/>
  <c r="AY20" i="277"/>
  <c r="AW20" i="277"/>
  <c r="AW76" i="277"/>
  <c r="AV20" i="277"/>
  <c r="AV76" i="277"/>
  <c r="AU20" i="277"/>
  <c r="AU76" i="277"/>
  <c r="AS20" i="277"/>
  <c r="AS76" i="277"/>
  <c r="AR20" i="277"/>
  <c r="AR76" i="277"/>
  <c r="AQ20" i="277"/>
  <c r="BA19" i="277"/>
  <c r="BA75" i="277"/>
  <c r="AY19" i="277"/>
  <c r="AY75" i="277"/>
  <c r="AW19" i="277"/>
  <c r="AU19" i="277"/>
  <c r="AU75" i="277"/>
  <c r="AS19" i="277"/>
  <c r="AQ19" i="277"/>
  <c r="AQ75" i="277"/>
  <c r="BA18" i="277"/>
  <c r="BA74" i="277"/>
  <c r="AW18" i="277"/>
  <c r="AW74" i="277"/>
  <c r="AS18" i="277"/>
  <c r="BA17" i="277"/>
  <c r="BB17" i="277"/>
  <c r="AW17" i="277"/>
  <c r="AX17" i="277"/>
  <c r="AS17" i="277"/>
  <c r="BM16" i="277"/>
  <c r="BL16" i="277"/>
  <c r="BK16" i="277"/>
  <c r="BI16" i="277"/>
  <c r="BE16" i="277"/>
  <c r="BF16" i="277"/>
  <c r="BB16" i="277"/>
  <c r="AX16" i="277"/>
  <c r="AT16" i="277"/>
  <c r="Q16" i="277"/>
  <c r="P16" i="277"/>
  <c r="O16" i="277"/>
  <c r="M16" i="277"/>
  <c r="L16" i="277"/>
  <c r="K16" i="277"/>
  <c r="I16" i="277"/>
  <c r="H16" i="277"/>
  <c r="G16" i="277"/>
  <c r="E16" i="277"/>
  <c r="D16" i="277"/>
  <c r="C16" i="277"/>
  <c r="BM15" i="277"/>
  <c r="BL15" i="277"/>
  <c r="BK15" i="277"/>
  <c r="BI15" i="277"/>
  <c r="BJ15" i="277"/>
  <c r="BE15" i="277"/>
  <c r="BF15" i="277"/>
  <c r="BB15" i="277"/>
  <c r="AX15" i="277"/>
  <c r="AT15" i="277"/>
  <c r="Q15" i="277"/>
  <c r="P15" i="277"/>
  <c r="O15" i="277"/>
  <c r="M15" i="277"/>
  <c r="L15" i="277"/>
  <c r="K15" i="277"/>
  <c r="I15" i="277"/>
  <c r="H15" i="277"/>
  <c r="G15" i="277"/>
  <c r="E15" i="277"/>
  <c r="D15" i="277"/>
  <c r="C15" i="277"/>
  <c r="BM14" i="277"/>
  <c r="BM17" i="277"/>
  <c r="BN17" i="277"/>
  <c r="BL14" i="277"/>
  <c r="BK14" i="277"/>
  <c r="BI14" i="277"/>
  <c r="BJ14" i="277"/>
  <c r="BE14" i="277"/>
  <c r="AX14" i="277"/>
  <c r="AT14" i="277"/>
  <c r="Q14" i="277"/>
  <c r="P14" i="277"/>
  <c r="O14" i="277"/>
  <c r="M14" i="277"/>
  <c r="L14" i="277"/>
  <c r="K14" i="277"/>
  <c r="I14" i="277"/>
  <c r="H14" i="277"/>
  <c r="G14" i="277"/>
  <c r="E14" i="277"/>
  <c r="D14" i="277"/>
  <c r="C14" i="277"/>
  <c r="BA13" i="277"/>
  <c r="BB13" i="277"/>
  <c r="AW13" i="277"/>
  <c r="AV13" i="277"/>
  <c r="AS13" i="277"/>
  <c r="AT13" i="277"/>
  <c r="BM12" i="277"/>
  <c r="BL12" i="277"/>
  <c r="BK12" i="277"/>
  <c r="BI12" i="277"/>
  <c r="BJ12" i="277"/>
  <c r="BE12" i="277"/>
  <c r="BF12" i="277"/>
  <c r="BB12" i="277"/>
  <c r="AX12" i="277"/>
  <c r="AT12" i="277"/>
  <c r="Q12" i="277"/>
  <c r="P12" i="277"/>
  <c r="O12" i="277"/>
  <c r="M12" i="277"/>
  <c r="L12" i="277"/>
  <c r="K12" i="277"/>
  <c r="I12" i="277"/>
  <c r="H12" i="277"/>
  <c r="G12" i="277"/>
  <c r="E12" i="277"/>
  <c r="D12" i="277"/>
  <c r="C12" i="277"/>
  <c r="BM11" i="277"/>
  <c r="BL11" i="277"/>
  <c r="BK11" i="277"/>
  <c r="BI11" i="277"/>
  <c r="BJ11" i="277"/>
  <c r="BE11" i="277"/>
  <c r="BC11" i="277"/>
  <c r="BC13" i="277"/>
  <c r="BB11" i="277"/>
  <c r="AX11" i="277"/>
  <c r="AT11" i="277"/>
  <c r="Q11" i="277"/>
  <c r="P11" i="277"/>
  <c r="O11" i="277"/>
  <c r="M11" i="277"/>
  <c r="L11" i="277"/>
  <c r="K11" i="277"/>
  <c r="I11" i="277"/>
  <c r="H11" i="277"/>
  <c r="G11" i="277"/>
  <c r="E11" i="277"/>
  <c r="D11" i="277"/>
  <c r="C11" i="277"/>
  <c r="BM10" i="277"/>
  <c r="BL10" i="277"/>
  <c r="BK10" i="277"/>
  <c r="BI10" i="277"/>
  <c r="BE10" i="277"/>
  <c r="BE18" i="277"/>
  <c r="BE74" i="277"/>
  <c r="BD10" i="277"/>
  <c r="BD13" i="277"/>
  <c r="BB10" i="277"/>
  <c r="BB18" i="277"/>
  <c r="AX10" i="277"/>
  <c r="AX18" i="277"/>
  <c r="AT10" i="277"/>
  <c r="AT18" i="277"/>
  <c r="Q10" i="277"/>
  <c r="P10" i="277"/>
  <c r="P13" i="277"/>
  <c r="O10" i="277"/>
  <c r="M10" i="277"/>
  <c r="L10" i="277"/>
  <c r="K10" i="277"/>
  <c r="I10" i="277"/>
  <c r="H10" i="277"/>
  <c r="G10" i="277"/>
  <c r="E10" i="277"/>
  <c r="E13" i="277"/>
  <c r="D10" i="277"/>
  <c r="C10" i="277"/>
  <c r="BA9" i="277"/>
  <c r="BA21" i="277"/>
  <c r="AZ9" i="277"/>
  <c r="AZ21" i="277"/>
  <c r="AY9" i="277"/>
  <c r="AY21" i="277"/>
  <c r="AW9" i="277"/>
  <c r="AV9" i="277"/>
  <c r="AV21" i="277"/>
  <c r="AU9" i="277"/>
  <c r="AU21" i="277"/>
  <c r="AS9" i="277"/>
  <c r="AR9" i="277"/>
  <c r="AR21" i="277"/>
  <c r="AR77" i="277"/>
  <c r="AQ9" i="277"/>
  <c r="BM8" i="277"/>
  <c r="BL8" i="277"/>
  <c r="BL20" i="277"/>
  <c r="BK8" i="277"/>
  <c r="BI8" i="277"/>
  <c r="BH8" i="277"/>
  <c r="BG8" i="277"/>
  <c r="BE8" i="277"/>
  <c r="BC8" i="277"/>
  <c r="BC20" i="277"/>
  <c r="BB8" i="277"/>
  <c r="BB20" i="277"/>
  <c r="AX8" i="277"/>
  <c r="AX20" i="277"/>
  <c r="AX76" i="277"/>
  <c r="AT8" i="277"/>
  <c r="Q8" i="277"/>
  <c r="P8" i="277"/>
  <c r="P20" i="277"/>
  <c r="O8" i="277"/>
  <c r="M8" i="277"/>
  <c r="L8" i="277"/>
  <c r="K8" i="277"/>
  <c r="I8" i="277"/>
  <c r="I20" i="277"/>
  <c r="H8" i="277"/>
  <c r="G8" i="277"/>
  <c r="E8" i="277"/>
  <c r="E20" i="277"/>
  <c r="D8" i="277"/>
  <c r="C8" i="277"/>
  <c r="BM7" i="277"/>
  <c r="BL7" i="277"/>
  <c r="BK7" i="277"/>
  <c r="BI7" i="277"/>
  <c r="BI9" i="277"/>
  <c r="BG7" i="277"/>
  <c r="BG19" i="277"/>
  <c r="BE7" i="277"/>
  <c r="BD7" i="277"/>
  <c r="BD9" i="277"/>
  <c r="BD21" i="277"/>
  <c r="BC7" i="277"/>
  <c r="BC9" i="277"/>
  <c r="BB7" i="277"/>
  <c r="BB19" i="277"/>
  <c r="AX7" i="277"/>
  <c r="AX19" i="277"/>
  <c r="AT7" i="277"/>
  <c r="AT19" i="277"/>
  <c r="Q7" i="277"/>
  <c r="P7" i="277"/>
  <c r="P19" i="277"/>
  <c r="O7" i="277"/>
  <c r="O19" i="277"/>
  <c r="M7" i="277"/>
  <c r="L7" i="277"/>
  <c r="L19" i="277"/>
  <c r="K7" i="277"/>
  <c r="I7" i="277"/>
  <c r="I19" i="277"/>
  <c r="H7" i="277"/>
  <c r="G7" i="277"/>
  <c r="G19" i="277"/>
  <c r="E7" i="277"/>
  <c r="D7" i="277"/>
  <c r="D19" i="277"/>
  <c r="C7" i="277"/>
  <c r="BM6" i="277"/>
  <c r="BM18" i="277"/>
  <c r="BL6" i="277"/>
  <c r="BL18" i="277"/>
  <c r="BK6" i="277"/>
  <c r="BK18" i="277"/>
  <c r="Q6" i="277"/>
  <c r="P6" i="277"/>
  <c r="P9" i="277"/>
  <c r="O6" i="277"/>
  <c r="M6" i="277"/>
  <c r="M18" i="277"/>
  <c r="L6" i="277"/>
  <c r="K6" i="277"/>
  <c r="I6" i="277"/>
  <c r="H6" i="277"/>
  <c r="G6" i="277"/>
  <c r="E6" i="277"/>
  <c r="D6" i="277"/>
  <c r="C6" i="277"/>
  <c r="BO131" i="276"/>
  <c r="BN131" i="276"/>
  <c r="BM131" i="276"/>
  <c r="BK131" i="276"/>
  <c r="BJ131" i="276"/>
  <c r="BI131" i="276"/>
  <c r="BG131" i="276"/>
  <c r="BF131" i="276"/>
  <c r="BE131" i="276"/>
  <c r="BC131" i="276"/>
  <c r="BB131" i="276"/>
  <c r="BA131" i="276"/>
  <c r="AY131" i="276"/>
  <c r="AX131" i="276"/>
  <c r="AW131" i="276"/>
  <c r="AU131" i="276"/>
  <c r="AT131" i="276"/>
  <c r="AS131" i="276"/>
  <c r="AQ131" i="276"/>
  <c r="AP131" i="276"/>
  <c r="AO131" i="276"/>
  <c r="AM131" i="276"/>
  <c r="AL131" i="276"/>
  <c r="AK131" i="276"/>
  <c r="AI131" i="276"/>
  <c r="AH131" i="276"/>
  <c r="AG131" i="276"/>
  <c r="AE131" i="276"/>
  <c r="AD131" i="276"/>
  <c r="AC131" i="276"/>
  <c r="AA131" i="276"/>
  <c r="Z131" i="276"/>
  <c r="Y131" i="276"/>
  <c r="W131" i="276"/>
  <c r="V131" i="276"/>
  <c r="U131" i="276"/>
  <c r="T131" i="276"/>
  <c r="S131" i="276"/>
  <c r="R131" i="276"/>
  <c r="Q131" i="276"/>
  <c r="L131" i="276"/>
  <c r="J131" i="276"/>
  <c r="BP130" i="276"/>
  <c r="BL130" i="276"/>
  <c r="BH130" i="276"/>
  <c r="BD130" i="276"/>
  <c r="AZ130" i="276"/>
  <c r="AV130" i="276"/>
  <c r="AR130" i="276"/>
  <c r="AN130" i="276"/>
  <c r="AJ130" i="276"/>
  <c r="AB130" i="276"/>
  <c r="BP129" i="276"/>
  <c r="BL129" i="276"/>
  <c r="BD129" i="276"/>
  <c r="AV129" i="276"/>
  <c r="BP128" i="276"/>
  <c r="BL128" i="276"/>
  <c r="BD128" i="276"/>
  <c r="AV128" i="276"/>
  <c r="BP127" i="276"/>
  <c r="BL127" i="276"/>
  <c r="BH127" i="276"/>
  <c r="BD127" i="276"/>
  <c r="AZ127" i="276"/>
  <c r="AZ131" i="276"/>
  <c r="AV127" i="276"/>
  <c r="AR127" i="276"/>
  <c r="AN127" i="276"/>
  <c r="AJ127" i="276"/>
  <c r="AJ131" i="276"/>
  <c r="AF127" i="276"/>
  <c r="AF131" i="276"/>
  <c r="AB127" i="276"/>
  <c r="X127" i="276"/>
  <c r="X131" i="276"/>
  <c r="BO126" i="276"/>
  <c r="BN126" i="276"/>
  <c r="BM126" i="276"/>
  <c r="BK126" i="276"/>
  <c r="BJ126" i="276"/>
  <c r="BI126" i="276"/>
  <c r="BG126" i="276"/>
  <c r="BF126" i="276"/>
  <c r="BE126" i="276"/>
  <c r="BC126" i="276"/>
  <c r="BB126" i="276"/>
  <c r="BA126" i="276"/>
  <c r="AY126" i="276"/>
  <c r="AX126" i="276"/>
  <c r="AW126" i="276"/>
  <c r="AU126" i="276"/>
  <c r="AT126" i="276"/>
  <c r="AS126" i="276"/>
  <c r="AQ126" i="276"/>
  <c r="AP126" i="276"/>
  <c r="AO126" i="276"/>
  <c r="AM126" i="276"/>
  <c r="AL126" i="276"/>
  <c r="AK126" i="276"/>
  <c r="AI126" i="276"/>
  <c r="AH126" i="276"/>
  <c r="AG126" i="276"/>
  <c r="AE126" i="276"/>
  <c r="AD126" i="276"/>
  <c r="AC126" i="276"/>
  <c r="AA126" i="276"/>
  <c r="Z126" i="276"/>
  <c r="Y126" i="276"/>
  <c r="W126" i="276"/>
  <c r="V126" i="276"/>
  <c r="U126" i="276"/>
  <c r="T126" i="276"/>
  <c r="S126" i="276"/>
  <c r="R126" i="276"/>
  <c r="Q126" i="276"/>
  <c r="P126" i="276"/>
  <c r="O126" i="276"/>
  <c r="N126" i="276"/>
  <c r="M126" i="276"/>
  <c r="L126" i="276"/>
  <c r="K126" i="276"/>
  <c r="J126" i="276"/>
  <c r="I126" i="276"/>
  <c r="H126" i="276"/>
  <c r="G126" i="276"/>
  <c r="F126" i="276"/>
  <c r="E126" i="276"/>
  <c r="BP125" i="276"/>
  <c r="BL125" i="276"/>
  <c r="BP124" i="276"/>
  <c r="BL124" i="276"/>
  <c r="BH124" i="276"/>
  <c r="BD124" i="276"/>
  <c r="AZ124" i="276"/>
  <c r="AV124" i="276"/>
  <c r="AN124" i="276"/>
  <c r="AJ124" i="276"/>
  <c r="AF124" i="276"/>
  <c r="AB124" i="276"/>
  <c r="X124" i="276"/>
  <c r="BP123" i="276"/>
  <c r="BL123" i="276"/>
  <c r="BH123" i="276"/>
  <c r="BD123" i="276"/>
  <c r="AZ123" i="276"/>
  <c r="AV123" i="276"/>
  <c r="AR123" i="276"/>
  <c r="AN123" i="276"/>
  <c r="AJ123" i="276"/>
  <c r="AF123" i="276"/>
  <c r="AB123" i="276"/>
  <c r="X123" i="276"/>
  <c r="BP122" i="276"/>
  <c r="BP121" i="276"/>
  <c r="BL121" i="276"/>
  <c r="BH121" i="276"/>
  <c r="BD121" i="276"/>
  <c r="AZ121" i="276"/>
  <c r="AV121" i="276"/>
  <c r="AR121" i="276"/>
  <c r="AN121" i="276"/>
  <c r="AJ121" i="276"/>
  <c r="AF121" i="276"/>
  <c r="AB121" i="276"/>
  <c r="X121" i="276"/>
  <c r="BP120" i="276"/>
  <c r="BL120" i="276"/>
  <c r="BH120" i="276"/>
  <c r="BD120" i="276"/>
  <c r="AZ120" i="276"/>
  <c r="AV120" i="276"/>
  <c r="AR120" i="276"/>
  <c r="AN120" i="276"/>
  <c r="AJ120" i="276"/>
  <c r="AF120" i="276"/>
  <c r="AB120" i="276"/>
  <c r="X120" i="276"/>
  <c r="BP119" i="276"/>
  <c r="BL119" i="276"/>
  <c r="BH119" i="276"/>
  <c r="AZ119" i="276"/>
  <c r="AV119" i="276"/>
  <c r="AN119" i="276"/>
  <c r="AF119" i="276"/>
  <c r="X119" i="276"/>
  <c r="BP118" i="276"/>
  <c r="BL118" i="276"/>
  <c r="BD118" i="276"/>
  <c r="AZ118" i="276"/>
  <c r="AV118" i="276"/>
  <c r="AR118" i="276"/>
  <c r="AJ118" i="276"/>
  <c r="AF118" i="276"/>
  <c r="X118" i="276"/>
  <c r="BP117" i="276"/>
  <c r="BL117" i="276"/>
  <c r="BH117" i="276"/>
  <c r="BD117" i="276"/>
  <c r="AZ117" i="276"/>
  <c r="AV117" i="276"/>
  <c r="AR117" i="276"/>
  <c r="AN117" i="276"/>
  <c r="AJ117" i="276"/>
  <c r="AF117" i="276"/>
  <c r="AB117" i="276"/>
  <c r="X117" i="276"/>
  <c r="BP116" i="276"/>
  <c r="BL116" i="276"/>
  <c r="BH116" i="276"/>
  <c r="AV116" i="276"/>
  <c r="AN116" i="276"/>
  <c r="AF116" i="276"/>
  <c r="X116" i="276"/>
  <c r="BP115" i="276"/>
  <c r="BL115" i="276"/>
  <c r="BH115" i="276"/>
  <c r="AZ115" i="276"/>
  <c r="BP114" i="276"/>
  <c r="BL114" i="276"/>
  <c r="BD114" i="276"/>
  <c r="BP113" i="276"/>
  <c r="BL113" i="276"/>
  <c r="AV113" i="276"/>
  <c r="X113" i="276"/>
  <c r="BP112" i="276"/>
  <c r="BL112" i="276"/>
  <c r="BD112" i="276"/>
  <c r="AR112" i="276"/>
  <c r="AN112" i="276"/>
  <c r="AJ112" i="276"/>
  <c r="AB112" i="276"/>
  <c r="X112" i="276"/>
  <c r="BO111" i="276"/>
  <c r="BO132" i="276"/>
  <c r="BN111" i="276"/>
  <c r="BM111" i="276"/>
  <c r="BK111" i="276"/>
  <c r="BJ111" i="276"/>
  <c r="BJ132" i="276"/>
  <c r="BI111" i="276"/>
  <c r="BG111" i="276"/>
  <c r="BG132" i="276"/>
  <c r="BF111" i="276"/>
  <c r="BE111" i="276"/>
  <c r="BC111" i="276"/>
  <c r="BB111" i="276"/>
  <c r="BB132" i="276"/>
  <c r="BA111" i="276"/>
  <c r="AY111" i="276"/>
  <c r="AX111" i="276"/>
  <c r="AW111" i="276"/>
  <c r="AU111" i="276"/>
  <c r="AT111" i="276"/>
  <c r="AT132" i="276"/>
  <c r="AS111" i="276"/>
  <c r="AQ111" i="276"/>
  <c r="AP111" i="276"/>
  <c r="AO111" i="276"/>
  <c r="AM111" i="276"/>
  <c r="AL111" i="276"/>
  <c r="AK111" i="276"/>
  <c r="AK132" i="276"/>
  <c r="AI111" i="276"/>
  <c r="AH111" i="276"/>
  <c r="AG111" i="276"/>
  <c r="AE111" i="276"/>
  <c r="AD111" i="276"/>
  <c r="AC111" i="276"/>
  <c r="AA111" i="276"/>
  <c r="Z111" i="276"/>
  <c r="Y111" i="276"/>
  <c r="W111" i="276"/>
  <c r="V111" i="276"/>
  <c r="U111" i="276"/>
  <c r="T111" i="276"/>
  <c r="S111" i="276"/>
  <c r="R111" i="276"/>
  <c r="Q111" i="276"/>
  <c r="P111" i="276"/>
  <c r="O111" i="276"/>
  <c r="N111" i="276"/>
  <c r="M111" i="276"/>
  <c r="K111" i="276"/>
  <c r="K132" i="276"/>
  <c r="J111" i="276"/>
  <c r="I111" i="276"/>
  <c r="H111" i="276"/>
  <c r="G111" i="276"/>
  <c r="F111" i="276"/>
  <c r="E111" i="276"/>
  <c r="BP110" i="276"/>
  <c r="BL110" i="276"/>
  <c r="BD110" i="276"/>
  <c r="AV110" i="276"/>
  <c r="AR110" i="276"/>
  <c r="AN110" i="276"/>
  <c r="AF110" i="276"/>
  <c r="AB110" i="276"/>
  <c r="X110" i="276"/>
  <c r="BP109" i="276"/>
  <c r="BL109" i="276"/>
  <c r="AJ109" i="276"/>
  <c r="AF109" i="276"/>
  <c r="AB109" i="276"/>
  <c r="X109" i="276"/>
  <c r="BP108" i="276"/>
  <c r="BL108" i="276"/>
  <c r="BD108" i="276"/>
  <c r="AV108" i="276"/>
  <c r="AN108" i="276"/>
  <c r="AF108" i="276"/>
  <c r="X108" i="276"/>
  <c r="BP107" i="276"/>
  <c r="BL107" i="276"/>
  <c r="AJ107" i="276"/>
  <c r="AF107" i="276"/>
  <c r="AB107" i="276"/>
  <c r="BP106" i="276"/>
  <c r="BL106" i="276"/>
  <c r="BH106" i="276"/>
  <c r="BP105" i="276"/>
  <c r="BL105" i="276"/>
  <c r="BH105" i="276"/>
  <c r="AZ105" i="276"/>
  <c r="AR105" i="276"/>
  <c r="AJ105" i="276"/>
  <c r="AB105" i="276"/>
  <c r="BP104" i="276"/>
  <c r="BL104" i="276"/>
  <c r="BH104" i="276"/>
  <c r="AZ104" i="276"/>
  <c r="AR104" i="276"/>
  <c r="AJ104" i="276"/>
  <c r="AB104" i="276"/>
  <c r="BP103" i="276"/>
  <c r="BL103" i="276"/>
  <c r="BH103" i="276"/>
  <c r="AZ103" i="276"/>
  <c r="AR103" i="276"/>
  <c r="AJ103" i="276"/>
  <c r="AB103" i="276"/>
  <c r="BP102" i="276"/>
  <c r="BL102" i="276"/>
  <c r="BH102" i="276"/>
  <c r="AZ102" i="276"/>
  <c r="AR102" i="276"/>
  <c r="AJ102" i="276"/>
  <c r="AB102" i="276"/>
  <c r="BP101" i="276"/>
  <c r="BL101" i="276"/>
  <c r="BH101" i="276"/>
  <c r="AZ101" i="276"/>
  <c r="AR101" i="276"/>
  <c r="AJ101" i="276"/>
  <c r="AB101" i="276"/>
  <c r="X101" i="276"/>
  <c r="BP100" i="276"/>
  <c r="BL100" i="276"/>
  <c r="BH100" i="276"/>
  <c r="BD100" i="276"/>
  <c r="AV100" i="276"/>
  <c r="AN100" i="276"/>
  <c r="AF100" i="276"/>
  <c r="X100" i="276"/>
  <c r="X111" i="276"/>
  <c r="L100" i="276"/>
  <c r="L111" i="276"/>
  <c r="BP99" i="276"/>
  <c r="BL99" i="276"/>
  <c r="BH99" i="276"/>
  <c r="BD99" i="276"/>
  <c r="AN99" i="276"/>
  <c r="AJ99" i="276"/>
  <c r="AB99" i="276"/>
  <c r="BP98" i="276"/>
  <c r="BL98" i="276"/>
  <c r="BD98" i="276"/>
  <c r="AV98" i="276"/>
  <c r="AN98" i="276"/>
  <c r="AZ97" i="276"/>
  <c r="AR97" i="276"/>
  <c r="AN97" i="276"/>
  <c r="AJ97" i="276"/>
  <c r="AB97" i="276"/>
  <c r="BO95" i="276"/>
  <c r="BN95" i="276"/>
  <c r="BM95" i="276"/>
  <c r="BK95" i="276"/>
  <c r="BJ95" i="276"/>
  <c r="BI95" i="276"/>
  <c r="BG95" i="276"/>
  <c r="BF95" i="276"/>
  <c r="BE95" i="276"/>
  <c r="BC95" i="276"/>
  <c r="BB95" i="276"/>
  <c r="BA95" i="276"/>
  <c r="AY95" i="276"/>
  <c r="AX95" i="276"/>
  <c r="AW95" i="276"/>
  <c r="AU95" i="276"/>
  <c r="AT95" i="276"/>
  <c r="AS95" i="276"/>
  <c r="AQ95" i="276"/>
  <c r="AP95" i="276"/>
  <c r="AO95" i="276"/>
  <c r="AM95" i="276"/>
  <c r="AL95" i="276"/>
  <c r="AK95" i="276"/>
  <c r="AI95" i="276"/>
  <c r="AH95" i="276"/>
  <c r="AG95" i="276"/>
  <c r="AE95" i="276"/>
  <c r="AD95" i="276"/>
  <c r="AC95" i="276"/>
  <c r="AA95" i="276"/>
  <c r="Z95" i="276"/>
  <c r="Y95" i="276"/>
  <c r="W95" i="276"/>
  <c r="V95" i="276"/>
  <c r="U95" i="276"/>
  <c r="S95" i="276"/>
  <c r="R95" i="276"/>
  <c r="Q95" i="276"/>
  <c r="O95" i="276"/>
  <c r="N95" i="276"/>
  <c r="M95" i="276"/>
  <c r="K95" i="276"/>
  <c r="J95" i="276"/>
  <c r="I95" i="276"/>
  <c r="H95" i="276"/>
  <c r="G95" i="276"/>
  <c r="F95" i="276"/>
  <c r="E95" i="276"/>
  <c r="BP94" i="276"/>
  <c r="BL94" i="276"/>
  <c r="BH94" i="276"/>
  <c r="BD94" i="276"/>
  <c r="AZ94" i="276"/>
  <c r="AV94" i="276"/>
  <c r="AR94" i="276"/>
  <c r="AN94" i="276"/>
  <c r="AJ94" i="276"/>
  <c r="AF94" i="276"/>
  <c r="AB94" i="276"/>
  <c r="X94" i="276"/>
  <c r="BP93" i="276"/>
  <c r="BL93" i="276"/>
  <c r="BH93" i="276"/>
  <c r="BD93" i="276"/>
  <c r="AZ93" i="276"/>
  <c r="AV93" i="276"/>
  <c r="AR93" i="276"/>
  <c r="AN93" i="276"/>
  <c r="AJ93" i="276"/>
  <c r="AF93" i="276"/>
  <c r="AB93" i="276"/>
  <c r="X93" i="276"/>
  <c r="BP92" i="276"/>
  <c r="BL92" i="276"/>
  <c r="BH92" i="276"/>
  <c r="BD92" i="276"/>
  <c r="AZ92" i="276"/>
  <c r="AV92" i="276"/>
  <c r="AR92" i="276"/>
  <c r="AN92" i="276"/>
  <c r="AJ92" i="276"/>
  <c r="AF92" i="276"/>
  <c r="AB92" i="276"/>
  <c r="X92" i="276"/>
  <c r="BP91" i="276"/>
  <c r="BL91" i="276"/>
  <c r="BH91" i="276"/>
  <c r="BD91" i="276"/>
  <c r="AZ91" i="276"/>
  <c r="AV91" i="276"/>
  <c r="AR91" i="276"/>
  <c r="AN91" i="276"/>
  <c r="AJ91" i="276"/>
  <c r="AF91" i="276"/>
  <c r="AB91" i="276"/>
  <c r="X91" i="276"/>
  <c r="BP90" i="276"/>
  <c r="BL90" i="276"/>
  <c r="BH90" i="276"/>
  <c r="AV90" i="276"/>
  <c r="BP89" i="276"/>
  <c r="BL89" i="276"/>
  <c r="BH89" i="276"/>
  <c r="BD89" i="276"/>
  <c r="AZ89" i="276"/>
  <c r="AV89" i="276"/>
  <c r="AR89" i="276"/>
  <c r="AN89" i="276"/>
  <c r="AJ89" i="276"/>
  <c r="AF89" i="276"/>
  <c r="AB89" i="276"/>
  <c r="X89" i="276"/>
  <c r="BP88" i="276"/>
  <c r="BL88" i="276"/>
  <c r="BH88" i="276"/>
  <c r="BD88" i="276"/>
  <c r="AZ88" i="276"/>
  <c r="AV88" i="276"/>
  <c r="AR88" i="276"/>
  <c r="AN88" i="276"/>
  <c r="AJ88" i="276"/>
  <c r="AF88" i="276"/>
  <c r="AB88" i="276"/>
  <c r="X88" i="276"/>
  <c r="BP87" i="276"/>
  <c r="BL87" i="276"/>
  <c r="BH87" i="276"/>
  <c r="BD87" i="276"/>
  <c r="AZ87" i="276"/>
  <c r="AV87" i="276"/>
  <c r="AR87" i="276"/>
  <c r="AN87" i="276"/>
  <c r="AF87" i="276"/>
  <c r="AB87" i="276"/>
  <c r="X87" i="276"/>
  <c r="BP86" i="276"/>
  <c r="BL86" i="276"/>
  <c r="BH86" i="276"/>
  <c r="BD86" i="276"/>
  <c r="AZ86" i="276"/>
  <c r="AV86" i="276"/>
  <c r="AR86" i="276"/>
  <c r="AN86" i="276"/>
  <c r="AJ86" i="276"/>
  <c r="AF86" i="276"/>
  <c r="AB86" i="276"/>
  <c r="X86" i="276"/>
  <c r="T86" i="276"/>
  <c r="T95" i="276"/>
  <c r="P86" i="276"/>
  <c r="P95" i="276"/>
  <c r="L86" i="276"/>
  <c r="L95" i="276"/>
  <c r="BO85" i="276"/>
  <c r="BN85" i="276"/>
  <c r="BM85" i="276"/>
  <c r="BK85" i="276"/>
  <c r="BJ85" i="276"/>
  <c r="BI85" i="276"/>
  <c r="BG85" i="276"/>
  <c r="BF85" i="276"/>
  <c r="BE85" i="276"/>
  <c r="BC85" i="276"/>
  <c r="BB85" i="276"/>
  <c r="BA85" i="276"/>
  <c r="AY85" i="276"/>
  <c r="AX85" i="276"/>
  <c r="AW85" i="276"/>
  <c r="AU85" i="276"/>
  <c r="AT85" i="276"/>
  <c r="AS85" i="276"/>
  <c r="AQ85" i="276"/>
  <c r="AP85" i="276"/>
  <c r="AO85" i="276"/>
  <c r="AM85" i="276"/>
  <c r="AL85" i="276"/>
  <c r="AK85" i="276"/>
  <c r="AI85" i="276"/>
  <c r="AH85" i="276"/>
  <c r="AG85" i="276"/>
  <c r="AE85" i="276"/>
  <c r="AD85" i="276"/>
  <c r="AC85" i="276"/>
  <c r="AA85" i="276"/>
  <c r="Z85" i="276"/>
  <c r="Y85" i="276"/>
  <c r="W85" i="276"/>
  <c r="V85" i="276"/>
  <c r="U85" i="276"/>
  <c r="T85" i="276"/>
  <c r="S85" i="276"/>
  <c r="R85" i="276"/>
  <c r="Q85" i="276"/>
  <c r="P85" i="276"/>
  <c r="O85" i="276"/>
  <c r="N85" i="276"/>
  <c r="M85" i="276"/>
  <c r="L85" i="276"/>
  <c r="K85" i="276"/>
  <c r="J85" i="276"/>
  <c r="I85" i="276"/>
  <c r="H85" i="276"/>
  <c r="G85" i="276"/>
  <c r="F85" i="276"/>
  <c r="E85" i="276"/>
  <c r="BP84" i="276"/>
  <c r="BL84" i="276"/>
  <c r="BH84" i="276"/>
  <c r="BD84" i="276"/>
  <c r="AZ84" i="276"/>
  <c r="AV84" i="276"/>
  <c r="AR84" i="276"/>
  <c r="AN84" i="276"/>
  <c r="AJ84" i="276"/>
  <c r="AF84" i="276"/>
  <c r="X84" i="276"/>
  <c r="BP83" i="276"/>
  <c r="BL83" i="276"/>
  <c r="BH83" i="276"/>
  <c r="BD83" i="276"/>
  <c r="AZ83" i="276"/>
  <c r="AR83" i="276"/>
  <c r="AN83" i="276"/>
  <c r="AJ83" i="276"/>
  <c r="AF83" i="276"/>
  <c r="AB83" i="276"/>
  <c r="X83" i="276"/>
  <c r="BP82" i="276"/>
  <c r="BL82" i="276"/>
  <c r="BH82" i="276"/>
  <c r="BD82" i="276"/>
  <c r="AZ82" i="276"/>
  <c r="AV82" i="276"/>
  <c r="AR82" i="276"/>
  <c r="AN82" i="276"/>
  <c r="AJ82" i="276"/>
  <c r="AF82" i="276"/>
  <c r="AB82" i="276"/>
  <c r="X82" i="276"/>
  <c r="BP81" i="276"/>
  <c r="BL81" i="276"/>
  <c r="BH81" i="276"/>
  <c r="BD81" i="276"/>
  <c r="AZ81" i="276"/>
  <c r="AV81" i="276"/>
  <c r="AR81" i="276"/>
  <c r="AN81" i="276"/>
  <c r="AJ81" i="276"/>
  <c r="AF81" i="276"/>
  <c r="AB81" i="276"/>
  <c r="X81" i="276"/>
  <c r="BP80" i="276"/>
  <c r="BL80" i="276"/>
  <c r="BH80" i="276"/>
  <c r="BD80" i="276"/>
  <c r="AZ80" i="276"/>
  <c r="AV80" i="276"/>
  <c r="AR80" i="276"/>
  <c r="AN80" i="276"/>
  <c r="AJ80" i="276"/>
  <c r="AF80" i="276"/>
  <c r="AB80" i="276"/>
  <c r="X80" i="276"/>
  <c r="BP79" i="276"/>
  <c r="BL79" i="276"/>
  <c r="BH79" i="276"/>
  <c r="BD79" i="276"/>
  <c r="AZ79" i="276"/>
  <c r="AV79" i="276"/>
  <c r="AR79" i="276"/>
  <c r="AN79" i="276"/>
  <c r="AJ79" i="276"/>
  <c r="AF79" i="276"/>
  <c r="AB79" i="276"/>
  <c r="BP78" i="276"/>
  <c r="BL78" i="276"/>
  <c r="BH78" i="276"/>
  <c r="AZ78" i="276"/>
  <c r="AR78" i="276"/>
  <c r="AN78" i="276"/>
  <c r="AJ78" i="276"/>
  <c r="AF78" i="276"/>
  <c r="AB78" i="276"/>
  <c r="X78" i="276"/>
  <c r="BP77" i="276"/>
  <c r="BL77" i="276"/>
  <c r="BH77" i="276"/>
  <c r="AZ77" i="276"/>
  <c r="AV77" i="276"/>
  <c r="AR77" i="276"/>
  <c r="AN77" i="276"/>
  <c r="AJ77" i="276"/>
  <c r="AF77" i="276"/>
  <c r="BP76" i="276"/>
  <c r="BL76" i="276"/>
  <c r="BD76" i="276"/>
  <c r="AV76" i="276"/>
  <c r="AR76" i="276"/>
  <c r="AN76" i="276"/>
  <c r="AF76" i="276"/>
  <c r="AB76" i="276"/>
  <c r="X76" i="276"/>
  <c r="BP75" i="276"/>
  <c r="BL75" i="276"/>
  <c r="BH75" i="276"/>
  <c r="AN75" i="276"/>
  <c r="AJ75" i="276"/>
  <c r="AF75" i="276"/>
  <c r="AB75" i="276"/>
  <c r="X75" i="276"/>
  <c r="BP74" i="276"/>
  <c r="BL74" i="276"/>
  <c r="BD74" i="276"/>
  <c r="AZ74" i="276"/>
  <c r="AV74" i="276"/>
  <c r="AR74" i="276"/>
  <c r="AN74" i="276"/>
  <c r="AJ74" i="276"/>
  <c r="AB74" i="276"/>
  <c r="X74" i="276"/>
  <c r="BO73" i="276"/>
  <c r="BN73" i="276"/>
  <c r="BM73" i="276"/>
  <c r="BK73" i="276"/>
  <c r="BJ73" i="276"/>
  <c r="BI73" i="276"/>
  <c r="BC73" i="276"/>
  <c r="BB73" i="276"/>
  <c r="BB96" i="276"/>
  <c r="BA73" i="276"/>
  <c r="AY73" i="276"/>
  <c r="AX73" i="276"/>
  <c r="AW73" i="276"/>
  <c r="AU73" i="276"/>
  <c r="AT73" i="276"/>
  <c r="AT96" i="276"/>
  <c r="AS73" i="276"/>
  <c r="AQ73" i="276"/>
  <c r="AP73" i="276"/>
  <c r="AO73" i="276"/>
  <c r="AM73" i="276"/>
  <c r="AL73" i="276"/>
  <c r="AK73" i="276"/>
  <c r="AI73" i="276"/>
  <c r="AH73" i="276"/>
  <c r="AG73" i="276"/>
  <c r="AE73" i="276"/>
  <c r="AD73" i="276"/>
  <c r="AC73" i="276"/>
  <c r="AC96" i="276"/>
  <c r="AA73" i="276"/>
  <c r="Z73" i="276"/>
  <c r="Y73" i="276"/>
  <c r="W73" i="276"/>
  <c r="V73" i="276"/>
  <c r="U73" i="276"/>
  <c r="S73" i="276"/>
  <c r="R73" i="276"/>
  <c r="Q73" i="276"/>
  <c r="P73" i="276"/>
  <c r="O73" i="276"/>
  <c r="N73" i="276"/>
  <c r="M73" i="276"/>
  <c r="L73" i="276"/>
  <c r="K73" i="276"/>
  <c r="J73" i="276"/>
  <c r="I73" i="276"/>
  <c r="H73" i="276"/>
  <c r="G73" i="276"/>
  <c r="F73" i="276"/>
  <c r="E73" i="276"/>
  <c r="BP71" i="276"/>
  <c r="BL71" i="276"/>
  <c r="BP70" i="276"/>
  <c r="BL70" i="276"/>
  <c r="BH70" i="276"/>
  <c r="BD70" i="276"/>
  <c r="BP69" i="276"/>
  <c r="BL69" i="276"/>
  <c r="BH69" i="276"/>
  <c r="BD69" i="276"/>
  <c r="AZ69" i="276"/>
  <c r="AR69" i="276"/>
  <c r="AN69" i="276"/>
  <c r="AJ69" i="276"/>
  <c r="AF69" i="276"/>
  <c r="AB69" i="276"/>
  <c r="X69" i="276"/>
  <c r="BP68" i="276"/>
  <c r="BL68" i="276"/>
  <c r="BH68" i="276"/>
  <c r="BD68" i="276"/>
  <c r="AZ68" i="276"/>
  <c r="AV68" i="276"/>
  <c r="AR68" i="276"/>
  <c r="AJ68" i="276"/>
  <c r="AF68" i="276"/>
  <c r="AB68" i="276"/>
  <c r="X68" i="276"/>
  <c r="BP67" i="276"/>
  <c r="BL67" i="276"/>
  <c r="BH67" i="276"/>
  <c r="BD67" i="276"/>
  <c r="AZ67" i="276"/>
  <c r="AV67" i="276"/>
  <c r="AR67" i="276"/>
  <c r="AN67" i="276"/>
  <c r="AJ67" i="276"/>
  <c r="AF67" i="276"/>
  <c r="AB67" i="276"/>
  <c r="X67" i="276"/>
  <c r="BP66" i="276"/>
  <c r="BL66" i="276"/>
  <c r="BH66" i="276"/>
  <c r="BD66" i="276"/>
  <c r="AZ66" i="276"/>
  <c r="AV66" i="276"/>
  <c r="AR66" i="276"/>
  <c r="AN66" i="276"/>
  <c r="AJ66" i="276"/>
  <c r="AF66" i="276"/>
  <c r="AB66" i="276"/>
  <c r="X66" i="276"/>
  <c r="BP65" i="276"/>
  <c r="BL65" i="276"/>
  <c r="BH65" i="276"/>
  <c r="BD65" i="276"/>
  <c r="AZ65" i="276"/>
  <c r="AV65" i="276"/>
  <c r="AR65" i="276"/>
  <c r="AN65" i="276"/>
  <c r="AJ65" i="276"/>
  <c r="AF65" i="276"/>
  <c r="AB65" i="276"/>
  <c r="X65" i="276"/>
  <c r="BP64" i="276"/>
  <c r="BL64" i="276"/>
  <c r="BP63" i="276"/>
  <c r="BL63" i="276"/>
  <c r="BH63" i="276"/>
  <c r="BD63" i="276"/>
  <c r="AZ63" i="276"/>
  <c r="AV63" i="276"/>
  <c r="AR63" i="276"/>
  <c r="AN63" i="276"/>
  <c r="AJ63" i="276"/>
  <c r="AF63" i="276"/>
  <c r="BP62" i="276"/>
  <c r="BL62" i="276"/>
  <c r="BH62" i="276"/>
  <c r="BD62" i="276"/>
  <c r="AZ62" i="276"/>
  <c r="AV62" i="276"/>
  <c r="AR62" i="276"/>
  <c r="AN62" i="276"/>
  <c r="AJ62" i="276"/>
  <c r="AF62" i="276"/>
  <c r="AB62" i="276"/>
  <c r="X62" i="276"/>
  <c r="BP61" i="276"/>
  <c r="BL61" i="276"/>
  <c r="BH61" i="276"/>
  <c r="BD61" i="276"/>
  <c r="AZ61" i="276"/>
  <c r="AV61" i="276"/>
  <c r="AR61" i="276"/>
  <c r="AN61" i="276"/>
  <c r="AJ61" i="276"/>
  <c r="AF61" i="276"/>
  <c r="AB61" i="276"/>
  <c r="X61" i="276"/>
  <c r="T61" i="276"/>
  <c r="T73" i="276"/>
  <c r="BP60" i="276"/>
  <c r="BL60" i="276"/>
  <c r="BH60" i="276"/>
  <c r="BD60" i="276"/>
  <c r="AZ60" i="276"/>
  <c r="AV60" i="276"/>
  <c r="AR60" i="276"/>
  <c r="AN60" i="276"/>
  <c r="AJ60" i="276"/>
  <c r="AF60" i="276"/>
  <c r="AB60" i="276"/>
  <c r="X60" i="276"/>
  <c r="BP59" i="276"/>
  <c r="BL59" i="276"/>
  <c r="BH59" i="276"/>
  <c r="BD59" i="276"/>
  <c r="AZ59" i="276"/>
  <c r="AV59" i="276"/>
  <c r="AR59" i="276"/>
  <c r="AN59" i="276"/>
  <c r="AJ59" i="276"/>
  <c r="AF59" i="276"/>
  <c r="AB59" i="276"/>
  <c r="AB73" i="276"/>
  <c r="X59" i="276"/>
  <c r="BP58" i="276"/>
  <c r="BL58" i="276"/>
  <c r="BH58" i="276"/>
  <c r="BD58" i="276"/>
  <c r="AZ58" i="276"/>
  <c r="AR58" i="276"/>
  <c r="AN58" i="276"/>
  <c r="AJ58" i="276"/>
  <c r="AF58" i="276"/>
  <c r="BO56" i="276"/>
  <c r="BN56" i="276"/>
  <c r="BN57" i="276"/>
  <c r="BM56" i="276"/>
  <c r="BM57" i="276"/>
  <c r="BK56" i="276"/>
  <c r="BJ56" i="276"/>
  <c r="BI56" i="276"/>
  <c r="BG56" i="276"/>
  <c r="BF56" i="276"/>
  <c r="BF57" i="276"/>
  <c r="BF73" i="276"/>
  <c r="BP55" i="276"/>
  <c r="BL55" i="276"/>
  <c r="BH55" i="276"/>
  <c r="BP54" i="276"/>
  <c r="BL54" i="276"/>
  <c r="BH54" i="276"/>
  <c r="BP53" i="276"/>
  <c r="BL53" i="276"/>
  <c r="BH53" i="276"/>
  <c r="BO52" i="276"/>
  <c r="BK52" i="276"/>
  <c r="BG52" i="276"/>
  <c r="BP51" i="276"/>
  <c r="BP52" i="276"/>
  <c r="BL51" i="276"/>
  <c r="BL52" i="276"/>
  <c r="BH51" i="276"/>
  <c r="BH52" i="276"/>
  <c r="BO50" i="276"/>
  <c r="BK50" i="276"/>
  <c r="BJ50" i="276"/>
  <c r="BJ57" i="276"/>
  <c r="BI50" i="276"/>
  <c r="BE50" i="276"/>
  <c r="BE57" i="276"/>
  <c r="BE73" i="276"/>
  <c r="BA50" i="276"/>
  <c r="BA57" i="276"/>
  <c r="BP49" i="276"/>
  <c r="BL49" i="276"/>
  <c r="BH49" i="276"/>
  <c r="BD49" i="276"/>
  <c r="BP48" i="276"/>
  <c r="BL48" i="276"/>
  <c r="BH48" i="276"/>
  <c r="BD48" i="276"/>
  <c r="BO46" i="276"/>
  <c r="BK46" i="276"/>
  <c r="BG46" i="276"/>
  <c r="BC46" i="276"/>
  <c r="AY46" i="276"/>
  <c r="AU46" i="276"/>
  <c r="AQ46" i="276"/>
  <c r="AM46" i="276"/>
  <c r="AI46" i="276"/>
  <c r="AE46" i="276"/>
  <c r="AA46" i="276"/>
  <c r="W46" i="276"/>
  <c r="T46" i="276"/>
  <c r="S46" i="276"/>
  <c r="Q46" i="276"/>
  <c r="P46" i="276"/>
  <c r="O46" i="276"/>
  <c r="N46" i="276"/>
  <c r="M46" i="276"/>
  <c r="L46" i="276"/>
  <c r="K46" i="276"/>
  <c r="J46" i="276"/>
  <c r="I46" i="276"/>
  <c r="H46" i="276"/>
  <c r="G46" i="276"/>
  <c r="E46" i="276"/>
  <c r="BP39" i="276"/>
  <c r="BL39" i="276"/>
  <c r="BH39" i="276"/>
  <c r="BD39" i="276"/>
  <c r="AZ39" i="276"/>
  <c r="AV39" i="276"/>
  <c r="AR39" i="276"/>
  <c r="AN39" i="276"/>
  <c r="AJ39" i="276"/>
  <c r="AF39" i="276"/>
  <c r="BP32" i="276"/>
  <c r="BL32" i="276"/>
  <c r="BH32" i="276"/>
  <c r="BD32" i="276"/>
  <c r="AZ32" i="276"/>
  <c r="AV32" i="276"/>
  <c r="AR32" i="276"/>
  <c r="AN32" i="276"/>
  <c r="AJ32" i="276"/>
  <c r="AF32" i="276"/>
  <c r="AB32" i="276"/>
  <c r="X32" i="276"/>
  <c r="BP30" i="276"/>
  <c r="BL30" i="276"/>
  <c r="BH30" i="276"/>
  <c r="AZ30" i="276"/>
  <c r="AV30" i="276"/>
  <c r="AR30" i="276"/>
  <c r="AN30" i="276"/>
  <c r="AJ30" i="276"/>
  <c r="AF30" i="276"/>
  <c r="AB30" i="276"/>
  <c r="X30" i="276"/>
  <c r="BO29" i="276"/>
  <c r="BN29" i="276"/>
  <c r="BM29" i="276"/>
  <c r="BK29" i="276"/>
  <c r="BG29" i="276"/>
  <c r="BF29" i="276"/>
  <c r="BE29" i="276"/>
  <c r="BC29" i="276"/>
  <c r="AU29" i="276"/>
  <c r="AQ29" i="276"/>
  <c r="AO29" i="276"/>
  <c r="AM29" i="276"/>
  <c r="AK29" i="276"/>
  <c r="AI29" i="276"/>
  <c r="AG29" i="276"/>
  <c r="AE29" i="276"/>
  <c r="AC29" i="276"/>
  <c r="AA29" i="276"/>
  <c r="Y29" i="276"/>
  <c r="W29" i="276"/>
  <c r="U29" i="276"/>
  <c r="T29" i="276"/>
  <c r="S29" i="276"/>
  <c r="Q29" i="276"/>
  <c r="P29" i="276"/>
  <c r="O29" i="276"/>
  <c r="L29" i="276"/>
  <c r="K29" i="276"/>
  <c r="I29" i="276"/>
  <c r="H29" i="276"/>
  <c r="G29" i="276"/>
  <c r="BP28" i="276"/>
  <c r="BL28" i="276"/>
  <c r="BH28" i="276"/>
  <c r="AN28" i="276"/>
  <c r="AF28" i="276"/>
  <c r="BP27" i="276"/>
  <c r="BL27" i="276"/>
  <c r="AJ27" i="276"/>
  <c r="AB27" i="276"/>
  <c r="X27" i="276"/>
  <c r="BP26" i="276"/>
  <c r="BL26" i="276"/>
  <c r="BD26" i="276"/>
  <c r="AV26" i="276"/>
  <c r="AN26" i="276"/>
  <c r="BP25" i="276"/>
  <c r="BL25" i="276"/>
  <c r="BD25" i="276"/>
  <c r="AV25" i="276"/>
  <c r="AR25" i="276"/>
  <c r="AJ25" i="276"/>
  <c r="AB25" i="276"/>
  <c r="BP24" i="276"/>
  <c r="BL24" i="276"/>
  <c r="BH24" i="276"/>
  <c r="BP23" i="276"/>
  <c r="BL23" i="276"/>
  <c r="BH23" i="276"/>
  <c r="BD23" i="276"/>
  <c r="AZ23" i="276"/>
  <c r="AV23" i="276"/>
  <c r="AR23" i="276"/>
  <c r="AN23" i="276"/>
  <c r="AF23" i="276"/>
  <c r="AB23" i="276"/>
  <c r="BP22" i="276"/>
  <c r="BL22" i="276"/>
  <c r="BH22" i="276"/>
  <c r="AV22" i="276"/>
  <c r="AN22" i="276"/>
  <c r="AF22" i="276"/>
  <c r="BP21" i="276"/>
  <c r="BL21" i="276"/>
  <c r="AJ21" i="276"/>
  <c r="BP20" i="276"/>
  <c r="BL20" i="276"/>
  <c r="AB20" i="276"/>
  <c r="BP19" i="276"/>
  <c r="BL19" i="276"/>
  <c r="BD19" i="276"/>
  <c r="AV19" i="276"/>
  <c r="AN19" i="276"/>
  <c r="BP18" i="276"/>
  <c r="BL18" i="276"/>
  <c r="BH18" i="276"/>
  <c r="AN18" i="276"/>
  <c r="BP17" i="276"/>
  <c r="BL17" i="276"/>
  <c r="BD17" i="276"/>
  <c r="AZ17" i="276"/>
  <c r="AR17" i="276"/>
  <c r="AN17" i="276"/>
  <c r="AJ17" i="276"/>
  <c r="AF17" i="276"/>
  <c r="AB17" i="276"/>
  <c r="BP16" i="276"/>
  <c r="BL16" i="276"/>
  <c r="BH16" i="276"/>
  <c r="BD16" i="276"/>
  <c r="AZ16" i="276"/>
  <c r="AV16" i="276"/>
  <c r="AV29" i="276"/>
  <c r="AR16" i="276"/>
  <c r="AN16" i="276"/>
  <c r="AJ16" i="276"/>
  <c r="AF16" i="276"/>
  <c r="AB16" i="276"/>
  <c r="X16" i="276"/>
  <c r="BO15" i="276"/>
  <c r="BO47" i="276"/>
  <c r="BN15" i="276"/>
  <c r="BN47" i="276"/>
  <c r="BM15" i="276"/>
  <c r="BK15" i="276"/>
  <c r="BJ15" i="276"/>
  <c r="BJ47" i="276"/>
  <c r="BI15" i="276"/>
  <c r="BI47" i="276"/>
  <c r="BG15" i="276"/>
  <c r="BF15" i="276"/>
  <c r="BE15" i="276"/>
  <c r="BE47" i="276"/>
  <c r="BC15" i="276"/>
  <c r="BB15" i="276"/>
  <c r="BB47" i="276"/>
  <c r="BA15" i="276"/>
  <c r="BA47" i="276"/>
  <c r="AY15" i="276"/>
  <c r="AY47" i="276"/>
  <c r="AX15" i="276"/>
  <c r="AW15" i="276"/>
  <c r="AW47" i="276"/>
  <c r="AU15" i="276"/>
  <c r="AT15" i="276"/>
  <c r="AT47" i="276"/>
  <c r="AS15" i="276"/>
  <c r="AS47" i="276"/>
  <c r="AQ15" i="276"/>
  <c r="AP15" i="276"/>
  <c r="AP47" i="276"/>
  <c r="AO15" i="276"/>
  <c r="AM15" i="276"/>
  <c r="AM47" i="276"/>
  <c r="AL15" i="276"/>
  <c r="AL47" i="276"/>
  <c r="AK15" i="276"/>
  <c r="AI15" i="276"/>
  <c r="AH15" i="276"/>
  <c r="AH47" i="276"/>
  <c r="AG15" i="276"/>
  <c r="AE15" i="276"/>
  <c r="AD15" i="276"/>
  <c r="AD47" i="276"/>
  <c r="AC15" i="276"/>
  <c r="AA15" i="276"/>
  <c r="Z15" i="276"/>
  <c r="Z47" i="276"/>
  <c r="Y15" i="276"/>
  <c r="W15" i="276"/>
  <c r="W47" i="276"/>
  <c r="V15" i="276"/>
  <c r="V47" i="276"/>
  <c r="U15" i="276"/>
  <c r="T15" i="276"/>
  <c r="S15" i="276"/>
  <c r="R15" i="276"/>
  <c r="R47" i="276"/>
  <c r="Q15" i="276"/>
  <c r="P15" i="276"/>
  <c r="O15" i="276"/>
  <c r="N15" i="276"/>
  <c r="M15" i="276"/>
  <c r="L15" i="276"/>
  <c r="K15" i="276"/>
  <c r="J15" i="276"/>
  <c r="J47" i="276"/>
  <c r="I15" i="276"/>
  <c r="H15" i="276"/>
  <c r="G15" i="276"/>
  <c r="G47" i="276"/>
  <c r="F15" i="276"/>
  <c r="F47" i="276"/>
  <c r="E15" i="276"/>
  <c r="BP14" i="276"/>
  <c r="BL14" i="276"/>
  <c r="BP13" i="276"/>
  <c r="BL13" i="276"/>
  <c r="BP12" i="276"/>
  <c r="BL12" i="276"/>
  <c r="AV12" i="276"/>
  <c r="AR12" i="276"/>
  <c r="AJ12" i="276"/>
  <c r="AF12" i="276"/>
  <c r="AB12" i="276"/>
  <c r="X12" i="276"/>
  <c r="BP11" i="276"/>
  <c r="BL11" i="276"/>
  <c r="BH11" i="276"/>
  <c r="BD11" i="276"/>
  <c r="AZ11" i="276"/>
  <c r="AV11" i="276"/>
  <c r="AR11" i="276"/>
  <c r="AN11" i="276"/>
  <c r="AJ11" i="276"/>
  <c r="AF11" i="276"/>
  <c r="AB11" i="276"/>
  <c r="X11" i="276"/>
  <c r="BP10" i="276"/>
  <c r="BL10" i="276"/>
  <c r="BH10" i="276"/>
  <c r="BP9" i="276"/>
  <c r="BL9" i="276"/>
  <c r="BH9" i="276"/>
  <c r="BP8" i="276"/>
  <c r="BL8" i="276"/>
  <c r="BD8" i="276"/>
  <c r="AZ8" i="276"/>
  <c r="AV8" i="276"/>
  <c r="AR8" i="276"/>
  <c r="AJ8" i="276"/>
  <c r="AF8" i="276"/>
  <c r="X8" i="276"/>
  <c r="BP7" i="276"/>
  <c r="BL7" i="276"/>
  <c r="BH7" i="276"/>
  <c r="AV7" i="276"/>
  <c r="AR7" i="276"/>
  <c r="AN7" i="276"/>
  <c r="AJ7" i="276"/>
  <c r="AF7" i="276"/>
  <c r="AB7" i="276"/>
  <c r="X7" i="276"/>
  <c r="BP6" i="276"/>
  <c r="BL6" i="276"/>
  <c r="BH6" i="276"/>
  <c r="BD6" i="276"/>
  <c r="AZ6" i="276"/>
  <c r="AV6" i="276"/>
  <c r="AR6" i="276"/>
  <c r="AN6" i="276"/>
  <c r="AJ6" i="276"/>
  <c r="AF6" i="276"/>
  <c r="AB6" i="276"/>
  <c r="X6" i="276"/>
  <c r="BP5" i="276"/>
  <c r="W76" i="263"/>
  <c r="X75" i="263"/>
  <c r="X74" i="263"/>
  <c r="W74" i="263"/>
  <c r="AK71" i="263"/>
  <c r="AI71" i="263"/>
  <c r="AG71" i="263"/>
  <c r="AE71" i="263"/>
  <c r="AC71" i="263"/>
  <c r="AA71" i="263"/>
  <c r="AK70" i="263"/>
  <c r="AK72" i="263"/>
  <c r="AJ70" i="263"/>
  <c r="AJ72" i="263"/>
  <c r="AI70" i="263"/>
  <c r="AG70" i="263"/>
  <c r="AG72" i="263"/>
  <c r="AF70" i="263"/>
  <c r="AF72" i="263"/>
  <c r="AE70" i="263"/>
  <c r="AE72" i="263"/>
  <c r="AC70" i="263"/>
  <c r="AC72" i="263"/>
  <c r="AB70" i="263"/>
  <c r="AB72" i="263"/>
  <c r="AA70" i="263"/>
  <c r="AI69" i="263"/>
  <c r="AI72" i="263"/>
  <c r="AA69" i="263"/>
  <c r="AA72" i="263"/>
  <c r="E69" i="263"/>
  <c r="D69" i="263"/>
  <c r="AK68" i="263"/>
  <c r="AJ68" i="263"/>
  <c r="AI68" i="263"/>
  <c r="AE68" i="263"/>
  <c r="AH68" i="263"/>
  <c r="AC68" i="263"/>
  <c r="AB68" i="263"/>
  <c r="AA68" i="263"/>
  <c r="AW67" i="263"/>
  <c r="AV67" i="263"/>
  <c r="AU67" i="263"/>
  <c r="AS67" i="263"/>
  <c r="AR67" i="263"/>
  <c r="AQ67" i="263"/>
  <c r="AO67" i="263"/>
  <c r="AN67" i="263"/>
  <c r="AM67" i="263"/>
  <c r="AP67" i="263"/>
  <c r="AH67" i="263"/>
  <c r="AD67" i="263"/>
  <c r="AW66" i="263"/>
  <c r="AV66" i="263"/>
  <c r="AV68" i="263"/>
  <c r="AU66" i="263"/>
  <c r="AS66" i="263"/>
  <c r="AR66" i="263"/>
  <c r="AR68" i="263"/>
  <c r="AQ66" i="263"/>
  <c r="AQ68" i="263"/>
  <c r="AO66" i="263"/>
  <c r="AO68" i="263"/>
  <c r="AN66" i="263"/>
  <c r="AM66" i="263"/>
  <c r="AL66" i="263"/>
  <c r="AH66" i="263"/>
  <c r="AD66" i="263"/>
  <c r="E66" i="263"/>
  <c r="AK64" i="263"/>
  <c r="AJ64" i="263"/>
  <c r="AI64" i="263"/>
  <c r="AG64" i="263"/>
  <c r="AF64" i="263"/>
  <c r="AE64" i="263"/>
  <c r="AC64" i="263"/>
  <c r="AB64" i="263"/>
  <c r="AA64" i="263"/>
  <c r="AW63" i="263"/>
  <c r="AV63" i="263"/>
  <c r="AU63" i="263"/>
  <c r="AS63" i="263"/>
  <c r="AR63" i="263"/>
  <c r="AQ63" i="263"/>
  <c r="AO63" i="263"/>
  <c r="AN63" i="263"/>
  <c r="AM63" i="263"/>
  <c r="AL63" i="263"/>
  <c r="AH63" i="263"/>
  <c r="AH71" i="263"/>
  <c r="AD63" i="263"/>
  <c r="E63" i="263"/>
  <c r="D63" i="263"/>
  <c r="AW62" i="263"/>
  <c r="AV62" i="263"/>
  <c r="AU62" i="263"/>
  <c r="AS62" i="263"/>
  <c r="AR62" i="263"/>
  <c r="AQ62" i="263"/>
  <c r="AO62" i="263"/>
  <c r="AO64" i="263"/>
  <c r="AN62" i="263"/>
  <c r="AM62" i="263"/>
  <c r="AL62" i="263"/>
  <c r="AH62" i="263"/>
  <c r="AD62" i="263"/>
  <c r="E62" i="263"/>
  <c r="D62" i="263"/>
  <c r="D64" i="263"/>
  <c r="AW61" i="263"/>
  <c r="AV61" i="263"/>
  <c r="AU61" i="263"/>
  <c r="AS61" i="263"/>
  <c r="AR61" i="263"/>
  <c r="AQ61" i="263"/>
  <c r="AQ64" i="263"/>
  <c r="AL61" i="263"/>
  <c r="AD61" i="263"/>
  <c r="AK60" i="263"/>
  <c r="AI60" i="263"/>
  <c r="AL60" i="263"/>
  <c r="AG60" i="263"/>
  <c r="AH60" i="263"/>
  <c r="AC60" i="263"/>
  <c r="AA60" i="263"/>
  <c r="AW59" i="263"/>
  <c r="AV59" i="263"/>
  <c r="AU59" i="263"/>
  <c r="AS59" i="263"/>
  <c r="AR59" i="263"/>
  <c r="AQ59" i="263"/>
  <c r="AO59" i="263"/>
  <c r="AN59" i="263"/>
  <c r="AM59" i="263"/>
  <c r="AL59" i="263"/>
  <c r="AL71" i="263"/>
  <c r="AD59" i="263"/>
  <c r="E59" i="263"/>
  <c r="D59" i="263"/>
  <c r="AW58" i="263"/>
  <c r="AW70" i="263"/>
  <c r="AV58" i="263"/>
  <c r="AV70" i="263"/>
  <c r="AU58" i="263"/>
  <c r="AS58" i="263"/>
  <c r="AR58" i="263"/>
  <c r="AQ58" i="263"/>
  <c r="AQ70" i="263"/>
  <c r="AO58" i="263"/>
  <c r="AN58" i="263"/>
  <c r="AM58" i="263"/>
  <c r="AL58" i="263"/>
  <c r="AL70" i="263"/>
  <c r="AH58" i="263"/>
  <c r="AH70" i="263"/>
  <c r="AD58" i="263"/>
  <c r="E58" i="263"/>
  <c r="E70" i="263"/>
  <c r="D58" i="263"/>
  <c r="AW57" i="263"/>
  <c r="AW60" i="263"/>
  <c r="AV57" i="263"/>
  <c r="AV69" i="263"/>
  <c r="AU57" i="263"/>
  <c r="AX57" i="263"/>
  <c r="AS57" i="263"/>
  <c r="AR57" i="263"/>
  <c r="AR69" i="263"/>
  <c r="AQ57" i="263"/>
  <c r="AO57" i="263"/>
  <c r="AN57" i="263"/>
  <c r="AM57" i="263"/>
  <c r="AM60" i="263"/>
  <c r="AD57" i="263"/>
  <c r="AD69" i="263"/>
  <c r="AK54" i="263"/>
  <c r="AJ54" i="263"/>
  <c r="AI54" i="263"/>
  <c r="AG54" i="263"/>
  <c r="AF54" i="263"/>
  <c r="AE54" i="263"/>
  <c r="AC54" i="263"/>
  <c r="AB54" i="263"/>
  <c r="AB76" i="263"/>
  <c r="AA54" i="263"/>
  <c r="AK53" i="263"/>
  <c r="AJ53" i="263"/>
  <c r="AI53" i="263"/>
  <c r="AG53" i="263"/>
  <c r="AF53" i="263"/>
  <c r="AE53" i="263"/>
  <c r="AC53" i="263"/>
  <c r="AB53" i="263"/>
  <c r="AB75" i="263"/>
  <c r="AA53" i="263"/>
  <c r="AK52" i="263"/>
  <c r="AK74" i="263"/>
  <c r="AJ52" i="263"/>
  <c r="AJ74" i="263"/>
  <c r="AI52" i="263"/>
  <c r="AI74" i="263"/>
  <c r="AG52" i="263"/>
  <c r="AF52" i="263"/>
  <c r="AF74" i="263"/>
  <c r="AE52" i="263"/>
  <c r="AC52" i="263"/>
  <c r="AC55" i="263"/>
  <c r="AB52" i="263"/>
  <c r="AA52" i="263"/>
  <c r="AA74" i="263"/>
  <c r="AK51" i="263"/>
  <c r="AJ51" i="263"/>
  <c r="AI51" i="263"/>
  <c r="AG51" i="263"/>
  <c r="AF51" i="263"/>
  <c r="AE51" i="263"/>
  <c r="AC51" i="263"/>
  <c r="AB51" i="263"/>
  <c r="AA51" i="263"/>
  <c r="AW50" i="263"/>
  <c r="AV50" i="263"/>
  <c r="AU50" i="263"/>
  <c r="AS50" i="263"/>
  <c r="AR50" i="263"/>
  <c r="AQ50" i="263"/>
  <c r="AO50" i="263"/>
  <c r="AN50" i="263"/>
  <c r="AM50" i="263"/>
  <c r="AM54" i="263"/>
  <c r="AL50" i="263"/>
  <c r="AH50" i="263"/>
  <c r="AD50" i="263"/>
  <c r="E50" i="263"/>
  <c r="E54" i="263"/>
  <c r="D50" i="263"/>
  <c r="D54" i="263"/>
  <c r="C50" i="263"/>
  <c r="AW49" i="263"/>
  <c r="AV49" i="263"/>
  <c r="AU49" i="263"/>
  <c r="AS49" i="263"/>
  <c r="AR49" i="263"/>
  <c r="AQ49" i="263"/>
  <c r="AO49" i="263"/>
  <c r="AN49" i="263"/>
  <c r="AN53" i="263"/>
  <c r="AM49" i="263"/>
  <c r="AM53" i="263"/>
  <c r="AL49" i="263"/>
  <c r="AH49" i="263"/>
  <c r="AD49" i="263"/>
  <c r="E49" i="263"/>
  <c r="D49" i="263"/>
  <c r="C49" i="263"/>
  <c r="AW48" i="263"/>
  <c r="AV48" i="263"/>
  <c r="AU48" i="263"/>
  <c r="AS48" i="263"/>
  <c r="AR48" i="263"/>
  <c r="AR52" i="263"/>
  <c r="AQ48" i="263"/>
  <c r="AQ52" i="263"/>
  <c r="AO48" i="263"/>
  <c r="AN48" i="263"/>
  <c r="AN52" i="263"/>
  <c r="AM48" i="263"/>
  <c r="AL48" i="263"/>
  <c r="AH48" i="263"/>
  <c r="AD48" i="263"/>
  <c r="E48" i="263"/>
  <c r="D48" i="263"/>
  <c r="D52" i="263"/>
  <c r="D74" i="263"/>
  <c r="C48" i="263"/>
  <c r="AK47" i="263"/>
  <c r="AI47" i="263"/>
  <c r="AL47" i="263"/>
  <c r="AG47" i="263"/>
  <c r="AH47" i="263"/>
  <c r="AC47" i="263"/>
  <c r="AB47" i="263"/>
  <c r="AA47" i="263"/>
  <c r="AW46" i="263"/>
  <c r="AV46" i="263"/>
  <c r="AU46" i="263"/>
  <c r="AS46" i="263"/>
  <c r="AR46" i="263"/>
  <c r="AQ46" i="263"/>
  <c r="AO46" i="263"/>
  <c r="AP46" i="263"/>
  <c r="AL46" i="263"/>
  <c r="AH46" i="263"/>
  <c r="AD46" i="263"/>
  <c r="AD54" i="263"/>
  <c r="AW45" i="263"/>
  <c r="AV45" i="263"/>
  <c r="AU45" i="263"/>
  <c r="AS45" i="263"/>
  <c r="AT45" i="263"/>
  <c r="AO45" i="263"/>
  <c r="AL45" i="263"/>
  <c r="AH45" i="263"/>
  <c r="AD45" i="263"/>
  <c r="E45" i="263"/>
  <c r="C45" i="263"/>
  <c r="AW44" i="263"/>
  <c r="AV44" i="263"/>
  <c r="AU44" i="263"/>
  <c r="AS44" i="263"/>
  <c r="AT44" i="263"/>
  <c r="AO44" i="263"/>
  <c r="AP44" i="263"/>
  <c r="AL44" i="263"/>
  <c r="AH44" i="263"/>
  <c r="AH52" i="263"/>
  <c r="AD44" i="263"/>
  <c r="AD52" i="263"/>
  <c r="E44" i="263"/>
  <c r="C44" i="263"/>
  <c r="AO43" i="263"/>
  <c r="AN43" i="263"/>
  <c r="AM43" i="263"/>
  <c r="AK43" i="263"/>
  <c r="AJ43" i="263"/>
  <c r="AI43" i="263"/>
  <c r="AG43" i="263"/>
  <c r="AF43" i="263"/>
  <c r="AE43" i="263"/>
  <c r="AC43" i="263"/>
  <c r="AB43" i="263"/>
  <c r="AA43" i="263"/>
  <c r="AW42" i="263"/>
  <c r="AV42" i="263"/>
  <c r="AU42" i="263"/>
  <c r="AU54" i="263"/>
  <c r="AS42" i="263"/>
  <c r="AS54" i="263"/>
  <c r="AR42" i="263"/>
  <c r="AQ42" i="263"/>
  <c r="AP42" i="263"/>
  <c r="AL42" i="263"/>
  <c r="AL54" i="263"/>
  <c r="AH42" i="263"/>
  <c r="AW41" i="263"/>
  <c r="AV41" i="263"/>
  <c r="AV43" i="263"/>
  <c r="AU41" i="263"/>
  <c r="AS41" i="263"/>
  <c r="AR41" i="263"/>
  <c r="AQ41" i="263"/>
  <c r="AQ43" i="263"/>
  <c r="AP41" i="263"/>
  <c r="AL41" i="263"/>
  <c r="AH41" i="263"/>
  <c r="AD41" i="263"/>
  <c r="AD53" i="263"/>
  <c r="E41" i="263"/>
  <c r="D41" i="263"/>
  <c r="C41" i="263"/>
  <c r="C53" i="263"/>
  <c r="AI38" i="263"/>
  <c r="AL38" i="263"/>
  <c r="AO37" i="263"/>
  <c r="AN37" i="263"/>
  <c r="AM37" i="263"/>
  <c r="AL37" i="263"/>
  <c r="AO36" i="263"/>
  <c r="AM36" i="263"/>
  <c r="AL36" i="263"/>
  <c r="AO35" i="263"/>
  <c r="AN35" i="263"/>
  <c r="AM35" i="263"/>
  <c r="AO34" i="263"/>
  <c r="AN34" i="263"/>
  <c r="AW33" i="263"/>
  <c r="AV33" i="263"/>
  <c r="AU33" i="263"/>
  <c r="AS33" i="263"/>
  <c r="AR33" i="263"/>
  <c r="AQ33" i="263"/>
  <c r="AP33" i="263"/>
  <c r="AW32" i="263"/>
  <c r="AV32" i="263"/>
  <c r="AU32" i="263"/>
  <c r="AS32" i="263"/>
  <c r="AR32" i="263"/>
  <c r="AQ32" i="263"/>
  <c r="AP32" i="263"/>
  <c r="AW31" i="263"/>
  <c r="AW35" i="263"/>
  <c r="AV31" i="263"/>
  <c r="AU31" i="263"/>
  <c r="AU35" i="263"/>
  <c r="AS31" i="263"/>
  <c r="AR31" i="263"/>
  <c r="AQ31" i="263"/>
  <c r="AP31" i="263"/>
  <c r="AO30" i="263"/>
  <c r="AP30" i="263"/>
  <c r="AW28" i="263"/>
  <c r="AW30" i="263"/>
  <c r="AV28" i="263"/>
  <c r="AV30" i="263"/>
  <c r="AU28" i="263"/>
  <c r="AQ28" i="263"/>
  <c r="AQ30" i="263"/>
  <c r="AT30" i="263"/>
  <c r="AP28" i="263"/>
  <c r="AM26" i="263"/>
  <c r="AP26" i="263"/>
  <c r="AI26" i="263"/>
  <c r="AL26" i="263"/>
  <c r="AW25" i="263"/>
  <c r="AV25" i="263"/>
  <c r="AU25" i="263"/>
  <c r="AS25" i="263"/>
  <c r="AS37" i="263"/>
  <c r="AR25" i="263"/>
  <c r="AQ25" i="263"/>
  <c r="AP25" i="263"/>
  <c r="AL25" i="263"/>
  <c r="AW24" i="263"/>
  <c r="AV24" i="263"/>
  <c r="AU24" i="263"/>
  <c r="AU26" i="263"/>
  <c r="AS24" i="263"/>
  <c r="AS36" i="263"/>
  <c r="AR24" i="263"/>
  <c r="AQ24" i="263"/>
  <c r="AQ26" i="263"/>
  <c r="AP24" i="263"/>
  <c r="AL24" i="263"/>
  <c r="AK20" i="263"/>
  <c r="AK76" i="263"/>
  <c r="AJ20" i="263"/>
  <c r="AI20" i="263"/>
  <c r="AI76" i="263"/>
  <c r="AG20" i="263"/>
  <c r="AG76" i="263"/>
  <c r="AF20" i="263"/>
  <c r="AF76" i="263"/>
  <c r="AE20" i="263"/>
  <c r="AE76" i="263"/>
  <c r="AC20" i="263"/>
  <c r="AC76" i="263"/>
  <c r="AA20" i="263"/>
  <c r="Y20" i="263"/>
  <c r="Y76" i="263"/>
  <c r="X20" i="263"/>
  <c r="X76" i="263"/>
  <c r="N20" i="263"/>
  <c r="AK19" i="263"/>
  <c r="AK75" i="263"/>
  <c r="AJ19" i="263"/>
  <c r="AJ75" i="263"/>
  <c r="AI19" i="263"/>
  <c r="AG19" i="263"/>
  <c r="AG75" i="263"/>
  <c r="AF19" i="263"/>
  <c r="AF75" i="263"/>
  <c r="AE19" i="263"/>
  <c r="AC19" i="263"/>
  <c r="AC75" i="263"/>
  <c r="AA19" i="263"/>
  <c r="AA21" i="263"/>
  <c r="Y19" i="263"/>
  <c r="Y75" i="263"/>
  <c r="W19" i="263"/>
  <c r="W75" i="263"/>
  <c r="N19" i="263"/>
  <c r="AG18" i="263"/>
  <c r="AC18" i="263"/>
  <c r="Y18" i="263"/>
  <c r="N18" i="263"/>
  <c r="AV17" i="263"/>
  <c r="AU17" i="263"/>
  <c r="AK17" i="263"/>
  <c r="AJ17" i="263"/>
  <c r="AI17" i="263"/>
  <c r="AG17" i="263"/>
  <c r="AH17" i="263"/>
  <c r="AC17" i="263"/>
  <c r="AD17" i="263"/>
  <c r="Y17" i="263"/>
  <c r="Z17" i="263"/>
  <c r="AW16" i="263"/>
  <c r="AX16" i="263"/>
  <c r="AS16" i="263"/>
  <c r="AT16" i="263"/>
  <c r="AO16" i="263"/>
  <c r="AP16" i="263"/>
  <c r="AL16" i="263"/>
  <c r="AH16" i="263"/>
  <c r="AD16" i="263"/>
  <c r="Z16" i="263"/>
  <c r="AW15" i="263"/>
  <c r="AX15" i="263"/>
  <c r="AS15" i="263"/>
  <c r="AO15" i="263"/>
  <c r="AP15" i="263"/>
  <c r="AH15" i="263"/>
  <c r="AD15" i="263"/>
  <c r="Z15" i="263"/>
  <c r="AW14" i="263"/>
  <c r="AS14" i="263"/>
  <c r="AT14" i="263"/>
  <c r="AO14" i="263"/>
  <c r="AH14" i="263"/>
  <c r="AH18" i="263"/>
  <c r="AD14" i="263"/>
  <c r="Z14" i="263"/>
  <c r="AJ13" i="263"/>
  <c r="AL13" i="263"/>
  <c r="AG13" i="263"/>
  <c r="AF13" i="263"/>
  <c r="AC13" i="263"/>
  <c r="AD13" i="263"/>
  <c r="Y13" i="263"/>
  <c r="W13" i="263"/>
  <c r="AW12" i="263"/>
  <c r="AV12" i="263"/>
  <c r="AU12" i="263"/>
  <c r="AS12" i="263"/>
  <c r="AR12" i="263"/>
  <c r="AQ12" i="263"/>
  <c r="AO12" i="263"/>
  <c r="AN12" i="263"/>
  <c r="AM12" i="263"/>
  <c r="AL12" i="263"/>
  <c r="AH12" i="263"/>
  <c r="AH20" i="263"/>
  <c r="AD12" i="263"/>
  <c r="AW11" i="263"/>
  <c r="AV11" i="263"/>
  <c r="AU11" i="263"/>
  <c r="AS11" i="263"/>
  <c r="AR11" i="263"/>
  <c r="AQ11" i="263"/>
  <c r="AO11" i="263"/>
  <c r="AN11" i="263"/>
  <c r="AM11" i="263"/>
  <c r="AL11" i="263"/>
  <c r="AH11" i="263"/>
  <c r="AH19" i="263"/>
  <c r="AD11" i="263"/>
  <c r="Z11" i="263"/>
  <c r="AW10" i="263"/>
  <c r="AV10" i="263"/>
  <c r="AV18" i="263"/>
  <c r="AU10" i="263"/>
  <c r="AS10" i="263"/>
  <c r="AS13" i="263"/>
  <c r="AR10" i="263"/>
  <c r="AQ10" i="263"/>
  <c r="AO10" i="263"/>
  <c r="AN10" i="263"/>
  <c r="AM10" i="263"/>
  <c r="AL10" i="263"/>
  <c r="AL18" i="263"/>
  <c r="AD10" i="263"/>
  <c r="Z10" i="263"/>
  <c r="Z18" i="263"/>
  <c r="Z74" i="263"/>
  <c r="AK9" i="263"/>
  <c r="AJ9" i="263"/>
  <c r="AI9" i="263"/>
  <c r="AG9" i="263"/>
  <c r="AF9" i="263"/>
  <c r="AE9" i="263"/>
  <c r="AC9" i="263"/>
  <c r="AA9" i="263"/>
  <c r="Y9" i="263"/>
  <c r="X9" i="263"/>
  <c r="W9" i="263"/>
  <c r="AW8" i="263"/>
  <c r="AV8" i="263"/>
  <c r="AV20" i="263"/>
  <c r="AU8" i="263"/>
  <c r="AU20" i="263"/>
  <c r="AS8" i="263"/>
  <c r="AS20" i="263"/>
  <c r="AR8" i="263"/>
  <c r="AQ8" i="263"/>
  <c r="AO8" i="263"/>
  <c r="AO20" i="263"/>
  <c r="AN8" i="263"/>
  <c r="AM8" i="263"/>
  <c r="AM20" i="263"/>
  <c r="AL8" i="263"/>
  <c r="AL20" i="263"/>
  <c r="AD8" i="263"/>
  <c r="AD20" i="263"/>
  <c r="Z8" i="263"/>
  <c r="Z20" i="263"/>
  <c r="Z76" i="263"/>
  <c r="AW7" i="263"/>
  <c r="AW19" i="263"/>
  <c r="AV7" i="263"/>
  <c r="AU7" i="263"/>
  <c r="AS7" i="263"/>
  <c r="AS9" i="263"/>
  <c r="AR7" i="263"/>
  <c r="AQ7" i="263"/>
  <c r="AQ19" i="263"/>
  <c r="AL7" i="263"/>
  <c r="AL19" i="263"/>
  <c r="AD7" i="263"/>
  <c r="AD19" i="263"/>
  <c r="Z7" i="263"/>
  <c r="Z19" i="263"/>
  <c r="Z75" i="263"/>
  <c r="N6" i="263"/>
  <c r="AY127" i="273"/>
  <c r="AX127" i="273"/>
  <c r="AW127" i="273"/>
  <c r="AU127" i="273"/>
  <c r="AT127" i="273"/>
  <c r="AS127" i="273"/>
  <c r="AQ127" i="273"/>
  <c r="AP127" i="273"/>
  <c r="AO127" i="273"/>
  <c r="AZ126" i="273"/>
  <c r="AV126" i="273"/>
  <c r="AR126" i="273"/>
  <c r="AZ125" i="273"/>
  <c r="AV125" i="273"/>
  <c r="AR125" i="273"/>
  <c r="AZ124" i="273"/>
  <c r="AZ127" i="273"/>
  <c r="AV124" i="273"/>
  <c r="AR124" i="273"/>
  <c r="AY123" i="273"/>
  <c r="AX123" i="273"/>
  <c r="AW123" i="273"/>
  <c r="AU123" i="273"/>
  <c r="AT123" i="273"/>
  <c r="AS123" i="273"/>
  <c r="AQ123" i="273"/>
  <c r="AP123" i="273"/>
  <c r="AO123" i="273"/>
  <c r="AZ122" i="273"/>
  <c r="AZ123" i="273"/>
  <c r="AV122" i="273"/>
  <c r="AV123" i="273"/>
  <c r="AR122" i="273"/>
  <c r="AR123" i="273"/>
  <c r="AY121" i="273"/>
  <c r="AX121" i="273"/>
  <c r="AW121" i="273"/>
  <c r="AU121" i="273"/>
  <c r="AT121" i="273"/>
  <c r="AS121" i="273"/>
  <c r="AQ121" i="273"/>
  <c r="AP121" i="273"/>
  <c r="AO121" i="273"/>
  <c r="AM121" i="273"/>
  <c r="AM128" i="273"/>
  <c r="AL121" i="273"/>
  <c r="AL128" i="273"/>
  <c r="AK121" i="273"/>
  <c r="AK128" i="273"/>
  <c r="AZ120" i="273"/>
  <c r="AV120" i="273"/>
  <c r="AR120" i="273"/>
  <c r="AN120" i="273"/>
  <c r="AZ119" i="273"/>
  <c r="AZ121" i="273"/>
  <c r="AV119" i="273"/>
  <c r="AV121" i="273"/>
  <c r="AR119" i="273"/>
  <c r="AR121" i="273"/>
  <c r="AN119" i="273"/>
  <c r="AY117" i="273"/>
  <c r="AX117" i="273"/>
  <c r="AW117" i="273"/>
  <c r="AU117" i="273"/>
  <c r="AT117" i="273"/>
  <c r="AS117" i="273"/>
  <c r="AQ117" i="273"/>
  <c r="AP117" i="273"/>
  <c r="AO117" i="273"/>
  <c r="AM117" i="273"/>
  <c r="AL117" i="273"/>
  <c r="AK117" i="273"/>
  <c r="AI117" i="273"/>
  <c r="AH117" i="273"/>
  <c r="AG117" i="273"/>
  <c r="AE117" i="273"/>
  <c r="AD117" i="273"/>
  <c r="AC117" i="273"/>
  <c r="AA117" i="273"/>
  <c r="Z117" i="273"/>
  <c r="Y117" i="273"/>
  <c r="W117" i="273"/>
  <c r="V117" i="273"/>
  <c r="U117" i="273"/>
  <c r="S117" i="273"/>
  <c r="R117" i="273"/>
  <c r="Q117" i="273"/>
  <c r="O117" i="273"/>
  <c r="N117" i="273"/>
  <c r="M117" i="273"/>
  <c r="K117" i="273"/>
  <c r="J117" i="273"/>
  <c r="I117" i="273"/>
  <c r="G117" i="273"/>
  <c r="F117" i="273"/>
  <c r="E117" i="273"/>
  <c r="AZ116" i="273"/>
  <c r="AV116" i="273"/>
  <c r="AR116" i="273"/>
  <c r="AN116" i="273"/>
  <c r="AJ116" i="273"/>
  <c r="AF116" i="273"/>
  <c r="AB116" i="273"/>
  <c r="X116" i="273"/>
  <c r="T116" i="273"/>
  <c r="L116" i="273"/>
  <c r="AZ115" i="273"/>
  <c r="AV115" i="273"/>
  <c r="AR115" i="273"/>
  <c r="AN115" i="273"/>
  <c r="AF115" i="273"/>
  <c r="AZ114" i="273"/>
  <c r="AV114" i="273"/>
  <c r="AR114" i="273"/>
  <c r="AN114" i="273"/>
  <c r="AF114" i="273"/>
  <c r="AZ113" i="273"/>
  <c r="AV113" i="273"/>
  <c r="AR113" i="273"/>
  <c r="AN113" i="273"/>
  <c r="AJ113" i="273"/>
  <c r="AJ117" i="273"/>
  <c r="AF113" i="273"/>
  <c r="AB113" i="273"/>
  <c r="X113" i="273"/>
  <c r="X117" i="273"/>
  <c r="T113" i="273"/>
  <c r="T117" i="273"/>
  <c r="P113" i="273"/>
  <c r="P117" i="273"/>
  <c r="L113" i="273"/>
  <c r="H113" i="273"/>
  <c r="H117" i="273"/>
  <c r="AY112" i="273"/>
  <c r="AX112" i="273"/>
  <c r="AW112" i="273"/>
  <c r="AU112" i="273"/>
  <c r="AT112" i="273"/>
  <c r="AS112" i="273"/>
  <c r="AQ112" i="273"/>
  <c r="AP112" i="273"/>
  <c r="AO112" i="273"/>
  <c r="AM112" i="273"/>
  <c r="AL112" i="273"/>
  <c r="AK112" i="273"/>
  <c r="AI112" i="273"/>
  <c r="AH112" i="273"/>
  <c r="AG112" i="273"/>
  <c r="AE112" i="273"/>
  <c r="AD112" i="273"/>
  <c r="AC112" i="273"/>
  <c r="AA112" i="273"/>
  <c r="Z112" i="273"/>
  <c r="Y112" i="273"/>
  <c r="W112" i="273"/>
  <c r="V112" i="273"/>
  <c r="U112" i="273"/>
  <c r="S112" i="273"/>
  <c r="R112" i="273"/>
  <c r="Q112" i="273"/>
  <c r="O112" i="273"/>
  <c r="N112" i="273"/>
  <c r="M112" i="273"/>
  <c r="K112" i="273"/>
  <c r="J112" i="273"/>
  <c r="I112" i="273"/>
  <c r="G112" i="273"/>
  <c r="F112" i="273"/>
  <c r="E112" i="273"/>
  <c r="AZ111" i="273"/>
  <c r="AV111" i="273"/>
  <c r="AZ110" i="273"/>
  <c r="AR110" i="273"/>
  <c r="AJ110" i="273"/>
  <c r="AF110" i="273"/>
  <c r="X110" i="273"/>
  <c r="T110" i="273"/>
  <c r="P110" i="273"/>
  <c r="L110" i="273"/>
  <c r="H110" i="273"/>
  <c r="AZ109" i="273"/>
  <c r="AV109" i="273"/>
  <c r="AR109" i="273"/>
  <c r="AN109" i="273"/>
  <c r="AJ109" i="273"/>
  <c r="AF109" i="273"/>
  <c r="AB109" i="273"/>
  <c r="X109" i="273"/>
  <c r="T109" i="273"/>
  <c r="P109" i="273"/>
  <c r="L109" i="273"/>
  <c r="H109" i="273"/>
  <c r="AZ108" i="273"/>
  <c r="AZ107" i="273"/>
  <c r="AV107" i="273"/>
  <c r="AR107" i="273"/>
  <c r="AN107" i="273"/>
  <c r="AJ107" i="273"/>
  <c r="AF107" i="273"/>
  <c r="AB107" i="273"/>
  <c r="X107" i="273"/>
  <c r="T107" i="273"/>
  <c r="P107" i="273"/>
  <c r="L107" i="273"/>
  <c r="H107" i="273"/>
  <c r="AZ106" i="273"/>
  <c r="AV106" i="273"/>
  <c r="AR106" i="273"/>
  <c r="AN106" i="273"/>
  <c r="AJ106" i="273"/>
  <c r="AF106" i="273"/>
  <c r="AB106" i="273"/>
  <c r="X106" i="273"/>
  <c r="T106" i="273"/>
  <c r="P106" i="273"/>
  <c r="L106" i="273"/>
  <c r="H106" i="273"/>
  <c r="AZ105" i="273"/>
  <c r="AR105" i="273"/>
  <c r="AJ105" i="273"/>
  <c r="X105" i="273"/>
  <c r="P105" i="273"/>
  <c r="H105" i="273"/>
  <c r="AZ104" i="273"/>
  <c r="AV104" i="273"/>
  <c r="AN104" i="273"/>
  <c r="AJ104" i="273"/>
  <c r="AB104" i="273"/>
  <c r="T104" i="273"/>
  <c r="P104" i="273"/>
  <c r="H104" i="273"/>
  <c r="AZ103" i="273"/>
  <c r="AV103" i="273"/>
  <c r="AR103" i="273"/>
  <c r="AN103" i="273"/>
  <c r="AJ103" i="273"/>
  <c r="AF103" i="273"/>
  <c r="AB103" i="273"/>
  <c r="X103" i="273"/>
  <c r="T103" i="273"/>
  <c r="P103" i="273"/>
  <c r="L103" i="273"/>
  <c r="AZ102" i="273"/>
  <c r="AV102" i="273"/>
  <c r="AN102" i="273"/>
  <c r="AF102" i="273"/>
  <c r="X102" i="273"/>
  <c r="P102" i="273"/>
  <c r="L102" i="273"/>
  <c r="H102" i="273"/>
  <c r="AZ101" i="273"/>
  <c r="AZ100" i="273"/>
  <c r="AB100" i="273"/>
  <c r="L100" i="273"/>
  <c r="AZ99" i="273"/>
  <c r="AV99" i="273"/>
  <c r="AN99" i="273"/>
  <c r="AJ99" i="273"/>
  <c r="AF99" i="273"/>
  <c r="X99" i="273"/>
  <c r="T99" i="273"/>
  <c r="L99" i="273"/>
  <c r="AY98" i="273"/>
  <c r="AX98" i="273"/>
  <c r="AW98" i="273"/>
  <c r="AU98" i="273"/>
  <c r="AT98" i="273"/>
  <c r="AS98" i="273"/>
  <c r="AQ98" i="273"/>
  <c r="AP98" i="273"/>
  <c r="AO98" i="273"/>
  <c r="AM98" i="273"/>
  <c r="AL98" i="273"/>
  <c r="AK98" i="273"/>
  <c r="AI98" i="273"/>
  <c r="AH98" i="273"/>
  <c r="AG98" i="273"/>
  <c r="AE98" i="273"/>
  <c r="AD98" i="273"/>
  <c r="AC98" i="273"/>
  <c r="AA98" i="273"/>
  <c r="Z98" i="273"/>
  <c r="Y98" i="273"/>
  <c r="W98" i="273"/>
  <c r="V98" i="273"/>
  <c r="U98" i="273"/>
  <c r="S98" i="273"/>
  <c r="R98" i="273"/>
  <c r="Q98" i="273"/>
  <c r="O98" i="273"/>
  <c r="N98" i="273"/>
  <c r="M98" i="273"/>
  <c r="K98" i="273"/>
  <c r="J98" i="273"/>
  <c r="I98" i="273"/>
  <c r="I118" i="273"/>
  <c r="G98" i="273"/>
  <c r="F98" i="273"/>
  <c r="E98" i="273"/>
  <c r="AZ97" i="273"/>
  <c r="AV97" i="273"/>
  <c r="AN97" i="273"/>
  <c r="AF97" i="273"/>
  <c r="AB97" i="273"/>
  <c r="X97" i="273"/>
  <c r="P97" i="273"/>
  <c r="AZ96" i="273"/>
  <c r="AV96" i="273"/>
  <c r="AR96" i="273"/>
  <c r="AN96" i="273"/>
  <c r="AF96" i="273"/>
  <c r="AB96" i="273"/>
  <c r="P96" i="273"/>
  <c r="L96" i="273"/>
  <c r="AZ95" i="273"/>
  <c r="AV95" i="273"/>
  <c r="AN95" i="273"/>
  <c r="AF95" i="273"/>
  <c r="X95" i="273"/>
  <c r="P95" i="273"/>
  <c r="H95" i="273"/>
  <c r="AZ94" i="273"/>
  <c r="AR94" i="273"/>
  <c r="AZ93" i="273"/>
  <c r="AV93" i="273"/>
  <c r="AR93" i="273"/>
  <c r="AN93" i="273"/>
  <c r="AF93" i="273"/>
  <c r="AB93" i="273"/>
  <c r="T93" i="273"/>
  <c r="P93" i="273"/>
  <c r="L93" i="273"/>
  <c r="AZ92" i="273"/>
  <c r="AR92" i="273"/>
  <c r="AJ92" i="273"/>
  <c r="AB92" i="273"/>
  <c r="T92" i="273"/>
  <c r="L92" i="273"/>
  <c r="AZ91" i="273"/>
  <c r="AR91" i="273"/>
  <c r="AJ91" i="273"/>
  <c r="AB91" i="273"/>
  <c r="T91" i="273"/>
  <c r="L91" i="273"/>
  <c r="AZ90" i="273"/>
  <c r="AR90" i="273"/>
  <c r="AJ90" i="273"/>
  <c r="AB90" i="273"/>
  <c r="T90" i="273"/>
  <c r="L90" i="273"/>
  <c r="AZ89" i="273"/>
  <c r="AR89" i="273"/>
  <c r="AJ89" i="273"/>
  <c r="AB89" i="273"/>
  <c r="T89" i="273"/>
  <c r="L89" i="273"/>
  <c r="AZ88" i="273"/>
  <c r="AR88" i="273"/>
  <c r="AJ88" i="273"/>
  <c r="AB88" i="273"/>
  <c r="T88" i="273"/>
  <c r="L88" i="273"/>
  <c r="H88" i="273"/>
  <c r="AZ87" i="273"/>
  <c r="AN87" i="273"/>
  <c r="AF87" i="273"/>
  <c r="AF98" i="273"/>
  <c r="X87" i="273"/>
  <c r="H87" i="273"/>
  <c r="H98" i="273"/>
  <c r="AZ86" i="273"/>
  <c r="AJ86" i="273"/>
  <c r="AJ98" i="273"/>
  <c r="X86" i="273"/>
  <c r="L86" i="273"/>
  <c r="AZ85" i="273"/>
  <c r="AV85" i="273"/>
  <c r="AV98" i="273"/>
  <c r="P85" i="273"/>
  <c r="AZ84" i="273"/>
  <c r="AR84" i="273"/>
  <c r="AB84" i="273"/>
  <c r="T84" i="273"/>
  <c r="AY82" i="273"/>
  <c r="AX82" i="273"/>
  <c r="AW82" i="273"/>
  <c r="AU82" i="273"/>
  <c r="AT82" i="273"/>
  <c r="AS82" i="273"/>
  <c r="AQ82" i="273"/>
  <c r="AP82" i="273"/>
  <c r="AO82" i="273"/>
  <c r="AM82" i="273"/>
  <c r="AL82" i="273"/>
  <c r="AK82" i="273"/>
  <c r="AI82" i="273"/>
  <c r="AH82" i="273"/>
  <c r="AG82" i="273"/>
  <c r="AE82" i="273"/>
  <c r="AD82" i="273"/>
  <c r="AC82" i="273"/>
  <c r="AA82" i="273"/>
  <c r="Z82" i="273"/>
  <c r="Y82" i="273"/>
  <c r="W82" i="273"/>
  <c r="V82" i="273"/>
  <c r="U82" i="273"/>
  <c r="S82" i="273"/>
  <c r="R82" i="273"/>
  <c r="Q82" i="273"/>
  <c r="O82" i="273"/>
  <c r="N82" i="273"/>
  <c r="M82" i="273"/>
  <c r="K82" i="273"/>
  <c r="J82" i="273"/>
  <c r="I82" i="273"/>
  <c r="G82" i="273"/>
  <c r="F82" i="273"/>
  <c r="E82" i="273"/>
  <c r="AZ81" i="273"/>
  <c r="AV81" i="273"/>
  <c r="AR81" i="273"/>
  <c r="AN81" i="273"/>
  <c r="AJ81" i="273"/>
  <c r="AF81" i="273"/>
  <c r="AB81" i="273"/>
  <c r="X81" i="273"/>
  <c r="T81" i="273"/>
  <c r="P81" i="273"/>
  <c r="L81" i="273"/>
  <c r="H81" i="273"/>
  <c r="AZ80" i="273"/>
  <c r="AV80" i="273"/>
  <c r="AR80" i="273"/>
  <c r="AN80" i="273"/>
  <c r="AJ80" i="273"/>
  <c r="AF80" i="273"/>
  <c r="AB80" i="273"/>
  <c r="AZ79" i="273"/>
  <c r="AV79" i="273"/>
  <c r="AR79" i="273"/>
  <c r="AN79" i="273"/>
  <c r="AJ79" i="273"/>
  <c r="AF79" i="273"/>
  <c r="AB79" i="273"/>
  <c r="AZ78" i="273"/>
  <c r="AV78" i="273"/>
  <c r="AR78" i="273"/>
  <c r="AN78" i="273"/>
  <c r="AJ78" i="273"/>
  <c r="AF78" i="273"/>
  <c r="AB78" i="273"/>
  <c r="X78" i="273"/>
  <c r="T78" i="273"/>
  <c r="P78" i="273"/>
  <c r="L78" i="273"/>
  <c r="H78" i="273"/>
  <c r="AZ77" i="273"/>
  <c r="AR77" i="273"/>
  <c r="AN77" i="273"/>
  <c r="AJ77" i="273"/>
  <c r="AF77" i="273"/>
  <c r="AB77" i="273"/>
  <c r="X77" i="273"/>
  <c r="T77" i="273"/>
  <c r="P77" i="273"/>
  <c r="L77" i="273"/>
  <c r="H77" i="273"/>
  <c r="AZ76" i="273"/>
  <c r="AV76" i="273"/>
  <c r="AR76" i="273"/>
  <c r="AZ75" i="273"/>
  <c r="AR75" i="273"/>
  <c r="AN75" i="273"/>
  <c r="AJ75" i="273"/>
  <c r="AF75" i="273"/>
  <c r="AB75" i="273"/>
  <c r="X75" i="273"/>
  <c r="T75" i="273"/>
  <c r="P75" i="273"/>
  <c r="L75" i="273"/>
  <c r="H75" i="273"/>
  <c r="AZ74" i="273"/>
  <c r="AV74" i="273"/>
  <c r="AR74" i="273"/>
  <c r="AN74" i="273"/>
  <c r="AJ74" i="273"/>
  <c r="AF74" i="273"/>
  <c r="AB74" i="273"/>
  <c r="X74" i="273"/>
  <c r="P74" i="273"/>
  <c r="L74" i="273"/>
  <c r="H74" i="273"/>
  <c r="AZ73" i="273"/>
  <c r="AV73" i="273"/>
  <c r="AR73" i="273"/>
  <c r="AN73" i="273"/>
  <c r="AJ73" i="273"/>
  <c r="AJ82" i="273"/>
  <c r="AF73" i="273"/>
  <c r="AB73" i="273"/>
  <c r="X73" i="273"/>
  <c r="T73" i="273"/>
  <c r="P73" i="273"/>
  <c r="L73" i="273"/>
  <c r="H73" i="273"/>
  <c r="AY72" i="273"/>
  <c r="AX72" i="273"/>
  <c r="AW72" i="273"/>
  <c r="AU72" i="273"/>
  <c r="AT72" i="273"/>
  <c r="AS72" i="273"/>
  <c r="AQ72" i="273"/>
  <c r="AP72" i="273"/>
  <c r="AO72" i="273"/>
  <c r="AM72" i="273"/>
  <c r="AL72" i="273"/>
  <c r="AK72" i="273"/>
  <c r="AI72" i="273"/>
  <c r="AH72" i="273"/>
  <c r="AG72" i="273"/>
  <c r="AE72" i="273"/>
  <c r="AD72" i="273"/>
  <c r="AC72" i="273"/>
  <c r="AA72" i="273"/>
  <c r="Z72" i="273"/>
  <c r="Y72" i="273"/>
  <c r="W72" i="273"/>
  <c r="V72" i="273"/>
  <c r="U72" i="273"/>
  <c r="S72" i="273"/>
  <c r="R72" i="273"/>
  <c r="Q72" i="273"/>
  <c r="O72" i="273"/>
  <c r="N72" i="273"/>
  <c r="M72" i="273"/>
  <c r="K72" i="273"/>
  <c r="J72" i="273"/>
  <c r="I72" i="273"/>
  <c r="G72" i="273"/>
  <c r="F72" i="273"/>
  <c r="E72" i="273"/>
  <c r="AZ71" i="273"/>
  <c r="AV71" i="273"/>
  <c r="AZ70" i="273"/>
  <c r="AR70" i="273"/>
  <c r="AN70" i="273"/>
  <c r="AJ70" i="273"/>
  <c r="AF70" i="273"/>
  <c r="AB70" i="273"/>
  <c r="AZ69" i="273"/>
  <c r="AV69" i="273"/>
  <c r="AR69" i="273"/>
  <c r="AN69" i="273"/>
  <c r="AJ69" i="273"/>
  <c r="AB69" i="273"/>
  <c r="AZ68" i="273"/>
  <c r="AV68" i="273"/>
  <c r="AR68" i="273"/>
  <c r="AN68" i="273"/>
  <c r="AJ68" i="273"/>
  <c r="AF68" i="273"/>
  <c r="AB68" i="273"/>
  <c r="AZ67" i="273"/>
  <c r="AV67" i="273"/>
  <c r="AR67" i="273"/>
  <c r="AJ67" i="273"/>
  <c r="AB67" i="273"/>
  <c r="AZ66" i="273"/>
  <c r="T66" i="273"/>
  <c r="P66" i="273"/>
  <c r="L66" i="273"/>
  <c r="H66" i="273"/>
  <c r="AZ65" i="273"/>
  <c r="AR65" i="273"/>
  <c r="AJ65" i="273"/>
  <c r="AB65" i="273"/>
  <c r="X65" i="273"/>
  <c r="T65" i="273"/>
  <c r="P65" i="273"/>
  <c r="L65" i="273"/>
  <c r="H65" i="273"/>
  <c r="AZ64" i="273"/>
  <c r="AR64" i="273"/>
  <c r="AN64" i="273"/>
  <c r="AJ64" i="273"/>
  <c r="AF64" i="273"/>
  <c r="AB64" i="273"/>
  <c r="X64" i="273"/>
  <c r="T64" i="273"/>
  <c r="P64" i="273"/>
  <c r="H64" i="273"/>
  <c r="AZ63" i="273"/>
  <c r="AN63" i="273"/>
  <c r="AB63" i="273"/>
  <c r="X63" i="273"/>
  <c r="T63" i="273"/>
  <c r="P63" i="273"/>
  <c r="L63" i="273"/>
  <c r="H63" i="273"/>
  <c r="AZ62" i="273"/>
  <c r="AJ62" i="273"/>
  <c r="AZ61" i="273"/>
  <c r="AR61" i="273"/>
  <c r="AN61" i="273"/>
  <c r="AJ61" i="273"/>
  <c r="AF61" i="273"/>
  <c r="AB61" i="273"/>
  <c r="X61" i="273"/>
  <c r="T61" i="273"/>
  <c r="P61" i="273"/>
  <c r="P72" i="273"/>
  <c r="L61" i="273"/>
  <c r="H61" i="273"/>
  <c r="AY60" i="273"/>
  <c r="AX60" i="273"/>
  <c r="AW60" i="273"/>
  <c r="AU60" i="273"/>
  <c r="AT60" i="273"/>
  <c r="AS60" i="273"/>
  <c r="AQ60" i="273"/>
  <c r="AP60" i="273"/>
  <c r="AO60" i="273"/>
  <c r="AM60" i="273"/>
  <c r="AL60" i="273"/>
  <c r="AK60" i="273"/>
  <c r="AI60" i="273"/>
  <c r="AH60" i="273"/>
  <c r="AG60" i="273"/>
  <c r="AE60" i="273"/>
  <c r="AD60" i="273"/>
  <c r="AC60" i="273"/>
  <c r="AA60" i="273"/>
  <c r="Z60" i="273"/>
  <c r="Y60" i="273"/>
  <c r="W60" i="273"/>
  <c r="V60" i="273"/>
  <c r="U60" i="273"/>
  <c r="S60" i="273"/>
  <c r="R60" i="273"/>
  <c r="Q60" i="273"/>
  <c r="O60" i="273"/>
  <c r="N60" i="273"/>
  <c r="M60" i="273"/>
  <c r="K60" i="273"/>
  <c r="J60" i="273"/>
  <c r="I60" i="273"/>
  <c r="G60" i="273"/>
  <c r="F60" i="273"/>
  <c r="E60" i="273"/>
  <c r="AZ59" i="273"/>
  <c r="AR59" i="273"/>
  <c r="AJ59" i="273"/>
  <c r="AZ58" i="273"/>
  <c r="AZ57" i="273"/>
  <c r="AR57" i="273"/>
  <c r="AN57" i="273"/>
  <c r="AJ57" i="273"/>
  <c r="AF57" i="273"/>
  <c r="AB57" i="273"/>
  <c r="X57" i="273"/>
  <c r="T57" i="273"/>
  <c r="P57" i="273"/>
  <c r="AZ56" i="273"/>
  <c r="AV56" i="273"/>
  <c r="AR56" i="273"/>
  <c r="AN56" i="273"/>
  <c r="AJ56" i="273"/>
  <c r="AB56" i="273"/>
  <c r="AZ55" i="273"/>
  <c r="AV55" i="273"/>
  <c r="AR55" i="273"/>
  <c r="AN55" i="273"/>
  <c r="AJ55" i="273"/>
  <c r="AB55" i="273"/>
  <c r="AZ54" i="273"/>
  <c r="AV54" i="273"/>
  <c r="AR54" i="273"/>
  <c r="AN54" i="273"/>
  <c r="AJ54" i="273"/>
  <c r="AB54" i="273"/>
  <c r="AZ53" i="273"/>
  <c r="AV53" i="273"/>
  <c r="AR53" i="273"/>
  <c r="AN53" i="273"/>
  <c r="AJ53" i="273"/>
  <c r="AB53" i="273"/>
  <c r="AZ52" i="273"/>
  <c r="AV52" i="273"/>
  <c r="AR52" i="273"/>
  <c r="AN52" i="273"/>
  <c r="AJ52" i="273"/>
  <c r="AB52" i="273"/>
  <c r="AZ51" i="273"/>
  <c r="AV51" i="273"/>
  <c r="AZ50" i="273"/>
  <c r="AV50" i="273"/>
  <c r="AZ49" i="273"/>
  <c r="AV49" i="273"/>
  <c r="AJ49" i="273"/>
  <c r="AF49" i="273"/>
  <c r="AB49" i="273"/>
  <c r="X49" i="273"/>
  <c r="T49" i="273"/>
  <c r="P49" i="273"/>
  <c r="L49" i="273"/>
  <c r="H49" i="273"/>
  <c r="AZ48" i="273"/>
  <c r="AV48" i="273"/>
  <c r="AJ48" i="273"/>
  <c r="AF48" i="273"/>
  <c r="AB48" i="273"/>
  <c r="X48" i="273"/>
  <c r="T48" i="273"/>
  <c r="P48" i="273"/>
  <c r="L48" i="273"/>
  <c r="H48" i="273"/>
  <c r="AZ47" i="273"/>
  <c r="AV47" i="273"/>
  <c r="AJ47" i="273"/>
  <c r="AF47" i="273"/>
  <c r="AB47" i="273"/>
  <c r="X47" i="273"/>
  <c r="T47" i="273"/>
  <c r="P47" i="273"/>
  <c r="L47" i="273"/>
  <c r="H47" i="273"/>
  <c r="AZ46" i="273"/>
  <c r="AV46" i="273"/>
  <c r="AJ46" i="273"/>
  <c r="AF46" i="273"/>
  <c r="AB46" i="273"/>
  <c r="X46" i="273"/>
  <c r="T46" i="273"/>
  <c r="P46" i="273"/>
  <c r="L46" i="273"/>
  <c r="H46" i="273"/>
  <c r="AZ45" i="273"/>
  <c r="AV45" i="273"/>
  <c r="AJ45" i="273"/>
  <c r="AF45" i="273"/>
  <c r="AB45" i="273"/>
  <c r="X45" i="273"/>
  <c r="T45" i="273"/>
  <c r="T60" i="273"/>
  <c r="P45" i="273"/>
  <c r="L45" i="273"/>
  <c r="H45" i="273"/>
  <c r="AY43" i="273"/>
  <c r="AX43" i="273"/>
  <c r="AW43" i="273"/>
  <c r="AU43" i="273"/>
  <c r="AT43" i="273"/>
  <c r="AS43" i="273"/>
  <c r="AQ43" i="273"/>
  <c r="AP43" i="273"/>
  <c r="AO43" i="273"/>
  <c r="AM43" i="273"/>
  <c r="AL43" i="273"/>
  <c r="AK43" i="273"/>
  <c r="AI43" i="273"/>
  <c r="AH43" i="273"/>
  <c r="AG43" i="273"/>
  <c r="AE43" i="273"/>
  <c r="AD43" i="273"/>
  <c r="AC43" i="273"/>
  <c r="AA43" i="273"/>
  <c r="Z43" i="273"/>
  <c r="Y43" i="273"/>
  <c r="W43" i="273"/>
  <c r="V43" i="273"/>
  <c r="U43" i="273"/>
  <c r="S43" i="273"/>
  <c r="R43" i="273"/>
  <c r="Q43" i="273"/>
  <c r="O43" i="273"/>
  <c r="N43" i="273"/>
  <c r="M43" i="273"/>
  <c r="K43" i="273"/>
  <c r="AZ39" i="273"/>
  <c r="AV39" i="273"/>
  <c r="AR39" i="273"/>
  <c r="AN39" i="273"/>
  <c r="AJ39" i="273"/>
  <c r="AF39" i="273"/>
  <c r="AB39" i="273"/>
  <c r="X39" i="273"/>
  <c r="T39" i="273"/>
  <c r="P39" i="273"/>
  <c r="AZ32" i="273"/>
  <c r="AV32" i="273"/>
  <c r="AR32" i="273"/>
  <c r="AN32" i="273"/>
  <c r="AJ32" i="273"/>
  <c r="AF32" i="273"/>
  <c r="AB32" i="273"/>
  <c r="X32" i="273"/>
  <c r="T32" i="273"/>
  <c r="P32" i="273"/>
  <c r="L32" i="273"/>
  <c r="AZ30" i="273"/>
  <c r="AR30" i="273"/>
  <c r="AN30" i="273"/>
  <c r="AJ30" i="273"/>
  <c r="AF30" i="273"/>
  <c r="AF43" i="273"/>
  <c r="AB30" i="273"/>
  <c r="X30" i="273"/>
  <c r="T30" i="273"/>
  <c r="P30" i="273"/>
  <c r="P43" i="273"/>
  <c r="L30" i="273"/>
  <c r="AY29" i="273"/>
  <c r="AX29" i="273"/>
  <c r="AW29" i="273"/>
  <c r="AU29" i="273"/>
  <c r="AT29" i="273"/>
  <c r="AS29" i="273"/>
  <c r="AQ29" i="273"/>
  <c r="AP29" i="273"/>
  <c r="AO29" i="273"/>
  <c r="AM29" i="273"/>
  <c r="AL29" i="273"/>
  <c r="AK29" i="273"/>
  <c r="AI29" i="273"/>
  <c r="AH29" i="273"/>
  <c r="AG29" i="273"/>
  <c r="AE29" i="273"/>
  <c r="AD29" i="273"/>
  <c r="AC29" i="273"/>
  <c r="AA29" i="273"/>
  <c r="Z29" i="273"/>
  <c r="Y29" i="273"/>
  <c r="W29" i="273"/>
  <c r="V29" i="273"/>
  <c r="U29" i="273"/>
  <c r="S29" i="273"/>
  <c r="R29" i="273"/>
  <c r="Q29" i="273"/>
  <c r="O29" i="273"/>
  <c r="N29" i="273"/>
  <c r="M29" i="273"/>
  <c r="K29" i="273"/>
  <c r="AZ28" i="273"/>
  <c r="AR28" i="273"/>
  <c r="AN28" i="273"/>
  <c r="AJ28" i="273"/>
  <c r="X28" i="273"/>
  <c r="P28" i="273"/>
  <c r="AZ27" i="273"/>
  <c r="AV27" i="273"/>
  <c r="T27" i="273"/>
  <c r="P27" i="273"/>
  <c r="AZ26" i="273"/>
  <c r="AF26" i="273"/>
  <c r="AZ25" i="273"/>
  <c r="AV25" i="273"/>
  <c r="AN25" i="273"/>
  <c r="AF25" i="273"/>
  <c r="AB25" i="273"/>
  <c r="X25" i="273"/>
  <c r="P25" i="273"/>
  <c r="AZ24" i="273"/>
  <c r="AR24" i="273"/>
  <c r="AZ23" i="273"/>
  <c r="AV23" i="273"/>
  <c r="AR23" i="273"/>
  <c r="AN23" i="273"/>
  <c r="AJ23" i="273"/>
  <c r="AF23" i="273"/>
  <c r="AB23" i="273"/>
  <c r="X23" i="273"/>
  <c r="AZ22" i="273"/>
  <c r="AR22" i="273"/>
  <c r="AN22" i="273"/>
  <c r="AF22" i="273"/>
  <c r="X22" i="273"/>
  <c r="P22" i="273"/>
  <c r="AZ21" i="273"/>
  <c r="AV21" i="273"/>
  <c r="T21" i="273"/>
  <c r="P21" i="273"/>
  <c r="AZ20" i="273"/>
  <c r="AZ19" i="273"/>
  <c r="AN19" i="273"/>
  <c r="AF19" i="273"/>
  <c r="L19" i="273"/>
  <c r="AZ18" i="273"/>
  <c r="AN18" i="273"/>
  <c r="AF18" i="273"/>
  <c r="AZ17" i="273"/>
  <c r="AV17" i="273"/>
  <c r="AN17" i="273"/>
  <c r="AJ17" i="273"/>
  <c r="AB17" i="273"/>
  <c r="P17" i="273"/>
  <c r="L17" i="273"/>
  <c r="AZ16" i="273"/>
  <c r="AV16" i="273"/>
  <c r="AR16" i="273"/>
  <c r="AN16" i="273"/>
  <c r="AJ16" i="273"/>
  <c r="AF16" i="273"/>
  <c r="AB16" i="273"/>
  <c r="X16" i="273"/>
  <c r="P16" i="273"/>
  <c r="L16" i="273"/>
  <c r="L29" i="273"/>
  <c r="AY15" i="273"/>
  <c r="AX15" i="273"/>
  <c r="AW15" i="273"/>
  <c r="AU15" i="273"/>
  <c r="AT15" i="273"/>
  <c r="AS15" i="273"/>
  <c r="AQ15" i="273"/>
  <c r="AP15" i="273"/>
  <c r="AO15" i="273"/>
  <c r="AM15" i="273"/>
  <c r="AL15" i="273"/>
  <c r="AK15" i="273"/>
  <c r="AI15" i="273"/>
  <c r="AH15" i="273"/>
  <c r="AG15" i="273"/>
  <c r="AE15" i="273"/>
  <c r="AD15" i="273"/>
  <c r="AC15" i="273"/>
  <c r="AA15" i="273"/>
  <c r="Z15" i="273"/>
  <c r="Y15" i="273"/>
  <c r="W15" i="273"/>
  <c r="V15" i="273"/>
  <c r="U15" i="273"/>
  <c r="S15" i="273"/>
  <c r="R15" i="273"/>
  <c r="Q15" i="273"/>
  <c r="O15" i="273"/>
  <c r="N15" i="273"/>
  <c r="M15" i="273"/>
  <c r="AZ14" i="273"/>
  <c r="AV14" i="273"/>
  <c r="AZ13" i="273"/>
  <c r="AV13" i="273"/>
  <c r="AZ12" i="273"/>
  <c r="AV12" i="273"/>
  <c r="AJ12" i="273"/>
  <c r="AF12" i="273"/>
  <c r="AB12" i="273"/>
  <c r="T12" i="273"/>
  <c r="P12" i="273"/>
  <c r="AZ11" i="273"/>
  <c r="AV11" i="273"/>
  <c r="AR11" i="273"/>
  <c r="AN11" i="273"/>
  <c r="AF11" i="273"/>
  <c r="AB11" i="273"/>
  <c r="X11" i="273"/>
  <c r="T11" i="273"/>
  <c r="P11" i="273"/>
  <c r="AZ10" i="273"/>
  <c r="AV10" i="273"/>
  <c r="AZ9" i="273"/>
  <c r="AV9" i="273"/>
  <c r="AZ8" i="273"/>
  <c r="AJ8" i="273"/>
  <c r="AF8" i="273"/>
  <c r="AB8" i="273"/>
  <c r="T8" i="273"/>
  <c r="P8" i="273"/>
  <c r="AZ7" i="273"/>
  <c r="AV7" i="273"/>
  <c r="AR7" i="273"/>
  <c r="AN7" i="273"/>
  <c r="AF7" i="273"/>
  <c r="AB7" i="273"/>
  <c r="X7" i="273"/>
  <c r="T7" i="273"/>
  <c r="P7" i="273"/>
  <c r="AZ6" i="273"/>
  <c r="AV6" i="273"/>
  <c r="AR6" i="273"/>
  <c r="AN6" i="273"/>
  <c r="AJ6" i="273"/>
  <c r="AF6" i="273"/>
  <c r="AB6" i="273"/>
  <c r="X6" i="273"/>
  <c r="T6" i="273"/>
  <c r="P6" i="273"/>
  <c r="AZ5" i="273"/>
  <c r="P5" i="273"/>
  <c r="R35" i="253"/>
  <c r="Q35" i="253"/>
  <c r="P35" i="253"/>
  <c r="O35" i="253"/>
  <c r="N35" i="253"/>
  <c r="M35" i="253"/>
  <c r="L35" i="253"/>
  <c r="K35" i="253"/>
  <c r="J35" i="253"/>
  <c r="I35" i="253"/>
  <c r="H35" i="253"/>
  <c r="R34" i="253"/>
  <c r="Q34" i="253"/>
  <c r="P34" i="253"/>
  <c r="O34" i="253"/>
  <c r="N34" i="253"/>
  <c r="M34" i="253"/>
  <c r="L34" i="253"/>
  <c r="K34" i="253"/>
  <c r="J34" i="253"/>
  <c r="I34" i="253"/>
  <c r="H34" i="253"/>
  <c r="W27" i="253"/>
  <c r="V27" i="253"/>
  <c r="U27" i="253"/>
  <c r="T27" i="253"/>
  <c r="S27" i="253"/>
  <c r="R27" i="253"/>
  <c r="Q27" i="253"/>
  <c r="P27" i="253"/>
  <c r="O27" i="253"/>
  <c r="N27" i="253"/>
  <c r="M27" i="253"/>
  <c r="L27" i="253"/>
  <c r="K27" i="253"/>
  <c r="J27" i="253"/>
  <c r="I27" i="253"/>
  <c r="H27" i="253"/>
  <c r="W26" i="253"/>
  <c r="V26" i="253"/>
  <c r="U26" i="253"/>
  <c r="T26" i="253"/>
  <c r="S26" i="253"/>
  <c r="R26" i="253"/>
  <c r="Q26" i="253"/>
  <c r="P26" i="253"/>
  <c r="O26" i="253"/>
  <c r="N26" i="253"/>
  <c r="M26" i="253"/>
  <c r="L26" i="253"/>
  <c r="K26" i="253"/>
  <c r="J26" i="253"/>
  <c r="I26" i="253"/>
  <c r="H26" i="253"/>
  <c r="W25" i="253"/>
  <c r="W28" i="253"/>
  <c r="V25" i="253"/>
  <c r="V28" i="253"/>
  <c r="U25" i="253"/>
  <c r="U28" i="253"/>
  <c r="T25" i="253"/>
  <c r="T28" i="253"/>
  <c r="S25" i="253"/>
  <c r="S28" i="253"/>
  <c r="R25" i="253"/>
  <c r="R28" i="253"/>
  <c r="Q25" i="253"/>
  <c r="P25" i="253"/>
  <c r="O25" i="253"/>
  <c r="O28" i="253"/>
  <c r="N25" i="253"/>
  <c r="N28" i="253"/>
  <c r="M25" i="253"/>
  <c r="L25" i="253"/>
  <c r="K25" i="253"/>
  <c r="K28" i="253"/>
  <c r="J25" i="253"/>
  <c r="J28" i="253"/>
  <c r="I25" i="253"/>
  <c r="H25" i="253"/>
  <c r="W17" i="253"/>
  <c r="V17" i="253"/>
  <c r="V32" i="253"/>
  <c r="U17" i="253"/>
  <c r="T17" i="253"/>
  <c r="S17" i="253"/>
  <c r="R17" i="253"/>
  <c r="R32" i="253"/>
  <c r="Q17" i="253"/>
  <c r="P17" i="253"/>
  <c r="O17" i="253"/>
  <c r="N17" i="253"/>
  <c r="N32" i="253"/>
  <c r="M17" i="253"/>
  <c r="L17" i="253"/>
  <c r="K17" i="253"/>
  <c r="K32" i="253"/>
  <c r="J17" i="253"/>
  <c r="J32" i="253"/>
  <c r="I17" i="253"/>
  <c r="H17" i="253"/>
  <c r="W16" i="253"/>
  <c r="V16" i="253"/>
  <c r="U16" i="253"/>
  <c r="T16" i="253"/>
  <c r="S16" i="253"/>
  <c r="R16" i="253"/>
  <c r="Q16" i="253"/>
  <c r="P16" i="253"/>
  <c r="O16" i="253"/>
  <c r="N16" i="253"/>
  <c r="M16" i="253"/>
  <c r="L16" i="253"/>
  <c r="K16" i="253"/>
  <c r="J16" i="253"/>
  <c r="I16" i="253"/>
  <c r="H16" i="253"/>
  <c r="W15" i="253"/>
  <c r="W18" i="253"/>
  <c r="V15" i="253"/>
  <c r="V18" i="253"/>
  <c r="U15" i="253"/>
  <c r="T15" i="253"/>
  <c r="T18" i="253"/>
  <c r="S15" i="253"/>
  <c r="S18" i="253"/>
  <c r="R15" i="253"/>
  <c r="R18" i="253"/>
  <c r="Q15" i="253"/>
  <c r="P15" i="253"/>
  <c r="P18" i="253"/>
  <c r="O15" i="253"/>
  <c r="N15" i="253"/>
  <c r="N18" i="253"/>
  <c r="M15" i="253"/>
  <c r="L15" i="253"/>
  <c r="L18" i="253"/>
  <c r="K15" i="253"/>
  <c r="K18" i="253"/>
  <c r="J15" i="253"/>
  <c r="I15" i="253"/>
  <c r="H15" i="253"/>
  <c r="H18" i="253"/>
  <c r="W12" i="253"/>
  <c r="W35" i="253"/>
  <c r="V12" i="253"/>
  <c r="V35" i="253"/>
  <c r="U12" i="253"/>
  <c r="U35" i="253"/>
  <c r="T12" i="253"/>
  <c r="S12" i="253"/>
  <c r="S35" i="253"/>
  <c r="W11" i="253"/>
  <c r="W34" i="253"/>
  <c r="V11" i="253"/>
  <c r="V34" i="253"/>
  <c r="U11" i="253"/>
  <c r="U34" i="253"/>
  <c r="T11" i="253"/>
  <c r="T34" i="253"/>
  <c r="S11" i="253"/>
  <c r="S34" i="253"/>
  <c r="W10" i="253"/>
  <c r="V10" i="253"/>
  <c r="U10" i="253"/>
  <c r="T10" i="253"/>
  <c r="T13" i="253"/>
  <c r="S10" i="253"/>
  <c r="W7" i="253"/>
  <c r="V7" i="253"/>
  <c r="U7" i="253"/>
  <c r="T7" i="253"/>
  <c r="T33" i="253"/>
  <c r="S7" i="253"/>
  <c r="S33" i="253"/>
  <c r="R7" i="253"/>
  <c r="R33" i="253"/>
  <c r="Q7" i="253"/>
  <c r="P7" i="253"/>
  <c r="O7" i="253"/>
  <c r="N7" i="253"/>
  <c r="M7" i="253"/>
  <c r="L7" i="253"/>
  <c r="L33" i="253"/>
  <c r="K7" i="253"/>
  <c r="K33" i="253"/>
  <c r="J7" i="253"/>
  <c r="J33" i="253"/>
  <c r="I7" i="253"/>
  <c r="H7" i="253"/>
  <c r="H33" i="253"/>
  <c r="W6" i="253"/>
  <c r="V6" i="253"/>
  <c r="V31" i="253"/>
  <c r="U6" i="253"/>
  <c r="T6" i="253"/>
  <c r="S6" i="253"/>
  <c r="R6" i="253"/>
  <c r="Q6" i="253"/>
  <c r="Q31" i="253"/>
  <c r="P6" i="253"/>
  <c r="P31" i="253"/>
  <c r="O6" i="253"/>
  <c r="N6" i="253"/>
  <c r="M6" i="253"/>
  <c r="L6" i="253"/>
  <c r="L31" i="253"/>
  <c r="K6" i="253"/>
  <c r="J6" i="253"/>
  <c r="I6" i="253"/>
  <c r="I31" i="253"/>
  <c r="H6" i="253"/>
  <c r="W5" i="253"/>
  <c r="V5" i="253"/>
  <c r="V8" i="253"/>
  <c r="U5" i="253"/>
  <c r="U30" i="253"/>
  <c r="T5" i="253"/>
  <c r="S5" i="253"/>
  <c r="S30" i="253"/>
  <c r="R5" i="253"/>
  <c r="Q5" i="253"/>
  <c r="P5" i="253"/>
  <c r="O5" i="253"/>
  <c r="O30" i="253"/>
  <c r="N5" i="253"/>
  <c r="M5" i="253"/>
  <c r="L5" i="253"/>
  <c r="K5" i="253"/>
  <c r="K30" i="253"/>
  <c r="J5" i="253"/>
  <c r="I5" i="253"/>
  <c r="I30" i="253"/>
  <c r="H5" i="253"/>
  <c r="W92" i="275"/>
  <c r="V92" i="275"/>
  <c r="U92" i="275"/>
  <c r="T92" i="275"/>
  <c r="S92" i="275"/>
  <c r="W87" i="275"/>
  <c r="W93" i="275"/>
  <c r="W103" i="275"/>
  <c r="V87" i="275"/>
  <c r="U87" i="275"/>
  <c r="T87" i="275"/>
  <c r="S87" i="275"/>
  <c r="W83" i="275"/>
  <c r="V83" i="275"/>
  <c r="U83" i="275"/>
  <c r="T83" i="275"/>
  <c r="S83" i="275"/>
  <c r="W77" i="275"/>
  <c r="V77" i="275"/>
  <c r="U77" i="275"/>
  <c r="T77" i="275"/>
  <c r="S77" i="275"/>
  <c r="R77" i="275"/>
  <c r="R78" i="275"/>
  <c r="Q77" i="275"/>
  <c r="Q78" i="275"/>
  <c r="P77" i="275"/>
  <c r="O77" i="275"/>
  <c r="N77" i="275"/>
  <c r="M77" i="275"/>
  <c r="L77" i="275"/>
  <c r="K77" i="275"/>
  <c r="J77" i="275"/>
  <c r="I77" i="275"/>
  <c r="H77" i="275"/>
  <c r="W72" i="275"/>
  <c r="V72" i="275"/>
  <c r="U72" i="275"/>
  <c r="T72" i="275"/>
  <c r="S72" i="275"/>
  <c r="R72" i="275"/>
  <c r="Q72" i="275"/>
  <c r="P72" i="275"/>
  <c r="O72" i="275"/>
  <c r="N72" i="275"/>
  <c r="M72" i="275"/>
  <c r="L72" i="275"/>
  <c r="K72" i="275"/>
  <c r="J72" i="275"/>
  <c r="I72" i="275"/>
  <c r="H72" i="275"/>
  <c r="W63" i="275"/>
  <c r="W78" i="275"/>
  <c r="V63" i="275"/>
  <c r="U63" i="275"/>
  <c r="T63" i="275"/>
  <c r="S63" i="275"/>
  <c r="S78" i="275"/>
  <c r="R63" i="275"/>
  <c r="Q63" i="275"/>
  <c r="P63" i="275"/>
  <c r="O63" i="275"/>
  <c r="N63" i="275"/>
  <c r="M63" i="275"/>
  <c r="L63" i="275"/>
  <c r="K63" i="275"/>
  <c r="J63" i="275"/>
  <c r="I63" i="275"/>
  <c r="H63" i="275"/>
  <c r="W55" i="275"/>
  <c r="V55" i="275"/>
  <c r="U55" i="275"/>
  <c r="T55" i="275"/>
  <c r="S55" i="275"/>
  <c r="R55" i="275"/>
  <c r="Q55" i="275"/>
  <c r="Q56" i="275"/>
  <c r="P55" i="275"/>
  <c r="O55" i="275"/>
  <c r="N55" i="275"/>
  <c r="M55" i="275"/>
  <c r="L55" i="275"/>
  <c r="L56" i="275"/>
  <c r="K55" i="275"/>
  <c r="J55" i="275"/>
  <c r="I55" i="275"/>
  <c r="H55" i="275"/>
  <c r="W48" i="275"/>
  <c r="V48" i="275"/>
  <c r="U48" i="275"/>
  <c r="T48" i="275"/>
  <c r="S48" i="275"/>
  <c r="R48" i="275"/>
  <c r="Q48" i="275"/>
  <c r="P48" i="275"/>
  <c r="O48" i="275"/>
  <c r="N48" i="275"/>
  <c r="M48" i="275"/>
  <c r="L48" i="275"/>
  <c r="K48" i="275"/>
  <c r="J48" i="275"/>
  <c r="I48" i="275"/>
  <c r="H48" i="275"/>
  <c r="W35" i="275"/>
  <c r="W56" i="275"/>
  <c r="V35" i="275"/>
  <c r="U35" i="275"/>
  <c r="T35" i="275"/>
  <c r="T56" i="275"/>
  <c r="S35" i="275"/>
  <c r="S56" i="275"/>
  <c r="R35" i="275"/>
  <c r="R56" i="275"/>
  <c r="R103" i="275"/>
  <c r="Q35" i="275"/>
  <c r="P35" i="275"/>
  <c r="P56" i="275"/>
  <c r="O35" i="275"/>
  <c r="N35" i="275"/>
  <c r="M35" i="275"/>
  <c r="L35" i="275"/>
  <c r="K35" i="275"/>
  <c r="J35" i="275"/>
  <c r="I35" i="275"/>
  <c r="H35" i="275"/>
  <c r="S25" i="275"/>
  <c r="K25" i="275"/>
  <c r="W24" i="275"/>
  <c r="V24" i="275"/>
  <c r="V25" i="275"/>
  <c r="U24" i="275"/>
  <c r="T24" i="275"/>
  <c r="S24" i="275"/>
  <c r="R24" i="275"/>
  <c r="Q24" i="275"/>
  <c r="P24" i="275"/>
  <c r="O24" i="275"/>
  <c r="N24" i="275"/>
  <c r="M24" i="275"/>
  <c r="L24" i="275"/>
  <c r="K24" i="275"/>
  <c r="J24" i="275"/>
  <c r="I24" i="275"/>
  <c r="H24" i="275"/>
  <c r="W20" i="275"/>
  <c r="V20" i="275"/>
  <c r="U20" i="275"/>
  <c r="T20" i="275"/>
  <c r="S20" i="275"/>
  <c r="R20" i="275"/>
  <c r="Q20" i="275"/>
  <c r="P20" i="275"/>
  <c r="O20" i="275"/>
  <c r="N20" i="275"/>
  <c r="M20" i="275"/>
  <c r="L20" i="275"/>
  <c r="K20" i="275"/>
  <c r="J20" i="275"/>
  <c r="I20" i="275"/>
  <c r="H20" i="275"/>
  <c r="W15" i="275"/>
  <c r="W25" i="275"/>
  <c r="V15" i="275"/>
  <c r="U15" i="275"/>
  <c r="T15" i="275"/>
  <c r="S15" i="275"/>
  <c r="R15" i="275"/>
  <c r="Q15" i="275"/>
  <c r="P15" i="275"/>
  <c r="O15" i="275"/>
  <c r="N15" i="275"/>
  <c r="M15" i="275"/>
  <c r="L15" i="275"/>
  <c r="K15" i="275"/>
  <c r="J15" i="275"/>
  <c r="I15" i="275"/>
  <c r="H15" i="275"/>
  <c r="D36" i="172"/>
  <c r="D35" i="172"/>
  <c r="N28" i="172"/>
  <c r="M28" i="172"/>
  <c r="L28" i="172"/>
  <c r="K28" i="172"/>
  <c r="J28" i="172"/>
  <c r="I28" i="172"/>
  <c r="H28" i="172"/>
  <c r="G28" i="172"/>
  <c r="F28" i="172"/>
  <c r="E28" i="172"/>
  <c r="D28" i="172"/>
  <c r="N27" i="172"/>
  <c r="M27" i="172"/>
  <c r="L27" i="172"/>
  <c r="K27" i="172"/>
  <c r="J27" i="172"/>
  <c r="I27" i="172"/>
  <c r="H27" i="172"/>
  <c r="G27" i="172"/>
  <c r="F27" i="172"/>
  <c r="E27" i="172"/>
  <c r="D27" i="172"/>
  <c r="N26" i="172"/>
  <c r="M26" i="172"/>
  <c r="L26" i="172"/>
  <c r="K26" i="172"/>
  <c r="J26" i="172"/>
  <c r="I26" i="172"/>
  <c r="H26" i="172"/>
  <c r="H29" i="172"/>
  <c r="G26" i="172"/>
  <c r="G29" i="172"/>
  <c r="F26" i="172"/>
  <c r="E26" i="172"/>
  <c r="D26" i="172"/>
  <c r="N18" i="172"/>
  <c r="N33" i="172"/>
  <c r="M18" i="172"/>
  <c r="L18" i="172"/>
  <c r="K18" i="172"/>
  <c r="K33" i="172"/>
  <c r="J18" i="172"/>
  <c r="J33" i="172"/>
  <c r="I18" i="172"/>
  <c r="H18" i="172"/>
  <c r="H33" i="172"/>
  <c r="G18" i="172"/>
  <c r="F18" i="172"/>
  <c r="F33" i="172"/>
  <c r="E18" i="172"/>
  <c r="D18" i="172"/>
  <c r="N17" i="172"/>
  <c r="M17" i="172"/>
  <c r="L17" i="172"/>
  <c r="K17" i="172"/>
  <c r="J17" i="172"/>
  <c r="I17" i="172"/>
  <c r="H17" i="172"/>
  <c r="G17" i="172"/>
  <c r="F17" i="172"/>
  <c r="E17" i="172"/>
  <c r="D17" i="172"/>
  <c r="N16" i="172"/>
  <c r="M16" i="172"/>
  <c r="L16" i="172"/>
  <c r="K16" i="172"/>
  <c r="J16" i="172"/>
  <c r="I16" i="172"/>
  <c r="H16" i="172"/>
  <c r="H19" i="172"/>
  <c r="G16" i="172"/>
  <c r="F16" i="172"/>
  <c r="E16" i="172"/>
  <c r="D16" i="172"/>
  <c r="N36" i="172"/>
  <c r="M13" i="172"/>
  <c r="M36" i="172"/>
  <c r="L13" i="172"/>
  <c r="L36" i="172"/>
  <c r="K13" i="172"/>
  <c r="K36" i="172"/>
  <c r="J13" i="172"/>
  <c r="J36" i="172"/>
  <c r="I13" i="172"/>
  <c r="I36" i="172"/>
  <c r="H13" i="172"/>
  <c r="H36" i="172"/>
  <c r="G13" i="172"/>
  <c r="G36" i="172"/>
  <c r="F13" i="172"/>
  <c r="F36" i="172"/>
  <c r="E13" i="172"/>
  <c r="E36" i="172"/>
  <c r="N12" i="172"/>
  <c r="N35" i="172"/>
  <c r="M12" i="172"/>
  <c r="M35" i="172"/>
  <c r="L12" i="172"/>
  <c r="L35" i="172"/>
  <c r="K12" i="172"/>
  <c r="K35" i="172"/>
  <c r="J12" i="172"/>
  <c r="J35" i="172"/>
  <c r="I12" i="172"/>
  <c r="I35" i="172"/>
  <c r="H12" i="172"/>
  <c r="H35" i="172"/>
  <c r="G12" i="172"/>
  <c r="G35" i="172"/>
  <c r="F12" i="172"/>
  <c r="F35" i="172"/>
  <c r="E12" i="172"/>
  <c r="E35" i="172"/>
  <c r="N11" i="172"/>
  <c r="M11" i="172"/>
  <c r="L11" i="172"/>
  <c r="K11" i="172"/>
  <c r="J11" i="172"/>
  <c r="I11" i="172"/>
  <c r="H11" i="172"/>
  <c r="H14" i="172"/>
  <c r="G11" i="172"/>
  <c r="F11" i="172"/>
  <c r="E11" i="172"/>
  <c r="N8" i="172"/>
  <c r="M8" i="172"/>
  <c r="M34" i="172"/>
  <c r="L8" i="172"/>
  <c r="L34" i="172"/>
  <c r="K8" i="172"/>
  <c r="K34" i="172"/>
  <c r="J8" i="172"/>
  <c r="J34" i="172"/>
  <c r="I8" i="172"/>
  <c r="I34" i="172"/>
  <c r="H8" i="172"/>
  <c r="H34" i="172"/>
  <c r="G8" i="172"/>
  <c r="G34" i="172"/>
  <c r="F8" i="172"/>
  <c r="F34" i="172"/>
  <c r="E8" i="172"/>
  <c r="E34" i="172"/>
  <c r="D8" i="172"/>
  <c r="D34" i="172"/>
  <c r="N7" i="172"/>
  <c r="M7" i="172"/>
  <c r="L7" i="172"/>
  <c r="K7" i="172"/>
  <c r="J7" i="172"/>
  <c r="J32" i="172"/>
  <c r="I7" i="172"/>
  <c r="I32" i="172"/>
  <c r="H7" i="172"/>
  <c r="G7" i="172"/>
  <c r="F7" i="172"/>
  <c r="E7" i="172"/>
  <c r="D7" i="172"/>
  <c r="D32" i="172"/>
  <c r="N6" i="172"/>
  <c r="M6" i="172"/>
  <c r="L6" i="172"/>
  <c r="K6" i="172"/>
  <c r="J6" i="172"/>
  <c r="I6" i="172"/>
  <c r="H6" i="172"/>
  <c r="G6" i="172"/>
  <c r="G31" i="172"/>
  <c r="F6" i="172"/>
  <c r="E6" i="172"/>
  <c r="D6" i="172"/>
  <c r="N99" i="173"/>
  <c r="M99" i="173"/>
  <c r="L99" i="173"/>
  <c r="K99" i="173"/>
  <c r="J99" i="173"/>
  <c r="I99" i="173"/>
  <c r="H99" i="173"/>
  <c r="G99" i="173"/>
  <c r="F99" i="173"/>
  <c r="E99" i="173"/>
  <c r="D99" i="173"/>
  <c r="N94" i="173"/>
  <c r="N100" i="173"/>
  <c r="M94" i="173"/>
  <c r="L94" i="173"/>
  <c r="K94" i="173"/>
  <c r="J94" i="173"/>
  <c r="J100" i="173"/>
  <c r="I94" i="173"/>
  <c r="H94" i="173"/>
  <c r="G94" i="173"/>
  <c r="F94" i="173"/>
  <c r="E94" i="173"/>
  <c r="D94" i="173"/>
  <c r="N85" i="173"/>
  <c r="M85" i="173"/>
  <c r="M100" i="173"/>
  <c r="L85" i="173"/>
  <c r="L100" i="173"/>
  <c r="K85" i="173"/>
  <c r="J85" i="173"/>
  <c r="I85" i="173"/>
  <c r="I100" i="173"/>
  <c r="H85" i="173"/>
  <c r="G85" i="173"/>
  <c r="F85" i="173"/>
  <c r="E85" i="173"/>
  <c r="D85" i="173"/>
  <c r="N69" i="173"/>
  <c r="M69" i="173"/>
  <c r="L69" i="173"/>
  <c r="K69" i="173"/>
  <c r="J69" i="173"/>
  <c r="I69" i="173"/>
  <c r="H69" i="173"/>
  <c r="G69" i="173"/>
  <c r="F69" i="173"/>
  <c r="E69" i="173"/>
  <c r="D69" i="173"/>
  <c r="D70" i="173"/>
  <c r="N62" i="173"/>
  <c r="M62" i="173"/>
  <c r="L62" i="173"/>
  <c r="K62" i="173"/>
  <c r="J62" i="173"/>
  <c r="I62" i="173"/>
  <c r="H62" i="173"/>
  <c r="G62" i="173"/>
  <c r="F62" i="173"/>
  <c r="E62" i="173"/>
  <c r="D62" i="173"/>
  <c r="N49" i="173"/>
  <c r="M49" i="173"/>
  <c r="M70" i="173"/>
  <c r="L49" i="173"/>
  <c r="K49" i="173"/>
  <c r="J49" i="173"/>
  <c r="I49" i="173"/>
  <c r="H49" i="173"/>
  <c r="G49" i="173"/>
  <c r="F49" i="173"/>
  <c r="E49" i="173"/>
  <c r="D49" i="173"/>
  <c r="M38" i="173"/>
  <c r="L38" i="173"/>
  <c r="K38" i="173"/>
  <c r="J38" i="173"/>
  <c r="I38" i="173"/>
  <c r="H38" i="173"/>
  <c r="G38" i="173"/>
  <c r="F38" i="173"/>
  <c r="E38" i="173"/>
  <c r="D38" i="173"/>
  <c r="N33" i="173"/>
  <c r="M33" i="173"/>
  <c r="L33" i="173"/>
  <c r="K33" i="173"/>
  <c r="K39" i="173"/>
  <c r="J33" i="173"/>
  <c r="J39" i="173"/>
  <c r="I33" i="173"/>
  <c r="H33" i="173"/>
  <c r="G33" i="173"/>
  <c r="F33" i="173"/>
  <c r="E33" i="173"/>
  <c r="D33" i="173"/>
  <c r="N39" i="173"/>
  <c r="M39" i="173"/>
  <c r="E29" i="173"/>
  <c r="D29" i="173"/>
  <c r="N23" i="173"/>
  <c r="M23" i="173"/>
  <c r="L23" i="173"/>
  <c r="K23" i="173"/>
  <c r="J23" i="173"/>
  <c r="I23" i="173"/>
  <c r="H23" i="173"/>
  <c r="G23" i="173"/>
  <c r="F23" i="173"/>
  <c r="E23" i="173"/>
  <c r="D23" i="173"/>
  <c r="N19" i="173"/>
  <c r="M19" i="173"/>
  <c r="M24" i="173"/>
  <c r="L19" i="173"/>
  <c r="K19" i="173"/>
  <c r="J19" i="173"/>
  <c r="I19" i="173"/>
  <c r="H19" i="173"/>
  <c r="G19" i="173"/>
  <c r="F19" i="173"/>
  <c r="D19" i="173"/>
  <c r="N14" i="173"/>
  <c r="M14" i="173"/>
  <c r="L14" i="173"/>
  <c r="K14" i="173"/>
  <c r="J14" i="173"/>
  <c r="I14" i="173"/>
  <c r="H14" i="173"/>
  <c r="G14" i="173"/>
  <c r="F14" i="173"/>
  <c r="E14" i="173"/>
  <c r="D14" i="173"/>
  <c r="AB36" i="297"/>
  <c r="AA36" i="297"/>
  <c r="Y36" i="297"/>
  <c r="X36" i="297"/>
  <c r="V36" i="297"/>
  <c r="U36" i="297"/>
  <c r="S36" i="297"/>
  <c r="R36" i="297"/>
  <c r="P36" i="297"/>
  <c r="O36" i="297"/>
  <c r="M36" i="297"/>
  <c r="L36" i="297"/>
  <c r="K36" i="297"/>
  <c r="J36" i="297"/>
  <c r="I36" i="297"/>
  <c r="H36" i="297"/>
  <c r="G36" i="297"/>
  <c r="F36" i="297"/>
  <c r="E36" i="297"/>
  <c r="D36" i="297"/>
  <c r="C36" i="297"/>
  <c r="AB35" i="297"/>
  <c r="AA35" i="297"/>
  <c r="Y35" i="297"/>
  <c r="X35" i="297"/>
  <c r="V35" i="297"/>
  <c r="U35" i="297"/>
  <c r="S35" i="297"/>
  <c r="R35" i="297"/>
  <c r="P35" i="297"/>
  <c r="O35" i="297"/>
  <c r="M35" i="297"/>
  <c r="M37" i="297"/>
  <c r="L35" i="297"/>
  <c r="K35" i="297"/>
  <c r="J35" i="297"/>
  <c r="I35" i="297"/>
  <c r="H35" i="297"/>
  <c r="G35" i="297"/>
  <c r="F35" i="297"/>
  <c r="E35" i="297"/>
  <c r="D35" i="297"/>
  <c r="C35" i="297"/>
  <c r="AB34" i="297"/>
  <c r="AA34" i="297"/>
  <c r="Y34" i="297"/>
  <c r="X34" i="297"/>
  <c r="V34" i="297"/>
  <c r="U34" i="297"/>
  <c r="S34" i="297"/>
  <c r="R34" i="297"/>
  <c r="P34" i="297"/>
  <c r="O34" i="297"/>
  <c r="M34" i="297"/>
  <c r="L34" i="297"/>
  <c r="J34" i="297"/>
  <c r="I34" i="297"/>
  <c r="I37" i="297"/>
  <c r="G34" i="297"/>
  <c r="F34" i="297"/>
  <c r="D34" i="297"/>
  <c r="C34" i="297"/>
  <c r="C37" i="297"/>
  <c r="AB33" i="297"/>
  <c r="AA33" i="297"/>
  <c r="Y33" i="297"/>
  <c r="X33" i="297"/>
  <c r="X37" i="297"/>
  <c r="V33" i="297"/>
  <c r="U33" i="297"/>
  <c r="S33" i="297"/>
  <c r="R33" i="297"/>
  <c r="P33" i="297"/>
  <c r="O33" i="297"/>
  <c r="M33" i="297"/>
  <c r="L33" i="297"/>
  <c r="J33" i="297"/>
  <c r="I33" i="297"/>
  <c r="G33" i="297"/>
  <c r="F33" i="297"/>
  <c r="D33" i="297"/>
  <c r="C33" i="297"/>
  <c r="AB32" i="297"/>
  <c r="AA32" i="297"/>
  <c r="Y32" i="297"/>
  <c r="X32" i="297"/>
  <c r="V32" i="297"/>
  <c r="U32" i="297"/>
  <c r="S32" i="297"/>
  <c r="R32" i="297"/>
  <c r="P32" i="297"/>
  <c r="O32" i="297"/>
  <c r="M32" i="297"/>
  <c r="L32" i="297"/>
  <c r="J32" i="297"/>
  <c r="J37" i="297"/>
  <c r="I32" i="297"/>
  <c r="G32" i="297"/>
  <c r="F32" i="297"/>
  <c r="D32" i="297"/>
  <c r="D37" i="297"/>
  <c r="C32" i="297"/>
  <c r="AB31" i="297"/>
  <c r="AA31" i="297"/>
  <c r="Y31" i="297"/>
  <c r="Y37" i="297"/>
  <c r="X31" i="297"/>
  <c r="V31" i="297"/>
  <c r="V37" i="297"/>
  <c r="U31" i="297"/>
  <c r="U37" i="297"/>
  <c r="S31" i="297"/>
  <c r="S37" i="297"/>
  <c r="R31" i="297"/>
  <c r="P31" i="297"/>
  <c r="O31" i="297"/>
  <c r="O37" i="297"/>
  <c r="M31" i="297"/>
  <c r="L31" i="297"/>
  <c r="L37" i="297"/>
  <c r="J31" i="297"/>
  <c r="I31" i="297"/>
  <c r="G31" i="297"/>
  <c r="F31" i="297"/>
  <c r="F37" i="297"/>
  <c r="D31" i="297"/>
  <c r="C31" i="297"/>
  <c r="AB29" i="297"/>
  <c r="AA29" i="297"/>
  <c r="Y29" i="297"/>
  <c r="X29" i="297"/>
  <c r="V29" i="297"/>
  <c r="U29" i="297"/>
  <c r="S29" i="297"/>
  <c r="R29" i="297"/>
  <c r="P29" i="297"/>
  <c r="O29" i="297"/>
  <c r="M29" i="297"/>
  <c r="L29" i="297"/>
  <c r="J29" i="297"/>
  <c r="I29" i="297"/>
  <c r="G29" i="297"/>
  <c r="F29" i="297"/>
  <c r="D29" i="297"/>
  <c r="C29" i="297"/>
  <c r="AC28" i="297"/>
  <c r="Z28" i="297"/>
  <c r="W28" i="297"/>
  <c r="W29" i="297"/>
  <c r="T28" i="297"/>
  <c r="Q28" i="297"/>
  <c r="N28" i="297"/>
  <c r="K28" i="297"/>
  <c r="K29" i="297"/>
  <c r="H28" i="297"/>
  <c r="E28" i="297"/>
  <c r="AC27" i="297"/>
  <c r="Z27" i="297"/>
  <c r="Z29" i="297"/>
  <c r="W27" i="297"/>
  <c r="T27" i="297"/>
  <c r="Q27" i="297"/>
  <c r="N27" i="297"/>
  <c r="N29" i="297"/>
  <c r="K27" i="297"/>
  <c r="H27" i="297"/>
  <c r="E27" i="297"/>
  <c r="AC26" i="297"/>
  <c r="Z26" i="297"/>
  <c r="W26" i="297"/>
  <c r="T26" i="297"/>
  <c r="T29" i="297"/>
  <c r="Q26" i="297"/>
  <c r="N26" i="297"/>
  <c r="K26" i="297"/>
  <c r="H26" i="297"/>
  <c r="H29" i="297"/>
  <c r="E26" i="297"/>
  <c r="AB19" i="297"/>
  <c r="AA19" i="297"/>
  <c r="Y19" i="297"/>
  <c r="X19" i="297"/>
  <c r="V19" i="297"/>
  <c r="U19" i="297"/>
  <c r="S19" i="297"/>
  <c r="R19" i="297"/>
  <c r="P19" i="297"/>
  <c r="O19" i="297"/>
  <c r="M19" i="297"/>
  <c r="L19" i="297"/>
  <c r="J19" i="297"/>
  <c r="I19" i="297"/>
  <c r="G19" i="297"/>
  <c r="F19" i="297"/>
  <c r="D19" i="297"/>
  <c r="C19" i="297"/>
  <c r="AC18" i="297"/>
  <c r="Z18" i="297"/>
  <c r="W18" i="297"/>
  <c r="W33" i="297"/>
  <c r="T18" i="297"/>
  <c r="T33" i="297"/>
  <c r="Q18" i="297"/>
  <c r="Q33" i="297"/>
  <c r="N18" i="297"/>
  <c r="K18" i="297"/>
  <c r="H18" i="297"/>
  <c r="E18" i="297"/>
  <c r="AC17" i="297"/>
  <c r="Z17" i="297"/>
  <c r="W17" i="297"/>
  <c r="T17" i="297"/>
  <c r="Q17" i="297"/>
  <c r="Q32" i="297"/>
  <c r="N17" i="297"/>
  <c r="K17" i="297"/>
  <c r="H17" i="297"/>
  <c r="E17" i="297"/>
  <c r="E32" i="297"/>
  <c r="AC16" i="297"/>
  <c r="Z16" i="297"/>
  <c r="Z19" i="297"/>
  <c r="W16" i="297"/>
  <c r="T16" i="297"/>
  <c r="T19" i="297"/>
  <c r="Q16" i="297"/>
  <c r="N16" i="297"/>
  <c r="K16" i="297"/>
  <c r="K19" i="297"/>
  <c r="H16" i="297"/>
  <c r="E16" i="297"/>
  <c r="E19" i="297"/>
  <c r="AB14" i="297"/>
  <c r="AA14" i="297"/>
  <c r="Y14" i="297"/>
  <c r="X14" i="297"/>
  <c r="V14" i="297"/>
  <c r="U14" i="297"/>
  <c r="S14" i="297"/>
  <c r="R14" i="297"/>
  <c r="P14" i="297"/>
  <c r="O14" i="297"/>
  <c r="M14" i="297"/>
  <c r="L14" i="297"/>
  <c r="AC13" i="297"/>
  <c r="AC36" i="297"/>
  <c r="Z13" i="297"/>
  <c r="Z36" i="297"/>
  <c r="W13" i="297"/>
  <c r="W36" i="297"/>
  <c r="T13" i="297"/>
  <c r="T36" i="297"/>
  <c r="Q13" i="297"/>
  <c r="Q36" i="297"/>
  <c r="N13" i="297"/>
  <c r="N36" i="297"/>
  <c r="AC12" i="297"/>
  <c r="AC35" i="297"/>
  <c r="Z12" i="297"/>
  <c r="Z35" i="297"/>
  <c r="W12" i="297"/>
  <c r="W35" i="297"/>
  <c r="T12" i="297"/>
  <c r="T35" i="297"/>
  <c r="Q12" i="297"/>
  <c r="Q35" i="297"/>
  <c r="N12" i="297"/>
  <c r="N35" i="297"/>
  <c r="N37" i="297"/>
  <c r="AC11" i="297"/>
  <c r="AC14" i="297"/>
  <c r="Z11" i="297"/>
  <c r="W11" i="297"/>
  <c r="T11" i="297"/>
  <c r="T14" i="297"/>
  <c r="Q11" i="297"/>
  <c r="N11" i="297"/>
  <c r="AB9" i="297"/>
  <c r="AA9" i="297"/>
  <c r="Y9" i="297"/>
  <c r="X9" i="297"/>
  <c r="V9" i="297"/>
  <c r="U9" i="297"/>
  <c r="S9" i="297"/>
  <c r="R9" i="297"/>
  <c r="P9" i="297"/>
  <c r="O9" i="297"/>
  <c r="M9" i="297"/>
  <c r="L9" i="297"/>
  <c r="J9" i="297"/>
  <c r="I9" i="297"/>
  <c r="G9" i="297"/>
  <c r="F9" i="297"/>
  <c r="D9" i="297"/>
  <c r="C9" i="297"/>
  <c r="AC34" i="297"/>
  <c r="Z8" i="297"/>
  <c r="Z34" i="297"/>
  <c r="W8" i="297"/>
  <c r="T8" i="297"/>
  <c r="T34" i="297"/>
  <c r="Q8" i="297"/>
  <c r="Q34" i="297"/>
  <c r="N8" i="297"/>
  <c r="K8" i="297"/>
  <c r="H8" i="297"/>
  <c r="E8" i="297"/>
  <c r="E34" i="297"/>
  <c r="Z7" i="297"/>
  <c r="Z32" i="297"/>
  <c r="W7" i="297"/>
  <c r="W32" i="297"/>
  <c r="T7" i="297"/>
  <c r="Q7" i="297"/>
  <c r="N7" i="297"/>
  <c r="K7" i="297"/>
  <c r="K32" i="297"/>
  <c r="H7" i="297"/>
  <c r="E7" i="297"/>
  <c r="AC9" i="297"/>
  <c r="Z6" i="297"/>
  <c r="Z31" i="297"/>
  <c r="W6" i="297"/>
  <c r="T6" i="297"/>
  <c r="Q6" i="297"/>
  <c r="Q31" i="297"/>
  <c r="Q37" i="297"/>
  <c r="N6" i="297"/>
  <c r="K6" i="297"/>
  <c r="K9" i="297"/>
  <c r="H6" i="297"/>
  <c r="H31" i="297"/>
  <c r="E6" i="297"/>
  <c r="BI28" i="98"/>
  <c r="BH28" i="98"/>
  <c r="BG28" i="98"/>
  <c r="BE28" i="98"/>
  <c r="BD28" i="98"/>
  <c r="BC28" i="98"/>
  <c r="BB28" i="98"/>
  <c r="BA28" i="98"/>
  <c r="AZ28" i="98"/>
  <c r="AY28" i="98"/>
  <c r="AX28" i="98"/>
  <c r="AW28" i="98"/>
  <c r="AV28" i="98"/>
  <c r="AU28" i="98"/>
  <c r="AT28" i="98"/>
  <c r="AS28" i="98"/>
  <c r="AR28" i="98"/>
  <c r="AQ28" i="98"/>
  <c r="AO28" i="98"/>
  <c r="AN28" i="98"/>
  <c r="AM28" i="98"/>
  <c r="AK28" i="98"/>
  <c r="AJ28" i="98"/>
  <c r="AI28" i="98"/>
  <c r="AG28" i="98"/>
  <c r="AF28" i="98"/>
  <c r="AE28" i="98"/>
  <c r="AC28" i="98"/>
  <c r="AB28" i="98"/>
  <c r="AA28" i="98"/>
  <c r="Y28" i="98"/>
  <c r="X28" i="98"/>
  <c r="W28" i="98"/>
  <c r="U28" i="98"/>
  <c r="T28" i="98"/>
  <c r="S28" i="98"/>
  <c r="R28" i="98"/>
  <c r="Q28" i="98"/>
  <c r="P28" i="98"/>
  <c r="O28" i="98"/>
  <c r="N28" i="98"/>
  <c r="M28" i="98"/>
  <c r="L28" i="98"/>
  <c r="K28" i="98"/>
  <c r="J28" i="98"/>
  <c r="I28" i="98"/>
  <c r="H28" i="98"/>
  <c r="G28" i="98"/>
  <c r="F28" i="98"/>
  <c r="E28" i="98"/>
  <c r="D28" i="98"/>
  <c r="C28" i="98"/>
  <c r="BI27" i="98"/>
  <c r="BH27" i="98"/>
  <c r="BG27" i="98"/>
  <c r="BE27" i="98"/>
  <c r="BD27" i="98"/>
  <c r="BC27" i="98"/>
  <c r="BA27" i="98"/>
  <c r="AZ27" i="98"/>
  <c r="AY27" i="98"/>
  <c r="AX27" i="98"/>
  <c r="AW27" i="98"/>
  <c r="AV27" i="98"/>
  <c r="AU27" i="98"/>
  <c r="AT27" i="98"/>
  <c r="AS27" i="98"/>
  <c r="AR27" i="98"/>
  <c r="AQ27" i="98"/>
  <c r="AO27" i="98"/>
  <c r="AN27" i="98"/>
  <c r="AM27" i="98"/>
  <c r="AK27" i="98"/>
  <c r="AJ27" i="98"/>
  <c r="AI27" i="98"/>
  <c r="AG27" i="98"/>
  <c r="AF27" i="98"/>
  <c r="AE27" i="98"/>
  <c r="AC27" i="98"/>
  <c r="AB27" i="98"/>
  <c r="AA27" i="98"/>
  <c r="Y27" i="98"/>
  <c r="X27" i="98"/>
  <c r="W27" i="98"/>
  <c r="U27" i="98"/>
  <c r="T27" i="98"/>
  <c r="S27" i="98"/>
  <c r="R27" i="98"/>
  <c r="Q27" i="98"/>
  <c r="P27" i="98"/>
  <c r="O27" i="98"/>
  <c r="N27" i="98"/>
  <c r="M27" i="98"/>
  <c r="L27" i="98"/>
  <c r="K27" i="98"/>
  <c r="J27" i="98"/>
  <c r="I27" i="98"/>
  <c r="H27" i="98"/>
  <c r="G27" i="98"/>
  <c r="F27" i="98"/>
  <c r="E27" i="98"/>
  <c r="D27" i="98"/>
  <c r="C27" i="98"/>
  <c r="BI26" i="98"/>
  <c r="BH26" i="98"/>
  <c r="BG26" i="98"/>
  <c r="BE26" i="98"/>
  <c r="BD26" i="98"/>
  <c r="BC26" i="98"/>
  <c r="BA26" i="98"/>
  <c r="AZ26" i="98"/>
  <c r="AY26" i="98"/>
  <c r="AX26" i="98"/>
  <c r="AW26" i="98"/>
  <c r="AV26" i="98"/>
  <c r="AU26" i="98"/>
  <c r="AT26" i="98"/>
  <c r="AS26" i="98"/>
  <c r="AR26" i="98"/>
  <c r="AQ26" i="98"/>
  <c r="AO26" i="98"/>
  <c r="AN26" i="98"/>
  <c r="AM26" i="98"/>
  <c r="AK26" i="98"/>
  <c r="AJ26" i="98"/>
  <c r="AI26" i="98"/>
  <c r="AG26" i="98"/>
  <c r="AF26" i="98"/>
  <c r="AE26" i="98"/>
  <c r="AC26" i="98"/>
  <c r="AB26" i="98"/>
  <c r="AA26" i="98"/>
  <c r="Y26" i="98"/>
  <c r="X26" i="98"/>
  <c r="W26" i="98"/>
  <c r="U26" i="98"/>
  <c r="T26" i="98"/>
  <c r="S26" i="98"/>
  <c r="R26" i="98"/>
  <c r="Q26" i="98"/>
  <c r="P26" i="98"/>
  <c r="O26" i="98"/>
  <c r="N26" i="98"/>
  <c r="M26" i="98"/>
  <c r="L26" i="98"/>
  <c r="K26" i="98"/>
  <c r="J26" i="98"/>
  <c r="I26" i="98"/>
  <c r="H26" i="98"/>
  <c r="G26" i="98"/>
  <c r="F26" i="98"/>
  <c r="E26" i="98"/>
  <c r="D26" i="98"/>
  <c r="C26" i="98"/>
  <c r="BI18" i="98"/>
  <c r="BI33" i="98"/>
  <c r="BH18" i="98"/>
  <c r="BG18" i="98"/>
  <c r="BE18" i="98"/>
  <c r="BD18" i="98"/>
  <c r="BC18" i="98"/>
  <c r="BB18" i="98"/>
  <c r="BA18" i="98"/>
  <c r="AZ18" i="98"/>
  <c r="AY18" i="98"/>
  <c r="AX18" i="98"/>
  <c r="AW18" i="98"/>
  <c r="AV18" i="98"/>
  <c r="AU18" i="98"/>
  <c r="AT18" i="98"/>
  <c r="AS18" i="98"/>
  <c r="AR18" i="98"/>
  <c r="AQ18" i="98"/>
  <c r="AO18" i="98"/>
  <c r="AN18" i="98"/>
  <c r="AM18" i="98"/>
  <c r="AK18" i="98"/>
  <c r="AJ18" i="98"/>
  <c r="AI18" i="98"/>
  <c r="AG18" i="98"/>
  <c r="AF18" i="98"/>
  <c r="AE18" i="98"/>
  <c r="AC18" i="98"/>
  <c r="AB18" i="98"/>
  <c r="AA18" i="98"/>
  <c r="Y18" i="98"/>
  <c r="X18" i="98"/>
  <c r="W18" i="98"/>
  <c r="U18" i="98"/>
  <c r="T18" i="98"/>
  <c r="S18" i="98"/>
  <c r="R18" i="98"/>
  <c r="Q18" i="98"/>
  <c r="P18" i="98"/>
  <c r="O18" i="98"/>
  <c r="N18" i="98"/>
  <c r="M18" i="98"/>
  <c r="L18" i="98"/>
  <c r="K18" i="98"/>
  <c r="J18" i="98"/>
  <c r="I18" i="98"/>
  <c r="H18" i="98"/>
  <c r="G18" i="98"/>
  <c r="F18" i="98"/>
  <c r="E18" i="98"/>
  <c r="D18" i="98"/>
  <c r="C18" i="98"/>
  <c r="BI17" i="98"/>
  <c r="BH17" i="98"/>
  <c r="BG17" i="98"/>
  <c r="BE17" i="98"/>
  <c r="BD17" i="98"/>
  <c r="BC17" i="98"/>
  <c r="BB17" i="98"/>
  <c r="BA17" i="98"/>
  <c r="AZ17" i="98"/>
  <c r="AY17" i="98"/>
  <c r="AX17" i="98"/>
  <c r="AW17" i="98"/>
  <c r="AV17" i="98"/>
  <c r="AU17" i="98"/>
  <c r="AT17" i="98"/>
  <c r="AS17" i="98"/>
  <c r="AR17" i="98"/>
  <c r="AQ17" i="98"/>
  <c r="AO17" i="98"/>
  <c r="AN17" i="98"/>
  <c r="AM17" i="98"/>
  <c r="AK17" i="98"/>
  <c r="AJ17" i="98"/>
  <c r="AI17" i="98"/>
  <c r="AG17" i="98"/>
  <c r="AF17" i="98"/>
  <c r="AE17" i="98"/>
  <c r="AC17" i="98"/>
  <c r="AB17" i="98"/>
  <c r="AA17" i="98"/>
  <c r="Y17" i="98"/>
  <c r="X17" i="98"/>
  <c r="W17" i="98"/>
  <c r="U17" i="98"/>
  <c r="T17" i="98"/>
  <c r="S17" i="98"/>
  <c r="R17" i="98"/>
  <c r="Q17" i="98"/>
  <c r="P17" i="98"/>
  <c r="O17" i="98"/>
  <c r="N17" i="98"/>
  <c r="M17" i="98"/>
  <c r="L17" i="98"/>
  <c r="K17" i="98"/>
  <c r="J17" i="98"/>
  <c r="I17" i="98"/>
  <c r="H17" i="98"/>
  <c r="G17" i="98"/>
  <c r="F17" i="98"/>
  <c r="E17" i="98"/>
  <c r="D17" i="98"/>
  <c r="C17" i="98"/>
  <c r="BI16" i="98"/>
  <c r="BH16" i="98"/>
  <c r="BG16" i="98"/>
  <c r="BE16" i="98"/>
  <c r="BD16" i="98"/>
  <c r="BC16" i="98"/>
  <c r="BB16" i="98"/>
  <c r="BA16" i="98"/>
  <c r="AZ16" i="98"/>
  <c r="AY16" i="98"/>
  <c r="AX16" i="98"/>
  <c r="AW16" i="98"/>
  <c r="AV16" i="98"/>
  <c r="AU16" i="98"/>
  <c r="AT16" i="98"/>
  <c r="AS16" i="98"/>
  <c r="AR16" i="98"/>
  <c r="AQ16" i="98"/>
  <c r="AO16" i="98"/>
  <c r="AN16" i="98"/>
  <c r="AM16" i="98"/>
  <c r="AK16" i="98"/>
  <c r="AJ16" i="98"/>
  <c r="AI16" i="98"/>
  <c r="AG16" i="98"/>
  <c r="AF16" i="98"/>
  <c r="AE16" i="98"/>
  <c r="AC16" i="98"/>
  <c r="AB16" i="98"/>
  <c r="AA16" i="98"/>
  <c r="Y16" i="98"/>
  <c r="X16" i="98"/>
  <c r="W16" i="98"/>
  <c r="U16" i="98"/>
  <c r="T16" i="98"/>
  <c r="S16" i="98"/>
  <c r="R16" i="98"/>
  <c r="Q16" i="98"/>
  <c r="P16" i="98"/>
  <c r="O16" i="98"/>
  <c r="N16" i="98"/>
  <c r="M16" i="98"/>
  <c r="L16" i="98"/>
  <c r="K16" i="98"/>
  <c r="J16" i="98"/>
  <c r="I16" i="98"/>
  <c r="H16" i="98"/>
  <c r="G16" i="98"/>
  <c r="F16" i="98"/>
  <c r="E16" i="98"/>
  <c r="D16" i="98"/>
  <c r="C16" i="98"/>
  <c r="BI13" i="98"/>
  <c r="BI36" i="98"/>
  <c r="BH13" i="98"/>
  <c r="BH36" i="98"/>
  <c r="BG13" i="98"/>
  <c r="BG36" i="98"/>
  <c r="BE13" i="98"/>
  <c r="BE36" i="98"/>
  <c r="BD13" i="98"/>
  <c r="BD36" i="98"/>
  <c r="BC13" i="98"/>
  <c r="BC36" i="98"/>
  <c r="BB13" i="98"/>
  <c r="BB36" i="98"/>
  <c r="BA13" i="98"/>
  <c r="BA36" i="98"/>
  <c r="AZ13" i="98"/>
  <c r="AZ36" i="98"/>
  <c r="AY13" i="98"/>
  <c r="AY36" i="98"/>
  <c r="AX13" i="98"/>
  <c r="AX36" i="98"/>
  <c r="AW13" i="98"/>
  <c r="AW36" i="98"/>
  <c r="AV13" i="98"/>
  <c r="AV36" i="98"/>
  <c r="AU13" i="98"/>
  <c r="AU36" i="98"/>
  <c r="AT13" i="98"/>
  <c r="AT36" i="98"/>
  <c r="AS13" i="98"/>
  <c r="AS36" i="98"/>
  <c r="AR13" i="98"/>
  <c r="AR36" i="98"/>
  <c r="BI12" i="98"/>
  <c r="BI35" i="98"/>
  <c r="BH12" i="98"/>
  <c r="BH35" i="98"/>
  <c r="BG12" i="98"/>
  <c r="BG35" i="98"/>
  <c r="BE12" i="98"/>
  <c r="BE35" i="98"/>
  <c r="BD12" i="98"/>
  <c r="BD35" i="98"/>
  <c r="BC12" i="98"/>
  <c r="BC35" i="98"/>
  <c r="BB12" i="98"/>
  <c r="BB35" i="98"/>
  <c r="BA12" i="98"/>
  <c r="BA35" i="98"/>
  <c r="AZ12" i="98"/>
  <c r="AZ35" i="98"/>
  <c r="AY12" i="98"/>
  <c r="AY35" i="98"/>
  <c r="AX12" i="98"/>
  <c r="AX35" i="98"/>
  <c r="AW12" i="98"/>
  <c r="AW35" i="98"/>
  <c r="AV12" i="98"/>
  <c r="AV35" i="98"/>
  <c r="AU12" i="98"/>
  <c r="AU35" i="98"/>
  <c r="AT12" i="98"/>
  <c r="AT35" i="98"/>
  <c r="AS12" i="98"/>
  <c r="AS35" i="98"/>
  <c r="AR12" i="98"/>
  <c r="AR35" i="98"/>
  <c r="BI11" i="98"/>
  <c r="BH11" i="98"/>
  <c r="BG11" i="98"/>
  <c r="BE11" i="98"/>
  <c r="BD11" i="98"/>
  <c r="BC11" i="98"/>
  <c r="BC14" i="98"/>
  <c r="BB11" i="98"/>
  <c r="BB14" i="98"/>
  <c r="BA11" i="98"/>
  <c r="AZ11" i="98"/>
  <c r="AY11" i="98"/>
  <c r="AX11" i="98"/>
  <c r="AW11" i="98"/>
  <c r="AV11" i="98"/>
  <c r="AU11" i="98"/>
  <c r="AU14" i="98"/>
  <c r="AT11" i="98"/>
  <c r="AT14" i="98"/>
  <c r="AS11" i="98"/>
  <c r="AR11" i="98"/>
  <c r="BI8" i="98"/>
  <c r="BH8" i="98"/>
  <c r="BH34" i="98"/>
  <c r="BG8" i="98"/>
  <c r="BE8" i="98"/>
  <c r="BD8" i="98"/>
  <c r="BC8" i="98"/>
  <c r="BB8" i="98"/>
  <c r="BA8" i="98"/>
  <c r="AZ8" i="98"/>
  <c r="AY8" i="98"/>
  <c r="AX8" i="98"/>
  <c r="AW8" i="98"/>
  <c r="AV8" i="98"/>
  <c r="AU8" i="98"/>
  <c r="AT8" i="98"/>
  <c r="AS8" i="98"/>
  <c r="AR8" i="98"/>
  <c r="AQ8" i="98"/>
  <c r="AO8" i="98"/>
  <c r="AN8" i="98"/>
  <c r="AM8" i="98"/>
  <c r="AK8" i="98"/>
  <c r="AJ8" i="98"/>
  <c r="AI8" i="98"/>
  <c r="AG8" i="98"/>
  <c r="AF8" i="98"/>
  <c r="AE8" i="98"/>
  <c r="AC8" i="98"/>
  <c r="AB8" i="98"/>
  <c r="AA8" i="98"/>
  <c r="Y8" i="98"/>
  <c r="X8" i="98"/>
  <c r="W8" i="98"/>
  <c r="U8" i="98"/>
  <c r="T8" i="98"/>
  <c r="S8" i="98"/>
  <c r="R8" i="98"/>
  <c r="Q8" i="98"/>
  <c r="Q34" i="98"/>
  <c r="P8" i="98"/>
  <c r="P34" i="98"/>
  <c r="O8" i="98"/>
  <c r="N8" i="98"/>
  <c r="M8" i="98"/>
  <c r="L8" i="98"/>
  <c r="K8" i="98"/>
  <c r="J8" i="98"/>
  <c r="I8" i="98"/>
  <c r="I34" i="98"/>
  <c r="H8" i="98"/>
  <c r="H34" i="98"/>
  <c r="G8" i="98"/>
  <c r="F8" i="98"/>
  <c r="E8" i="98"/>
  <c r="D8" i="98"/>
  <c r="C8" i="98"/>
  <c r="BI7" i="98"/>
  <c r="BH7" i="98"/>
  <c r="BG7" i="98"/>
  <c r="BE7" i="98"/>
  <c r="BD7" i="98"/>
  <c r="BC7" i="98"/>
  <c r="BB7" i="98"/>
  <c r="BA7" i="98"/>
  <c r="AZ7" i="98"/>
  <c r="AY7" i="98"/>
  <c r="AX7" i="98"/>
  <c r="AW7" i="98"/>
  <c r="AV7" i="98"/>
  <c r="AU7" i="98"/>
  <c r="AT7" i="98"/>
  <c r="AS7" i="98"/>
  <c r="AR7" i="98"/>
  <c r="AQ7" i="98"/>
  <c r="AO7" i="98"/>
  <c r="AN7" i="98"/>
  <c r="AM7" i="98"/>
  <c r="AK7" i="98"/>
  <c r="AJ7" i="98"/>
  <c r="AI7" i="98"/>
  <c r="AG7" i="98"/>
  <c r="AF7" i="98"/>
  <c r="AE7" i="98"/>
  <c r="AC7" i="98"/>
  <c r="AB7" i="98"/>
  <c r="AA7" i="98"/>
  <c r="Y7" i="98"/>
  <c r="X7" i="98"/>
  <c r="W7" i="98"/>
  <c r="U7" i="98"/>
  <c r="T7" i="98"/>
  <c r="S7" i="98"/>
  <c r="R7" i="98"/>
  <c r="Q7" i="98"/>
  <c r="P7" i="98"/>
  <c r="O7" i="98"/>
  <c r="N7" i="98"/>
  <c r="M7" i="98"/>
  <c r="L7" i="98"/>
  <c r="K7" i="98"/>
  <c r="J7" i="98"/>
  <c r="I7" i="98"/>
  <c r="H7" i="98"/>
  <c r="G7" i="98"/>
  <c r="F7" i="98"/>
  <c r="E7" i="98"/>
  <c r="D7" i="98"/>
  <c r="C7" i="98"/>
  <c r="BI6" i="98"/>
  <c r="BH6" i="98"/>
  <c r="BG6" i="98"/>
  <c r="BE6" i="98"/>
  <c r="BD6" i="98"/>
  <c r="BC6" i="98"/>
  <c r="BB6" i="98"/>
  <c r="BA6" i="98"/>
  <c r="AZ6" i="98"/>
  <c r="AY6" i="98"/>
  <c r="AX6" i="98"/>
  <c r="AW6" i="98"/>
  <c r="AV6" i="98"/>
  <c r="AU6" i="98"/>
  <c r="AT6" i="98"/>
  <c r="AS6" i="98"/>
  <c r="AR6" i="98"/>
  <c r="AQ6" i="98"/>
  <c r="AO6" i="98"/>
  <c r="AN6" i="98"/>
  <c r="AM6" i="98"/>
  <c r="AK6" i="98"/>
  <c r="AJ6" i="98"/>
  <c r="AI6" i="98"/>
  <c r="AG6" i="98"/>
  <c r="AG31" i="98"/>
  <c r="AF6" i="98"/>
  <c r="AE6" i="98"/>
  <c r="AC6" i="98"/>
  <c r="AB6" i="98"/>
  <c r="AA6" i="98"/>
  <c r="Y6" i="98"/>
  <c r="X6" i="98"/>
  <c r="W6" i="98"/>
  <c r="U6" i="98"/>
  <c r="T6" i="98"/>
  <c r="S6" i="98"/>
  <c r="R6" i="98"/>
  <c r="R31" i="98"/>
  <c r="Q6" i="98"/>
  <c r="P6" i="98"/>
  <c r="O6" i="98"/>
  <c r="N6" i="98"/>
  <c r="M6" i="98"/>
  <c r="L6" i="98"/>
  <c r="K6" i="98"/>
  <c r="J6" i="98"/>
  <c r="I6" i="98"/>
  <c r="H6" i="98"/>
  <c r="G6" i="98"/>
  <c r="F6" i="98"/>
  <c r="E6" i="98"/>
  <c r="D6" i="98"/>
  <c r="C6" i="98"/>
  <c r="S102" i="274"/>
  <c r="R102" i="274"/>
  <c r="Q102" i="274"/>
  <c r="P102" i="274"/>
  <c r="O102" i="274"/>
  <c r="N102" i="274"/>
  <c r="M102" i="274"/>
  <c r="L102" i="274"/>
  <c r="K102" i="274"/>
  <c r="J102" i="274"/>
  <c r="I102" i="274"/>
  <c r="H102" i="274"/>
  <c r="G102" i="274"/>
  <c r="F102" i="274"/>
  <c r="E102" i="274"/>
  <c r="D102" i="274"/>
  <c r="BN99" i="274"/>
  <c r="BM99" i="274"/>
  <c r="BL99" i="274"/>
  <c r="BJ99" i="274"/>
  <c r="BI99" i="274"/>
  <c r="BH99" i="274"/>
  <c r="BF99" i="274"/>
  <c r="BE99" i="274"/>
  <c r="BD99" i="274"/>
  <c r="BC99" i="274"/>
  <c r="BB99" i="274"/>
  <c r="BA99" i="274"/>
  <c r="AZ99" i="274"/>
  <c r="AP99" i="274"/>
  <c r="AO99" i="274"/>
  <c r="AN99" i="274"/>
  <c r="AL99" i="274"/>
  <c r="AK99" i="274"/>
  <c r="AJ99" i="274"/>
  <c r="AH99" i="274"/>
  <c r="AG99" i="274"/>
  <c r="AF99" i="274"/>
  <c r="AD99" i="274"/>
  <c r="AC99" i="274"/>
  <c r="AB99" i="274"/>
  <c r="Z99" i="274"/>
  <c r="Y99" i="274"/>
  <c r="X99" i="274"/>
  <c r="V99" i="274"/>
  <c r="U99" i="274"/>
  <c r="T99" i="274"/>
  <c r="BO98" i="274"/>
  <c r="BK98" i="274"/>
  <c r="BG98" i="274"/>
  <c r="AQ98" i="274"/>
  <c r="AM98" i="274"/>
  <c r="AI98" i="274"/>
  <c r="AE98" i="274"/>
  <c r="AA98" i="274"/>
  <c r="W98" i="274"/>
  <c r="BO97" i="274"/>
  <c r="BK97" i="274"/>
  <c r="BG97" i="274"/>
  <c r="AQ97" i="274"/>
  <c r="AM97" i="274"/>
  <c r="AI97" i="274"/>
  <c r="AE97" i="274"/>
  <c r="AA97" i="274"/>
  <c r="W97" i="274"/>
  <c r="BO96" i="274"/>
  <c r="BK96" i="274"/>
  <c r="BG96" i="274"/>
  <c r="AQ96" i="274"/>
  <c r="AM96" i="274"/>
  <c r="AI96" i="274"/>
  <c r="AE96" i="274"/>
  <c r="AA96" i="274"/>
  <c r="W96" i="274"/>
  <c r="BO95" i="274"/>
  <c r="BK95" i="274"/>
  <c r="BG95" i="274"/>
  <c r="AQ95" i="274"/>
  <c r="AM95" i="274"/>
  <c r="AI95" i="274"/>
  <c r="AE95" i="274"/>
  <c r="AA95" i="274"/>
  <c r="W95" i="274"/>
  <c r="BN94" i="274"/>
  <c r="BM94" i="274"/>
  <c r="BL94" i="274"/>
  <c r="BJ94" i="274"/>
  <c r="BI94" i="274"/>
  <c r="BH94" i="274"/>
  <c r="BF94" i="274"/>
  <c r="BE94" i="274"/>
  <c r="BD94" i="274"/>
  <c r="BB94" i="274"/>
  <c r="BA94" i="274"/>
  <c r="AZ94" i="274"/>
  <c r="AP94" i="274"/>
  <c r="AO94" i="274"/>
  <c r="AN94" i="274"/>
  <c r="AL94" i="274"/>
  <c r="AK94" i="274"/>
  <c r="AJ94" i="274"/>
  <c r="AH94" i="274"/>
  <c r="AG94" i="274"/>
  <c r="AF94" i="274"/>
  <c r="AD94" i="274"/>
  <c r="AC94" i="274"/>
  <c r="AB94" i="274"/>
  <c r="Z94" i="274"/>
  <c r="Y94" i="274"/>
  <c r="X94" i="274"/>
  <c r="V94" i="274"/>
  <c r="U94" i="274"/>
  <c r="T94" i="274"/>
  <c r="BO93" i="274"/>
  <c r="BK93" i="274"/>
  <c r="BG93" i="274"/>
  <c r="BC93" i="274"/>
  <c r="AQ93" i="274"/>
  <c r="AM93" i="274"/>
  <c r="AI93" i="274"/>
  <c r="AE93" i="274"/>
  <c r="AA93" i="274"/>
  <c r="W93" i="274"/>
  <c r="BO92" i="274"/>
  <c r="BK92" i="274"/>
  <c r="BG92" i="274"/>
  <c r="BC92" i="274"/>
  <c r="AQ92" i="274"/>
  <c r="AM92" i="274"/>
  <c r="AI92" i="274"/>
  <c r="AE92" i="274"/>
  <c r="AA92" i="274"/>
  <c r="W92" i="274"/>
  <c r="BO91" i="274"/>
  <c r="BK91" i="274"/>
  <c r="BG91" i="274"/>
  <c r="BC91" i="274"/>
  <c r="AQ91" i="274"/>
  <c r="AM91" i="274"/>
  <c r="AI91" i="274"/>
  <c r="AE91" i="274"/>
  <c r="AA91" i="274"/>
  <c r="W91" i="274"/>
  <c r="BO90" i="274"/>
  <c r="BK90" i="274"/>
  <c r="BG90" i="274"/>
  <c r="BC90" i="274"/>
  <c r="AQ90" i="274"/>
  <c r="AM90" i="274"/>
  <c r="AI90" i="274"/>
  <c r="AE90" i="274"/>
  <c r="AA90" i="274"/>
  <c r="W90" i="274"/>
  <c r="BO89" i="274"/>
  <c r="BK89" i="274"/>
  <c r="BG89" i="274"/>
  <c r="BC89" i="274"/>
  <c r="AQ89" i="274"/>
  <c r="AM89" i="274"/>
  <c r="AI89" i="274"/>
  <c r="AE89" i="274"/>
  <c r="AA89" i="274"/>
  <c r="W89" i="274"/>
  <c r="BO88" i="274"/>
  <c r="BK88" i="274"/>
  <c r="BG88" i="274"/>
  <c r="BC88" i="274"/>
  <c r="AQ88" i="274"/>
  <c r="AM88" i="274"/>
  <c r="AI88" i="274"/>
  <c r="AE88" i="274"/>
  <c r="AA88" i="274"/>
  <c r="W88" i="274"/>
  <c r="BO87" i="274"/>
  <c r="BK87" i="274"/>
  <c r="BG87" i="274"/>
  <c r="BC87" i="274"/>
  <c r="AQ87" i="274"/>
  <c r="AM87" i="274"/>
  <c r="AI87" i="274"/>
  <c r="AE87" i="274"/>
  <c r="AA87" i="274"/>
  <c r="W87" i="274"/>
  <c r="BO86" i="274"/>
  <c r="BK86" i="274"/>
  <c r="BG86" i="274"/>
  <c r="BC86" i="274"/>
  <c r="AQ86" i="274"/>
  <c r="AM86" i="274"/>
  <c r="AI86" i="274"/>
  <c r="AE86" i="274"/>
  <c r="AA86" i="274"/>
  <c r="W86" i="274"/>
  <c r="BN85" i="274"/>
  <c r="BM85" i="274"/>
  <c r="BL85" i="274"/>
  <c r="BL100" i="274"/>
  <c r="BJ85" i="274"/>
  <c r="BI85" i="274"/>
  <c r="BH85" i="274"/>
  <c r="BF85" i="274"/>
  <c r="BE85" i="274"/>
  <c r="BD85" i="274"/>
  <c r="BB85" i="274"/>
  <c r="BA85" i="274"/>
  <c r="AZ85" i="274"/>
  <c r="AZ100" i="274"/>
  <c r="AP85" i="274"/>
  <c r="AO85" i="274"/>
  <c r="AN85" i="274"/>
  <c r="AL85" i="274"/>
  <c r="AK85" i="274"/>
  <c r="AJ85" i="274"/>
  <c r="AH85" i="274"/>
  <c r="AG85" i="274"/>
  <c r="AF85" i="274"/>
  <c r="AD85" i="274"/>
  <c r="AC85" i="274"/>
  <c r="AB85" i="274"/>
  <c r="Z85" i="274"/>
  <c r="Y85" i="274"/>
  <c r="X85" i="274"/>
  <c r="X100" i="274"/>
  <c r="V85" i="274"/>
  <c r="U85" i="274"/>
  <c r="T85" i="274"/>
  <c r="BO84" i="274"/>
  <c r="BK84" i="274"/>
  <c r="BG84" i="274"/>
  <c r="BC84" i="274"/>
  <c r="AQ84" i="274"/>
  <c r="AM84" i="274"/>
  <c r="AI84" i="274"/>
  <c r="AE84" i="274"/>
  <c r="AA84" i="274"/>
  <c r="W84" i="274"/>
  <c r="BO83" i="274"/>
  <c r="BK83" i="274"/>
  <c r="BG83" i="274"/>
  <c r="BC83" i="274"/>
  <c r="AQ83" i="274"/>
  <c r="AM83" i="274"/>
  <c r="AI83" i="274"/>
  <c r="AE83" i="274"/>
  <c r="AA83" i="274"/>
  <c r="W83" i="274"/>
  <c r="BO82" i="274"/>
  <c r="BK82" i="274"/>
  <c r="BG82" i="274"/>
  <c r="BC82" i="274"/>
  <c r="AQ82" i="274"/>
  <c r="AM82" i="274"/>
  <c r="AI82" i="274"/>
  <c r="AE82" i="274"/>
  <c r="AA82" i="274"/>
  <c r="W82" i="274"/>
  <c r="BO81" i="274"/>
  <c r="BK81" i="274"/>
  <c r="BG81" i="274"/>
  <c r="BC81" i="274"/>
  <c r="AQ81" i="274"/>
  <c r="AM81" i="274"/>
  <c r="AI81" i="274"/>
  <c r="AE81" i="274"/>
  <c r="AA81" i="274"/>
  <c r="W81" i="274"/>
  <c r="BO80" i="274"/>
  <c r="BK80" i="274"/>
  <c r="BG80" i="274"/>
  <c r="BC80" i="274"/>
  <c r="AQ80" i="274"/>
  <c r="AM80" i="274"/>
  <c r="AI80" i="274"/>
  <c r="AE80" i="274"/>
  <c r="AA80" i="274"/>
  <c r="W80" i="274"/>
  <c r="BO79" i="274"/>
  <c r="BK79" i="274"/>
  <c r="BG79" i="274"/>
  <c r="BC79" i="274"/>
  <c r="AQ79" i="274"/>
  <c r="AM79" i="274"/>
  <c r="AL26" i="98"/>
  <c r="AI79" i="274"/>
  <c r="AE79" i="274"/>
  <c r="AA79" i="274"/>
  <c r="W79" i="274"/>
  <c r="W85" i="274"/>
  <c r="BN69" i="274"/>
  <c r="BM69" i="274"/>
  <c r="BL69" i="274"/>
  <c r="BJ69" i="274"/>
  <c r="BI69" i="274"/>
  <c r="BH69" i="274"/>
  <c r="BF69" i="274"/>
  <c r="BE69" i="274"/>
  <c r="BD69" i="274"/>
  <c r="BC69" i="274"/>
  <c r="BB69" i="274"/>
  <c r="BA69" i="274"/>
  <c r="AZ69" i="274"/>
  <c r="AP69" i="274"/>
  <c r="AO69" i="274"/>
  <c r="AN69" i="274"/>
  <c r="AL69" i="274"/>
  <c r="AK69" i="274"/>
  <c r="AJ69" i="274"/>
  <c r="AH69" i="274"/>
  <c r="AG69" i="274"/>
  <c r="AF69" i="274"/>
  <c r="AD69" i="274"/>
  <c r="AC69" i="274"/>
  <c r="AB69" i="274"/>
  <c r="Z69" i="274"/>
  <c r="Y69" i="274"/>
  <c r="X69" i="274"/>
  <c r="V69" i="274"/>
  <c r="U69" i="274"/>
  <c r="T69" i="274"/>
  <c r="BO68" i="274"/>
  <c r="BK68" i="274"/>
  <c r="BG68" i="274"/>
  <c r="AQ68" i="274"/>
  <c r="AM68" i="274"/>
  <c r="AI68" i="274"/>
  <c r="AE68" i="274"/>
  <c r="AA68" i="274"/>
  <c r="W68" i="274"/>
  <c r="BO67" i="274"/>
  <c r="BK67" i="274"/>
  <c r="BG67" i="274"/>
  <c r="AQ67" i="274"/>
  <c r="AM67" i="274"/>
  <c r="AI67" i="274"/>
  <c r="AE67" i="274"/>
  <c r="AA67" i="274"/>
  <c r="W67" i="274"/>
  <c r="BO66" i="274"/>
  <c r="BK66" i="274"/>
  <c r="BG66" i="274"/>
  <c r="AQ66" i="274"/>
  <c r="AM66" i="274"/>
  <c r="AI66" i="274"/>
  <c r="AE66" i="274"/>
  <c r="AA66" i="274"/>
  <c r="W66" i="274"/>
  <c r="BO65" i="274"/>
  <c r="BK65" i="274"/>
  <c r="BG65" i="274"/>
  <c r="AQ65" i="274"/>
  <c r="AM65" i="274"/>
  <c r="AI65" i="274"/>
  <c r="AE65" i="274"/>
  <c r="AA65" i="274"/>
  <c r="W65" i="274"/>
  <c r="BO64" i="274"/>
  <c r="BK64" i="274"/>
  <c r="BG64" i="274"/>
  <c r="AQ64" i="274"/>
  <c r="AM64" i="274"/>
  <c r="AI64" i="274"/>
  <c r="AE64" i="274"/>
  <c r="AA64" i="274"/>
  <c r="W64" i="274"/>
  <c r="BO63" i="274"/>
  <c r="BK63" i="274"/>
  <c r="BG63" i="274"/>
  <c r="AQ63" i="274"/>
  <c r="AM63" i="274"/>
  <c r="AI63" i="274"/>
  <c r="AE63" i="274"/>
  <c r="AA63" i="274"/>
  <c r="W63" i="274"/>
  <c r="BN62" i="274"/>
  <c r="BM62" i="274"/>
  <c r="BM70" i="274"/>
  <c r="BM102" i="274"/>
  <c r="BL62" i="274"/>
  <c r="BJ62" i="274"/>
  <c r="BI62" i="274"/>
  <c r="BH62" i="274"/>
  <c r="BF62" i="274"/>
  <c r="BE62" i="274"/>
  <c r="BD62" i="274"/>
  <c r="BC62" i="274"/>
  <c r="BB62" i="274"/>
  <c r="BA62" i="274"/>
  <c r="AZ62" i="274"/>
  <c r="AP62" i="274"/>
  <c r="AO62" i="274"/>
  <c r="AN62" i="274"/>
  <c r="AL62" i="274"/>
  <c r="AK62" i="274"/>
  <c r="AJ62" i="274"/>
  <c r="AH62" i="274"/>
  <c r="AG62" i="274"/>
  <c r="AF62" i="274"/>
  <c r="AD62" i="274"/>
  <c r="AC62" i="274"/>
  <c r="AB62" i="274"/>
  <c r="Z62" i="274"/>
  <c r="Y62" i="274"/>
  <c r="X62" i="274"/>
  <c r="V62" i="274"/>
  <c r="U62" i="274"/>
  <c r="T62" i="274"/>
  <c r="BO61" i="274"/>
  <c r="BK61" i="274"/>
  <c r="BG61" i="274"/>
  <c r="AQ61" i="274"/>
  <c r="AM61" i="274"/>
  <c r="AI61" i="274"/>
  <c r="AE61" i="274"/>
  <c r="AA61" i="274"/>
  <c r="W61" i="274"/>
  <c r="BO60" i="274"/>
  <c r="BK60" i="274"/>
  <c r="BG60" i="274"/>
  <c r="AQ60" i="274"/>
  <c r="AM60" i="274"/>
  <c r="AI60" i="274"/>
  <c r="AE60" i="274"/>
  <c r="AA60" i="274"/>
  <c r="W60" i="274"/>
  <c r="BO59" i="274"/>
  <c r="BK59" i="274"/>
  <c r="BG59" i="274"/>
  <c r="AQ59" i="274"/>
  <c r="AM59" i="274"/>
  <c r="AI59" i="274"/>
  <c r="AE59" i="274"/>
  <c r="AA59" i="274"/>
  <c r="W59" i="274"/>
  <c r="BO58" i="274"/>
  <c r="BK58" i="274"/>
  <c r="BG58" i="274"/>
  <c r="AQ58" i="274"/>
  <c r="AM58" i="274"/>
  <c r="AI58" i="274"/>
  <c r="AE58" i="274"/>
  <c r="AA58" i="274"/>
  <c r="W58" i="274"/>
  <c r="BO57" i="274"/>
  <c r="BK57" i="274"/>
  <c r="BG57" i="274"/>
  <c r="AQ57" i="274"/>
  <c r="AM57" i="274"/>
  <c r="AI57" i="274"/>
  <c r="AE57" i="274"/>
  <c r="AA57" i="274"/>
  <c r="W57" i="274"/>
  <c r="BO56" i="274"/>
  <c r="BK56" i="274"/>
  <c r="BG56" i="274"/>
  <c r="AQ56" i="274"/>
  <c r="AM56" i="274"/>
  <c r="AI56" i="274"/>
  <c r="AE56" i="274"/>
  <c r="AA56" i="274"/>
  <c r="W56" i="274"/>
  <c r="BO55" i="274"/>
  <c r="BK55" i="274"/>
  <c r="BG55" i="274"/>
  <c r="AQ55" i="274"/>
  <c r="AM55" i="274"/>
  <c r="AI55" i="274"/>
  <c r="AE55" i="274"/>
  <c r="AA55" i="274"/>
  <c r="W55" i="274"/>
  <c r="BO54" i="274"/>
  <c r="BK54" i="274"/>
  <c r="BG54" i="274"/>
  <c r="AQ54" i="274"/>
  <c r="AM54" i="274"/>
  <c r="AI54" i="274"/>
  <c r="AE54" i="274"/>
  <c r="AA54" i="274"/>
  <c r="W54" i="274"/>
  <c r="BO53" i="274"/>
  <c r="BK53" i="274"/>
  <c r="BG53" i="274"/>
  <c r="AQ53" i="274"/>
  <c r="AM53" i="274"/>
  <c r="AI53" i="274"/>
  <c r="AE53" i="274"/>
  <c r="AA53" i="274"/>
  <c r="W53" i="274"/>
  <c r="BO52" i="274"/>
  <c r="BK52" i="274"/>
  <c r="BG52" i="274"/>
  <c r="AQ52" i="274"/>
  <c r="AM52" i="274"/>
  <c r="AI52" i="274"/>
  <c r="AE52" i="274"/>
  <c r="AA52" i="274"/>
  <c r="W52" i="274"/>
  <c r="BO51" i="274"/>
  <c r="BK51" i="274"/>
  <c r="BG51" i="274"/>
  <c r="AQ51" i="274"/>
  <c r="AM51" i="274"/>
  <c r="AI51" i="274"/>
  <c r="AE51" i="274"/>
  <c r="AA51" i="274"/>
  <c r="W51" i="274"/>
  <c r="BN50" i="274"/>
  <c r="BM50" i="274"/>
  <c r="BL50" i="274"/>
  <c r="BJ50" i="274"/>
  <c r="BI50" i="274"/>
  <c r="BH50" i="274"/>
  <c r="BF50" i="274"/>
  <c r="BE50" i="274"/>
  <c r="BD50" i="274"/>
  <c r="BC50" i="274"/>
  <c r="BB50" i="274"/>
  <c r="BA50" i="274"/>
  <c r="AZ50" i="274"/>
  <c r="AP50" i="274"/>
  <c r="AO50" i="274"/>
  <c r="AN50" i="274"/>
  <c r="AL50" i="274"/>
  <c r="AK50" i="274"/>
  <c r="AJ50" i="274"/>
  <c r="AH50" i="274"/>
  <c r="AG50" i="274"/>
  <c r="AF50" i="274"/>
  <c r="AD50" i="274"/>
  <c r="AC50" i="274"/>
  <c r="AB50" i="274"/>
  <c r="Z50" i="274"/>
  <c r="Y50" i="274"/>
  <c r="X50" i="274"/>
  <c r="V50" i="274"/>
  <c r="U50" i="274"/>
  <c r="T50" i="274"/>
  <c r="BO49" i="274"/>
  <c r="BK49" i="274"/>
  <c r="BG49" i="274"/>
  <c r="AQ49" i="274"/>
  <c r="AM49" i="274"/>
  <c r="AI49" i="274"/>
  <c r="AE49" i="274"/>
  <c r="AA49" i="274"/>
  <c r="W49" i="274"/>
  <c r="BO48" i="274"/>
  <c r="BK48" i="274"/>
  <c r="BG48" i="274"/>
  <c r="AQ48" i="274"/>
  <c r="AM48" i="274"/>
  <c r="AI48" i="274"/>
  <c r="AE48" i="274"/>
  <c r="AA48" i="274"/>
  <c r="W48" i="274"/>
  <c r="BO47" i="274"/>
  <c r="BK47" i="274"/>
  <c r="BG47" i="274"/>
  <c r="AQ47" i="274"/>
  <c r="AM47" i="274"/>
  <c r="AI47" i="274"/>
  <c r="AE47" i="274"/>
  <c r="AA47" i="274"/>
  <c r="W47" i="274"/>
  <c r="BO46" i="274"/>
  <c r="BK46" i="274"/>
  <c r="BG46" i="274"/>
  <c r="AQ46" i="274"/>
  <c r="AM46" i="274"/>
  <c r="AI46" i="274"/>
  <c r="AE46" i="274"/>
  <c r="AA46" i="274"/>
  <c r="W46" i="274"/>
  <c r="BO45" i="274"/>
  <c r="BK45" i="274"/>
  <c r="BG45" i="274"/>
  <c r="AQ45" i="274"/>
  <c r="AM45" i="274"/>
  <c r="AI45" i="274"/>
  <c r="AE45" i="274"/>
  <c r="AA45" i="274"/>
  <c r="W45" i="274"/>
  <c r="BO44" i="274"/>
  <c r="BK44" i="274"/>
  <c r="BG44" i="274"/>
  <c r="AQ44" i="274"/>
  <c r="AM44" i="274"/>
  <c r="AI44" i="274"/>
  <c r="AE44" i="274"/>
  <c r="AA44" i="274"/>
  <c r="W44" i="274"/>
  <c r="BO43" i="274"/>
  <c r="BK43" i="274"/>
  <c r="BG43" i="274"/>
  <c r="AQ43" i="274"/>
  <c r="AM43" i="274"/>
  <c r="AI43" i="274"/>
  <c r="AE43" i="274"/>
  <c r="AA43" i="274"/>
  <c r="W43" i="274"/>
  <c r="BO42" i="274"/>
  <c r="BK42" i="274"/>
  <c r="BG42" i="274"/>
  <c r="AQ42" i="274"/>
  <c r="AM42" i="274"/>
  <c r="AI42" i="274"/>
  <c r="AE42" i="274"/>
  <c r="AA42" i="274"/>
  <c r="W42" i="274"/>
  <c r="BO41" i="274"/>
  <c r="BK41" i="274"/>
  <c r="BG41" i="274"/>
  <c r="AQ41" i="274"/>
  <c r="AM41" i="274"/>
  <c r="AI41" i="274"/>
  <c r="AE41" i="274"/>
  <c r="AA41" i="274"/>
  <c r="W41" i="274"/>
  <c r="BJ39" i="274"/>
  <c r="BI39" i="274"/>
  <c r="BH39" i="274"/>
  <c r="BF39" i="274"/>
  <c r="BE39" i="274"/>
  <c r="BD39" i="274"/>
  <c r="BC39" i="274"/>
  <c r="BB39" i="274"/>
  <c r="BA39" i="274"/>
  <c r="AZ39" i="274"/>
  <c r="BO37" i="274"/>
  <c r="BK37" i="274"/>
  <c r="BG37" i="274"/>
  <c r="BO36" i="274"/>
  <c r="BK36" i="274"/>
  <c r="BG36" i="274"/>
  <c r="BO35" i="274"/>
  <c r="BK35" i="274"/>
  <c r="BG35" i="274"/>
  <c r="BN34" i="274"/>
  <c r="BM34" i="274"/>
  <c r="BL34" i="274"/>
  <c r="BJ34" i="274"/>
  <c r="BI34" i="274"/>
  <c r="BH34" i="274"/>
  <c r="BF34" i="274"/>
  <c r="BE34" i="274"/>
  <c r="BD34" i="274"/>
  <c r="BC34" i="274"/>
  <c r="BB34" i="274"/>
  <c r="BA34" i="274"/>
  <c r="AZ34" i="274"/>
  <c r="BO33" i="274"/>
  <c r="BK33" i="274"/>
  <c r="BG33" i="274"/>
  <c r="BO32" i="274"/>
  <c r="BK32" i="274"/>
  <c r="BG32" i="274"/>
  <c r="BO31" i="274"/>
  <c r="BK31" i="274"/>
  <c r="BG31" i="274"/>
  <c r="BN30" i="274"/>
  <c r="BM30" i="274"/>
  <c r="BM40" i="274"/>
  <c r="BL30" i="274"/>
  <c r="BJ30" i="274"/>
  <c r="BI30" i="274"/>
  <c r="BH30" i="274"/>
  <c r="BF30" i="274"/>
  <c r="BE30" i="274"/>
  <c r="BD30" i="274"/>
  <c r="BC30" i="274"/>
  <c r="BB30" i="274"/>
  <c r="BB40" i="274"/>
  <c r="BA30" i="274"/>
  <c r="AZ30" i="274"/>
  <c r="BO29" i="274"/>
  <c r="BK29" i="274"/>
  <c r="BG29" i="274"/>
  <c r="BO28" i="274"/>
  <c r="BK28" i="274"/>
  <c r="BG28" i="274"/>
  <c r="BO26" i="274"/>
  <c r="BK26" i="274"/>
  <c r="BG26" i="274"/>
  <c r="BN24" i="274"/>
  <c r="BM24" i="274"/>
  <c r="BL24" i="274"/>
  <c r="BJ24" i="274"/>
  <c r="BI24" i="274"/>
  <c r="BH24" i="274"/>
  <c r="BF24" i="274"/>
  <c r="BE24" i="274"/>
  <c r="BD24" i="274"/>
  <c r="BC24" i="274"/>
  <c r="BB24" i="274"/>
  <c r="BA24" i="274"/>
  <c r="AZ24" i="274"/>
  <c r="AP24" i="274"/>
  <c r="AO24" i="274"/>
  <c r="AN24" i="274"/>
  <c r="AL24" i="274"/>
  <c r="AK24" i="274"/>
  <c r="AJ24" i="274"/>
  <c r="AH24" i="274"/>
  <c r="AG24" i="274"/>
  <c r="AF24" i="274"/>
  <c r="AD24" i="274"/>
  <c r="AC24" i="274"/>
  <c r="AB24" i="274"/>
  <c r="Z24" i="274"/>
  <c r="Y24" i="274"/>
  <c r="X24" i="274"/>
  <c r="V24" i="274"/>
  <c r="U24" i="274"/>
  <c r="T24" i="274"/>
  <c r="BO23" i="274"/>
  <c r="BK23" i="274"/>
  <c r="BG23" i="274"/>
  <c r="AQ23" i="274"/>
  <c r="AM23" i="274"/>
  <c r="AI23" i="274"/>
  <c r="AE23" i="274"/>
  <c r="AA23" i="274"/>
  <c r="W23" i="274"/>
  <c r="BO22" i="274"/>
  <c r="BK22" i="274"/>
  <c r="BG22" i="274"/>
  <c r="AQ22" i="274"/>
  <c r="AM22" i="274"/>
  <c r="AI22" i="274"/>
  <c r="AE22" i="274"/>
  <c r="AA22" i="274"/>
  <c r="W22" i="274"/>
  <c r="BO21" i="274"/>
  <c r="BK21" i="274"/>
  <c r="BG21" i="274"/>
  <c r="AQ21" i="274"/>
  <c r="AM21" i="274"/>
  <c r="AI21" i="274"/>
  <c r="AE21" i="274"/>
  <c r="AA21" i="274"/>
  <c r="W21" i="274"/>
  <c r="BN20" i="274"/>
  <c r="BM20" i="274"/>
  <c r="BL20" i="274"/>
  <c r="BJ20" i="274"/>
  <c r="BI20" i="274"/>
  <c r="BH20" i="274"/>
  <c r="BF20" i="274"/>
  <c r="BE20" i="274"/>
  <c r="BD20" i="274"/>
  <c r="BC20" i="274"/>
  <c r="BB20" i="274"/>
  <c r="BA20" i="274"/>
  <c r="AZ20" i="274"/>
  <c r="AP20" i="274"/>
  <c r="AO20" i="274"/>
  <c r="AN20" i="274"/>
  <c r="AL20" i="274"/>
  <c r="AK20" i="274"/>
  <c r="AJ20" i="274"/>
  <c r="AH20" i="274"/>
  <c r="AG20" i="274"/>
  <c r="AF20" i="274"/>
  <c r="AD20" i="274"/>
  <c r="AC20" i="274"/>
  <c r="AB20" i="274"/>
  <c r="Z20" i="274"/>
  <c r="Z25" i="274"/>
  <c r="Y20" i="274"/>
  <c r="X20" i="274"/>
  <c r="V20" i="274"/>
  <c r="U20" i="274"/>
  <c r="T20" i="274"/>
  <c r="BO19" i="274"/>
  <c r="BK19" i="274"/>
  <c r="BG19" i="274"/>
  <c r="AQ19" i="274"/>
  <c r="AM19" i="274"/>
  <c r="AI19" i="274"/>
  <c r="AE19" i="274"/>
  <c r="AA19" i="274"/>
  <c r="W19" i="274"/>
  <c r="BO18" i="274"/>
  <c r="BK18" i="274"/>
  <c r="BG18" i="274"/>
  <c r="AQ18" i="274"/>
  <c r="AM18" i="274"/>
  <c r="AI18" i="274"/>
  <c r="AE18" i="274"/>
  <c r="AA18" i="274"/>
  <c r="W18" i="274"/>
  <c r="BO17" i="274"/>
  <c r="BK17" i="274"/>
  <c r="BG17" i="274"/>
  <c r="AQ17" i="274"/>
  <c r="AM17" i="274"/>
  <c r="AI17" i="274"/>
  <c r="AE17" i="274"/>
  <c r="AA17" i="274"/>
  <c r="W17" i="274"/>
  <c r="BO16" i="274"/>
  <c r="BK16" i="274"/>
  <c r="BG16" i="274"/>
  <c r="AQ16" i="274"/>
  <c r="AM16" i="274"/>
  <c r="AI16" i="274"/>
  <c r="AE16" i="274"/>
  <c r="AA16" i="274"/>
  <c r="W16" i="274"/>
  <c r="BN15" i="274"/>
  <c r="BM15" i="274"/>
  <c r="BL15" i="274"/>
  <c r="BJ15" i="274"/>
  <c r="BI15" i="274"/>
  <c r="BH15" i="274"/>
  <c r="BF15" i="274"/>
  <c r="BE15" i="274"/>
  <c r="BD15" i="274"/>
  <c r="BC15" i="274"/>
  <c r="BB15" i="274"/>
  <c r="BA15" i="274"/>
  <c r="AZ15" i="274"/>
  <c r="AP15" i="274"/>
  <c r="AO15" i="274"/>
  <c r="AN15" i="274"/>
  <c r="AL15" i="274"/>
  <c r="AK15" i="274"/>
  <c r="AJ15" i="274"/>
  <c r="AJ25" i="274"/>
  <c r="AH15" i="274"/>
  <c r="AG15" i="274"/>
  <c r="AF15" i="274"/>
  <c r="AF25" i="274"/>
  <c r="AD15" i="274"/>
  <c r="AC15" i="274"/>
  <c r="AB15" i="274"/>
  <c r="Z15" i="274"/>
  <c r="Y15" i="274"/>
  <c r="X15" i="274"/>
  <c r="V15" i="274"/>
  <c r="U15" i="274"/>
  <c r="U25" i="274"/>
  <c r="T15" i="274"/>
  <c r="BO14" i="274"/>
  <c r="BK14" i="274"/>
  <c r="BG14" i="274"/>
  <c r="AQ14" i="274"/>
  <c r="AM14" i="274"/>
  <c r="AI14" i="274"/>
  <c r="AE14" i="274"/>
  <c r="AA14" i="274"/>
  <c r="W14" i="274"/>
  <c r="BO13" i="274"/>
  <c r="BK13" i="274"/>
  <c r="BG13" i="274"/>
  <c r="AQ13" i="274"/>
  <c r="AM13" i="274"/>
  <c r="AI13" i="274"/>
  <c r="AE13" i="274"/>
  <c r="AA13" i="274"/>
  <c r="W13" i="274"/>
  <c r="BO12" i="274"/>
  <c r="BK12" i="274"/>
  <c r="BG12" i="274"/>
  <c r="AQ12" i="274"/>
  <c r="AM12" i="274"/>
  <c r="AI12" i="274"/>
  <c r="AE12" i="274"/>
  <c r="AA12" i="274"/>
  <c r="W12" i="274"/>
  <c r="BO11" i="274"/>
  <c r="BK11" i="274"/>
  <c r="BG11" i="274"/>
  <c r="AQ11" i="274"/>
  <c r="AM11" i="274"/>
  <c r="AI11" i="274"/>
  <c r="AE11" i="274"/>
  <c r="AA11" i="274"/>
  <c r="W11" i="274"/>
  <c r="BO10" i="274"/>
  <c r="BK10" i="274"/>
  <c r="BG10" i="274"/>
  <c r="AQ10" i="274"/>
  <c r="AM10" i="274"/>
  <c r="AI10" i="274"/>
  <c r="AE10" i="274"/>
  <c r="AA10" i="274"/>
  <c r="W10" i="274"/>
  <c r="BO9" i="274"/>
  <c r="BK9" i="274"/>
  <c r="BG9" i="274"/>
  <c r="AQ9" i="274"/>
  <c r="AM9" i="274"/>
  <c r="AI9" i="274"/>
  <c r="AE9" i="274"/>
  <c r="AA9" i="274"/>
  <c r="W9" i="274"/>
  <c r="BO8" i="274"/>
  <c r="BK8" i="274"/>
  <c r="BG8" i="274"/>
  <c r="AQ8" i="274"/>
  <c r="AM8" i="274"/>
  <c r="AI8" i="274"/>
  <c r="AE8" i="274"/>
  <c r="AA8" i="274"/>
  <c r="W8" i="274"/>
  <c r="BO7" i="274"/>
  <c r="BK7" i="274"/>
  <c r="BG7" i="274"/>
  <c r="AQ7" i="274"/>
  <c r="AM7" i="274"/>
  <c r="AI7" i="274"/>
  <c r="AE7" i="274"/>
  <c r="AA7" i="274"/>
  <c r="W7" i="274"/>
  <c r="BO6" i="274"/>
  <c r="BK6" i="274"/>
  <c r="BG6" i="274"/>
  <c r="AQ6" i="274"/>
  <c r="AM6" i="274"/>
  <c r="AI6" i="274"/>
  <c r="AE6" i="274"/>
  <c r="AA6" i="274"/>
  <c r="W6" i="274"/>
  <c r="BO5" i="274"/>
  <c r="BK5" i="274"/>
  <c r="BG5" i="274"/>
  <c r="AQ5" i="274"/>
  <c r="AM5" i="274"/>
  <c r="AI5" i="274"/>
  <c r="AE5" i="274"/>
  <c r="AA5" i="274"/>
  <c r="W5" i="274"/>
  <c r="J37" i="202"/>
  <c r="J36" i="202"/>
  <c r="J35" i="202"/>
  <c r="J34" i="202"/>
  <c r="J33" i="202"/>
  <c r="J32" i="202"/>
  <c r="J38" i="202"/>
  <c r="J30" i="202"/>
  <c r="N29" i="202"/>
  <c r="M29" i="202"/>
  <c r="L29" i="202"/>
  <c r="K29" i="202"/>
  <c r="N28" i="202"/>
  <c r="M28" i="202"/>
  <c r="L28" i="202"/>
  <c r="K28" i="202"/>
  <c r="N27" i="202"/>
  <c r="M27" i="202"/>
  <c r="L27" i="202"/>
  <c r="K27" i="202"/>
  <c r="N24" i="202"/>
  <c r="M24" i="202"/>
  <c r="L24" i="202"/>
  <c r="K24" i="202"/>
  <c r="N23" i="202"/>
  <c r="M23" i="202"/>
  <c r="L23" i="202"/>
  <c r="K23" i="202"/>
  <c r="N22" i="202"/>
  <c r="M22" i="202"/>
  <c r="L22" i="202"/>
  <c r="K22" i="202"/>
  <c r="J20" i="202"/>
  <c r="N19" i="202"/>
  <c r="N34" i="202"/>
  <c r="M19" i="202"/>
  <c r="L19" i="202"/>
  <c r="K19" i="202"/>
  <c r="N18" i="202"/>
  <c r="M18" i="202"/>
  <c r="L18" i="202"/>
  <c r="K18" i="202"/>
  <c r="N17" i="202"/>
  <c r="M17" i="202"/>
  <c r="L17" i="202"/>
  <c r="K17" i="202"/>
  <c r="J15" i="202"/>
  <c r="M14" i="202"/>
  <c r="L14" i="202"/>
  <c r="K14" i="202"/>
  <c r="M13" i="202"/>
  <c r="M36" i="202"/>
  <c r="L13" i="202"/>
  <c r="K13" i="202"/>
  <c r="N15" i="202"/>
  <c r="M12" i="202"/>
  <c r="L12" i="202"/>
  <c r="K12" i="202"/>
  <c r="J10" i="202"/>
  <c r="N9" i="202"/>
  <c r="M9" i="202"/>
  <c r="L9" i="202"/>
  <c r="K9" i="202"/>
  <c r="N8" i="202"/>
  <c r="M8" i="202"/>
  <c r="L8" i="202"/>
  <c r="K8" i="202"/>
  <c r="N7" i="202"/>
  <c r="N32" i="202"/>
  <c r="M7" i="202"/>
  <c r="L7" i="202"/>
  <c r="K7" i="202"/>
  <c r="O96" i="201"/>
  <c r="N96" i="201"/>
  <c r="M96" i="201"/>
  <c r="M97" i="201"/>
  <c r="L96" i="201"/>
  <c r="K96" i="201"/>
  <c r="J96" i="201"/>
  <c r="I96" i="201"/>
  <c r="H96" i="201"/>
  <c r="G96" i="201"/>
  <c r="F96" i="201"/>
  <c r="E96" i="201"/>
  <c r="D96" i="201"/>
  <c r="O91" i="201"/>
  <c r="N91" i="201"/>
  <c r="N97" i="201"/>
  <c r="M91" i="201"/>
  <c r="L91" i="201"/>
  <c r="K91" i="201"/>
  <c r="J91" i="201"/>
  <c r="I91" i="201"/>
  <c r="H91" i="201"/>
  <c r="G91" i="201"/>
  <c r="F91" i="201"/>
  <c r="E91" i="201"/>
  <c r="D91" i="201"/>
  <c r="O82" i="201"/>
  <c r="N82" i="201"/>
  <c r="M82" i="201"/>
  <c r="L82" i="201"/>
  <c r="K82" i="201"/>
  <c r="J82" i="201"/>
  <c r="I82" i="201"/>
  <c r="H82" i="201"/>
  <c r="G82" i="201"/>
  <c r="F82" i="201"/>
  <c r="E82" i="201"/>
  <c r="D82" i="201"/>
  <c r="O75" i="201"/>
  <c r="M75" i="201"/>
  <c r="O73" i="201"/>
  <c r="N73" i="201"/>
  <c r="N75" i="201"/>
  <c r="M73" i="201"/>
  <c r="L73" i="201"/>
  <c r="L75" i="201"/>
  <c r="O68" i="201"/>
  <c r="O69" i="201"/>
  <c r="N68" i="201"/>
  <c r="M68" i="201"/>
  <c r="L68" i="201"/>
  <c r="K68" i="201"/>
  <c r="J68" i="201"/>
  <c r="I68" i="201"/>
  <c r="H68" i="201"/>
  <c r="G68" i="201"/>
  <c r="F68" i="201"/>
  <c r="E68" i="201"/>
  <c r="D68" i="201"/>
  <c r="O61" i="201"/>
  <c r="N61" i="201"/>
  <c r="M61" i="201"/>
  <c r="L61" i="201"/>
  <c r="K61" i="201"/>
  <c r="J61" i="201"/>
  <c r="I61" i="201"/>
  <c r="H61" i="201"/>
  <c r="G61" i="201"/>
  <c r="G69" i="201"/>
  <c r="F61" i="201"/>
  <c r="E61" i="201"/>
  <c r="D61" i="201"/>
  <c r="O49" i="201"/>
  <c r="N49" i="201"/>
  <c r="M49" i="201"/>
  <c r="L49" i="201"/>
  <c r="K49" i="201"/>
  <c r="J49" i="201"/>
  <c r="I49" i="201"/>
  <c r="H49" i="201"/>
  <c r="G49" i="201"/>
  <c r="F49" i="201"/>
  <c r="E49" i="201"/>
  <c r="D49" i="201"/>
  <c r="O38" i="201"/>
  <c r="O39" i="201"/>
  <c r="N38" i="201"/>
  <c r="M38" i="201"/>
  <c r="L38" i="201"/>
  <c r="K38" i="201"/>
  <c r="J38" i="201"/>
  <c r="I38" i="201"/>
  <c r="H38" i="201"/>
  <c r="G38" i="201"/>
  <c r="F38" i="201"/>
  <c r="O33" i="201"/>
  <c r="N33" i="201"/>
  <c r="M33" i="201"/>
  <c r="M39" i="201"/>
  <c r="L33" i="201"/>
  <c r="K33" i="201"/>
  <c r="J33" i="201"/>
  <c r="I33" i="201"/>
  <c r="H33" i="201"/>
  <c r="G33" i="201"/>
  <c r="F33" i="201"/>
  <c r="O29" i="201"/>
  <c r="N29" i="201"/>
  <c r="M29" i="201"/>
  <c r="L29" i="201"/>
  <c r="L39" i="201"/>
  <c r="K29" i="201"/>
  <c r="J29" i="201"/>
  <c r="I29" i="201"/>
  <c r="H29" i="201"/>
  <c r="G29" i="201"/>
  <c r="F29" i="201"/>
  <c r="O23" i="201"/>
  <c r="N23" i="201"/>
  <c r="M23" i="201"/>
  <c r="L23" i="201"/>
  <c r="K23" i="201"/>
  <c r="J23" i="201"/>
  <c r="I23" i="201"/>
  <c r="H23" i="201"/>
  <c r="G23" i="201"/>
  <c r="F23" i="201"/>
  <c r="E23" i="201"/>
  <c r="D23" i="201"/>
  <c r="O19" i="201"/>
  <c r="N19" i="201"/>
  <c r="M19" i="201"/>
  <c r="L19" i="201"/>
  <c r="K19" i="201"/>
  <c r="J19" i="201"/>
  <c r="I19" i="201"/>
  <c r="H19" i="201"/>
  <c r="G19" i="201"/>
  <c r="F19" i="201"/>
  <c r="E19" i="201"/>
  <c r="D19" i="201"/>
  <c r="O14" i="201"/>
  <c r="N14" i="201"/>
  <c r="N24" i="201"/>
  <c r="M14" i="201"/>
  <c r="M24" i="201"/>
  <c r="L14" i="201"/>
  <c r="L24" i="201"/>
  <c r="K14" i="201"/>
  <c r="K24" i="201"/>
  <c r="J14" i="201"/>
  <c r="J24" i="201"/>
  <c r="I14" i="201"/>
  <c r="I24" i="201"/>
  <c r="H14" i="201"/>
  <c r="G14" i="201"/>
  <c r="G24" i="201"/>
  <c r="F14" i="201"/>
  <c r="F24" i="201"/>
  <c r="E14" i="201"/>
  <c r="D14" i="201"/>
  <c r="D24" i="201"/>
  <c r="O36" i="229"/>
  <c r="N36" i="229"/>
  <c r="M36" i="229"/>
  <c r="L36" i="229"/>
  <c r="K36" i="229"/>
  <c r="J36" i="229"/>
  <c r="I36" i="229"/>
  <c r="H36" i="229"/>
  <c r="G36" i="229"/>
  <c r="F36" i="229"/>
  <c r="E36" i="229"/>
  <c r="D36" i="229"/>
  <c r="C36" i="229"/>
  <c r="O35" i="229"/>
  <c r="N35" i="229"/>
  <c r="M35" i="229"/>
  <c r="L35" i="229"/>
  <c r="K35" i="229"/>
  <c r="J35" i="229"/>
  <c r="I35" i="229"/>
  <c r="H35" i="229"/>
  <c r="G35" i="229"/>
  <c r="F35" i="229"/>
  <c r="E35" i="229"/>
  <c r="D35" i="229"/>
  <c r="C35" i="229"/>
  <c r="O34" i="229"/>
  <c r="N34" i="229"/>
  <c r="M34" i="229"/>
  <c r="L34" i="229"/>
  <c r="K34" i="229"/>
  <c r="J34" i="229"/>
  <c r="I34" i="229"/>
  <c r="H34" i="229"/>
  <c r="G34" i="229"/>
  <c r="F34" i="229"/>
  <c r="E34" i="229"/>
  <c r="D34" i="229"/>
  <c r="C34" i="229"/>
  <c r="O33" i="229"/>
  <c r="N33" i="229"/>
  <c r="M33" i="229"/>
  <c r="L33" i="229"/>
  <c r="K33" i="229"/>
  <c r="J33" i="229"/>
  <c r="I33" i="229"/>
  <c r="H33" i="229"/>
  <c r="G33" i="229"/>
  <c r="F33" i="229"/>
  <c r="E33" i="229"/>
  <c r="D33" i="229"/>
  <c r="C33" i="229"/>
  <c r="O32" i="229"/>
  <c r="N32" i="229"/>
  <c r="M32" i="229"/>
  <c r="L32" i="229"/>
  <c r="K32" i="229"/>
  <c r="J32" i="229"/>
  <c r="I32" i="229"/>
  <c r="H32" i="229"/>
  <c r="G32" i="229"/>
  <c r="F32" i="229"/>
  <c r="E32" i="229"/>
  <c r="D32" i="229"/>
  <c r="C32" i="229"/>
  <c r="O31" i="229"/>
  <c r="N31" i="229"/>
  <c r="M31" i="229"/>
  <c r="M37" i="229"/>
  <c r="L31" i="229"/>
  <c r="K31" i="229"/>
  <c r="K37" i="229"/>
  <c r="J31" i="229"/>
  <c r="I31" i="229"/>
  <c r="H31" i="229"/>
  <c r="H37" i="229"/>
  <c r="G31" i="229"/>
  <c r="F31" i="229"/>
  <c r="F37" i="229"/>
  <c r="E31" i="229"/>
  <c r="E37" i="229"/>
  <c r="D31" i="229"/>
  <c r="D37" i="229"/>
  <c r="C31" i="229"/>
  <c r="C37" i="229"/>
  <c r="O29" i="229"/>
  <c r="N29" i="229"/>
  <c r="M29" i="229"/>
  <c r="L29" i="229"/>
  <c r="K29" i="229"/>
  <c r="J29" i="229"/>
  <c r="I29" i="229"/>
  <c r="H29" i="229"/>
  <c r="G29" i="229"/>
  <c r="F29" i="229"/>
  <c r="E29" i="229"/>
  <c r="D29" i="229"/>
  <c r="C29" i="229"/>
  <c r="O24" i="229"/>
  <c r="N24" i="229"/>
  <c r="L24" i="229"/>
  <c r="O19" i="229"/>
  <c r="N19" i="229"/>
  <c r="M19" i="229"/>
  <c r="L19" i="229"/>
  <c r="K19" i="229"/>
  <c r="J19" i="229"/>
  <c r="I19" i="229"/>
  <c r="H19" i="229"/>
  <c r="G19" i="229"/>
  <c r="F19" i="229"/>
  <c r="E19" i="229"/>
  <c r="D19" i="229"/>
  <c r="C19" i="229"/>
  <c r="O14" i="229"/>
  <c r="N14" i="229"/>
  <c r="L14" i="229"/>
  <c r="K14" i="229"/>
  <c r="J14" i="229"/>
  <c r="I14" i="229"/>
  <c r="H14" i="229"/>
  <c r="G14" i="229"/>
  <c r="O9" i="229"/>
  <c r="N9" i="229"/>
  <c r="M9" i="229"/>
  <c r="L9" i="229"/>
  <c r="K9" i="229"/>
  <c r="J9" i="229"/>
  <c r="I9" i="229"/>
  <c r="H9" i="229"/>
  <c r="G9" i="229"/>
  <c r="F9" i="229"/>
  <c r="E9" i="229"/>
  <c r="D9" i="229"/>
  <c r="C9" i="229"/>
  <c r="L77" i="228"/>
  <c r="K77" i="228"/>
  <c r="J77" i="228"/>
  <c r="I77" i="228"/>
  <c r="H77" i="228"/>
  <c r="G77" i="228"/>
  <c r="F77" i="228"/>
  <c r="E77" i="228"/>
  <c r="O36" i="227"/>
  <c r="N36" i="227"/>
  <c r="M36" i="227"/>
  <c r="L36" i="227"/>
  <c r="K36" i="227"/>
  <c r="J36" i="227"/>
  <c r="I36" i="227"/>
  <c r="H36" i="227"/>
  <c r="O35" i="227"/>
  <c r="N35" i="227"/>
  <c r="M35" i="227"/>
  <c r="L35" i="227"/>
  <c r="K35" i="227"/>
  <c r="J35" i="227"/>
  <c r="I35" i="227"/>
  <c r="H35" i="227"/>
  <c r="O34" i="227"/>
  <c r="N34" i="227"/>
  <c r="M34" i="227"/>
  <c r="L34" i="227"/>
  <c r="K34" i="227"/>
  <c r="J34" i="227"/>
  <c r="I34" i="227"/>
  <c r="H34" i="227"/>
  <c r="G34" i="227"/>
  <c r="F34" i="227"/>
  <c r="E34" i="227"/>
  <c r="D34" i="227"/>
  <c r="C34" i="227"/>
  <c r="O33" i="227"/>
  <c r="N33" i="227"/>
  <c r="M33" i="227"/>
  <c r="L33" i="227"/>
  <c r="K33" i="227"/>
  <c r="J33" i="227"/>
  <c r="I33" i="227"/>
  <c r="H33" i="227"/>
  <c r="G33" i="227"/>
  <c r="F33" i="227"/>
  <c r="E33" i="227"/>
  <c r="D33" i="227"/>
  <c r="C33" i="227"/>
  <c r="O32" i="227"/>
  <c r="N32" i="227"/>
  <c r="M32" i="227"/>
  <c r="L32" i="227"/>
  <c r="K32" i="227"/>
  <c r="J32" i="227"/>
  <c r="I32" i="227"/>
  <c r="H32" i="227"/>
  <c r="G32" i="227"/>
  <c r="F32" i="227"/>
  <c r="E32" i="227"/>
  <c r="D32" i="227"/>
  <c r="C32" i="227"/>
  <c r="O31" i="227"/>
  <c r="N31" i="227"/>
  <c r="N37" i="227"/>
  <c r="M31" i="227"/>
  <c r="M37" i="227"/>
  <c r="L31" i="227"/>
  <c r="L37" i="227"/>
  <c r="K31" i="227"/>
  <c r="J31" i="227"/>
  <c r="I31" i="227"/>
  <c r="H31" i="227"/>
  <c r="H37" i="227"/>
  <c r="G31" i="227"/>
  <c r="F31" i="227"/>
  <c r="F37" i="227"/>
  <c r="E31" i="227"/>
  <c r="E37" i="227"/>
  <c r="D31" i="227"/>
  <c r="C31" i="227"/>
  <c r="O29" i="227"/>
  <c r="N29" i="227"/>
  <c r="M29" i="227"/>
  <c r="L29" i="227"/>
  <c r="K29" i="227"/>
  <c r="J29" i="227"/>
  <c r="I29" i="227"/>
  <c r="H29" i="227"/>
  <c r="G29" i="227"/>
  <c r="F29" i="227"/>
  <c r="E29" i="227"/>
  <c r="D29" i="227"/>
  <c r="C29" i="227"/>
  <c r="O24" i="227"/>
  <c r="N24" i="227"/>
  <c r="M24" i="227"/>
  <c r="L24" i="227"/>
  <c r="O19" i="227"/>
  <c r="N19" i="227"/>
  <c r="M19" i="227"/>
  <c r="L19" i="227"/>
  <c r="K19" i="227"/>
  <c r="J19" i="227"/>
  <c r="I19" i="227"/>
  <c r="H19" i="227"/>
  <c r="G19" i="227"/>
  <c r="F19" i="227"/>
  <c r="E19" i="227"/>
  <c r="D19" i="227"/>
  <c r="C19" i="227"/>
  <c r="O14" i="227"/>
  <c r="N14" i="227"/>
  <c r="M14" i="227"/>
  <c r="L14" i="227"/>
  <c r="K14" i="227"/>
  <c r="J14" i="227"/>
  <c r="I14" i="227"/>
  <c r="H14" i="227"/>
  <c r="G14" i="227"/>
  <c r="O9" i="227"/>
  <c r="N9" i="227"/>
  <c r="M9" i="227"/>
  <c r="L9" i="227"/>
  <c r="K9" i="227"/>
  <c r="J9" i="227"/>
  <c r="I9" i="227"/>
  <c r="H9" i="227"/>
  <c r="G9" i="227"/>
  <c r="F9" i="227"/>
  <c r="E9" i="227"/>
  <c r="D9" i="227"/>
  <c r="C9" i="227"/>
  <c r="L77" i="226"/>
  <c r="K77" i="226"/>
  <c r="J77" i="226"/>
  <c r="I77" i="226"/>
  <c r="H77" i="226"/>
  <c r="G77" i="226"/>
  <c r="F77" i="226"/>
  <c r="E77" i="226"/>
  <c r="W37" i="194"/>
  <c r="V37" i="194"/>
  <c r="U37" i="194"/>
  <c r="Q37" i="194"/>
  <c r="P37" i="194"/>
  <c r="O37" i="194"/>
  <c r="N37" i="194"/>
  <c r="M37" i="194"/>
  <c r="L37" i="194"/>
  <c r="K37" i="194"/>
  <c r="J37" i="194"/>
  <c r="I37" i="194"/>
  <c r="H37" i="194"/>
  <c r="G37" i="194"/>
  <c r="F37" i="194"/>
  <c r="E37" i="194"/>
  <c r="D37" i="194"/>
  <c r="C37" i="194"/>
  <c r="Z36" i="194"/>
  <c r="Y36" i="194"/>
  <c r="X36" i="194"/>
  <c r="Z35" i="194"/>
  <c r="Y35" i="194"/>
  <c r="X35" i="194"/>
  <c r="Z34" i="194"/>
  <c r="Y34" i="194"/>
  <c r="X34" i="194"/>
  <c r="Z33" i="194"/>
  <c r="Y33" i="194"/>
  <c r="X33" i="194"/>
  <c r="Z32" i="194"/>
  <c r="Y32" i="194"/>
  <c r="X32" i="194"/>
  <c r="Z31" i="194"/>
  <c r="Y31" i="194"/>
  <c r="X31" i="194"/>
  <c r="Z29" i="194"/>
  <c r="Y29" i="194"/>
  <c r="X29" i="194"/>
  <c r="AL28" i="194"/>
  <c r="AK28" i="194"/>
  <c r="AJ28" i="194"/>
  <c r="AI28" i="194"/>
  <c r="AH28" i="194"/>
  <c r="AG28" i="194"/>
  <c r="AF28" i="194"/>
  <c r="AE28" i="194"/>
  <c r="AD28" i="194"/>
  <c r="AC28" i="194"/>
  <c r="AB28" i="194"/>
  <c r="AA28" i="194"/>
  <c r="AL27" i="194"/>
  <c r="AK27" i="194"/>
  <c r="AJ27" i="194"/>
  <c r="AI27" i="194"/>
  <c r="AH27" i="194"/>
  <c r="AG27" i="194"/>
  <c r="AF27" i="194"/>
  <c r="AE27" i="194"/>
  <c r="AD27" i="194"/>
  <c r="AC27" i="194"/>
  <c r="AB27" i="194"/>
  <c r="AA27" i="194"/>
  <c r="AL26" i="194"/>
  <c r="AL29" i="194"/>
  <c r="AK26" i="194"/>
  <c r="AK29" i="194"/>
  <c r="AJ26" i="194"/>
  <c r="AI26" i="194"/>
  <c r="AI29" i="194"/>
  <c r="AH26" i="194"/>
  <c r="AG26" i="194"/>
  <c r="AG29" i="194"/>
  <c r="AF26" i="194"/>
  <c r="AF29" i="194"/>
  <c r="AE26" i="194"/>
  <c r="AE29" i="194"/>
  <c r="AD26" i="194"/>
  <c r="AD29" i="194"/>
  <c r="AC26" i="194"/>
  <c r="AC29" i="194"/>
  <c r="AB26" i="194"/>
  <c r="AA26" i="194"/>
  <c r="AL23" i="194"/>
  <c r="AK23" i="194"/>
  <c r="AJ23" i="194"/>
  <c r="AI23" i="194"/>
  <c r="AH23" i="194"/>
  <c r="AG23" i="194"/>
  <c r="AF23" i="194"/>
  <c r="AE23" i="194"/>
  <c r="AD23" i="194"/>
  <c r="AC23" i="194"/>
  <c r="AB23" i="194"/>
  <c r="AA23" i="194"/>
  <c r="AL22" i="194"/>
  <c r="AK22" i="194"/>
  <c r="AJ22" i="194"/>
  <c r="AI22" i="194"/>
  <c r="AH22" i="194"/>
  <c r="AG22" i="194"/>
  <c r="AF22" i="194"/>
  <c r="AE22" i="194"/>
  <c r="AD22" i="194"/>
  <c r="AC22" i="194"/>
  <c r="AB22" i="194"/>
  <c r="AA22" i="194"/>
  <c r="AL21" i="194"/>
  <c r="AL24" i="194"/>
  <c r="AK21" i="194"/>
  <c r="AK24" i="194"/>
  <c r="AJ21" i="194"/>
  <c r="AJ24" i="194"/>
  <c r="AI21" i="194"/>
  <c r="AI24" i="194"/>
  <c r="AH21" i="194"/>
  <c r="AG21" i="194"/>
  <c r="AG24" i="194"/>
  <c r="AF21" i="194"/>
  <c r="AF24" i="194"/>
  <c r="AE21" i="194"/>
  <c r="AE24" i="194"/>
  <c r="AD21" i="194"/>
  <c r="AD24" i="194"/>
  <c r="AC21" i="194"/>
  <c r="AC24" i="194"/>
  <c r="AB21" i="194"/>
  <c r="AA21" i="194"/>
  <c r="Z19" i="194"/>
  <c r="Y19" i="194"/>
  <c r="X19" i="194"/>
  <c r="AL18" i="194"/>
  <c r="AK18" i="194"/>
  <c r="AJ18" i="194"/>
  <c r="AJ33" i="194"/>
  <c r="AI18" i="194"/>
  <c r="AH18" i="194"/>
  <c r="AH33" i="194"/>
  <c r="AG18" i="194"/>
  <c r="AG33" i="194"/>
  <c r="AF18" i="194"/>
  <c r="AF33" i="194"/>
  <c r="AE18" i="194"/>
  <c r="AD18" i="194"/>
  <c r="AC18" i="194"/>
  <c r="AC33" i="194"/>
  <c r="AB18" i="194"/>
  <c r="AB33" i="194"/>
  <c r="AA18" i="194"/>
  <c r="AA33" i="194"/>
  <c r="AL17" i="194"/>
  <c r="AK17" i="194"/>
  <c r="AJ17" i="194"/>
  <c r="AI17" i="194"/>
  <c r="AH17" i="194"/>
  <c r="AG17" i="194"/>
  <c r="AF17" i="194"/>
  <c r="AE17" i="194"/>
  <c r="AD17" i="194"/>
  <c r="AC17" i="194"/>
  <c r="AB17" i="194"/>
  <c r="AA17" i="194"/>
  <c r="AL16" i="194"/>
  <c r="AK16" i="194"/>
  <c r="AJ16" i="194"/>
  <c r="AJ19" i="194"/>
  <c r="AI16" i="194"/>
  <c r="AI19" i="194"/>
  <c r="AH16" i="194"/>
  <c r="AH19" i="194"/>
  <c r="AG16" i="194"/>
  <c r="AF16" i="194"/>
  <c r="AE16" i="194"/>
  <c r="AD16" i="194"/>
  <c r="AC16" i="194"/>
  <c r="AB16" i="194"/>
  <c r="AB19" i="194"/>
  <c r="AA16" i="194"/>
  <c r="Z14" i="194"/>
  <c r="Y14" i="194"/>
  <c r="X14" i="194"/>
  <c r="AL13" i="194"/>
  <c r="AL36" i="194"/>
  <c r="AK13" i="194"/>
  <c r="AK36" i="194"/>
  <c r="AJ13" i="194"/>
  <c r="AJ36" i="194"/>
  <c r="AI13" i="194"/>
  <c r="AI36" i="194"/>
  <c r="AH13" i="194"/>
  <c r="AH36" i="194"/>
  <c r="AG13" i="194"/>
  <c r="AG36" i="194"/>
  <c r="AF13" i="194"/>
  <c r="AF36" i="194"/>
  <c r="AE13" i="194"/>
  <c r="AE36" i="194"/>
  <c r="AD13" i="194"/>
  <c r="AD36" i="194"/>
  <c r="AC13" i="194"/>
  <c r="AC36" i="194"/>
  <c r="AB13" i="194"/>
  <c r="AB36" i="194"/>
  <c r="AA13" i="194"/>
  <c r="AA36" i="194"/>
  <c r="AL12" i="194"/>
  <c r="AL35" i="194"/>
  <c r="AK12" i="194"/>
  <c r="AK35" i="194"/>
  <c r="AJ12" i="194"/>
  <c r="AJ35" i="194"/>
  <c r="AI12" i="194"/>
  <c r="AI35" i="194"/>
  <c r="AH12" i="194"/>
  <c r="AG12" i="194"/>
  <c r="AG35" i="194"/>
  <c r="AF12" i="194"/>
  <c r="AF35" i="194"/>
  <c r="AE12" i="194"/>
  <c r="AE35" i="194"/>
  <c r="AD12" i="194"/>
  <c r="AD35" i="194"/>
  <c r="AC12" i="194"/>
  <c r="AC35" i="194"/>
  <c r="AB12" i="194"/>
  <c r="AB35" i="194"/>
  <c r="AA12" i="194"/>
  <c r="AA35" i="194"/>
  <c r="AL11" i="194"/>
  <c r="AL14" i="194"/>
  <c r="AK11" i="194"/>
  <c r="AK14" i="194"/>
  <c r="AJ11" i="194"/>
  <c r="AJ14" i="194"/>
  <c r="AI11" i="194"/>
  <c r="AH11" i="194"/>
  <c r="AG11" i="194"/>
  <c r="AG14" i="194"/>
  <c r="AF11" i="194"/>
  <c r="AE11" i="194"/>
  <c r="AE14" i="194"/>
  <c r="AD11" i="194"/>
  <c r="AD14" i="194"/>
  <c r="AC11" i="194"/>
  <c r="AC14" i="194"/>
  <c r="AB11" i="194"/>
  <c r="AB14" i="194"/>
  <c r="AA11" i="194"/>
  <c r="Z9" i="194"/>
  <c r="Y9" i="194"/>
  <c r="X9" i="194"/>
  <c r="AL8" i="194"/>
  <c r="AL34" i="194"/>
  <c r="AK8" i="194"/>
  <c r="AK34" i="194"/>
  <c r="AJ8" i="194"/>
  <c r="AJ34" i="194"/>
  <c r="AI8" i="194"/>
  <c r="AI34" i="194"/>
  <c r="AH8" i="194"/>
  <c r="AH34" i="194"/>
  <c r="AG8" i="194"/>
  <c r="AF8" i="194"/>
  <c r="AF34" i="194"/>
  <c r="AE8" i="194"/>
  <c r="AE34" i="194"/>
  <c r="AD8" i="194"/>
  <c r="AD34" i="194"/>
  <c r="AC8" i="194"/>
  <c r="AC34" i="194"/>
  <c r="AB8" i="194"/>
  <c r="AB34" i="194"/>
  <c r="AA8" i="194"/>
  <c r="AA34" i="194"/>
  <c r="AL7" i="194"/>
  <c r="AL32" i="194"/>
  <c r="AK7" i="194"/>
  <c r="AK32" i="194"/>
  <c r="AJ7" i="194"/>
  <c r="AI7" i="194"/>
  <c r="AI32" i="194"/>
  <c r="AH7" i="194"/>
  <c r="AG7" i="194"/>
  <c r="AF7" i="194"/>
  <c r="AE7" i="194"/>
  <c r="AD7" i="194"/>
  <c r="AD32" i="194"/>
  <c r="AC7" i="194"/>
  <c r="AB7" i="194"/>
  <c r="AA7" i="194"/>
  <c r="AA32" i="194"/>
  <c r="AL6" i="194"/>
  <c r="AK6" i="194"/>
  <c r="AJ6" i="194"/>
  <c r="AJ31" i="194"/>
  <c r="AI6" i="194"/>
  <c r="AH6" i="194"/>
  <c r="AH31" i="194"/>
  <c r="AG6" i="194"/>
  <c r="AG9" i="194"/>
  <c r="AF6" i="194"/>
  <c r="AE6" i="194"/>
  <c r="AD6" i="194"/>
  <c r="AC6" i="194"/>
  <c r="AB6" i="194"/>
  <c r="AA6" i="194"/>
  <c r="AA9" i="194"/>
  <c r="AM97" i="193"/>
  <c r="AL97" i="193"/>
  <c r="AK97" i="193"/>
  <c r="AJ97" i="193"/>
  <c r="AI97" i="193"/>
  <c r="AH97" i="193"/>
  <c r="AG97" i="193"/>
  <c r="AF97" i="193"/>
  <c r="AE97" i="193"/>
  <c r="AD97" i="193"/>
  <c r="AC97" i="193"/>
  <c r="AB97" i="193"/>
  <c r="AA97" i="193"/>
  <c r="Z97" i="193"/>
  <c r="Y97" i="193"/>
  <c r="X97" i="193"/>
  <c r="W97" i="193"/>
  <c r="V97" i="193"/>
  <c r="U97" i="193"/>
  <c r="T97" i="193"/>
  <c r="S97" i="193"/>
  <c r="R97" i="193"/>
  <c r="Q97" i="193"/>
  <c r="P97" i="193"/>
  <c r="O97" i="193"/>
  <c r="N97" i="193"/>
  <c r="M97" i="193"/>
  <c r="L97" i="193"/>
  <c r="K97" i="193"/>
  <c r="J97" i="193"/>
  <c r="I97" i="193"/>
  <c r="H97" i="193"/>
  <c r="G97" i="193"/>
  <c r="F97" i="193"/>
  <c r="E97" i="193"/>
  <c r="D97" i="193"/>
  <c r="AM92" i="193"/>
  <c r="AL92" i="193"/>
  <c r="AK92" i="193"/>
  <c r="AJ92" i="193"/>
  <c r="AI92" i="193"/>
  <c r="AH92" i="193"/>
  <c r="AG92" i="193"/>
  <c r="AF92" i="193"/>
  <c r="AE92" i="193"/>
  <c r="AD92" i="193"/>
  <c r="AC92" i="193"/>
  <c r="AB92" i="193"/>
  <c r="AA92" i="193"/>
  <c r="Z92" i="193"/>
  <c r="Y92" i="193"/>
  <c r="X92" i="193"/>
  <c r="W92" i="193"/>
  <c r="V92" i="193"/>
  <c r="U92" i="193"/>
  <c r="T92" i="193"/>
  <c r="S92" i="193"/>
  <c r="R92" i="193"/>
  <c r="Q92" i="193"/>
  <c r="P92" i="193"/>
  <c r="O92" i="193"/>
  <c r="N92" i="193"/>
  <c r="M92" i="193"/>
  <c r="L92" i="193"/>
  <c r="K92" i="193"/>
  <c r="J92" i="193"/>
  <c r="I92" i="193"/>
  <c r="H92" i="193"/>
  <c r="G92" i="193"/>
  <c r="F92" i="193"/>
  <c r="E92" i="193"/>
  <c r="D92" i="193"/>
  <c r="AM83" i="193"/>
  <c r="AL83" i="193"/>
  <c r="AK83" i="193"/>
  <c r="AJ83" i="193"/>
  <c r="AI83" i="193"/>
  <c r="AH83" i="193"/>
  <c r="AG83" i="193"/>
  <c r="AF83" i="193"/>
  <c r="AE83" i="193"/>
  <c r="AD83" i="193"/>
  <c r="AC83" i="193"/>
  <c r="AB83" i="193"/>
  <c r="AA83" i="193"/>
  <c r="Z83" i="193"/>
  <c r="Y83" i="193"/>
  <c r="X83" i="193"/>
  <c r="W83" i="193"/>
  <c r="V83" i="193"/>
  <c r="U83" i="193"/>
  <c r="T83" i="193"/>
  <c r="S83" i="193"/>
  <c r="R83" i="193"/>
  <c r="Q83" i="193"/>
  <c r="P83" i="193"/>
  <c r="O83" i="193"/>
  <c r="N83" i="193"/>
  <c r="M83" i="193"/>
  <c r="L83" i="193"/>
  <c r="K83" i="193"/>
  <c r="J83" i="193"/>
  <c r="I83" i="193"/>
  <c r="H83" i="193"/>
  <c r="G83" i="193"/>
  <c r="F83" i="193"/>
  <c r="E83" i="193"/>
  <c r="D83" i="193"/>
  <c r="AM74" i="193"/>
  <c r="AM76" i="193"/>
  <c r="AL74" i="193"/>
  <c r="AL76" i="193"/>
  <c r="AK74" i="193"/>
  <c r="AK76" i="193"/>
  <c r="AJ74" i="193"/>
  <c r="AJ76" i="193"/>
  <c r="AI74" i="193"/>
  <c r="AI76" i="193"/>
  <c r="AH74" i="193"/>
  <c r="AH76" i="193"/>
  <c r="AG74" i="193"/>
  <c r="AG76" i="193"/>
  <c r="AF74" i="193"/>
  <c r="AF76" i="193"/>
  <c r="AE74" i="193"/>
  <c r="AE76" i="193"/>
  <c r="AD74" i="193"/>
  <c r="AD76" i="193"/>
  <c r="AC74" i="193"/>
  <c r="AC76" i="193"/>
  <c r="AM69" i="193"/>
  <c r="AL69" i="193"/>
  <c r="AK69" i="193"/>
  <c r="AJ69" i="193"/>
  <c r="AI69" i="193"/>
  <c r="AH69" i="193"/>
  <c r="AG69" i="193"/>
  <c r="AF69" i="193"/>
  <c r="AE69" i="193"/>
  <c r="AD69" i="193"/>
  <c r="AC69" i="193"/>
  <c r="AB69" i="193"/>
  <c r="AA69" i="193"/>
  <c r="Z69" i="193"/>
  <c r="Y69" i="193"/>
  <c r="X69" i="193"/>
  <c r="W69" i="193"/>
  <c r="V69" i="193"/>
  <c r="U69" i="193"/>
  <c r="T69" i="193"/>
  <c r="S69" i="193"/>
  <c r="R69" i="193"/>
  <c r="Q69" i="193"/>
  <c r="P69" i="193"/>
  <c r="O69" i="193"/>
  <c r="N69" i="193"/>
  <c r="M69" i="193"/>
  <c r="L69" i="193"/>
  <c r="K69" i="193"/>
  <c r="J69" i="193"/>
  <c r="I69" i="193"/>
  <c r="H69" i="193"/>
  <c r="G69" i="193"/>
  <c r="F69" i="193"/>
  <c r="E69" i="193"/>
  <c r="D69" i="193"/>
  <c r="AM62" i="193"/>
  <c r="AL62" i="193"/>
  <c r="AK62" i="193"/>
  <c r="AJ62" i="193"/>
  <c r="AI62" i="193"/>
  <c r="AH62" i="193"/>
  <c r="AG62" i="193"/>
  <c r="AF62" i="193"/>
  <c r="AE62" i="193"/>
  <c r="AD62" i="193"/>
  <c r="AC62" i="193"/>
  <c r="AB62" i="193"/>
  <c r="AA62" i="193"/>
  <c r="Z62" i="193"/>
  <c r="Y62" i="193"/>
  <c r="X62" i="193"/>
  <c r="W62" i="193"/>
  <c r="V62" i="193"/>
  <c r="U62" i="193"/>
  <c r="T62" i="193"/>
  <c r="S62" i="193"/>
  <c r="R62" i="193"/>
  <c r="Q62" i="193"/>
  <c r="P62" i="193"/>
  <c r="O62" i="193"/>
  <c r="N62" i="193"/>
  <c r="M62" i="193"/>
  <c r="L62" i="193"/>
  <c r="K62" i="193"/>
  <c r="J62" i="193"/>
  <c r="I62" i="193"/>
  <c r="H62" i="193"/>
  <c r="G62" i="193"/>
  <c r="F62" i="193"/>
  <c r="E62" i="193"/>
  <c r="D62" i="193"/>
  <c r="AM50" i="193"/>
  <c r="AL50" i="193"/>
  <c r="AK50" i="193"/>
  <c r="AJ50" i="193"/>
  <c r="AI50" i="193"/>
  <c r="AH50" i="193"/>
  <c r="AG50" i="193"/>
  <c r="AF50" i="193"/>
  <c r="AE50" i="193"/>
  <c r="AD50" i="193"/>
  <c r="AC50" i="193"/>
  <c r="AB50" i="193"/>
  <c r="AA50" i="193"/>
  <c r="Z50" i="193"/>
  <c r="Y50" i="193"/>
  <c r="X50" i="193"/>
  <c r="W50" i="193"/>
  <c r="V50" i="193"/>
  <c r="U50" i="193"/>
  <c r="T50" i="193"/>
  <c r="S50" i="193"/>
  <c r="R50" i="193"/>
  <c r="Q50" i="193"/>
  <c r="P50" i="193"/>
  <c r="O50" i="193"/>
  <c r="N50" i="193"/>
  <c r="M50" i="193"/>
  <c r="L50" i="193"/>
  <c r="K50" i="193"/>
  <c r="J50" i="193"/>
  <c r="I50" i="193"/>
  <c r="H50" i="193"/>
  <c r="G50" i="193"/>
  <c r="F50" i="193"/>
  <c r="E50" i="193"/>
  <c r="D50" i="193"/>
  <c r="AM39" i="193"/>
  <c r="AL39" i="193"/>
  <c r="AK39" i="193"/>
  <c r="AJ39" i="193"/>
  <c r="AI39" i="193"/>
  <c r="AH39" i="193"/>
  <c r="AG39" i="193"/>
  <c r="AF39" i="193"/>
  <c r="AE39" i="193"/>
  <c r="AD39" i="193"/>
  <c r="AC39" i="193"/>
  <c r="AB39" i="193"/>
  <c r="AA39" i="193"/>
  <c r="Z39" i="193"/>
  <c r="Y39" i="193"/>
  <c r="X39" i="193"/>
  <c r="W39" i="193"/>
  <c r="V39" i="193"/>
  <c r="U39" i="193"/>
  <c r="T39" i="193"/>
  <c r="S39" i="193"/>
  <c r="R39" i="193"/>
  <c r="Q39" i="193"/>
  <c r="P39" i="193"/>
  <c r="O39" i="193"/>
  <c r="N39" i="193"/>
  <c r="M39" i="193"/>
  <c r="L39" i="193"/>
  <c r="AM34" i="193"/>
  <c r="AL34" i="193"/>
  <c r="AK34" i="193"/>
  <c r="AJ34" i="193"/>
  <c r="AI34" i="193"/>
  <c r="AH34" i="193"/>
  <c r="AG34" i="193"/>
  <c r="AF34" i="193"/>
  <c r="AE34" i="193"/>
  <c r="AD34" i="193"/>
  <c r="AC34" i="193"/>
  <c r="AB34" i="193"/>
  <c r="AA34" i="193"/>
  <c r="Z34" i="193"/>
  <c r="Y34" i="193"/>
  <c r="X34" i="193"/>
  <c r="W34" i="193"/>
  <c r="V34" i="193"/>
  <c r="U34" i="193"/>
  <c r="T34" i="193"/>
  <c r="S34" i="193"/>
  <c r="R34" i="193"/>
  <c r="Q34" i="193"/>
  <c r="P34" i="193"/>
  <c r="O34" i="193"/>
  <c r="N34" i="193"/>
  <c r="M34" i="193"/>
  <c r="L34" i="193"/>
  <c r="AM30" i="193"/>
  <c r="AL30" i="193"/>
  <c r="AK30" i="193"/>
  <c r="AJ30" i="193"/>
  <c r="AI30" i="193"/>
  <c r="AH30" i="193"/>
  <c r="AG30" i="193"/>
  <c r="AF30" i="193"/>
  <c r="AE30" i="193"/>
  <c r="AD30" i="193"/>
  <c r="AC30" i="193"/>
  <c r="AB30" i="193"/>
  <c r="AA30" i="193"/>
  <c r="Z30" i="193"/>
  <c r="Y30" i="193"/>
  <c r="X30" i="193"/>
  <c r="W30" i="193"/>
  <c r="V30" i="193"/>
  <c r="U30" i="193"/>
  <c r="T30" i="193"/>
  <c r="S30" i="193"/>
  <c r="R30" i="193"/>
  <c r="Q30" i="193"/>
  <c r="P30" i="193"/>
  <c r="O30" i="193"/>
  <c r="N30" i="193"/>
  <c r="M30" i="193"/>
  <c r="L30" i="193"/>
  <c r="AM24" i="193"/>
  <c r="AL24" i="193"/>
  <c r="AK24" i="193"/>
  <c r="AJ24" i="193"/>
  <c r="AI24" i="193"/>
  <c r="AH24" i="193"/>
  <c r="AG24" i="193"/>
  <c r="AF24" i="193"/>
  <c r="AE24" i="193"/>
  <c r="AD24" i="193"/>
  <c r="AC24" i="193"/>
  <c r="AB24" i="193"/>
  <c r="AA24" i="193"/>
  <c r="Z24" i="193"/>
  <c r="Y24" i="193"/>
  <c r="X24" i="193"/>
  <c r="W24" i="193"/>
  <c r="V24" i="193"/>
  <c r="U24" i="193"/>
  <c r="T24" i="193"/>
  <c r="S24" i="193"/>
  <c r="R24" i="193"/>
  <c r="Q24" i="193"/>
  <c r="P24" i="193"/>
  <c r="O24" i="193"/>
  <c r="N24" i="193"/>
  <c r="M24" i="193"/>
  <c r="L24" i="193"/>
  <c r="K24" i="193"/>
  <c r="J24" i="193"/>
  <c r="I24" i="193"/>
  <c r="H24" i="193"/>
  <c r="G24" i="193"/>
  <c r="F24" i="193"/>
  <c r="E24" i="193"/>
  <c r="D24" i="193"/>
  <c r="AM20" i="193"/>
  <c r="AL20" i="193"/>
  <c r="AK20" i="193"/>
  <c r="AJ20" i="193"/>
  <c r="AI20" i="193"/>
  <c r="AH20" i="193"/>
  <c r="AG20" i="193"/>
  <c r="AF20" i="193"/>
  <c r="AE20" i="193"/>
  <c r="AD20" i="193"/>
  <c r="AC20" i="193"/>
  <c r="AB20" i="193"/>
  <c r="AA20" i="193"/>
  <c r="Z20" i="193"/>
  <c r="Y20" i="193"/>
  <c r="X20" i="193"/>
  <c r="W20" i="193"/>
  <c r="V20" i="193"/>
  <c r="U20" i="193"/>
  <c r="T20" i="193"/>
  <c r="S20" i="193"/>
  <c r="R20" i="193"/>
  <c r="Q20" i="193"/>
  <c r="P20" i="193"/>
  <c r="O20" i="193"/>
  <c r="N20" i="193"/>
  <c r="M20" i="193"/>
  <c r="L20" i="193"/>
  <c r="K20" i="193"/>
  <c r="J20" i="193"/>
  <c r="I20" i="193"/>
  <c r="H20" i="193"/>
  <c r="G20" i="193"/>
  <c r="F20" i="193"/>
  <c r="E20" i="193"/>
  <c r="D20" i="193"/>
  <c r="AM15" i="193"/>
  <c r="AL15" i="193"/>
  <c r="AK15" i="193"/>
  <c r="AJ15" i="193"/>
  <c r="AI15" i="193"/>
  <c r="AH15" i="193"/>
  <c r="AG15" i="193"/>
  <c r="AF15" i="193"/>
  <c r="AE15" i="193"/>
  <c r="AD15" i="193"/>
  <c r="AC15" i="193"/>
  <c r="AB15" i="193"/>
  <c r="AA15" i="193"/>
  <c r="Z15" i="193"/>
  <c r="Y15" i="193"/>
  <c r="X15" i="193"/>
  <c r="W15" i="193"/>
  <c r="V15" i="193"/>
  <c r="U15" i="193"/>
  <c r="T15" i="193"/>
  <c r="S15" i="193"/>
  <c r="R15" i="193"/>
  <c r="Q15" i="193"/>
  <c r="P15" i="193"/>
  <c r="O15" i="193"/>
  <c r="N15" i="193"/>
  <c r="M15" i="193"/>
  <c r="L15" i="193"/>
  <c r="K15" i="193"/>
  <c r="J15" i="193"/>
  <c r="I15" i="193"/>
  <c r="I25" i="193"/>
  <c r="H15" i="193"/>
  <c r="G15" i="193"/>
  <c r="F15" i="193"/>
  <c r="E15" i="193"/>
  <c r="D15" i="193"/>
  <c r="N14" i="304"/>
  <c r="M14" i="304"/>
  <c r="L14" i="304"/>
  <c r="K14" i="304"/>
  <c r="J14" i="304"/>
  <c r="I14" i="304"/>
  <c r="H14" i="304"/>
  <c r="G14" i="304"/>
  <c r="F14" i="304"/>
  <c r="E14" i="304"/>
  <c r="N13" i="304"/>
  <c r="M13" i="304"/>
  <c r="L13" i="304"/>
  <c r="K13" i="304"/>
  <c r="J13" i="304"/>
  <c r="I13" i="304"/>
  <c r="H13" i="304"/>
  <c r="G13" i="304"/>
  <c r="F13" i="304"/>
  <c r="E13" i="304"/>
  <c r="N12" i="304"/>
  <c r="M12" i="304"/>
  <c r="L12" i="304"/>
  <c r="K12" i="304"/>
  <c r="J12" i="304"/>
  <c r="I12" i="304"/>
  <c r="H12" i="304"/>
  <c r="G12" i="304"/>
  <c r="F12" i="304"/>
  <c r="E12" i="304"/>
  <c r="N11" i="304"/>
  <c r="M11" i="304"/>
  <c r="L11" i="304"/>
  <c r="K11" i="304"/>
  <c r="J11" i="304"/>
  <c r="I11" i="304"/>
  <c r="H11" i="304"/>
  <c r="G11" i="304"/>
  <c r="F11" i="304"/>
  <c r="E11" i="304"/>
  <c r="N10" i="304"/>
  <c r="M10" i="304"/>
  <c r="L10" i="304"/>
  <c r="K10" i="304"/>
  <c r="J10" i="304"/>
  <c r="I10" i="304"/>
  <c r="H10" i="304"/>
  <c r="G10" i="304"/>
  <c r="F10" i="304"/>
  <c r="E10" i="304"/>
  <c r="N9" i="304"/>
  <c r="M9" i="304"/>
  <c r="L9" i="304"/>
  <c r="K9" i="304"/>
  <c r="J9" i="304"/>
  <c r="I9" i="304"/>
  <c r="H9" i="304"/>
  <c r="G9" i="304"/>
  <c r="F9" i="304"/>
  <c r="E9" i="304"/>
  <c r="N8" i="304"/>
  <c r="M8" i="304"/>
  <c r="L8" i="304"/>
  <c r="K8" i="304"/>
  <c r="J8" i="304"/>
  <c r="I8" i="304"/>
  <c r="H8" i="304"/>
  <c r="G8" i="304"/>
  <c r="F8" i="304"/>
  <c r="E8" i="304"/>
  <c r="N7" i="304"/>
  <c r="M7" i="304"/>
  <c r="L7" i="304"/>
  <c r="K7" i="304"/>
  <c r="J7" i="304"/>
  <c r="I7" i="304"/>
  <c r="H7" i="304"/>
  <c r="G7" i="304"/>
  <c r="F7" i="304"/>
  <c r="E7" i="304"/>
  <c r="Z6" i="304"/>
  <c r="N19" i="304"/>
  <c r="Y6" i="304"/>
  <c r="M17" i="304"/>
  <c r="X6" i="304"/>
  <c r="L18" i="304"/>
  <c r="W6" i="304"/>
  <c r="K18" i="304"/>
  <c r="V6" i="304"/>
  <c r="J19" i="304"/>
  <c r="U6" i="304"/>
  <c r="T6" i="304"/>
  <c r="H18" i="304"/>
  <c r="S6" i="304"/>
  <c r="G18" i="304"/>
  <c r="R6" i="304"/>
  <c r="F19" i="304"/>
  <c r="Q6" i="304"/>
  <c r="E16" i="304"/>
  <c r="N5" i="304"/>
  <c r="M5" i="304"/>
  <c r="E5" i="304"/>
  <c r="K4" i="304"/>
  <c r="I4" i="304"/>
  <c r="G4" i="304"/>
  <c r="AB36" i="241"/>
  <c r="AC36" i="241"/>
  <c r="Z36" i="241"/>
  <c r="AB35" i="241"/>
  <c r="AC35" i="241"/>
  <c r="Z35" i="241"/>
  <c r="AB34" i="241"/>
  <c r="AA34" i="241"/>
  <c r="X34" i="241"/>
  <c r="Z34" i="241"/>
  <c r="AB33" i="241"/>
  <c r="AA33" i="241"/>
  <c r="X33" i="241"/>
  <c r="Z33" i="241"/>
  <c r="AB32" i="241"/>
  <c r="AA32" i="241"/>
  <c r="X32" i="241"/>
  <c r="AB31" i="241"/>
  <c r="AB37" i="241"/>
  <c r="AA31" i="241"/>
  <c r="X31" i="241"/>
  <c r="Z31" i="241"/>
  <c r="AB29" i="241"/>
  <c r="AA29" i="241"/>
  <c r="AC29" i="241"/>
  <c r="X29" i="241"/>
  <c r="Z29" i="241"/>
  <c r="AK28" i="241"/>
  <c r="AJ28" i="241"/>
  <c r="AH28" i="241"/>
  <c r="AG28" i="241"/>
  <c r="AI28" i="241"/>
  <c r="AE28" i="241"/>
  <c r="AD28" i="241"/>
  <c r="AC28" i="241"/>
  <c r="Z28" i="241"/>
  <c r="AK27" i="241"/>
  <c r="AJ27" i="241"/>
  <c r="AH27" i="241"/>
  <c r="AG27" i="241"/>
  <c r="AE27" i="241"/>
  <c r="AD27" i="241"/>
  <c r="AC27" i="241"/>
  <c r="Z27" i="241"/>
  <c r="AK26" i="241"/>
  <c r="AJ26" i="241"/>
  <c r="AJ29" i="241"/>
  <c r="AH26" i="241"/>
  <c r="AH29" i="241"/>
  <c r="AG26" i="241"/>
  <c r="AE26" i="241"/>
  <c r="AE29" i="241"/>
  <c r="AD26" i="241"/>
  <c r="AC26" i="241"/>
  <c r="Z26" i="241"/>
  <c r="AB24" i="241"/>
  <c r="AA24" i="241"/>
  <c r="AK23" i="241"/>
  <c r="AJ23" i="241"/>
  <c r="AH23" i="241"/>
  <c r="AI23" i="241"/>
  <c r="AG23" i="241"/>
  <c r="AE23" i="241"/>
  <c r="AF23" i="241"/>
  <c r="AC23" i="241"/>
  <c r="AK22" i="241"/>
  <c r="AJ22" i="241"/>
  <c r="AH22" i="241"/>
  <c r="AG22" i="241"/>
  <c r="AE22" i="241"/>
  <c r="AF22" i="241"/>
  <c r="AC22" i="241"/>
  <c r="AK21" i="241"/>
  <c r="AJ21" i="241"/>
  <c r="AJ24" i="241"/>
  <c r="AH21" i="241"/>
  <c r="AG21" i="241"/>
  <c r="AE21" i="241"/>
  <c r="AC21" i="241"/>
  <c r="AB19" i="241"/>
  <c r="AA19" i="241"/>
  <c r="Y19" i="241"/>
  <c r="X19" i="241"/>
  <c r="AK18" i="241"/>
  <c r="AJ18" i="241"/>
  <c r="AH18" i="241"/>
  <c r="AH33" i="241"/>
  <c r="AG18" i="241"/>
  <c r="AE18" i="241"/>
  <c r="AE33" i="241"/>
  <c r="AD18" i="241"/>
  <c r="AC18" i="241"/>
  <c r="Z18" i="241"/>
  <c r="AK17" i="241"/>
  <c r="AJ17" i="241"/>
  <c r="AH17" i="241"/>
  <c r="AG17" i="241"/>
  <c r="AE17" i="241"/>
  <c r="AF17" i="241"/>
  <c r="AD17" i="241"/>
  <c r="AC17" i="241"/>
  <c r="Z17" i="241"/>
  <c r="AK16" i="241"/>
  <c r="AJ16" i="241"/>
  <c r="AH16" i="241"/>
  <c r="AH19" i="241"/>
  <c r="AG16" i="241"/>
  <c r="AE16" i="241"/>
  <c r="AE19" i="241"/>
  <c r="AD16" i="241"/>
  <c r="AD19" i="241"/>
  <c r="AC16" i="241"/>
  <c r="Z16" i="241"/>
  <c r="Z19" i="241"/>
  <c r="AB14" i="241"/>
  <c r="AC14" i="241"/>
  <c r="Y14" i="241"/>
  <c r="Z14" i="241"/>
  <c r="AK13" i="241"/>
  <c r="AH13" i="241"/>
  <c r="AI13" i="241"/>
  <c r="AE13" i="241"/>
  <c r="AE36" i="241"/>
  <c r="AF36" i="241"/>
  <c r="AC13" i="241"/>
  <c r="Z13" i="241"/>
  <c r="AK12" i="241"/>
  <c r="AH12" i="241"/>
  <c r="AH35" i="241"/>
  <c r="AI35" i="241"/>
  <c r="AE12" i="241"/>
  <c r="AE35" i="241"/>
  <c r="AF35" i="241"/>
  <c r="AC12" i="241"/>
  <c r="Z12" i="241"/>
  <c r="AK11" i="241"/>
  <c r="AH11" i="241"/>
  <c r="AI11" i="241"/>
  <c r="AE11" i="241"/>
  <c r="AF11" i="241"/>
  <c r="AC11" i="241"/>
  <c r="Z11" i="241"/>
  <c r="AB9" i="241"/>
  <c r="AC9" i="241"/>
  <c r="AA9" i="241"/>
  <c r="X9" i="241"/>
  <c r="Z9" i="241"/>
  <c r="AK8" i="241"/>
  <c r="AK34" i="241"/>
  <c r="AJ8" i="241"/>
  <c r="AH8" i="241"/>
  <c r="AH34" i="241"/>
  <c r="AG8" i="241"/>
  <c r="AE8" i="241"/>
  <c r="AD8" i="241"/>
  <c r="AD34" i="241"/>
  <c r="AC8" i="241"/>
  <c r="Z8" i="241"/>
  <c r="AK7" i="241"/>
  <c r="AJ7" i="241"/>
  <c r="AH7" i="241"/>
  <c r="AG7" i="241"/>
  <c r="AE7" i="241"/>
  <c r="AD7" i="241"/>
  <c r="AC7" i="241"/>
  <c r="Z7" i="241"/>
  <c r="AK6" i="241"/>
  <c r="AJ6" i="241"/>
  <c r="AH6" i="241"/>
  <c r="AH31" i="241"/>
  <c r="AG6" i="241"/>
  <c r="AE6" i="241"/>
  <c r="AD6" i="241"/>
  <c r="AC6" i="241"/>
  <c r="Z6" i="241"/>
  <c r="AM97" i="240"/>
  <c r="AJ97" i="240"/>
  <c r="AG97" i="240"/>
  <c r="AD97" i="240"/>
  <c r="AL96" i="240"/>
  <c r="AL98" i="240"/>
  <c r="AK96" i="240"/>
  <c r="AK98" i="240"/>
  <c r="AI96" i="240"/>
  <c r="AI98" i="240"/>
  <c r="AH96" i="240"/>
  <c r="AH98" i="240"/>
  <c r="AF96" i="240"/>
  <c r="AF98" i="240"/>
  <c r="AE96" i="240"/>
  <c r="AE98" i="240"/>
  <c r="AC96" i="240"/>
  <c r="AC98" i="240"/>
  <c r="AB96" i="240"/>
  <c r="AB98" i="240"/>
  <c r="AM95" i="240"/>
  <c r="AJ95" i="240"/>
  <c r="AM94" i="240"/>
  <c r="AJ94" i="240"/>
  <c r="AG94" i="240"/>
  <c r="AG96" i="240"/>
  <c r="AD94" i="240"/>
  <c r="AD96" i="240"/>
  <c r="AM93" i="240"/>
  <c r="AJ93" i="240"/>
  <c r="AG93" i="240"/>
  <c r="AD93" i="240"/>
  <c r="AD98" i="240"/>
  <c r="AL91" i="240"/>
  <c r="AK91" i="240"/>
  <c r="AI91" i="240"/>
  <c r="AH91" i="240"/>
  <c r="AF91" i="240"/>
  <c r="AE91" i="240"/>
  <c r="AC91" i="240"/>
  <c r="AB91" i="240"/>
  <c r="Z91" i="240"/>
  <c r="Y91" i="240"/>
  <c r="X91" i="240"/>
  <c r="W91" i="240"/>
  <c r="V91" i="240"/>
  <c r="U91" i="240"/>
  <c r="T91" i="240"/>
  <c r="S91" i="240"/>
  <c r="R91" i="240"/>
  <c r="Q91" i="240"/>
  <c r="P91" i="240"/>
  <c r="O91" i="240"/>
  <c r="N91" i="240"/>
  <c r="M91" i="240"/>
  <c r="L91" i="240"/>
  <c r="K91" i="240"/>
  <c r="AM90" i="240"/>
  <c r="AJ90" i="240"/>
  <c r="AG90" i="240"/>
  <c r="AD90" i="240"/>
  <c r="AA90" i="240"/>
  <c r="AM89" i="240"/>
  <c r="AJ89" i="240"/>
  <c r="AG89" i="240"/>
  <c r="AD89" i="240"/>
  <c r="AA89" i="240"/>
  <c r="AM88" i="240"/>
  <c r="AJ88" i="240"/>
  <c r="AG88" i="240"/>
  <c r="AD88" i="240"/>
  <c r="AA88" i="240"/>
  <c r="AM87" i="240"/>
  <c r="AM91" i="240"/>
  <c r="AJ87" i="240"/>
  <c r="AG87" i="240"/>
  <c r="AD87" i="240"/>
  <c r="AD91" i="240"/>
  <c r="AA87" i="240"/>
  <c r="AA91" i="240"/>
  <c r="AL86" i="240"/>
  <c r="AK86" i="240"/>
  <c r="AI86" i="240"/>
  <c r="AH86" i="240"/>
  <c r="AF86" i="240"/>
  <c r="AE86" i="240"/>
  <c r="AC86" i="240"/>
  <c r="AB86" i="240"/>
  <c r="Z86" i="240"/>
  <c r="Y86" i="240"/>
  <c r="X86" i="240"/>
  <c r="W86" i="240"/>
  <c r="V86" i="240"/>
  <c r="U86" i="240"/>
  <c r="T86" i="240"/>
  <c r="S86" i="240"/>
  <c r="R86" i="240"/>
  <c r="Q86" i="240"/>
  <c r="P86" i="240"/>
  <c r="O86" i="240"/>
  <c r="N86" i="240"/>
  <c r="M86" i="240"/>
  <c r="L86" i="240"/>
  <c r="K86" i="240"/>
  <c r="AM85" i="240"/>
  <c r="AJ85" i="240"/>
  <c r="AG85" i="240"/>
  <c r="AD85" i="240"/>
  <c r="AA85" i="240"/>
  <c r="AM84" i="240"/>
  <c r="AJ84" i="240"/>
  <c r="AG84" i="240"/>
  <c r="AD84" i="240"/>
  <c r="AA84" i="240"/>
  <c r="AM83" i="240"/>
  <c r="AM86" i="240"/>
  <c r="AJ83" i="240"/>
  <c r="AJ86" i="240"/>
  <c r="AG83" i="240"/>
  <c r="AD83" i="240"/>
  <c r="AA83" i="240"/>
  <c r="AA86" i="240"/>
  <c r="AL82" i="240"/>
  <c r="AK82" i="240"/>
  <c r="AJ11" i="241"/>
  <c r="AI82" i="240"/>
  <c r="AH82" i="240"/>
  <c r="AF82" i="240"/>
  <c r="AF92" i="240"/>
  <c r="AE82" i="240"/>
  <c r="AE92" i="240"/>
  <c r="AC82" i="240"/>
  <c r="AB82" i="240"/>
  <c r="Z82" i="240"/>
  <c r="Y82" i="240"/>
  <c r="Y92" i="240"/>
  <c r="X82" i="240"/>
  <c r="X92" i="240"/>
  <c r="W82" i="240"/>
  <c r="V82" i="240"/>
  <c r="U82" i="240"/>
  <c r="T82" i="240"/>
  <c r="S82" i="240"/>
  <c r="R82" i="240"/>
  <c r="Q82" i="240"/>
  <c r="Q92" i="240"/>
  <c r="P82" i="240"/>
  <c r="O82" i="240"/>
  <c r="N82" i="240"/>
  <c r="M82" i="240"/>
  <c r="L82" i="240"/>
  <c r="K82" i="240"/>
  <c r="AM81" i="240"/>
  <c r="AJ81" i="240"/>
  <c r="AG81" i="240"/>
  <c r="AD81" i="240"/>
  <c r="AA81" i="240"/>
  <c r="AM80" i="240"/>
  <c r="AJ80" i="240"/>
  <c r="AG80" i="240"/>
  <c r="AD80" i="240"/>
  <c r="AA80" i="240"/>
  <c r="AM79" i="240"/>
  <c r="AJ79" i="240"/>
  <c r="AG79" i="240"/>
  <c r="AD79" i="240"/>
  <c r="AA79" i="240"/>
  <c r="AM78" i="240"/>
  <c r="AM82" i="240"/>
  <c r="AJ78" i="240"/>
  <c r="AG78" i="240"/>
  <c r="AD78" i="240"/>
  <c r="AA78" i="240"/>
  <c r="AL76" i="240"/>
  <c r="AK76" i="240"/>
  <c r="AI76" i="240"/>
  <c r="AH76" i="240"/>
  <c r="AF76" i="240"/>
  <c r="AE76" i="240"/>
  <c r="AC76" i="240"/>
  <c r="AB76" i="240"/>
  <c r="Z76" i="240"/>
  <c r="Y76" i="240"/>
  <c r="X76" i="240"/>
  <c r="W76" i="240"/>
  <c r="V76" i="240"/>
  <c r="U76" i="240"/>
  <c r="T76" i="240"/>
  <c r="S76" i="240"/>
  <c r="R76" i="240"/>
  <c r="Q76" i="240"/>
  <c r="P76" i="240"/>
  <c r="O76" i="240"/>
  <c r="N76" i="240"/>
  <c r="M76" i="240"/>
  <c r="L76" i="240"/>
  <c r="K76" i="240"/>
  <c r="J76" i="240"/>
  <c r="I76" i="240"/>
  <c r="H76" i="240"/>
  <c r="G76" i="240"/>
  <c r="F76" i="240"/>
  <c r="E76" i="240"/>
  <c r="D76" i="240"/>
  <c r="AM75" i="240"/>
  <c r="AJ75" i="240"/>
  <c r="AG75" i="240"/>
  <c r="AD75" i="240"/>
  <c r="AA75" i="240"/>
  <c r="AM74" i="240"/>
  <c r="AJ74" i="240"/>
  <c r="AG74" i="240"/>
  <c r="AD74" i="240"/>
  <c r="AA74" i="240"/>
  <c r="AM73" i="240"/>
  <c r="AJ73" i="240"/>
  <c r="AG73" i="240"/>
  <c r="AD73" i="240"/>
  <c r="AA73" i="240"/>
  <c r="AM72" i="240"/>
  <c r="AJ72" i="240"/>
  <c r="AG72" i="240"/>
  <c r="AD72" i="240"/>
  <c r="AA72" i="240"/>
  <c r="AL71" i="240"/>
  <c r="AK71" i="240"/>
  <c r="AI71" i="240"/>
  <c r="AH71" i="240"/>
  <c r="AF71" i="240"/>
  <c r="AE71" i="240"/>
  <c r="AC71" i="240"/>
  <c r="AB71" i="240"/>
  <c r="Z71" i="240"/>
  <c r="Y71" i="240"/>
  <c r="X71" i="240"/>
  <c r="W71" i="240"/>
  <c r="V71" i="240"/>
  <c r="U71" i="240"/>
  <c r="T71" i="240"/>
  <c r="S71" i="240"/>
  <c r="R71" i="240"/>
  <c r="Q71" i="240"/>
  <c r="P71" i="240"/>
  <c r="O71" i="240"/>
  <c r="N71" i="240"/>
  <c r="M71" i="240"/>
  <c r="L71" i="240"/>
  <c r="K71" i="240"/>
  <c r="J71" i="240"/>
  <c r="I71" i="240"/>
  <c r="H71" i="240"/>
  <c r="G71" i="240"/>
  <c r="F71" i="240"/>
  <c r="E71" i="240"/>
  <c r="D71" i="240"/>
  <c r="AM70" i="240"/>
  <c r="AJ70" i="240"/>
  <c r="AG70" i="240"/>
  <c r="AD70" i="240"/>
  <c r="AA70" i="240"/>
  <c r="AM69" i="240"/>
  <c r="AJ69" i="240"/>
  <c r="AG69" i="240"/>
  <c r="AD69" i="240"/>
  <c r="AA69" i="240"/>
  <c r="AM68" i="240"/>
  <c r="AJ68" i="240"/>
  <c r="AG68" i="240"/>
  <c r="AD68" i="240"/>
  <c r="AA68" i="240"/>
  <c r="AM67" i="240"/>
  <c r="AJ67" i="240"/>
  <c r="AG67" i="240"/>
  <c r="AD67" i="240"/>
  <c r="AA67" i="240"/>
  <c r="AM66" i="240"/>
  <c r="AJ66" i="240"/>
  <c r="AG66" i="240"/>
  <c r="AD66" i="240"/>
  <c r="AA66" i="240"/>
  <c r="AM65" i="240"/>
  <c r="AJ65" i="240"/>
  <c r="AG65" i="240"/>
  <c r="AD65" i="240"/>
  <c r="AA65" i="240"/>
  <c r="AM64" i="240"/>
  <c r="AJ64" i="240"/>
  <c r="AG64" i="240"/>
  <c r="AD64" i="240"/>
  <c r="AA64" i="240"/>
  <c r="AM63" i="240"/>
  <c r="AJ63" i="240"/>
  <c r="AG63" i="240"/>
  <c r="AD63" i="240"/>
  <c r="AA63" i="240"/>
  <c r="AL62" i="240"/>
  <c r="AK62" i="240"/>
  <c r="AI62" i="240"/>
  <c r="AH62" i="240"/>
  <c r="AF62" i="240"/>
  <c r="AE62" i="240"/>
  <c r="AC62" i="240"/>
  <c r="AB62" i="240"/>
  <c r="Z62" i="240"/>
  <c r="Z77" i="240"/>
  <c r="Y62" i="240"/>
  <c r="Y77" i="240"/>
  <c r="X62" i="240"/>
  <c r="W62" i="240"/>
  <c r="V62" i="240"/>
  <c r="U62" i="240"/>
  <c r="T62" i="240"/>
  <c r="S62" i="240"/>
  <c r="R62" i="240"/>
  <c r="Q62" i="240"/>
  <c r="P62" i="240"/>
  <c r="O62" i="240"/>
  <c r="N62" i="240"/>
  <c r="M62" i="240"/>
  <c r="L62" i="240"/>
  <c r="K62" i="240"/>
  <c r="J62" i="240"/>
  <c r="I62" i="240"/>
  <c r="H62" i="240"/>
  <c r="G62" i="240"/>
  <c r="F62" i="240"/>
  <c r="E62" i="240"/>
  <c r="D62" i="240"/>
  <c r="AM61" i="240"/>
  <c r="AJ61" i="240"/>
  <c r="AG61" i="240"/>
  <c r="AD61" i="240"/>
  <c r="AA61" i="240"/>
  <c r="AM60" i="240"/>
  <c r="AJ60" i="240"/>
  <c r="AG60" i="240"/>
  <c r="AD60" i="240"/>
  <c r="AA60" i="240"/>
  <c r="AM59" i="240"/>
  <c r="AJ59" i="240"/>
  <c r="AG59" i="240"/>
  <c r="AD59" i="240"/>
  <c r="AA59" i="240"/>
  <c r="AM58" i="240"/>
  <c r="AJ58" i="240"/>
  <c r="AG58" i="240"/>
  <c r="AD58" i="240"/>
  <c r="AA58" i="240"/>
  <c r="AM57" i="240"/>
  <c r="AJ57" i="240"/>
  <c r="AG57" i="240"/>
  <c r="AD57" i="240"/>
  <c r="AA57" i="240"/>
  <c r="AM56" i="240"/>
  <c r="AJ56" i="240"/>
  <c r="AG56" i="240"/>
  <c r="AD56" i="240"/>
  <c r="AD62" i="240"/>
  <c r="AA56" i="240"/>
  <c r="AL54" i="240"/>
  <c r="AK54" i="240"/>
  <c r="AI54" i="240"/>
  <c r="AH54" i="240"/>
  <c r="AF54" i="240"/>
  <c r="AE54" i="240"/>
  <c r="AC54" i="240"/>
  <c r="AB54" i="240"/>
  <c r="Z54" i="240"/>
  <c r="Y54" i="240"/>
  <c r="X54" i="240"/>
  <c r="W54" i="240"/>
  <c r="V54" i="240"/>
  <c r="U54" i="240"/>
  <c r="T54" i="240"/>
  <c r="S54" i="240"/>
  <c r="R54" i="240"/>
  <c r="Q54" i="240"/>
  <c r="P54" i="240"/>
  <c r="O54" i="240"/>
  <c r="N54" i="240"/>
  <c r="M54" i="240"/>
  <c r="L54" i="240"/>
  <c r="K54" i="240"/>
  <c r="J54" i="240"/>
  <c r="I54" i="240"/>
  <c r="H54" i="240"/>
  <c r="G54" i="240"/>
  <c r="F54" i="240"/>
  <c r="E54" i="240"/>
  <c r="D54" i="240"/>
  <c r="AM53" i="240"/>
  <c r="AJ53" i="240"/>
  <c r="AG53" i="240"/>
  <c r="AD53" i="240"/>
  <c r="AA53" i="240"/>
  <c r="AM52" i="240"/>
  <c r="AJ52" i="240"/>
  <c r="AG52" i="240"/>
  <c r="AD52" i="240"/>
  <c r="AA52" i="240"/>
  <c r="AM51" i="240"/>
  <c r="AJ51" i="240"/>
  <c r="AG51" i="240"/>
  <c r="AD51" i="240"/>
  <c r="AA51" i="240"/>
  <c r="AM50" i="240"/>
  <c r="AJ50" i="240"/>
  <c r="AG50" i="240"/>
  <c r="AD50" i="240"/>
  <c r="AA50" i="240"/>
  <c r="AM49" i="240"/>
  <c r="AJ49" i="240"/>
  <c r="AG49" i="240"/>
  <c r="AD49" i="240"/>
  <c r="AA49" i="240"/>
  <c r="AM48" i="240"/>
  <c r="AM54" i="240"/>
  <c r="AJ48" i="240"/>
  <c r="AG48" i="240"/>
  <c r="AD48" i="240"/>
  <c r="AA48" i="240"/>
  <c r="AL47" i="240"/>
  <c r="AK47" i="240"/>
  <c r="AI47" i="240"/>
  <c r="AH47" i="240"/>
  <c r="AF47" i="240"/>
  <c r="AE47" i="240"/>
  <c r="AC47" i="240"/>
  <c r="AB47" i="240"/>
  <c r="Z47" i="240"/>
  <c r="Y47" i="240"/>
  <c r="X47" i="240"/>
  <c r="W47" i="240"/>
  <c r="V47" i="240"/>
  <c r="U47" i="240"/>
  <c r="T47" i="240"/>
  <c r="S47" i="240"/>
  <c r="R47" i="240"/>
  <c r="Q47" i="240"/>
  <c r="P47" i="240"/>
  <c r="O47" i="240"/>
  <c r="N47" i="240"/>
  <c r="M47" i="240"/>
  <c r="L47" i="240"/>
  <c r="K47" i="240"/>
  <c r="J47" i="240"/>
  <c r="I47" i="240"/>
  <c r="H47" i="240"/>
  <c r="G47" i="240"/>
  <c r="F47" i="240"/>
  <c r="E47" i="240"/>
  <c r="D47" i="240"/>
  <c r="AM46" i="240"/>
  <c r="AJ46" i="240"/>
  <c r="AG46" i="240"/>
  <c r="AD46" i="240"/>
  <c r="AA46" i="240"/>
  <c r="AM45" i="240"/>
  <c r="AJ45" i="240"/>
  <c r="AG45" i="240"/>
  <c r="AD45" i="240"/>
  <c r="AA45" i="240"/>
  <c r="AM44" i="240"/>
  <c r="AJ44" i="240"/>
  <c r="AG44" i="240"/>
  <c r="AD44" i="240"/>
  <c r="AA44" i="240"/>
  <c r="AM43" i="240"/>
  <c r="AJ43" i="240"/>
  <c r="AG43" i="240"/>
  <c r="AD43" i="240"/>
  <c r="AA43" i="240"/>
  <c r="AM42" i="240"/>
  <c r="AJ42" i="240"/>
  <c r="AG42" i="240"/>
  <c r="AD42" i="240"/>
  <c r="AA42" i="240"/>
  <c r="AM41" i="240"/>
  <c r="AJ41" i="240"/>
  <c r="AG41" i="240"/>
  <c r="AD41" i="240"/>
  <c r="AA41" i="240"/>
  <c r="AM40" i="240"/>
  <c r="AJ40" i="240"/>
  <c r="AG40" i="240"/>
  <c r="AD40" i="240"/>
  <c r="AA40" i="240"/>
  <c r="AM39" i="240"/>
  <c r="AJ39" i="240"/>
  <c r="AG39" i="240"/>
  <c r="AD39" i="240"/>
  <c r="AA39" i="240"/>
  <c r="AM38" i="240"/>
  <c r="AJ38" i="240"/>
  <c r="AG38" i="240"/>
  <c r="AD38" i="240"/>
  <c r="AA38" i="240"/>
  <c r="AM37" i="240"/>
  <c r="AJ37" i="240"/>
  <c r="AG37" i="240"/>
  <c r="AD37" i="240"/>
  <c r="AA37" i="240"/>
  <c r="AM36" i="240"/>
  <c r="AJ36" i="240"/>
  <c r="AG36" i="240"/>
  <c r="AD36" i="240"/>
  <c r="AA36" i="240"/>
  <c r="AL35" i="240"/>
  <c r="AL55" i="240"/>
  <c r="AK35" i="240"/>
  <c r="AI35" i="240"/>
  <c r="AH35" i="240"/>
  <c r="AF35" i="240"/>
  <c r="AE35" i="240"/>
  <c r="AC35" i="240"/>
  <c r="AC55" i="240"/>
  <c r="AB35" i="240"/>
  <c r="Z35" i="240"/>
  <c r="Y35" i="240"/>
  <c r="X35" i="240"/>
  <c r="W35" i="240"/>
  <c r="V35" i="240"/>
  <c r="U35" i="240"/>
  <c r="T35" i="240"/>
  <c r="S35" i="240"/>
  <c r="R35" i="240"/>
  <c r="Q35" i="240"/>
  <c r="P35" i="240"/>
  <c r="O35" i="240"/>
  <c r="N35" i="240"/>
  <c r="M35" i="240"/>
  <c r="L35" i="240"/>
  <c r="L55" i="240"/>
  <c r="K35" i="240"/>
  <c r="J35" i="240"/>
  <c r="I35" i="240"/>
  <c r="H35" i="240"/>
  <c r="G35" i="240"/>
  <c r="F35" i="240"/>
  <c r="E35" i="240"/>
  <c r="D35" i="240"/>
  <c r="AM34" i="240"/>
  <c r="AJ34" i="240"/>
  <c r="AG34" i="240"/>
  <c r="AD34" i="240"/>
  <c r="AA34" i="240"/>
  <c r="AM33" i="240"/>
  <c r="AJ33" i="240"/>
  <c r="AG33" i="240"/>
  <c r="AD33" i="240"/>
  <c r="AA33" i="240"/>
  <c r="AM32" i="240"/>
  <c r="AJ32" i="240"/>
  <c r="AG32" i="240"/>
  <c r="AD32" i="240"/>
  <c r="AA32" i="240"/>
  <c r="AM31" i="240"/>
  <c r="AJ31" i="240"/>
  <c r="AG31" i="240"/>
  <c r="AD31" i="240"/>
  <c r="AA31" i="240"/>
  <c r="AM30" i="240"/>
  <c r="AJ30" i="240"/>
  <c r="AG30" i="240"/>
  <c r="AD30" i="240"/>
  <c r="AA30" i="240"/>
  <c r="AM29" i="240"/>
  <c r="AJ29" i="240"/>
  <c r="AG29" i="240"/>
  <c r="AD29" i="240"/>
  <c r="AA29" i="240"/>
  <c r="AM28" i="240"/>
  <c r="AJ28" i="240"/>
  <c r="AG28" i="240"/>
  <c r="AD28" i="240"/>
  <c r="AA28" i="240"/>
  <c r="AM27" i="240"/>
  <c r="AJ27" i="240"/>
  <c r="AG27" i="240"/>
  <c r="AD27" i="240"/>
  <c r="AA27" i="240"/>
  <c r="AM26" i="240"/>
  <c r="AJ26" i="240"/>
  <c r="AG26" i="240"/>
  <c r="AD26" i="240"/>
  <c r="AA26" i="240"/>
  <c r="AL24" i="240"/>
  <c r="AK24" i="240"/>
  <c r="AI24" i="240"/>
  <c r="AH24" i="240"/>
  <c r="AF24" i="240"/>
  <c r="AE24" i="240"/>
  <c r="AC24" i="240"/>
  <c r="AB24" i="240"/>
  <c r="Z24" i="240"/>
  <c r="Y24" i="240"/>
  <c r="X24" i="240"/>
  <c r="W24" i="240"/>
  <c r="V24" i="240"/>
  <c r="U24" i="240"/>
  <c r="T24" i="240"/>
  <c r="S24" i="240"/>
  <c r="R24" i="240"/>
  <c r="Q24" i="240"/>
  <c r="P24" i="240"/>
  <c r="O24" i="240"/>
  <c r="N24" i="240"/>
  <c r="M24" i="240"/>
  <c r="L24" i="240"/>
  <c r="K24" i="240"/>
  <c r="J24" i="240"/>
  <c r="I24" i="240"/>
  <c r="H24" i="240"/>
  <c r="G24" i="240"/>
  <c r="F24" i="240"/>
  <c r="E24" i="240"/>
  <c r="D24" i="240"/>
  <c r="AM23" i="240"/>
  <c r="AJ23" i="240"/>
  <c r="AG23" i="240"/>
  <c r="AD23" i="240"/>
  <c r="AA23" i="240"/>
  <c r="AA24" i="240"/>
  <c r="AM22" i="240"/>
  <c r="AJ22" i="240"/>
  <c r="AG22" i="240"/>
  <c r="AD22" i="240"/>
  <c r="AA22" i="240"/>
  <c r="AM21" i="240"/>
  <c r="AJ21" i="240"/>
  <c r="AG21" i="240"/>
  <c r="AD21" i="240"/>
  <c r="AA21" i="240"/>
  <c r="AL20" i="240"/>
  <c r="AK20" i="240"/>
  <c r="AI20" i="240"/>
  <c r="AH20" i="240"/>
  <c r="AF20" i="240"/>
  <c r="AE20" i="240"/>
  <c r="AC20" i="240"/>
  <c r="AB20" i="240"/>
  <c r="Z20" i="240"/>
  <c r="Y20" i="240"/>
  <c r="X20" i="240"/>
  <c r="W20" i="240"/>
  <c r="V20" i="240"/>
  <c r="U20" i="240"/>
  <c r="T20" i="240"/>
  <c r="S20" i="240"/>
  <c r="R20" i="240"/>
  <c r="Q20" i="240"/>
  <c r="P20" i="240"/>
  <c r="O20" i="240"/>
  <c r="N20" i="240"/>
  <c r="M20" i="240"/>
  <c r="L20" i="240"/>
  <c r="K20" i="240"/>
  <c r="J20" i="240"/>
  <c r="I20" i="240"/>
  <c r="H20" i="240"/>
  <c r="G20" i="240"/>
  <c r="F20" i="240"/>
  <c r="E20" i="240"/>
  <c r="D20" i="240"/>
  <c r="AM19" i="240"/>
  <c r="AJ19" i="240"/>
  <c r="AG19" i="240"/>
  <c r="AD19" i="240"/>
  <c r="AA19" i="240"/>
  <c r="AM18" i="240"/>
  <c r="AJ18" i="240"/>
  <c r="AG18" i="240"/>
  <c r="AD18" i="240"/>
  <c r="AA18" i="240"/>
  <c r="AM17" i="240"/>
  <c r="AJ17" i="240"/>
  <c r="AG17" i="240"/>
  <c r="AD17" i="240"/>
  <c r="AA17" i="240"/>
  <c r="AM16" i="240"/>
  <c r="AJ16" i="240"/>
  <c r="AG16" i="240"/>
  <c r="AG20" i="240"/>
  <c r="AD16" i="240"/>
  <c r="AD20" i="240"/>
  <c r="AA16" i="240"/>
  <c r="AL15" i="240"/>
  <c r="AK15" i="240"/>
  <c r="AI15" i="240"/>
  <c r="AH15" i="240"/>
  <c r="AF15" i="240"/>
  <c r="AE15" i="240"/>
  <c r="AC15" i="240"/>
  <c r="AB15" i="240"/>
  <c r="Z15" i="240"/>
  <c r="Y15" i="240"/>
  <c r="X15" i="240"/>
  <c r="W15" i="240"/>
  <c r="V15" i="240"/>
  <c r="U15" i="240"/>
  <c r="T15" i="240"/>
  <c r="S15" i="240"/>
  <c r="R15" i="240"/>
  <c r="Q15" i="240"/>
  <c r="P15" i="240"/>
  <c r="P25" i="240"/>
  <c r="O15" i="240"/>
  <c r="N15" i="240"/>
  <c r="N25" i="240"/>
  <c r="M15" i="240"/>
  <c r="L15" i="240"/>
  <c r="K15" i="240"/>
  <c r="J15" i="240"/>
  <c r="I15" i="240"/>
  <c r="H15" i="240"/>
  <c r="G15" i="240"/>
  <c r="F15" i="240"/>
  <c r="E15" i="240"/>
  <c r="D15" i="240"/>
  <c r="AM14" i="240"/>
  <c r="AJ14" i="240"/>
  <c r="AG14" i="240"/>
  <c r="AD14" i="240"/>
  <c r="AA14" i="240"/>
  <c r="AM13" i="240"/>
  <c r="AJ13" i="240"/>
  <c r="AG13" i="240"/>
  <c r="AD13" i="240"/>
  <c r="AA13" i="240"/>
  <c r="AM12" i="240"/>
  <c r="AJ12" i="240"/>
  <c r="AG12" i="240"/>
  <c r="AD12" i="240"/>
  <c r="AA12" i="240"/>
  <c r="AM11" i="240"/>
  <c r="AJ11" i="240"/>
  <c r="AG11" i="240"/>
  <c r="AD11" i="240"/>
  <c r="AA11" i="240"/>
  <c r="AM10" i="240"/>
  <c r="AJ10" i="240"/>
  <c r="AG10" i="240"/>
  <c r="AD10" i="240"/>
  <c r="AA10" i="240"/>
  <c r="AM9" i="240"/>
  <c r="AJ9" i="240"/>
  <c r="AG9" i="240"/>
  <c r="AD9" i="240"/>
  <c r="AA9" i="240"/>
  <c r="AM8" i="240"/>
  <c r="AJ8" i="240"/>
  <c r="AG8" i="240"/>
  <c r="AD8" i="240"/>
  <c r="AA8" i="240"/>
  <c r="AM7" i="240"/>
  <c r="AJ7" i="240"/>
  <c r="AG7" i="240"/>
  <c r="AD7" i="240"/>
  <c r="AA7" i="240"/>
  <c r="AM6" i="240"/>
  <c r="AJ6" i="240"/>
  <c r="AG6" i="240"/>
  <c r="AD6" i="240"/>
  <c r="AA6" i="240"/>
  <c r="AM5" i="240"/>
  <c r="AJ5" i="240"/>
  <c r="AG5" i="240"/>
  <c r="AD5" i="240"/>
  <c r="AA5" i="240"/>
  <c r="J13" i="303"/>
  <c r="I13" i="303"/>
  <c r="H13" i="303"/>
  <c r="G13" i="303"/>
  <c r="F13" i="303"/>
  <c r="E13" i="303"/>
  <c r="J12" i="303"/>
  <c r="I12" i="303"/>
  <c r="H12" i="303"/>
  <c r="G12" i="303"/>
  <c r="F12" i="303"/>
  <c r="E12" i="303"/>
  <c r="J11" i="303"/>
  <c r="I11" i="303"/>
  <c r="H11" i="303"/>
  <c r="G11" i="303"/>
  <c r="F11" i="303"/>
  <c r="E11" i="303"/>
  <c r="J9" i="303"/>
  <c r="H9" i="303"/>
  <c r="G9" i="303"/>
  <c r="F9" i="303"/>
  <c r="E9" i="303"/>
  <c r="J8" i="303"/>
  <c r="H8" i="303"/>
  <c r="G8" i="303"/>
  <c r="F8" i="303"/>
  <c r="E8" i="303"/>
  <c r="J7" i="303"/>
  <c r="I7" i="303"/>
  <c r="H7" i="303"/>
  <c r="G7" i="303"/>
  <c r="F7" i="303"/>
  <c r="E7" i="303"/>
  <c r="AG5" i="303"/>
  <c r="AG6" i="303"/>
  <c r="N5" i="303"/>
  <c r="N6" i="303"/>
  <c r="AF5" i="303"/>
  <c r="M10" i="303"/>
  <c r="AE5" i="303"/>
  <c r="L14" i="303"/>
  <c r="AD5" i="303"/>
  <c r="AD6" i="303"/>
  <c r="K5" i="303"/>
  <c r="K6" i="303"/>
  <c r="AC5" i="303"/>
  <c r="AC6" i="303"/>
  <c r="AB5" i="303"/>
  <c r="I10" i="303"/>
  <c r="AA5" i="303"/>
  <c r="H14" i="303"/>
  <c r="Z5" i="303"/>
  <c r="Z6" i="303"/>
  <c r="Y5" i="303"/>
  <c r="Y6" i="303"/>
  <c r="X5" i="303"/>
  <c r="E10" i="303"/>
  <c r="W5" i="303"/>
  <c r="D14" i="303"/>
  <c r="W4" i="303"/>
  <c r="AB36" i="239"/>
  <c r="AC36" i="239"/>
  <c r="Z36" i="239"/>
  <c r="AB35" i="239"/>
  <c r="AC35" i="239"/>
  <c r="Z35" i="239"/>
  <c r="AB34" i="239"/>
  <c r="AA34" i="239"/>
  <c r="Z34" i="239"/>
  <c r="X34" i="239"/>
  <c r="AB33" i="239"/>
  <c r="AA33" i="239"/>
  <c r="AC33" i="239"/>
  <c r="X33" i="239"/>
  <c r="Z33" i="239"/>
  <c r="AB32" i="239"/>
  <c r="AA32" i="239"/>
  <c r="AC32" i="239"/>
  <c r="X32" i="239"/>
  <c r="Z32" i="239"/>
  <c r="AB31" i="239"/>
  <c r="AB37" i="239"/>
  <c r="AA31" i="239"/>
  <c r="X31" i="239"/>
  <c r="Z31" i="239"/>
  <c r="AB29" i="239"/>
  <c r="AC29" i="239"/>
  <c r="X29" i="239"/>
  <c r="Z29" i="239"/>
  <c r="AK28" i="239"/>
  <c r="AJ28" i="239"/>
  <c r="AH28" i="239"/>
  <c r="AG28" i="239"/>
  <c r="AE28" i="239"/>
  <c r="AD28" i="239"/>
  <c r="AC28" i="239"/>
  <c r="Z28" i="239"/>
  <c r="AK27" i="239"/>
  <c r="AJ27" i="239"/>
  <c r="AH27" i="239"/>
  <c r="AG27" i="239"/>
  <c r="AE27" i="239"/>
  <c r="AD27" i="239"/>
  <c r="AC27" i="239"/>
  <c r="Z27" i="239"/>
  <c r="AK26" i="239"/>
  <c r="AJ26" i="239"/>
  <c r="AH26" i="239"/>
  <c r="AG26" i="239"/>
  <c r="AE26" i="239"/>
  <c r="AE29" i="239"/>
  <c r="AD26" i="239"/>
  <c r="AD29" i="239"/>
  <c r="AC26" i="239"/>
  <c r="Z26" i="239"/>
  <c r="AB24" i="239"/>
  <c r="AC24" i="239"/>
  <c r="AK23" i="239"/>
  <c r="AJ23" i="239"/>
  <c r="AH23" i="239"/>
  <c r="AG23" i="239"/>
  <c r="AE23" i="239"/>
  <c r="AD23" i="239"/>
  <c r="AF23" i="239"/>
  <c r="AC23" i="239"/>
  <c r="AJ22" i="239"/>
  <c r="AG22" i="239"/>
  <c r="AE22" i="239"/>
  <c r="AD22" i="239"/>
  <c r="AC22" i="239"/>
  <c r="AK21" i="239"/>
  <c r="AJ21" i="239"/>
  <c r="AH21" i="239"/>
  <c r="AG21" i="239"/>
  <c r="AG24" i="239"/>
  <c r="AE21" i="239"/>
  <c r="AD21" i="239"/>
  <c r="AC21" i="239"/>
  <c r="AB19" i="239"/>
  <c r="AC19" i="239"/>
  <c r="X19" i="239"/>
  <c r="Z19" i="239"/>
  <c r="V19" i="239"/>
  <c r="U19" i="239"/>
  <c r="S19" i="239"/>
  <c r="R19" i="239"/>
  <c r="P19" i="239"/>
  <c r="O19" i="239"/>
  <c r="M19" i="239"/>
  <c r="L19" i="239"/>
  <c r="J19" i="239"/>
  <c r="I19" i="239"/>
  <c r="G19" i="239"/>
  <c r="F19" i="239"/>
  <c r="D19" i="239"/>
  <c r="C19" i="239"/>
  <c r="AK18" i="239"/>
  <c r="AK33" i="239"/>
  <c r="AJ18" i="239"/>
  <c r="AH18" i="239"/>
  <c r="AG18" i="239"/>
  <c r="AE18" i="239"/>
  <c r="AE33" i="239"/>
  <c r="AD18" i="239"/>
  <c r="AC18" i="239"/>
  <c r="Z18" i="239"/>
  <c r="W18" i="239"/>
  <c r="T18" i="239"/>
  <c r="Q18" i="239"/>
  <c r="N18" i="239"/>
  <c r="K18" i="239"/>
  <c r="H18" i="239"/>
  <c r="E18" i="239"/>
  <c r="AK17" i="239"/>
  <c r="AJ17" i="239"/>
  <c r="AH17" i="239"/>
  <c r="AG17" i="239"/>
  <c r="AE17" i="239"/>
  <c r="AD17" i="239"/>
  <c r="AC17" i="239"/>
  <c r="Z17" i="239"/>
  <c r="W17" i="239"/>
  <c r="T17" i="239"/>
  <c r="Q17" i="239"/>
  <c r="N17" i="239"/>
  <c r="K17" i="239"/>
  <c r="H17" i="239"/>
  <c r="E17" i="239"/>
  <c r="AK16" i="239"/>
  <c r="AJ16" i="239"/>
  <c r="AL16" i="239"/>
  <c r="AH16" i="239"/>
  <c r="AH19" i="239"/>
  <c r="AG16" i="239"/>
  <c r="AG19" i="239"/>
  <c r="AE16" i="239"/>
  <c r="AD16" i="239"/>
  <c r="AD19" i="239"/>
  <c r="AC16" i="239"/>
  <c r="Z16" i="239"/>
  <c r="W16" i="239"/>
  <c r="T16" i="239"/>
  <c r="T19" i="239"/>
  <c r="Q16" i="239"/>
  <c r="Q19" i="239"/>
  <c r="N16" i="239"/>
  <c r="N19" i="239"/>
  <c r="K16" i="239"/>
  <c r="K19" i="239"/>
  <c r="H16" i="239"/>
  <c r="H19" i="239"/>
  <c r="E16" i="239"/>
  <c r="E19" i="239"/>
  <c r="AB14" i="239"/>
  <c r="AC14" i="239"/>
  <c r="AK13" i="239"/>
  <c r="AK36" i="239"/>
  <c r="AJ13" i="239"/>
  <c r="AJ36" i="239"/>
  <c r="AH13" i="239"/>
  <c r="AH36" i="239"/>
  <c r="AG13" i="239"/>
  <c r="AG36" i="239"/>
  <c r="AE13" i="239"/>
  <c r="AE36" i="239"/>
  <c r="AD13" i="239"/>
  <c r="AC13" i="239"/>
  <c r="Z13" i="239"/>
  <c r="AK12" i="239"/>
  <c r="AK35" i="239"/>
  <c r="AJ12" i="239"/>
  <c r="AJ35" i="239"/>
  <c r="AH12" i="239"/>
  <c r="AH35" i="239"/>
  <c r="AG12" i="239"/>
  <c r="AI12" i="239"/>
  <c r="AE12" i="239"/>
  <c r="AE35" i="239"/>
  <c r="AD12" i="239"/>
  <c r="AD35" i="239"/>
  <c r="AC12" i="239"/>
  <c r="Z12" i="239"/>
  <c r="AK11" i="239"/>
  <c r="AJ11" i="239"/>
  <c r="AJ14" i="239"/>
  <c r="AH11" i="239"/>
  <c r="AG11" i="239"/>
  <c r="AE11" i="239"/>
  <c r="AD11" i="239"/>
  <c r="AC11" i="239"/>
  <c r="Z11" i="239"/>
  <c r="Z14" i="239"/>
  <c r="AB9" i="239"/>
  <c r="AA9" i="239"/>
  <c r="X9" i="239"/>
  <c r="Z9" i="239"/>
  <c r="V9" i="239"/>
  <c r="U9" i="239"/>
  <c r="S9" i="239"/>
  <c r="R9" i="239"/>
  <c r="P9" i="239"/>
  <c r="O9" i="239"/>
  <c r="M9" i="239"/>
  <c r="L9" i="239"/>
  <c r="J9" i="239"/>
  <c r="I9" i="239"/>
  <c r="G9" i="239"/>
  <c r="F9" i="239"/>
  <c r="D9" i="239"/>
  <c r="C9" i="239"/>
  <c r="AK8" i="239"/>
  <c r="AK34" i="239"/>
  <c r="AJ8" i="239"/>
  <c r="AH8" i="239"/>
  <c r="AH34" i="239"/>
  <c r="AG8" i="239"/>
  <c r="AE8" i="239"/>
  <c r="AE34" i="239"/>
  <c r="AD8" i="239"/>
  <c r="AC8" i="239"/>
  <c r="Z8" i="239"/>
  <c r="W8" i="239"/>
  <c r="T8" i="239"/>
  <c r="Q8" i="239"/>
  <c r="N8" i="239"/>
  <c r="K8" i="239"/>
  <c r="H8" i="239"/>
  <c r="E8" i="239"/>
  <c r="AK7" i="239"/>
  <c r="AJ7" i="239"/>
  <c r="AH7" i="239"/>
  <c r="AG7" i="239"/>
  <c r="AE7" i="239"/>
  <c r="AD7" i="239"/>
  <c r="AC7" i="239"/>
  <c r="Z7" i="239"/>
  <c r="W7" i="239"/>
  <c r="T7" i="239"/>
  <c r="Q7" i="239"/>
  <c r="N7" i="239"/>
  <c r="K7" i="239"/>
  <c r="H7" i="239"/>
  <c r="E7" i="239"/>
  <c r="AK6" i="239"/>
  <c r="AK9" i="239"/>
  <c r="AJ6" i="239"/>
  <c r="AH6" i="239"/>
  <c r="AG6" i="239"/>
  <c r="AG31" i="239"/>
  <c r="AE6" i="239"/>
  <c r="AE9" i="239"/>
  <c r="AD6" i="239"/>
  <c r="AC6" i="239"/>
  <c r="Z6" i="239"/>
  <c r="W6" i="239"/>
  <c r="W9" i="239"/>
  <c r="T6" i="239"/>
  <c r="Q6" i="239"/>
  <c r="N6" i="239"/>
  <c r="N9" i="239"/>
  <c r="K6" i="239"/>
  <c r="K9" i="239"/>
  <c r="H6" i="239"/>
  <c r="E6" i="239"/>
  <c r="E9" i="239"/>
  <c r="AF98" i="238"/>
  <c r="AE98" i="238"/>
  <c r="AC98" i="238"/>
  <c r="AB98" i="238"/>
  <c r="AM97" i="238"/>
  <c r="AJ97" i="238"/>
  <c r="AG97" i="238"/>
  <c r="AD97" i="238"/>
  <c r="AL96" i="238"/>
  <c r="AK22" i="239"/>
  <c r="AL22" i="239"/>
  <c r="AK96" i="238"/>
  <c r="AI96" i="238"/>
  <c r="AI98" i="238"/>
  <c r="AH96" i="238"/>
  <c r="AH98" i="238"/>
  <c r="AM95" i="238"/>
  <c r="AJ95" i="238"/>
  <c r="AM94" i="238"/>
  <c r="AJ94" i="238"/>
  <c r="AG94" i="238"/>
  <c r="AD94" i="238"/>
  <c r="AM93" i="238"/>
  <c r="AJ93" i="238"/>
  <c r="AG93" i="238"/>
  <c r="AG98" i="238"/>
  <c r="AD93" i="238"/>
  <c r="AL91" i="238"/>
  <c r="AK91" i="238"/>
  <c r="AI91" i="238"/>
  <c r="AH91" i="238"/>
  <c r="AF91" i="238"/>
  <c r="AE91" i="238"/>
  <c r="AC91" i="238"/>
  <c r="AB91" i="238"/>
  <c r="Z91" i="238"/>
  <c r="Y91" i="238"/>
  <c r="W91" i="238"/>
  <c r="V91" i="238"/>
  <c r="T91" i="238"/>
  <c r="S91" i="238"/>
  <c r="Q91" i="238"/>
  <c r="P91" i="238"/>
  <c r="N91" i="238"/>
  <c r="M91" i="238"/>
  <c r="K91" i="238"/>
  <c r="J91" i="238"/>
  <c r="AM90" i="238"/>
  <c r="AJ90" i="238"/>
  <c r="AG90" i="238"/>
  <c r="AD90" i="238"/>
  <c r="AA90" i="238"/>
  <c r="X90" i="238"/>
  <c r="U90" i="238"/>
  <c r="R90" i="238"/>
  <c r="O90" i="238"/>
  <c r="L90" i="238"/>
  <c r="AM89" i="238"/>
  <c r="AJ89" i="238"/>
  <c r="AG89" i="238"/>
  <c r="AD89" i="238"/>
  <c r="AA89" i="238"/>
  <c r="X89" i="238"/>
  <c r="U89" i="238"/>
  <c r="R89" i="238"/>
  <c r="O89" i="238"/>
  <c r="L89" i="238"/>
  <c r="AM88" i="238"/>
  <c r="AJ88" i="238"/>
  <c r="AG88" i="238"/>
  <c r="AD88" i="238"/>
  <c r="AA88" i="238"/>
  <c r="X88" i="238"/>
  <c r="U88" i="238"/>
  <c r="R88" i="238"/>
  <c r="O88" i="238"/>
  <c r="L88" i="238"/>
  <c r="AM87" i="238"/>
  <c r="AM91" i="238"/>
  <c r="AJ87" i="238"/>
  <c r="AJ91" i="238"/>
  <c r="AG87" i="238"/>
  <c r="AD87" i="238"/>
  <c r="AA87" i="238"/>
  <c r="AA91" i="238"/>
  <c r="X87" i="238"/>
  <c r="U87" i="238"/>
  <c r="R87" i="238"/>
  <c r="O87" i="238"/>
  <c r="O91" i="238"/>
  <c r="L87" i="238"/>
  <c r="AL86" i="238"/>
  <c r="AK86" i="238"/>
  <c r="AI86" i="238"/>
  <c r="AH86" i="238"/>
  <c r="AF86" i="238"/>
  <c r="AE86" i="238"/>
  <c r="AC86" i="238"/>
  <c r="AB86" i="238"/>
  <c r="Z86" i="238"/>
  <c r="Y86" i="238"/>
  <c r="W86" i="238"/>
  <c r="V86" i="238"/>
  <c r="T86" i="238"/>
  <c r="S86" i="238"/>
  <c r="Q86" i="238"/>
  <c r="P86" i="238"/>
  <c r="N86" i="238"/>
  <c r="M86" i="238"/>
  <c r="K86" i="238"/>
  <c r="J86" i="238"/>
  <c r="AM85" i="238"/>
  <c r="AJ85" i="238"/>
  <c r="AG85" i="238"/>
  <c r="AD85" i="238"/>
  <c r="AA85" i="238"/>
  <c r="X85" i="238"/>
  <c r="U85" i="238"/>
  <c r="R85" i="238"/>
  <c r="O85" i="238"/>
  <c r="L85" i="238"/>
  <c r="AM84" i="238"/>
  <c r="AJ84" i="238"/>
  <c r="AG84" i="238"/>
  <c r="AD84" i="238"/>
  <c r="AA84" i="238"/>
  <c r="X84" i="238"/>
  <c r="U84" i="238"/>
  <c r="R84" i="238"/>
  <c r="O84" i="238"/>
  <c r="L84" i="238"/>
  <c r="AM83" i="238"/>
  <c r="AJ83" i="238"/>
  <c r="AJ86" i="238"/>
  <c r="AG83" i="238"/>
  <c r="AG86" i="238"/>
  <c r="AD83" i="238"/>
  <c r="AD86" i="238"/>
  <c r="AA83" i="238"/>
  <c r="X83" i="238"/>
  <c r="U83" i="238"/>
  <c r="R83" i="238"/>
  <c r="O83" i="238"/>
  <c r="L83" i="238"/>
  <c r="L86" i="238"/>
  <c r="AL82" i="238"/>
  <c r="AL92" i="238"/>
  <c r="AK82" i="238"/>
  <c r="AI82" i="238"/>
  <c r="AH82" i="238"/>
  <c r="AF82" i="238"/>
  <c r="AE82" i="238"/>
  <c r="AE92" i="238"/>
  <c r="AC82" i="238"/>
  <c r="AB82" i="238"/>
  <c r="Z82" i="238"/>
  <c r="Y82" i="238"/>
  <c r="W82" i="238"/>
  <c r="W92" i="238"/>
  <c r="V82" i="238"/>
  <c r="T82" i="238"/>
  <c r="T92" i="238"/>
  <c r="S82" i="238"/>
  <c r="Q82" i="238"/>
  <c r="P82" i="238"/>
  <c r="N82" i="238"/>
  <c r="N92" i="238"/>
  <c r="M82" i="238"/>
  <c r="K82" i="238"/>
  <c r="J82" i="238"/>
  <c r="AM81" i="238"/>
  <c r="AJ81" i="238"/>
  <c r="AG81" i="238"/>
  <c r="AD81" i="238"/>
  <c r="AA81" i="238"/>
  <c r="X81" i="238"/>
  <c r="U81" i="238"/>
  <c r="R81" i="238"/>
  <c r="O81" i="238"/>
  <c r="L81" i="238"/>
  <c r="AM80" i="238"/>
  <c r="AJ80" i="238"/>
  <c r="AG80" i="238"/>
  <c r="AD80" i="238"/>
  <c r="AA80" i="238"/>
  <c r="X80" i="238"/>
  <c r="U80" i="238"/>
  <c r="R80" i="238"/>
  <c r="O80" i="238"/>
  <c r="L80" i="238"/>
  <c r="AG79" i="238"/>
  <c r="AD79" i="238"/>
  <c r="AA79" i="238"/>
  <c r="X79" i="238"/>
  <c r="U79" i="238"/>
  <c r="R79" i="238"/>
  <c r="O79" i="238"/>
  <c r="L79" i="238"/>
  <c r="AM78" i="238"/>
  <c r="AM82" i="238"/>
  <c r="AJ78" i="238"/>
  <c r="AJ82" i="238"/>
  <c r="AG78" i="238"/>
  <c r="AD78" i="238"/>
  <c r="AD82" i="238"/>
  <c r="AA78" i="238"/>
  <c r="X78" i="238"/>
  <c r="U78" i="238"/>
  <c r="R78" i="238"/>
  <c r="R82" i="238"/>
  <c r="O78" i="238"/>
  <c r="L78" i="238"/>
  <c r="L82" i="238"/>
  <c r="AL76" i="238"/>
  <c r="AK76" i="238"/>
  <c r="AI76" i="238"/>
  <c r="AH76" i="238"/>
  <c r="AF76" i="238"/>
  <c r="AE76" i="238"/>
  <c r="AC76" i="238"/>
  <c r="AB76" i="238"/>
  <c r="Z76" i="238"/>
  <c r="Y76" i="238"/>
  <c r="X76" i="238"/>
  <c r="W76" i="238"/>
  <c r="V76" i="238"/>
  <c r="U76" i="238"/>
  <c r="T76" i="238"/>
  <c r="S76" i="238"/>
  <c r="R76" i="238"/>
  <c r="Q76" i="238"/>
  <c r="P76" i="238"/>
  <c r="O76" i="238"/>
  <c r="N76" i="238"/>
  <c r="M76" i="238"/>
  <c r="L76" i="238"/>
  <c r="K76" i="238"/>
  <c r="J76" i="238"/>
  <c r="I76" i="238"/>
  <c r="H76" i="238"/>
  <c r="G76" i="238"/>
  <c r="F76" i="238"/>
  <c r="E76" i="238"/>
  <c r="D76" i="238"/>
  <c r="AM75" i="238"/>
  <c r="AJ75" i="238"/>
  <c r="AG75" i="238"/>
  <c r="AD75" i="238"/>
  <c r="AA75" i="238"/>
  <c r="AM74" i="238"/>
  <c r="AJ74" i="238"/>
  <c r="AG74" i="238"/>
  <c r="AD74" i="238"/>
  <c r="AA74" i="238"/>
  <c r="AM73" i="238"/>
  <c r="AJ73" i="238"/>
  <c r="AG73" i="238"/>
  <c r="AD73" i="238"/>
  <c r="AA73" i="238"/>
  <c r="AM72" i="238"/>
  <c r="AM76" i="238"/>
  <c r="AJ72" i="238"/>
  <c r="AJ76" i="238"/>
  <c r="AG72" i="238"/>
  <c r="AD72" i="238"/>
  <c r="AA72" i="238"/>
  <c r="AL71" i="238"/>
  <c r="AK71" i="238"/>
  <c r="AI71" i="238"/>
  <c r="AH71" i="238"/>
  <c r="AF71" i="238"/>
  <c r="AE71" i="238"/>
  <c r="AC71" i="238"/>
  <c r="AB71" i="238"/>
  <c r="Z71" i="238"/>
  <c r="Y71" i="238"/>
  <c r="X71" i="238"/>
  <c r="W71" i="238"/>
  <c r="V71" i="238"/>
  <c r="U71" i="238"/>
  <c r="T71" i="238"/>
  <c r="S71" i="238"/>
  <c r="R71" i="238"/>
  <c r="Q71" i="238"/>
  <c r="P71" i="238"/>
  <c r="O71" i="238"/>
  <c r="N71" i="238"/>
  <c r="M71" i="238"/>
  <c r="L71" i="238"/>
  <c r="K71" i="238"/>
  <c r="J71" i="238"/>
  <c r="I71" i="238"/>
  <c r="H71" i="238"/>
  <c r="G71" i="238"/>
  <c r="F71" i="238"/>
  <c r="E71" i="238"/>
  <c r="D71" i="238"/>
  <c r="AM70" i="238"/>
  <c r="AJ70" i="238"/>
  <c r="AG70" i="238"/>
  <c r="AD70" i="238"/>
  <c r="AA70" i="238"/>
  <c r="AM69" i="238"/>
  <c r="AJ69" i="238"/>
  <c r="AG69" i="238"/>
  <c r="AD69" i="238"/>
  <c r="AA69" i="238"/>
  <c r="AM68" i="238"/>
  <c r="AJ68" i="238"/>
  <c r="AG68" i="238"/>
  <c r="AD68" i="238"/>
  <c r="AA68" i="238"/>
  <c r="AM67" i="238"/>
  <c r="AJ67" i="238"/>
  <c r="AG67" i="238"/>
  <c r="AD67" i="238"/>
  <c r="AA67" i="238"/>
  <c r="AM66" i="238"/>
  <c r="AJ66" i="238"/>
  <c r="AG66" i="238"/>
  <c r="AD66" i="238"/>
  <c r="AA66" i="238"/>
  <c r="AM65" i="238"/>
  <c r="AJ65" i="238"/>
  <c r="AJ71" i="238"/>
  <c r="AG65" i="238"/>
  <c r="AD65" i="238"/>
  <c r="AA65" i="238"/>
  <c r="AM64" i="238"/>
  <c r="AJ64" i="238"/>
  <c r="AG64" i="238"/>
  <c r="AD64" i="238"/>
  <c r="AA64" i="238"/>
  <c r="AM63" i="238"/>
  <c r="AJ63" i="238"/>
  <c r="AG63" i="238"/>
  <c r="AD63" i="238"/>
  <c r="AA63" i="238"/>
  <c r="AL62" i="238"/>
  <c r="AK62" i="238"/>
  <c r="AK77" i="238"/>
  <c r="AI62" i="238"/>
  <c r="AI77" i="238"/>
  <c r="AH62" i="238"/>
  <c r="AF62" i="238"/>
  <c r="AF77" i="238"/>
  <c r="AE62" i="238"/>
  <c r="AC62" i="238"/>
  <c r="AB62" i="238"/>
  <c r="Z62" i="238"/>
  <c r="Z77" i="238"/>
  <c r="Y62" i="238"/>
  <c r="X62" i="238"/>
  <c r="W62" i="238"/>
  <c r="V62" i="238"/>
  <c r="U62" i="238"/>
  <c r="T62" i="238"/>
  <c r="S62" i="238"/>
  <c r="R62" i="238"/>
  <c r="R77" i="238"/>
  <c r="Q62" i="238"/>
  <c r="P62" i="238"/>
  <c r="P77" i="238"/>
  <c r="O62" i="238"/>
  <c r="N62" i="238"/>
  <c r="M62" i="238"/>
  <c r="L62" i="238"/>
  <c r="K62" i="238"/>
  <c r="J62" i="238"/>
  <c r="J77" i="238"/>
  <c r="I62" i="238"/>
  <c r="H62" i="238"/>
  <c r="H77" i="238"/>
  <c r="G62" i="238"/>
  <c r="F62" i="238"/>
  <c r="E62" i="238"/>
  <c r="D62" i="238"/>
  <c r="AM61" i="238"/>
  <c r="AJ61" i="238"/>
  <c r="AG61" i="238"/>
  <c r="AD61" i="238"/>
  <c r="AA61" i="238"/>
  <c r="AM60" i="238"/>
  <c r="AJ60" i="238"/>
  <c r="AG60" i="238"/>
  <c r="AD60" i="238"/>
  <c r="AA60" i="238"/>
  <c r="AM59" i="238"/>
  <c r="AJ59" i="238"/>
  <c r="AG59" i="238"/>
  <c r="AD59" i="238"/>
  <c r="AA59" i="238"/>
  <c r="AM58" i="238"/>
  <c r="AJ58" i="238"/>
  <c r="AG58" i="238"/>
  <c r="AD58" i="238"/>
  <c r="AA58" i="238"/>
  <c r="AM57" i="238"/>
  <c r="AJ57" i="238"/>
  <c r="AG57" i="238"/>
  <c r="AD57" i="238"/>
  <c r="AA57" i="238"/>
  <c r="AM56" i="238"/>
  <c r="AJ56" i="238"/>
  <c r="AG56" i="238"/>
  <c r="AD56" i="238"/>
  <c r="AA56" i="238"/>
  <c r="AL54" i="238"/>
  <c r="AK54" i="238"/>
  <c r="AI54" i="238"/>
  <c r="AH54" i="238"/>
  <c r="AF54" i="238"/>
  <c r="AE54" i="238"/>
  <c r="AC54" i="238"/>
  <c r="AB54" i="238"/>
  <c r="Z54" i="238"/>
  <c r="Y54" i="238"/>
  <c r="X54" i="238"/>
  <c r="W54" i="238"/>
  <c r="V54" i="238"/>
  <c r="U54" i="238"/>
  <c r="T54" i="238"/>
  <c r="S54" i="238"/>
  <c r="R54" i="238"/>
  <c r="Q54" i="238"/>
  <c r="P54" i="238"/>
  <c r="O54" i="238"/>
  <c r="N54" i="238"/>
  <c r="M54" i="238"/>
  <c r="L54" i="238"/>
  <c r="K54" i="238"/>
  <c r="J54" i="238"/>
  <c r="I54" i="238"/>
  <c r="H54" i="238"/>
  <c r="G54" i="238"/>
  <c r="F54" i="238"/>
  <c r="E54" i="238"/>
  <c r="D54" i="238"/>
  <c r="AM53" i="238"/>
  <c r="AJ53" i="238"/>
  <c r="AG53" i="238"/>
  <c r="AD53" i="238"/>
  <c r="AA53" i="238"/>
  <c r="AM52" i="238"/>
  <c r="AJ52" i="238"/>
  <c r="AG52" i="238"/>
  <c r="AD52" i="238"/>
  <c r="AA52" i="238"/>
  <c r="AM51" i="238"/>
  <c r="AJ51" i="238"/>
  <c r="AG51" i="238"/>
  <c r="AD51" i="238"/>
  <c r="AA51" i="238"/>
  <c r="AM50" i="238"/>
  <c r="AJ50" i="238"/>
  <c r="AG50" i="238"/>
  <c r="AD50" i="238"/>
  <c r="AA50" i="238"/>
  <c r="AM49" i="238"/>
  <c r="AJ49" i="238"/>
  <c r="AG49" i="238"/>
  <c r="AD49" i="238"/>
  <c r="AA49" i="238"/>
  <c r="AM48" i="238"/>
  <c r="AJ48" i="238"/>
  <c r="AG48" i="238"/>
  <c r="AD48" i="238"/>
  <c r="AA48" i="238"/>
  <c r="AL47" i="238"/>
  <c r="AK47" i="238"/>
  <c r="AI47" i="238"/>
  <c r="AH47" i="238"/>
  <c r="AF47" i="238"/>
  <c r="AE47" i="238"/>
  <c r="AC47" i="238"/>
  <c r="AB47" i="238"/>
  <c r="Z47" i="238"/>
  <c r="Y47" i="238"/>
  <c r="X47" i="238"/>
  <c r="W47" i="238"/>
  <c r="V47" i="238"/>
  <c r="U47" i="238"/>
  <c r="T47" i="238"/>
  <c r="S47" i="238"/>
  <c r="R47" i="238"/>
  <c r="Q47" i="238"/>
  <c r="P47" i="238"/>
  <c r="O47" i="238"/>
  <c r="N47" i="238"/>
  <c r="M47" i="238"/>
  <c r="L47" i="238"/>
  <c r="K47" i="238"/>
  <c r="J47" i="238"/>
  <c r="I47" i="238"/>
  <c r="H47" i="238"/>
  <c r="G47" i="238"/>
  <c r="F47" i="238"/>
  <c r="E47" i="238"/>
  <c r="D47" i="238"/>
  <c r="AM46" i="238"/>
  <c r="AJ46" i="238"/>
  <c r="AG46" i="238"/>
  <c r="AD46" i="238"/>
  <c r="AA46" i="238"/>
  <c r="AM45" i="238"/>
  <c r="AJ45" i="238"/>
  <c r="AG45" i="238"/>
  <c r="AD45" i="238"/>
  <c r="AA45" i="238"/>
  <c r="AM44" i="238"/>
  <c r="AJ44" i="238"/>
  <c r="AG44" i="238"/>
  <c r="AD44" i="238"/>
  <c r="AA44" i="238"/>
  <c r="AM43" i="238"/>
  <c r="AJ43" i="238"/>
  <c r="AG43" i="238"/>
  <c r="AD43" i="238"/>
  <c r="AA43" i="238"/>
  <c r="AM42" i="238"/>
  <c r="AJ42" i="238"/>
  <c r="AG42" i="238"/>
  <c r="AD42" i="238"/>
  <c r="AA42" i="238"/>
  <c r="AM41" i="238"/>
  <c r="AJ41" i="238"/>
  <c r="AG41" i="238"/>
  <c r="AD41" i="238"/>
  <c r="AA41" i="238"/>
  <c r="AM40" i="238"/>
  <c r="AJ40" i="238"/>
  <c r="AG40" i="238"/>
  <c r="AD40" i="238"/>
  <c r="AA40" i="238"/>
  <c r="AM39" i="238"/>
  <c r="AJ39" i="238"/>
  <c r="AG39" i="238"/>
  <c r="AD39" i="238"/>
  <c r="AA39" i="238"/>
  <c r="AM38" i="238"/>
  <c r="AJ38" i="238"/>
  <c r="AG38" i="238"/>
  <c r="AD38" i="238"/>
  <c r="AA38" i="238"/>
  <c r="AM37" i="238"/>
  <c r="AJ37" i="238"/>
  <c r="AG37" i="238"/>
  <c r="AD37" i="238"/>
  <c r="AA37" i="238"/>
  <c r="AM36" i="238"/>
  <c r="AJ36" i="238"/>
  <c r="AG36" i="238"/>
  <c r="AD36" i="238"/>
  <c r="AA36" i="238"/>
  <c r="AL35" i="238"/>
  <c r="AL55" i="238"/>
  <c r="AK35" i="238"/>
  <c r="AK55" i="238"/>
  <c r="AI35" i="238"/>
  <c r="AH35" i="238"/>
  <c r="AF35" i="238"/>
  <c r="AF55" i="238"/>
  <c r="AE35" i="238"/>
  <c r="AC35" i="238"/>
  <c r="AB35" i="238"/>
  <c r="AB55" i="238"/>
  <c r="Z35" i="238"/>
  <c r="Y35" i="238"/>
  <c r="X35" i="238"/>
  <c r="X55" i="238"/>
  <c r="W35" i="238"/>
  <c r="W55" i="238"/>
  <c r="V35" i="238"/>
  <c r="V55" i="238"/>
  <c r="U35" i="238"/>
  <c r="U55" i="238"/>
  <c r="T35" i="238"/>
  <c r="T55" i="238"/>
  <c r="S35" i="238"/>
  <c r="S55" i="238"/>
  <c r="R35" i="238"/>
  <c r="Q35" i="238"/>
  <c r="P35" i="238"/>
  <c r="P55" i="238"/>
  <c r="O35" i="238"/>
  <c r="O55" i="238"/>
  <c r="N35" i="238"/>
  <c r="N55" i="238"/>
  <c r="M35" i="238"/>
  <c r="M55" i="238"/>
  <c r="L35" i="238"/>
  <c r="L55" i="238"/>
  <c r="K35" i="238"/>
  <c r="K55" i="238"/>
  <c r="J35" i="238"/>
  <c r="I35" i="238"/>
  <c r="H35" i="238"/>
  <c r="H55" i="238"/>
  <c r="G35" i="238"/>
  <c r="F35" i="238"/>
  <c r="F55" i="238"/>
  <c r="E35" i="238"/>
  <c r="D35" i="238"/>
  <c r="D55" i="238"/>
  <c r="AM34" i="238"/>
  <c r="AJ34" i="238"/>
  <c r="AG34" i="238"/>
  <c r="AD34" i="238"/>
  <c r="AA34" i="238"/>
  <c r="AM33" i="238"/>
  <c r="AJ33" i="238"/>
  <c r="AG33" i="238"/>
  <c r="AD33" i="238"/>
  <c r="AA33" i="238"/>
  <c r="AM32" i="238"/>
  <c r="AJ32" i="238"/>
  <c r="AG32" i="238"/>
  <c r="AD32" i="238"/>
  <c r="AA32" i="238"/>
  <c r="AM31" i="238"/>
  <c r="AJ31" i="238"/>
  <c r="AG31" i="238"/>
  <c r="AD31" i="238"/>
  <c r="AA31" i="238"/>
  <c r="AM30" i="238"/>
  <c r="AJ30" i="238"/>
  <c r="AG30" i="238"/>
  <c r="AD30" i="238"/>
  <c r="AA30" i="238"/>
  <c r="AM29" i="238"/>
  <c r="AJ29" i="238"/>
  <c r="AG29" i="238"/>
  <c r="AD29" i="238"/>
  <c r="AA29" i="238"/>
  <c r="AM28" i="238"/>
  <c r="AJ28" i="238"/>
  <c r="AG28" i="238"/>
  <c r="AD28" i="238"/>
  <c r="AA28" i="238"/>
  <c r="AM27" i="238"/>
  <c r="AJ27" i="238"/>
  <c r="AG27" i="238"/>
  <c r="AD27" i="238"/>
  <c r="AA27" i="238"/>
  <c r="AM26" i="238"/>
  <c r="AJ26" i="238"/>
  <c r="AG26" i="238"/>
  <c r="AD26" i="238"/>
  <c r="AA26" i="238"/>
  <c r="AL24" i="238"/>
  <c r="AK24" i="238"/>
  <c r="AI24" i="238"/>
  <c r="AH24" i="238"/>
  <c r="AF24" i="238"/>
  <c r="AE24" i="238"/>
  <c r="AC24" i="238"/>
  <c r="AB24" i="238"/>
  <c r="Z24" i="238"/>
  <c r="Y24" i="238"/>
  <c r="X24" i="238"/>
  <c r="W24" i="238"/>
  <c r="V24" i="238"/>
  <c r="U24" i="238"/>
  <c r="T24" i="238"/>
  <c r="S24" i="238"/>
  <c r="R24" i="238"/>
  <c r="Q24" i="238"/>
  <c r="P24" i="238"/>
  <c r="O24" i="238"/>
  <c r="N24" i="238"/>
  <c r="M24" i="238"/>
  <c r="L24" i="238"/>
  <c r="K24" i="238"/>
  <c r="J24" i="238"/>
  <c r="I24" i="238"/>
  <c r="H24" i="238"/>
  <c r="G24" i="238"/>
  <c r="F24" i="238"/>
  <c r="E24" i="238"/>
  <c r="D24" i="238"/>
  <c r="AM23" i="238"/>
  <c r="AJ23" i="238"/>
  <c r="AG23" i="238"/>
  <c r="AD23" i="238"/>
  <c r="AA23" i="238"/>
  <c r="AM22" i="238"/>
  <c r="AJ22" i="238"/>
  <c r="AG22" i="238"/>
  <c r="AD22" i="238"/>
  <c r="AA22" i="238"/>
  <c r="AM21" i="238"/>
  <c r="AJ21" i="238"/>
  <c r="AG21" i="238"/>
  <c r="AD21" i="238"/>
  <c r="AA21" i="238"/>
  <c r="AL20" i="238"/>
  <c r="AK20" i="238"/>
  <c r="AI20" i="238"/>
  <c r="AH20" i="238"/>
  <c r="AF20" i="238"/>
  <c r="AE20" i="238"/>
  <c r="AC20" i="238"/>
  <c r="AB20" i="238"/>
  <c r="Z20" i="238"/>
  <c r="Y20" i="238"/>
  <c r="X20" i="238"/>
  <c r="W20" i="238"/>
  <c r="V20" i="238"/>
  <c r="U20" i="238"/>
  <c r="T20" i="238"/>
  <c r="S20" i="238"/>
  <c r="R20" i="238"/>
  <c r="Q20" i="238"/>
  <c r="P20" i="238"/>
  <c r="O20" i="238"/>
  <c r="N20" i="238"/>
  <c r="M20" i="238"/>
  <c r="L20" i="238"/>
  <c r="K20" i="238"/>
  <c r="J20" i="238"/>
  <c r="I20" i="238"/>
  <c r="H20" i="238"/>
  <c r="G20" i="238"/>
  <c r="F20" i="238"/>
  <c r="E20" i="238"/>
  <c r="D20" i="238"/>
  <c r="AM19" i="238"/>
  <c r="AJ19" i="238"/>
  <c r="AG19" i="238"/>
  <c r="AD19" i="238"/>
  <c r="AA19" i="238"/>
  <c r="AM18" i="238"/>
  <c r="AJ18" i="238"/>
  <c r="AG18" i="238"/>
  <c r="AD18" i="238"/>
  <c r="AA18" i="238"/>
  <c r="AM17" i="238"/>
  <c r="AJ17" i="238"/>
  <c r="AG17" i="238"/>
  <c r="AD17" i="238"/>
  <c r="AA17" i="238"/>
  <c r="AA20" i="238"/>
  <c r="AM16" i="238"/>
  <c r="AJ16" i="238"/>
  <c r="AG16" i="238"/>
  <c r="AD16" i="238"/>
  <c r="AA16" i="238"/>
  <c r="AL15" i="238"/>
  <c r="AK15" i="238"/>
  <c r="AI15" i="238"/>
  <c r="AH15" i="238"/>
  <c r="AF15" i="238"/>
  <c r="AE15" i="238"/>
  <c r="AC15" i="238"/>
  <c r="AB15" i="238"/>
  <c r="Z15" i="238"/>
  <c r="Y15" i="238"/>
  <c r="X15" i="238"/>
  <c r="W15" i="238"/>
  <c r="V15" i="238"/>
  <c r="U15" i="238"/>
  <c r="T15" i="238"/>
  <c r="S15" i="238"/>
  <c r="R15" i="238"/>
  <c r="Q15" i="238"/>
  <c r="P15" i="238"/>
  <c r="O15" i="238"/>
  <c r="N15" i="238"/>
  <c r="M15" i="238"/>
  <c r="L15" i="238"/>
  <c r="K15" i="238"/>
  <c r="J15" i="238"/>
  <c r="I15" i="238"/>
  <c r="H15" i="238"/>
  <c r="G15" i="238"/>
  <c r="F15" i="238"/>
  <c r="E15" i="238"/>
  <c r="D15" i="238"/>
  <c r="D25" i="238"/>
  <c r="AM14" i="238"/>
  <c r="AJ14" i="238"/>
  <c r="AG14" i="238"/>
  <c r="AD14" i="238"/>
  <c r="AA14" i="238"/>
  <c r="AM13" i="238"/>
  <c r="AJ13" i="238"/>
  <c r="AG13" i="238"/>
  <c r="AD13" i="238"/>
  <c r="AA13" i="238"/>
  <c r="AM12" i="238"/>
  <c r="AJ12" i="238"/>
  <c r="AG12" i="238"/>
  <c r="AD12" i="238"/>
  <c r="AA12" i="238"/>
  <c r="AM11" i="238"/>
  <c r="AJ11" i="238"/>
  <c r="AG11" i="238"/>
  <c r="AD11" i="238"/>
  <c r="AA11" i="238"/>
  <c r="AM10" i="238"/>
  <c r="AJ10" i="238"/>
  <c r="AG10" i="238"/>
  <c r="AD10" i="238"/>
  <c r="AA10" i="238"/>
  <c r="AM9" i="238"/>
  <c r="AJ9" i="238"/>
  <c r="AG9" i="238"/>
  <c r="AD9" i="238"/>
  <c r="AA9" i="238"/>
  <c r="AM8" i="238"/>
  <c r="AJ8" i="238"/>
  <c r="AG8" i="238"/>
  <c r="AD8" i="238"/>
  <c r="AA8" i="238"/>
  <c r="AM7" i="238"/>
  <c r="AJ7" i="238"/>
  <c r="AG7" i="238"/>
  <c r="AD7" i="238"/>
  <c r="AA7" i="238"/>
  <c r="AM6" i="238"/>
  <c r="AJ6" i="238"/>
  <c r="AG6" i="238"/>
  <c r="AD6" i="238"/>
  <c r="AA6" i="238"/>
  <c r="AM5" i="238"/>
  <c r="AJ5" i="238"/>
  <c r="AG5" i="238"/>
  <c r="AD5" i="238"/>
  <c r="AA5" i="238"/>
  <c r="AB36" i="296"/>
  <c r="AA36" i="296"/>
  <c r="AC36" i="296"/>
  <c r="V36" i="296"/>
  <c r="U36" i="296"/>
  <c r="W36" i="296"/>
  <c r="S36" i="296"/>
  <c r="R36" i="296"/>
  <c r="T36" i="296"/>
  <c r="P36" i="296"/>
  <c r="O36" i="296"/>
  <c r="AB35" i="296"/>
  <c r="AA35" i="296"/>
  <c r="V35" i="296"/>
  <c r="U35" i="296"/>
  <c r="S35" i="296"/>
  <c r="R35" i="296"/>
  <c r="T35" i="296"/>
  <c r="P35" i="296"/>
  <c r="O35" i="296"/>
  <c r="AB34" i="296"/>
  <c r="AA34" i="296"/>
  <c r="AC34" i="296"/>
  <c r="V34" i="296"/>
  <c r="U34" i="296"/>
  <c r="S34" i="296"/>
  <c r="R34" i="296"/>
  <c r="T34" i="296"/>
  <c r="P34" i="296"/>
  <c r="O34" i="296"/>
  <c r="AB33" i="296"/>
  <c r="AA33" i="296"/>
  <c r="V33" i="296"/>
  <c r="U33" i="296"/>
  <c r="W33" i="296"/>
  <c r="S33" i="296"/>
  <c r="R33" i="296"/>
  <c r="T33" i="296"/>
  <c r="P33" i="296"/>
  <c r="O33" i="296"/>
  <c r="AB32" i="296"/>
  <c r="AA32" i="296"/>
  <c r="AC32" i="296"/>
  <c r="V32" i="296"/>
  <c r="U32" i="296"/>
  <c r="W32" i="296"/>
  <c r="S32" i="296"/>
  <c r="R32" i="296"/>
  <c r="P32" i="296"/>
  <c r="O32" i="296"/>
  <c r="AB31" i="296"/>
  <c r="AA31" i="296"/>
  <c r="V31" i="296"/>
  <c r="U31" i="296"/>
  <c r="U37" i="296"/>
  <c r="S31" i="296"/>
  <c r="R31" i="296"/>
  <c r="T31" i="296"/>
  <c r="P31" i="296"/>
  <c r="O31" i="296"/>
  <c r="Q31" i="296"/>
  <c r="AB29" i="296"/>
  <c r="AA29" i="296"/>
  <c r="V29" i="296"/>
  <c r="U29" i="296"/>
  <c r="W29" i="296"/>
  <c r="S29" i="296"/>
  <c r="R29" i="296"/>
  <c r="P29" i="296"/>
  <c r="O29" i="296"/>
  <c r="AC28" i="296"/>
  <c r="Y28" i="296"/>
  <c r="X28" i="296"/>
  <c r="W28" i="296"/>
  <c r="T28" i="296"/>
  <c r="Q28" i="296"/>
  <c r="AC27" i="296"/>
  <c r="Y27" i="296"/>
  <c r="Y29" i="296"/>
  <c r="Z29" i="296"/>
  <c r="X27" i="296"/>
  <c r="W27" i="296"/>
  <c r="T27" i="296"/>
  <c r="Q27" i="296"/>
  <c r="AC26" i="296"/>
  <c r="Y26" i="296"/>
  <c r="X26" i="296"/>
  <c r="W26" i="296"/>
  <c r="T26" i="296"/>
  <c r="Q26" i="296"/>
  <c r="AB24" i="296"/>
  <c r="AC24" i="296"/>
  <c r="AA24" i="296"/>
  <c r="V24" i="296"/>
  <c r="U24" i="296"/>
  <c r="S24" i="296"/>
  <c r="T24" i="296"/>
  <c r="R24" i="296"/>
  <c r="AC23" i="296"/>
  <c r="Y23" i="296"/>
  <c r="Z23" i="296"/>
  <c r="X23" i="296"/>
  <c r="W23" i="296"/>
  <c r="T23" i="296"/>
  <c r="AC22" i="296"/>
  <c r="Y22" i="296"/>
  <c r="X22" i="296"/>
  <c r="W22" i="296"/>
  <c r="T22" i="296"/>
  <c r="AC21" i="296"/>
  <c r="Y21" i="296"/>
  <c r="X21" i="296"/>
  <c r="W21" i="296"/>
  <c r="T21" i="296"/>
  <c r="AB19" i="296"/>
  <c r="AA19" i="296"/>
  <c r="V19" i="296"/>
  <c r="U19" i="296"/>
  <c r="S19" i="296"/>
  <c r="R19" i="296"/>
  <c r="P19" i="296"/>
  <c r="O19" i="296"/>
  <c r="AC18" i="296"/>
  <c r="Y18" i="296"/>
  <c r="X18" i="296"/>
  <c r="W18" i="296"/>
  <c r="T18" i="296"/>
  <c r="Q18" i="296"/>
  <c r="AC17" i="296"/>
  <c r="Y17" i="296"/>
  <c r="X17" i="296"/>
  <c r="W17" i="296"/>
  <c r="T17" i="296"/>
  <c r="Q17" i="296"/>
  <c r="AC16" i="296"/>
  <c r="Y16" i="296"/>
  <c r="X16" i="296"/>
  <c r="X31" i="296"/>
  <c r="W16" i="296"/>
  <c r="T16" i="296"/>
  <c r="Q16" i="296"/>
  <c r="AB14" i="296"/>
  <c r="AA14" i="296"/>
  <c r="V14" i="296"/>
  <c r="U14" i="296"/>
  <c r="W14" i="296"/>
  <c r="S14" i="296"/>
  <c r="T14" i="296"/>
  <c r="R14" i="296"/>
  <c r="P14" i="296"/>
  <c r="O14" i="296"/>
  <c r="Q14" i="296"/>
  <c r="AC13" i="296"/>
  <c r="Y13" i="296"/>
  <c r="Y36" i="296"/>
  <c r="Z36" i="296"/>
  <c r="X13" i="296"/>
  <c r="X36" i="296"/>
  <c r="W13" i="296"/>
  <c r="T13" i="296"/>
  <c r="Q13" i="296"/>
  <c r="AC12" i="296"/>
  <c r="Y12" i="296"/>
  <c r="Y35" i="296"/>
  <c r="X12" i="296"/>
  <c r="W12" i="296"/>
  <c r="T12" i="296"/>
  <c r="Q12" i="296"/>
  <c r="AC11" i="296"/>
  <c r="Y11" i="296"/>
  <c r="X11" i="296"/>
  <c r="Z11" i="296"/>
  <c r="W11" i="296"/>
  <c r="T11" i="296"/>
  <c r="Q11" i="296"/>
  <c r="AB9" i="296"/>
  <c r="AA9" i="296"/>
  <c r="V9" i="296"/>
  <c r="U9" i="296"/>
  <c r="S9" i="296"/>
  <c r="R9" i="296"/>
  <c r="P9" i="296"/>
  <c r="O9" i="296"/>
  <c r="AC8" i="296"/>
  <c r="Y8" i="296"/>
  <c r="X8" i="296"/>
  <c r="W8" i="296"/>
  <c r="T8" i="296"/>
  <c r="Q8" i="296"/>
  <c r="AC7" i="296"/>
  <c r="Y7" i="296"/>
  <c r="X7" i="296"/>
  <c r="X9" i="296"/>
  <c r="Z9" i="296"/>
  <c r="W7" i="296"/>
  <c r="T7" i="296"/>
  <c r="Q7" i="296"/>
  <c r="AC6" i="296"/>
  <c r="Y6" i="296"/>
  <c r="X6" i="296"/>
  <c r="W6" i="296"/>
  <c r="T6" i="296"/>
  <c r="Q6" i="296"/>
  <c r="Y37" i="237"/>
  <c r="W37" i="237"/>
  <c r="V37" i="237"/>
  <c r="U37" i="237"/>
  <c r="T37" i="237"/>
  <c r="S37" i="237"/>
  <c r="R37" i="237"/>
  <c r="Q37" i="237"/>
  <c r="P37" i="237"/>
  <c r="O37" i="237"/>
  <c r="N37" i="237"/>
  <c r="M37" i="237"/>
  <c r="L37" i="237"/>
  <c r="K37" i="237"/>
  <c r="J37" i="237"/>
  <c r="I37" i="237"/>
  <c r="H37" i="237"/>
  <c r="G37" i="237"/>
  <c r="F37" i="237"/>
  <c r="E37" i="237"/>
  <c r="D37" i="237"/>
  <c r="C37" i="237"/>
  <c r="AB36" i="237"/>
  <c r="AC36" i="237"/>
  <c r="Z36" i="237"/>
  <c r="AB35" i="237"/>
  <c r="AC35" i="237"/>
  <c r="Z35" i="237"/>
  <c r="AB34" i="237"/>
  <c r="AA34" i="237"/>
  <c r="AC34" i="237"/>
  <c r="X34" i="237"/>
  <c r="Z34" i="237"/>
  <c r="AB33" i="237"/>
  <c r="AA33" i="237"/>
  <c r="AC33" i="237"/>
  <c r="X33" i="237"/>
  <c r="Z33" i="237"/>
  <c r="AB32" i="237"/>
  <c r="AA32" i="237"/>
  <c r="X32" i="237"/>
  <c r="AB31" i="237"/>
  <c r="AB37" i="237"/>
  <c r="AA31" i="237"/>
  <c r="X31" i="237"/>
  <c r="Z31" i="237"/>
  <c r="AA29" i="237"/>
  <c r="AC29" i="237"/>
  <c r="X29" i="237"/>
  <c r="Z29" i="237"/>
  <c r="AK28" i="237"/>
  <c r="AJ28" i="237"/>
  <c r="AH28" i="237"/>
  <c r="AG28" i="237"/>
  <c r="AE28" i="237"/>
  <c r="AD28" i="237"/>
  <c r="AC28" i="237"/>
  <c r="Z28" i="237"/>
  <c r="AK27" i="237"/>
  <c r="AJ27" i="237"/>
  <c r="AH27" i="237"/>
  <c r="AG27" i="237"/>
  <c r="AE27" i="237"/>
  <c r="AD27" i="237"/>
  <c r="AC27" i="237"/>
  <c r="Z27" i="237"/>
  <c r="AK26" i="237"/>
  <c r="AJ26" i="237"/>
  <c r="AJ29" i="237"/>
  <c r="AH26" i="237"/>
  <c r="AG26" i="237"/>
  <c r="AI26" i="237"/>
  <c r="AE26" i="237"/>
  <c r="AE29" i="237"/>
  <c r="AD26" i="237"/>
  <c r="AC26" i="237"/>
  <c r="Z26" i="237"/>
  <c r="AA24" i="237"/>
  <c r="AC24" i="237"/>
  <c r="AK23" i="237"/>
  <c r="AJ23" i="237"/>
  <c r="AH23" i="237"/>
  <c r="AG23" i="237"/>
  <c r="AE23" i="237"/>
  <c r="AD23" i="237"/>
  <c r="AC23" i="237"/>
  <c r="AE22" i="237"/>
  <c r="AD22" i="237"/>
  <c r="AC22" i="237"/>
  <c r="AK21" i="237"/>
  <c r="AJ21" i="237"/>
  <c r="AL21" i="237"/>
  <c r="AH21" i="237"/>
  <c r="AG21" i="237"/>
  <c r="AE21" i="237"/>
  <c r="AD21" i="237"/>
  <c r="AD24" i="237"/>
  <c r="AC21" i="237"/>
  <c r="AA19" i="237"/>
  <c r="AC19" i="237"/>
  <c r="X19" i="237"/>
  <c r="Z19" i="237"/>
  <c r="AK18" i="237"/>
  <c r="AJ18" i="237"/>
  <c r="AJ33" i="237"/>
  <c r="AH18" i="237"/>
  <c r="AG18" i="237"/>
  <c r="AE18" i="237"/>
  <c r="AE33" i="237"/>
  <c r="AD18" i="237"/>
  <c r="AC18" i="237"/>
  <c r="Z18" i="237"/>
  <c r="AK17" i="237"/>
  <c r="AJ17" i="237"/>
  <c r="AH17" i="237"/>
  <c r="AG17" i="237"/>
  <c r="AE17" i="237"/>
  <c r="AD17" i="237"/>
  <c r="AC17" i="237"/>
  <c r="Z17" i="237"/>
  <c r="AK16" i="237"/>
  <c r="AK19" i="237"/>
  <c r="AJ16" i="237"/>
  <c r="AH16" i="237"/>
  <c r="AG16" i="237"/>
  <c r="AE16" i="237"/>
  <c r="AE19" i="237"/>
  <c r="AD16" i="237"/>
  <c r="AC16" i="237"/>
  <c r="Z16" i="237"/>
  <c r="AK13" i="237"/>
  <c r="AK36" i="237"/>
  <c r="AJ13" i="237"/>
  <c r="AJ36" i="237"/>
  <c r="AH13" i="237"/>
  <c r="AH36" i="237"/>
  <c r="AG13" i="237"/>
  <c r="AG36" i="237"/>
  <c r="AE13" i="237"/>
  <c r="AE36" i="237"/>
  <c r="AD13" i="237"/>
  <c r="AD36" i="237"/>
  <c r="AK12" i="237"/>
  <c r="AK35" i="237"/>
  <c r="AJ12" i="237"/>
  <c r="AH12" i="237"/>
  <c r="AH35" i="237"/>
  <c r="AG12" i="237"/>
  <c r="AG35" i="237"/>
  <c r="AE12" i="237"/>
  <c r="AD12" i="237"/>
  <c r="AD35" i="237"/>
  <c r="AK11" i="237"/>
  <c r="AK14" i="237"/>
  <c r="AJ11" i="237"/>
  <c r="AH11" i="237"/>
  <c r="AG11" i="237"/>
  <c r="AE11" i="237"/>
  <c r="AF11" i="237"/>
  <c r="AD11" i="237"/>
  <c r="AA9" i="237"/>
  <c r="AC9" i="237"/>
  <c r="X9" i="237"/>
  <c r="Z9" i="237"/>
  <c r="AK8" i="237"/>
  <c r="AJ8" i="237"/>
  <c r="AJ34" i="237"/>
  <c r="AH8" i="237"/>
  <c r="AG8" i="237"/>
  <c r="AE8" i="237"/>
  <c r="AD8" i="237"/>
  <c r="AC8" i="237"/>
  <c r="Z8" i="237"/>
  <c r="AK7" i="237"/>
  <c r="AJ7" i="237"/>
  <c r="AH7" i="237"/>
  <c r="AG7" i="237"/>
  <c r="AE7" i="237"/>
  <c r="AD7" i="237"/>
  <c r="AC7" i="237"/>
  <c r="AC32" i="237"/>
  <c r="Z7" i="237"/>
  <c r="AK6" i="237"/>
  <c r="AK9" i="237"/>
  <c r="AJ6" i="237"/>
  <c r="AJ9" i="237"/>
  <c r="AH6" i="237"/>
  <c r="AH9" i="237"/>
  <c r="AG6" i="237"/>
  <c r="AE6" i="237"/>
  <c r="AD6" i="237"/>
  <c r="AC6" i="237"/>
  <c r="Z6" i="237"/>
  <c r="AF99" i="236"/>
  <c r="AE99" i="236"/>
  <c r="AC99" i="236"/>
  <c r="AB99" i="236"/>
  <c r="AM98" i="236"/>
  <c r="AJ98" i="236"/>
  <c r="AG98" i="236"/>
  <c r="AD98" i="236"/>
  <c r="AL97" i="236"/>
  <c r="AK97" i="236"/>
  <c r="AJ22" i="237"/>
  <c r="AI97" i="236"/>
  <c r="AH22" i="237"/>
  <c r="AH97" i="236"/>
  <c r="AG22" i="237"/>
  <c r="AM96" i="236"/>
  <c r="AJ96" i="236"/>
  <c r="AM95" i="236"/>
  <c r="AJ95" i="236"/>
  <c r="AG95" i="236"/>
  <c r="AD95" i="236"/>
  <c r="AM94" i="236"/>
  <c r="AJ94" i="236"/>
  <c r="AG94" i="236"/>
  <c r="AG99" i="236"/>
  <c r="AD94" i="236"/>
  <c r="AK92" i="236"/>
  <c r="AI92" i="236"/>
  <c r="AH92" i="236"/>
  <c r="AF92" i="236"/>
  <c r="AE92" i="236"/>
  <c r="AC92" i="236"/>
  <c r="AB92" i="236"/>
  <c r="Z92" i="236"/>
  <c r="Y92" i="236"/>
  <c r="Y93" i="236"/>
  <c r="X92" i="236"/>
  <c r="W92" i="236"/>
  <c r="V92" i="236"/>
  <c r="U92" i="236"/>
  <c r="T92" i="236"/>
  <c r="S92" i="236"/>
  <c r="R92" i="236"/>
  <c r="Q92" i="236"/>
  <c r="P92" i="236"/>
  <c r="O92" i="236"/>
  <c r="N92" i="236"/>
  <c r="M92" i="236"/>
  <c r="M93" i="236"/>
  <c r="L92" i="236"/>
  <c r="K92" i="236"/>
  <c r="AM91" i="236"/>
  <c r="AJ91" i="236"/>
  <c r="AG91" i="236"/>
  <c r="AD91" i="236"/>
  <c r="AA91" i="236"/>
  <c r="AM90" i="236"/>
  <c r="AJ90" i="236"/>
  <c r="AG90" i="236"/>
  <c r="AD90" i="236"/>
  <c r="AA90" i="236"/>
  <c r="AM89" i="236"/>
  <c r="AJ89" i="236"/>
  <c r="AG89" i="236"/>
  <c r="AD89" i="236"/>
  <c r="AA89" i="236"/>
  <c r="AM88" i="236"/>
  <c r="AJ88" i="236"/>
  <c r="AG88" i="236"/>
  <c r="AD88" i="236"/>
  <c r="AA88" i="236"/>
  <c r="AK87" i="236"/>
  <c r="AI87" i="236"/>
  <c r="AH87" i="236"/>
  <c r="AF87" i="236"/>
  <c r="AE87" i="236"/>
  <c r="AC87" i="236"/>
  <c r="AB87" i="236"/>
  <c r="Z87" i="236"/>
  <c r="Y87" i="236"/>
  <c r="X87" i="236"/>
  <c r="W87" i="236"/>
  <c r="V87" i="236"/>
  <c r="U87" i="236"/>
  <c r="T87" i="236"/>
  <c r="S87" i="236"/>
  <c r="R87" i="236"/>
  <c r="Q87" i="236"/>
  <c r="P87" i="236"/>
  <c r="O87" i="236"/>
  <c r="N87" i="236"/>
  <c r="M87" i="236"/>
  <c r="L87" i="236"/>
  <c r="K87" i="236"/>
  <c r="AM86" i="236"/>
  <c r="AJ86" i="236"/>
  <c r="AG86" i="236"/>
  <c r="AD86" i="236"/>
  <c r="AA86" i="236"/>
  <c r="AM85" i="236"/>
  <c r="AJ85" i="236"/>
  <c r="AG85" i="236"/>
  <c r="AD85" i="236"/>
  <c r="AA85" i="236"/>
  <c r="AM84" i="236"/>
  <c r="AJ84" i="236"/>
  <c r="AG84" i="236"/>
  <c r="AD84" i="236"/>
  <c r="AA84" i="236"/>
  <c r="AA87" i="236"/>
  <c r="AL83" i="236"/>
  <c r="AL93" i="236"/>
  <c r="AK83" i="236"/>
  <c r="AI83" i="236"/>
  <c r="AH83" i="236"/>
  <c r="AF83" i="236"/>
  <c r="AE83" i="236"/>
  <c r="AE93" i="236"/>
  <c r="AC83" i="236"/>
  <c r="AB83" i="236"/>
  <c r="Z83" i="236"/>
  <c r="Y83" i="236"/>
  <c r="X83" i="236"/>
  <c r="W83" i="236"/>
  <c r="W93" i="236"/>
  <c r="V83" i="236"/>
  <c r="V93" i="236"/>
  <c r="U83" i="236"/>
  <c r="T83" i="236"/>
  <c r="S83" i="236"/>
  <c r="R83" i="236"/>
  <c r="Q83" i="236"/>
  <c r="P83" i="236"/>
  <c r="O83" i="236"/>
  <c r="O93" i="236"/>
  <c r="N83" i="236"/>
  <c r="N93" i="236"/>
  <c r="M83" i="236"/>
  <c r="L83" i="236"/>
  <c r="L93" i="236"/>
  <c r="K83" i="236"/>
  <c r="AM82" i="236"/>
  <c r="AJ82" i="236"/>
  <c r="AG82" i="236"/>
  <c r="AD82" i="236"/>
  <c r="AA82" i="236"/>
  <c r="AM81" i="236"/>
  <c r="AJ81" i="236"/>
  <c r="AG81" i="236"/>
  <c r="AD81" i="236"/>
  <c r="AA81" i="236"/>
  <c r="AA80" i="236"/>
  <c r="AM79" i="236"/>
  <c r="AJ79" i="236"/>
  <c r="AG79" i="236"/>
  <c r="AD79" i="236"/>
  <c r="AD83" i="236"/>
  <c r="AA79" i="236"/>
  <c r="AL77" i="236"/>
  <c r="AK77" i="236"/>
  <c r="AI77" i="236"/>
  <c r="AH77" i="236"/>
  <c r="AF77" i="236"/>
  <c r="AE77" i="236"/>
  <c r="AC77" i="236"/>
  <c r="AB77" i="236"/>
  <c r="Z77" i="236"/>
  <c r="Y77" i="236"/>
  <c r="X77" i="236"/>
  <c r="W77" i="236"/>
  <c r="V77" i="236"/>
  <c r="U77" i="236"/>
  <c r="T77" i="236"/>
  <c r="S77" i="236"/>
  <c r="R77" i="236"/>
  <c r="Q77" i="236"/>
  <c r="P77" i="236"/>
  <c r="O77" i="236"/>
  <c r="N77" i="236"/>
  <c r="M77" i="236"/>
  <c r="L77" i="236"/>
  <c r="K77" i="236"/>
  <c r="J77" i="236"/>
  <c r="I77" i="236"/>
  <c r="H77" i="236"/>
  <c r="G77" i="236"/>
  <c r="F77" i="236"/>
  <c r="E77" i="236"/>
  <c r="D77" i="236"/>
  <c r="AM76" i="236"/>
  <c r="AJ76" i="236"/>
  <c r="AG76" i="236"/>
  <c r="AD76" i="236"/>
  <c r="AA76" i="236"/>
  <c r="AM75" i="236"/>
  <c r="AJ75" i="236"/>
  <c r="AG75" i="236"/>
  <c r="AD75" i="236"/>
  <c r="AA75" i="236"/>
  <c r="AM74" i="236"/>
  <c r="AJ74" i="236"/>
  <c r="AG74" i="236"/>
  <c r="AD74" i="236"/>
  <c r="AA74" i="236"/>
  <c r="AM73" i="236"/>
  <c r="AJ73" i="236"/>
  <c r="AG73" i="236"/>
  <c r="AD73" i="236"/>
  <c r="AA73" i="236"/>
  <c r="AL72" i="236"/>
  <c r="AK72" i="236"/>
  <c r="AI72" i="236"/>
  <c r="AH72" i="236"/>
  <c r="AF72" i="236"/>
  <c r="AE72" i="236"/>
  <c r="AC72" i="236"/>
  <c r="AB72" i="236"/>
  <c r="Z72" i="236"/>
  <c r="Y72" i="236"/>
  <c r="X72" i="236"/>
  <c r="W72" i="236"/>
  <c r="V72" i="236"/>
  <c r="U72" i="236"/>
  <c r="T72" i="236"/>
  <c r="S72" i="236"/>
  <c r="R72" i="236"/>
  <c r="Q72" i="236"/>
  <c r="P72" i="236"/>
  <c r="O72" i="236"/>
  <c r="N72" i="236"/>
  <c r="M72" i="236"/>
  <c r="L72" i="236"/>
  <c r="K72" i="236"/>
  <c r="J72" i="236"/>
  <c r="I72" i="236"/>
  <c r="H72" i="236"/>
  <c r="G72" i="236"/>
  <c r="F72" i="236"/>
  <c r="E72" i="236"/>
  <c r="D72" i="236"/>
  <c r="AM71" i="236"/>
  <c r="AJ71" i="236"/>
  <c r="AG71" i="236"/>
  <c r="AD71" i="236"/>
  <c r="AA71" i="236"/>
  <c r="AM70" i="236"/>
  <c r="AJ70" i="236"/>
  <c r="AG70" i="236"/>
  <c r="AD70" i="236"/>
  <c r="AA70" i="236"/>
  <c r="AM69" i="236"/>
  <c r="AJ69" i="236"/>
  <c r="AG69" i="236"/>
  <c r="AD69" i="236"/>
  <c r="AA69" i="236"/>
  <c r="AM68" i="236"/>
  <c r="AJ68" i="236"/>
  <c r="AG68" i="236"/>
  <c r="AD68" i="236"/>
  <c r="AA68" i="236"/>
  <c r="AM67" i="236"/>
  <c r="AJ67" i="236"/>
  <c r="AG67" i="236"/>
  <c r="AD67" i="236"/>
  <c r="AA67" i="236"/>
  <c r="AM66" i="236"/>
  <c r="AJ66" i="236"/>
  <c r="AG66" i="236"/>
  <c r="AD66" i="236"/>
  <c r="AA66" i="236"/>
  <c r="AM65" i="236"/>
  <c r="AJ65" i="236"/>
  <c r="AG65" i="236"/>
  <c r="AD65" i="236"/>
  <c r="AA65" i="236"/>
  <c r="AM64" i="236"/>
  <c r="AJ64" i="236"/>
  <c r="AG64" i="236"/>
  <c r="AD64" i="236"/>
  <c r="AA64" i="236"/>
  <c r="AL63" i="236"/>
  <c r="AK63" i="236"/>
  <c r="AI63" i="236"/>
  <c r="AI78" i="236"/>
  <c r="AH63" i="236"/>
  <c r="AF63" i="236"/>
  <c r="AE63" i="236"/>
  <c r="AC63" i="236"/>
  <c r="AB63" i="236"/>
  <c r="Z63" i="236"/>
  <c r="Y63" i="236"/>
  <c r="Y78" i="236"/>
  <c r="X63" i="236"/>
  <c r="W63" i="236"/>
  <c r="V63" i="236"/>
  <c r="U63" i="236"/>
  <c r="T63" i="236"/>
  <c r="S63" i="236"/>
  <c r="R63" i="236"/>
  <c r="Q63" i="236"/>
  <c r="Q78" i="236"/>
  <c r="P63" i="236"/>
  <c r="O63" i="236"/>
  <c r="N63" i="236"/>
  <c r="M63" i="236"/>
  <c r="L63" i="236"/>
  <c r="K63" i="236"/>
  <c r="J63" i="236"/>
  <c r="I63" i="236"/>
  <c r="H63" i="236"/>
  <c r="G63" i="236"/>
  <c r="F63" i="236"/>
  <c r="E63" i="236"/>
  <c r="D63" i="236"/>
  <c r="AM62" i="236"/>
  <c r="AJ62" i="236"/>
  <c r="AG62" i="236"/>
  <c r="AD62" i="236"/>
  <c r="AA62" i="236"/>
  <c r="AM61" i="236"/>
  <c r="AJ61" i="236"/>
  <c r="AG61" i="236"/>
  <c r="AD61" i="236"/>
  <c r="AA61" i="236"/>
  <c r="AM60" i="236"/>
  <c r="AJ60" i="236"/>
  <c r="AG60" i="236"/>
  <c r="AD60" i="236"/>
  <c r="AA60" i="236"/>
  <c r="AM59" i="236"/>
  <c r="AJ59" i="236"/>
  <c r="AG59" i="236"/>
  <c r="AD59" i="236"/>
  <c r="AA59" i="236"/>
  <c r="AM58" i="236"/>
  <c r="AJ58" i="236"/>
  <c r="AG58" i="236"/>
  <c r="AD58" i="236"/>
  <c r="AA58" i="236"/>
  <c r="AM57" i="236"/>
  <c r="AJ57" i="236"/>
  <c r="AG57" i="236"/>
  <c r="AD57" i="236"/>
  <c r="AA57" i="236"/>
  <c r="AL55" i="236"/>
  <c r="AK55" i="236"/>
  <c r="AI55" i="236"/>
  <c r="AH55" i="236"/>
  <c r="AF55" i="236"/>
  <c r="AE55" i="236"/>
  <c r="AC55" i="236"/>
  <c r="AB55" i="236"/>
  <c r="Z55" i="236"/>
  <c r="Y55" i="236"/>
  <c r="X55" i="236"/>
  <c r="W55" i="236"/>
  <c r="V55" i="236"/>
  <c r="U55" i="236"/>
  <c r="T55" i="236"/>
  <c r="S55" i="236"/>
  <c r="R55" i="236"/>
  <c r="Q55" i="236"/>
  <c r="P55" i="236"/>
  <c r="O55" i="236"/>
  <c r="N55" i="236"/>
  <c r="M55" i="236"/>
  <c r="L55" i="236"/>
  <c r="K55" i="236"/>
  <c r="J55" i="236"/>
  <c r="I55" i="236"/>
  <c r="H55" i="236"/>
  <c r="G55" i="236"/>
  <c r="F55" i="236"/>
  <c r="E55" i="236"/>
  <c r="D55" i="236"/>
  <c r="AM54" i="236"/>
  <c r="AJ54" i="236"/>
  <c r="AG54" i="236"/>
  <c r="AD54" i="236"/>
  <c r="AA54" i="236"/>
  <c r="AM53" i="236"/>
  <c r="AJ53" i="236"/>
  <c r="AG53" i="236"/>
  <c r="AD53" i="236"/>
  <c r="AA53" i="236"/>
  <c r="AM52" i="236"/>
  <c r="AJ52" i="236"/>
  <c r="AG52" i="236"/>
  <c r="AD52" i="236"/>
  <c r="AA52" i="236"/>
  <c r="AM51" i="236"/>
  <c r="AJ51" i="236"/>
  <c r="AG51" i="236"/>
  <c r="AD51" i="236"/>
  <c r="AA51" i="236"/>
  <c r="AM50" i="236"/>
  <c r="AJ50" i="236"/>
  <c r="AG50" i="236"/>
  <c r="AD50" i="236"/>
  <c r="AA50" i="236"/>
  <c r="AM49" i="236"/>
  <c r="AJ49" i="236"/>
  <c r="AG49" i="236"/>
  <c r="AD49" i="236"/>
  <c r="AA49" i="236"/>
  <c r="AL48" i="236"/>
  <c r="AK48" i="236"/>
  <c r="AI48" i="236"/>
  <c r="AH48" i="236"/>
  <c r="AF48" i="236"/>
  <c r="AE48" i="236"/>
  <c r="AC48" i="236"/>
  <c r="AB48" i="236"/>
  <c r="Z48" i="236"/>
  <c r="Y48" i="236"/>
  <c r="X48" i="236"/>
  <c r="W48" i="236"/>
  <c r="V48" i="236"/>
  <c r="U48" i="236"/>
  <c r="T48" i="236"/>
  <c r="S48" i="236"/>
  <c r="R48" i="236"/>
  <c r="Q48" i="236"/>
  <c r="P48" i="236"/>
  <c r="O48" i="236"/>
  <c r="N48" i="236"/>
  <c r="M48" i="236"/>
  <c r="L48" i="236"/>
  <c r="K48" i="236"/>
  <c r="J48" i="236"/>
  <c r="I48" i="236"/>
  <c r="H48" i="236"/>
  <c r="G48" i="236"/>
  <c r="F48" i="236"/>
  <c r="E48" i="236"/>
  <c r="D48" i="236"/>
  <c r="AM47" i="236"/>
  <c r="AJ47" i="236"/>
  <c r="AG47" i="236"/>
  <c r="AD47" i="236"/>
  <c r="AA47" i="236"/>
  <c r="AM46" i="236"/>
  <c r="AJ46" i="236"/>
  <c r="AG46" i="236"/>
  <c r="AD46" i="236"/>
  <c r="AA46" i="236"/>
  <c r="AM45" i="236"/>
  <c r="AJ45" i="236"/>
  <c r="AG45" i="236"/>
  <c r="AD45" i="236"/>
  <c r="AA45" i="236"/>
  <c r="AM44" i="236"/>
  <c r="AJ44" i="236"/>
  <c r="AG44" i="236"/>
  <c r="AD44" i="236"/>
  <c r="AA44" i="236"/>
  <c r="AM43" i="236"/>
  <c r="AJ43" i="236"/>
  <c r="AG43" i="236"/>
  <c r="AD43" i="236"/>
  <c r="AA43" i="236"/>
  <c r="AM42" i="236"/>
  <c r="AJ42" i="236"/>
  <c r="AG42" i="236"/>
  <c r="AD42" i="236"/>
  <c r="AA42" i="236"/>
  <c r="AM41" i="236"/>
  <c r="AJ41" i="236"/>
  <c r="AG41" i="236"/>
  <c r="AD41" i="236"/>
  <c r="AA41" i="236"/>
  <c r="AM40" i="236"/>
  <c r="AJ40" i="236"/>
  <c r="AG40" i="236"/>
  <c r="AD40" i="236"/>
  <c r="AA40" i="236"/>
  <c r="AM39" i="236"/>
  <c r="AJ39" i="236"/>
  <c r="AG39" i="236"/>
  <c r="AD39" i="236"/>
  <c r="AA39" i="236"/>
  <c r="AM38" i="236"/>
  <c r="AJ38" i="236"/>
  <c r="AG38" i="236"/>
  <c r="AD38" i="236"/>
  <c r="AA38" i="236"/>
  <c r="AM37" i="236"/>
  <c r="AJ37" i="236"/>
  <c r="AG37" i="236"/>
  <c r="AD37" i="236"/>
  <c r="AA37" i="236"/>
  <c r="AL36" i="236"/>
  <c r="AK36" i="236"/>
  <c r="AK56" i="236"/>
  <c r="AI36" i="236"/>
  <c r="AH36" i="236"/>
  <c r="AF36" i="236"/>
  <c r="AE36" i="236"/>
  <c r="AC36" i="236"/>
  <c r="AB36" i="236"/>
  <c r="Z36" i="236"/>
  <c r="Y36" i="236"/>
  <c r="X36" i="236"/>
  <c r="W36" i="236"/>
  <c r="V36" i="236"/>
  <c r="U36" i="236"/>
  <c r="U56" i="236"/>
  <c r="T36" i="236"/>
  <c r="S36" i="236"/>
  <c r="R36" i="236"/>
  <c r="Q36" i="236"/>
  <c r="P36" i="236"/>
  <c r="O36" i="236"/>
  <c r="N36" i="236"/>
  <c r="M36" i="236"/>
  <c r="L36" i="236"/>
  <c r="K36" i="236"/>
  <c r="J36" i="236"/>
  <c r="I36" i="236"/>
  <c r="H36" i="236"/>
  <c r="G36" i="236"/>
  <c r="F36" i="236"/>
  <c r="E36" i="236"/>
  <c r="E56" i="236"/>
  <c r="D36" i="236"/>
  <c r="AM35" i="236"/>
  <c r="AJ35" i="236"/>
  <c r="AG35" i="236"/>
  <c r="AD35" i="236"/>
  <c r="AA35" i="236"/>
  <c r="AM34" i="236"/>
  <c r="AJ34" i="236"/>
  <c r="AG34" i="236"/>
  <c r="AD34" i="236"/>
  <c r="AA34" i="236"/>
  <c r="AM33" i="236"/>
  <c r="AJ33" i="236"/>
  <c r="AG33" i="236"/>
  <c r="AD33" i="236"/>
  <c r="AA33" i="236"/>
  <c r="AM32" i="236"/>
  <c r="AJ32" i="236"/>
  <c r="AG32" i="236"/>
  <c r="AD32" i="236"/>
  <c r="AA32" i="236"/>
  <c r="AM31" i="236"/>
  <c r="AJ31" i="236"/>
  <c r="AG31" i="236"/>
  <c r="AD31" i="236"/>
  <c r="AA31" i="236"/>
  <c r="AM30" i="236"/>
  <c r="AJ30" i="236"/>
  <c r="AG30" i="236"/>
  <c r="AD30" i="236"/>
  <c r="AA30" i="236"/>
  <c r="AM29" i="236"/>
  <c r="AJ29" i="236"/>
  <c r="AG29" i="236"/>
  <c r="AD29" i="236"/>
  <c r="AA29" i="236"/>
  <c r="AM28" i="236"/>
  <c r="AJ28" i="236"/>
  <c r="AG28" i="236"/>
  <c r="AD28" i="236"/>
  <c r="AA28" i="236"/>
  <c r="AM27" i="236"/>
  <c r="AJ27" i="236"/>
  <c r="AG27" i="236"/>
  <c r="AD27" i="236"/>
  <c r="AA27" i="236"/>
  <c r="AL25" i="236"/>
  <c r="AK25" i="236"/>
  <c r="AI25" i="236"/>
  <c r="AH25" i="236"/>
  <c r="AF25" i="236"/>
  <c r="AE25" i="236"/>
  <c r="AC25" i="236"/>
  <c r="AB25" i="236"/>
  <c r="Z25" i="236"/>
  <c r="Y25" i="236"/>
  <c r="X25" i="236"/>
  <c r="W25" i="236"/>
  <c r="V25" i="236"/>
  <c r="U25" i="236"/>
  <c r="T25" i="236"/>
  <c r="S25" i="236"/>
  <c r="R25" i="236"/>
  <c r="Q25" i="236"/>
  <c r="P25" i="236"/>
  <c r="O25" i="236"/>
  <c r="N25" i="236"/>
  <c r="M25" i="236"/>
  <c r="L25" i="236"/>
  <c r="K25" i="236"/>
  <c r="J25" i="236"/>
  <c r="I25" i="236"/>
  <c r="H25" i="236"/>
  <c r="G25" i="236"/>
  <c r="F25" i="236"/>
  <c r="E25" i="236"/>
  <c r="D25" i="236"/>
  <c r="AM24" i="236"/>
  <c r="AJ24" i="236"/>
  <c r="AJ25" i="236"/>
  <c r="AG24" i="236"/>
  <c r="AD24" i="236"/>
  <c r="AA24" i="236"/>
  <c r="AM23" i="236"/>
  <c r="AJ23" i="236"/>
  <c r="AG23" i="236"/>
  <c r="AD23" i="236"/>
  <c r="AA23" i="236"/>
  <c r="AA25" i="236"/>
  <c r="AM22" i="236"/>
  <c r="AJ22" i="236"/>
  <c r="AG22" i="236"/>
  <c r="AD22" i="236"/>
  <c r="AD25" i="236"/>
  <c r="AA22" i="236"/>
  <c r="AL21" i="236"/>
  <c r="AK21" i="236"/>
  <c r="AI21" i="236"/>
  <c r="AH21" i="236"/>
  <c r="AF21" i="236"/>
  <c r="AE21" i="236"/>
  <c r="AC21" i="236"/>
  <c r="AB21" i="236"/>
  <c r="Z21" i="236"/>
  <c r="Y21" i="236"/>
  <c r="X21" i="236"/>
  <c r="W21" i="236"/>
  <c r="V21" i="236"/>
  <c r="U21" i="236"/>
  <c r="T21" i="236"/>
  <c r="S21" i="236"/>
  <c r="R21" i="236"/>
  <c r="Q21" i="236"/>
  <c r="P21" i="236"/>
  <c r="O21" i="236"/>
  <c r="N21" i="236"/>
  <c r="M21" i="236"/>
  <c r="M26" i="236"/>
  <c r="L21" i="236"/>
  <c r="K21" i="236"/>
  <c r="J21" i="236"/>
  <c r="I21" i="236"/>
  <c r="H21" i="236"/>
  <c r="G21" i="236"/>
  <c r="F21" i="236"/>
  <c r="E21" i="236"/>
  <c r="D21" i="236"/>
  <c r="AM20" i="236"/>
  <c r="AJ20" i="236"/>
  <c r="AG20" i="236"/>
  <c r="AD20" i="236"/>
  <c r="AA20" i="236"/>
  <c r="AM19" i="236"/>
  <c r="AJ19" i="236"/>
  <c r="AG19" i="236"/>
  <c r="AD19" i="236"/>
  <c r="AA19" i="236"/>
  <c r="AM18" i="236"/>
  <c r="AJ18" i="236"/>
  <c r="AG18" i="236"/>
  <c r="AD18" i="236"/>
  <c r="AA18" i="236"/>
  <c r="AM17" i="236"/>
  <c r="AJ17" i="236"/>
  <c r="AG17" i="236"/>
  <c r="AD17" i="236"/>
  <c r="AA17" i="236"/>
  <c r="AL16" i="236"/>
  <c r="AK16" i="236"/>
  <c r="AI16" i="236"/>
  <c r="AH16" i="236"/>
  <c r="AF16" i="236"/>
  <c r="AE16" i="236"/>
  <c r="AC16" i="236"/>
  <c r="AB16" i="236"/>
  <c r="Z16" i="236"/>
  <c r="Y16" i="236"/>
  <c r="X16" i="236"/>
  <c r="W16" i="236"/>
  <c r="W26" i="236"/>
  <c r="V16" i="236"/>
  <c r="U16" i="236"/>
  <c r="T16" i="236"/>
  <c r="S16" i="236"/>
  <c r="R16" i="236"/>
  <c r="Q16" i="236"/>
  <c r="P16" i="236"/>
  <c r="P26" i="236"/>
  <c r="O16" i="236"/>
  <c r="O26" i="236"/>
  <c r="N16" i="236"/>
  <c r="M16" i="236"/>
  <c r="L16" i="236"/>
  <c r="K16" i="236"/>
  <c r="J16" i="236"/>
  <c r="I16" i="236"/>
  <c r="H16" i="236"/>
  <c r="G16" i="236"/>
  <c r="G26" i="236"/>
  <c r="F16" i="236"/>
  <c r="E16" i="236"/>
  <c r="D16" i="236"/>
  <c r="AM15" i="236"/>
  <c r="AJ15" i="236"/>
  <c r="AG15" i="236"/>
  <c r="AD15" i="236"/>
  <c r="AA15" i="236"/>
  <c r="AM14" i="236"/>
  <c r="AJ14" i="236"/>
  <c r="AG14" i="236"/>
  <c r="AD14" i="236"/>
  <c r="AA14" i="236"/>
  <c r="AM13" i="236"/>
  <c r="AJ13" i="236"/>
  <c r="AG13" i="236"/>
  <c r="AD13" i="236"/>
  <c r="AA13" i="236"/>
  <c r="AM12" i="236"/>
  <c r="AJ12" i="236"/>
  <c r="AG12" i="236"/>
  <c r="AD12" i="236"/>
  <c r="AA12" i="236"/>
  <c r="AM11" i="236"/>
  <c r="AJ11" i="236"/>
  <c r="AG11" i="236"/>
  <c r="AD11" i="236"/>
  <c r="AA11" i="236"/>
  <c r="AM10" i="236"/>
  <c r="AJ10" i="236"/>
  <c r="AG10" i="236"/>
  <c r="AD10" i="236"/>
  <c r="AA10" i="236"/>
  <c r="AM9" i="236"/>
  <c r="AJ9" i="236"/>
  <c r="AG9" i="236"/>
  <c r="AD9" i="236"/>
  <c r="AA9" i="236"/>
  <c r="AM8" i="236"/>
  <c r="AJ8" i="236"/>
  <c r="AJ16" i="236"/>
  <c r="AG8" i="236"/>
  <c r="AD8" i="236"/>
  <c r="AA8" i="236"/>
  <c r="AM7" i="236"/>
  <c r="AJ7" i="236"/>
  <c r="AG7" i="236"/>
  <c r="AD7" i="236"/>
  <c r="AA7" i="236"/>
  <c r="AM6" i="236"/>
  <c r="AJ6" i="236"/>
  <c r="AG6" i="236"/>
  <c r="AD6" i="236"/>
  <c r="AA6" i="236"/>
  <c r="AB131" i="276"/>
  <c r="H64" i="277"/>
  <c r="M64" i="277"/>
  <c r="X29" i="276"/>
  <c r="AR131" i="276"/>
  <c r="AN131" i="276"/>
  <c r="L43" i="273"/>
  <c r="AR43" i="273"/>
  <c r="AJ43" i="273"/>
  <c r="AO128" i="273"/>
  <c r="AR29" i="273"/>
  <c r="AZ43" i="273"/>
  <c r="F83" i="273"/>
  <c r="P82" i="273"/>
  <c r="T98" i="273"/>
  <c r="AJ112" i="273"/>
  <c r="AW47" i="263"/>
  <c r="AR127" i="273"/>
  <c r="AR128" i="273"/>
  <c r="AQ13" i="263"/>
  <c r="AR34" i="263"/>
  <c r="X15" i="273"/>
  <c r="L117" i="273"/>
  <c r="AQ128" i="273"/>
  <c r="AW128" i="273"/>
  <c r="T9" i="296"/>
  <c r="AC9" i="296"/>
  <c r="W34" i="296"/>
  <c r="Q35" i="296"/>
  <c r="AN56" i="283"/>
  <c r="AC46" i="283"/>
  <c r="AK46" i="283"/>
  <c r="R46" i="283"/>
  <c r="AL97" i="283"/>
  <c r="F97" i="283"/>
  <c r="V97" i="283"/>
  <c r="AL133" i="283"/>
  <c r="O46" i="283"/>
  <c r="S46" i="283"/>
  <c r="K97" i="283"/>
  <c r="S97" i="283"/>
  <c r="G133" i="283"/>
  <c r="K133" i="283"/>
  <c r="S133" i="283"/>
  <c r="W133" i="283"/>
  <c r="AA133" i="283"/>
  <c r="AI133" i="283"/>
  <c r="AM133" i="283"/>
  <c r="O17" i="268"/>
  <c r="O147" i="268"/>
  <c r="N159" i="268"/>
  <c r="N150" i="268"/>
  <c r="N220" i="268"/>
  <c r="N226" i="268"/>
  <c r="AF64" i="284"/>
  <c r="AK36" i="284"/>
  <c r="BA31" i="242"/>
  <c r="AB95" i="276"/>
  <c r="BM20" i="277"/>
  <c r="H17" i="277"/>
  <c r="BL70" i="277"/>
  <c r="K71" i="277"/>
  <c r="K64" i="277"/>
  <c r="Q20" i="277"/>
  <c r="Q76" i="277"/>
  <c r="L13" i="277"/>
  <c r="BI71" i="277"/>
  <c r="M20" i="277"/>
  <c r="E68" i="277"/>
  <c r="X15" i="276"/>
  <c r="BD15" i="276"/>
  <c r="AZ29" i="276"/>
  <c r="AJ46" i="276"/>
  <c r="BD46" i="276"/>
  <c r="AZ95" i="276"/>
  <c r="BP95" i="276"/>
  <c r="AV131" i="276"/>
  <c r="AJ73" i="276"/>
  <c r="BH95" i="276"/>
  <c r="AL132" i="276"/>
  <c r="N57" i="277"/>
  <c r="AQ47" i="276"/>
  <c r="F90" i="287"/>
  <c r="C114" i="287"/>
  <c r="F64" i="287"/>
  <c r="E114" i="287"/>
  <c r="E23" i="294"/>
  <c r="C24" i="294"/>
  <c r="F26" i="294"/>
  <c r="D27" i="294"/>
  <c r="L27" i="294"/>
  <c r="D22" i="294"/>
  <c r="L22" i="294"/>
  <c r="E27" i="294"/>
  <c r="E22" i="294"/>
  <c r="C23" i="294"/>
  <c r="K23" i="294"/>
  <c r="K24" i="294"/>
  <c r="D26" i="294"/>
  <c r="L26" i="294"/>
  <c r="F21" i="294"/>
  <c r="F22" i="294"/>
  <c r="D23" i="294"/>
  <c r="L23" i="294"/>
  <c r="F25" i="294"/>
  <c r="E26" i="294"/>
  <c r="C27" i="294"/>
  <c r="P29" i="47"/>
  <c r="P9" i="47"/>
  <c r="X19" i="47"/>
  <c r="X29" i="47"/>
  <c r="X9" i="47"/>
  <c r="X40" i="47"/>
  <c r="AG9" i="234"/>
  <c r="AK14" i="234"/>
  <c r="AS19" i="234"/>
  <c r="AW29" i="234"/>
  <c r="AG19" i="234"/>
  <c r="AW19" i="234"/>
  <c r="AO33" i="234"/>
  <c r="AO32" i="234"/>
  <c r="AP37" i="234"/>
  <c r="AQ37" i="234"/>
  <c r="AS31" i="234"/>
  <c r="AR37" i="234"/>
  <c r="AO9" i="234"/>
  <c r="AO19" i="234"/>
  <c r="AG33" i="234"/>
  <c r="AG29" i="234"/>
  <c r="AS33" i="234"/>
  <c r="AO29" i="234"/>
  <c r="AM37" i="234"/>
  <c r="AI37" i="234"/>
  <c r="I8" i="243"/>
  <c r="N36" i="243"/>
  <c r="I18" i="243"/>
  <c r="I28" i="243"/>
  <c r="BE26" i="281"/>
  <c r="BE27" i="281"/>
  <c r="BE28" i="281"/>
  <c r="BD29" i="281"/>
  <c r="BJ33" i="281"/>
  <c r="BH34" i="281"/>
  <c r="BE29" i="242"/>
  <c r="BJ10" i="281"/>
  <c r="BI11" i="281"/>
  <c r="BA21" i="281"/>
  <c r="BF21" i="281"/>
  <c r="AP29" i="242"/>
  <c r="BJ29" i="242"/>
  <c r="BE35" i="281"/>
  <c r="BC36" i="281"/>
  <c r="BJ37" i="281"/>
  <c r="AZ14" i="242"/>
  <c r="BE24" i="242"/>
  <c r="BH20" i="281"/>
  <c r="AP14" i="242"/>
  <c r="BJ14" i="242"/>
  <c r="BE14" i="242"/>
  <c r="AZ29" i="242"/>
  <c r="AY31" i="242"/>
  <c r="BD27" i="281"/>
  <c r="BE44" i="281"/>
  <c r="BD45" i="281"/>
  <c r="AU14" i="242"/>
  <c r="AO31" i="242"/>
  <c r="AQ31" i="242"/>
  <c r="BG31" i="242"/>
  <c r="BE19" i="242"/>
  <c r="AP19" i="242"/>
  <c r="AX31" i="242"/>
  <c r="BJ8" i="281"/>
  <c r="BF9" i="281"/>
  <c r="BJ46" i="281"/>
  <c r="BH47" i="281"/>
  <c r="C26" i="292"/>
  <c r="C23" i="292"/>
  <c r="K23" i="292"/>
  <c r="I24" i="292"/>
  <c r="K27" i="292"/>
  <c r="I28" i="292"/>
  <c r="C22" i="292"/>
  <c r="L23" i="292"/>
  <c r="K24" i="292"/>
  <c r="L27" i="292"/>
  <c r="K28" i="292"/>
  <c r="H22" i="292"/>
  <c r="M23" i="292"/>
  <c r="H26" i="292"/>
  <c r="M27" i="292"/>
  <c r="I22" i="292"/>
  <c r="H24" i="292"/>
  <c r="I26" i="292"/>
  <c r="H28" i="292"/>
  <c r="E27" i="291"/>
  <c r="E28" i="291"/>
  <c r="L38" i="291"/>
  <c r="L33" i="291"/>
  <c r="L35" i="291"/>
  <c r="L37" i="291"/>
  <c r="D25" i="291"/>
  <c r="H25" i="291"/>
  <c r="D26" i="291"/>
  <c r="H26" i="291"/>
  <c r="F26" i="291"/>
  <c r="D27" i="291"/>
  <c r="H27" i="291"/>
  <c r="E25" i="291"/>
  <c r="K30" i="291"/>
  <c r="K37" i="291"/>
  <c r="N37" i="291"/>
  <c r="N30" i="291"/>
  <c r="AF9" i="295"/>
  <c r="W133" i="295"/>
  <c r="AC29" i="295"/>
  <c r="AB37" i="295"/>
  <c r="W33" i="295"/>
  <c r="AC33" i="295"/>
  <c r="T34" i="295"/>
  <c r="W35" i="295"/>
  <c r="AF35" i="295"/>
  <c r="S70" i="295"/>
  <c r="Q66" i="295"/>
  <c r="W66" i="295"/>
  <c r="AC66" i="295"/>
  <c r="W67" i="295"/>
  <c r="AC67" i="295"/>
  <c r="Z90" i="295"/>
  <c r="AF125" i="295"/>
  <c r="AF126" i="295"/>
  <c r="Z95" i="295"/>
  <c r="AF95" i="295"/>
  <c r="Z140" i="295"/>
  <c r="AF131" i="295"/>
  <c r="AC19" i="295"/>
  <c r="T29" i="295"/>
  <c r="S37" i="295"/>
  <c r="AE37" i="295"/>
  <c r="AF47" i="295"/>
  <c r="N52" i="295"/>
  <c r="N66" i="295"/>
  <c r="N67" i="295"/>
  <c r="Z68" i="295"/>
  <c r="Z80" i="295"/>
  <c r="AF80" i="295"/>
  <c r="U37" i="295"/>
  <c r="E90" i="295"/>
  <c r="T14" i="295"/>
  <c r="AC14" i="295"/>
  <c r="W24" i="295"/>
  <c r="Z29" i="295"/>
  <c r="T32" i="295"/>
  <c r="AC32" i="295"/>
  <c r="Z35" i="295"/>
  <c r="AF36" i="295"/>
  <c r="H47" i="295"/>
  <c r="T47" i="295"/>
  <c r="Q118" i="295"/>
  <c r="AC116" i="295"/>
  <c r="AC52" i="295"/>
  <c r="AF57" i="295"/>
  <c r="K64" i="295"/>
  <c r="P70" i="295"/>
  <c r="W64" i="295"/>
  <c r="Z64" i="295"/>
  <c r="E65" i="295"/>
  <c r="W65" i="295"/>
  <c r="AE70" i="295"/>
  <c r="V70" i="295"/>
  <c r="H67" i="295"/>
  <c r="T67" i="295"/>
  <c r="T68" i="295"/>
  <c r="Z69" i="295"/>
  <c r="H80" i="295"/>
  <c r="T80" i="295"/>
  <c r="H97" i="295"/>
  <c r="T97" i="295"/>
  <c r="T90" i="295"/>
  <c r="AC90" i="295"/>
  <c r="N100" i="295"/>
  <c r="W95" i="295"/>
  <c r="AF140" i="295"/>
  <c r="AB128" i="295"/>
  <c r="S138" i="295"/>
  <c r="W19" i="295"/>
  <c r="E64" i="295"/>
  <c r="E62" i="295"/>
  <c r="E133" i="295"/>
  <c r="AC62" i="295"/>
  <c r="N65" i="295"/>
  <c r="AF68" i="295"/>
  <c r="Q69" i="295"/>
  <c r="AF69" i="295"/>
  <c r="K80" i="295"/>
  <c r="AF85" i="295"/>
  <c r="N95" i="295"/>
  <c r="W103" i="295"/>
  <c r="AA103" i="295"/>
  <c r="AE113" i="295"/>
  <c r="C113" i="295"/>
  <c r="T139" i="295"/>
  <c r="I123" i="295"/>
  <c r="AF122" i="295"/>
  <c r="Z9" i="295"/>
  <c r="AF14" i="295"/>
  <c r="T128" i="295"/>
  <c r="T24" i="295"/>
  <c r="AF24" i="295"/>
  <c r="T31" i="295"/>
  <c r="AF33" i="295"/>
  <c r="W34" i="295"/>
  <c r="W36" i="295"/>
  <c r="AC36" i="295"/>
  <c r="AC47" i="295"/>
  <c r="T52" i="295"/>
  <c r="Z52" i="295"/>
  <c r="T57" i="295"/>
  <c r="Z65" i="295"/>
  <c r="W68" i="295"/>
  <c r="W69" i="295"/>
  <c r="N97" i="295"/>
  <c r="H98" i="295"/>
  <c r="AF98" i="295"/>
  <c r="T100" i="295"/>
  <c r="I113" i="295"/>
  <c r="AC140" i="295"/>
  <c r="AF117" i="295"/>
  <c r="AC111" i="295"/>
  <c r="N118" i="295"/>
  <c r="E66" i="295"/>
  <c r="K62" i="295"/>
  <c r="F70" i="295"/>
  <c r="G70" i="295"/>
  <c r="Q99" i="295"/>
  <c r="K95" i="295"/>
  <c r="I103" i="295"/>
  <c r="S103" i="295"/>
  <c r="E120" i="295"/>
  <c r="E123" i="295"/>
  <c r="Y133" i="295"/>
  <c r="L32" i="282"/>
  <c r="C37" i="271"/>
  <c r="E37" i="271"/>
  <c r="AC34" i="271"/>
  <c r="D27" i="233"/>
  <c r="O27" i="233"/>
  <c r="M28" i="233"/>
  <c r="I146" i="266"/>
  <c r="L6" i="233"/>
  <c r="I45" i="266"/>
  <c r="E96" i="266"/>
  <c r="G135" i="266"/>
  <c r="G13" i="279"/>
  <c r="AX47" i="279"/>
  <c r="BB13" i="279"/>
  <c r="AX30" i="279"/>
  <c r="BB37" i="279"/>
  <c r="AX51" i="279"/>
  <c r="I18" i="279"/>
  <c r="P37" i="278"/>
  <c r="AF37" i="278"/>
  <c r="BH52" i="278"/>
  <c r="H67" i="278"/>
  <c r="BH78" i="278"/>
  <c r="N8" i="279"/>
  <c r="BH13" i="278"/>
  <c r="J11" i="279"/>
  <c r="X13" i="278"/>
  <c r="U38" i="278"/>
  <c r="Z38" i="278"/>
  <c r="AE38" i="278"/>
  <c r="AK38" i="278"/>
  <c r="AP38" i="278"/>
  <c r="AU38" i="278"/>
  <c r="BF38" i="278"/>
  <c r="H27" i="278"/>
  <c r="X27" i="278"/>
  <c r="AN27" i="278"/>
  <c r="AF27" i="278"/>
  <c r="AY38" i="278"/>
  <c r="BE38" i="278"/>
  <c r="AJ37" i="278"/>
  <c r="AZ37" i="278"/>
  <c r="K79" i="278"/>
  <c r="Q79" i="278"/>
  <c r="V79" i="278"/>
  <c r="AG79" i="278"/>
  <c r="AQ79" i="278"/>
  <c r="AW79" i="278"/>
  <c r="BG79" i="278"/>
  <c r="AA115" i="278"/>
  <c r="BH114" i="278"/>
  <c r="BM26" i="279"/>
  <c r="N45" i="279"/>
  <c r="K127" i="278"/>
  <c r="T52" i="278"/>
  <c r="W115" i="278"/>
  <c r="AS115" i="278"/>
  <c r="BC115" i="278"/>
  <c r="P27" i="278"/>
  <c r="AN67" i="278"/>
  <c r="X96" i="278"/>
  <c r="AZ114" i="278"/>
  <c r="AV114" i="278"/>
  <c r="F11" i="279"/>
  <c r="BI38" i="278"/>
  <c r="AZ109" i="278"/>
  <c r="O115" i="278"/>
  <c r="AE115" i="278"/>
  <c r="BA115" i="278"/>
  <c r="BK115" i="278"/>
  <c r="T13" i="278"/>
  <c r="P13" i="278"/>
  <c r="P38" i="278"/>
  <c r="AJ13" i="278"/>
  <c r="AN13" i="278"/>
  <c r="F38" i="278"/>
  <c r="J38" i="278"/>
  <c r="J127" i="278"/>
  <c r="O38" i="278"/>
  <c r="O127" i="278"/>
  <c r="Y38" i="278"/>
  <c r="AI38" i="278"/>
  <c r="AT38" i="278"/>
  <c r="BL27" i="278"/>
  <c r="AB37" i="278"/>
  <c r="BH37" i="278"/>
  <c r="X37" i="278"/>
  <c r="X38" i="278"/>
  <c r="P67" i="278"/>
  <c r="AZ67" i="278"/>
  <c r="AF67" i="278"/>
  <c r="AV67" i="278"/>
  <c r="AS79" i="278"/>
  <c r="P78" i="278"/>
  <c r="AV78" i="278"/>
  <c r="AB78" i="278"/>
  <c r="AR78" i="278"/>
  <c r="AN96" i="278"/>
  <c r="AB96" i="278"/>
  <c r="T96" i="278"/>
  <c r="X109" i="278"/>
  <c r="X115" i="278"/>
  <c r="P109" i="278"/>
  <c r="G115" i="278"/>
  <c r="R115" i="278"/>
  <c r="AC115" i="278"/>
  <c r="AM115" i="278"/>
  <c r="AX115" i="278"/>
  <c r="BI115" i="278"/>
  <c r="BL114" i="278"/>
  <c r="AR114" i="278"/>
  <c r="BF45" i="279"/>
  <c r="AX38" i="278"/>
  <c r="E79" i="278"/>
  <c r="I115" i="278"/>
  <c r="I127" i="278"/>
  <c r="N115" i="278"/>
  <c r="Y115" i="278"/>
  <c r="AD115" i="278"/>
  <c r="AD127" i="278"/>
  <c r="AO115" i="278"/>
  <c r="AO127" i="278"/>
  <c r="BE115" i="278"/>
  <c r="BE127" i="278"/>
  <c r="BJ115" i="278"/>
  <c r="R15" i="279"/>
  <c r="W127" i="278"/>
  <c r="L27" i="278"/>
  <c r="BA38" i="278"/>
  <c r="X67" i="278"/>
  <c r="BD67" i="278"/>
  <c r="T78" i="278"/>
  <c r="AZ96" i="278"/>
  <c r="E115" i="278"/>
  <c r="Z115" i="278"/>
  <c r="AK115" i="278"/>
  <c r="AU115" i="278"/>
  <c r="AU127" i="278"/>
  <c r="BF115" i="278"/>
  <c r="BD114" i="278"/>
  <c r="AQ115" i="278"/>
  <c r="AQ127" i="278"/>
  <c r="BM126" i="278"/>
  <c r="K9" i="279"/>
  <c r="AB13" i="278"/>
  <c r="AF13" i="278"/>
  <c r="AF38" i="278"/>
  <c r="BL13" i="278"/>
  <c r="N127" i="278"/>
  <c r="AB27" i="278"/>
  <c r="T27" i="278"/>
  <c r="AJ27" i="278"/>
  <c r="H37" i="278"/>
  <c r="H38" i="278"/>
  <c r="H127" i="278"/>
  <c r="T37" i="278"/>
  <c r="AV37" i="278"/>
  <c r="P52" i="278"/>
  <c r="AJ52" i="278"/>
  <c r="AY127" i="278"/>
  <c r="L67" i="278"/>
  <c r="H78" i="278"/>
  <c r="Q115" i="278"/>
  <c r="Q127" i="278"/>
  <c r="AG115" i="278"/>
  <c r="AG127" i="278"/>
  <c r="AW115" i="278"/>
  <c r="AW127" i="278"/>
  <c r="AI115" i="278"/>
  <c r="J86" i="267"/>
  <c r="O133" i="267"/>
  <c r="G123" i="267"/>
  <c r="H86" i="267"/>
  <c r="H135" i="267"/>
  <c r="P86" i="267"/>
  <c r="P133" i="267"/>
  <c r="I86" i="267"/>
  <c r="E86" i="267"/>
  <c r="M86" i="267"/>
  <c r="I123" i="267"/>
  <c r="I135" i="267"/>
  <c r="E123" i="267"/>
  <c r="M123" i="267"/>
  <c r="G86" i="267"/>
  <c r="O86" i="267"/>
  <c r="J123" i="267"/>
  <c r="AB38" i="284"/>
  <c r="AD17" i="284"/>
  <c r="AK17" i="284"/>
  <c r="I77" i="284"/>
  <c r="Q77" i="284"/>
  <c r="AF17" i="284"/>
  <c r="AJ17" i="284"/>
  <c r="AH26" i="284"/>
  <c r="AL36" i="284"/>
  <c r="AC38" i="284"/>
  <c r="AA38" i="284"/>
  <c r="AK51" i="284"/>
  <c r="L55" i="284"/>
  <c r="J76" i="284"/>
  <c r="N76" i="284"/>
  <c r="U76" i="284"/>
  <c r="AJ13" i="284"/>
  <c r="H77" i="284"/>
  <c r="E55" i="284"/>
  <c r="AC75" i="284"/>
  <c r="AC77" i="284"/>
  <c r="C55" i="284"/>
  <c r="M74" i="284"/>
  <c r="N75" i="284"/>
  <c r="C72" i="284"/>
  <c r="V76" i="284"/>
  <c r="AA76" i="284"/>
  <c r="AF75" i="284"/>
  <c r="U77" i="284"/>
  <c r="AB55" i="284"/>
  <c r="N55" i="284"/>
  <c r="Z76" i="284"/>
  <c r="H55" i="284"/>
  <c r="U74" i="284"/>
  <c r="Y77" i="284"/>
  <c r="AB77" i="284"/>
  <c r="W76" i="284"/>
  <c r="K55" i="284"/>
  <c r="E75" i="284"/>
  <c r="E77" i="284"/>
  <c r="E46" i="283"/>
  <c r="I46" i="283"/>
  <c r="M46" i="283"/>
  <c r="Q46" i="283"/>
  <c r="U46" i="283"/>
  <c r="Y46" i="283"/>
  <c r="AG46" i="283"/>
  <c r="N97" i="283"/>
  <c r="AD97" i="283"/>
  <c r="E133" i="283"/>
  <c r="I133" i="283"/>
  <c r="M133" i="283"/>
  <c r="Q133" i="283"/>
  <c r="U133" i="283"/>
  <c r="Y133" i="283"/>
  <c r="AC133" i="283"/>
  <c r="AG133" i="283"/>
  <c r="AK133" i="283"/>
  <c r="AI37" i="284"/>
  <c r="AF34" i="284"/>
  <c r="AF51" i="284"/>
  <c r="AK69" i="284"/>
  <c r="J46" i="283"/>
  <c r="Z46" i="283"/>
  <c r="AH46" i="283"/>
  <c r="AA97" i="283"/>
  <c r="AI97" i="283"/>
  <c r="F133" i="283"/>
  <c r="N133" i="283"/>
  <c r="V133" i="283"/>
  <c r="AD133" i="283"/>
  <c r="AG13" i="284"/>
  <c r="AD38" i="284"/>
  <c r="AF26" i="284"/>
  <c r="AJ34" i="284"/>
  <c r="AJ43" i="284"/>
  <c r="AF47" i="284"/>
  <c r="AG68" i="284"/>
  <c r="AA46" i="283"/>
  <c r="K46" i="283"/>
  <c r="AM56" i="283"/>
  <c r="H97" i="283"/>
  <c r="P97" i="283"/>
  <c r="X97" i="283"/>
  <c r="AF97" i="283"/>
  <c r="AN97" i="283"/>
  <c r="O133" i="283"/>
  <c r="AE133" i="283"/>
  <c r="AD9" i="284"/>
  <c r="AD13" i="284"/>
  <c r="AL13" i="284"/>
  <c r="AG17" i="284"/>
  <c r="AG34" i="284"/>
  <c r="AK34" i="284"/>
  <c r="AF43" i="284"/>
  <c r="AH71" i="284"/>
  <c r="L46" i="283"/>
  <c r="T46" i="283"/>
  <c r="AB46" i="283"/>
  <c r="E97" i="283"/>
  <c r="I97" i="283"/>
  <c r="M97" i="283"/>
  <c r="Q97" i="283"/>
  <c r="U97" i="283"/>
  <c r="Y97" i="283"/>
  <c r="AC97" i="283"/>
  <c r="AC135" i="283"/>
  <c r="AG97" i="283"/>
  <c r="AK97" i="283"/>
  <c r="H133" i="283"/>
  <c r="P133" i="283"/>
  <c r="X133" i="283"/>
  <c r="AF133" i="283"/>
  <c r="AN133" i="283"/>
  <c r="AK9" i="284"/>
  <c r="AK21" i="284"/>
  <c r="AL17" i="284"/>
  <c r="AK26" i="284"/>
  <c r="AE35" i="284"/>
  <c r="AK47" i="284"/>
  <c r="AF54" i="284"/>
  <c r="AI71" i="284"/>
  <c r="AX13" i="277"/>
  <c r="P17" i="277"/>
  <c r="AZ77" i="277"/>
  <c r="BK60" i="277"/>
  <c r="BJ63" i="277"/>
  <c r="BN24" i="277"/>
  <c r="BI47" i="277"/>
  <c r="BK51" i="277"/>
  <c r="AX51" i="277"/>
  <c r="BB52" i="277"/>
  <c r="AZ72" i="277"/>
  <c r="BF8" i="277"/>
  <c r="BB43" i="277"/>
  <c r="BB53" i="277"/>
  <c r="AY55" i="277"/>
  <c r="BN67" i="277"/>
  <c r="AF77" i="277"/>
  <c r="BB47" i="277"/>
  <c r="AZ55" i="277"/>
  <c r="AT70" i="277"/>
  <c r="AX75" i="277"/>
  <c r="BB51" i="277"/>
  <c r="AT60" i="277"/>
  <c r="AT64" i="277"/>
  <c r="BA72" i="277"/>
  <c r="BB75" i="277"/>
  <c r="AT9" i="277"/>
  <c r="AT20" i="277"/>
  <c r="AS21" i="277"/>
  <c r="AQ21" i="277"/>
  <c r="AT51" i="277"/>
  <c r="AQ72" i="277"/>
  <c r="F8" i="277"/>
  <c r="R8" i="277"/>
  <c r="F11" i="277"/>
  <c r="R44" i="277"/>
  <c r="N45" i="277"/>
  <c r="BF42" i="277"/>
  <c r="L17" i="277"/>
  <c r="Q17" i="277"/>
  <c r="F48" i="277"/>
  <c r="F59" i="277"/>
  <c r="F49" i="277"/>
  <c r="R49" i="277"/>
  <c r="F50" i="277"/>
  <c r="D60" i="277"/>
  <c r="I64" i="277"/>
  <c r="J64" i="277"/>
  <c r="AG47" i="276"/>
  <c r="AO47" i="276"/>
  <c r="BI57" i="276"/>
  <c r="BG57" i="276"/>
  <c r="BG73" i="276"/>
  <c r="BE96" i="276"/>
  <c r="BJ96" i="276"/>
  <c r="X95" i="276"/>
  <c r="BD95" i="276"/>
  <c r="F96" i="276"/>
  <c r="AD96" i="276"/>
  <c r="AO96" i="276"/>
  <c r="BN14" i="277"/>
  <c r="R15" i="277"/>
  <c r="F16" i="277"/>
  <c r="BI37" i="277"/>
  <c r="F44" i="277"/>
  <c r="BN44" i="277"/>
  <c r="R45" i="277"/>
  <c r="BK47" i="277"/>
  <c r="BJ48" i="277"/>
  <c r="BH52" i="277"/>
  <c r="BH74" i="277"/>
  <c r="F62" i="277"/>
  <c r="BF47" i="276"/>
  <c r="T96" i="276"/>
  <c r="E96" i="276"/>
  <c r="BK96" i="276"/>
  <c r="Q96" i="276"/>
  <c r="U96" i="276"/>
  <c r="BF10" i="277"/>
  <c r="N11" i="277"/>
  <c r="D20" i="277"/>
  <c r="R14" i="277"/>
  <c r="N15" i="277"/>
  <c r="BD18" i="277"/>
  <c r="BD19" i="277"/>
  <c r="E53" i="277"/>
  <c r="L47" i="277"/>
  <c r="BC54" i="277"/>
  <c r="L60" i="277"/>
  <c r="H47" i="276"/>
  <c r="AW96" i="276"/>
  <c r="F132" i="276"/>
  <c r="N132" i="276"/>
  <c r="AQ132" i="276"/>
  <c r="AA132" i="276"/>
  <c r="BJ25" i="277"/>
  <c r="BJ31" i="277"/>
  <c r="BJ35" i="277"/>
  <c r="BM34" i="277"/>
  <c r="R42" i="277"/>
  <c r="BF63" i="277"/>
  <c r="F66" i="277"/>
  <c r="AN46" i="276"/>
  <c r="BP46" i="276"/>
  <c r="I47" i="276"/>
  <c r="Q47" i="276"/>
  <c r="BL56" i="276"/>
  <c r="AN111" i="276"/>
  <c r="AN126" i="276"/>
  <c r="AC132" i="276"/>
  <c r="L18" i="277"/>
  <c r="H19" i="277"/>
  <c r="M13" i="277"/>
  <c r="L20" i="277"/>
  <c r="M53" i="277"/>
  <c r="BE47" i="277"/>
  <c r="J50" i="277"/>
  <c r="BB134" i="276"/>
  <c r="AV15" i="276"/>
  <c r="AF15" i="276"/>
  <c r="BH29" i="276"/>
  <c r="AJ29" i="276"/>
  <c r="AR29" i="276"/>
  <c r="AK47" i="276"/>
  <c r="AF46" i="276"/>
  <c r="AV46" i="276"/>
  <c r="AZ46" i="276"/>
  <c r="AR46" i="276"/>
  <c r="T47" i="276"/>
  <c r="BH56" i="276"/>
  <c r="AT134" i="276"/>
  <c r="AB85" i="276"/>
  <c r="AV85" i="276"/>
  <c r="AR85" i="276"/>
  <c r="G96" i="276"/>
  <c r="W96" i="276"/>
  <c r="AS96" i="276"/>
  <c r="AJ95" i="276"/>
  <c r="I96" i="276"/>
  <c r="N96" i="276"/>
  <c r="S96" i="276"/>
  <c r="AG96" i="276"/>
  <c r="AL96" i="276"/>
  <c r="AL134" i="276"/>
  <c r="AZ111" i="276"/>
  <c r="E132" i="276"/>
  <c r="M132" i="276"/>
  <c r="Q19" i="277"/>
  <c r="R19" i="277"/>
  <c r="BC21" i="277"/>
  <c r="R11" i="277"/>
  <c r="BF11" i="277"/>
  <c r="J12" i="277"/>
  <c r="F15" i="277"/>
  <c r="K19" i="277"/>
  <c r="BI19" i="277"/>
  <c r="BN32" i="277"/>
  <c r="BE37" i="277"/>
  <c r="BF33" i="277"/>
  <c r="BF37" i="277"/>
  <c r="Q53" i="277"/>
  <c r="Q43" i="277"/>
  <c r="BM43" i="277"/>
  <c r="BM53" i="277"/>
  <c r="G54" i="277"/>
  <c r="G52" i="277"/>
  <c r="J44" i="277"/>
  <c r="F45" i="277"/>
  <c r="D51" i="277"/>
  <c r="H51" i="277"/>
  <c r="R50" i="277"/>
  <c r="BM51" i="277"/>
  <c r="BN51" i="277"/>
  <c r="BK53" i="277"/>
  <c r="J58" i="277"/>
  <c r="BL64" i="277"/>
  <c r="N63" i="277"/>
  <c r="P64" i="277"/>
  <c r="M68" i="277"/>
  <c r="J67" i="277"/>
  <c r="AZ15" i="276"/>
  <c r="AF29" i="276"/>
  <c r="BL29" i="276"/>
  <c r="L47" i="276"/>
  <c r="P47" i="276"/>
  <c r="BL50" i="276"/>
  <c r="X73" i="276"/>
  <c r="BD73" i="276"/>
  <c r="AN73" i="276"/>
  <c r="AK96" i="276"/>
  <c r="AR95" i="276"/>
  <c r="Y96" i="276"/>
  <c r="AM96" i="276"/>
  <c r="AX96" i="276"/>
  <c r="BG96" i="276"/>
  <c r="V132" i="276"/>
  <c r="AG132" i="276"/>
  <c r="AU132" i="276"/>
  <c r="BK132" i="276"/>
  <c r="U132" i="276"/>
  <c r="Q9" i="277"/>
  <c r="D9" i="277"/>
  <c r="I13" i="277"/>
  <c r="BM13" i="277"/>
  <c r="C17" i="277"/>
  <c r="M17" i="277"/>
  <c r="D17" i="277"/>
  <c r="BL34" i="277"/>
  <c r="BM54" i="277"/>
  <c r="M52" i="277"/>
  <c r="M47" i="277"/>
  <c r="BI51" i="277"/>
  <c r="BJ50" i="277"/>
  <c r="I52" i="277"/>
  <c r="BF58" i="277"/>
  <c r="BF60" i="277"/>
  <c r="BE60" i="277"/>
  <c r="AN15" i="276"/>
  <c r="BL15" i="276"/>
  <c r="Y47" i="276"/>
  <c r="BH46" i="276"/>
  <c r="BJ134" i="276"/>
  <c r="L96" i="276"/>
  <c r="AI96" i="276"/>
  <c r="AY96" i="276"/>
  <c r="BM96" i="276"/>
  <c r="BP126" i="276"/>
  <c r="AZ126" i="276"/>
  <c r="AZ132" i="276"/>
  <c r="G132" i="276"/>
  <c r="O132" i="276"/>
  <c r="W132" i="276"/>
  <c r="BN8" i="277"/>
  <c r="BK20" i="277"/>
  <c r="O52" i="277"/>
  <c r="C71" i="277"/>
  <c r="BE64" i="277"/>
  <c r="BE71" i="277"/>
  <c r="BD64" i="277"/>
  <c r="K68" i="277"/>
  <c r="N66" i="277"/>
  <c r="M47" i="276"/>
  <c r="AN29" i="276"/>
  <c r="BM47" i="276"/>
  <c r="AB46" i="276"/>
  <c r="BL46" i="276"/>
  <c r="S47" i="276"/>
  <c r="AE47" i="276"/>
  <c r="BG47" i="276"/>
  <c r="BG134" i="276"/>
  <c r="BD50" i="276"/>
  <c r="BD57" i="276"/>
  <c r="BK57" i="276"/>
  <c r="AR73" i="276"/>
  <c r="BL73" i="276"/>
  <c r="AV73" i="276"/>
  <c r="X85" i="276"/>
  <c r="BL85" i="276"/>
  <c r="AZ85" i="276"/>
  <c r="M96" i="276"/>
  <c r="V96" i="276"/>
  <c r="AE96" i="276"/>
  <c r="AP96" i="276"/>
  <c r="AU96" i="276"/>
  <c r="BI96" i="276"/>
  <c r="BD111" i="276"/>
  <c r="BL111" i="276"/>
  <c r="BH111" i="276"/>
  <c r="AR126" i="276"/>
  <c r="AF126" i="276"/>
  <c r="X126" i="276"/>
  <c r="X132" i="276"/>
  <c r="P132" i="276"/>
  <c r="AD132" i="276"/>
  <c r="AD134" i="276"/>
  <c r="BC132" i="276"/>
  <c r="BL131" i="276"/>
  <c r="BD131" i="276"/>
  <c r="BM19" i="277"/>
  <c r="N8" i="277"/>
  <c r="J10" i="277"/>
  <c r="Q13" i="277"/>
  <c r="D13" i="277"/>
  <c r="E17" i="277"/>
  <c r="K17" i="277"/>
  <c r="N14" i="277"/>
  <c r="J15" i="277"/>
  <c r="N16" i="277"/>
  <c r="BD34" i="277"/>
  <c r="BC37" i="277"/>
  <c r="BN42" i="277"/>
  <c r="N44" i="277"/>
  <c r="BM47" i="277"/>
  <c r="J45" i="277"/>
  <c r="N49" i="277"/>
  <c r="BN49" i="277"/>
  <c r="P60" i="277"/>
  <c r="BE70" i="277"/>
  <c r="BF66" i="277"/>
  <c r="BF68" i="277"/>
  <c r="BE68" i="277"/>
  <c r="N67" i="277"/>
  <c r="AV126" i="276"/>
  <c r="I132" i="276"/>
  <c r="AE132" i="276"/>
  <c r="AO132" i="276"/>
  <c r="BE132" i="276"/>
  <c r="BE134" i="276"/>
  <c r="BP131" i="276"/>
  <c r="BH131" i="276"/>
  <c r="M19" i="277"/>
  <c r="BJ7" i="277"/>
  <c r="C13" i="277"/>
  <c r="H13" i="277"/>
  <c r="BL13" i="277"/>
  <c r="BN11" i="277"/>
  <c r="BN12" i="277"/>
  <c r="BE13" i="277"/>
  <c r="J14" i="277"/>
  <c r="J16" i="277"/>
  <c r="BG53" i="277"/>
  <c r="F46" i="277"/>
  <c r="H47" i="277"/>
  <c r="BD47" i="277"/>
  <c r="E51" i="277"/>
  <c r="R48" i="277"/>
  <c r="J49" i="277"/>
  <c r="N50" i="277"/>
  <c r="H70" i="277"/>
  <c r="Q70" i="277"/>
  <c r="BC70" i="277"/>
  <c r="D71" i="277"/>
  <c r="H71" i="277"/>
  <c r="BN59" i="277"/>
  <c r="H60" i="277"/>
  <c r="R61" i="277"/>
  <c r="P68" i="277"/>
  <c r="BC71" i="277"/>
  <c r="BJ67" i="277"/>
  <c r="BC68" i="277"/>
  <c r="AM132" i="276"/>
  <c r="AW132" i="276"/>
  <c r="D18" i="277"/>
  <c r="E19" i="277"/>
  <c r="N7" i="277"/>
  <c r="K13" i="277"/>
  <c r="J11" i="277"/>
  <c r="F12" i="277"/>
  <c r="BF31" i="277"/>
  <c r="BF35" i="277"/>
  <c r="BN33" i="277"/>
  <c r="BE34" i="277"/>
  <c r="BI53" i="277"/>
  <c r="H54" i="277"/>
  <c r="D52" i="277"/>
  <c r="H52" i="277"/>
  <c r="P52" i="277"/>
  <c r="BL47" i="277"/>
  <c r="C51" i="277"/>
  <c r="J48" i="277"/>
  <c r="L51" i="277"/>
  <c r="Q51" i="277"/>
  <c r="BE51" i="277"/>
  <c r="BF50" i="277"/>
  <c r="G51" i="277"/>
  <c r="BI52" i="277"/>
  <c r="E69" i="277"/>
  <c r="BM71" i="277"/>
  <c r="J61" i="277"/>
  <c r="BI64" i="277"/>
  <c r="J62" i="277"/>
  <c r="N62" i="277"/>
  <c r="J63" i="277"/>
  <c r="BM64" i="277"/>
  <c r="I68" i="277"/>
  <c r="R67" i="277"/>
  <c r="BL68" i="277"/>
  <c r="AP37" i="263"/>
  <c r="F44" i="263"/>
  <c r="AT46" i="263"/>
  <c r="AT57" i="263"/>
  <c r="F59" i="263"/>
  <c r="AD60" i="263"/>
  <c r="AO38" i="263"/>
  <c r="AD68" i="263"/>
  <c r="Z9" i="263"/>
  <c r="AO13" i="263"/>
  <c r="Z13" i="263"/>
  <c r="AH13" i="263"/>
  <c r="AL43" i="263"/>
  <c r="AS43" i="263"/>
  <c r="AH54" i="263"/>
  <c r="AG55" i="263"/>
  <c r="AD64" i="263"/>
  <c r="AT67" i="263"/>
  <c r="AX11" i="263"/>
  <c r="AH76" i="263"/>
  <c r="AP34" i="263"/>
  <c r="AD43" i="263"/>
  <c r="AH43" i="263"/>
  <c r="AL69" i="263"/>
  <c r="Z77" i="263"/>
  <c r="AL68" i="263"/>
  <c r="R44" i="273"/>
  <c r="T43" i="273"/>
  <c r="AU44" i="273"/>
  <c r="F41" i="263"/>
  <c r="F43" i="263"/>
  <c r="X60" i="273"/>
  <c r="H82" i="273"/>
  <c r="AX83" i="273"/>
  <c r="AR98" i="273"/>
  <c r="AG118" i="273"/>
  <c r="AR117" i="273"/>
  <c r="V118" i="273"/>
  <c r="AV127" i="273"/>
  <c r="AV128" i="273"/>
  <c r="F49" i="263"/>
  <c r="AX49" i="263"/>
  <c r="AZ15" i="273"/>
  <c r="X29" i="273"/>
  <c r="AJ29" i="273"/>
  <c r="H72" i="273"/>
  <c r="X72" i="273"/>
  <c r="AV72" i="273"/>
  <c r="AG83" i="273"/>
  <c r="AW83" i="273"/>
  <c r="N83" i="273"/>
  <c r="G118" i="273"/>
  <c r="AS118" i="273"/>
  <c r="AT28" i="263"/>
  <c r="AT31" i="263"/>
  <c r="AX61" i="263"/>
  <c r="AM44" i="273"/>
  <c r="AX44" i="273"/>
  <c r="AH83" i="273"/>
  <c r="T82" i="273"/>
  <c r="J83" i="273"/>
  <c r="Z83" i="273"/>
  <c r="AZ117" i="273"/>
  <c r="AN64" i="263"/>
  <c r="AB72" i="273"/>
  <c r="Y83" i="273"/>
  <c r="AT83" i="273"/>
  <c r="AY83" i="273"/>
  <c r="V83" i="273"/>
  <c r="E118" i="273"/>
  <c r="O118" i="273"/>
  <c r="AE118" i="273"/>
  <c r="H56" i="275"/>
  <c r="K78" i="275"/>
  <c r="O78" i="275"/>
  <c r="S32" i="253"/>
  <c r="W32" i="253"/>
  <c r="H25" i="275"/>
  <c r="L25" i="275"/>
  <c r="T25" i="275"/>
  <c r="I56" i="275"/>
  <c r="M56" i="275"/>
  <c r="U56" i="275"/>
  <c r="H78" i="275"/>
  <c r="L78" i="275"/>
  <c r="L103" i="275"/>
  <c r="T78" i="275"/>
  <c r="I25" i="275"/>
  <c r="M25" i="275"/>
  <c r="Q25" i="275"/>
  <c r="Q103" i="275"/>
  <c r="U25" i="275"/>
  <c r="J56" i="275"/>
  <c r="N56" i="275"/>
  <c r="V56" i="275"/>
  <c r="I78" i="275"/>
  <c r="M78" i="275"/>
  <c r="Q32" i="253"/>
  <c r="P28" i="253"/>
  <c r="J25" i="275"/>
  <c r="R25" i="275"/>
  <c r="K56" i="275"/>
  <c r="J78" i="275"/>
  <c r="N78" i="275"/>
  <c r="V78" i="275"/>
  <c r="E24" i="173"/>
  <c r="D100" i="173"/>
  <c r="L24" i="173"/>
  <c r="D39" i="173"/>
  <c r="L39" i="173"/>
  <c r="K70" i="173"/>
  <c r="H100" i="173"/>
  <c r="I39" i="173"/>
  <c r="F39" i="173"/>
  <c r="L70" i="173"/>
  <c r="L102" i="173"/>
  <c r="F70" i="173"/>
  <c r="K32" i="172"/>
  <c r="D24" i="173"/>
  <c r="G39" i="173"/>
  <c r="J70" i="173"/>
  <c r="G70" i="173"/>
  <c r="K24" i="173"/>
  <c r="H39" i="173"/>
  <c r="F100" i="173"/>
  <c r="I24" i="173"/>
  <c r="H24" i="173"/>
  <c r="G100" i="173"/>
  <c r="K100" i="173"/>
  <c r="G19" i="172"/>
  <c r="I33" i="172"/>
  <c r="F29" i="172"/>
  <c r="L32" i="172"/>
  <c r="T32" i="297"/>
  <c r="H9" i="297"/>
  <c r="Z14" i="297"/>
  <c r="W19" i="297"/>
  <c r="E33" i="297"/>
  <c r="AC33" i="297"/>
  <c r="N9" i="297"/>
  <c r="H33" i="297"/>
  <c r="E29" i="297"/>
  <c r="Q29" i="297"/>
  <c r="AC29" i="297"/>
  <c r="R37" i="297"/>
  <c r="G37" i="297"/>
  <c r="N34" i="297"/>
  <c r="F33" i="98"/>
  <c r="N33" i="98"/>
  <c r="W33" i="98"/>
  <c r="AG33" i="98"/>
  <c r="AR33" i="98"/>
  <c r="AZ33" i="98"/>
  <c r="D32" i="98"/>
  <c r="L32" i="98"/>
  <c r="T32" i="98"/>
  <c r="AJ32" i="98"/>
  <c r="O19" i="98"/>
  <c r="AN19" i="98"/>
  <c r="N29" i="98"/>
  <c r="E19" i="98"/>
  <c r="U19" i="98"/>
  <c r="F19" i="98"/>
  <c r="AV19" i="98"/>
  <c r="AT31" i="98"/>
  <c r="BB31" i="98"/>
  <c r="AA32" i="98"/>
  <c r="X25" i="274"/>
  <c r="AQ20" i="274"/>
  <c r="V25" i="274"/>
  <c r="BL25" i="274"/>
  <c r="U70" i="274"/>
  <c r="AK70" i="274"/>
  <c r="AP70" i="274"/>
  <c r="BA70" i="274"/>
  <c r="BJ70" i="274"/>
  <c r="AD28" i="98"/>
  <c r="W99" i="274"/>
  <c r="AB100" i="274"/>
  <c r="AP100" i="274"/>
  <c r="AH8" i="98"/>
  <c r="BB26" i="98"/>
  <c r="Z8" i="98"/>
  <c r="AB25" i="274"/>
  <c r="AK25" i="274"/>
  <c r="AB70" i="274"/>
  <c r="AG70" i="274"/>
  <c r="AC100" i="274"/>
  <c r="BI100" i="274"/>
  <c r="AI99" i="274"/>
  <c r="BF28" i="98"/>
  <c r="AP28" i="98"/>
  <c r="BB70" i="274"/>
  <c r="AC70" i="274"/>
  <c r="AH70" i="274"/>
  <c r="BH70" i="274"/>
  <c r="AD26" i="98"/>
  <c r="AL28" i="98"/>
  <c r="AH28" i="98"/>
  <c r="Y100" i="274"/>
  <c r="AN100" i="274"/>
  <c r="BG99" i="274"/>
  <c r="BJ13" i="98"/>
  <c r="BJ36" i="98"/>
  <c r="Y25" i="274"/>
  <c r="BB25" i="274"/>
  <c r="X70" i="274"/>
  <c r="T70" i="274"/>
  <c r="Y70" i="274"/>
  <c r="AO70" i="274"/>
  <c r="AZ70" i="274"/>
  <c r="Z100" i="274"/>
  <c r="AJ100" i="274"/>
  <c r="BH100" i="274"/>
  <c r="O24" i="201"/>
  <c r="F69" i="201"/>
  <c r="N69" i="201"/>
  <c r="E97" i="201"/>
  <c r="H24" i="201"/>
  <c r="F97" i="201"/>
  <c r="E24" i="201"/>
  <c r="F39" i="201"/>
  <c r="F99" i="201"/>
  <c r="N39" i="201"/>
  <c r="D69" i="201"/>
  <c r="L69" i="201"/>
  <c r="G97" i="201"/>
  <c r="O97" i="201"/>
  <c r="G39" i="201"/>
  <c r="K39" i="201"/>
  <c r="E69" i="201"/>
  <c r="M69" i="201"/>
  <c r="N10" i="202"/>
  <c r="L25" i="202"/>
  <c r="N30" i="202"/>
  <c r="L33" i="202"/>
  <c r="N36" i="202"/>
  <c r="K36" i="202"/>
  <c r="M25" i="202"/>
  <c r="K30" i="202"/>
  <c r="L36" i="202"/>
  <c r="M37" i="202"/>
  <c r="M30" i="202"/>
  <c r="N37" i="229"/>
  <c r="O37" i="229"/>
  <c r="J37" i="227"/>
  <c r="C37" i="227"/>
  <c r="I37" i="227"/>
  <c r="D37" i="227"/>
  <c r="X37" i="194"/>
  <c r="Y37" i="194"/>
  <c r="H25" i="193"/>
  <c r="AF25" i="193"/>
  <c r="P40" i="193"/>
  <c r="X40" i="193"/>
  <c r="I98" i="193"/>
  <c r="Q98" i="193"/>
  <c r="Y98" i="193"/>
  <c r="AG98" i="193"/>
  <c r="Y40" i="193"/>
  <c r="Q40" i="193"/>
  <c r="I70" i="193"/>
  <c r="I100" i="193"/>
  <c r="AG70" i="193"/>
  <c r="J98" i="193"/>
  <c r="R98" i="193"/>
  <c r="AH98" i="193"/>
  <c r="F25" i="193"/>
  <c r="N25" i="193"/>
  <c r="R25" i="193"/>
  <c r="AH25" i="193"/>
  <c r="R70" i="193"/>
  <c r="AM25" i="193"/>
  <c r="W40" i="193"/>
  <c r="G70" i="193"/>
  <c r="O70" i="193"/>
  <c r="T98" i="193"/>
  <c r="AF98" i="193"/>
  <c r="Q25" i="193"/>
  <c r="Y25" i="193"/>
  <c r="AG25" i="193"/>
  <c r="AG40" i="193"/>
  <c r="H70" i="193"/>
  <c r="P70" i="193"/>
  <c r="X70" i="193"/>
  <c r="AF70" i="193"/>
  <c r="AA31" i="194"/>
  <c r="AA37" i="194"/>
  <c r="AE19" i="194"/>
  <c r="AH32" i="194"/>
  <c r="AD33" i="194"/>
  <c r="AL33" i="194"/>
  <c r="AK33" i="194"/>
  <c r="V25" i="193"/>
  <c r="AD25" i="193"/>
  <c r="AL25" i="193"/>
  <c r="J25" i="193"/>
  <c r="Z25" i="193"/>
  <c r="Z40" i="193"/>
  <c r="AH40" i="193"/>
  <c r="R40" i="193"/>
  <c r="AL40" i="193"/>
  <c r="Q70" i="193"/>
  <c r="Y70" i="193"/>
  <c r="Z98" i="193"/>
  <c r="AA24" i="194"/>
  <c r="AH29" i="194"/>
  <c r="G25" i="193"/>
  <c r="O25" i="193"/>
  <c r="W25" i="193"/>
  <c r="AE25" i="193"/>
  <c r="O40" i="193"/>
  <c r="AE40" i="193"/>
  <c r="AM40" i="193"/>
  <c r="Z70" i="193"/>
  <c r="J70" i="193"/>
  <c r="V70" i="193"/>
  <c r="AL70" i="193"/>
  <c r="K98" i="193"/>
  <c r="S98" i="193"/>
  <c r="AA98" i="193"/>
  <c r="AI98" i="193"/>
  <c r="AH9" i="194"/>
  <c r="AC31" i="194"/>
  <c r="AK31" i="194"/>
  <c r="AK37" i="194"/>
  <c r="AC32" i="194"/>
  <c r="AG32" i="194"/>
  <c r="AK19" i="194"/>
  <c r="AB24" i="194"/>
  <c r="AA29" i="194"/>
  <c r="AE33" i="194"/>
  <c r="AI33" i="194"/>
  <c r="P25" i="193"/>
  <c r="X25" i="193"/>
  <c r="AF40" i="193"/>
  <c r="AF100" i="193"/>
  <c r="W70" i="193"/>
  <c r="AE70" i="193"/>
  <c r="AM70" i="193"/>
  <c r="D98" i="193"/>
  <c r="AB98" i="193"/>
  <c r="AJ98" i="193"/>
  <c r="AC9" i="194"/>
  <c r="AK9" i="194"/>
  <c r="AD19" i="194"/>
  <c r="AL19" i="194"/>
  <c r="AA19" i="194"/>
  <c r="AB29" i="194"/>
  <c r="AJ29" i="194"/>
  <c r="H4" i="304"/>
  <c r="H6" i="304"/>
  <c r="H5" i="304"/>
  <c r="J4" i="304"/>
  <c r="G5" i="304"/>
  <c r="G6" i="304"/>
  <c r="F16" i="304"/>
  <c r="F17" i="304"/>
  <c r="K19" i="304"/>
  <c r="G16" i="304"/>
  <c r="G17" i="304"/>
  <c r="N17" i="304"/>
  <c r="G19" i="304"/>
  <c r="N20" i="304"/>
  <c r="G15" i="304"/>
  <c r="H16" i="304"/>
  <c r="H17" i="304"/>
  <c r="J18" i="304"/>
  <c r="H19" i="304"/>
  <c r="N21" i="304"/>
  <c r="F5" i="304"/>
  <c r="H15" i="304"/>
  <c r="N16" i="304"/>
  <c r="K17" i="304"/>
  <c r="AC32" i="241"/>
  <c r="AC31" i="241"/>
  <c r="AL26" i="241"/>
  <c r="AC34" i="241"/>
  <c r="AL6" i="241"/>
  <c r="AL8" i="241"/>
  <c r="AI18" i="241"/>
  <c r="AI26" i="241"/>
  <c r="AC33" i="241"/>
  <c r="AI12" i="241"/>
  <c r="AC19" i="241"/>
  <c r="AC24" i="241"/>
  <c r="AH24" i="241"/>
  <c r="AL28" i="241"/>
  <c r="AI25" i="240"/>
  <c r="AF25" i="240"/>
  <c r="AJ35" i="240"/>
  <c r="AD54" i="240"/>
  <c r="AB55" i="240"/>
  <c r="AJ71" i="240"/>
  <c r="AA76" i="240"/>
  <c r="T77" i="240"/>
  <c r="AD82" i="240"/>
  <c r="AD86" i="240"/>
  <c r="M92" i="240"/>
  <c r="U92" i="240"/>
  <c r="AF12" i="241"/>
  <c r="AI16" i="241"/>
  <c r="AI22" i="241"/>
  <c r="AF28" i="241"/>
  <c r="E25" i="240"/>
  <c r="U25" i="240"/>
  <c r="G25" i="240"/>
  <c r="W25" i="240"/>
  <c r="M55" i="240"/>
  <c r="Y55" i="240"/>
  <c r="D55" i="240"/>
  <c r="T55" i="240"/>
  <c r="AI55" i="240"/>
  <c r="I77" i="240"/>
  <c r="Q77" i="240"/>
  <c r="AE77" i="240"/>
  <c r="AJ91" i="240"/>
  <c r="AM96" i="240"/>
  <c r="AI7" i="241"/>
  <c r="AD15" i="240"/>
  <c r="AA20" i="240"/>
  <c r="Q55" i="240"/>
  <c r="AK55" i="240"/>
  <c r="J77" i="240"/>
  <c r="R77" i="240"/>
  <c r="W92" i="240"/>
  <c r="AH32" i="241"/>
  <c r="AL17" i="241"/>
  <c r="AM15" i="240"/>
  <c r="M25" i="240"/>
  <c r="AE25" i="240"/>
  <c r="AM47" i="240"/>
  <c r="J55" i="240"/>
  <c r="N55" i="240"/>
  <c r="AH77" i="240"/>
  <c r="P92" i="240"/>
  <c r="AD92" i="240"/>
  <c r="AM92" i="240"/>
  <c r="D25" i="240"/>
  <c r="L25" i="240"/>
  <c r="T25" i="240"/>
  <c r="AG24" i="240"/>
  <c r="E55" i="240"/>
  <c r="I55" i="240"/>
  <c r="U55" i="240"/>
  <c r="AJ76" i="240"/>
  <c r="K77" i="240"/>
  <c r="S77" i="240"/>
  <c r="AL77" i="240"/>
  <c r="AA82" i="240"/>
  <c r="AI92" i="240"/>
  <c r="AM98" i="240"/>
  <c r="AK29" i="241"/>
  <c r="AG32" i="241"/>
  <c r="AG33" i="241"/>
  <c r="AI33" i="241"/>
  <c r="AJ34" i="241"/>
  <c r="AL34" i="241"/>
  <c r="AD24" i="240"/>
  <c r="AM24" i="240"/>
  <c r="AL25" i="240"/>
  <c r="AA47" i="240"/>
  <c r="AJ47" i="240"/>
  <c r="F55" i="240"/>
  <c r="V55" i="240"/>
  <c r="AD71" i="240"/>
  <c r="AB77" i="240"/>
  <c r="D77" i="240"/>
  <c r="H77" i="240"/>
  <c r="X77" i="240"/>
  <c r="AG24" i="241"/>
  <c r="AK25" i="240"/>
  <c r="O25" i="240"/>
  <c r="AA62" i="240"/>
  <c r="AJ62" i="240"/>
  <c r="L77" i="240"/>
  <c r="E77" i="240"/>
  <c r="M77" i="240"/>
  <c r="M100" i="240"/>
  <c r="U77" i="240"/>
  <c r="AC77" i="240"/>
  <c r="T92" i="240"/>
  <c r="AB92" i="240"/>
  <c r="AG98" i="240"/>
  <c r="AF8" i="241"/>
  <c r="AI21" i="241"/>
  <c r="AI27" i="241"/>
  <c r="AJ20" i="240"/>
  <c r="K25" i="240"/>
  <c r="AB25" i="240"/>
  <c r="AB100" i="240"/>
  <c r="AJ24" i="240"/>
  <c r="H25" i="240"/>
  <c r="X25" i="240"/>
  <c r="AC25" i="240"/>
  <c r="AC100" i="240"/>
  <c r="AM35" i="240"/>
  <c r="AA35" i="240"/>
  <c r="AG54" i="240"/>
  <c r="AH55" i="240"/>
  <c r="AG76" i="240"/>
  <c r="AC92" i="240"/>
  <c r="AL92" i="240"/>
  <c r="AF7" i="241"/>
  <c r="AF27" i="241"/>
  <c r="AG29" i="241"/>
  <c r="AI29" i="241"/>
  <c r="AD32" i="241"/>
  <c r="AI23" i="239"/>
  <c r="AI28" i="239"/>
  <c r="AC34" i="239"/>
  <c r="AC31" i="239"/>
  <c r="AC37" i="239"/>
  <c r="AF18" i="239"/>
  <c r="H9" i="239"/>
  <c r="T9" i="239"/>
  <c r="AD9" i="239"/>
  <c r="AJ9" i="239"/>
  <c r="AL9" i="239"/>
  <c r="AI11" i="239"/>
  <c r="AL13" i="239"/>
  <c r="AI17" i="239"/>
  <c r="AI18" i="239"/>
  <c r="AC9" i="239"/>
  <c r="AF27" i="239"/>
  <c r="AL27" i="239"/>
  <c r="AF28" i="239"/>
  <c r="AL28" i="239"/>
  <c r="W19" i="239"/>
  <c r="N25" i="238"/>
  <c r="V25" i="238"/>
  <c r="AM62" i="238"/>
  <c r="X77" i="238"/>
  <c r="U82" i="238"/>
  <c r="AG82" i="238"/>
  <c r="Q92" i="238"/>
  <c r="AC92" i="238"/>
  <c r="AM96" i="238"/>
  <c r="AG32" i="239"/>
  <c r="AE19" i="239"/>
  <c r="AF19" i="239"/>
  <c r="I25" i="238"/>
  <c r="U25" i="238"/>
  <c r="AE25" i="238"/>
  <c r="G25" i="238"/>
  <c r="G100" i="238"/>
  <c r="O25" i="238"/>
  <c r="AB25" i="238"/>
  <c r="AH25" i="238"/>
  <c r="AM35" i="238"/>
  <c r="AM55" i="238"/>
  <c r="AG54" i="238"/>
  <c r="AF35" i="239"/>
  <c r="AL35" i="239"/>
  <c r="AL36" i="239"/>
  <c r="AI19" i="239"/>
  <c r="L25" i="238"/>
  <c r="M77" i="238"/>
  <c r="AD76" i="238"/>
  <c r="AF22" i="239"/>
  <c r="W25" i="238"/>
  <c r="AK25" i="238"/>
  <c r="AJ92" i="238"/>
  <c r="V92" i="238"/>
  <c r="AJ96" i="238"/>
  <c r="AJ98" i="238"/>
  <c r="AL7" i="239"/>
  <c r="T25" i="238"/>
  <c r="AA24" i="238"/>
  <c r="AM24" i="238"/>
  <c r="AG24" i="238"/>
  <c r="E25" i="238"/>
  <c r="M25" i="238"/>
  <c r="Q25" i="238"/>
  <c r="Y25" i="238"/>
  <c r="AC55" i="238"/>
  <c r="AI55" i="238"/>
  <c r="AA54" i="238"/>
  <c r="AA55" i="238"/>
  <c r="G55" i="238"/>
  <c r="AA62" i="238"/>
  <c r="K77" i="238"/>
  <c r="S77" i="238"/>
  <c r="AH77" i="238"/>
  <c r="U77" i="238"/>
  <c r="AE77" i="238"/>
  <c r="O82" i="238"/>
  <c r="AA86" i="238"/>
  <c r="U86" i="238"/>
  <c r="AF92" i="238"/>
  <c r="U91" i="238"/>
  <c r="U92" i="238"/>
  <c r="U100" i="238"/>
  <c r="AG91" i="238"/>
  <c r="Z92" i="238"/>
  <c r="AM98" i="238"/>
  <c r="AL98" i="238"/>
  <c r="AF16" i="239"/>
  <c r="AH22" i="239"/>
  <c r="AH24" i="239"/>
  <c r="AI24" i="239"/>
  <c r="AG33" i="239"/>
  <c r="J25" i="238"/>
  <c r="R25" i="238"/>
  <c r="Z25" i="238"/>
  <c r="AA35" i="238"/>
  <c r="AJ35" i="238"/>
  <c r="E55" i="238"/>
  <c r="I55" i="238"/>
  <c r="Q55" i="238"/>
  <c r="Y55" i="238"/>
  <c r="Y100" i="238"/>
  <c r="E77" i="238"/>
  <c r="Q77" i="238"/>
  <c r="Y77" i="238"/>
  <c r="F77" i="238"/>
  <c r="N77" i="238"/>
  <c r="V77" i="238"/>
  <c r="V100" i="238"/>
  <c r="X86" i="238"/>
  <c r="P92" i="238"/>
  <c r="L91" i="238"/>
  <c r="AD91" i="238"/>
  <c r="AD92" i="238"/>
  <c r="R91" i="238"/>
  <c r="AF7" i="239"/>
  <c r="AI7" i="239"/>
  <c r="AL8" i="239"/>
  <c r="AF12" i="239"/>
  <c r="AI16" i="239"/>
  <c r="AL23" i="239"/>
  <c r="AG20" i="238"/>
  <c r="AD20" i="238"/>
  <c r="F25" i="238"/>
  <c r="AA47" i="238"/>
  <c r="J55" i="238"/>
  <c r="R55" i="238"/>
  <c r="Z55" i="238"/>
  <c r="AE55" i="238"/>
  <c r="AG76" i="238"/>
  <c r="G77" i="238"/>
  <c r="O77" i="238"/>
  <c r="W77" i="238"/>
  <c r="AB77" i="238"/>
  <c r="AB92" i="238"/>
  <c r="AF11" i="239"/>
  <c r="AI36" i="239"/>
  <c r="AF17" i="239"/>
  <c r="AH29" i="239"/>
  <c r="AD31" i="239"/>
  <c r="AJ20" i="238"/>
  <c r="AL25" i="238"/>
  <c r="AJ24" i="238"/>
  <c r="AC25" i="238"/>
  <c r="AH55" i="238"/>
  <c r="AD54" i="238"/>
  <c r="AM54" i="238"/>
  <c r="D77" i="238"/>
  <c r="L77" i="238"/>
  <c r="T77" i="238"/>
  <c r="AC77" i="238"/>
  <c r="Y92" i="238"/>
  <c r="M92" i="238"/>
  <c r="AI92" i="238"/>
  <c r="AD98" i="238"/>
  <c r="AH14" i="239"/>
  <c r="AK19" i="239"/>
  <c r="AC14" i="296"/>
  <c r="Q19" i="296"/>
  <c r="W19" i="296"/>
  <c r="Q36" i="296"/>
  <c r="W9" i="296"/>
  <c r="AB37" i="296"/>
  <c r="Q34" i="296"/>
  <c r="Q29" i="296"/>
  <c r="W35" i="296"/>
  <c r="AC29" i="296"/>
  <c r="W31" i="296"/>
  <c r="W37" i="296"/>
  <c r="Q32" i="296"/>
  <c r="O37" i="296"/>
  <c r="V37" i="296"/>
  <c r="Q9" i="296"/>
  <c r="T19" i="296"/>
  <c r="W24" i="296"/>
  <c r="AC31" i="296"/>
  <c r="AF18" i="237"/>
  <c r="AF27" i="237"/>
  <c r="AF28" i="237"/>
  <c r="AE32" i="237"/>
  <c r="AI36" i="237"/>
  <c r="AI22" i="237"/>
  <c r="AI7" i="237"/>
  <c r="AI8" i="237"/>
  <c r="AL8" i="237"/>
  <c r="AL23" i="237"/>
  <c r="E26" i="236"/>
  <c r="AE26" i="236"/>
  <c r="AD36" i="236"/>
  <c r="AM36" i="236"/>
  <c r="K56" i="236"/>
  <c r="S56" i="236"/>
  <c r="N56" i="236"/>
  <c r="AL56" i="236"/>
  <c r="AD63" i="236"/>
  <c r="AL78" i="236"/>
  <c r="G78" i="236"/>
  <c r="K78" i="236"/>
  <c r="O78" i="236"/>
  <c r="S78" i="236"/>
  <c r="W78" i="236"/>
  <c r="AH78" i="236"/>
  <c r="T93" i="236"/>
  <c r="AD99" i="236"/>
  <c r="AH19" i="237"/>
  <c r="H26" i="236"/>
  <c r="AC26" i="236"/>
  <c r="F26" i="236"/>
  <c r="J26" i="236"/>
  <c r="N26" i="236"/>
  <c r="R26" i="236"/>
  <c r="V26" i="236"/>
  <c r="Z26" i="236"/>
  <c r="AF26" i="236"/>
  <c r="AL26" i="236"/>
  <c r="P56" i="236"/>
  <c r="AI56" i="236"/>
  <c r="AB56" i="236"/>
  <c r="T78" i="236"/>
  <c r="AF36" i="237"/>
  <c r="AL17" i="237"/>
  <c r="AF22" i="237"/>
  <c r="AE24" i="237"/>
  <c r="AD21" i="236"/>
  <c r="AJ21" i="236"/>
  <c r="U26" i="236"/>
  <c r="AC56" i="236"/>
  <c r="D78" i="236"/>
  <c r="L78" i="236"/>
  <c r="I78" i="236"/>
  <c r="AG21" i="236"/>
  <c r="X26" i="236"/>
  <c r="M56" i="236"/>
  <c r="AD72" i="236"/>
  <c r="AD77" i="236"/>
  <c r="AM77" i="236"/>
  <c r="AJ83" i="236"/>
  <c r="AG87" i="236"/>
  <c r="AB93" i="236"/>
  <c r="AI16" i="237"/>
  <c r="AF26" i="237"/>
  <c r="AL36" i="237"/>
  <c r="S26" i="236"/>
  <c r="AG25" i="236"/>
  <c r="AH26" i="236"/>
  <c r="AA36" i="236"/>
  <c r="AJ36" i="236"/>
  <c r="AG36" i="236"/>
  <c r="AM55" i="236"/>
  <c r="D56" i="236"/>
  <c r="H56" i="236"/>
  <c r="L56" i="236"/>
  <c r="T56" i="236"/>
  <c r="X56" i="236"/>
  <c r="AB78" i="236"/>
  <c r="AG83" i="236"/>
  <c r="AM83" i="236"/>
  <c r="AG92" i="236"/>
  <c r="AG93" i="236"/>
  <c r="AA92" i="236"/>
  <c r="Q93" i="236"/>
  <c r="U93" i="236"/>
  <c r="AK93" i="236"/>
  <c r="AM97" i="236"/>
  <c r="AK99" i="236"/>
  <c r="AL7" i="237"/>
  <c r="AD34" i="237"/>
  <c r="AF12" i="237"/>
  <c r="AL13" i="237"/>
  <c r="AI17" i="237"/>
  <c r="AH33" i="237"/>
  <c r="AK29" i="237"/>
  <c r="AK34" i="237"/>
  <c r="AG29" i="237"/>
  <c r="AG16" i="236"/>
  <c r="AA21" i="236"/>
  <c r="AI26" i="236"/>
  <c r="AD48" i="236"/>
  <c r="AA48" i="236"/>
  <c r="AJ48" i="236"/>
  <c r="F56" i="236"/>
  <c r="V56" i="236"/>
  <c r="AJ55" i="236"/>
  <c r="AE56" i="236"/>
  <c r="E78" i="236"/>
  <c r="E101" i="236"/>
  <c r="M78" i="236"/>
  <c r="U78" i="236"/>
  <c r="AE78" i="236"/>
  <c r="AF93" i="236"/>
  <c r="AI13" i="237"/>
  <c r="AD14" i="237"/>
  <c r="AD19" i="237"/>
  <c r="AF23" i="237"/>
  <c r="AI27" i="237"/>
  <c r="AD33" i="237"/>
  <c r="AF33" i="237"/>
  <c r="AF56" i="236"/>
  <c r="AG63" i="236"/>
  <c r="AD78" i="236"/>
  <c r="F78" i="236"/>
  <c r="F101" i="236"/>
  <c r="J78" i="236"/>
  <c r="Z78" i="236"/>
  <c r="AF78" i="236"/>
  <c r="AH93" i="236"/>
  <c r="AF29" i="237"/>
  <c r="AH29" i="237"/>
  <c r="AG34" i="237"/>
  <c r="AK26" i="236"/>
  <c r="K26" i="236"/>
  <c r="AH56" i="236"/>
  <c r="AA63" i="236"/>
  <c r="AM72" i="236"/>
  <c r="R78" i="236"/>
  <c r="AJ87" i="236"/>
  <c r="AC93" i="236"/>
  <c r="AJ97" i="236"/>
  <c r="AF17" i="237"/>
  <c r="AJ24" i="237"/>
  <c r="AE35" i="237"/>
  <c r="AK77" i="263"/>
  <c r="AR13" i="263"/>
  <c r="AR19" i="263"/>
  <c r="AR21" i="263"/>
  <c r="AW18" i="263"/>
  <c r="AJ21" i="263"/>
  <c r="AV36" i="263"/>
  <c r="AQ37" i="263"/>
  <c r="AS34" i="263"/>
  <c r="AX33" i="263"/>
  <c r="AR35" i="263"/>
  <c r="C47" i="263"/>
  <c r="AD51" i="263"/>
  <c r="AH51" i="263"/>
  <c r="AE55" i="263"/>
  <c r="AF55" i="263"/>
  <c r="AD71" i="263"/>
  <c r="AW68" i="263"/>
  <c r="AA75" i="263"/>
  <c r="W77" i="263"/>
  <c r="AE74" i="263"/>
  <c r="AD9" i="263"/>
  <c r="AP11" i="263"/>
  <c r="AE21" i="263"/>
  <c r="AK21" i="263"/>
  <c r="AX32" i="263"/>
  <c r="AT33" i="263"/>
  <c r="AS47" i="263"/>
  <c r="AJ76" i="263"/>
  <c r="AJ77" i="263"/>
  <c r="AI55" i="263"/>
  <c r="AH72" i="263"/>
  <c r="AA76" i="263"/>
  <c r="X77" i="263"/>
  <c r="AS26" i="263"/>
  <c r="AX28" i="263"/>
  <c r="AX30" i="263"/>
  <c r="AP36" i="263"/>
  <c r="AX45" i="263"/>
  <c r="AK55" i="263"/>
  <c r="AP59" i="263"/>
  <c r="AT59" i="263"/>
  <c r="AL64" i="263"/>
  <c r="AT13" i="263"/>
  <c r="AF21" i="263"/>
  <c r="AV51" i="263"/>
  <c r="AA55" i="263"/>
  <c r="AU64" i="263"/>
  <c r="E64" i="263"/>
  <c r="AP63" i="263"/>
  <c r="AE75" i="263"/>
  <c r="T15" i="273"/>
  <c r="AJ15" i="273"/>
  <c r="AB15" i="273"/>
  <c r="W44" i="273"/>
  <c r="P29" i="273"/>
  <c r="X43" i="273"/>
  <c r="X44" i="273"/>
  <c r="AN43" i="273"/>
  <c r="AV43" i="273"/>
  <c r="Q44" i="273"/>
  <c r="V44" i="273"/>
  <c r="AG44" i="273"/>
  <c r="AG130" i="273"/>
  <c r="AQ44" i="273"/>
  <c r="AW44" i="273"/>
  <c r="I83" i="273"/>
  <c r="I130" i="273"/>
  <c r="S83" i="273"/>
  <c r="AC83" i="273"/>
  <c r="AL83" i="273"/>
  <c r="AQ83" i="273"/>
  <c r="P98" i="273"/>
  <c r="T112" i="273"/>
  <c r="T118" i="273"/>
  <c r="AB112" i="273"/>
  <c r="U118" i="273"/>
  <c r="J118" i="273"/>
  <c r="J130" i="273"/>
  <c r="Y118" i="273"/>
  <c r="AM118" i="273"/>
  <c r="AW52" i="263"/>
  <c r="AV53" i="263"/>
  <c r="AM64" i="263"/>
  <c r="AW69" i="263"/>
  <c r="L44" i="273"/>
  <c r="M44" i="273"/>
  <c r="AH44" i="273"/>
  <c r="AB82" i="273"/>
  <c r="E83" i="273"/>
  <c r="E130" i="273"/>
  <c r="AD83" i="273"/>
  <c r="AI83" i="273"/>
  <c r="AS83" i="273"/>
  <c r="L98" i="273"/>
  <c r="AB98" i="273"/>
  <c r="AB117" i="273"/>
  <c r="F118" i="273"/>
  <c r="F130" i="273"/>
  <c r="K118" i="273"/>
  <c r="Q118" i="273"/>
  <c r="Z118" i="273"/>
  <c r="AT118" i="273"/>
  <c r="AS128" i="273"/>
  <c r="AP128" i="273"/>
  <c r="AY128" i="273"/>
  <c r="AR9" i="263"/>
  <c r="AT11" i="263"/>
  <c r="AQ34" i="263"/>
  <c r="AT32" i="263"/>
  <c r="AS35" i="263"/>
  <c r="AS38" i="263"/>
  <c r="AV47" i="263"/>
  <c r="AR51" i="263"/>
  <c r="AT50" i="263"/>
  <c r="C52" i="263"/>
  <c r="AO52" i="263"/>
  <c r="AX62" i="263"/>
  <c r="O44" i="273"/>
  <c r="AB29" i="273"/>
  <c r="T29" i="273"/>
  <c r="T44" i="273"/>
  <c r="N44" i="273"/>
  <c r="Y44" i="273"/>
  <c r="AD44" i="273"/>
  <c r="AY44" i="273"/>
  <c r="L72" i="273"/>
  <c r="AR72" i="273"/>
  <c r="AZ82" i="273"/>
  <c r="L82" i="273"/>
  <c r="AR82" i="273"/>
  <c r="K83" i="273"/>
  <c r="U83" i="273"/>
  <c r="W118" i="273"/>
  <c r="AU118" i="273"/>
  <c r="AU128" i="273"/>
  <c r="AX8" i="263"/>
  <c r="AQ36" i="263"/>
  <c r="AT36" i="263"/>
  <c r="AU30" i="263"/>
  <c r="AU36" i="263"/>
  <c r="AT41" i="263"/>
  <c r="AX46" i="263"/>
  <c r="D51" i="263"/>
  <c r="AV64" i="263"/>
  <c r="F62" i="263"/>
  <c r="AO71" i="263"/>
  <c r="AU69" i="263"/>
  <c r="AP44" i="273"/>
  <c r="H60" i="273"/>
  <c r="AN60" i="273"/>
  <c r="AZ72" i="273"/>
  <c r="AF72" i="273"/>
  <c r="M83" i="273"/>
  <c r="R83" i="273"/>
  <c r="AA83" i="273"/>
  <c r="AK83" i="273"/>
  <c r="AP83" i="273"/>
  <c r="AJ118" i="273"/>
  <c r="L112" i="273"/>
  <c r="AD118" i="273"/>
  <c r="AO118" i="273"/>
  <c r="N118" i="273"/>
  <c r="AH118" i="273"/>
  <c r="AQ118" i="273"/>
  <c r="AW9" i="263"/>
  <c r="AW17" i="263"/>
  <c r="AT24" i="263"/>
  <c r="AW34" i="263"/>
  <c r="AQ35" i="263"/>
  <c r="C43" i="263"/>
  <c r="AP49" i="263"/>
  <c r="AO54" i="263"/>
  <c r="AV52" i="263"/>
  <c r="AO70" i="263"/>
  <c r="AM71" i="263"/>
  <c r="AP62" i="263"/>
  <c r="AS70" i="263"/>
  <c r="D71" i="263"/>
  <c r="D76" i="263"/>
  <c r="J24" i="173"/>
  <c r="AC31" i="237"/>
  <c r="AC37" i="237"/>
  <c r="AD35" i="238"/>
  <c r="AI27" i="239"/>
  <c r="AH33" i="239"/>
  <c r="AI33" i="239"/>
  <c r="K92" i="240"/>
  <c r="S92" i="240"/>
  <c r="AA92" i="240"/>
  <c r="AK9" i="241"/>
  <c r="AK32" i="241"/>
  <c r="K97" i="201"/>
  <c r="K25" i="202"/>
  <c r="H103" i="275"/>
  <c r="F45" i="263"/>
  <c r="F47" i="263"/>
  <c r="E47" i="263"/>
  <c r="AD16" i="236"/>
  <c r="AD26" i="236"/>
  <c r="AJ26" i="236"/>
  <c r="AE9" i="237"/>
  <c r="AE31" i="237"/>
  <c r="AH14" i="237"/>
  <c r="AL12" i="237"/>
  <c r="AJ35" i="237"/>
  <c r="AL35" i="237"/>
  <c r="AK92" i="238"/>
  <c r="AD36" i="239"/>
  <c r="AF36" i="239"/>
  <c r="AF13" i="239"/>
  <c r="AD24" i="239"/>
  <c r="AK24" i="239"/>
  <c r="AK29" i="239"/>
  <c r="AL26" i="239"/>
  <c r="AJ77" i="240"/>
  <c r="AF6" i="241"/>
  <c r="AD31" i="241"/>
  <c r="AD9" i="241"/>
  <c r="AL27" i="241"/>
  <c r="AF9" i="194"/>
  <c r="AF31" i="194"/>
  <c r="AB9" i="194"/>
  <c r="AB32" i="194"/>
  <c r="AJ32" i="194"/>
  <c r="AJ9" i="194"/>
  <c r="D97" i="201"/>
  <c r="D99" i="201"/>
  <c r="L97" i="201"/>
  <c r="AM16" i="236"/>
  <c r="M101" i="236"/>
  <c r="U101" i="236"/>
  <c r="AG31" i="237"/>
  <c r="AI6" i="237"/>
  <c r="AG9" i="237"/>
  <c r="AI11" i="237"/>
  <c r="AG19" i="237"/>
  <c r="AH34" i="237"/>
  <c r="AI34" i="237"/>
  <c r="H25" i="238"/>
  <c r="H100" i="238"/>
  <c r="P25" i="238"/>
  <c r="X25" i="238"/>
  <c r="I77" i="238"/>
  <c r="I100" i="238"/>
  <c r="AF9" i="239"/>
  <c r="AL17" i="239"/>
  <c r="AJ33" i="239"/>
  <c r="AL33" i="239"/>
  <c r="AJ19" i="239"/>
  <c r="AL19" i="239"/>
  <c r="AL18" i="239"/>
  <c r="AE24" i="239"/>
  <c r="AF21" i="239"/>
  <c r="G77" i="240"/>
  <c r="W77" i="240"/>
  <c r="AM76" i="240"/>
  <c r="AK36" i="241"/>
  <c r="AL36" i="241"/>
  <c r="AL13" i="241"/>
  <c r="AL22" i="241"/>
  <c r="AD29" i="241"/>
  <c r="AF29" i="241"/>
  <c r="AF26" i="241"/>
  <c r="S40" i="193"/>
  <c r="AA40" i="193"/>
  <c r="AI40" i="193"/>
  <c r="L99" i="201"/>
  <c r="N20" i="202"/>
  <c r="AQ85" i="274"/>
  <c r="AP26" i="98"/>
  <c r="O56" i="275"/>
  <c r="AW54" i="263"/>
  <c r="AX42" i="263"/>
  <c r="AS64" i="263"/>
  <c r="AT61" i="263"/>
  <c r="AH24" i="237"/>
  <c r="AH31" i="237"/>
  <c r="AV47" i="276"/>
  <c r="AE101" i="236"/>
  <c r="AJ15" i="238"/>
  <c r="AJ25" i="238"/>
  <c r="AD71" i="238"/>
  <c r="AG34" i="239"/>
  <c r="AI34" i="239"/>
  <c r="AG9" i="239"/>
  <c r="AI8" i="239"/>
  <c r="AM21" i="236"/>
  <c r="AG15" i="240"/>
  <c r="AG25" i="240"/>
  <c r="AD25" i="240"/>
  <c r="V25" i="240"/>
  <c r="AG62" i="240"/>
  <c r="AH36" i="241"/>
  <c r="AI36" i="241"/>
  <c r="D70" i="193"/>
  <c r="L70" i="193"/>
  <c r="T70" i="193"/>
  <c r="AB70" i="193"/>
  <c r="AJ70" i="193"/>
  <c r="AF29" i="98"/>
  <c r="AU13" i="263"/>
  <c r="AU18" i="263"/>
  <c r="AX10" i="263"/>
  <c r="AR74" i="263"/>
  <c r="AD70" i="263"/>
  <c r="AD72" i="263"/>
  <c r="AX59" i="263"/>
  <c r="AV71" i="263"/>
  <c r="AV72" i="263"/>
  <c r="AQ55" i="277"/>
  <c r="AQ77" i="277"/>
  <c r="AT43" i="277"/>
  <c r="AT55" i="277"/>
  <c r="K55" i="240"/>
  <c r="K100" i="240"/>
  <c r="BE30" i="277"/>
  <c r="BF30" i="277"/>
  <c r="BE36" i="277"/>
  <c r="BE38" i="277"/>
  <c r="BF28" i="277"/>
  <c r="AG26" i="236"/>
  <c r="AG55" i="236"/>
  <c r="AJ63" i="236"/>
  <c r="N78" i="236"/>
  <c r="N101" i="236"/>
  <c r="AI18" i="237"/>
  <c r="AI19" i="237"/>
  <c r="AG33" i="237"/>
  <c r="AM71" i="238"/>
  <c r="AM77" i="238"/>
  <c r="AG47" i="240"/>
  <c r="BK30" i="274"/>
  <c r="Z100" i="238"/>
  <c r="AG71" i="238"/>
  <c r="AG92" i="238"/>
  <c r="AL16" i="237"/>
  <c r="AJ31" i="237"/>
  <c r="AJ19" i="237"/>
  <c r="AL27" i="237"/>
  <c r="S37" i="296"/>
  <c r="AC35" i="296"/>
  <c r="AM47" i="238"/>
  <c r="AG47" i="238"/>
  <c r="L92" i="238"/>
  <c r="L100" i="238"/>
  <c r="AH31" i="239"/>
  <c r="AI31" i="239"/>
  <c r="AH9" i="239"/>
  <c r="AE32" i="239"/>
  <c r="AA15" i="240"/>
  <c r="AA25" i="240"/>
  <c r="AJ15" i="240"/>
  <c r="AJ25" i="240"/>
  <c r="AM55" i="240"/>
  <c r="R55" i="240"/>
  <c r="Z55" i="240"/>
  <c r="AF77" i="240"/>
  <c r="AG82" i="240"/>
  <c r="AF19" i="241"/>
  <c r="H97" i="201"/>
  <c r="AJ44" i="273"/>
  <c r="V130" i="273"/>
  <c r="AX58" i="263"/>
  <c r="AU70" i="263"/>
  <c r="AX70" i="263"/>
  <c r="AU60" i="263"/>
  <c r="AX60" i="263"/>
  <c r="BD38" i="277"/>
  <c r="N41" i="277"/>
  <c r="K53" i="277"/>
  <c r="K43" i="277"/>
  <c r="BL43" i="277"/>
  <c r="BN43" i="277"/>
  <c r="BL53" i="277"/>
  <c r="BN41" i="277"/>
  <c r="Q69" i="277"/>
  <c r="Q72" i="277"/>
  <c r="R57" i="277"/>
  <c r="Q60" i="277"/>
  <c r="M71" i="277"/>
  <c r="N71" i="277"/>
  <c r="N59" i="277"/>
  <c r="S55" i="240"/>
  <c r="AJ32" i="241"/>
  <c r="AJ9" i="241"/>
  <c r="AL9" i="241"/>
  <c r="AL7" i="241"/>
  <c r="BL19" i="277"/>
  <c r="BL9" i="277"/>
  <c r="AF7" i="237"/>
  <c r="AD9" i="237"/>
  <c r="AD32" i="237"/>
  <c r="AF32" i="237"/>
  <c r="V78" i="236"/>
  <c r="V101" i="236"/>
  <c r="AD15" i="238"/>
  <c r="AA15" i="238"/>
  <c r="AA25" i="238"/>
  <c r="Q100" i="238"/>
  <c r="AJ37" i="194"/>
  <c r="AJ56" i="236"/>
  <c r="AL99" i="236"/>
  <c r="AL101" i="236"/>
  <c r="AK22" i="237"/>
  <c r="AK32" i="237"/>
  <c r="AG24" i="237"/>
  <c r="AI23" i="237"/>
  <c r="R37" i="296"/>
  <c r="D100" i="238"/>
  <c r="AG48" i="236"/>
  <c r="AI21" i="237"/>
  <c r="AF35" i="237"/>
  <c r="AC100" i="238"/>
  <c r="AG62" i="238"/>
  <c r="R86" i="238"/>
  <c r="R92" i="238"/>
  <c r="AG34" i="241"/>
  <c r="AI34" i="241"/>
  <c r="AI8" i="241"/>
  <c r="AJ19" i="241"/>
  <c r="AL16" i="241"/>
  <c r="AJ31" i="241"/>
  <c r="K25" i="193"/>
  <c r="S25" i="193"/>
  <c r="AA25" i="193"/>
  <c r="AI25" i="193"/>
  <c r="AE24" i="274"/>
  <c r="AD8" i="98"/>
  <c r="L30" i="253"/>
  <c r="T30" i="253"/>
  <c r="T8" i="253"/>
  <c r="AW26" i="263"/>
  <c r="AX24" i="263"/>
  <c r="AW36" i="263"/>
  <c r="AX31" i="263"/>
  <c r="AV35" i="263"/>
  <c r="AV34" i="263"/>
  <c r="AN54" i="263"/>
  <c r="AP50" i="263"/>
  <c r="H20" i="277"/>
  <c r="H9" i="277"/>
  <c r="AC19" i="296"/>
  <c r="J92" i="238"/>
  <c r="F25" i="240"/>
  <c r="AM71" i="240"/>
  <c r="L92" i="240"/>
  <c r="L100" i="240"/>
  <c r="AK92" i="240"/>
  <c r="AE9" i="241"/>
  <c r="AE31" i="241"/>
  <c r="AK33" i="241"/>
  <c r="AK24" i="241"/>
  <c r="AK31" i="241"/>
  <c r="AL21" i="241"/>
  <c r="I17" i="304"/>
  <c r="I19" i="304"/>
  <c r="I5" i="304"/>
  <c r="I6" i="304"/>
  <c r="I16" i="304"/>
  <c r="I15" i="304"/>
  <c r="E25" i="193"/>
  <c r="M25" i="193"/>
  <c r="U25" i="193"/>
  <c r="AC25" i="193"/>
  <c r="AK25" i="193"/>
  <c r="F70" i="193"/>
  <c r="N70" i="193"/>
  <c r="AD70" i="193"/>
  <c r="G98" i="193"/>
  <c r="G100" i="193"/>
  <c r="O98" i="193"/>
  <c r="O100" i="193"/>
  <c r="W98" i="193"/>
  <c r="W100" i="193"/>
  <c r="AE98" i="193"/>
  <c r="AE100" i="193"/>
  <c r="AM98" i="193"/>
  <c r="AM100" i="193"/>
  <c r="AG19" i="194"/>
  <c r="AG31" i="194"/>
  <c r="E99" i="201"/>
  <c r="G99" i="201"/>
  <c r="K33" i="202"/>
  <c r="K20" i="202"/>
  <c r="K34" i="202"/>
  <c r="L34" i="202"/>
  <c r="AD25" i="274"/>
  <c r="W34" i="297"/>
  <c r="D102" i="173"/>
  <c r="E70" i="173"/>
  <c r="T35" i="253"/>
  <c r="Y130" i="273"/>
  <c r="X112" i="273"/>
  <c r="AU19" i="263"/>
  <c r="AX7" i="263"/>
  <c r="AX19" i="263"/>
  <c r="AU9" i="263"/>
  <c r="AI75" i="263"/>
  <c r="AI77" i="263"/>
  <c r="AI21" i="263"/>
  <c r="D53" i="263"/>
  <c r="D43" i="263"/>
  <c r="AR43" i="263"/>
  <c r="AP54" i="263"/>
  <c r="AP43" i="263"/>
  <c r="AT49" i="263"/>
  <c r="AQ53" i="263"/>
  <c r="AD55" i="263"/>
  <c r="AR53" i="263"/>
  <c r="AW64" i="263"/>
  <c r="AX64" i="263"/>
  <c r="AX63" i="263"/>
  <c r="AG134" i="276"/>
  <c r="X96" i="276"/>
  <c r="J96" i="276"/>
  <c r="L21" i="277"/>
  <c r="I59" i="248"/>
  <c r="I23" i="248"/>
  <c r="I62" i="248"/>
  <c r="Q59" i="248"/>
  <c r="Q23" i="248"/>
  <c r="Q62" i="248"/>
  <c r="O61" i="248"/>
  <c r="O23" i="248"/>
  <c r="O62" i="248"/>
  <c r="AA16" i="236"/>
  <c r="AA26" i="236"/>
  <c r="AM25" i="236"/>
  <c r="AM26" i="236"/>
  <c r="I26" i="236"/>
  <c r="Q26" i="236"/>
  <c r="Y26" i="236"/>
  <c r="AD55" i="236"/>
  <c r="AD56" i="236"/>
  <c r="G56" i="236"/>
  <c r="O56" i="236"/>
  <c r="O101" i="236"/>
  <c r="W56" i="236"/>
  <c r="W101" i="236"/>
  <c r="AA77" i="236"/>
  <c r="H78" i="236"/>
  <c r="H101" i="236"/>
  <c r="P78" i="236"/>
  <c r="X78" i="236"/>
  <c r="AD87" i="236"/>
  <c r="AD92" i="236"/>
  <c r="P93" i="236"/>
  <c r="X93" i="236"/>
  <c r="AH32" i="237"/>
  <c r="AE34" i="237"/>
  <c r="AF34" i="237"/>
  <c r="AK33" i="237"/>
  <c r="AL33" i="237"/>
  <c r="AK24" i="237"/>
  <c r="AL28" i="237"/>
  <c r="AL34" i="237"/>
  <c r="T32" i="296"/>
  <c r="T37" i="296"/>
  <c r="AC33" i="296"/>
  <c r="AC37" i="296"/>
  <c r="AM20" i="238"/>
  <c r="K25" i="238"/>
  <c r="S25" i="238"/>
  <c r="AA71" i="238"/>
  <c r="AL77" i="238"/>
  <c r="K92" i="238"/>
  <c r="S92" i="238"/>
  <c r="AK98" i="238"/>
  <c r="AL6" i="239"/>
  <c r="AJ32" i="239"/>
  <c r="AK14" i="239"/>
  <c r="AL14" i="239"/>
  <c r="AD14" i="239"/>
  <c r="AD33" i="239"/>
  <c r="AF33" i="239"/>
  <c r="AI21" i="239"/>
  <c r="AI22" i="239"/>
  <c r="AF29" i="239"/>
  <c r="AE31" i="239"/>
  <c r="AE37" i="239"/>
  <c r="AD32" i="239"/>
  <c r="AJ34" i="239"/>
  <c r="AL34" i="239"/>
  <c r="AG35" i="239"/>
  <c r="AI35" i="239"/>
  <c r="AD35" i="240"/>
  <c r="AM62" i="240"/>
  <c r="AD76" i="240"/>
  <c r="AD77" i="240"/>
  <c r="AH9" i="241"/>
  <c r="AF16" i="241"/>
  <c r="AL18" i="241"/>
  <c r="R100" i="193"/>
  <c r="H98" i="193"/>
  <c r="H100" i="193"/>
  <c r="P98" i="193"/>
  <c r="P100" i="193"/>
  <c r="X98" i="193"/>
  <c r="X100" i="193"/>
  <c r="L37" i="229"/>
  <c r="G37" i="229"/>
  <c r="M34" i="202"/>
  <c r="AM24" i="274"/>
  <c r="AL8" i="98"/>
  <c r="AL34" i="98"/>
  <c r="BE100" i="274"/>
  <c r="K33" i="297"/>
  <c r="I103" i="275"/>
  <c r="Z44" i="273"/>
  <c r="Z130" i="273"/>
  <c r="P60" i="273"/>
  <c r="AV60" i="273"/>
  <c r="AF60" i="273"/>
  <c r="AN72" i="273"/>
  <c r="AI118" i="273"/>
  <c r="AL21" i="263"/>
  <c r="AV9" i="263"/>
  <c r="AV19" i="263"/>
  <c r="AV75" i="263"/>
  <c r="AP8" i="263"/>
  <c r="AH21" i="263"/>
  <c r="AH74" i="263"/>
  <c r="Y74" i="263"/>
  <c r="Y77" i="263"/>
  <c r="Y21" i="263"/>
  <c r="AS51" i="263"/>
  <c r="AT48" i="263"/>
  <c r="AQ51" i="263"/>
  <c r="AS68" i="263"/>
  <c r="AT68" i="263"/>
  <c r="AT66" i="263"/>
  <c r="AL72" i="263"/>
  <c r="AS71" i="263"/>
  <c r="BD29" i="276"/>
  <c r="BD47" i="276"/>
  <c r="U47" i="276"/>
  <c r="U134" i="276"/>
  <c r="W134" i="276"/>
  <c r="BH85" i="276"/>
  <c r="P18" i="277"/>
  <c r="M43" i="277"/>
  <c r="M54" i="277"/>
  <c r="M55" i="277"/>
  <c r="BN48" i="277"/>
  <c r="BK52" i="277"/>
  <c r="BF64" i="277"/>
  <c r="AK43" i="284"/>
  <c r="P74" i="284"/>
  <c r="P77" i="284"/>
  <c r="P55" i="284"/>
  <c r="AF13" i="284"/>
  <c r="AF18" i="284"/>
  <c r="AF74" i="284"/>
  <c r="G101" i="236"/>
  <c r="W100" i="238"/>
  <c r="AG72" i="236"/>
  <c r="AL18" i="237"/>
  <c r="N100" i="238"/>
  <c r="AM86" i="238"/>
  <c r="AM92" i="238"/>
  <c r="AL11" i="239"/>
  <c r="AJ29" i="239"/>
  <c r="AL29" i="239"/>
  <c r="AG86" i="240"/>
  <c r="V92" i="240"/>
  <c r="V40" i="193"/>
  <c r="O99" i="201"/>
  <c r="H39" i="201"/>
  <c r="H112" i="273"/>
  <c r="H118" i="273"/>
  <c r="AD76" i="263"/>
  <c r="AT25" i="263"/>
  <c r="AR26" i="263"/>
  <c r="AT26" i="263"/>
  <c r="AR37" i="263"/>
  <c r="AT52" i="263"/>
  <c r="AT47" i="263"/>
  <c r="AI9" i="284"/>
  <c r="AI19" i="284"/>
  <c r="I56" i="236"/>
  <c r="I101" i="236"/>
  <c r="Q56" i="236"/>
  <c r="Q101" i="236"/>
  <c r="Y56" i="236"/>
  <c r="Y101" i="236"/>
  <c r="AM63" i="236"/>
  <c r="AM78" i="236"/>
  <c r="AJ72" i="236"/>
  <c r="AG77" i="236"/>
  <c r="AK78" i="236"/>
  <c r="AK101" i="236"/>
  <c r="AJ92" i="236"/>
  <c r="AJ93" i="236"/>
  <c r="R93" i="236"/>
  <c r="Z93" i="236"/>
  <c r="AI93" i="236"/>
  <c r="AL6" i="237"/>
  <c r="AL9" i="237"/>
  <c r="AF13" i="237"/>
  <c r="AE14" i="237"/>
  <c r="AG32" i="237"/>
  <c r="AG15" i="238"/>
  <c r="AG25" i="238"/>
  <c r="AD47" i="238"/>
  <c r="AD62" i="238"/>
  <c r="AE14" i="239"/>
  <c r="AL21" i="239"/>
  <c r="AJ24" i="239"/>
  <c r="AF26" i="239"/>
  <c r="AJ31" i="239"/>
  <c r="I25" i="240"/>
  <c r="I100" i="240"/>
  <c r="Q25" i="240"/>
  <c r="Q100" i="240"/>
  <c r="Y25" i="240"/>
  <c r="Y100" i="240"/>
  <c r="AA54" i="240"/>
  <c r="AA55" i="240"/>
  <c r="AE55" i="240"/>
  <c r="AE100" i="240"/>
  <c r="P77" i="240"/>
  <c r="O92" i="240"/>
  <c r="AE24" i="241"/>
  <c r="AF24" i="241"/>
  <c r="Z32" i="241"/>
  <c r="X37" i="241"/>
  <c r="Z37" i="241"/>
  <c r="L16" i="304"/>
  <c r="L5" i="304"/>
  <c r="L19" i="304"/>
  <c r="L15" i="304"/>
  <c r="L4" i="304"/>
  <c r="L6" i="304"/>
  <c r="L17" i="304"/>
  <c r="N99" i="201"/>
  <c r="I69" i="201"/>
  <c r="L15" i="202"/>
  <c r="L37" i="202"/>
  <c r="BA25" i="274"/>
  <c r="BJ25" i="274"/>
  <c r="BJ27" i="98"/>
  <c r="BK94" i="274"/>
  <c r="AD100" i="274"/>
  <c r="T100" i="274"/>
  <c r="M32" i="172"/>
  <c r="Q30" i="253"/>
  <c r="J8" i="253"/>
  <c r="AN9" i="263"/>
  <c r="AN19" i="263"/>
  <c r="AW13" i="263"/>
  <c r="AW20" i="263"/>
  <c r="AW21" i="263"/>
  <c r="AC74" i="263"/>
  <c r="AC77" i="263"/>
  <c r="AC21" i="263"/>
  <c r="AM76" i="263"/>
  <c r="AU34" i="263"/>
  <c r="AU47" i="263"/>
  <c r="AX44" i="263"/>
  <c r="AU52" i="263"/>
  <c r="AO53" i="263"/>
  <c r="AP45" i="263"/>
  <c r="AO47" i="263"/>
  <c r="M134" i="276"/>
  <c r="AF47" i="276"/>
  <c r="AJ85" i="276"/>
  <c r="AJ96" i="276"/>
  <c r="BP85" i="276"/>
  <c r="H132" i="276"/>
  <c r="D21" i="277"/>
  <c r="O9" i="277"/>
  <c r="R6" i="277"/>
  <c r="O18" i="277"/>
  <c r="F14" i="277"/>
  <c r="R16" i="277"/>
  <c r="O20" i="277"/>
  <c r="BI17" i="277"/>
  <c r="BJ17" i="277"/>
  <c r="BJ16" i="277"/>
  <c r="Y23" i="248"/>
  <c r="Y62" i="248"/>
  <c r="G23" i="248"/>
  <c r="G62" i="248"/>
  <c r="AJ14" i="237"/>
  <c r="AI25" i="238"/>
  <c r="AI100" i="238"/>
  <c r="AM48" i="236"/>
  <c r="AM56" i="236"/>
  <c r="AF8" i="237"/>
  <c r="Q33" i="296"/>
  <c r="AB100" i="238"/>
  <c r="AG14" i="239"/>
  <c r="AI14" i="239"/>
  <c r="O77" i="240"/>
  <c r="AE32" i="241"/>
  <c r="AF32" i="241"/>
  <c r="AD40" i="193"/>
  <c r="AF14" i="194"/>
  <c r="AC19" i="194"/>
  <c r="AP25" i="274"/>
  <c r="AP102" i="274"/>
  <c r="AR112" i="273"/>
  <c r="AR118" i="273"/>
  <c r="AB118" i="273"/>
  <c r="AP14" i="263"/>
  <c r="AO18" i="263"/>
  <c r="AS17" i="263"/>
  <c r="AT17" i="263"/>
  <c r="AT15" i="263"/>
  <c r="BA132" i="276"/>
  <c r="AL53" i="284"/>
  <c r="AL43" i="284"/>
  <c r="D26" i="236"/>
  <c r="D101" i="236"/>
  <c r="T26" i="236"/>
  <c r="T101" i="236"/>
  <c r="R56" i="236"/>
  <c r="R101" i="236"/>
  <c r="AJ77" i="236"/>
  <c r="AA83" i="236"/>
  <c r="AA93" i="236"/>
  <c r="AM87" i="236"/>
  <c r="AM92" i="236"/>
  <c r="K93" i="236"/>
  <c r="K101" i="236"/>
  <c r="S93" i="236"/>
  <c r="S101" i="236"/>
  <c r="AK31" i="237"/>
  <c r="AJ32" i="237"/>
  <c r="P37" i="296"/>
  <c r="Q37" i="296"/>
  <c r="AD24" i="238"/>
  <c r="AA76" i="238"/>
  <c r="AA77" i="238"/>
  <c r="X82" i="238"/>
  <c r="X91" i="238"/>
  <c r="AF6" i="239"/>
  <c r="AH32" i="239"/>
  <c r="AI32" i="239"/>
  <c r="AG29" i="239"/>
  <c r="AI29" i="239"/>
  <c r="AK31" i="239"/>
  <c r="X37" i="239"/>
  <c r="Z37" i="239"/>
  <c r="AM20" i="240"/>
  <c r="AM25" i="240"/>
  <c r="T100" i="240"/>
  <c r="G55" i="240"/>
  <c r="G100" i="240"/>
  <c r="O55" i="240"/>
  <c r="W55" i="240"/>
  <c r="W100" i="240"/>
  <c r="AF55" i="240"/>
  <c r="AF100" i="240"/>
  <c r="AA71" i="240"/>
  <c r="AA77" i="240"/>
  <c r="AI77" i="240"/>
  <c r="AI100" i="240"/>
  <c r="AE14" i="241"/>
  <c r="AF14" i="241"/>
  <c r="AF21" i="241"/>
  <c r="AL24" i="241"/>
  <c r="E19" i="304"/>
  <c r="E15" i="304"/>
  <c r="E4" i="304"/>
  <c r="E6" i="304"/>
  <c r="E18" i="304"/>
  <c r="E17" i="304"/>
  <c r="M19" i="304"/>
  <c r="M15" i="304"/>
  <c r="M4" i="304"/>
  <c r="M6" i="304"/>
  <c r="M18" i="304"/>
  <c r="AH70" i="193"/>
  <c r="AH100" i="193"/>
  <c r="AB31" i="194"/>
  <c r="AB37" i="194"/>
  <c r="L30" i="202"/>
  <c r="BK62" i="274"/>
  <c r="AI85" i="274"/>
  <c r="N14" i="297"/>
  <c r="AZ29" i="273"/>
  <c r="AZ44" i="273"/>
  <c r="AZ112" i="273"/>
  <c r="AC118" i="273"/>
  <c r="AL118" i="273"/>
  <c r="AS76" i="263"/>
  <c r="AS19" i="263"/>
  <c r="AJ55" i="263"/>
  <c r="AT62" i="263"/>
  <c r="AM68" i="263"/>
  <c r="AP66" i="263"/>
  <c r="BL57" i="276"/>
  <c r="AR96" i="276"/>
  <c r="AS132" i="276"/>
  <c r="E18" i="277"/>
  <c r="BF20" i="277"/>
  <c r="R10" i="277"/>
  <c r="O13" i="277"/>
  <c r="BN30" i="277"/>
  <c r="BK36" i="277"/>
  <c r="BF45" i="277"/>
  <c r="BC53" i="277"/>
  <c r="BC47" i="277"/>
  <c r="BF47" i="277"/>
  <c r="BB55" i="277"/>
  <c r="BJ62" i="277"/>
  <c r="BG64" i="277"/>
  <c r="BG70" i="277"/>
  <c r="AA72" i="236"/>
  <c r="AI35" i="237"/>
  <c r="O86" i="238"/>
  <c r="AK32" i="239"/>
  <c r="E100" i="240"/>
  <c r="AD47" i="240"/>
  <c r="N92" i="240"/>
  <c r="N40" i="193"/>
  <c r="H69" i="201"/>
  <c r="H99" i="201"/>
  <c r="M20" i="202"/>
  <c r="N19" i="297"/>
  <c r="N31" i="297"/>
  <c r="P25" i="275"/>
  <c r="L118" i="273"/>
  <c r="AL76" i="263"/>
  <c r="AR54" i="263"/>
  <c r="AU51" i="263"/>
  <c r="AX48" i="263"/>
  <c r="AK134" i="276"/>
  <c r="BL47" i="276"/>
  <c r="BF48" i="277"/>
  <c r="BC52" i="277"/>
  <c r="BC51" i="277"/>
  <c r="AD53" i="284"/>
  <c r="AD75" i="284"/>
  <c r="AD43" i="284"/>
  <c r="K86" i="267"/>
  <c r="L26" i="236"/>
  <c r="L101" i="236"/>
  <c r="AB26" i="236"/>
  <c r="AB101" i="236"/>
  <c r="J56" i="236"/>
  <c r="J101" i="236"/>
  <c r="Z56" i="236"/>
  <c r="Z101" i="236"/>
  <c r="AA55" i="236"/>
  <c r="AA56" i="236"/>
  <c r="AC78" i="236"/>
  <c r="AC101" i="236"/>
  <c r="AD31" i="237"/>
  <c r="AF6" i="237"/>
  <c r="AG14" i="237"/>
  <c r="AI12" i="237"/>
  <c r="AF21" i="237"/>
  <c r="AF24" i="237"/>
  <c r="AD29" i="237"/>
  <c r="AL26" i="237"/>
  <c r="AI28" i="237"/>
  <c r="AI29" i="237"/>
  <c r="AA37" i="237"/>
  <c r="Z32" i="237"/>
  <c r="Z37" i="237"/>
  <c r="X37" i="237"/>
  <c r="Y32" i="296"/>
  <c r="T29" i="296"/>
  <c r="AM15" i="238"/>
  <c r="AF25" i="238"/>
  <c r="AF100" i="238"/>
  <c r="AE100" i="238"/>
  <c r="AG35" i="238"/>
  <c r="AJ47" i="238"/>
  <c r="AJ55" i="238"/>
  <c r="AJ54" i="238"/>
  <c r="AJ62" i="238"/>
  <c r="AJ77" i="238"/>
  <c r="AA82" i="238"/>
  <c r="AA92" i="238"/>
  <c r="AH92" i="238"/>
  <c r="AH100" i="238"/>
  <c r="Q9" i="239"/>
  <c r="AI6" i="239"/>
  <c r="AF8" i="239"/>
  <c r="AD34" i="239"/>
  <c r="AF34" i="239"/>
  <c r="AA37" i="239"/>
  <c r="S25" i="240"/>
  <c r="AG35" i="240"/>
  <c r="AG55" i="240"/>
  <c r="H55" i="240"/>
  <c r="H100" i="240"/>
  <c r="P55" i="240"/>
  <c r="P100" i="240"/>
  <c r="X55" i="240"/>
  <c r="X100" i="240"/>
  <c r="AG91" i="240"/>
  <c r="AG92" i="240"/>
  <c r="AJ96" i="240"/>
  <c r="AJ98" i="240"/>
  <c r="AF13" i="241"/>
  <c r="AI17" i="241"/>
  <c r="AG19" i="241"/>
  <c r="AI19" i="241"/>
  <c r="AL23" i="241"/>
  <c r="AA37" i="241"/>
  <c r="M16" i="304"/>
  <c r="I18" i="304"/>
  <c r="J100" i="193"/>
  <c r="Z100" i="193"/>
  <c r="L98" i="193"/>
  <c r="AD31" i="194"/>
  <c r="AD37" i="194"/>
  <c r="AL31" i="194"/>
  <c r="AL37" i="194"/>
  <c r="AH24" i="194"/>
  <c r="K69" i="201"/>
  <c r="K99" i="201"/>
  <c r="L32" i="202"/>
  <c r="L10" i="202"/>
  <c r="L35" i="202"/>
  <c r="N33" i="202"/>
  <c r="N37" i="202"/>
  <c r="N25" i="202"/>
  <c r="W24" i="274"/>
  <c r="V8" i="98"/>
  <c r="BO24" i="274"/>
  <c r="BA40" i="274"/>
  <c r="BJ40" i="274"/>
  <c r="BE70" i="274"/>
  <c r="W69" i="274"/>
  <c r="AW29" i="98"/>
  <c r="N32" i="297"/>
  <c r="AC32" i="297"/>
  <c r="AC37" i="297"/>
  <c r="P78" i="275"/>
  <c r="S31" i="253"/>
  <c r="AR15" i="273"/>
  <c r="AR44" i="273"/>
  <c r="AU83" i="273"/>
  <c r="AU130" i="273"/>
  <c r="AW118" i="273"/>
  <c r="AW130" i="273"/>
  <c r="AQ9" i="263"/>
  <c r="AT9" i="263"/>
  <c r="AT7" i="263"/>
  <c r="AO17" i="263"/>
  <c r="AP17" i="263"/>
  <c r="AV37" i="263"/>
  <c r="AV26" i="263"/>
  <c r="AX26" i="263"/>
  <c r="AL53" i="263"/>
  <c r="AL75" i="263"/>
  <c r="AD47" i="263"/>
  <c r="AV54" i="263"/>
  <c r="AV55" i="263"/>
  <c r="AX50" i="263"/>
  <c r="AQ60" i="263"/>
  <c r="AQ69" i="263"/>
  <c r="AQ74" i="263"/>
  <c r="AR70" i="263"/>
  <c r="AR72" i="263"/>
  <c r="AT58" i="263"/>
  <c r="AH64" i="263"/>
  <c r="AN68" i="263"/>
  <c r="AX67" i="263"/>
  <c r="AU68" i="263"/>
  <c r="AX68" i="263"/>
  <c r="AU71" i="263"/>
  <c r="G134" i="276"/>
  <c r="AN47" i="276"/>
  <c r="BC96" i="276"/>
  <c r="BI18" i="277"/>
  <c r="BI13" i="277"/>
  <c r="BJ13" i="277"/>
  <c r="BJ10" i="277"/>
  <c r="BJ18" i="277"/>
  <c r="AB86" i="168"/>
  <c r="F23" i="26"/>
  <c r="F59" i="26"/>
  <c r="F62" i="26"/>
  <c r="U23" i="26"/>
  <c r="U59" i="26"/>
  <c r="L60" i="26"/>
  <c r="L62" i="26"/>
  <c r="L23" i="26"/>
  <c r="K70" i="193"/>
  <c r="S70" i="193"/>
  <c r="AA70" i="193"/>
  <c r="AI70" i="193"/>
  <c r="AE31" i="194"/>
  <c r="AE9" i="194"/>
  <c r="AI9" i="194"/>
  <c r="G37" i="227"/>
  <c r="O37" i="227"/>
  <c r="J37" i="229"/>
  <c r="J69" i="201"/>
  <c r="K15" i="202"/>
  <c r="K37" i="202"/>
  <c r="AN25" i="274"/>
  <c r="AA24" i="274"/>
  <c r="BC25" i="274"/>
  <c r="BN100" i="274"/>
  <c r="AK100" i="274"/>
  <c r="AK102" i="274"/>
  <c r="BD100" i="274"/>
  <c r="I33" i="98"/>
  <c r="Q33" i="98"/>
  <c r="W31" i="297"/>
  <c r="W37" i="297"/>
  <c r="N33" i="297"/>
  <c r="U78" i="275"/>
  <c r="AN29" i="273"/>
  <c r="N130" i="273"/>
  <c r="AI44" i="273"/>
  <c r="H83" i="273"/>
  <c r="AN82" i="273"/>
  <c r="G83" i="273"/>
  <c r="G130" i="273"/>
  <c r="Q83" i="273"/>
  <c r="Q130" i="273"/>
  <c r="AF112" i="273"/>
  <c r="M118" i="273"/>
  <c r="AM19" i="263"/>
  <c r="AP7" i="263"/>
  <c r="AP19" i="263"/>
  <c r="AM9" i="263"/>
  <c r="AT8" i="263"/>
  <c r="AL9" i="263"/>
  <c r="N21" i="263"/>
  <c r="E51" i="263"/>
  <c r="E52" i="263"/>
  <c r="F50" i="263"/>
  <c r="C54" i="263"/>
  <c r="AL51" i="263"/>
  <c r="AS69" i="263"/>
  <c r="AS72" i="263"/>
  <c r="BP15" i="276"/>
  <c r="F134" i="276"/>
  <c r="V134" i="276"/>
  <c r="AB29" i="276"/>
  <c r="K47" i="276"/>
  <c r="BO57" i="276"/>
  <c r="AB96" i="276"/>
  <c r="AB126" i="276"/>
  <c r="BC26" i="277"/>
  <c r="BF26" i="277"/>
  <c r="BF24" i="277"/>
  <c r="BF36" i="277"/>
  <c r="BC36" i="277"/>
  <c r="BC38" i="277"/>
  <c r="BK35" i="277"/>
  <c r="BK34" i="277"/>
  <c r="BN31" i="277"/>
  <c r="BN35" i="277"/>
  <c r="I54" i="277"/>
  <c r="I43" i="277"/>
  <c r="J42" i="277"/>
  <c r="AW55" i="277"/>
  <c r="AX47" i="277"/>
  <c r="AX55" i="277"/>
  <c r="R62" i="277"/>
  <c r="O64" i="277"/>
  <c r="R64" i="277"/>
  <c r="X71" i="27"/>
  <c r="AC11" i="124"/>
  <c r="AC33" i="124"/>
  <c r="AC39" i="124"/>
  <c r="I30" i="291"/>
  <c r="X32" i="296"/>
  <c r="Z32" i="296"/>
  <c r="AA37" i="296"/>
  <c r="J25" i="240"/>
  <c r="J100" i="240"/>
  <c r="R25" i="240"/>
  <c r="Z25" i="240"/>
  <c r="AH25" i="240"/>
  <c r="AJ54" i="240"/>
  <c r="AJ55" i="240"/>
  <c r="AK77" i="240"/>
  <c r="AK100" i="240"/>
  <c r="AJ82" i="240"/>
  <c r="AJ92" i="240"/>
  <c r="AG9" i="241"/>
  <c r="AG31" i="241"/>
  <c r="AI6" i="241"/>
  <c r="AH14" i="241"/>
  <c r="AI14" i="241"/>
  <c r="AD33" i="241"/>
  <c r="AF33" i="241"/>
  <c r="AL29" i="241"/>
  <c r="D25" i="193"/>
  <c r="D100" i="193"/>
  <c r="L25" i="193"/>
  <c r="T25" i="193"/>
  <c r="AB25" i="193"/>
  <c r="AJ25" i="193"/>
  <c r="E70" i="193"/>
  <c r="M70" i="193"/>
  <c r="U70" i="193"/>
  <c r="AC70" i="193"/>
  <c r="AK70" i="193"/>
  <c r="AG34" i="194"/>
  <c r="AA14" i="194"/>
  <c r="AI14" i="194"/>
  <c r="AI31" i="194"/>
  <c r="AI37" i="194"/>
  <c r="M99" i="201"/>
  <c r="K32" i="202"/>
  <c r="K10" i="202"/>
  <c r="K35" i="202"/>
  <c r="T25" i="274"/>
  <c r="T102" i="274"/>
  <c r="AC25" i="274"/>
  <c r="AC102" i="274"/>
  <c r="AL25" i="274"/>
  <c r="AM99" i="274"/>
  <c r="BF100" i="274"/>
  <c r="E31" i="297"/>
  <c r="T9" i="297"/>
  <c r="P37" i="297"/>
  <c r="P15" i="273"/>
  <c r="P44" i="273"/>
  <c r="AN15" i="273"/>
  <c r="AV29" i="273"/>
  <c r="T72" i="273"/>
  <c r="T83" i="273"/>
  <c r="T130" i="273"/>
  <c r="AJ72" i="273"/>
  <c r="P83" i="273"/>
  <c r="AV82" i="273"/>
  <c r="AV83" i="273"/>
  <c r="AZ98" i="273"/>
  <c r="AZ118" i="273"/>
  <c r="AN98" i="273"/>
  <c r="AZ128" i="273"/>
  <c r="AO9" i="263"/>
  <c r="AM13" i="263"/>
  <c r="AP13" i="263"/>
  <c r="AV13" i="263"/>
  <c r="AQ20" i="263"/>
  <c r="AT12" i="263"/>
  <c r="Z21" i="263"/>
  <c r="AP35" i="263"/>
  <c r="E53" i="263"/>
  <c r="E75" i="263"/>
  <c r="E43" i="263"/>
  <c r="AQ54" i="263"/>
  <c r="AT42" i="263"/>
  <c r="AT54" i="263"/>
  <c r="AS53" i="263"/>
  <c r="AR64" i="263"/>
  <c r="F63" i="263"/>
  <c r="AT63" i="263"/>
  <c r="AX69" i="263"/>
  <c r="C75" i="263"/>
  <c r="AB15" i="276"/>
  <c r="BH15" i="276"/>
  <c r="BH47" i="276"/>
  <c r="AS134" i="276"/>
  <c r="AI132" i="276"/>
  <c r="BD126" i="276"/>
  <c r="BD132" i="276"/>
  <c r="BL126" i="276"/>
  <c r="BL132" i="276"/>
  <c r="AJ126" i="276"/>
  <c r="Q132" i="276"/>
  <c r="Q134" i="276"/>
  <c r="Y132" i="276"/>
  <c r="Y134" i="276"/>
  <c r="BK19" i="277"/>
  <c r="BK9" i="277"/>
  <c r="G20" i="277"/>
  <c r="BE20" i="277"/>
  <c r="BE9" i="277"/>
  <c r="G13" i="277"/>
  <c r="Q18" i="277"/>
  <c r="Q55" i="277"/>
  <c r="J69" i="277"/>
  <c r="L64" i="277"/>
  <c r="N64" i="277"/>
  <c r="L69" i="277"/>
  <c r="N61" i="277"/>
  <c r="AH99" i="236"/>
  <c r="AH101" i="236"/>
  <c r="AL11" i="237"/>
  <c r="AF16" i="237"/>
  <c r="AL12" i="239"/>
  <c r="AI13" i="239"/>
  <c r="AI26" i="239"/>
  <c r="F77" i="240"/>
  <c r="N77" i="240"/>
  <c r="N100" i="240"/>
  <c r="V77" i="240"/>
  <c r="AE34" i="241"/>
  <c r="AF34" i="241"/>
  <c r="AJ14" i="241"/>
  <c r="AL11" i="241"/>
  <c r="AK35" i="241"/>
  <c r="AL35" i="241"/>
  <c r="AL12" i="241"/>
  <c r="AK19" i="241"/>
  <c r="AF18" i="241"/>
  <c r="J17" i="304"/>
  <c r="J16" i="304"/>
  <c r="J5" i="304"/>
  <c r="J6" i="304"/>
  <c r="J15" i="304"/>
  <c r="L40" i="193"/>
  <c r="T40" i="193"/>
  <c r="AB40" i="193"/>
  <c r="AJ40" i="193"/>
  <c r="E98" i="193"/>
  <c r="M98" i="193"/>
  <c r="U98" i="193"/>
  <c r="AC98" i="193"/>
  <c r="AK98" i="193"/>
  <c r="AE32" i="194"/>
  <c r="Z37" i="194"/>
  <c r="I37" i="229"/>
  <c r="I39" i="201"/>
  <c r="I97" i="201"/>
  <c r="M32" i="202"/>
  <c r="M10" i="202"/>
  <c r="M35" i="202"/>
  <c r="L20" i="202"/>
  <c r="M33" i="202"/>
  <c r="AO25" i="274"/>
  <c r="BH25" i="274"/>
  <c r="AI69" i="274"/>
  <c r="AE85" i="274"/>
  <c r="V100" i="274"/>
  <c r="AO100" i="274"/>
  <c r="AE32" i="98"/>
  <c r="AO32" i="98"/>
  <c r="H70" i="173"/>
  <c r="H102" i="173"/>
  <c r="E14" i="172"/>
  <c r="M14" i="172"/>
  <c r="F19" i="172"/>
  <c r="E29" i="172"/>
  <c r="M29" i="172"/>
  <c r="N25" i="275"/>
  <c r="N103" i="275"/>
  <c r="O32" i="253"/>
  <c r="P30" i="253"/>
  <c r="AV15" i="273"/>
  <c r="AE44" i="273"/>
  <c r="AB43" i="273"/>
  <c r="AO44" i="273"/>
  <c r="AB60" i="273"/>
  <c r="X82" i="273"/>
  <c r="X83" i="273"/>
  <c r="AM83" i="273"/>
  <c r="AM130" i="273"/>
  <c r="AV117" i="273"/>
  <c r="R118" i="273"/>
  <c r="R130" i="273"/>
  <c r="AA118" i="273"/>
  <c r="AG74" i="263"/>
  <c r="AG77" i="263"/>
  <c r="AG21" i="263"/>
  <c r="AO19" i="263"/>
  <c r="W21" i="263"/>
  <c r="AM38" i="263"/>
  <c r="AX41" i="263"/>
  <c r="AU53" i="263"/>
  <c r="AU43" i="263"/>
  <c r="AM51" i="263"/>
  <c r="AP48" i="263"/>
  <c r="AP51" i="263"/>
  <c r="AB55" i="263"/>
  <c r="AB74" i="263"/>
  <c r="AB77" i="263"/>
  <c r="AM52" i="263"/>
  <c r="AM55" i="263"/>
  <c r="O47" i="276"/>
  <c r="AQ96" i="276"/>
  <c r="AQ134" i="276"/>
  <c r="AB111" i="276"/>
  <c r="L9" i="277"/>
  <c r="F7" i="277"/>
  <c r="C19" i="277"/>
  <c r="BF7" i="277"/>
  <c r="BF19" i="277"/>
  <c r="BC19" i="277"/>
  <c r="BJ8" i="277"/>
  <c r="G9" i="277"/>
  <c r="BF13" i="277"/>
  <c r="D76" i="277"/>
  <c r="R12" i="277"/>
  <c r="BI20" i="277"/>
  <c r="D53" i="277"/>
  <c r="D43" i="277"/>
  <c r="F43" i="277"/>
  <c r="O43" i="277"/>
  <c r="R41" i="277"/>
  <c r="O53" i="277"/>
  <c r="BE43" i="277"/>
  <c r="BE53" i="277"/>
  <c r="AW72" i="277"/>
  <c r="AX60" i="277"/>
  <c r="D64" i="277"/>
  <c r="D69" i="277"/>
  <c r="F61" i="277"/>
  <c r="AJ44" i="27"/>
  <c r="AJ31" i="27"/>
  <c r="O68" i="27"/>
  <c r="O46" i="27"/>
  <c r="W46" i="27"/>
  <c r="W68" i="27"/>
  <c r="W71" i="27"/>
  <c r="AJ46" i="27"/>
  <c r="AI99" i="236"/>
  <c r="AI101" i="236"/>
  <c r="AG71" i="240"/>
  <c r="AG77" i="240"/>
  <c r="R92" i="240"/>
  <c r="Z92" i="240"/>
  <c r="AH92" i="240"/>
  <c r="AK14" i="241"/>
  <c r="AJ33" i="241"/>
  <c r="AL33" i="241"/>
  <c r="K16" i="304"/>
  <c r="K5" i="304"/>
  <c r="K6" i="304"/>
  <c r="K15" i="304"/>
  <c r="M40" i="193"/>
  <c r="U40" i="193"/>
  <c r="AC40" i="193"/>
  <c r="AK40" i="193"/>
  <c r="F98" i="193"/>
  <c r="N98" i="193"/>
  <c r="N100" i="193"/>
  <c r="V98" i="193"/>
  <c r="V100" i="193"/>
  <c r="AD98" i="193"/>
  <c r="AL98" i="193"/>
  <c r="AL100" i="193"/>
  <c r="AF32" i="194"/>
  <c r="AH35" i="194"/>
  <c r="AH37" i="194"/>
  <c r="AH14" i="194"/>
  <c r="AF19" i="194"/>
  <c r="J39" i="201"/>
  <c r="J97" i="201"/>
  <c r="N35" i="202"/>
  <c r="N38" i="202"/>
  <c r="M15" i="202"/>
  <c r="AZ25" i="274"/>
  <c r="BI25" i="274"/>
  <c r="AZ40" i="274"/>
  <c r="BI40" i="274"/>
  <c r="BL70" i="274"/>
  <c r="AJ70" i="274"/>
  <c r="AW34" i="98"/>
  <c r="BE34" i="98"/>
  <c r="AR19" i="98"/>
  <c r="BD29" i="98"/>
  <c r="H19" i="297"/>
  <c r="H32" i="297"/>
  <c r="H37" i="297"/>
  <c r="F14" i="172"/>
  <c r="O25" i="275"/>
  <c r="J103" i="275"/>
  <c r="U93" i="275"/>
  <c r="H31" i="253"/>
  <c r="P33" i="253"/>
  <c r="H32" i="253"/>
  <c r="P32" i="253"/>
  <c r="U44" i="273"/>
  <c r="AO83" i="273"/>
  <c r="S118" i="273"/>
  <c r="AK118" i="273"/>
  <c r="AX128" i="273"/>
  <c r="AP10" i="263"/>
  <c r="AX25" i="263"/>
  <c r="AU37" i="263"/>
  <c r="AU38" i="263"/>
  <c r="AQ38" i="263"/>
  <c r="AP47" i="263"/>
  <c r="AN51" i="263"/>
  <c r="AN55" i="263"/>
  <c r="AO60" i="263"/>
  <c r="AP60" i="263"/>
  <c r="AO69" i="263"/>
  <c r="F58" i="263"/>
  <c r="F60" i="263"/>
  <c r="D60" i="263"/>
  <c r="E60" i="263"/>
  <c r="E71" i="263"/>
  <c r="E76" i="263"/>
  <c r="AX66" i="263"/>
  <c r="F69" i="263"/>
  <c r="D70" i="263"/>
  <c r="AI47" i="276"/>
  <c r="AF73" i="276"/>
  <c r="BP73" i="276"/>
  <c r="O96" i="276"/>
  <c r="S132" i="276"/>
  <c r="S134" i="276"/>
  <c r="F6" i="277"/>
  <c r="BN7" i="277"/>
  <c r="J8" i="277"/>
  <c r="BH20" i="277"/>
  <c r="BH9" i="277"/>
  <c r="BH21" i="277"/>
  <c r="I75" i="277"/>
  <c r="N46" i="277"/>
  <c r="E70" i="277"/>
  <c r="E60" i="277"/>
  <c r="O70" i="277"/>
  <c r="J66" i="277"/>
  <c r="G68" i="277"/>
  <c r="J68" i="277"/>
  <c r="BM69" i="277"/>
  <c r="K92" i="247"/>
  <c r="S92" i="247"/>
  <c r="AA92" i="247"/>
  <c r="AL135" i="283"/>
  <c r="G97" i="283"/>
  <c r="O97" i="283"/>
  <c r="O135" i="283"/>
  <c r="W97" i="283"/>
  <c r="AE97" i="283"/>
  <c r="AM97" i="283"/>
  <c r="F18" i="304"/>
  <c r="N18" i="304"/>
  <c r="BJ7" i="98"/>
  <c r="BD25" i="274"/>
  <c r="BM25" i="274"/>
  <c r="BE40" i="274"/>
  <c r="BN40" i="274"/>
  <c r="BO39" i="274"/>
  <c r="AL70" i="274"/>
  <c r="BD70" i="274"/>
  <c r="BJ26" i="98"/>
  <c r="BK85" i="274"/>
  <c r="BJ28" i="98"/>
  <c r="BK99" i="274"/>
  <c r="AB33" i="98"/>
  <c r="AK33" i="98"/>
  <c r="G32" i="172"/>
  <c r="K19" i="172"/>
  <c r="E33" i="172"/>
  <c r="M33" i="172"/>
  <c r="J29" i="172"/>
  <c r="M30" i="253"/>
  <c r="AA44" i="273"/>
  <c r="AS44" i="273"/>
  <c r="AJ60" i="273"/>
  <c r="AE83" i="273"/>
  <c r="AN112" i="273"/>
  <c r="AF117" i="273"/>
  <c r="AW37" i="263"/>
  <c r="AN74" i="263"/>
  <c r="AH53" i="263"/>
  <c r="AH75" i="263"/>
  <c r="AF77" i="263"/>
  <c r="AO55" i="263"/>
  <c r="AP58" i="263"/>
  <c r="AM70" i="263"/>
  <c r="AW71" i="263"/>
  <c r="AW72" i="263"/>
  <c r="AJ15" i="276"/>
  <c r="AJ47" i="276"/>
  <c r="BP29" i="276"/>
  <c r="BP47" i="276"/>
  <c r="BH50" i="276"/>
  <c r="BH57" i="276"/>
  <c r="BP56" i="276"/>
  <c r="AN95" i="276"/>
  <c r="AH96" i="276"/>
  <c r="BA96" i="276"/>
  <c r="AJ111" i="276"/>
  <c r="BP111" i="276"/>
  <c r="BP132" i="276"/>
  <c r="AV111" i="276"/>
  <c r="AV132" i="276"/>
  <c r="J6" i="277"/>
  <c r="G18" i="277"/>
  <c r="J19" i="277"/>
  <c r="AW21" i="277"/>
  <c r="AW77" i="277"/>
  <c r="BG47" i="277"/>
  <c r="BJ45" i="277"/>
  <c r="J46" i="277"/>
  <c r="G47" i="277"/>
  <c r="J47" i="277"/>
  <c r="BH47" i="277"/>
  <c r="BJ46" i="277"/>
  <c r="M51" i="277"/>
  <c r="N51" i="277"/>
  <c r="N48" i="277"/>
  <c r="R52" i="277"/>
  <c r="E64" i="277"/>
  <c r="BN61" i="277"/>
  <c r="BK64" i="277"/>
  <c r="E59" i="248"/>
  <c r="E23" i="248"/>
  <c r="M59" i="248"/>
  <c r="M23" i="248"/>
  <c r="K135" i="283"/>
  <c r="S135" i="283"/>
  <c r="L97" i="283"/>
  <c r="T97" i="283"/>
  <c r="AB97" i="283"/>
  <c r="AJ97" i="283"/>
  <c r="J133" i="283"/>
  <c r="R133" i="283"/>
  <c r="Z133" i="283"/>
  <c r="AH133" i="283"/>
  <c r="AI35" i="284"/>
  <c r="AI34" i="284"/>
  <c r="M75" i="284"/>
  <c r="M55" i="284"/>
  <c r="K72" i="284"/>
  <c r="K76" i="284"/>
  <c r="K77" i="284"/>
  <c r="L68" i="27"/>
  <c r="L71" i="27"/>
  <c r="L26" i="27"/>
  <c r="T68" i="27"/>
  <c r="T71" i="27"/>
  <c r="T26" i="27"/>
  <c r="AF24" i="27"/>
  <c r="AC69" i="27"/>
  <c r="P19" i="279"/>
  <c r="G20" i="279"/>
  <c r="AD9" i="194"/>
  <c r="AL9" i="194"/>
  <c r="BE25" i="274"/>
  <c r="BN25" i="274"/>
  <c r="BF40" i="274"/>
  <c r="AA85" i="274"/>
  <c r="V28" i="98"/>
  <c r="AG100" i="274"/>
  <c r="W32" i="98"/>
  <c r="AO19" i="98"/>
  <c r="AU33" i="98"/>
  <c r="I29" i="98"/>
  <c r="Q29" i="98"/>
  <c r="H34" i="297"/>
  <c r="AC19" i="297"/>
  <c r="I70" i="173"/>
  <c r="I102" i="173"/>
  <c r="N33" i="253"/>
  <c r="V33" i="253"/>
  <c r="S44" i="273"/>
  <c r="S130" i="273"/>
  <c r="AK44" i="273"/>
  <c r="AK130" i="273"/>
  <c r="AT44" i="273"/>
  <c r="AF82" i="273"/>
  <c r="AF83" i="273"/>
  <c r="W83" i="273"/>
  <c r="W130" i="273"/>
  <c r="X98" i="273"/>
  <c r="X118" i="273"/>
  <c r="AV112" i="273"/>
  <c r="P112" i="273"/>
  <c r="P118" i="273"/>
  <c r="AX118" i="273"/>
  <c r="AD18" i="263"/>
  <c r="AX12" i="263"/>
  <c r="AX20" i="263"/>
  <c r="AX14" i="263"/>
  <c r="AX17" i="263"/>
  <c r="AW53" i="263"/>
  <c r="AW43" i="263"/>
  <c r="F48" i="263"/>
  <c r="C51" i="263"/>
  <c r="AO51" i="263"/>
  <c r="AW51" i="263"/>
  <c r="AP57" i="263"/>
  <c r="BC47" i="276"/>
  <c r="X46" i="276"/>
  <c r="X47" i="276"/>
  <c r="AA47" i="276"/>
  <c r="BK47" i="276"/>
  <c r="BK134" i="276"/>
  <c r="AN85" i="276"/>
  <c r="Z96" i="276"/>
  <c r="AF111" i="276"/>
  <c r="AF132" i="276"/>
  <c r="BH126" i="276"/>
  <c r="BH132" i="276"/>
  <c r="L132" i="276"/>
  <c r="L134" i="276"/>
  <c r="T132" i="276"/>
  <c r="T134" i="276"/>
  <c r="BM132" i="276"/>
  <c r="BM134" i="276"/>
  <c r="BI21" i="277"/>
  <c r="AX9" i="277"/>
  <c r="AX21" i="277"/>
  <c r="BI36" i="277"/>
  <c r="BI75" i="277"/>
  <c r="BI30" i="277"/>
  <c r="BJ30" i="277"/>
  <c r="BL37" i="277"/>
  <c r="G43" i="277"/>
  <c r="J41" i="277"/>
  <c r="G53" i="277"/>
  <c r="BK69" i="277"/>
  <c r="AL75" i="284"/>
  <c r="AE69" i="284"/>
  <c r="AE60" i="284"/>
  <c r="AE72" i="284"/>
  <c r="F4" i="304"/>
  <c r="F6" i="304"/>
  <c r="N4" i="304"/>
  <c r="N6" i="304"/>
  <c r="F15" i="304"/>
  <c r="N15" i="304"/>
  <c r="BJ8" i="98"/>
  <c r="BJ34" i="98"/>
  <c r="BF25" i="274"/>
  <c r="BH40" i="274"/>
  <c r="BJ12" i="98"/>
  <c r="BJ35" i="98"/>
  <c r="BK34" i="274"/>
  <c r="AN70" i="274"/>
  <c r="BF70" i="274"/>
  <c r="BM100" i="274"/>
  <c r="BC94" i="274"/>
  <c r="AM94" i="274"/>
  <c r="AA99" i="274"/>
  <c r="BB100" i="274"/>
  <c r="AR14" i="98"/>
  <c r="AZ14" i="98"/>
  <c r="BI14" i="98"/>
  <c r="E33" i="98"/>
  <c r="M33" i="98"/>
  <c r="U33" i="98"/>
  <c r="AM33" i="98"/>
  <c r="BB27" i="98"/>
  <c r="Z28" i="98"/>
  <c r="Z34" i="98"/>
  <c r="Z33" i="297"/>
  <c r="E39" i="173"/>
  <c r="E102" i="173"/>
  <c r="E100" i="173"/>
  <c r="O31" i="253"/>
  <c r="W33" i="253"/>
  <c r="AF15" i="273"/>
  <c r="AF29" i="273"/>
  <c r="K44" i="273"/>
  <c r="K130" i="273"/>
  <c r="AC44" i="273"/>
  <c r="AL44" i="273"/>
  <c r="AL130" i="273"/>
  <c r="L60" i="273"/>
  <c r="L83" i="273"/>
  <c r="L130" i="273"/>
  <c r="AZ60" i="273"/>
  <c r="AZ83" i="273"/>
  <c r="AR60" i="273"/>
  <c r="AR83" i="273"/>
  <c r="O83" i="273"/>
  <c r="O130" i="273"/>
  <c r="AN117" i="273"/>
  <c r="AN118" i="273"/>
  <c r="AP118" i="273"/>
  <c r="AP130" i="273"/>
  <c r="AY118" i="273"/>
  <c r="AY130" i="273"/>
  <c r="AN121" i="273"/>
  <c r="AN128" i="273"/>
  <c r="AT128" i="273"/>
  <c r="AD75" i="263"/>
  <c r="AH9" i="263"/>
  <c r="AT10" i="263"/>
  <c r="AT18" i="263"/>
  <c r="AP12" i="263"/>
  <c r="AL17" i="263"/>
  <c r="AS18" i="263"/>
  <c r="AN76" i="263"/>
  <c r="AP53" i="263"/>
  <c r="AL52" i="263"/>
  <c r="AL74" i="263"/>
  <c r="AL77" i="263"/>
  <c r="AQ71" i="263"/>
  <c r="AT71" i="263"/>
  <c r="AP64" i="263"/>
  <c r="F66" i="263"/>
  <c r="F68" i="263"/>
  <c r="E68" i="263"/>
  <c r="AN70" i="263"/>
  <c r="AN72" i="263"/>
  <c r="C74" i="263"/>
  <c r="AR15" i="276"/>
  <c r="AR47" i="276"/>
  <c r="AC47" i="276"/>
  <c r="AC134" i="276"/>
  <c r="E47" i="276"/>
  <c r="E134" i="276"/>
  <c r="N47" i="276"/>
  <c r="N134" i="276"/>
  <c r="AU47" i="276"/>
  <c r="AU134" i="276"/>
  <c r="AO134" i="276"/>
  <c r="AF85" i="276"/>
  <c r="P96" i="276"/>
  <c r="P134" i="276"/>
  <c r="AV95" i="276"/>
  <c r="AV96" i="276"/>
  <c r="H96" i="276"/>
  <c r="H134" i="276"/>
  <c r="AY132" i="276"/>
  <c r="BI132" i="276"/>
  <c r="BI134" i="276"/>
  <c r="I18" i="277"/>
  <c r="I9" i="277"/>
  <c r="AT75" i="277"/>
  <c r="BJ19" i="277"/>
  <c r="BC76" i="277"/>
  <c r="BB9" i="277"/>
  <c r="BB21" i="277"/>
  <c r="N13" i="277"/>
  <c r="AX74" i="277"/>
  <c r="AT17" i="277"/>
  <c r="AT21" i="277"/>
  <c r="H18" i="277"/>
  <c r="BB76" i="277"/>
  <c r="BJ28" i="277"/>
  <c r="BG54" i="277"/>
  <c r="BJ42" i="277"/>
  <c r="BG43" i="277"/>
  <c r="BN46" i="277"/>
  <c r="F57" i="277"/>
  <c r="O69" i="277"/>
  <c r="BG71" i="277"/>
  <c r="BJ59" i="277"/>
  <c r="BJ71" i="277"/>
  <c r="BG60" i="277"/>
  <c r="R66" i="277"/>
  <c r="O68" i="277"/>
  <c r="BH68" i="277"/>
  <c r="BJ66" i="277"/>
  <c r="BJ68" i="277"/>
  <c r="R62" i="248"/>
  <c r="AE38" i="284"/>
  <c r="AC40" i="26"/>
  <c r="AC62" i="26"/>
  <c r="AC59" i="26"/>
  <c r="J68" i="27"/>
  <c r="J71" i="27"/>
  <c r="J46" i="27"/>
  <c r="R46" i="27"/>
  <c r="R68" i="27"/>
  <c r="R71" i="27"/>
  <c r="AD68" i="27"/>
  <c r="AD71" i="27"/>
  <c r="AD46" i="27"/>
  <c r="K46" i="27"/>
  <c r="K69" i="27"/>
  <c r="AE46" i="27"/>
  <c r="AE69" i="27"/>
  <c r="AE71" i="27"/>
  <c r="AX31" i="98"/>
  <c r="AF32" i="98"/>
  <c r="AQ32" i="98"/>
  <c r="E34" i="98"/>
  <c r="M34" i="98"/>
  <c r="U34" i="98"/>
  <c r="AC34" i="98"/>
  <c r="AK34" i="98"/>
  <c r="AS34" i="98"/>
  <c r="BA34" i="98"/>
  <c r="AV14" i="98"/>
  <c r="BD14" i="98"/>
  <c r="Y19" i="98"/>
  <c r="AJ19" i="98"/>
  <c r="AT19" i="98"/>
  <c r="BB19" i="98"/>
  <c r="AF33" i="98"/>
  <c r="AV33" i="98"/>
  <c r="BD33" i="98"/>
  <c r="J29" i="98"/>
  <c r="Z26" i="98"/>
  <c r="AH26" i="98"/>
  <c r="AX29" i="98"/>
  <c r="I9" i="172"/>
  <c r="I14" i="172"/>
  <c r="J19" i="172"/>
  <c r="D33" i="172"/>
  <c r="L33" i="172"/>
  <c r="I29" i="172"/>
  <c r="K8" i="253"/>
  <c r="AN38" i="263"/>
  <c r="AW134" i="276"/>
  <c r="AZ73" i="276"/>
  <c r="AZ96" i="276"/>
  <c r="BD85" i="276"/>
  <c r="BD96" i="276"/>
  <c r="R96" i="276"/>
  <c r="AA96" i="276"/>
  <c r="AR111" i="276"/>
  <c r="AR132" i="276"/>
  <c r="J132" i="276"/>
  <c r="J134" i="276"/>
  <c r="R132" i="276"/>
  <c r="Z132" i="276"/>
  <c r="AH132" i="276"/>
  <c r="AP132" i="276"/>
  <c r="AP134" i="276"/>
  <c r="AX132" i="276"/>
  <c r="BF132" i="276"/>
  <c r="BN132" i="276"/>
  <c r="BE19" i="277"/>
  <c r="C20" i="277"/>
  <c r="K20" i="277"/>
  <c r="BM9" i="277"/>
  <c r="BM21" i="277"/>
  <c r="BN10" i="277"/>
  <c r="I17" i="277"/>
  <c r="BN15" i="277"/>
  <c r="BN16" i="277"/>
  <c r="BA76" i="277"/>
  <c r="BA77" i="277"/>
  <c r="BJ24" i="277"/>
  <c r="BG36" i="277"/>
  <c r="BH37" i="277"/>
  <c r="BH38" i="277"/>
  <c r="BG26" i="277"/>
  <c r="BJ26" i="277"/>
  <c r="BG35" i="277"/>
  <c r="E52" i="277"/>
  <c r="E47" i="277"/>
  <c r="BF46" i="277"/>
  <c r="BK54" i="277"/>
  <c r="BN50" i="277"/>
  <c r="BA55" i="277"/>
  <c r="BE54" i="277"/>
  <c r="J57" i="277"/>
  <c r="I60" i="277"/>
  <c r="D70" i="277"/>
  <c r="E71" i="277"/>
  <c r="F71" i="277"/>
  <c r="K70" i="277"/>
  <c r="BN62" i="277"/>
  <c r="BN63" i="277"/>
  <c r="BN71" i="277"/>
  <c r="BK71" i="277"/>
  <c r="AU72" i="277"/>
  <c r="AX64" i="277"/>
  <c r="BK68" i="277"/>
  <c r="BN66" i="277"/>
  <c r="BN68" i="277"/>
  <c r="E135" i="283"/>
  <c r="M135" i="283"/>
  <c r="U135" i="283"/>
  <c r="AG36" i="284"/>
  <c r="AG38" i="284"/>
  <c r="AG26" i="284"/>
  <c r="AL38" i="284"/>
  <c r="AF86" i="168"/>
  <c r="AB23" i="26"/>
  <c r="AB62" i="26"/>
  <c r="AE28" i="26"/>
  <c r="AE37" i="26"/>
  <c r="O20" i="279"/>
  <c r="N31" i="98"/>
  <c r="J33" i="98"/>
  <c r="R33" i="98"/>
  <c r="F24" i="173"/>
  <c r="K31" i="172"/>
  <c r="H32" i="172"/>
  <c r="K14" i="172"/>
  <c r="D19" i="172"/>
  <c r="L19" i="172"/>
  <c r="K29" i="172"/>
  <c r="X21" i="263"/>
  <c r="AS52" i="263"/>
  <c r="AY134" i="276"/>
  <c r="BH73" i="276"/>
  <c r="K96" i="276"/>
  <c r="BN96" i="276"/>
  <c r="BE17" i="277"/>
  <c r="BF17" i="277"/>
  <c r="AT74" i="277"/>
  <c r="BM74" i="277"/>
  <c r="BL36" i="277"/>
  <c r="BL38" i="277"/>
  <c r="BJ33" i="277"/>
  <c r="BJ37" i="277"/>
  <c r="BG37" i="277"/>
  <c r="L53" i="277"/>
  <c r="L43" i="277"/>
  <c r="BH54" i="277"/>
  <c r="R46" i="277"/>
  <c r="O47" i="277"/>
  <c r="BF49" i="277"/>
  <c r="O54" i="277"/>
  <c r="BB60" i="277"/>
  <c r="BB72" i="277"/>
  <c r="BB69" i="277"/>
  <c r="BB74" i="277"/>
  <c r="BB77" i="277"/>
  <c r="G70" i="277"/>
  <c r="J70" i="277"/>
  <c r="P70" i="277"/>
  <c r="R58" i="277"/>
  <c r="P71" i="277"/>
  <c r="BF62" i="277"/>
  <c r="BF70" i="277"/>
  <c r="I72" i="277"/>
  <c r="AY74" i="277"/>
  <c r="AY72" i="277"/>
  <c r="AS72" i="277"/>
  <c r="AS77" i="277"/>
  <c r="T92" i="247"/>
  <c r="AA135" i="283"/>
  <c r="G46" i="283"/>
  <c r="G135" i="283"/>
  <c r="W46" i="283"/>
  <c r="W135" i="283"/>
  <c r="AE46" i="283"/>
  <c r="AM46" i="283"/>
  <c r="AJ19" i="284"/>
  <c r="AJ9" i="284"/>
  <c r="AJ21" i="284"/>
  <c r="AI76" i="284"/>
  <c r="AJ18" i="284"/>
  <c r="AI17" i="284"/>
  <c r="AH30" i="284"/>
  <c r="AH36" i="284"/>
  <c r="AI43" i="284"/>
  <c r="AI55" i="284"/>
  <c r="AI53" i="284"/>
  <c r="AH54" i="284"/>
  <c r="AH76" i="284"/>
  <c r="X55" i="284"/>
  <c r="AC55" i="284"/>
  <c r="AA77" i="284"/>
  <c r="I68" i="27"/>
  <c r="I71" i="27"/>
  <c r="I26" i="27"/>
  <c r="Q71" i="27"/>
  <c r="AF23" i="27"/>
  <c r="AC68" i="27"/>
  <c r="AC26" i="27"/>
  <c r="S127" i="278"/>
  <c r="H32" i="98"/>
  <c r="P32" i="98"/>
  <c r="Y32" i="98"/>
  <c r="AT32" i="98"/>
  <c r="X34" i="98"/>
  <c r="AF34" i="98"/>
  <c r="AN34" i="98"/>
  <c r="AY14" i="98"/>
  <c r="BH14" i="98"/>
  <c r="AW19" i="98"/>
  <c r="S33" i="98"/>
  <c r="AA33" i="98"/>
  <c r="AQ33" i="98"/>
  <c r="AY33" i="98"/>
  <c r="BH33" i="98"/>
  <c r="E29" i="98"/>
  <c r="M29" i="98"/>
  <c r="U29" i="98"/>
  <c r="AC29" i="98"/>
  <c r="AK29" i="98"/>
  <c r="AS29" i="98"/>
  <c r="BA29" i="98"/>
  <c r="Q14" i="297"/>
  <c r="G24" i="173"/>
  <c r="G102" i="173"/>
  <c r="D9" i="172"/>
  <c r="L9" i="172"/>
  <c r="L14" i="172"/>
  <c r="E19" i="172"/>
  <c r="M19" i="172"/>
  <c r="G33" i="172"/>
  <c r="D29" i="172"/>
  <c r="L29" i="172"/>
  <c r="N8" i="253"/>
  <c r="AS60" i="263"/>
  <c r="BA134" i="276"/>
  <c r="BP50" i="276"/>
  <c r="BP57" i="276"/>
  <c r="AF95" i="276"/>
  <c r="BL95" i="276"/>
  <c r="BL96" i="276"/>
  <c r="BF96" i="276"/>
  <c r="BF134" i="276"/>
  <c r="BO96" i="276"/>
  <c r="N6" i="277"/>
  <c r="BM76" i="277"/>
  <c r="AV77" i="277"/>
  <c r="N12" i="277"/>
  <c r="BF14" i="277"/>
  <c r="BF18" i="277"/>
  <c r="BM36" i="277"/>
  <c r="BM75" i="277"/>
  <c r="BM26" i="277"/>
  <c r="BK37" i="277"/>
  <c r="BN25" i="277"/>
  <c r="BN37" i="277"/>
  <c r="BK26" i="277"/>
  <c r="BI35" i="277"/>
  <c r="BI38" i="277"/>
  <c r="BI34" i="277"/>
  <c r="BJ34" i="277"/>
  <c r="F41" i="277"/>
  <c r="C53" i="277"/>
  <c r="BD43" i="277"/>
  <c r="BD53" i="277"/>
  <c r="BD75" i="277"/>
  <c r="BF41" i="277"/>
  <c r="K54" i="277"/>
  <c r="BI54" i="277"/>
  <c r="BI55" i="277"/>
  <c r="BI43" i="277"/>
  <c r="M60" i="277"/>
  <c r="BJ57" i="277"/>
  <c r="BI69" i="277"/>
  <c r="BI72" i="277"/>
  <c r="BI60" i="277"/>
  <c r="AT72" i="277"/>
  <c r="F63" i="277"/>
  <c r="C64" i="277"/>
  <c r="M69" i="277"/>
  <c r="AK75" i="284"/>
  <c r="AG74" i="284"/>
  <c r="AJ52" i="284"/>
  <c r="AJ47" i="284"/>
  <c r="AJ55" i="284"/>
  <c r="AH51" i="284"/>
  <c r="AG51" i="284"/>
  <c r="AI69" i="284"/>
  <c r="AI60" i="284"/>
  <c r="AF44" i="27"/>
  <c r="AF31" i="27"/>
  <c r="G138" i="295"/>
  <c r="G113" i="295"/>
  <c r="C9" i="277"/>
  <c r="K9" i="277"/>
  <c r="BG9" i="277"/>
  <c r="BK13" i="277"/>
  <c r="BN13" i="277"/>
  <c r="G17" i="277"/>
  <c r="J17" i="277"/>
  <c r="O17" i="277"/>
  <c r="R17" i="277"/>
  <c r="C18" i="277"/>
  <c r="K18" i="277"/>
  <c r="AS74" i="277"/>
  <c r="AS75" i="277"/>
  <c r="BN28" i="277"/>
  <c r="P43" i="277"/>
  <c r="P53" i="277"/>
  <c r="C54" i="277"/>
  <c r="F54" i="277"/>
  <c r="L54" i="277"/>
  <c r="L76" i="277"/>
  <c r="Q47" i="277"/>
  <c r="BD52" i="277"/>
  <c r="BD74" i="277"/>
  <c r="BD51" i="277"/>
  <c r="BL69" i="277"/>
  <c r="BL72" i="277"/>
  <c r="BL60" i="277"/>
  <c r="BK70" i="277"/>
  <c r="G71" i="277"/>
  <c r="J71" i="277"/>
  <c r="G60" i="277"/>
  <c r="O71" i="277"/>
  <c r="O60" i="277"/>
  <c r="R63" i="277"/>
  <c r="BF71" i="277"/>
  <c r="AX68" i="277"/>
  <c r="X77" i="277"/>
  <c r="M92" i="247"/>
  <c r="H59" i="248"/>
  <c r="P59" i="248"/>
  <c r="V60" i="248"/>
  <c r="F61" i="248"/>
  <c r="N61" i="248"/>
  <c r="Y61" i="248"/>
  <c r="F46" i="283"/>
  <c r="F135" i="283"/>
  <c r="N46" i="283"/>
  <c r="N135" i="283"/>
  <c r="V46" i="283"/>
  <c r="V135" i="283"/>
  <c r="AD46" i="283"/>
  <c r="AD135" i="283"/>
  <c r="AH56" i="283"/>
  <c r="AE9" i="284"/>
  <c r="AE19" i="284"/>
  <c r="AE75" i="284"/>
  <c r="AD20" i="284"/>
  <c r="AD76" i="284"/>
  <c r="AL20" i="284"/>
  <c r="AL76" i="284"/>
  <c r="AL9" i="284"/>
  <c r="AL21" i="284"/>
  <c r="AE13" i="284"/>
  <c r="AF38" i="284"/>
  <c r="J72" i="284"/>
  <c r="J74" i="284"/>
  <c r="J77" i="284"/>
  <c r="W40" i="26"/>
  <c r="V62" i="26"/>
  <c r="AZ115" i="278"/>
  <c r="E9" i="277"/>
  <c r="M9" i="277"/>
  <c r="BG20" i="277"/>
  <c r="H43" i="277"/>
  <c r="H53" i="277"/>
  <c r="H55" i="277"/>
  <c r="BH53" i="277"/>
  <c r="BH43" i="277"/>
  <c r="BD54" i="277"/>
  <c r="BL54" i="277"/>
  <c r="C47" i="277"/>
  <c r="C52" i="277"/>
  <c r="K47" i="277"/>
  <c r="K52" i="277"/>
  <c r="O51" i="277"/>
  <c r="BN57" i="277"/>
  <c r="N58" i="277"/>
  <c r="BH64" i="277"/>
  <c r="BH70" i="277"/>
  <c r="BH72" i="277"/>
  <c r="AJ36" i="284"/>
  <c r="AF55" i="284"/>
  <c r="O59" i="26"/>
  <c r="O62" i="26"/>
  <c r="O23" i="26"/>
  <c r="L86" i="267"/>
  <c r="F123" i="267"/>
  <c r="N123" i="267"/>
  <c r="BK38" i="278"/>
  <c r="BK127" i="278"/>
  <c r="BN6" i="277"/>
  <c r="J7" i="277"/>
  <c r="R7" i="277"/>
  <c r="F10" i="277"/>
  <c r="N10" i="277"/>
  <c r="AW75" i="277"/>
  <c r="AQ76" i="277"/>
  <c r="AY76" i="277"/>
  <c r="P54" i="277"/>
  <c r="P76" i="277"/>
  <c r="AU55" i="277"/>
  <c r="AU77" i="277"/>
  <c r="D55" i="277"/>
  <c r="L55" i="277"/>
  <c r="BN45" i="277"/>
  <c r="BG52" i="277"/>
  <c r="BG51" i="277"/>
  <c r="BJ51" i="277"/>
  <c r="C60" i="277"/>
  <c r="F60" i="277"/>
  <c r="C69" i="277"/>
  <c r="K60" i="277"/>
  <c r="K69" i="277"/>
  <c r="F58" i="277"/>
  <c r="L70" i="277"/>
  <c r="BN58" i="277"/>
  <c r="J59" i="277"/>
  <c r="R59" i="277"/>
  <c r="AT71" i="277"/>
  <c r="AT76" i="277"/>
  <c r="D68" i="277"/>
  <c r="F68" i="277"/>
  <c r="F67" i="277"/>
  <c r="H92" i="247"/>
  <c r="P92" i="247"/>
  <c r="X92" i="247"/>
  <c r="AH9" i="284"/>
  <c r="AH19" i="284"/>
  <c r="AG20" i="284"/>
  <c r="AG9" i="284"/>
  <c r="AG21" i="284"/>
  <c r="W21" i="284"/>
  <c r="AB21" i="284"/>
  <c r="X75" i="284"/>
  <c r="AK76" i="284"/>
  <c r="AJ37" i="284"/>
  <c r="AJ76" i="284"/>
  <c r="AG54" i="284"/>
  <c r="W55" i="284"/>
  <c r="D55" i="284"/>
  <c r="L77" i="284"/>
  <c r="AI64" i="284"/>
  <c r="M77" i="284"/>
  <c r="H60" i="26"/>
  <c r="H62" i="26"/>
  <c r="K71" i="27"/>
  <c r="Q65" i="295"/>
  <c r="O70" i="295"/>
  <c r="Q70" i="295"/>
  <c r="K23" i="248"/>
  <c r="K62" i="248"/>
  <c r="V59" i="248"/>
  <c r="F60" i="248"/>
  <c r="N60" i="248"/>
  <c r="Y60" i="248"/>
  <c r="I61" i="248"/>
  <c r="Q61" i="248"/>
  <c r="X62" i="248"/>
  <c r="J57" i="248"/>
  <c r="J62" i="248"/>
  <c r="R57" i="248"/>
  <c r="J61" i="248"/>
  <c r="H46" i="283"/>
  <c r="H135" i="283"/>
  <c r="P46" i="283"/>
  <c r="P135" i="283"/>
  <c r="X46" i="283"/>
  <c r="X135" i="283"/>
  <c r="AF46" i="283"/>
  <c r="AF135" i="283"/>
  <c r="AN46" i="283"/>
  <c r="AN135" i="283"/>
  <c r="AJ56" i="283"/>
  <c r="J97" i="283"/>
  <c r="J135" i="283"/>
  <c r="R97" i="283"/>
  <c r="R135" i="283"/>
  <c r="Z97" i="283"/>
  <c r="Z135" i="283"/>
  <c r="AH97" i="283"/>
  <c r="Z77" i="284"/>
  <c r="AH13" i="284"/>
  <c r="Y75" i="284"/>
  <c r="Y76" i="284"/>
  <c r="AG53" i="284"/>
  <c r="AG43" i="284"/>
  <c r="N77" i="284"/>
  <c r="AE52" i="284"/>
  <c r="AD64" i="284"/>
  <c r="AL64" i="284"/>
  <c r="AI68" i="284"/>
  <c r="AE32" i="26"/>
  <c r="R40" i="26"/>
  <c r="AD59" i="26"/>
  <c r="AD40" i="26"/>
  <c r="AD62" i="26"/>
  <c r="T62" i="26"/>
  <c r="AF25" i="27"/>
  <c r="AF70" i="27"/>
  <c r="AC70" i="27"/>
  <c r="P46" i="27"/>
  <c r="AK127" i="278"/>
  <c r="BL67" i="278"/>
  <c r="Q135" i="295"/>
  <c r="Q113" i="295"/>
  <c r="K111" i="295"/>
  <c r="K65" i="295"/>
  <c r="E67" i="295"/>
  <c r="E112" i="295"/>
  <c r="E138" i="295"/>
  <c r="K47" i="295"/>
  <c r="O133" i="295"/>
  <c r="Q62" i="295"/>
  <c r="Q133" i="295"/>
  <c r="O136" i="295"/>
  <c r="O113" i="295"/>
  <c r="V23" i="248"/>
  <c r="V62" i="248"/>
  <c r="D23" i="248"/>
  <c r="D62" i="248"/>
  <c r="L23" i="248"/>
  <c r="L62" i="248"/>
  <c r="K57" i="248"/>
  <c r="I135" i="283"/>
  <c r="Q135" i="283"/>
  <c r="Y135" i="283"/>
  <c r="AG135" i="283"/>
  <c r="L133" i="283"/>
  <c r="T133" i="283"/>
  <c r="AB133" i="283"/>
  <c r="AB135" i="283"/>
  <c r="AJ133" i="283"/>
  <c r="AI13" i="284"/>
  <c r="AI18" i="284"/>
  <c r="AE17" i="284"/>
  <c r="AE76" i="284"/>
  <c r="AH34" i="284"/>
  <c r="AH35" i="284"/>
  <c r="AH38" i="284"/>
  <c r="AH53" i="284"/>
  <c r="AH43" i="284"/>
  <c r="G55" i="284"/>
  <c r="O74" i="284"/>
  <c r="O77" i="284"/>
  <c r="O55" i="284"/>
  <c r="AH60" i="284"/>
  <c r="AG60" i="284"/>
  <c r="M72" i="284"/>
  <c r="AE61" i="26"/>
  <c r="M23" i="26"/>
  <c r="M59" i="26"/>
  <c r="M62" i="26"/>
  <c r="AE60" i="26"/>
  <c r="AE23" i="26"/>
  <c r="X26" i="27"/>
  <c r="AG26" i="27"/>
  <c r="AJ25" i="27"/>
  <c r="AJ26" i="27"/>
  <c r="E127" i="278"/>
  <c r="BI127" i="278"/>
  <c r="P79" i="278"/>
  <c r="M79" i="278"/>
  <c r="M127" i="278"/>
  <c r="BJ41" i="277"/>
  <c r="F42" i="277"/>
  <c r="N42" i="277"/>
  <c r="F59" i="248"/>
  <c r="N59" i="248"/>
  <c r="Y59" i="248"/>
  <c r="I60" i="248"/>
  <c r="Q60" i="248"/>
  <c r="E40" i="248"/>
  <c r="M40" i="248"/>
  <c r="E57" i="248"/>
  <c r="M57" i="248"/>
  <c r="AI46" i="283"/>
  <c r="AI135" i="283"/>
  <c r="AK18" i="284"/>
  <c r="AK74" i="284"/>
  <c r="AH47" i="284"/>
  <c r="AH52" i="284"/>
  <c r="AG47" i="284"/>
  <c r="I55" i="284"/>
  <c r="Q55" i="284"/>
  <c r="C76" i="284"/>
  <c r="C77" i="284"/>
  <c r="AJ69" i="284"/>
  <c r="AI70" i="284"/>
  <c r="X72" i="284"/>
  <c r="AC72" i="284"/>
  <c r="AG70" i="284"/>
  <c r="AE11" i="26"/>
  <c r="Q59" i="26"/>
  <c r="Q62" i="26"/>
  <c r="AJ36" i="27"/>
  <c r="G38" i="278"/>
  <c r="G127" i="278"/>
  <c r="AB52" i="278"/>
  <c r="F79" i="278"/>
  <c r="E113" i="295"/>
  <c r="E135" i="295"/>
  <c r="Z77" i="277"/>
  <c r="AH77" i="277"/>
  <c r="E61" i="248"/>
  <c r="M61" i="248"/>
  <c r="X61" i="248"/>
  <c r="X40" i="248"/>
  <c r="F40" i="248"/>
  <c r="F62" i="248"/>
  <c r="N40" i="248"/>
  <c r="X57" i="248"/>
  <c r="F57" i="248"/>
  <c r="N57" i="248"/>
  <c r="N62" i="248"/>
  <c r="D59" i="248"/>
  <c r="AJ46" i="283"/>
  <c r="AF76" i="284"/>
  <c r="AD74" i="284"/>
  <c r="AL74" i="284"/>
  <c r="AH17" i="284"/>
  <c r="AI36" i="284"/>
  <c r="AK38" i="284"/>
  <c r="AI52" i="284"/>
  <c r="AF60" i="284"/>
  <c r="AF72" i="284"/>
  <c r="AH64" i="284"/>
  <c r="AG64" i="284"/>
  <c r="AH69" i="284"/>
  <c r="U60" i="26"/>
  <c r="Q61" i="26"/>
  <c r="F40" i="26"/>
  <c r="O40" i="26"/>
  <c r="R57" i="26"/>
  <c r="P69" i="27"/>
  <c r="P71" i="27"/>
  <c r="P26" i="27"/>
  <c r="K123" i="267"/>
  <c r="AT115" i="278"/>
  <c r="H23" i="248"/>
  <c r="H62" i="248"/>
  <c r="P23" i="248"/>
  <c r="P62" i="248"/>
  <c r="AH18" i="284"/>
  <c r="AI26" i="284"/>
  <c r="AL34" i="284"/>
  <c r="AD47" i="284"/>
  <c r="AL47" i="284"/>
  <c r="F55" i="284"/>
  <c r="AJ70" i="284"/>
  <c r="AD60" i="284"/>
  <c r="AL60" i="284"/>
  <c r="R59" i="26"/>
  <c r="R62" i="26"/>
  <c r="J60" i="26"/>
  <c r="J62" i="26"/>
  <c r="J23" i="26"/>
  <c r="AE39" i="26"/>
  <c r="T40" i="26"/>
  <c r="AB40" i="26"/>
  <c r="K60" i="26"/>
  <c r="K62" i="26"/>
  <c r="AG71" i="27"/>
  <c r="AI69" i="27"/>
  <c r="AI71" i="27"/>
  <c r="AI46" i="27"/>
  <c r="L123" i="267"/>
  <c r="U127" i="278"/>
  <c r="BD52" i="278"/>
  <c r="L96" i="278"/>
  <c r="AR96" i="278"/>
  <c r="BH109" i="278"/>
  <c r="AC112" i="295"/>
  <c r="K112" i="295"/>
  <c r="K67" i="295"/>
  <c r="K116" i="295"/>
  <c r="K139" i="295"/>
  <c r="K68" i="295"/>
  <c r="K117" i="295"/>
  <c r="K140" i="295"/>
  <c r="K69" i="295"/>
  <c r="W111" i="295"/>
  <c r="BE8" i="281"/>
  <c r="BE9" i="281"/>
  <c r="BA12" i="281"/>
  <c r="AF9" i="284"/>
  <c r="AJ26" i="284"/>
  <c r="AE43" i="284"/>
  <c r="AE55" i="284"/>
  <c r="D72" i="284"/>
  <c r="L72" i="284"/>
  <c r="D59" i="26"/>
  <c r="D62" i="26"/>
  <c r="D23" i="26"/>
  <c r="Q57" i="26"/>
  <c r="V60" i="26"/>
  <c r="S68" i="27"/>
  <c r="S71" i="27"/>
  <c r="S26" i="27"/>
  <c r="X69" i="27"/>
  <c r="AF43" i="27"/>
  <c r="AF36" i="27"/>
  <c r="J135" i="267"/>
  <c r="F86" i="267"/>
  <c r="N86" i="267"/>
  <c r="AT127" i="278"/>
  <c r="X52" i="278"/>
  <c r="BL52" i="278"/>
  <c r="L78" i="278"/>
  <c r="L79" i="278"/>
  <c r="AD139" i="295"/>
  <c r="AF139" i="295"/>
  <c r="AF116" i="295"/>
  <c r="AD26" i="284"/>
  <c r="AL26" i="284"/>
  <c r="O60" i="26"/>
  <c r="M71" i="27"/>
  <c r="W26" i="27"/>
  <c r="O123" i="267"/>
  <c r="O135" i="267"/>
  <c r="BL37" i="278"/>
  <c r="BL38" i="278"/>
  <c r="AJ67" i="278"/>
  <c r="AJ79" i="278"/>
  <c r="E70" i="295"/>
  <c r="L70" i="295"/>
  <c r="Z98" i="295"/>
  <c r="Z115" i="295"/>
  <c r="N98" i="295"/>
  <c r="N121" i="295"/>
  <c r="Y141" i="295"/>
  <c r="Y113" i="295"/>
  <c r="U118" i="295"/>
  <c r="W118" i="295"/>
  <c r="U139" i="295"/>
  <c r="W139" i="295"/>
  <c r="AE26" i="284"/>
  <c r="AD60" i="26"/>
  <c r="T57" i="26"/>
  <c r="N68" i="27"/>
  <c r="N71" i="27"/>
  <c r="N26" i="27"/>
  <c r="V68" i="27"/>
  <c r="V71" i="27"/>
  <c r="V26" i="27"/>
  <c r="M26" i="27"/>
  <c r="I46" i="27"/>
  <c r="Q46" i="27"/>
  <c r="AE127" i="278"/>
  <c r="BJ127" i="278"/>
  <c r="AR67" i="278"/>
  <c r="BH96" i="278"/>
  <c r="W128" i="295"/>
  <c r="E80" i="295"/>
  <c r="K115" i="295"/>
  <c r="O70" i="27"/>
  <c r="W70" i="27"/>
  <c r="AF45" i="27"/>
  <c r="K45" i="267"/>
  <c r="L38" i="278"/>
  <c r="AZ13" i="278"/>
  <c r="AS127" i="278"/>
  <c r="BC38" i="278"/>
  <c r="BC127" i="278"/>
  <c r="BF127" i="278"/>
  <c r="AI79" i="278"/>
  <c r="AI127" i="278"/>
  <c r="BA79" i="278"/>
  <c r="BA127" i="278"/>
  <c r="T67" i="278"/>
  <c r="T79" i="278"/>
  <c r="X78" i="278"/>
  <c r="BD78" i="278"/>
  <c r="AZ78" i="278"/>
  <c r="AB109" i="278"/>
  <c r="AB115" i="278"/>
  <c r="BL109" i="278"/>
  <c r="AN109" i="278"/>
  <c r="AN115" i="278"/>
  <c r="M18" i="279"/>
  <c r="G19" i="279"/>
  <c r="Q19" i="279"/>
  <c r="BI19" i="279"/>
  <c r="BG20" i="279"/>
  <c r="T131" i="295"/>
  <c r="AF66" i="295"/>
  <c r="AD70" i="295"/>
  <c r="AF70" i="295"/>
  <c r="D139" i="295"/>
  <c r="D118" i="295"/>
  <c r="BD21" i="281"/>
  <c r="T38" i="278"/>
  <c r="AB38" i="278"/>
  <c r="AN52" i="278"/>
  <c r="AA79" i="278"/>
  <c r="AA127" i="278"/>
  <c r="BB79" i="278"/>
  <c r="BH67" i="278"/>
  <c r="BH79" i="278"/>
  <c r="AB67" i="278"/>
  <c r="AV96" i="278"/>
  <c r="AX13" i="279"/>
  <c r="E17" i="279"/>
  <c r="P17" i="279"/>
  <c r="BH17" i="279"/>
  <c r="BG36" i="279"/>
  <c r="P37" i="279"/>
  <c r="BH37" i="279"/>
  <c r="E34" i="279"/>
  <c r="Z38" i="279"/>
  <c r="AH38" i="279"/>
  <c r="AT38" i="279"/>
  <c r="BC53" i="279"/>
  <c r="H47" i="279"/>
  <c r="U55" i="279"/>
  <c r="AC55" i="279"/>
  <c r="AK55" i="279"/>
  <c r="AW55" i="279"/>
  <c r="H96" i="266"/>
  <c r="H135" i="266"/>
  <c r="K27" i="233"/>
  <c r="X22" i="271"/>
  <c r="Y100" i="270"/>
  <c r="K70" i="295"/>
  <c r="AF65" i="295"/>
  <c r="S141" i="295"/>
  <c r="AA98" i="302"/>
  <c r="N133" i="267"/>
  <c r="AM38" i="278"/>
  <c r="AM127" i="278"/>
  <c r="BG127" i="278"/>
  <c r="BP37" i="278"/>
  <c r="H52" i="278"/>
  <c r="H79" i="278"/>
  <c r="AC79" i="278"/>
  <c r="AC127" i="278"/>
  <c r="AL79" i="278"/>
  <c r="AL127" i="278"/>
  <c r="AJ96" i="278"/>
  <c r="BD96" i="278"/>
  <c r="AC110" i="295"/>
  <c r="T130" i="295"/>
  <c r="V37" i="295"/>
  <c r="W37" i="295"/>
  <c r="W31" i="295"/>
  <c r="U70" i="295"/>
  <c r="W70" i="295"/>
  <c r="J135" i="295"/>
  <c r="J113" i="295"/>
  <c r="AA128" i="295"/>
  <c r="AF96" i="278"/>
  <c r="BL96" i="278"/>
  <c r="BD109" i="278"/>
  <c r="AV109" i="278"/>
  <c r="AV115" i="278"/>
  <c r="F115" i="278"/>
  <c r="AL115" i="278"/>
  <c r="F14" i="279"/>
  <c r="O17" i="279"/>
  <c r="BG17" i="279"/>
  <c r="BJ15" i="279"/>
  <c r="AX17" i="279"/>
  <c r="U74" i="279"/>
  <c r="AC74" i="279"/>
  <c r="AK74" i="279"/>
  <c r="AW74" i="279"/>
  <c r="W75" i="279"/>
  <c r="AE75" i="279"/>
  <c r="AQ75" i="279"/>
  <c r="AZ75" i="279"/>
  <c r="Y76" i="279"/>
  <c r="Y77" i="279"/>
  <c r="AG76" i="279"/>
  <c r="AG77" i="279"/>
  <c r="AS76" i="279"/>
  <c r="AA37" i="295"/>
  <c r="AC37" i="295"/>
  <c r="N136" i="295"/>
  <c r="C70" i="295"/>
  <c r="M70" i="295"/>
  <c r="Z70" i="295"/>
  <c r="AC85" i="295"/>
  <c r="M136" i="295"/>
  <c r="Z138" i="295"/>
  <c r="O128" i="295"/>
  <c r="X128" i="295"/>
  <c r="L45" i="267"/>
  <c r="AF78" i="278"/>
  <c r="BL78" i="278"/>
  <c r="H96" i="278"/>
  <c r="AF109" i="278"/>
  <c r="L109" i="278"/>
  <c r="L115" i="278"/>
  <c r="L127" i="278"/>
  <c r="AJ109" i="278"/>
  <c r="H109" i="278"/>
  <c r="H115" i="278"/>
  <c r="AP115" i="278"/>
  <c r="L13" i="279"/>
  <c r="X74" i="279"/>
  <c r="X77" i="279"/>
  <c r="AF74" i="279"/>
  <c r="AF77" i="279"/>
  <c r="AR74" i="279"/>
  <c r="AR77" i="279"/>
  <c r="BA74" i="279"/>
  <c r="BA77" i="279"/>
  <c r="Z75" i="279"/>
  <c r="AH75" i="279"/>
  <c r="AT75" i="279"/>
  <c r="I31" i="124"/>
  <c r="AC115" i="295"/>
  <c r="E47" i="295"/>
  <c r="H95" i="295"/>
  <c r="Q103" i="295"/>
  <c r="AA135" i="295"/>
  <c r="AA113" i="295"/>
  <c r="S113" i="295"/>
  <c r="F139" i="295"/>
  <c r="F141" i="295"/>
  <c r="F118" i="295"/>
  <c r="Z137" i="295"/>
  <c r="G25" i="291"/>
  <c r="G16" i="291"/>
  <c r="C16" i="291"/>
  <c r="BA39" i="281"/>
  <c r="BE33" i="281"/>
  <c r="BA34" i="281"/>
  <c r="BI34" i="281"/>
  <c r="BG34" i="281"/>
  <c r="E45" i="267"/>
  <c r="E135" i="267"/>
  <c r="M45" i="267"/>
  <c r="M135" i="267"/>
  <c r="AV27" i="278"/>
  <c r="V115" i="278"/>
  <c r="V127" i="278"/>
  <c r="BB115" i="278"/>
  <c r="M13" i="279"/>
  <c r="N11" i="124"/>
  <c r="AH34" i="124"/>
  <c r="AH39" i="124"/>
  <c r="I16" i="124"/>
  <c r="I37" i="124"/>
  <c r="I70" i="295"/>
  <c r="W101" i="295"/>
  <c r="W116" i="295"/>
  <c r="J103" i="295"/>
  <c r="G135" i="295"/>
  <c r="G141" i="295"/>
  <c r="AA118" i="295"/>
  <c r="AC118" i="295"/>
  <c r="W123" i="295"/>
  <c r="O137" i="295"/>
  <c r="AE133" i="295"/>
  <c r="AF133" i="295"/>
  <c r="O135" i="295"/>
  <c r="AH46" i="27"/>
  <c r="F45" i="267"/>
  <c r="N45" i="267"/>
  <c r="R79" i="278"/>
  <c r="R127" i="278"/>
  <c r="Z79" i="278"/>
  <c r="Z127" i="278"/>
  <c r="AP79" i="278"/>
  <c r="AP127" i="278"/>
  <c r="AX79" i="278"/>
  <c r="AX127" i="278"/>
  <c r="AN78" i="278"/>
  <c r="P96" i="278"/>
  <c r="P115" i="278"/>
  <c r="P127" i="278"/>
  <c r="AR109" i="278"/>
  <c r="AR115" i="278"/>
  <c r="T109" i="278"/>
  <c r="T115" i="278"/>
  <c r="T127" i="278"/>
  <c r="AH115" i="278"/>
  <c r="AH127" i="278"/>
  <c r="BL125" i="278"/>
  <c r="BL126" i="278"/>
  <c r="D19" i="279"/>
  <c r="O19" i="279"/>
  <c r="BG19" i="279"/>
  <c r="D13" i="279"/>
  <c r="BJ10" i="279"/>
  <c r="U37" i="271"/>
  <c r="X39" i="124"/>
  <c r="AC21" i="124"/>
  <c r="N35" i="124"/>
  <c r="AC24" i="295"/>
  <c r="R37" i="295"/>
  <c r="T37" i="295"/>
  <c r="K135" i="295"/>
  <c r="E57" i="295"/>
  <c r="H131" i="295"/>
  <c r="H137" i="295"/>
  <c r="H62" i="295"/>
  <c r="L103" i="295"/>
  <c r="N103" i="295"/>
  <c r="Z103" i="295"/>
  <c r="N123" i="295"/>
  <c r="AA137" i="295"/>
  <c r="AC137" i="295"/>
  <c r="G28" i="292"/>
  <c r="G24" i="292"/>
  <c r="G25" i="292"/>
  <c r="G27" i="292"/>
  <c r="G23" i="292"/>
  <c r="G22" i="292"/>
  <c r="G29" i="292"/>
  <c r="BH30" i="281"/>
  <c r="O9" i="279"/>
  <c r="I20" i="279"/>
  <c r="Q20" i="279"/>
  <c r="AX9" i="279"/>
  <c r="AA76" i="279"/>
  <c r="AI76" i="279"/>
  <c r="AU76" i="279"/>
  <c r="P36" i="279"/>
  <c r="N16" i="124"/>
  <c r="AH26" i="124"/>
  <c r="V39" i="124"/>
  <c r="Z128" i="295"/>
  <c r="AD37" i="295"/>
  <c r="AF37" i="295"/>
  <c r="AF31" i="295"/>
  <c r="T35" i="295"/>
  <c r="K97" i="295"/>
  <c r="E98" i="295"/>
  <c r="E103" i="295"/>
  <c r="AC98" i="295"/>
  <c r="W85" i="295"/>
  <c r="N99" i="295"/>
  <c r="K100" i="295"/>
  <c r="I141" i="295"/>
  <c r="R135" i="295"/>
  <c r="R113" i="295"/>
  <c r="AB141" i="295"/>
  <c r="AC136" i="295"/>
  <c r="Z113" i="295"/>
  <c r="W140" i="295"/>
  <c r="AA123" i="295"/>
  <c r="AC123" i="295"/>
  <c r="Z122" i="295"/>
  <c r="P128" i="295"/>
  <c r="Y128" i="295"/>
  <c r="E131" i="295"/>
  <c r="E137" i="295"/>
  <c r="AE136" i="295"/>
  <c r="AE141" i="295"/>
  <c r="C27" i="292"/>
  <c r="C20" i="279"/>
  <c r="BF12" i="279"/>
  <c r="I17" i="279"/>
  <c r="BF16" i="279"/>
  <c r="AS77" i="279"/>
  <c r="F37" i="271"/>
  <c r="AG39" i="124"/>
  <c r="Z117" i="295"/>
  <c r="T120" i="295"/>
  <c r="Z47" i="295"/>
  <c r="Q123" i="295"/>
  <c r="AA70" i="295"/>
  <c r="Z66" i="295"/>
  <c r="AC95" i="295"/>
  <c r="U113" i="295"/>
  <c r="T138" i="295"/>
  <c r="H118" i="295"/>
  <c r="AD123" i="295"/>
  <c r="AF123" i="295"/>
  <c r="AF120" i="295"/>
  <c r="T137" i="295"/>
  <c r="R123" i="295"/>
  <c r="K132" i="295"/>
  <c r="M30" i="291"/>
  <c r="M34" i="291"/>
  <c r="N35" i="291"/>
  <c r="N36" i="291"/>
  <c r="E23" i="292"/>
  <c r="E25" i="292"/>
  <c r="E27" i="292"/>
  <c r="D50" i="302"/>
  <c r="L19" i="279"/>
  <c r="BD9" i="279"/>
  <c r="D20" i="279"/>
  <c r="BB9" i="279"/>
  <c r="K17" i="279"/>
  <c r="Z74" i="279"/>
  <c r="AH74" i="279"/>
  <c r="AT74" i="279"/>
  <c r="T75" i="279"/>
  <c r="AB75" i="279"/>
  <c r="AJ75" i="279"/>
  <c r="AV75" i="279"/>
  <c r="G30" i="279"/>
  <c r="V38" i="279"/>
  <c r="AD38" i="279"/>
  <c r="AL38" i="279"/>
  <c r="AY38" i="279"/>
  <c r="BG52" i="279"/>
  <c r="E53" i="279"/>
  <c r="P53" i="279"/>
  <c r="BH53" i="279"/>
  <c r="H54" i="279"/>
  <c r="BK54" i="279"/>
  <c r="BB47" i="279"/>
  <c r="Y55" i="279"/>
  <c r="AG55" i="279"/>
  <c r="AS55" i="279"/>
  <c r="AX53" i="279"/>
  <c r="F135" i="266"/>
  <c r="M29" i="233"/>
  <c r="H28" i="233"/>
  <c r="AE77" i="270"/>
  <c r="AB22" i="271"/>
  <c r="AB24" i="271"/>
  <c r="AC100" i="270"/>
  <c r="K39" i="124"/>
  <c r="Y39" i="124"/>
  <c r="W110" i="295"/>
  <c r="AC117" i="295"/>
  <c r="Z130" i="295"/>
  <c r="T132" i="295"/>
  <c r="W29" i="295"/>
  <c r="X37" i="295"/>
  <c r="H66" i="295"/>
  <c r="K57" i="295"/>
  <c r="N131" i="295"/>
  <c r="N137" i="295"/>
  <c r="H132" i="295"/>
  <c r="H138" i="295"/>
  <c r="R70" i="295"/>
  <c r="T70" i="295"/>
  <c r="T64" i="295"/>
  <c r="AB70" i="295"/>
  <c r="H100" i="295"/>
  <c r="H103" i="295"/>
  <c r="AF100" i="295"/>
  <c r="AF103" i="295"/>
  <c r="H90" i="295"/>
  <c r="R103" i="295"/>
  <c r="T103" i="295"/>
  <c r="AB103" i="295"/>
  <c r="AC103" i="295"/>
  <c r="AF136" i="295"/>
  <c r="I118" i="295"/>
  <c r="S118" i="295"/>
  <c r="Y118" i="295"/>
  <c r="AF137" i="295"/>
  <c r="N34" i="291"/>
  <c r="BI48" i="281"/>
  <c r="BJ42" i="281"/>
  <c r="BI43" i="281"/>
  <c r="BN126" i="278"/>
  <c r="BC20" i="279"/>
  <c r="S74" i="279"/>
  <c r="S77" i="279"/>
  <c r="AA74" i="279"/>
  <c r="AA77" i="279"/>
  <c r="AI74" i="279"/>
  <c r="AI77" i="279"/>
  <c r="AU74" i="279"/>
  <c r="AU77" i="279"/>
  <c r="U75" i="279"/>
  <c r="AC75" i="279"/>
  <c r="AK75" i="279"/>
  <c r="AW75" i="279"/>
  <c r="W76" i="279"/>
  <c r="W77" i="279"/>
  <c r="AE76" i="279"/>
  <c r="AE77" i="279"/>
  <c r="AQ76" i="279"/>
  <c r="AQ77" i="279"/>
  <c r="AZ76" i="279"/>
  <c r="AZ77" i="279"/>
  <c r="BC36" i="279"/>
  <c r="L37" i="279"/>
  <c r="BH35" i="279"/>
  <c r="BJ33" i="279"/>
  <c r="AX37" i="279"/>
  <c r="E52" i="279"/>
  <c r="BH52" i="279"/>
  <c r="G53" i="279"/>
  <c r="Q53" i="279"/>
  <c r="N51" i="279"/>
  <c r="BB54" i="279"/>
  <c r="F45" i="266"/>
  <c r="I33" i="124"/>
  <c r="AC34" i="124"/>
  <c r="AC16" i="124"/>
  <c r="L39" i="124"/>
  <c r="Z39" i="124"/>
  <c r="W9" i="295"/>
  <c r="Y37" i="295"/>
  <c r="Z31" i="295"/>
  <c r="Z33" i="295"/>
  <c r="N135" i="295"/>
  <c r="N113" i="295"/>
  <c r="H111" i="295"/>
  <c r="H113" i="295"/>
  <c r="H65" i="295"/>
  <c r="N57" i="295"/>
  <c r="Q131" i="295"/>
  <c r="Q137" i="295"/>
  <c r="Z67" i="295"/>
  <c r="N68" i="295"/>
  <c r="N80" i="295"/>
  <c r="D113" i="295"/>
  <c r="M113" i="295"/>
  <c r="C136" i="295"/>
  <c r="C141" i="295"/>
  <c r="L136" i="295"/>
  <c r="L141" i="295"/>
  <c r="V136" i="295"/>
  <c r="W136" i="295"/>
  <c r="AD138" i="295"/>
  <c r="AF138" i="295"/>
  <c r="AF112" i="295"/>
  <c r="T118" i="295"/>
  <c r="AD118" i="295"/>
  <c r="AF115" i="295"/>
  <c r="K122" i="295"/>
  <c r="M135" i="295"/>
  <c r="C24" i="292"/>
  <c r="C28" i="292"/>
  <c r="BE10" i="281"/>
  <c r="BD11" i="281"/>
  <c r="BE19" i="281"/>
  <c r="BB20" i="281"/>
  <c r="Z76" i="279"/>
  <c r="AH76" i="279"/>
  <c r="AT76" i="279"/>
  <c r="D36" i="279"/>
  <c r="BE26" i="279"/>
  <c r="Y38" i="279"/>
  <c r="AG38" i="279"/>
  <c r="AS38" i="279"/>
  <c r="AX36" i="279"/>
  <c r="I53" i="279"/>
  <c r="BD54" i="279"/>
  <c r="AX43" i="279"/>
  <c r="Q47" i="279"/>
  <c r="BI47" i="279"/>
  <c r="BD51" i="279"/>
  <c r="F51" i="279"/>
  <c r="T55" i="279"/>
  <c r="AB55" i="279"/>
  <c r="AJ55" i="279"/>
  <c r="AV55" i="279"/>
  <c r="AX55" i="279"/>
  <c r="BB53" i="279"/>
  <c r="G96" i="266"/>
  <c r="I27" i="233"/>
  <c r="T27" i="233"/>
  <c r="I19" i="233"/>
  <c r="N33" i="124"/>
  <c r="N39" i="124"/>
  <c r="Z132" i="295"/>
  <c r="H120" i="295"/>
  <c r="H123" i="295"/>
  <c r="Z139" i="295"/>
  <c r="T140" i="295"/>
  <c r="J123" i="295"/>
  <c r="E130" i="295"/>
  <c r="E136" i="295"/>
  <c r="D135" i="295"/>
  <c r="D141" i="295"/>
  <c r="G74" i="302"/>
  <c r="O74" i="302"/>
  <c r="W74" i="302"/>
  <c r="N122" i="302"/>
  <c r="V122" i="302"/>
  <c r="BG20" i="281"/>
  <c r="BI20" i="281"/>
  <c r="T76" i="279"/>
  <c r="AB76" i="279"/>
  <c r="AJ76" i="279"/>
  <c r="AV76" i="279"/>
  <c r="G36" i="279"/>
  <c r="Q36" i="279"/>
  <c r="G37" i="279"/>
  <c r="BB26" i="279"/>
  <c r="K35" i="279"/>
  <c r="BC35" i="279"/>
  <c r="S38" i="279"/>
  <c r="AA38" i="279"/>
  <c r="AI38" i="279"/>
  <c r="AU38" i="279"/>
  <c r="BG54" i="279"/>
  <c r="I47" i="279"/>
  <c r="BG51" i="279"/>
  <c r="V55" i="279"/>
  <c r="AD55" i="279"/>
  <c r="AL55" i="279"/>
  <c r="AY55" i="279"/>
  <c r="E45" i="266"/>
  <c r="I96" i="266"/>
  <c r="L27" i="233"/>
  <c r="Y22" i="271"/>
  <c r="Z100" i="270"/>
  <c r="Z120" i="295"/>
  <c r="Z123" i="295"/>
  <c r="T122" i="295"/>
  <c r="H57" i="295"/>
  <c r="N132" i="295"/>
  <c r="N138" i="295"/>
  <c r="D133" i="295"/>
  <c r="L133" i="295"/>
  <c r="N64" i="295"/>
  <c r="V135" i="295"/>
  <c r="W135" i="295"/>
  <c r="AD135" i="295"/>
  <c r="P136" i="295"/>
  <c r="X136" i="295"/>
  <c r="Z136" i="295"/>
  <c r="AF111" i="295"/>
  <c r="L113" i="295"/>
  <c r="AB113" i="295"/>
  <c r="AE118" i="295"/>
  <c r="V137" i="295"/>
  <c r="W137" i="295"/>
  <c r="E30" i="291"/>
  <c r="E37" i="291"/>
  <c r="L50" i="302"/>
  <c r="T50" i="302"/>
  <c r="BC18" i="281"/>
  <c r="BE18" i="281"/>
  <c r="BD18" i="281"/>
  <c r="U76" i="279"/>
  <c r="AC76" i="279"/>
  <c r="AK76" i="279"/>
  <c r="AW76" i="279"/>
  <c r="R24" i="279"/>
  <c r="BD35" i="279"/>
  <c r="BF33" i="279"/>
  <c r="T38" i="279"/>
  <c r="AB38" i="279"/>
  <c r="AJ38" i="279"/>
  <c r="AV38" i="279"/>
  <c r="BB36" i="279"/>
  <c r="E54" i="279"/>
  <c r="P54" i="279"/>
  <c r="K47" i="279"/>
  <c r="F46" i="279"/>
  <c r="W55" i="279"/>
  <c r="AE55" i="279"/>
  <c r="AQ55" i="279"/>
  <c r="AZ55" i="279"/>
  <c r="AX54" i="279"/>
  <c r="BJ64" i="279"/>
  <c r="G12" i="266"/>
  <c r="G45" i="266"/>
  <c r="G148" i="266"/>
  <c r="C27" i="233"/>
  <c r="M27" i="233"/>
  <c r="P28" i="233"/>
  <c r="AE55" i="270"/>
  <c r="Z22" i="271"/>
  <c r="AA100" i="270"/>
  <c r="Z131" i="295"/>
  <c r="G118" i="295"/>
  <c r="O118" i="295"/>
  <c r="X118" i="295"/>
  <c r="Z118" i="295"/>
  <c r="M137" i="295"/>
  <c r="F16" i="291"/>
  <c r="N38" i="291"/>
  <c r="E22" i="292"/>
  <c r="E24" i="292"/>
  <c r="E26" i="292"/>
  <c r="E28" i="292"/>
  <c r="BC9" i="281"/>
  <c r="BC12" i="281"/>
  <c r="BE37" i="281"/>
  <c r="BC38" i="281"/>
  <c r="BG38" i="281"/>
  <c r="BI38" i="281"/>
  <c r="H27" i="294"/>
  <c r="H23" i="294"/>
  <c r="H26" i="294"/>
  <c r="H22" i="294"/>
  <c r="H24" i="294"/>
  <c r="H21" i="294"/>
  <c r="H25" i="294"/>
  <c r="V76" i="279"/>
  <c r="V77" i="279"/>
  <c r="AD76" i="279"/>
  <c r="AL76" i="279"/>
  <c r="AL77" i="279"/>
  <c r="AY76" i="279"/>
  <c r="AY77" i="279"/>
  <c r="BB30" i="279"/>
  <c r="AX34" i="279"/>
  <c r="M52" i="279"/>
  <c r="O53" i="279"/>
  <c r="BG53" i="279"/>
  <c r="G54" i="279"/>
  <c r="Q54" i="279"/>
  <c r="BI54" i="279"/>
  <c r="BB51" i="279"/>
  <c r="BN64" i="279"/>
  <c r="E135" i="266"/>
  <c r="L29" i="233"/>
  <c r="Q28" i="233"/>
  <c r="AA22" i="271"/>
  <c r="AA24" i="271"/>
  <c r="AB100" i="270"/>
  <c r="H130" i="295"/>
  <c r="F133" i="295"/>
  <c r="N133" i="295"/>
  <c r="H64" i="295"/>
  <c r="P135" i="295"/>
  <c r="P141" i="295"/>
  <c r="X135" i="295"/>
  <c r="AF110" i="295"/>
  <c r="J136" i="295"/>
  <c r="R136" i="295"/>
  <c r="T136" i="295"/>
  <c r="F113" i="295"/>
  <c r="V113" i="295"/>
  <c r="AD113" i="295"/>
  <c r="AF113" i="295"/>
  <c r="P118" i="295"/>
  <c r="V128" i="295"/>
  <c r="AE128" i="295"/>
  <c r="AF128" i="295"/>
  <c r="AF127" i="295"/>
  <c r="M37" i="291"/>
  <c r="C30" i="291"/>
  <c r="C35" i="291"/>
  <c r="P74" i="302"/>
  <c r="BC21" i="281"/>
  <c r="BE15" i="281"/>
  <c r="BD16" i="281"/>
  <c r="BJ35" i="281"/>
  <c r="BF36" i="281"/>
  <c r="BF39" i="281"/>
  <c r="BB38" i="281"/>
  <c r="BH38" i="281"/>
  <c r="E16" i="291"/>
  <c r="D28" i="291"/>
  <c r="D30" i="291"/>
  <c r="BD12" i="281"/>
  <c r="BE6" i="281"/>
  <c r="BD7" i="281"/>
  <c r="BB9" i="281"/>
  <c r="BB39" i="281"/>
  <c r="AF37" i="234"/>
  <c r="G27" i="294"/>
  <c r="G23" i="294"/>
  <c r="G24" i="294"/>
  <c r="G21" i="294"/>
  <c r="G26" i="294"/>
  <c r="AF130" i="295"/>
  <c r="F30" i="291"/>
  <c r="F35" i="291"/>
  <c r="K22" i="292"/>
  <c r="K26" i="292"/>
  <c r="H74" i="302"/>
  <c r="X74" i="302"/>
  <c r="V98" i="302"/>
  <c r="BG21" i="281"/>
  <c r="BF20" i="281"/>
  <c r="BE29" i="281"/>
  <c r="BB29" i="281"/>
  <c r="BA29" i="281"/>
  <c r="J26" i="294"/>
  <c r="J22" i="294"/>
  <c r="J25" i="294"/>
  <c r="J21" i="294"/>
  <c r="J23" i="294"/>
  <c r="J24" i="294"/>
  <c r="G22" i="294"/>
  <c r="J27" i="294"/>
  <c r="K36" i="291"/>
  <c r="L28" i="292"/>
  <c r="L26" i="292"/>
  <c r="L24" i="292"/>
  <c r="L22" i="292"/>
  <c r="AL31" i="242"/>
  <c r="AP9" i="242"/>
  <c r="AU9" i="242"/>
  <c r="BD31" i="242"/>
  <c r="BB48" i="281"/>
  <c r="BG48" i="281"/>
  <c r="D14" i="292"/>
  <c r="D25" i="292"/>
  <c r="M28" i="292"/>
  <c r="M26" i="292"/>
  <c r="M24" i="292"/>
  <c r="M22" i="292"/>
  <c r="C50" i="302"/>
  <c r="K50" i="302"/>
  <c r="S50" i="302"/>
  <c r="AU29" i="242"/>
  <c r="BI30" i="281"/>
  <c r="BJ24" i="281"/>
  <c r="BI25" i="281"/>
  <c r="AU37" i="234"/>
  <c r="J30" i="291"/>
  <c r="J35" i="291"/>
  <c r="N33" i="291"/>
  <c r="N39" i="291"/>
  <c r="F14" i="292"/>
  <c r="F27" i="292"/>
  <c r="J22" i="292"/>
  <c r="N23" i="292"/>
  <c r="J24" i="292"/>
  <c r="N25" i="292"/>
  <c r="J26" i="292"/>
  <c r="N27" i="292"/>
  <c r="J28" i="292"/>
  <c r="G26" i="302"/>
  <c r="O26" i="302"/>
  <c r="W26" i="302"/>
  <c r="O98" i="302"/>
  <c r="W98" i="302"/>
  <c r="AA97" i="302"/>
  <c r="H122" i="302"/>
  <c r="P122" i="302"/>
  <c r="X122" i="302"/>
  <c r="AN31" i="242"/>
  <c r="AV31" i="242"/>
  <c r="AZ9" i="242"/>
  <c r="BD9" i="281"/>
  <c r="BG9" i="281"/>
  <c r="BG11" i="281"/>
  <c r="BJ17" i="281"/>
  <c r="BG18" i="281"/>
  <c r="BB30" i="281"/>
  <c r="BJ28" i="281"/>
  <c r="BF29" i="281"/>
  <c r="BC39" i="281"/>
  <c r="E36" i="243"/>
  <c r="AK29" i="234"/>
  <c r="L34" i="291"/>
  <c r="L39" i="291"/>
  <c r="L36" i="291"/>
  <c r="H23" i="292"/>
  <c r="H25" i="292"/>
  <c r="AA50" i="302"/>
  <c r="Z122" i="302"/>
  <c r="BE9" i="242"/>
  <c r="BE31" i="242"/>
  <c r="BH31" i="242"/>
  <c r="BF34" i="281"/>
  <c r="BF38" i="281"/>
  <c r="G36" i="243"/>
  <c r="AS29" i="234"/>
  <c r="I23" i="292"/>
  <c r="I25" i="292"/>
  <c r="J74" i="302"/>
  <c r="R74" i="302"/>
  <c r="Z74" i="302"/>
  <c r="BH9" i="281"/>
  <c r="BA18" i="281"/>
  <c r="BI21" i="281"/>
  <c r="AG14" i="234"/>
  <c r="AG32" i="234"/>
  <c r="AG37" i="234"/>
  <c r="AS35" i="234"/>
  <c r="AS14" i="234"/>
  <c r="I28" i="294"/>
  <c r="N22" i="292"/>
  <c r="J23" i="292"/>
  <c r="N24" i="292"/>
  <c r="J25" i="292"/>
  <c r="N26" i="292"/>
  <c r="C26" i="302"/>
  <c r="K26" i="302"/>
  <c r="S26" i="302"/>
  <c r="AA113" i="302"/>
  <c r="AA122" i="302"/>
  <c r="AR31" i="242"/>
  <c r="BJ19" i="242"/>
  <c r="AU19" i="242"/>
  <c r="BH12" i="281"/>
  <c r="BB21" i="281"/>
  <c r="BB18" i="281"/>
  <c r="AO37" i="234"/>
  <c r="AK19" i="234"/>
  <c r="AK33" i="234"/>
  <c r="BB12" i="281"/>
  <c r="BH21" i="281"/>
  <c r="BA30" i="281"/>
  <c r="BE24" i="281"/>
  <c r="BD25" i="281"/>
  <c r="BD34" i="281"/>
  <c r="BD39" i="281"/>
  <c r="BA48" i="281"/>
  <c r="BE42" i="281"/>
  <c r="BF47" i="281"/>
  <c r="AK34" i="234"/>
  <c r="AK9" i="234"/>
  <c r="AO14" i="234"/>
  <c r="AE37" i="234"/>
  <c r="AN37" i="234"/>
  <c r="E30" i="293"/>
  <c r="E37" i="293"/>
  <c r="K25" i="294"/>
  <c r="K21" i="294"/>
  <c r="K26" i="294"/>
  <c r="K22" i="294"/>
  <c r="BF11" i="281"/>
  <c r="BC30" i="281"/>
  <c r="BG39" i="281"/>
  <c r="BC48" i="281"/>
  <c r="I30" i="243"/>
  <c r="I36" i="243"/>
  <c r="AW14" i="234"/>
  <c r="AH37" i="234"/>
  <c r="BD30" i="281"/>
  <c r="BH39" i="281"/>
  <c r="BD48" i="281"/>
  <c r="J36" i="243"/>
  <c r="AK32" i="234"/>
  <c r="BJ6" i="281"/>
  <c r="BH7" i="281"/>
  <c r="BJ15" i="281"/>
  <c r="BG16" i="281"/>
  <c r="BJ26" i="281"/>
  <c r="BI27" i="281"/>
  <c r="BA27" i="281"/>
  <c r="BC29" i="281"/>
  <c r="BI39" i="281"/>
  <c r="BA36" i="281"/>
  <c r="BJ44" i="281"/>
  <c r="BF45" i="281"/>
  <c r="BE46" i="281"/>
  <c r="BD47" i="281"/>
  <c r="BF48" i="281"/>
  <c r="BF51" i="281"/>
  <c r="C36" i="243"/>
  <c r="K36" i="243"/>
  <c r="AW33" i="234"/>
  <c r="AW37" i="234"/>
  <c r="H19" i="47"/>
  <c r="H29" i="47"/>
  <c r="P40" i="47"/>
  <c r="E21" i="294"/>
  <c r="C22" i="294"/>
  <c r="E25" i="294"/>
  <c r="C26" i="294"/>
  <c r="F202" i="287"/>
  <c r="F23" i="294"/>
  <c r="D24" i="294"/>
  <c r="L24" i="294"/>
  <c r="F27" i="294"/>
  <c r="C21" i="294"/>
  <c r="C28" i="294"/>
  <c r="D21" i="294"/>
  <c r="L21" i="294"/>
  <c r="F194" i="287"/>
  <c r="AI15" i="274"/>
  <c r="BF8" i="98"/>
  <c r="BF34" i="98"/>
  <c r="Z7" i="98"/>
  <c r="AH7" i="98"/>
  <c r="AE50" i="274"/>
  <c r="AH27" i="98"/>
  <c r="BF27" i="98"/>
  <c r="AA94" i="274"/>
  <c r="AA100" i="274"/>
  <c r="F9" i="172"/>
  <c r="AX47" i="276"/>
  <c r="AX134" i="276"/>
  <c r="I135" i="266"/>
  <c r="I148" i="266"/>
  <c r="O32" i="282"/>
  <c r="Q9" i="279"/>
  <c r="H13" i="279"/>
  <c r="J13" i="279"/>
  <c r="U21" i="279"/>
  <c r="Y21" i="279"/>
  <c r="AC21" i="279"/>
  <c r="AG21" i="279"/>
  <c r="AK21" i="279"/>
  <c r="AS21" i="279"/>
  <c r="AW21" i="279"/>
  <c r="BA21" i="279"/>
  <c r="D35" i="279"/>
  <c r="BB38" i="279"/>
  <c r="E9" i="279"/>
  <c r="F10" i="279"/>
  <c r="BC17" i="279"/>
  <c r="R16" i="279"/>
  <c r="AX19" i="279"/>
  <c r="BB19" i="279"/>
  <c r="AX20" i="279"/>
  <c r="AX76" i="279"/>
  <c r="BB20" i="279"/>
  <c r="BB76" i="279"/>
  <c r="V21" i="279"/>
  <c r="Z21" i="279"/>
  <c r="AD21" i="279"/>
  <c r="AH21" i="279"/>
  <c r="AL21" i="279"/>
  <c r="AT21" i="279"/>
  <c r="J24" i="279"/>
  <c r="N24" i="279"/>
  <c r="P35" i="279"/>
  <c r="I9" i="279"/>
  <c r="BD19" i="279"/>
  <c r="S21" i="279"/>
  <c r="W21" i="279"/>
  <c r="AA21" i="279"/>
  <c r="AE21" i="279"/>
  <c r="AI21" i="279"/>
  <c r="AQ21" i="279"/>
  <c r="AU21" i="279"/>
  <c r="AY21" i="279"/>
  <c r="BG37" i="279"/>
  <c r="BG76" i="279"/>
  <c r="L35" i="279"/>
  <c r="N27" i="279"/>
  <c r="G9" i="279"/>
  <c r="M9" i="279"/>
  <c r="E13" i="279"/>
  <c r="BH18" i="279"/>
  <c r="N12" i="279"/>
  <c r="J16" i="279"/>
  <c r="Z77" i="279"/>
  <c r="AD77" i="279"/>
  <c r="AH77" i="279"/>
  <c r="AX18" i="279"/>
  <c r="BB18" i="279"/>
  <c r="T21" i="279"/>
  <c r="X21" i="279"/>
  <c r="AB21" i="279"/>
  <c r="AF21" i="279"/>
  <c r="AJ21" i="279"/>
  <c r="AR21" i="279"/>
  <c r="AV21" i="279"/>
  <c r="AZ21" i="279"/>
  <c r="I30" i="279"/>
  <c r="N31" i="279"/>
  <c r="P34" i="279"/>
  <c r="BF31" i="279"/>
  <c r="J32" i="279"/>
  <c r="AX35" i="279"/>
  <c r="BB35" i="279"/>
  <c r="R45" i="279"/>
  <c r="BJ45" i="279"/>
  <c r="N46" i="279"/>
  <c r="BF46" i="279"/>
  <c r="AX52" i="279"/>
  <c r="BB52" i="279"/>
  <c r="F28" i="279"/>
  <c r="BG30" i="279"/>
  <c r="N29" i="279"/>
  <c r="BF29" i="279"/>
  <c r="F32" i="279"/>
  <c r="R33" i="279"/>
  <c r="F29" i="279"/>
  <c r="BG34" i="279"/>
  <c r="BF50" i="279"/>
  <c r="AC22" i="271"/>
  <c r="AC24" i="271"/>
  <c r="AD100" i="270"/>
  <c r="N70" i="173"/>
  <c r="D25" i="270"/>
  <c r="H25" i="270"/>
  <c r="L25" i="270"/>
  <c r="P25" i="270"/>
  <c r="T25" i="270"/>
  <c r="X25" i="270"/>
  <c r="F55" i="270"/>
  <c r="J55" i="270"/>
  <c r="N55" i="270"/>
  <c r="R55" i="270"/>
  <c r="V55" i="270"/>
  <c r="Z55" i="270"/>
  <c r="G77" i="270"/>
  <c r="K77" i="270"/>
  <c r="O77" i="270"/>
  <c r="S77" i="270"/>
  <c r="W77" i="270"/>
  <c r="AA77" i="270"/>
  <c r="P92" i="270"/>
  <c r="E25" i="270"/>
  <c r="I25" i="270"/>
  <c r="M25" i="270"/>
  <c r="Q25" i="270"/>
  <c r="U25" i="270"/>
  <c r="Y25" i="270"/>
  <c r="AC25" i="270"/>
  <c r="G55" i="270"/>
  <c r="K55" i="270"/>
  <c r="O55" i="270"/>
  <c r="S55" i="270"/>
  <c r="W55" i="270"/>
  <c r="AA55" i="270"/>
  <c r="D77" i="270"/>
  <c r="H77" i="270"/>
  <c r="L77" i="270"/>
  <c r="P77" i="270"/>
  <c r="T77" i="270"/>
  <c r="X77" i="270"/>
  <c r="AB77" i="270"/>
  <c r="M92" i="270"/>
  <c r="Q92" i="270"/>
  <c r="U92" i="270"/>
  <c r="Y92" i="270"/>
  <c r="F25" i="270"/>
  <c r="J25" i="270"/>
  <c r="N25" i="270"/>
  <c r="R25" i="270"/>
  <c r="V25" i="270"/>
  <c r="Z25" i="270"/>
  <c r="D55" i="270"/>
  <c r="H55" i="270"/>
  <c r="L55" i="270"/>
  <c r="P55" i="270"/>
  <c r="T55" i="270"/>
  <c r="X55" i="270"/>
  <c r="E77" i="270"/>
  <c r="I77" i="270"/>
  <c r="M77" i="270"/>
  <c r="Q77" i="270"/>
  <c r="U77" i="270"/>
  <c r="Y77" i="270"/>
  <c r="N92" i="270"/>
  <c r="R92" i="270"/>
  <c r="V92" i="270"/>
  <c r="Z92" i="270"/>
  <c r="Z102" i="270"/>
  <c r="G25" i="270"/>
  <c r="K25" i="270"/>
  <c r="O25" i="270"/>
  <c r="S25" i="270"/>
  <c r="W25" i="270"/>
  <c r="AA25" i="270"/>
  <c r="E55" i="270"/>
  <c r="I55" i="270"/>
  <c r="M55" i="270"/>
  <c r="Q55" i="270"/>
  <c r="U55" i="270"/>
  <c r="Y55" i="270"/>
  <c r="F77" i="270"/>
  <c r="F102" i="270"/>
  <c r="J77" i="270"/>
  <c r="J102" i="270"/>
  <c r="N77" i="270"/>
  <c r="R77" i="270"/>
  <c r="V77" i="270"/>
  <c r="V102" i="270"/>
  <c r="Z77" i="270"/>
  <c r="O92" i="270"/>
  <c r="O102" i="270"/>
  <c r="AB92" i="270"/>
  <c r="AC77" i="270"/>
  <c r="AA28" i="271"/>
  <c r="AD26" i="271"/>
  <c r="AB33" i="271"/>
  <c r="AA34" i="271"/>
  <c r="E102" i="270"/>
  <c r="AB55" i="270"/>
  <c r="AC55" i="270"/>
  <c r="AB8" i="271"/>
  <c r="AB25" i="270"/>
  <c r="W37" i="271"/>
  <c r="AC11" i="271"/>
  <c r="AC14" i="271"/>
  <c r="AC27" i="271"/>
  <c r="AC29" i="271"/>
  <c r="AC19" i="271"/>
  <c r="AC6" i="271"/>
  <c r="L30" i="293"/>
  <c r="C30" i="293"/>
  <c r="C34" i="293"/>
  <c r="F30" i="293"/>
  <c r="F35" i="293"/>
  <c r="G30" i="293"/>
  <c r="G37" i="293"/>
  <c r="L34" i="293"/>
  <c r="L36" i="293"/>
  <c r="I39" i="293"/>
  <c r="G35" i="293"/>
  <c r="E36" i="293"/>
  <c r="C37" i="293"/>
  <c r="L35" i="293"/>
  <c r="L37" i="293"/>
  <c r="C38" i="293"/>
  <c r="G38" i="293"/>
  <c r="E35" i="293"/>
  <c r="C36" i="293"/>
  <c r="L38" i="293"/>
  <c r="D30" i="293"/>
  <c r="D35" i="293"/>
  <c r="H30" i="293"/>
  <c r="J30" i="293"/>
  <c r="J34" i="293"/>
  <c r="L33" i="293"/>
  <c r="F34" i="293"/>
  <c r="K30" i="293"/>
  <c r="K35" i="293"/>
  <c r="K32" i="98"/>
  <c r="AC32" i="98"/>
  <c r="AW32" i="98"/>
  <c r="C34" i="98"/>
  <c r="G34" i="98"/>
  <c r="K34" i="98"/>
  <c r="O34" i="98"/>
  <c r="S34" i="98"/>
  <c r="W34" i="98"/>
  <c r="AA34" i="98"/>
  <c r="AI34" i="98"/>
  <c r="AM34" i="98"/>
  <c r="AQ34" i="98"/>
  <c r="AU34" i="98"/>
  <c r="AY34" i="98"/>
  <c r="BC34" i="98"/>
  <c r="X29" i="98"/>
  <c r="AN29" i="98"/>
  <c r="E32" i="98"/>
  <c r="I32" i="98"/>
  <c r="M32" i="98"/>
  <c r="Q32" i="98"/>
  <c r="U32" i="98"/>
  <c r="AK32" i="98"/>
  <c r="AU32" i="98"/>
  <c r="AY32" i="98"/>
  <c r="BH32" i="98"/>
  <c r="AE19" i="98"/>
  <c r="X33" i="98"/>
  <c r="BG29" i="98"/>
  <c r="AG32" i="98"/>
  <c r="AS14" i="98"/>
  <c r="AW14" i="98"/>
  <c r="BA14" i="98"/>
  <c r="BE14" i="98"/>
  <c r="AQ19" i="98"/>
  <c r="BH19" i="98"/>
  <c r="AW33" i="98"/>
  <c r="C29" i="98"/>
  <c r="G29" i="98"/>
  <c r="K29" i="98"/>
  <c r="O29" i="98"/>
  <c r="S29" i="98"/>
  <c r="W29" i="98"/>
  <c r="AA29" i="98"/>
  <c r="AI29" i="98"/>
  <c r="AM29" i="98"/>
  <c r="AQ29" i="98"/>
  <c r="AU29" i="98"/>
  <c r="AY29" i="98"/>
  <c r="BC29" i="98"/>
  <c r="BG14" i="98"/>
  <c r="F32" i="172"/>
  <c r="E32" i="282"/>
  <c r="AD16" i="271"/>
  <c r="AE25" i="270"/>
  <c r="BK51" i="279"/>
  <c r="BM115" i="278"/>
  <c r="BK53" i="279"/>
  <c r="BK37" i="279"/>
  <c r="BP118" i="278"/>
  <c r="BL51" i="279"/>
  <c r="BL52" i="279"/>
  <c r="BL47" i="279"/>
  <c r="BL34" i="279"/>
  <c r="BL35" i="279"/>
  <c r="BL36" i="279"/>
  <c r="BN79" i="278"/>
  <c r="BL17" i="279"/>
  <c r="BN38" i="278"/>
  <c r="BM38" i="278"/>
  <c r="BN14" i="279"/>
  <c r="BN25" i="279"/>
  <c r="BM79" i="278"/>
  <c r="BN33" i="279"/>
  <c r="BN41" i="279"/>
  <c r="BP125" i="278"/>
  <c r="BN59" i="279"/>
  <c r="BP114" i="278"/>
  <c r="BO115" i="278"/>
  <c r="BP109" i="278"/>
  <c r="BN45" i="279"/>
  <c r="BM47" i="279"/>
  <c r="BP96" i="278"/>
  <c r="BM34" i="279"/>
  <c r="BP78" i="278"/>
  <c r="BN31" i="279"/>
  <c r="BO79" i="278"/>
  <c r="BP67" i="278"/>
  <c r="BM30" i="279"/>
  <c r="BN28" i="279"/>
  <c r="BP52" i="278"/>
  <c r="BM19" i="279"/>
  <c r="R19" i="279"/>
  <c r="BN8" i="279"/>
  <c r="C13" i="279"/>
  <c r="D17" i="279"/>
  <c r="P18" i="279"/>
  <c r="BH36" i="279"/>
  <c r="BH26" i="279"/>
  <c r="BJ24" i="279"/>
  <c r="BF8" i="279"/>
  <c r="BJ8" i="279"/>
  <c r="BG9" i="279"/>
  <c r="BC18" i="279"/>
  <c r="BG18" i="279"/>
  <c r="BG13" i="279"/>
  <c r="BK18" i="279"/>
  <c r="BN11" i="279"/>
  <c r="J12" i="279"/>
  <c r="BD13" i="279"/>
  <c r="BL13" i="279"/>
  <c r="J14" i="279"/>
  <c r="BD36" i="279"/>
  <c r="BD26" i="279"/>
  <c r="BF24" i="279"/>
  <c r="K18" i="279"/>
  <c r="J7" i="279"/>
  <c r="N7" i="279"/>
  <c r="D9" i="279"/>
  <c r="L9" i="279"/>
  <c r="N9" i="279"/>
  <c r="J10" i="279"/>
  <c r="N10" i="279"/>
  <c r="BE9" i="279"/>
  <c r="BE13" i="279"/>
  <c r="BI13" i="279"/>
  <c r="BE37" i="279"/>
  <c r="BM37" i="279"/>
  <c r="I26" i="279"/>
  <c r="Q26" i="279"/>
  <c r="E35" i="279"/>
  <c r="R28" i="279"/>
  <c r="BJ28" i="279"/>
  <c r="C30" i="279"/>
  <c r="H30" i="279"/>
  <c r="J30" i="279"/>
  <c r="BC30" i="279"/>
  <c r="BH30" i="279"/>
  <c r="L34" i="279"/>
  <c r="Q34" i="279"/>
  <c r="BH34" i="279"/>
  <c r="BJ32" i="279"/>
  <c r="N33" i="279"/>
  <c r="K34" i="279"/>
  <c r="BC34" i="279"/>
  <c r="BK36" i="279"/>
  <c r="O52" i="279"/>
  <c r="BF25" i="279"/>
  <c r="BN29" i="279"/>
  <c r="F31" i="279"/>
  <c r="BF32" i="279"/>
  <c r="BK35" i="279"/>
  <c r="O36" i="279"/>
  <c r="K52" i="279"/>
  <c r="N40" i="279"/>
  <c r="K43" i="279"/>
  <c r="BE36" i="279"/>
  <c r="BI36" i="279"/>
  <c r="BM36" i="279"/>
  <c r="E37" i="279"/>
  <c r="Q37" i="279"/>
  <c r="G26" i="279"/>
  <c r="BC26" i="279"/>
  <c r="BG26" i="279"/>
  <c r="BE35" i="279"/>
  <c r="BI35" i="279"/>
  <c r="BM35" i="279"/>
  <c r="BM74" i="279"/>
  <c r="BJ29" i="279"/>
  <c r="E30" i="279"/>
  <c r="K30" i="279"/>
  <c r="P30" i="279"/>
  <c r="BE30" i="279"/>
  <c r="D34" i="279"/>
  <c r="I34" i="279"/>
  <c r="R31" i="279"/>
  <c r="BJ31" i="279"/>
  <c r="F33" i="279"/>
  <c r="G34" i="279"/>
  <c r="O34" i="279"/>
  <c r="G52" i="279"/>
  <c r="G55" i="279"/>
  <c r="J40" i="279"/>
  <c r="G43" i="279"/>
  <c r="BN24" i="279"/>
  <c r="F25" i="279"/>
  <c r="R25" i="279"/>
  <c r="D26" i="279"/>
  <c r="L26" i="279"/>
  <c r="P26" i="279"/>
  <c r="BL26" i="279"/>
  <c r="BF27" i="279"/>
  <c r="BF35" i="279"/>
  <c r="BJ27" i="279"/>
  <c r="BN27" i="279"/>
  <c r="L30" i="279"/>
  <c r="BL30" i="279"/>
  <c r="C52" i="279"/>
  <c r="F40" i="279"/>
  <c r="C43" i="279"/>
  <c r="BE43" i="279"/>
  <c r="BC43" i="279"/>
  <c r="BG43" i="279"/>
  <c r="BK43" i="279"/>
  <c r="G47" i="279"/>
  <c r="J47" i="279"/>
  <c r="BJ41" i="279"/>
  <c r="F42" i="279"/>
  <c r="J42" i="279"/>
  <c r="N42" i="279"/>
  <c r="R42" i="279"/>
  <c r="D43" i="279"/>
  <c r="H43" i="279"/>
  <c r="L43" i="279"/>
  <c r="P43" i="279"/>
  <c r="BH43" i="279"/>
  <c r="BL43" i="279"/>
  <c r="BG47" i="279"/>
  <c r="BJ44" i="279"/>
  <c r="E43" i="279"/>
  <c r="I43" i="279"/>
  <c r="M43" i="279"/>
  <c r="N43" i="279"/>
  <c r="Q43" i="279"/>
  <c r="BC47" i="279"/>
  <c r="BH72" i="279"/>
  <c r="BJ69" i="279"/>
  <c r="D52" i="279"/>
  <c r="H52" i="279"/>
  <c r="L52" i="279"/>
  <c r="L55" i="279"/>
  <c r="P52" i="279"/>
  <c r="BF40" i="279"/>
  <c r="BJ40" i="279"/>
  <c r="BN40" i="279"/>
  <c r="F41" i="279"/>
  <c r="J41" i="279"/>
  <c r="N41" i="279"/>
  <c r="R41" i="279"/>
  <c r="BF42" i="279"/>
  <c r="BJ42" i="279"/>
  <c r="BN42" i="279"/>
  <c r="F44" i="279"/>
  <c r="J44" i="279"/>
  <c r="N44" i="279"/>
  <c r="R44" i="279"/>
  <c r="F45" i="279"/>
  <c r="BG72" i="279"/>
  <c r="BF49" i="279"/>
  <c r="BF51" i="279"/>
  <c r="BJ49" i="279"/>
  <c r="BN49" i="279"/>
  <c r="BJ58" i="279"/>
  <c r="BJ60" i="279"/>
  <c r="BG60" i="279"/>
  <c r="BK60" i="279"/>
  <c r="BI70" i="279"/>
  <c r="BI72" i="279"/>
  <c r="BM71" i="279"/>
  <c r="Q51" i="279"/>
  <c r="BH60" i="279"/>
  <c r="BL60" i="279"/>
  <c r="BN65" i="279"/>
  <c r="BN68" i="279"/>
  <c r="BK71" i="279"/>
  <c r="BK72" i="279"/>
  <c r="BJ65" i="279"/>
  <c r="BJ68" i="279"/>
  <c r="BH68" i="279"/>
  <c r="BL68" i="279"/>
  <c r="BO38" i="278"/>
  <c r="BP27" i="278"/>
  <c r="BM13" i="279"/>
  <c r="BN10" i="279"/>
  <c r="BM9" i="279"/>
  <c r="F23" i="233"/>
  <c r="J21" i="233"/>
  <c r="J135" i="266"/>
  <c r="N23" i="233"/>
  <c r="C19" i="233"/>
  <c r="S19" i="233"/>
  <c r="H24" i="233"/>
  <c r="M24" i="233"/>
  <c r="X24" i="233"/>
  <c r="V23" i="233"/>
  <c r="M19" i="233"/>
  <c r="R16" i="233"/>
  <c r="J45" i="266"/>
  <c r="O9" i="233"/>
  <c r="J18" i="233"/>
  <c r="Z18" i="233"/>
  <c r="R21" i="233"/>
  <c r="J22" i="233"/>
  <c r="V18" i="233"/>
  <c r="G9" i="233"/>
  <c r="J8" i="233"/>
  <c r="G29" i="233"/>
  <c r="Z8" i="233"/>
  <c r="W29" i="233"/>
  <c r="D9" i="233"/>
  <c r="L9" i="233"/>
  <c r="T9" i="233"/>
  <c r="X9" i="233"/>
  <c r="X26" i="233"/>
  <c r="S29" i="233"/>
  <c r="V11" i="233"/>
  <c r="T14" i="233"/>
  <c r="E26" i="233"/>
  <c r="I26" i="233"/>
  <c r="I9" i="233"/>
  <c r="Q26" i="233"/>
  <c r="Q9" i="233"/>
  <c r="U9" i="233"/>
  <c r="Y26" i="233"/>
  <c r="Y9" i="233"/>
  <c r="O29" i="233"/>
  <c r="Z13" i="233"/>
  <c r="W31" i="233"/>
  <c r="W14" i="233"/>
  <c r="R6" i="233"/>
  <c r="R26" i="233"/>
  <c r="Z6" i="233"/>
  <c r="J7" i="233"/>
  <c r="Z7" i="233"/>
  <c r="C9" i="233"/>
  <c r="S9" i="233"/>
  <c r="S14" i="233"/>
  <c r="N16" i="233"/>
  <c r="Q19" i="233"/>
  <c r="C24" i="233"/>
  <c r="G24" i="233"/>
  <c r="K24" i="233"/>
  <c r="O24" i="233"/>
  <c r="S24" i="233"/>
  <c r="C28" i="233"/>
  <c r="G28" i="233"/>
  <c r="O28" i="233"/>
  <c r="S28" i="233"/>
  <c r="V13" i="233"/>
  <c r="J16" i="233"/>
  <c r="J17" i="233"/>
  <c r="R17" i="233"/>
  <c r="N17" i="268"/>
  <c r="O63" i="268"/>
  <c r="G84" i="268"/>
  <c r="O8" i="268"/>
  <c r="O12" i="268"/>
  <c r="O16" i="268"/>
  <c r="O18" i="268"/>
  <c r="O19" i="268"/>
  <c r="G20" i="268"/>
  <c r="K20" i="268"/>
  <c r="E37" i="268"/>
  <c r="I37" i="268"/>
  <c r="M37" i="268"/>
  <c r="O50" i="268"/>
  <c r="O51" i="268"/>
  <c r="O52" i="268"/>
  <c r="O53" i="268"/>
  <c r="G54" i="268"/>
  <c r="K54" i="268"/>
  <c r="O59" i="268"/>
  <c r="M71" i="268"/>
  <c r="E73" i="268"/>
  <c r="I73" i="268"/>
  <c r="M73" i="268"/>
  <c r="E74" i="268"/>
  <c r="I74" i="268"/>
  <c r="M74" i="268"/>
  <c r="E75" i="268"/>
  <c r="I75" i="268"/>
  <c r="M75" i="268"/>
  <c r="M78" i="268"/>
  <c r="M79" i="268"/>
  <c r="M80" i="268"/>
  <c r="M81" i="268"/>
  <c r="N82" i="268"/>
  <c r="D20" i="268"/>
  <c r="H20" i="268"/>
  <c r="L20" i="268"/>
  <c r="N25" i="268"/>
  <c r="N29" i="268"/>
  <c r="N33" i="268"/>
  <c r="N34" i="268"/>
  <c r="N35" i="268"/>
  <c r="N36" i="268"/>
  <c r="F37" i="268"/>
  <c r="J37" i="268"/>
  <c r="N42" i="268"/>
  <c r="N46" i="268"/>
  <c r="D54" i="268"/>
  <c r="H54" i="268"/>
  <c r="L54" i="268"/>
  <c r="N67" i="268"/>
  <c r="N68" i="268"/>
  <c r="N69" i="268"/>
  <c r="N70" i="268"/>
  <c r="F73" i="268"/>
  <c r="J73" i="268"/>
  <c r="F74" i="268"/>
  <c r="J74" i="268"/>
  <c r="F75" i="268"/>
  <c r="J75" i="268"/>
  <c r="J78" i="268"/>
  <c r="J79" i="268"/>
  <c r="J80" i="268"/>
  <c r="J81" i="268"/>
  <c r="D84" i="268"/>
  <c r="H84" i="268"/>
  <c r="E20" i="268"/>
  <c r="I20" i="268"/>
  <c r="M20" i="268"/>
  <c r="O25" i="268"/>
  <c r="O29" i="268"/>
  <c r="O33" i="268"/>
  <c r="O34" i="268"/>
  <c r="O35" i="268"/>
  <c r="O36" i="268"/>
  <c r="G37" i="268"/>
  <c r="K37" i="268"/>
  <c r="O42" i="268"/>
  <c r="O46" i="268"/>
  <c r="E54" i="268"/>
  <c r="I54" i="268"/>
  <c r="M54" i="268"/>
  <c r="O67" i="268"/>
  <c r="O68" i="268"/>
  <c r="O69" i="268"/>
  <c r="O70" i="268"/>
  <c r="G73" i="268"/>
  <c r="K73" i="268"/>
  <c r="G74" i="268"/>
  <c r="K74" i="268"/>
  <c r="G75" i="268"/>
  <c r="K75" i="268"/>
  <c r="K78" i="268"/>
  <c r="K79" i="268"/>
  <c r="K80" i="268"/>
  <c r="K81" i="268"/>
  <c r="M83" i="268"/>
  <c r="I84" i="268"/>
  <c r="N8" i="268"/>
  <c r="N12" i="268"/>
  <c r="N16" i="268"/>
  <c r="N18" i="268"/>
  <c r="N19" i="268"/>
  <c r="F20" i="268"/>
  <c r="J20" i="268"/>
  <c r="D37" i="268"/>
  <c r="H37" i="268"/>
  <c r="L37" i="268"/>
  <c r="N50" i="268"/>
  <c r="N51" i="268"/>
  <c r="N52" i="268"/>
  <c r="N53" i="268"/>
  <c r="F54" i="268"/>
  <c r="J54" i="268"/>
  <c r="N59" i="268"/>
  <c r="L71" i="268"/>
  <c r="L79" i="268"/>
  <c r="D73" i="268"/>
  <c r="H73" i="268"/>
  <c r="L73" i="268"/>
  <c r="D74" i="268"/>
  <c r="H74" i="268"/>
  <c r="L74" i="268"/>
  <c r="D75" i="268"/>
  <c r="H75" i="268"/>
  <c r="L75" i="268"/>
  <c r="L78" i="268"/>
  <c r="L80" i="268"/>
  <c r="L81" i="268"/>
  <c r="M82" i="268"/>
  <c r="W13" i="253"/>
  <c r="W31" i="253"/>
  <c r="W30" i="253"/>
  <c r="W8" i="253"/>
  <c r="Z22" i="296"/>
  <c r="Z28" i="296"/>
  <c r="X34" i="296"/>
  <c r="E32" i="172"/>
  <c r="F102" i="173"/>
  <c r="M102" i="173"/>
  <c r="J102" i="173"/>
  <c r="M9" i="172"/>
  <c r="J9" i="172"/>
  <c r="E9" i="172"/>
  <c r="G9" i="172"/>
  <c r="K9" i="172"/>
  <c r="D31" i="172"/>
  <c r="H31" i="172"/>
  <c r="L31" i="172"/>
  <c r="E31" i="172"/>
  <c r="I31" i="172"/>
  <c r="M31" i="172"/>
  <c r="F31" i="172"/>
  <c r="J31" i="172"/>
  <c r="N14" i="172"/>
  <c r="N32" i="172"/>
  <c r="N34" i="172"/>
  <c r="N29" i="172"/>
  <c r="N19" i="172"/>
  <c r="N24" i="173"/>
  <c r="N9" i="172"/>
  <c r="N31" i="172"/>
  <c r="AB37" i="297"/>
  <c r="AA37" i="297"/>
  <c r="AC31" i="297"/>
  <c r="BF11" i="98"/>
  <c r="BG30" i="274"/>
  <c r="BF13" i="98"/>
  <c r="BF36" i="98"/>
  <c r="BG39" i="274"/>
  <c r="Z27" i="98"/>
  <c r="Z29" i="98"/>
  <c r="AP27" i="98"/>
  <c r="AD6" i="98"/>
  <c r="BF6" i="98"/>
  <c r="W50" i="274"/>
  <c r="C31" i="98"/>
  <c r="G31" i="98"/>
  <c r="K31" i="98"/>
  <c r="O31" i="98"/>
  <c r="S31" i="98"/>
  <c r="W31" i="98"/>
  <c r="W37" i="98"/>
  <c r="AA9" i="98"/>
  <c r="AE31" i="98"/>
  <c r="AI31" i="98"/>
  <c r="AM31" i="98"/>
  <c r="AQ9" i="98"/>
  <c r="AU31" i="98"/>
  <c r="AU37" i="98"/>
  <c r="AU9" i="98"/>
  <c r="AY9" i="98"/>
  <c r="BC31" i="98"/>
  <c r="BC9" i="98"/>
  <c r="BG31" i="98"/>
  <c r="R9" i="98"/>
  <c r="BG20" i="274"/>
  <c r="AP17" i="98"/>
  <c r="AI94" i="274"/>
  <c r="AI100" i="274"/>
  <c r="AQ94" i="274"/>
  <c r="BG94" i="274"/>
  <c r="D31" i="98"/>
  <c r="H31" i="98"/>
  <c r="H9" i="98"/>
  <c r="L31" i="98"/>
  <c r="P31" i="98"/>
  <c r="P9" i="98"/>
  <c r="T31" i="98"/>
  <c r="X31" i="98"/>
  <c r="AF9" i="98"/>
  <c r="AF31" i="98"/>
  <c r="AF37" i="98"/>
  <c r="AJ31" i="98"/>
  <c r="AN31" i="98"/>
  <c r="AV31" i="98"/>
  <c r="BD31" i="98"/>
  <c r="BH9" i="98"/>
  <c r="BB9" i="98"/>
  <c r="AD17" i="98"/>
  <c r="AE62" i="274"/>
  <c r="BG62" i="274"/>
  <c r="BF26" i="98"/>
  <c r="BG85" i="274"/>
  <c r="AL27" i="98"/>
  <c r="AL29" i="98"/>
  <c r="E9" i="98"/>
  <c r="I9" i="98"/>
  <c r="M9" i="98"/>
  <c r="Q9" i="98"/>
  <c r="U9" i="98"/>
  <c r="Y31" i="98"/>
  <c r="Y9" i="98"/>
  <c r="AC31" i="98"/>
  <c r="AG9" i="98"/>
  <c r="AK9" i="98"/>
  <c r="AO31" i="98"/>
  <c r="AO9" i="98"/>
  <c r="AS31" i="98"/>
  <c r="AW31" i="98"/>
  <c r="AW9" i="98"/>
  <c r="BA31" i="98"/>
  <c r="BE31" i="98"/>
  <c r="BE9" i="98"/>
  <c r="BC32" i="98"/>
  <c r="BO34" i="274"/>
  <c r="BO30" i="274"/>
  <c r="BO40" i="274"/>
  <c r="BO99" i="274"/>
  <c r="BO94" i="274"/>
  <c r="BO85" i="274"/>
  <c r="BO50" i="274"/>
  <c r="BO20" i="274"/>
  <c r="BO15" i="274"/>
  <c r="G5" i="303"/>
  <c r="G4" i="303"/>
  <c r="F5" i="303"/>
  <c r="F4" i="303"/>
  <c r="J5" i="303"/>
  <c r="J4" i="303"/>
  <c r="W6" i="303"/>
  <c r="D4" i="303"/>
  <c r="AA6" i="303"/>
  <c r="H4" i="303"/>
  <c r="AE6" i="303"/>
  <c r="L5" i="303"/>
  <c r="L6" i="303"/>
  <c r="F10" i="303"/>
  <c r="J10" i="303"/>
  <c r="N10" i="303"/>
  <c r="E14" i="303"/>
  <c r="I14" i="303"/>
  <c r="M14" i="303"/>
  <c r="X6" i="303"/>
  <c r="AB6" i="303"/>
  <c r="AF6" i="303"/>
  <c r="M5" i="303"/>
  <c r="M6" i="303"/>
  <c r="G10" i="303"/>
  <c r="K10" i="303"/>
  <c r="F14" i="303"/>
  <c r="J14" i="303"/>
  <c r="N14" i="303"/>
  <c r="D10" i="303"/>
  <c r="H10" i="303"/>
  <c r="L10" i="303"/>
  <c r="G14" i="303"/>
  <c r="K14" i="303"/>
  <c r="X33" i="296"/>
  <c r="Z6" i="296"/>
  <c r="Y34" i="296"/>
  <c r="Y19" i="296"/>
  <c r="X24" i="296"/>
  <c r="Y31" i="296"/>
  <c r="X29" i="296"/>
  <c r="X14" i="296"/>
  <c r="Y33" i="296"/>
  <c r="Y37" i="296"/>
  <c r="Z8" i="296"/>
  <c r="Y9" i="296"/>
  <c r="Z18" i="296"/>
  <c r="Z26" i="296"/>
  <c r="X35" i="296"/>
  <c r="Z35" i="296"/>
  <c r="Z7" i="296"/>
  <c r="Z17" i="296"/>
  <c r="Z21" i="296"/>
  <c r="Y24" i="296"/>
  <c r="Z24" i="296"/>
  <c r="AT19" i="263"/>
  <c r="AT34" i="263"/>
  <c r="AX36" i="263"/>
  <c r="N162" i="268"/>
  <c r="N215" i="268"/>
  <c r="N218" i="268"/>
  <c r="O150" i="268"/>
  <c r="O220" i="268"/>
  <c r="O226" i="268"/>
  <c r="O159" i="268"/>
  <c r="AF21" i="284"/>
  <c r="AK77" i="284"/>
  <c r="AK55" i="284"/>
  <c r="AG75" i="284"/>
  <c r="BN134" i="276"/>
  <c r="O75" i="277"/>
  <c r="N19" i="277"/>
  <c r="J52" i="277"/>
  <c r="N17" i="277"/>
  <c r="BN18" i="277"/>
  <c r="E55" i="277"/>
  <c r="BG75" i="277"/>
  <c r="E75" i="277"/>
  <c r="Q75" i="277"/>
  <c r="M75" i="277"/>
  <c r="R51" i="277"/>
  <c r="BN36" i="277"/>
  <c r="O55" i="277"/>
  <c r="K75" i="277"/>
  <c r="R68" i="277"/>
  <c r="J13" i="277"/>
  <c r="J54" i="277"/>
  <c r="BF38" i="277"/>
  <c r="R13" i="277"/>
  <c r="R9" i="277"/>
  <c r="BL21" i="277"/>
  <c r="BN53" i="277"/>
  <c r="N60" i="277"/>
  <c r="N47" i="277"/>
  <c r="BF54" i="277"/>
  <c r="F53" i="277"/>
  <c r="D75" i="277"/>
  <c r="BN20" i="277"/>
  <c r="BN64" i="277"/>
  <c r="BM72" i="277"/>
  <c r="BN34" i="277"/>
  <c r="H76" i="277"/>
  <c r="J51" i="277"/>
  <c r="BE72" i="277"/>
  <c r="F28" i="294"/>
  <c r="K28" i="294"/>
  <c r="AK37" i="234"/>
  <c r="BI36" i="281"/>
  <c r="BB27" i="281"/>
  <c r="BC27" i="281"/>
  <c r="BH18" i="281"/>
  <c r="BB45" i="281"/>
  <c r="BB36" i="281"/>
  <c r="BD36" i="281"/>
  <c r="BB34" i="281"/>
  <c r="BG36" i="281"/>
  <c r="BD20" i="281"/>
  <c r="BI47" i="281"/>
  <c r="AP31" i="242"/>
  <c r="BH11" i="281"/>
  <c r="BJ11" i="281"/>
  <c r="BH36" i="281"/>
  <c r="BJ31" i="242"/>
  <c r="BC34" i="281"/>
  <c r="AZ31" i="242"/>
  <c r="BC20" i="281"/>
  <c r="BF27" i="281"/>
  <c r="BI9" i="281"/>
  <c r="BJ9" i="281"/>
  <c r="BC25" i="281"/>
  <c r="BG7" i="281"/>
  <c r="BB25" i="281"/>
  <c r="BC16" i="281"/>
  <c r="BA38" i="281"/>
  <c r="BJ39" i="281"/>
  <c r="BF40" i="281"/>
  <c r="BA9" i="281"/>
  <c r="BE45" i="281"/>
  <c r="BC45" i="281"/>
  <c r="BG47" i="281"/>
  <c r="BH29" i="281"/>
  <c r="BF18" i="281"/>
  <c r="BG45" i="281"/>
  <c r="BA45" i="281"/>
  <c r="D24" i="292"/>
  <c r="F22" i="292"/>
  <c r="D22" i="292"/>
  <c r="F25" i="292"/>
  <c r="C29" i="292"/>
  <c r="I29" i="292"/>
  <c r="H29" i="292"/>
  <c r="F23" i="292"/>
  <c r="D23" i="292"/>
  <c r="M29" i="292"/>
  <c r="F24" i="292"/>
  <c r="F33" i="291"/>
  <c r="M36" i="291"/>
  <c r="H30" i="291"/>
  <c r="H36" i="291"/>
  <c r="E34" i="291"/>
  <c r="K35" i="291"/>
  <c r="K38" i="291"/>
  <c r="K33" i="291"/>
  <c r="J37" i="291"/>
  <c r="F38" i="291"/>
  <c r="F36" i="291"/>
  <c r="F37" i="291"/>
  <c r="K34" i="291"/>
  <c r="T123" i="295"/>
  <c r="K136" i="295"/>
  <c r="K113" i="295"/>
  <c r="J141" i="295"/>
  <c r="U141" i="295"/>
  <c r="K133" i="295"/>
  <c r="H70" i="295"/>
  <c r="K103" i="295"/>
  <c r="O141" i="295"/>
  <c r="AC128" i="295"/>
  <c r="N102" i="270"/>
  <c r="G102" i="270"/>
  <c r="K102" i="270"/>
  <c r="M102" i="270"/>
  <c r="H102" i="270"/>
  <c r="R102" i="270"/>
  <c r="I102" i="270"/>
  <c r="D102" i="270"/>
  <c r="Y102" i="270"/>
  <c r="P102" i="270"/>
  <c r="U102" i="270"/>
  <c r="AB77" i="279"/>
  <c r="T77" i="279"/>
  <c r="AV77" i="279"/>
  <c r="BB74" i="279"/>
  <c r="AJ77" i="279"/>
  <c r="AT77" i="279"/>
  <c r="BC38" i="279"/>
  <c r="BH115" i="278"/>
  <c r="P38" i="279"/>
  <c r="Y127" i="278"/>
  <c r="BG75" i="279"/>
  <c r="G75" i="279"/>
  <c r="F127" i="278"/>
  <c r="AJ38" i="278"/>
  <c r="BB127" i="278"/>
  <c r="G135" i="267"/>
  <c r="P135" i="267"/>
  <c r="W77" i="284"/>
  <c r="AE74" i="284"/>
  <c r="AE77" i="284"/>
  <c r="X77" i="284"/>
  <c r="AJ38" i="284"/>
  <c r="AD21" i="284"/>
  <c r="AG76" i="284"/>
  <c r="AI74" i="284"/>
  <c r="AH135" i="283"/>
  <c r="AK135" i="283"/>
  <c r="T135" i="283"/>
  <c r="AJ74" i="284"/>
  <c r="AI38" i="284"/>
  <c r="L135" i="283"/>
  <c r="F51" i="277"/>
  <c r="AT77" i="277"/>
  <c r="H72" i="277"/>
  <c r="N9" i="277"/>
  <c r="R134" i="276"/>
  <c r="BJ70" i="277"/>
  <c r="I134" i="276"/>
  <c r="AZ47" i="276"/>
  <c r="BN47" i="277"/>
  <c r="BN26" i="277"/>
  <c r="AM134" i="276"/>
  <c r="BM55" i="277"/>
  <c r="AN132" i="276"/>
  <c r="Z134" i="276"/>
  <c r="AR134" i="276"/>
  <c r="F47" i="277"/>
  <c r="P55" i="277"/>
  <c r="R55" i="277"/>
  <c r="P72" i="277"/>
  <c r="R47" i="277"/>
  <c r="L75" i="277"/>
  <c r="N75" i="277"/>
  <c r="BN54" i="277"/>
  <c r="BJ36" i="277"/>
  <c r="BL76" i="277"/>
  <c r="AN96" i="276"/>
  <c r="BC75" i="277"/>
  <c r="BO134" i="276"/>
  <c r="BG72" i="277"/>
  <c r="I76" i="277"/>
  <c r="BH96" i="276"/>
  <c r="F13" i="277"/>
  <c r="F17" i="277"/>
  <c r="AE134" i="276"/>
  <c r="N68" i="277"/>
  <c r="N54" i="277"/>
  <c r="J53" i="277"/>
  <c r="BM38" i="277"/>
  <c r="K134" i="276"/>
  <c r="BL134" i="276"/>
  <c r="BJ64" i="277"/>
  <c r="BF72" i="277"/>
  <c r="AV134" i="276"/>
  <c r="M21" i="277"/>
  <c r="BH76" i="277"/>
  <c r="BE55" i="277"/>
  <c r="E76" i="277"/>
  <c r="BL74" i="277"/>
  <c r="AB47" i="276"/>
  <c r="BC72" i="277"/>
  <c r="BF34" i="277"/>
  <c r="AZ134" i="276"/>
  <c r="AH134" i="276"/>
  <c r="BL75" i="277"/>
  <c r="AP52" i="263"/>
  <c r="AO76" i="263"/>
  <c r="AA77" i="263"/>
  <c r="M130" i="273"/>
  <c r="AD130" i="273"/>
  <c r="AQ130" i="273"/>
  <c r="AT130" i="273"/>
  <c r="AO130" i="273"/>
  <c r="AW74" i="263"/>
  <c r="K103" i="275"/>
  <c r="O103" i="275"/>
  <c r="M103" i="275"/>
  <c r="K102" i="173"/>
  <c r="BJ29" i="98"/>
  <c r="AH34" i="98"/>
  <c r="V34" i="98"/>
  <c r="AB102" i="274"/>
  <c r="BB33" i="98"/>
  <c r="AP29" i="98"/>
  <c r="AZ102" i="274"/>
  <c r="AO102" i="274"/>
  <c r="Y102" i="274"/>
  <c r="L38" i="202"/>
  <c r="K38" i="202"/>
  <c r="AC37" i="194"/>
  <c r="AD100" i="193"/>
  <c r="M100" i="193"/>
  <c r="Y100" i="193"/>
  <c r="E100" i="193"/>
  <c r="Q100" i="193"/>
  <c r="AG100" i="193"/>
  <c r="AC37" i="241"/>
  <c r="AI24" i="241"/>
  <c r="AL32" i="241"/>
  <c r="AI32" i="241"/>
  <c r="O100" i="240"/>
  <c r="U100" i="240"/>
  <c r="Z100" i="240"/>
  <c r="AJ100" i="240"/>
  <c r="AL100" i="240"/>
  <c r="D100" i="240"/>
  <c r="AL14" i="237"/>
  <c r="AL29" i="237"/>
  <c r="AF14" i="237"/>
  <c r="AF19" i="237"/>
  <c r="AI32" i="237"/>
  <c r="AI9" i="237"/>
  <c r="O92" i="238"/>
  <c r="O100" i="238"/>
  <c r="X92" i="238"/>
  <c r="F100" i="238"/>
  <c r="AL24" i="239"/>
  <c r="J100" i="238"/>
  <c r="R100" i="238"/>
  <c r="P100" i="238"/>
  <c r="AD25" i="238"/>
  <c r="AL100" i="238"/>
  <c r="AG77" i="238"/>
  <c r="AM25" i="238"/>
  <c r="AM100" i="238"/>
  <c r="AA100" i="238"/>
  <c r="M100" i="238"/>
  <c r="AK37" i="239"/>
  <c r="E100" i="238"/>
  <c r="T100" i="238"/>
  <c r="AD77" i="238"/>
  <c r="AL32" i="239"/>
  <c r="K100" i="238"/>
  <c r="AD55" i="238"/>
  <c r="AM99" i="236"/>
  <c r="AF101" i="236"/>
  <c r="AG78" i="236"/>
  <c r="AL19" i="237"/>
  <c r="AI33" i="237"/>
  <c r="AD93" i="236"/>
  <c r="AA78" i="236"/>
  <c r="AD101" i="236"/>
  <c r="AE77" i="263"/>
  <c r="AP38" i="263"/>
  <c r="AT64" i="263"/>
  <c r="AX9" i="263"/>
  <c r="AT53" i="263"/>
  <c r="AT55" i="263"/>
  <c r="AV118" i="273"/>
  <c r="AV44" i="273"/>
  <c r="AC130" i="273"/>
  <c r="AW55" i="263"/>
  <c r="X130" i="273"/>
  <c r="AF118" i="273"/>
  <c r="AS130" i="273"/>
  <c r="U130" i="273"/>
  <c r="AI130" i="273"/>
  <c r="AV76" i="263"/>
  <c r="AX51" i="263"/>
  <c r="AS75" i="263"/>
  <c r="AU55" i="263"/>
  <c r="AP76" i="263"/>
  <c r="AQ75" i="263"/>
  <c r="AP71" i="263"/>
  <c r="AX130" i="273"/>
  <c r="E72" i="263"/>
  <c r="AT35" i="263"/>
  <c r="AB44" i="273"/>
  <c r="F64" i="263"/>
  <c r="AJ83" i="273"/>
  <c r="AJ130" i="273"/>
  <c r="AH130" i="273"/>
  <c r="AS55" i="263"/>
  <c r="AO75" i="263"/>
  <c r="AB83" i="273"/>
  <c r="AR75" i="263"/>
  <c r="AW75" i="263"/>
  <c r="AZ130" i="273"/>
  <c r="AT43" i="263"/>
  <c r="AT70" i="263"/>
  <c r="D38" i="291"/>
  <c r="D33" i="291"/>
  <c r="D35" i="291"/>
  <c r="D34" i="291"/>
  <c r="D36" i="291"/>
  <c r="P130" i="273"/>
  <c r="AG100" i="240"/>
  <c r="BB55" i="279"/>
  <c r="G30" i="291"/>
  <c r="G34" i="291"/>
  <c r="AC77" i="279"/>
  <c r="F54" i="263"/>
  <c r="C76" i="263"/>
  <c r="F76" i="263"/>
  <c r="E74" i="277"/>
  <c r="E21" i="277"/>
  <c r="AL31" i="239"/>
  <c r="AJ37" i="239"/>
  <c r="AL31" i="237"/>
  <c r="AJ37" i="237"/>
  <c r="K76" i="277"/>
  <c r="N20" i="277"/>
  <c r="F70" i="277"/>
  <c r="BK75" i="277"/>
  <c r="BN75" i="277"/>
  <c r="I33" i="291"/>
  <c r="I38" i="291"/>
  <c r="AO74" i="263"/>
  <c r="AO21" i="263"/>
  <c r="AK37" i="241"/>
  <c r="AX18" i="263"/>
  <c r="AX21" i="263"/>
  <c r="BO25" i="274"/>
  <c r="BJ36" i="281"/>
  <c r="L135" i="267"/>
  <c r="BD115" i="278"/>
  <c r="K135" i="267"/>
  <c r="AL77" i="284"/>
  <c r="Q141" i="295"/>
  <c r="N69" i="277"/>
  <c r="K72" i="277"/>
  <c r="K55" i="277"/>
  <c r="N55" i="277"/>
  <c r="N52" i="277"/>
  <c r="AI72" i="284"/>
  <c r="BJ60" i="277"/>
  <c r="BJ72" i="277"/>
  <c r="BJ69" i="277"/>
  <c r="BM77" i="277"/>
  <c r="C76" i="277"/>
  <c r="F20" i="277"/>
  <c r="J43" i="277"/>
  <c r="AD74" i="263"/>
  <c r="AD77" i="263"/>
  <c r="AD21" i="263"/>
  <c r="P75" i="277"/>
  <c r="R75" i="277"/>
  <c r="AP70" i="263"/>
  <c r="AM72" i="263"/>
  <c r="Q74" i="277"/>
  <c r="Q77" i="277"/>
  <c r="Q21" i="277"/>
  <c r="I34" i="291"/>
  <c r="E55" i="263"/>
  <c r="E74" i="263"/>
  <c r="E77" i="263"/>
  <c r="F52" i="263"/>
  <c r="AN83" i="273"/>
  <c r="AN102" i="274"/>
  <c r="BH134" i="276"/>
  <c r="P103" i="275"/>
  <c r="BK55" i="277"/>
  <c r="BN52" i="277"/>
  <c r="AT51" i="263"/>
  <c r="AP20" i="263"/>
  <c r="F100" i="240"/>
  <c r="AV38" i="263"/>
  <c r="AX35" i="263"/>
  <c r="AI100" i="193"/>
  <c r="AL19" i="241"/>
  <c r="N43" i="277"/>
  <c r="AQ55" i="263"/>
  <c r="AU21" i="263"/>
  <c r="AU74" i="263"/>
  <c r="AR130" i="273"/>
  <c r="J6" i="303"/>
  <c r="BH74" i="279"/>
  <c r="E34" i="293"/>
  <c r="C33" i="293"/>
  <c r="C35" i="293"/>
  <c r="BB75" i="279"/>
  <c r="E28" i="294"/>
  <c r="BD38" i="281"/>
  <c r="BF25" i="281"/>
  <c r="BI51" i="281"/>
  <c r="BH45" i="281"/>
  <c r="J28" i="294"/>
  <c r="I37" i="291"/>
  <c r="F34" i="291"/>
  <c r="BE20" i="281"/>
  <c r="BA20" i="281"/>
  <c r="E38" i="291"/>
  <c r="T113" i="295"/>
  <c r="C37" i="291"/>
  <c r="AJ115" i="278"/>
  <c r="I36" i="291"/>
  <c r="BL115" i="278"/>
  <c r="AL72" i="284"/>
  <c r="AD77" i="284"/>
  <c r="E141" i="295"/>
  <c r="AE21" i="284"/>
  <c r="BJ9" i="277"/>
  <c r="BJ21" i="277"/>
  <c r="BG21" i="277"/>
  <c r="AC71" i="27"/>
  <c r="BE75" i="277"/>
  <c r="H75" i="277"/>
  <c r="AF44" i="273"/>
  <c r="M76" i="277"/>
  <c r="AP55" i="263"/>
  <c r="AP18" i="263"/>
  <c r="D72" i="277"/>
  <c r="R53" i="277"/>
  <c r="AX53" i="263"/>
  <c r="AX43" i="263"/>
  <c r="L72" i="277"/>
  <c r="AM74" i="263"/>
  <c r="AH100" i="240"/>
  <c r="E36" i="291"/>
  <c r="AP9" i="263"/>
  <c r="H130" i="273"/>
  <c r="AN134" i="276"/>
  <c r="S100" i="240"/>
  <c r="AD55" i="284"/>
  <c r="AD100" i="238"/>
  <c r="AM93" i="236"/>
  <c r="AM101" i="236"/>
  <c r="AL55" i="284"/>
  <c r="D74" i="277"/>
  <c r="AX34" i="263"/>
  <c r="AN75" i="263"/>
  <c r="AN77" i="263"/>
  <c r="AN21" i="263"/>
  <c r="AI75" i="284"/>
  <c r="AR76" i="263"/>
  <c r="AR77" i="263"/>
  <c r="AF77" i="284"/>
  <c r="L74" i="277"/>
  <c r="AG37" i="194"/>
  <c r="AF31" i="239"/>
  <c r="AA100" i="193"/>
  <c r="N53" i="277"/>
  <c r="AG37" i="239"/>
  <c r="AG56" i="236"/>
  <c r="AG101" i="236"/>
  <c r="AX13" i="263"/>
  <c r="AH37" i="237"/>
  <c r="AX54" i="263"/>
  <c r="AF9" i="241"/>
  <c r="AL22" i="237"/>
  <c r="AL24" i="237"/>
  <c r="BE47" i="281"/>
  <c r="BA47" i="281"/>
  <c r="BG51" i="281"/>
  <c r="AJ37" i="241"/>
  <c r="AL31" i="241"/>
  <c r="AL37" i="241"/>
  <c r="AA100" i="240"/>
  <c r="U77" i="279"/>
  <c r="J99" i="201"/>
  <c r="C75" i="277"/>
  <c r="F19" i="277"/>
  <c r="BK76" i="277"/>
  <c r="BN76" i="277"/>
  <c r="AM77" i="240"/>
  <c r="AM100" i="240"/>
  <c r="BF29" i="98"/>
  <c r="BE43" i="281"/>
  <c r="BE48" i="281"/>
  <c r="BE49" i="281"/>
  <c r="BA43" i="281"/>
  <c r="J29" i="292"/>
  <c r="M141" i="295"/>
  <c r="Z33" i="296"/>
  <c r="E38" i="293"/>
  <c r="BF16" i="281"/>
  <c r="BJ20" i="281"/>
  <c r="BD51" i="281"/>
  <c r="K137" i="295"/>
  <c r="K123" i="295"/>
  <c r="AC70" i="295"/>
  <c r="AG72" i="284"/>
  <c r="M72" i="277"/>
  <c r="M74" i="277"/>
  <c r="M77" i="277"/>
  <c r="AJ75" i="284"/>
  <c r="AJ77" i="284"/>
  <c r="G75" i="277"/>
  <c r="AB132" i="276"/>
  <c r="AB134" i="276"/>
  <c r="AU75" i="263"/>
  <c r="F100" i="193"/>
  <c r="S100" i="193"/>
  <c r="F6" i="303"/>
  <c r="BJ52" i="279"/>
  <c r="BD38" i="279"/>
  <c r="E33" i="293"/>
  <c r="E39" i="293"/>
  <c r="BJ12" i="281"/>
  <c r="BH13" i="281"/>
  <c r="BI7" i="281"/>
  <c r="BH40" i="281"/>
  <c r="BF7" i="281"/>
  <c r="N29" i="292"/>
  <c r="BI18" i="281"/>
  <c r="J33" i="291"/>
  <c r="J38" i="291"/>
  <c r="J36" i="291"/>
  <c r="K29" i="292"/>
  <c r="J34" i="291"/>
  <c r="BE16" i="281"/>
  <c r="BB16" i="281"/>
  <c r="BE21" i="281"/>
  <c r="BD22" i="281"/>
  <c r="BA16" i="281"/>
  <c r="E33" i="291"/>
  <c r="BB11" i="281"/>
  <c r="BA11" i="281"/>
  <c r="BC11" i="281"/>
  <c r="BE11" i="281"/>
  <c r="H136" i="295"/>
  <c r="H133" i="295"/>
  <c r="N135" i="267"/>
  <c r="E35" i="291"/>
  <c r="AC113" i="295"/>
  <c r="AF115" i="278"/>
  <c r="AH72" i="284"/>
  <c r="AG55" i="284"/>
  <c r="AH75" i="284"/>
  <c r="R60" i="277"/>
  <c r="BD55" i="277"/>
  <c r="F9" i="277"/>
  <c r="F64" i="277"/>
  <c r="AM135" i="283"/>
  <c r="AY77" i="277"/>
  <c r="BG74" i="277"/>
  <c r="BG38" i="277"/>
  <c r="BJ38" i="277"/>
  <c r="H74" i="277"/>
  <c r="H21" i="277"/>
  <c r="AA134" i="276"/>
  <c r="M62" i="248"/>
  <c r="G74" i="277"/>
  <c r="G21" i="277"/>
  <c r="J18" i="277"/>
  <c r="BK100" i="274"/>
  <c r="O71" i="27"/>
  <c r="AX72" i="277"/>
  <c r="AX77" i="277"/>
  <c r="R43" i="277"/>
  <c r="J9" i="277"/>
  <c r="BH102" i="274"/>
  <c r="AL14" i="241"/>
  <c r="G72" i="277"/>
  <c r="J72" i="277"/>
  <c r="BE21" i="277"/>
  <c r="BF9" i="277"/>
  <c r="BF21" i="277"/>
  <c r="AJ132" i="276"/>
  <c r="AJ134" i="276"/>
  <c r="AW38" i="263"/>
  <c r="AB100" i="193"/>
  <c r="AG37" i="241"/>
  <c r="AI31" i="241"/>
  <c r="AI37" i="241"/>
  <c r="R100" i="240"/>
  <c r="BK38" i="277"/>
  <c r="BK74" i="277"/>
  <c r="F71" i="263"/>
  <c r="AM21" i="263"/>
  <c r="AM75" i="263"/>
  <c r="AP75" i="263"/>
  <c r="U62" i="26"/>
  <c r="AX71" i="263"/>
  <c r="AT60" i="263"/>
  <c r="AD55" i="240"/>
  <c r="AD100" i="240"/>
  <c r="AI37" i="239"/>
  <c r="AK100" i="193"/>
  <c r="K100" i="193"/>
  <c r="BB47" i="281"/>
  <c r="AI14" i="237"/>
  <c r="AF37" i="194"/>
  <c r="AF24" i="239"/>
  <c r="AE37" i="237"/>
  <c r="AI77" i="284"/>
  <c r="BJ52" i="277"/>
  <c r="BG55" i="277"/>
  <c r="BI76" i="277"/>
  <c r="BK21" i="277"/>
  <c r="BN9" i="277"/>
  <c r="BN21" i="277"/>
  <c r="BC55" i="277"/>
  <c r="BF52" i="277"/>
  <c r="BC74" i="277"/>
  <c r="O74" i="277"/>
  <c r="O21" i="277"/>
  <c r="R18" i="277"/>
  <c r="P74" i="277"/>
  <c r="P21" i="277"/>
  <c r="AF32" i="239"/>
  <c r="AD37" i="239"/>
  <c r="AI31" i="237"/>
  <c r="AI37" i="237"/>
  <c r="AG37" i="237"/>
  <c r="BB51" i="281"/>
  <c r="W113" i="295"/>
  <c r="BH55" i="277"/>
  <c r="BH75" i="277"/>
  <c r="BH77" i="277"/>
  <c r="AG77" i="284"/>
  <c r="O72" i="277"/>
  <c r="R72" i="277"/>
  <c r="R69" i="277"/>
  <c r="BE102" i="274"/>
  <c r="AQ76" i="263"/>
  <c r="AT20" i="263"/>
  <c r="AX47" i="263"/>
  <c r="AX52" i="263"/>
  <c r="AX55" i="263"/>
  <c r="BE12" i="281"/>
  <c r="BC13" i="281"/>
  <c r="BE7" i="281"/>
  <c r="BB7" i="281"/>
  <c r="BC7" i="281"/>
  <c r="BA7" i="281"/>
  <c r="Y24" i="271"/>
  <c r="Y32" i="271"/>
  <c r="Y37" i="271"/>
  <c r="Z133" i="295"/>
  <c r="D5" i="303"/>
  <c r="D6" i="303"/>
  <c r="R36" i="279"/>
  <c r="BB77" i="279"/>
  <c r="AX75" i="279"/>
  <c r="BJ21" i="281"/>
  <c r="BI16" i="281"/>
  <c r="BH16" i="281"/>
  <c r="BD43" i="281"/>
  <c r="AU31" i="242"/>
  <c r="BG27" i="281"/>
  <c r="C34" i="291"/>
  <c r="T133" i="295"/>
  <c r="BA51" i="281"/>
  <c r="AH74" i="284"/>
  <c r="F69" i="277"/>
  <c r="C72" i="277"/>
  <c r="C55" i="277"/>
  <c r="F55" i="277"/>
  <c r="F52" i="277"/>
  <c r="BF43" i="277"/>
  <c r="AF68" i="27"/>
  <c r="AF26" i="27"/>
  <c r="AL55" i="263"/>
  <c r="F51" i="263"/>
  <c r="AE130" i="273"/>
  <c r="M38" i="202"/>
  <c r="AJ100" i="193"/>
  <c r="F53" i="263"/>
  <c r="O76" i="277"/>
  <c r="R76" i="277"/>
  <c r="R20" i="277"/>
  <c r="AV21" i="263"/>
  <c r="AJ100" i="238"/>
  <c r="F13" i="279"/>
  <c r="L28" i="294"/>
  <c r="BI40" i="281"/>
  <c r="BC43" i="281"/>
  <c r="BE25" i="281"/>
  <c r="BE30" i="281"/>
  <c r="BE31" i="281"/>
  <c r="BA25" i="281"/>
  <c r="BJ38" i="281"/>
  <c r="F28" i="292"/>
  <c r="F39" i="291"/>
  <c r="BB40" i="281"/>
  <c r="D28" i="292"/>
  <c r="X141" i="295"/>
  <c r="Z141" i="295"/>
  <c r="Z135" i="295"/>
  <c r="H28" i="294"/>
  <c r="AF135" i="295"/>
  <c r="AD141" i="295"/>
  <c r="AF141" i="295"/>
  <c r="AF118" i="295"/>
  <c r="BH27" i="281"/>
  <c r="F135" i="267"/>
  <c r="BE39" i="281"/>
  <c r="BD40" i="281"/>
  <c r="AA141" i="295"/>
  <c r="AC141" i="295"/>
  <c r="AC135" i="295"/>
  <c r="AW77" i="279"/>
  <c r="AN79" i="278"/>
  <c r="K118" i="295"/>
  <c r="BL79" i="278"/>
  <c r="AF46" i="27"/>
  <c r="K138" i="295"/>
  <c r="BD79" i="278"/>
  <c r="AJ135" i="283"/>
  <c r="AE62" i="26"/>
  <c r="AH21" i="284"/>
  <c r="R71" i="277"/>
  <c r="N18" i="277"/>
  <c r="K21" i="277"/>
  <c r="N21" i="277"/>
  <c r="K74" i="277"/>
  <c r="AF96" i="276"/>
  <c r="AF134" i="276"/>
  <c r="AE135" i="283"/>
  <c r="R54" i="277"/>
  <c r="BJ54" i="277"/>
  <c r="BK72" i="277"/>
  <c r="X134" i="276"/>
  <c r="BJ47" i="277"/>
  <c r="C55" i="263"/>
  <c r="R70" i="277"/>
  <c r="BN19" i="277"/>
  <c r="AI134" i="276"/>
  <c r="BJ20" i="277"/>
  <c r="BE76" i="277"/>
  <c r="AU72" i="263"/>
  <c r="AH55" i="263"/>
  <c r="T100" i="193"/>
  <c r="AI9" i="241"/>
  <c r="AN44" i="273"/>
  <c r="AN130" i="273"/>
  <c r="AE37" i="194"/>
  <c r="BI74" i="277"/>
  <c r="BI77" i="277"/>
  <c r="AV74" i="263"/>
  <c r="AV77" i="263"/>
  <c r="AF9" i="237"/>
  <c r="AL32" i="237"/>
  <c r="AJ78" i="236"/>
  <c r="AQ21" i="263"/>
  <c r="AH77" i="263"/>
  <c r="AF14" i="239"/>
  <c r="X101" i="236"/>
  <c r="AR55" i="263"/>
  <c r="D75" i="263"/>
  <c r="D77" i="263"/>
  <c r="D55" i="263"/>
  <c r="AC100" i="193"/>
  <c r="AI24" i="237"/>
  <c r="BD76" i="277"/>
  <c r="BD77" i="277"/>
  <c r="AH37" i="239"/>
  <c r="V100" i="240"/>
  <c r="BN60" i="277"/>
  <c r="BN72" i="277"/>
  <c r="BN69" i="277"/>
  <c r="N70" i="277"/>
  <c r="AX37" i="263"/>
  <c r="AU76" i="263"/>
  <c r="BD134" i="276"/>
  <c r="BJ48" i="281"/>
  <c r="BH49" i="281"/>
  <c r="BH43" i="281"/>
  <c r="BG43" i="281"/>
  <c r="AH55" i="284"/>
  <c r="AW76" i="263"/>
  <c r="AW77" i="263"/>
  <c r="AA101" i="236"/>
  <c r="BF43" i="281"/>
  <c r="BI45" i="281"/>
  <c r="G28" i="294"/>
  <c r="C33" i="291"/>
  <c r="C38" i="291"/>
  <c r="C36" i="291"/>
  <c r="E29" i="292"/>
  <c r="I35" i="291"/>
  <c r="I39" i="124"/>
  <c r="BJ30" i="281"/>
  <c r="BH31" i="281"/>
  <c r="BH25" i="281"/>
  <c r="BG25" i="281"/>
  <c r="D37" i="291"/>
  <c r="BC51" i="281"/>
  <c r="R141" i="295"/>
  <c r="T141" i="295"/>
  <c r="T135" i="295"/>
  <c r="AD72" i="284"/>
  <c r="BG76" i="277"/>
  <c r="BJ76" i="277"/>
  <c r="BL55" i="277"/>
  <c r="BJ43" i="277"/>
  <c r="AT69" i="263"/>
  <c r="AT72" i="263"/>
  <c r="AQ72" i="263"/>
  <c r="AI21" i="284"/>
  <c r="AE37" i="241"/>
  <c r="AH37" i="241"/>
  <c r="AD37" i="241"/>
  <c r="AF31" i="241"/>
  <c r="AF37" i="241"/>
  <c r="G6" i="303"/>
  <c r="F33" i="293"/>
  <c r="F37" i="293"/>
  <c r="D28" i="294"/>
  <c r="BC49" i="281"/>
  <c r="BH51" i="281"/>
  <c r="BJ34" i="281"/>
  <c r="BI29" i="281"/>
  <c r="BG29" i="281"/>
  <c r="BB43" i="281"/>
  <c r="L29" i="292"/>
  <c r="BC47" i="281"/>
  <c r="F26" i="292"/>
  <c r="D26" i="292"/>
  <c r="Z24" i="271"/>
  <c r="Z32" i="271"/>
  <c r="Z37" i="271"/>
  <c r="V141" i="295"/>
  <c r="W141" i="295"/>
  <c r="AX38" i="279"/>
  <c r="N141" i="295"/>
  <c r="Z37" i="295"/>
  <c r="M38" i="291"/>
  <c r="M33" i="291"/>
  <c r="M35" i="291"/>
  <c r="H135" i="295"/>
  <c r="H141" i="295"/>
  <c r="D27" i="292"/>
  <c r="AK77" i="279"/>
  <c r="X24" i="271"/>
  <c r="X32" i="271"/>
  <c r="X37" i="271"/>
  <c r="Q75" i="279"/>
  <c r="N70" i="295"/>
  <c r="X79" i="278"/>
  <c r="X127" i="278"/>
  <c r="AB79" i="278"/>
  <c r="AB127" i="278"/>
  <c r="BN70" i="277"/>
  <c r="J60" i="277"/>
  <c r="C74" i="277"/>
  <c r="F18" i="277"/>
  <c r="C21" i="277"/>
  <c r="F21" i="277"/>
  <c r="I55" i="277"/>
  <c r="AE59" i="26"/>
  <c r="AE40" i="26"/>
  <c r="I74" i="277"/>
  <c r="I21" i="277"/>
  <c r="AS21" i="263"/>
  <c r="AS74" i="263"/>
  <c r="AS77" i="263"/>
  <c r="BF102" i="274"/>
  <c r="E72" i="277"/>
  <c r="BC134" i="276"/>
  <c r="AF69" i="27"/>
  <c r="E62" i="248"/>
  <c r="BJ53" i="277"/>
  <c r="AA130" i="273"/>
  <c r="F70" i="263"/>
  <c r="F72" i="263"/>
  <c r="D72" i="263"/>
  <c r="AO72" i="263"/>
  <c r="AP69" i="263"/>
  <c r="AP72" i="263"/>
  <c r="G55" i="277"/>
  <c r="O134" i="276"/>
  <c r="I99" i="201"/>
  <c r="AJ99" i="236"/>
  <c r="J20" i="277"/>
  <c r="G76" i="277"/>
  <c r="J76" i="277"/>
  <c r="AX72" i="263"/>
  <c r="L100" i="193"/>
  <c r="AG55" i="238"/>
  <c r="AG100" i="238"/>
  <c r="AF31" i="237"/>
  <c r="AF37" i="237"/>
  <c r="AD37" i="237"/>
  <c r="BF51" i="277"/>
  <c r="BF53" i="277"/>
  <c r="AP68" i="263"/>
  <c r="AK37" i="237"/>
  <c r="BP96" i="276"/>
  <c r="BP134" i="276"/>
  <c r="S100" i="238"/>
  <c r="P101" i="236"/>
  <c r="AT37" i="263"/>
  <c r="U100" i="193"/>
  <c r="AI9" i="239"/>
  <c r="X100" i="238"/>
  <c r="AR38" i="263"/>
  <c r="AT38" i="263"/>
  <c r="BJ70" i="279"/>
  <c r="BJ72" i="279"/>
  <c r="AX21" i="279"/>
  <c r="AX74" i="279"/>
  <c r="AX77" i="279"/>
  <c r="BB21" i="279"/>
  <c r="H5" i="303"/>
  <c r="H6" i="303"/>
  <c r="N20" i="268"/>
  <c r="AC32" i="271"/>
  <c r="AC33" i="271"/>
  <c r="AC9" i="271"/>
  <c r="AC31" i="271"/>
  <c r="G36" i="293"/>
  <c r="G34" i="293"/>
  <c r="G33" i="293"/>
  <c r="F36" i="293"/>
  <c r="F39" i="293"/>
  <c r="F38" i="293"/>
  <c r="K36" i="293"/>
  <c r="J36" i="293"/>
  <c r="K34" i="293"/>
  <c r="K37" i="293"/>
  <c r="H38" i="293"/>
  <c r="H33" i="293"/>
  <c r="L39" i="293"/>
  <c r="D38" i="293"/>
  <c r="D33" i="293"/>
  <c r="H36" i="293"/>
  <c r="J33" i="293"/>
  <c r="J38" i="293"/>
  <c r="H37" i="293"/>
  <c r="J37" i="293"/>
  <c r="D36" i="293"/>
  <c r="H34" i="293"/>
  <c r="K38" i="293"/>
  <c r="K33" i="293"/>
  <c r="C39" i="293"/>
  <c r="D37" i="293"/>
  <c r="H35" i="293"/>
  <c r="J35" i="293"/>
  <c r="D34" i="293"/>
  <c r="Z34" i="296"/>
  <c r="BM127" i="278"/>
  <c r="BP126" i="278"/>
  <c r="BN127" i="278"/>
  <c r="BN37" i="279"/>
  <c r="BK38" i="279"/>
  <c r="BP115" i="278"/>
  <c r="BO127" i="278"/>
  <c r="BP79" i="278"/>
  <c r="BM38" i="279"/>
  <c r="BE38" i="279"/>
  <c r="F43" i="279"/>
  <c r="BF26" i="279"/>
  <c r="BN30" i="279"/>
  <c r="BN35" i="279"/>
  <c r="P74" i="279"/>
  <c r="BN26" i="279"/>
  <c r="F52" i="279"/>
  <c r="J28" i="233"/>
  <c r="J27" i="233"/>
  <c r="O82" i="268"/>
  <c r="N73" i="268"/>
  <c r="D76" i="268"/>
  <c r="N81" i="268"/>
  <c r="F76" i="268"/>
  <c r="N83" i="268"/>
  <c r="F79" i="268"/>
  <c r="O79" i="268"/>
  <c r="E79" i="268"/>
  <c r="N79" i="268"/>
  <c r="K84" i="268"/>
  <c r="O37" i="268"/>
  <c r="M76" i="268"/>
  <c r="O75" i="268"/>
  <c r="O78" i="268"/>
  <c r="L76" i="268"/>
  <c r="N75" i="268"/>
  <c r="N78" i="268"/>
  <c r="K76" i="268"/>
  <c r="O71" i="268"/>
  <c r="O80" i="268"/>
  <c r="J84" i="268"/>
  <c r="N37" i="268"/>
  <c r="M84" i="268"/>
  <c r="I76" i="268"/>
  <c r="O54" i="268"/>
  <c r="O74" i="268"/>
  <c r="O20" i="268"/>
  <c r="L84" i="268"/>
  <c r="H76" i="268"/>
  <c r="N54" i="268"/>
  <c r="N74" i="268"/>
  <c r="G76" i="268"/>
  <c r="O83" i="268"/>
  <c r="J76" i="268"/>
  <c r="N71" i="268"/>
  <c r="N80" i="268"/>
  <c r="E76" i="268"/>
  <c r="O81" i="268"/>
  <c r="O73" i="268"/>
  <c r="N102" i="173"/>
  <c r="BO100" i="274"/>
  <c r="I5" i="303"/>
  <c r="I4" i="303"/>
  <c r="E5" i="303"/>
  <c r="E4" i="303"/>
  <c r="H77" i="277"/>
  <c r="AO77" i="263"/>
  <c r="AT21" i="263"/>
  <c r="AX75" i="263"/>
  <c r="AB130" i="273"/>
  <c r="AV130" i="273"/>
  <c r="AF130" i="273"/>
  <c r="AX38" i="263"/>
  <c r="AP21" i="263"/>
  <c r="O162" i="268"/>
  <c r="O215" i="268"/>
  <c r="O218" i="268"/>
  <c r="BL77" i="277"/>
  <c r="J55" i="277"/>
  <c r="I77" i="277"/>
  <c r="F75" i="277"/>
  <c r="D77" i="277"/>
  <c r="BN38" i="277"/>
  <c r="L77" i="277"/>
  <c r="G39" i="293"/>
  <c r="BC22" i="281"/>
  <c r="BB22" i="281"/>
  <c r="BE38" i="281"/>
  <c r="BA31" i="281"/>
  <c r="BB49" i="281"/>
  <c r="BJ18" i="281"/>
  <c r="BJ47" i="281"/>
  <c r="BE36" i="281"/>
  <c r="BJ43" i="281"/>
  <c r="BE34" i="281"/>
  <c r="BF49" i="281"/>
  <c r="BJ29" i="281"/>
  <c r="BJ27" i="281"/>
  <c r="BC40" i="281"/>
  <c r="BJ25" i="281"/>
  <c r="BJ45" i="281"/>
  <c r="BI49" i="281"/>
  <c r="BG40" i="281"/>
  <c r="BJ40" i="281"/>
  <c r="BJ7" i="281"/>
  <c r="BJ16" i="281"/>
  <c r="D29" i="292"/>
  <c r="F29" i="292"/>
  <c r="K39" i="291"/>
  <c r="H34" i="291"/>
  <c r="H38" i="291"/>
  <c r="H37" i="291"/>
  <c r="H35" i="291"/>
  <c r="H33" i="291"/>
  <c r="K141" i="295"/>
  <c r="BF75" i="277"/>
  <c r="P77" i="277"/>
  <c r="F76" i="277"/>
  <c r="BN55" i="277"/>
  <c r="E77" i="277"/>
  <c r="BJ55" i="277"/>
  <c r="J21" i="277"/>
  <c r="BF76" i="277"/>
  <c r="BF55" i="277"/>
  <c r="BE77" i="277"/>
  <c r="N76" i="277"/>
  <c r="F74" i="263"/>
  <c r="AL37" i="239"/>
  <c r="AJ101" i="236"/>
  <c r="AX76" i="263"/>
  <c r="AT75" i="263"/>
  <c r="BJ22" i="281"/>
  <c r="BF22" i="281"/>
  <c r="BE51" i="281"/>
  <c r="BE52" i="281"/>
  <c r="BE13" i="281"/>
  <c r="BD13" i="281"/>
  <c r="F72" i="277"/>
  <c r="J74" i="277"/>
  <c r="G77" i="277"/>
  <c r="J77" i="277"/>
  <c r="BH22" i="281"/>
  <c r="BA40" i="281"/>
  <c r="AT76" i="263"/>
  <c r="BF74" i="277"/>
  <c r="BC77" i="277"/>
  <c r="BE22" i="281"/>
  <c r="BA22" i="281"/>
  <c r="J39" i="291"/>
  <c r="BD49" i="281"/>
  <c r="G38" i="291"/>
  <c r="G33" i="291"/>
  <c r="G37" i="291"/>
  <c r="G35" i="291"/>
  <c r="G36" i="291"/>
  <c r="AT74" i="263"/>
  <c r="BB13" i="281"/>
  <c r="AP74" i="263"/>
  <c r="AP77" i="263"/>
  <c r="AM77" i="263"/>
  <c r="F75" i="263"/>
  <c r="F77" i="263"/>
  <c r="M39" i="291"/>
  <c r="BG31" i="281"/>
  <c r="BF31" i="281"/>
  <c r="BG49" i="281"/>
  <c r="AH77" i="284"/>
  <c r="R21" i="277"/>
  <c r="E39" i="291"/>
  <c r="AF37" i="239"/>
  <c r="BI22" i="281"/>
  <c r="I39" i="291"/>
  <c r="BJ75" i="277"/>
  <c r="K77" i="277"/>
  <c r="N77" i="277"/>
  <c r="N74" i="277"/>
  <c r="BB31" i="281"/>
  <c r="C39" i="291"/>
  <c r="BA13" i="281"/>
  <c r="R74" i="277"/>
  <c r="O77" i="277"/>
  <c r="R77" i="277"/>
  <c r="C77" i="263"/>
  <c r="BI31" i="281"/>
  <c r="BD31" i="281"/>
  <c r="BA49" i="281"/>
  <c r="AU77" i="263"/>
  <c r="AX74" i="263"/>
  <c r="AX77" i="263"/>
  <c r="AL37" i="237"/>
  <c r="C77" i="277"/>
  <c r="F77" i="277"/>
  <c r="F74" i="277"/>
  <c r="BJ49" i="281"/>
  <c r="BG77" i="277"/>
  <c r="BJ74" i="277"/>
  <c r="BG22" i="281"/>
  <c r="BN74" i="277"/>
  <c r="BN77" i="277"/>
  <c r="BK77" i="277"/>
  <c r="D39" i="291"/>
  <c r="AF71" i="27"/>
  <c r="BJ51" i="281"/>
  <c r="BF52" i="281"/>
  <c r="BF13" i="281"/>
  <c r="BG13" i="281"/>
  <c r="BI13" i="281"/>
  <c r="J75" i="277"/>
  <c r="BC31" i="281"/>
  <c r="F55" i="263"/>
  <c r="N72" i="277"/>
  <c r="AQ77" i="263"/>
  <c r="I6" i="303"/>
  <c r="K39" i="293"/>
  <c r="J39" i="293"/>
  <c r="H39" i="293"/>
  <c r="D39" i="293"/>
  <c r="N76" i="268"/>
  <c r="N84" i="268"/>
  <c r="F84" i="268"/>
  <c r="O76" i="268"/>
  <c r="O84" i="268"/>
  <c r="E84" i="268"/>
  <c r="E6" i="303"/>
  <c r="BE40" i="281"/>
  <c r="BA52" i="281"/>
  <c r="H39" i="291"/>
  <c r="BJ77" i="277"/>
  <c r="BF77" i="277"/>
  <c r="BG52" i="281"/>
  <c r="G39" i="291"/>
  <c r="BI52" i="281"/>
  <c r="BJ13" i="281"/>
  <c r="BJ31" i="281"/>
  <c r="AT77" i="263"/>
  <c r="BB52" i="281"/>
  <c r="BD52" i="281"/>
  <c r="BC52" i="281"/>
  <c r="BH52" i="281"/>
  <c r="BC53" i="281"/>
  <c r="BJ52" i="281"/>
  <c r="BH53" i="281"/>
  <c r="AF15" i="336"/>
  <c r="L84" i="336"/>
  <c r="AF13" i="336"/>
  <c r="T14" i="336"/>
  <c r="X14" i="336"/>
  <c r="AJ9" i="336"/>
  <c r="G142" i="336"/>
  <c r="T29" i="336"/>
  <c r="C157" i="336"/>
  <c r="T22" i="336"/>
  <c r="T17" i="336"/>
  <c r="T9" i="336"/>
  <c r="C142" i="336"/>
  <c r="X32" i="336"/>
  <c r="D99" i="336"/>
  <c r="X22" i="336"/>
  <c r="X17" i="336"/>
  <c r="D16" i="336"/>
  <c r="X12" i="336"/>
  <c r="X9" i="336"/>
  <c r="AZ23" i="336"/>
  <c r="BL14" i="336"/>
  <c r="N13" i="336"/>
  <c r="AF10" i="336"/>
  <c r="F77" i="336"/>
  <c r="AN32" i="336"/>
  <c r="AN29" i="336"/>
  <c r="H96" i="336"/>
  <c r="AN27" i="336"/>
  <c r="AN24" i="336"/>
  <c r="AN22" i="336"/>
  <c r="AN19" i="336"/>
  <c r="AN17" i="336"/>
  <c r="AN14" i="336"/>
  <c r="AN12" i="336"/>
  <c r="AN9" i="336"/>
  <c r="AR30" i="336"/>
  <c r="AR28" i="336"/>
  <c r="I95" i="336"/>
  <c r="AR25" i="336"/>
  <c r="AR23" i="336"/>
  <c r="AR20" i="336"/>
  <c r="I153" i="336"/>
  <c r="AR18" i="336"/>
  <c r="I85" i="336"/>
  <c r="AR15" i="336"/>
  <c r="AR13" i="336"/>
  <c r="AR10" i="336"/>
  <c r="AR8" i="336"/>
  <c r="I75" i="336"/>
  <c r="AB32" i="336"/>
  <c r="AB29" i="336"/>
  <c r="AB27" i="336"/>
  <c r="AB24" i="336"/>
  <c r="AB22" i="336"/>
  <c r="AB19" i="336"/>
  <c r="AB17" i="336"/>
  <c r="AB14" i="336"/>
  <c r="AB12" i="336"/>
  <c r="AB9" i="336"/>
  <c r="AF30" i="336"/>
  <c r="F97" i="336"/>
  <c r="AF28" i="336"/>
  <c r="AF25" i="336"/>
  <c r="AF23" i="336"/>
  <c r="AF20" i="336"/>
  <c r="F87" i="336"/>
  <c r="AF18" i="336"/>
  <c r="F17" i="336"/>
  <c r="AF8" i="336"/>
  <c r="F75" i="336"/>
  <c r="AJ32" i="336"/>
  <c r="G99" i="336"/>
  <c r="AJ29" i="336"/>
  <c r="AJ27" i="336"/>
  <c r="AJ24" i="336"/>
  <c r="AJ22" i="336"/>
  <c r="T7" i="336"/>
  <c r="C6" i="336"/>
  <c r="AN25" i="336"/>
  <c r="AR24" i="336"/>
  <c r="AR17" i="336"/>
  <c r="I16" i="336"/>
  <c r="AB28" i="336"/>
  <c r="AJ7" i="336"/>
  <c r="AJ20" i="336"/>
  <c r="AJ13" i="336"/>
  <c r="AJ8" i="336"/>
  <c r="G75" i="336"/>
  <c r="T25" i="336"/>
  <c r="T23" i="336"/>
  <c r="T18" i="336"/>
  <c r="T13" i="336"/>
  <c r="T8" i="336"/>
  <c r="X30" i="336"/>
  <c r="D97" i="336"/>
  <c r="X25" i="336"/>
  <c r="X23" i="336"/>
  <c r="X20" i="336"/>
  <c r="D87" i="336"/>
  <c r="X15" i="336"/>
  <c r="X13" i="336"/>
  <c r="X10" i="336"/>
  <c r="D77" i="336"/>
  <c r="AJ19" i="336"/>
  <c r="AJ17" i="336"/>
  <c r="AJ14" i="336"/>
  <c r="AJ12" i="336"/>
  <c r="T32" i="336"/>
  <c r="C99" i="336"/>
  <c r="T27" i="336"/>
  <c r="T24" i="336"/>
  <c r="T19" i="336"/>
  <c r="C18" i="336"/>
  <c r="T12" i="336"/>
  <c r="X29" i="336"/>
  <c r="D96" i="336"/>
  <c r="X27" i="336"/>
  <c r="D94" i="336"/>
  <c r="X24" i="336"/>
  <c r="X19" i="336"/>
  <c r="D18" i="336"/>
  <c r="AV7" i="336"/>
  <c r="J74" i="336"/>
  <c r="AV12" i="336"/>
  <c r="BL19" i="336"/>
  <c r="BL9" i="336"/>
  <c r="N8" i="336"/>
  <c r="AZ12" i="336"/>
  <c r="BL10" i="336"/>
  <c r="N9" i="336"/>
  <c r="BH22" i="336"/>
  <c r="BH7" i="336"/>
  <c r="BD22" i="336"/>
  <c r="BL32" i="336"/>
  <c r="N31" i="336"/>
  <c r="BL27" i="336"/>
  <c r="BL22" i="336"/>
  <c r="BL17" i="336"/>
  <c r="BL12" i="336"/>
  <c r="N11" i="336"/>
  <c r="BL7" i="336"/>
  <c r="BL23" i="336"/>
  <c r="BL18" i="336"/>
  <c r="BL13" i="336"/>
  <c r="N12" i="336"/>
  <c r="BH29" i="336"/>
  <c r="M96" i="336"/>
  <c r="BH24" i="336"/>
  <c r="BH19" i="336"/>
  <c r="BH14" i="336"/>
  <c r="BH9" i="336"/>
  <c r="M76" i="336"/>
  <c r="BH30" i="336"/>
  <c r="BH25" i="336"/>
  <c r="BH20" i="336"/>
  <c r="BH15" i="336"/>
  <c r="BH10" i="336"/>
  <c r="BD7" i="336"/>
  <c r="BD30" i="336"/>
  <c r="BD28" i="336"/>
  <c r="BD25" i="336"/>
  <c r="BD23" i="336"/>
  <c r="BD20" i="336"/>
  <c r="BD18" i="336"/>
  <c r="BD14" i="336"/>
  <c r="L81" i="336"/>
  <c r="BD12" i="336"/>
  <c r="BD9" i="336"/>
  <c r="AZ32" i="336"/>
  <c r="AZ29" i="336"/>
  <c r="AZ27" i="336"/>
  <c r="AZ24" i="336"/>
  <c r="AZ22" i="336"/>
  <c r="AZ19" i="336"/>
  <c r="AZ17" i="336"/>
  <c r="AZ14" i="336"/>
  <c r="K81" i="336"/>
  <c r="AZ9" i="336"/>
  <c r="AV30" i="336"/>
  <c r="AV28" i="336"/>
  <c r="AV25" i="336"/>
  <c r="AV23" i="336"/>
  <c r="AV20" i="336"/>
  <c r="J19" i="336"/>
  <c r="AV18" i="336"/>
  <c r="AV15" i="336"/>
  <c r="J82" i="336"/>
  <c r="AV13" i="336"/>
  <c r="AV10" i="336"/>
  <c r="J143" i="336"/>
  <c r="AV8" i="336"/>
  <c r="X7" i="336"/>
  <c r="BL29" i="336"/>
  <c r="BL24" i="336"/>
  <c r="BH32" i="336"/>
  <c r="M160" i="336"/>
  <c r="BH27" i="336"/>
  <c r="BH12" i="336"/>
  <c r="AN7" i="336"/>
  <c r="AN30" i="336"/>
  <c r="AN28" i="336"/>
  <c r="AN23" i="336"/>
  <c r="AN20" i="336"/>
  <c r="AN18" i="336"/>
  <c r="AN15" i="336"/>
  <c r="AN13" i="336"/>
  <c r="AN10" i="336"/>
  <c r="AN8" i="336"/>
  <c r="H75" i="336"/>
  <c r="AR32" i="336"/>
  <c r="AR29" i="336"/>
  <c r="AR27" i="336"/>
  <c r="AR22" i="336"/>
  <c r="AR19" i="336"/>
  <c r="AR14" i="336"/>
  <c r="AR12" i="336"/>
  <c r="AR9" i="336"/>
  <c r="AB7" i="336"/>
  <c r="AB30" i="336"/>
  <c r="AB25" i="336"/>
  <c r="AB23" i="336"/>
  <c r="AB20" i="336"/>
  <c r="AB18" i="336"/>
  <c r="AB15" i="336"/>
  <c r="AB13" i="336"/>
  <c r="AB10" i="336"/>
  <c r="AB8" i="336"/>
  <c r="AF32" i="336"/>
  <c r="AF29" i="336"/>
  <c r="AF27" i="336"/>
  <c r="AF24" i="336"/>
  <c r="AF22" i="336"/>
  <c r="AF19" i="336"/>
  <c r="AF17" i="336"/>
  <c r="AF14" i="336"/>
  <c r="AF12" i="336"/>
  <c r="AF9" i="336"/>
  <c r="AJ30" i="336"/>
  <c r="G29" i="336"/>
  <c r="AJ28" i="336"/>
  <c r="AJ25" i="336"/>
  <c r="AJ23" i="336"/>
  <c r="AJ18" i="336"/>
  <c r="AJ15" i="336"/>
  <c r="AJ10" i="336"/>
  <c r="T30" i="336"/>
  <c r="T28" i="336"/>
  <c r="T20" i="336"/>
  <c r="T15" i="336"/>
  <c r="T10" i="336"/>
  <c r="C9" i="336"/>
  <c r="X28" i="336"/>
  <c r="X18" i="336"/>
  <c r="D17" i="336"/>
  <c r="X8" i="336"/>
  <c r="BL30" i="336"/>
  <c r="BL25" i="336"/>
  <c r="BL20" i="336"/>
  <c r="BL15" i="336"/>
  <c r="N14" i="336"/>
  <c r="BH28" i="336"/>
  <c r="BH23" i="336"/>
  <c r="BH18" i="336"/>
  <c r="BH13" i="336"/>
  <c r="BH8" i="336"/>
  <c r="BD32" i="336"/>
  <c r="BD27" i="336"/>
  <c r="BD15" i="336"/>
  <c r="BD10" i="336"/>
  <c r="AZ7" i="336"/>
  <c r="AZ28" i="336"/>
  <c r="AZ18" i="336"/>
  <c r="AZ13" i="336"/>
  <c r="AZ8" i="336"/>
  <c r="AV29" i="336"/>
  <c r="AV22" i="336"/>
  <c r="AV19" i="336"/>
  <c r="AV14" i="336"/>
  <c r="J13" i="336"/>
  <c r="AV9" i="336"/>
  <c r="J8" i="336"/>
  <c r="BL28" i="336"/>
  <c r="BL8" i="336"/>
  <c r="N7" i="336"/>
  <c r="BH17" i="336"/>
  <c r="M16" i="336"/>
  <c r="E84" i="336"/>
  <c r="N146" i="336"/>
  <c r="H152" i="336"/>
  <c r="J79" i="336"/>
  <c r="I84" i="336"/>
  <c r="H76" i="336"/>
  <c r="E76" i="336"/>
  <c r="C152" i="336"/>
  <c r="BD29" i="336"/>
  <c r="L28" i="336"/>
  <c r="BD24" i="336"/>
  <c r="BD19" i="336"/>
  <c r="L18" i="336"/>
  <c r="BD13" i="336"/>
  <c r="L12" i="336"/>
  <c r="BD8" i="336"/>
  <c r="L7" i="336"/>
  <c r="AZ30" i="336"/>
  <c r="K29" i="336"/>
  <c r="AZ25" i="336"/>
  <c r="AZ20" i="336"/>
  <c r="K19" i="336"/>
  <c r="AZ15" i="336"/>
  <c r="K14" i="336"/>
  <c r="AZ10" i="336"/>
  <c r="K9" i="336"/>
  <c r="AV32" i="336"/>
  <c r="J31" i="336"/>
  <c r="AV27" i="336"/>
  <c r="J26" i="336"/>
  <c r="AV24" i="336"/>
  <c r="AV17" i="336"/>
  <c r="J16" i="336"/>
  <c r="AR7" i="336"/>
  <c r="AF7" i="336"/>
  <c r="F6" i="336"/>
  <c r="E86" i="336"/>
  <c r="E87" i="336"/>
  <c r="F95" i="336"/>
  <c r="E151" i="336"/>
  <c r="E157" i="336"/>
  <c r="G96" i="336"/>
  <c r="E95" i="336"/>
  <c r="D150" i="336"/>
  <c r="J87" i="336"/>
  <c r="D84" i="336"/>
  <c r="J153" i="336"/>
  <c r="I150" i="336"/>
  <c r="C86" i="336"/>
  <c r="K146" i="336"/>
  <c r="K12" i="336"/>
  <c r="D156" i="336"/>
  <c r="D27" i="336"/>
  <c r="N27" i="336"/>
  <c r="N95" i="336"/>
  <c r="L82" i="336"/>
  <c r="L14" i="336"/>
  <c r="C158" i="336"/>
  <c r="C29" i="336"/>
  <c r="F142" i="336"/>
  <c r="F8" i="336"/>
  <c r="F157" i="336"/>
  <c r="F28" i="336"/>
  <c r="H141" i="336"/>
  <c r="H7" i="336"/>
  <c r="J148" i="336"/>
  <c r="J14" i="336"/>
  <c r="J92" i="336"/>
  <c r="J24" i="336"/>
  <c r="K91" i="336"/>
  <c r="K23" i="336"/>
  <c r="L142" i="336"/>
  <c r="L8" i="336"/>
  <c r="L87" i="336"/>
  <c r="L19" i="336"/>
  <c r="L158" i="336"/>
  <c r="L29" i="336"/>
  <c r="M87" i="336"/>
  <c r="M19" i="336"/>
  <c r="M147" i="336"/>
  <c r="M13" i="336"/>
  <c r="J145" i="336"/>
  <c r="J11" i="336"/>
  <c r="D155" i="336"/>
  <c r="D26" i="336"/>
  <c r="G81" i="336"/>
  <c r="G13" i="336"/>
  <c r="D80" i="336"/>
  <c r="D12" i="336"/>
  <c r="C151" i="336"/>
  <c r="C17" i="336"/>
  <c r="G80" i="336"/>
  <c r="G12" i="336"/>
  <c r="G160" i="336"/>
  <c r="G31" i="336"/>
  <c r="E142" i="336"/>
  <c r="E8" i="336"/>
  <c r="E152" i="336"/>
  <c r="E18" i="336"/>
  <c r="E96" i="336"/>
  <c r="E28" i="336"/>
  <c r="I80" i="336"/>
  <c r="I12" i="336"/>
  <c r="H142" i="336"/>
  <c r="H8" i="336"/>
  <c r="H86" i="336"/>
  <c r="H18" i="336"/>
  <c r="H157" i="336"/>
  <c r="H28" i="336"/>
  <c r="K90" i="336"/>
  <c r="K22" i="336"/>
  <c r="L91" i="336"/>
  <c r="L23" i="336"/>
  <c r="J86" i="336"/>
  <c r="J18" i="336"/>
  <c r="M141" i="336"/>
  <c r="M7" i="336"/>
  <c r="G85" i="336"/>
  <c r="G17" i="336"/>
  <c r="J91" i="336"/>
  <c r="J23" i="336"/>
  <c r="J89" i="336"/>
  <c r="J21" i="336"/>
  <c r="K85" i="336"/>
  <c r="K17" i="336"/>
  <c r="M146" i="336"/>
  <c r="M12" i="336"/>
  <c r="F152" i="336"/>
  <c r="F18" i="336"/>
  <c r="E80" i="336"/>
  <c r="E12" i="336"/>
  <c r="I142" i="336"/>
  <c r="I8" i="336"/>
  <c r="H151" i="336"/>
  <c r="H17" i="336"/>
  <c r="H158" i="336"/>
  <c r="H29" i="336"/>
  <c r="K147" i="336"/>
  <c r="K13" i="336"/>
  <c r="L97" i="336"/>
  <c r="N81" i="336"/>
  <c r="J157" i="336"/>
  <c r="J28" i="336"/>
  <c r="K156" i="336"/>
  <c r="K27" i="336"/>
  <c r="L155" i="336"/>
  <c r="L26" i="336"/>
  <c r="M151" i="336"/>
  <c r="M17" i="336"/>
  <c r="N19" i="336"/>
  <c r="N87" i="336"/>
  <c r="D75" i="336"/>
  <c r="D7" i="336"/>
  <c r="G77" i="336"/>
  <c r="G9" i="336"/>
  <c r="F79" i="336"/>
  <c r="F11" i="336"/>
  <c r="F99" i="336"/>
  <c r="F31" i="336"/>
  <c r="E82" i="336"/>
  <c r="E14" i="336"/>
  <c r="I79" i="336"/>
  <c r="I11" i="336"/>
  <c r="I155" i="336"/>
  <c r="I26" i="336"/>
  <c r="H143" i="336"/>
  <c r="H9" i="336"/>
  <c r="H153" i="336"/>
  <c r="H19" i="336"/>
  <c r="H140" i="336"/>
  <c r="H6" i="336"/>
  <c r="N91" i="336"/>
  <c r="N23" i="336"/>
  <c r="J141" i="336"/>
  <c r="J7" i="336"/>
  <c r="J85" i="336"/>
  <c r="J17" i="336"/>
  <c r="J156" i="336"/>
  <c r="J27" i="336"/>
  <c r="K150" i="336"/>
  <c r="K16" i="336"/>
  <c r="K155" i="336"/>
  <c r="K26" i="336"/>
  <c r="L79" i="336"/>
  <c r="L11" i="336"/>
  <c r="L90" i="336"/>
  <c r="L22" i="336"/>
  <c r="L140" i="336"/>
  <c r="L6" i="336"/>
  <c r="M92" i="336"/>
  <c r="M24" i="336"/>
  <c r="M86" i="336"/>
  <c r="M18" i="336"/>
  <c r="N17" i="336"/>
  <c r="N85" i="336"/>
  <c r="N84" i="336"/>
  <c r="N16" i="336"/>
  <c r="L89" i="336"/>
  <c r="L21" i="336"/>
  <c r="K145" i="336"/>
  <c r="K11" i="336"/>
  <c r="J140" i="336"/>
  <c r="J6" i="336"/>
  <c r="D157" i="336"/>
  <c r="D28" i="336"/>
  <c r="C155" i="336"/>
  <c r="C26" i="336"/>
  <c r="G150" i="336"/>
  <c r="G16" i="336"/>
  <c r="D82" i="336"/>
  <c r="D14" i="336"/>
  <c r="D158" i="336"/>
  <c r="D29" i="336"/>
  <c r="G87" i="336"/>
  <c r="G19" i="336"/>
  <c r="F141" i="336"/>
  <c r="F7" i="336"/>
  <c r="E79" i="336"/>
  <c r="E11" i="336"/>
  <c r="E160" i="336"/>
  <c r="E31" i="336"/>
  <c r="I82" i="336"/>
  <c r="I14" i="336"/>
  <c r="H79" i="336"/>
  <c r="H11" i="336"/>
  <c r="H160" i="336"/>
  <c r="H31" i="336"/>
  <c r="D142" i="336"/>
  <c r="D8" i="336"/>
  <c r="D160" i="336"/>
  <c r="D31" i="336"/>
  <c r="C96" i="336"/>
  <c r="C28" i="336"/>
  <c r="F80" i="336"/>
  <c r="F12" i="336"/>
  <c r="I140" i="336"/>
  <c r="I6" i="336"/>
  <c r="K92" i="336"/>
  <c r="K24" i="336"/>
  <c r="K141" i="336"/>
  <c r="K7" i="336"/>
  <c r="K140" i="336"/>
  <c r="K6" i="336"/>
  <c r="L31" i="336"/>
  <c r="M31" i="336"/>
  <c r="M90" i="336"/>
  <c r="M22" i="336"/>
  <c r="N24" i="336"/>
  <c r="N92" i="336"/>
  <c r="C87" i="336"/>
  <c r="C19" i="336"/>
  <c r="G82" i="336"/>
  <c r="G14" i="336"/>
  <c r="G156" i="336"/>
  <c r="G27" i="336"/>
  <c r="F81" i="336"/>
  <c r="F13" i="336"/>
  <c r="E75" i="336"/>
  <c r="E7" i="336"/>
  <c r="E85" i="336"/>
  <c r="E17" i="336"/>
  <c r="E158" i="336"/>
  <c r="E29" i="336"/>
  <c r="I81" i="336"/>
  <c r="I13" i="336"/>
  <c r="I157" i="336"/>
  <c r="I28" i="336"/>
  <c r="H80" i="336"/>
  <c r="H12" i="336"/>
  <c r="M79" i="336"/>
  <c r="M11" i="336"/>
  <c r="N28" i="336"/>
  <c r="N96" i="336"/>
  <c r="J77" i="336"/>
  <c r="J9" i="336"/>
  <c r="J97" i="336"/>
  <c r="J29" i="336"/>
  <c r="K152" i="336"/>
  <c r="K18" i="336"/>
  <c r="K157" i="336"/>
  <c r="K28" i="336"/>
  <c r="L147" i="336"/>
  <c r="L13" i="336"/>
  <c r="L92" i="336"/>
  <c r="L24" i="336"/>
  <c r="M143" i="336"/>
  <c r="M9" i="336"/>
  <c r="M158" i="336"/>
  <c r="M29" i="336"/>
  <c r="M91" i="336"/>
  <c r="M23" i="336"/>
  <c r="N22" i="336"/>
  <c r="N90" i="336"/>
  <c r="N21" i="336"/>
  <c r="N89" i="336"/>
  <c r="M140" i="336"/>
  <c r="M6" i="336"/>
  <c r="C160" i="336"/>
  <c r="C31" i="336"/>
  <c r="G152" i="336"/>
  <c r="G18" i="336"/>
  <c r="D153" i="336"/>
  <c r="D19" i="336"/>
  <c r="C75" i="336"/>
  <c r="C7" i="336"/>
  <c r="G140" i="336"/>
  <c r="G6" i="336"/>
  <c r="G94" i="336"/>
  <c r="G26" i="336"/>
  <c r="F156" i="336"/>
  <c r="F27" i="336"/>
  <c r="E81" i="336"/>
  <c r="E13" i="336"/>
  <c r="I141" i="336"/>
  <c r="I7" i="336"/>
  <c r="I151" i="336"/>
  <c r="I17" i="336"/>
  <c r="I156" i="336"/>
  <c r="I27" i="336"/>
  <c r="H81" i="336"/>
  <c r="H13" i="336"/>
  <c r="F143" i="336"/>
  <c r="F9" i="336"/>
  <c r="D79" i="336"/>
  <c r="D11" i="336"/>
  <c r="C76" i="336"/>
  <c r="C8" i="336"/>
  <c r="G76" i="336"/>
  <c r="G8" i="336"/>
  <c r="L143" i="336"/>
  <c r="L9" i="336"/>
  <c r="M156" i="336"/>
  <c r="M27" i="336"/>
  <c r="N29" i="336"/>
  <c r="N97" i="336"/>
  <c r="C156" i="336"/>
  <c r="C27" i="336"/>
  <c r="F84" i="336"/>
  <c r="F16" i="336"/>
  <c r="F94" i="336"/>
  <c r="F26" i="336"/>
  <c r="E143" i="336"/>
  <c r="E9" i="336"/>
  <c r="E153" i="336"/>
  <c r="E19" i="336"/>
  <c r="E74" i="336"/>
  <c r="E6" i="336"/>
  <c r="I152" i="336"/>
  <c r="I18" i="336"/>
  <c r="I160" i="336"/>
  <c r="I31" i="336"/>
  <c r="H82" i="336"/>
  <c r="H14" i="336"/>
  <c r="H95" i="336"/>
  <c r="H27" i="336"/>
  <c r="M155" i="336"/>
  <c r="M26" i="336"/>
  <c r="D140" i="336"/>
  <c r="D6" i="336"/>
  <c r="J146" i="336"/>
  <c r="J12" i="336"/>
  <c r="J90" i="336"/>
  <c r="J22" i="336"/>
  <c r="K76" i="336"/>
  <c r="K8" i="336"/>
  <c r="K89" i="336"/>
  <c r="K21" i="336"/>
  <c r="K99" i="336"/>
  <c r="K31" i="336"/>
  <c r="L151" i="336"/>
  <c r="L17" i="336"/>
  <c r="L156" i="336"/>
  <c r="L27" i="336"/>
  <c r="M148" i="336"/>
  <c r="M14" i="336"/>
  <c r="M142" i="336"/>
  <c r="M8" i="336"/>
  <c r="M157" i="336"/>
  <c r="M28" i="336"/>
  <c r="N26" i="336"/>
  <c r="N94" i="336"/>
  <c r="M89" i="336"/>
  <c r="M21" i="336"/>
  <c r="N86" i="336"/>
  <c r="N18" i="336"/>
  <c r="G79" i="336"/>
  <c r="G11" i="336"/>
  <c r="D143" i="336"/>
  <c r="D9" i="336"/>
  <c r="G141" i="336"/>
  <c r="G7" i="336"/>
  <c r="E156" i="336"/>
  <c r="E27" i="336"/>
  <c r="G157" i="336"/>
  <c r="G28" i="336"/>
  <c r="F153" i="336"/>
  <c r="F19" i="336"/>
  <c r="F158" i="336"/>
  <c r="F29" i="336"/>
  <c r="E150" i="336"/>
  <c r="E16" i="336"/>
  <c r="E155" i="336"/>
  <c r="E26" i="336"/>
  <c r="I143" i="336"/>
  <c r="I9" i="336"/>
  <c r="I87" i="336"/>
  <c r="I19" i="336"/>
  <c r="I158" i="336"/>
  <c r="I29" i="336"/>
  <c r="H150" i="336"/>
  <c r="H16" i="336"/>
  <c r="H155" i="336"/>
  <c r="H26" i="336"/>
  <c r="C150" i="336"/>
  <c r="C16" i="336"/>
  <c r="D81" i="336"/>
  <c r="D13" i="336"/>
  <c r="F82" i="336"/>
  <c r="F14" i="336"/>
  <c r="H99" i="336"/>
  <c r="I77" i="336"/>
  <c r="G153" i="336"/>
  <c r="G84" i="336"/>
  <c r="C94" i="336"/>
  <c r="G86" i="336"/>
  <c r="E99" i="336"/>
  <c r="D76" i="336"/>
  <c r="K96" i="336"/>
  <c r="H94" i="336"/>
  <c r="M97" i="336"/>
  <c r="E94" i="336"/>
  <c r="C84" i="336"/>
  <c r="I97" i="336"/>
  <c r="N148" i="336"/>
  <c r="N80" i="336"/>
  <c r="N145" i="336"/>
  <c r="N160" i="336"/>
  <c r="N143" i="336"/>
  <c r="N141" i="336"/>
  <c r="N153" i="336"/>
  <c r="N150" i="336"/>
  <c r="N156" i="336"/>
  <c r="N157" i="336"/>
  <c r="N142" i="336"/>
  <c r="N140" i="336"/>
  <c r="N6" i="336"/>
  <c r="N155" i="336"/>
  <c r="N152" i="336"/>
  <c r="N147" i="336"/>
  <c r="G155" i="336"/>
  <c r="G74" i="336"/>
  <c r="I76" i="336"/>
  <c r="L74" i="336"/>
  <c r="C85" i="336"/>
  <c r="C141" i="336"/>
  <c r="K79" i="336"/>
  <c r="G151" i="336"/>
  <c r="D141" i="336"/>
  <c r="L153" i="336"/>
  <c r="M81" i="336"/>
  <c r="H85" i="336"/>
  <c r="M153" i="336"/>
  <c r="H97" i="336"/>
  <c r="E97" i="336"/>
  <c r="J158" i="336"/>
  <c r="K86" i="336"/>
  <c r="M152" i="336"/>
  <c r="F86" i="336"/>
  <c r="N79" i="336"/>
  <c r="H84" i="336"/>
  <c r="F151" i="336"/>
  <c r="F85" i="336"/>
  <c r="C140" i="336"/>
  <c r="C74" i="336"/>
  <c r="C153" i="336"/>
  <c r="K75" i="336"/>
  <c r="K74" i="336"/>
  <c r="F160" i="336"/>
  <c r="E141" i="336"/>
  <c r="I96" i="336"/>
  <c r="J75" i="336"/>
  <c r="L94" i="336"/>
  <c r="M77" i="336"/>
  <c r="G95" i="336"/>
  <c r="H74" i="336"/>
  <c r="K84" i="336"/>
  <c r="L145" i="336"/>
  <c r="N151" i="336"/>
  <c r="N76" i="336"/>
  <c r="M145" i="336"/>
  <c r="K151" i="336"/>
  <c r="F155" i="336"/>
  <c r="K142" i="336"/>
  <c r="L85" i="336"/>
  <c r="K95" i="336"/>
  <c r="K160" i="336"/>
  <c r="N158" i="336"/>
  <c r="M94" i="336"/>
  <c r="M95" i="336"/>
  <c r="M85" i="336"/>
  <c r="D152" i="336"/>
  <c r="D86" i="336"/>
  <c r="D95" i="336"/>
  <c r="I94" i="336"/>
  <c r="J151" i="336"/>
  <c r="K94" i="336"/>
  <c r="M99" i="336"/>
  <c r="N77" i="336"/>
  <c r="I99" i="336"/>
  <c r="D74" i="336"/>
  <c r="M82" i="336"/>
  <c r="N74" i="336"/>
  <c r="F76" i="336"/>
  <c r="F96" i="336"/>
  <c r="E140" i="336"/>
  <c r="I86" i="336"/>
  <c r="C97" i="336"/>
  <c r="G143" i="336"/>
  <c r="C95" i="336"/>
  <c r="E77" i="336"/>
  <c r="H87" i="336"/>
  <c r="K80" i="336"/>
  <c r="N99" i="336"/>
  <c r="J96" i="336"/>
  <c r="M75" i="336"/>
  <c r="H77" i="336"/>
  <c r="J95" i="336"/>
  <c r="J80" i="336"/>
  <c r="N75" i="336"/>
  <c r="L95" i="336"/>
  <c r="L76" i="336"/>
  <c r="F150" i="336"/>
  <c r="M74" i="336"/>
  <c r="H156" i="336"/>
  <c r="L148" i="336"/>
  <c r="N82" i="336"/>
  <c r="D151" i="336"/>
  <c r="D85" i="336"/>
  <c r="G158" i="336"/>
  <c r="G97" i="336"/>
  <c r="J152" i="336"/>
  <c r="C77" i="336"/>
  <c r="C143" i="336"/>
  <c r="L77" i="336"/>
  <c r="M80" i="336"/>
  <c r="J142" i="336"/>
  <c r="J76" i="336"/>
  <c r="J147" i="336"/>
  <c r="J81" i="336"/>
  <c r="L160" i="336"/>
  <c r="L99" i="336"/>
  <c r="M150" i="336"/>
  <c r="M84" i="336"/>
  <c r="I74" i="336"/>
  <c r="J150" i="336"/>
  <c r="J84" i="336"/>
  <c r="K143" i="336"/>
  <c r="K77" i="336"/>
  <c r="K158" i="336"/>
  <c r="K97" i="336"/>
  <c r="F140" i="336"/>
  <c r="F74" i="336"/>
  <c r="K148" i="336"/>
  <c r="K82" i="336"/>
  <c r="L141" i="336"/>
  <c r="L75" i="336"/>
  <c r="L157" i="336"/>
  <c r="L96" i="336"/>
  <c r="J155" i="336"/>
  <c r="J94" i="336"/>
  <c r="K153" i="336"/>
  <c r="K87" i="336"/>
  <c r="L146" i="336"/>
  <c r="L80" i="336"/>
  <c r="J160" i="336"/>
  <c r="J99" i="336"/>
  <c r="L152" i="336"/>
  <c r="L86" i="336"/>
  <c r="F104" i="287"/>
  <c r="F68" i="287"/>
  <c r="F73" i="287"/>
  <c r="F78" i="287"/>
  <c r="E87" i="287"/>
  <c r="F81" i="287"/>
  <c r="F87" i="287"/>
  <c r="F94" i="287"/>
  <c r="F114" i="287"/>
  <c r="D114" i="287"/>
  <c r="F99" i="287"/>
  <c r="F108" i="287"/>
  <c r="F172" i="287"/>
  <c r="F180" i="287"/>
  <c r="F187" i="287"/>
  <c r="F210" i="287"/>
  <c r="F218" i="287"/>
  <c r="D87" i="287"/>
  <c r="D59" i="287"/>
  <c r="E59" i="287"/>
  <c r="C59" i="287"/>
  <c r="C87" i="287"/>
  <c r="F34" i="287"/>
  <c r="F38" i="287"/>
  <c r="F43" i="287"/>
  <c r="N72" i="46"/>
  <c r="N71" i="46"/>
  <c r="N70" i="46"/>
  <c r="P37" i="227"/>
  <c r="C14" i="313"/>
  <c r="F14" i="313"/>
  <c r="G13" i="328"/>
  <c r="G36" i="328"/>
  <c r="H25" i="325"/>
  <c r="H39" i="325"/>
  <c r="G39" i="325"/>
  <c r="I15" i="325"/>
  <c r="I25" i="325"/>
  <c r="G25" i="325"/>
  <c r="G19" i="326"/>
  <c r="G25" i="323"/>
  <c r="F6" i="326"/>
  <c r="F14" i="326"/>
  <c r="G9" i="326"/>
  <c r="G31" i="326"/>
  <c r="G37" i="326"/>
  <c r="H35" i="326"/>
  <c r="E41" i="312"/>
  <c r="AD34" i="271"/>
  <c r="AD33" i="271"/>
  <c r="AD19" i="271"/>
  <c r="AB102" i="270"/>
  <c r="Q102" i="270"/>
  <c r="AA29" i="271"/>
  <c r="AB29" i="271"/>
  <c r="S102" i="270"/>
  <c r="W102" i="270"/>
  <c r="AA102" i="270"/>
  <c r="AD29" i="271"/>
  <c r="L92" i="270"/>
  <c r="L102" i="270"/>
  <c r="T92" i="270"/>
  <c r="X92" i="270"/>
  <c r="X102" i="270"/>
  <c r="AC37" i="271"/>
  <c r="AD14" i="271"/>
  <c r="AA35" i="271"/>
  <c r="AA14" i="271"/>
  <c r="AB14" i="271"/>
  <c r="AB32" i="271"/>
  <c r="AD92" i="270"/>
  <c r="AD102" i="270"/>
  <c r="AE92" i="270"/>
  <c r="AE102" i="270"/>
  <c r="AC92" i="270"/>
  <c r="AC102" i="270"/>
  <c r="T102" i="270"/>
  <c r="AB34" i="271"/>
  <c r="AA19" i="271"/>
  <c r="AA31" i="271"/>
  <c r="AA9" i="271"/>
  <c r="AA32" i="271"/>
  <c r="AA37" i="271"/>
  <c r="AB9" i="271"/>
  <c r="AB31" i="271"/>
  <c r="AD32" i="271"/>
  <c r="AD37" i="271"/>
  <c r="AD9" i="271"/>
  <c r="BE20" i="279"/>
  <c r="BE76" i="279"/>
  <c r="AJ127" i="278"/>
  <c r="BB77" i="263"/>
  <c r="I63" i="288"/>
  <c r="D39" i="288"/>
  <c r="J37" i="288"/>
  <c r="J33" i="288"/>
  <c r="J35" i="288"/>
  <c r="G76" i="288"/>
  <c r="J45" i="288"/>
  <c r="J51" i="288"/>
  <c r="J62" i="288"/>
  <c r="J63" i="288"/>
  <c r="J36" i="288"/>
  <c r="I39" i="288"/>
  <c r="D76" i="288"/>
  <c r="H39" i="288"/>
  <c r="N27" i="233"/>
  <c r="P32" i="233"/>
  <c r="W24" i="233"/>
  <c r="K29" i="233"/>
  <c r="K32" i="233"/>
  <c r="F7" i="233"/>
  <c r="J6" i="233"/>
  <c r="R8" i="233"/>
  <c r="U26" i="233"/>
  <c r="V26" i="233"/>
  <c r="J23" i="233"/>
  <c r="F18" i="233"/>
  <c r="T19" i="233"/>
  <c r="D26" i="233"/>
  <c r="Q29" i="233"/>
  <c r="H26" i="233"/>
  <c r="J19" i="233"/>
  <c r="Z11" i="233"/>
  <c r="Z14" i="233"/>
  <c r="K28" i="233"/>
  <c r="R7" i="233"/>
  <c r="R27" i="233"/>
  <c r="F6" i="233"/>
  <c r="F26" i="233"/>
  <c r="P9" i="233"/>
  <c r="T26" i="233"/>
  <c r="Z22" i="233"/>
  <c r="F21" i="233"/>
  <c r="F24" i="233"/>
  <c r="R23" i="233"/>
  <c r="R24" i="233"/>
  <c r="P19" i="233"/>
  <c r="K9" i="233"/>
  <c r="F8" i="233"/>
  <c r="F29" i="233"/>
  <c r="V8" i="233"/>
  <c r="V9" i="233"/>
  <c r="V21" i="233"/>
  <c r="L26" i="233"/>
  <c r="D19" i="233"/>
  <c r="E19" i="233"/>
  <c r="V17" i="233"/>
  <c r="V19" i="233"/>
  <c r="Z19" i="233"/>
  <c r="U19" i="233"/>
  <c r="U27" i="233"/>
  <c r="V27" i="233"/>
  <c r="E27" i="233"/>
  <c r="Y19" i="233"/>
  <c r="F17" i="233"/>
  <c r="F19" i="233"/>
  <c r="R19" i="233"/>
  <c r="J146" i="266"/>
  <c r="J148" i="266"/>
  <c r="F9" i="233"/>
  <c r="V14" i="233"/>
  <c r="N28" i="233"/>
  <c r="N24" i="233"/>
  <c r="F28" i="233"/>
  <c r="R9" i="233"/>
  <c r="N19" i="233"/>
  <c r="E148" i="266"/>
  <c r="M9" i="233"/>
  <c r="N6" i="233"/>
  <c r="M26" i="233"/>
  <c r="M32" i="233"/>
  <c r="Z9" i="233"/>
  <c r="H19" i="233"/>
  <c r="F148" i="266"/>
  <c r="H148" i="266"/>
  <c r="Z26" i="233"/>
  <c r="V24" i="233"/>
  <c r="Y24" i="233"/>
  <c r="Z23" i="233"/>
  <c r="Z24" i="233"/>
  <c r="N29" i="233"/>
  <c r="Q27" i="233"/>
  <c r="Q32" i="233"/>
  <c r="D24" i="233"/>
  <c r="T24" i="233"/>
  <c r="W27" i="233"/>
  <c r="W32" i="233"/>
  <c r="X19" i="233"/>
  <c r="D29" i="233"/>
  <c r="T29" i="233"/>
  <c r="V29" i="233"/>
  <c r="H27" i="233"/>
  <c r="H32" i="233"/>
  <c r="X28" i="233"/>
  <c r="Z28" i="233"/>
  <c r="K19" i="233"/>
  <c r="Z29" i="233"/>
  <c r="C32" i="233"/>
  <c r="G27" i="233"/>
  <c r="G32" i="233"/>
  <c r="Y27" i="233"/>
  <c r="L32" i="233"/>
  <c r="U28" i="233"/>
  <c r="I24" i="233"/>
  <c r="E32" i="233"/>
  <c r="O32" i="233"/>
  <c r="I32" i="233"/>
  <c r="Z31" i="233"/>
  <c r="S32" i="233"/>
  <c r="AF79" i="278"/>
  <c r="AZ79" i="278"/>
  <c r="AV13" i="278"/>
  <c r="R34" i="279"/>
  <c r="G76" i="279"/>
  <c r="E55" i="279"/>
  <c r="L38" i="279"/>
  <c r="R53" i="279"/>
  <c r="O75" i="279"/>
  <c r="BH38" i="279"/>
  <c r="BG21" i="279"/>
  <c r="F8" i="279"/>
  <c r="J46" i="279"/>
  <c r="J43" i="279"/>
  <c r="N52" i="279"/>
  <c r="BJ34" i="279"/>
  <c r="BJ30" i="279"/>
  <c r="BJ36" i="279"/>
  <c r="BL18" i="279"/>
  <c r="BL20" i="279"/>
  <c r="BL76" i="279"/>
  <c r="BL127" i="278"/>
  <c r="BD27" i="278"/>
  <c r="AN37" i="278"/>
  <c r="AN38" i="278"/>
  <c r="AN127" i="278"/>
  <c r="BD37" i="278"/>
  <c r="BD38" i="278"/>
  <c r="BD127" i="278"/>
  <c r="BN18" i="279"/>
  <c r="P75" i="279"/>
  <c r="R75" i="279"/>
  <c r="K74" i="279"/>
  <c r="BN43" i="279"/>
  <c r="BF34" i="279"/>
  <c r="H9" i="279"/>
  <c r="J9" i="279"/>
  <c r="R12" i="279"/>
  <c r="R46" i="279"/>
  <c r="BJ46" i="279"/>
  <c r="BJ47" i="279"/>
  <c r="BN46" i="279"/>
  <c r="BJ50" i="279"/>
  <c r="BJ51" i="279"/>
  <c r="BN12" i="279"/>
  <c r="BD76" i="279"/>
  <c r="Q76" i="279"/>
  <c r="J25" i="279"/>
  <c r="BD34" i="279"/>
  <c r="K54" i="279"/>
  <c r="BH54" i="279"/>
  <c r="BH55" i="279"/>
  <c r="BG55" i="279"/>
  <c r="AV52" i="278"/>
  <c r="AV79" i="278"/>
  <c r="K19" i="279"/>
  <c r="Q13" i="279"/>
  <c r="G17" i="279"/>
  <c r="L17" i="279"/>
  <c r="BI17" i="279"/>
  <c r="G38" i="279"/>
  <c r="BD30" i="279"/>
  <c r="BI30" i="279"/>
  <c r="BF28" i="279"/>
  <c r="BF30" i="279"/>
  <c r="BI34" i="279"/>
  <c r="E47" i="279"/>
  <c r="P47" i="279"/>
  <c r="BH47" i="279"/>
  <c r="BH38" i="278"/>
  <c r="BH127" i="278"/>
  <c r="BJ43" i="279"/>
  <c r="BN13" i="279"/>
  <c r="BF37" i="279"/>
  <c r="F16" i="279"/>
  <c r="J45" i="279"/>
  <c r="BE53" i="279"/>
  <c r="BL53" i="279"/>
  <c r="BN70" i="279"/>
  <c r="BM20" i="279"/>
  <c r="BM53" i="279"/>
  <c r="BM75" i="279"/>
  <c r="R26" i="279"/>
  <c r="BJ35" i="279"/>
  <c r="P55" i="279"/>
  <c r="BP38" i="278"/>
  <c r="BP127" i="278"/>
  <c r="AV38" i="278"/>
  <c r="AV127" i="278"/>
  <c r="AZ38" i="278"/>
  <c r="AZ127" i="278"/>
  <c r="AF127" i="278"/>
  <c r="AR52" i="278"/>
  <c r="AR79" i="278"/>
  <c r="AR127" i="278"/>
  <c r="BD21" i="279"/>
  <c r="N15" i="279"/>
  <c r="BF53" i="279"/>
  <c r="BI55" i="279"/>
  <c r="D53" i="279"/>
  <c r="D75" i="279"/>
  <c r="BF20" i="279"/>
  <c r="K20" i="279"/>
  <c r="K21" i="279"/>
  <c r="D18" i="279"/>
  <c r="D21" i="279"/>
  <c r="H36" i="279"/>
  <c r="J36" i="279"/>
  <c r="N28" i="279"/>
  <c r="BK30" i="279"/>
  <c r="D37" i="279"/>
  <c r="F37" i="279"/>
  <c r="BL37" i="279"/>
  <c r="BL38" i="279"/>
  <c r="N32" i="279"/>
  <c r="J33" i="279"/>
  <c r="BF14" i="279"/>
  <c r="BD17" i="279"/>
  <c r="BK17" i="279"/>
  <c r="BN15" i="279"/>
  <c r="BF36" i="279"/>
  <c r="BF38" i="279"/>
  <c r="BN71" i="279"/>
  <c r="BI75" i="279"/>
  <c r="BJ53" i="279"/>
  <c r="BN7" i="279"/>
  <c r="BN9" i="279"/>
  <c r="BM72" i="279"/>
  <c r="BM43" i="279"/>
  <c r="BF41" i="279"/>
  <c r="BF43" i="279"/>
  <c r="M26" i="279"/>
  <c r="J6" i="279"/>
  <c r="H18" i="279"/>
  <c r="BD75" i="279"/>
  <c r="BJ14" i="279"/>
  <c r="F54" i="279"/>
  <c r="M19" i="279"/>
  <c r="BF10" i="279"/>
  <c r="BE18" i="279"/>
  <c r="N11" i="279"/>
  <c r="K13" i="279"/>
  <c r="N13" i="279"/>
  <c r="P13" i="279"/>
  <c r="R11" i="279"/>
  <c r="BF11" i="279"/>
  <c r="BC13" i="279"/>
  <c r="BJ11" i="279"/>
  <c r="BH13" i="279"/>
  <c r="E20" i="279"/>
  <c r="F12" i="279"/>
  <c r="BJ12" i="279"/>
  <c r="BH20" i="279"/>
  <c r="M53" i="279"/>
  <c r="M55" i="279"/>
  <c r="D47" i="279"/>
  <c r="O47" i="279"/>
  <c r="BM60" i="279"/>
  <c r="C9" i="279"/>
  <c r="C18" i="279"/>
  <c r="R14" i="279"/>
  <c r="Q17" i="279"/>
  <c r="R17" i="279"/>
  <c r="F15" i="279"/>
  <c r="C17" i="279"/>
  <c r="F17" i="279"/>
  <c r="J15" i="279"/>
  <c r="H17" i="279"/>
  <c r="BE19" i="279"/>
  <c r="BE75" i="279"/>
  <c r="BE17" i="279"/>
  <c r="BF15" i="279"/>
  <c r="BK19" i="279"/>
  <c r="BM21" i="279"/>
  <c r="BK76" i="279"/>
  <c r="D74" i="279"/>
  <c r="D55" i="279"/>
  <c r="BI43" i="279"/>
  <c r="BN44" i="279"/>
  <c r="N25" i="279"/>
  <c r="G18" i="279"/>
  <c r="F6" i="279"/>
  <c r="BN58" i="279"/>
  <c r="BN60" i="279"/>
  <c r="M17" i="279"/>
  <c r="N17" i="279"/>
  <c r="H37" i="279"/>
  <c r="C76" i="279"/>
  <c r="H19" i="279"/>
  <c r="J8" i="279"/>
  <c r="H20" i="279"/>
  <c r="J20" i="279"/>
  <c r="BI20" i="279"/>
  <c r="BI9" i="279"/>
  <c r="O13" i="279"/>
  <c r="O18" i="279"/>
  <c r="O74" i="279"/>
  <c r="R10" i="279"/>
  <c r="E26" i="279"/>
  <c r="F24" i="279"/>
  <c r="E36" i="279"/>
  <c r="E38" i="279"/>
  <c r="K26" i="279"/>
  <c r="K36" i="279"/>
  <c r="K38" i="279"/>
  <c r="Q35" i="279"/>
  <c r="R27" i="279"/>
  <c r="Q30" i="279"/>
  <c r="J29" i="279"/>
  <c r="I37" i="279"/>
  <c r="O30" i="279"/>
  <c r="O37" i="279"/>
  <c r="R29" i="279"/>
  <c r="C34" i="279"/>
  <c r="F34" i="279"/>
  <c r="C35" i="279"/>
  <c r="J31" i="279"/>
  <c r="H34" i="279"/>
  <c r="J34" i="279"/>
  <c r="N34" i="279"/>
  <c r="BN32" i="279"/>
  <c r="BK34" i="279"/>
  <c r="R40" i="279"/>
  <c r="O43" i="279"/>
  <c r="R43" i="279"/>
  <c r="BK52" i="279"/>
  <c r="L76" i="279"/>
  <c r="R8" i="279"/>
  <c r="P20" i="279"/>
  <c r="BF44" i="279"/>
  <c r="BF47" i="279"/>
  <c r="BD43" i="279"/>
  <c r="BE52" i="279"/>
  <c r="BE55" i="279"/>
  <c r="H26" i="279"/>
  <c r="J26" i="279"/>
  <c r="C26" i="279"/>
  <c r="BI18" i="279"/>
  <c r="N14" i="279"/>
  <c r="L18" i="279"/>
  <c r="N6" i="279"/>
  <c r="Q18" i="279"/>
  <c r="Q21" i="279"/>
  <c r="R6" i="279"/>
  <c r="E19" i="279"/>
  <c r="F7" i="279"/>
  <c r="N19" i="279"/>
  <c r="R7" i="279"/>
  <c r="P9" i="279"/>
  <c r="R9" i="279"/>
  <c r="BF7" i="279"/>
  <c r="BF9" i="279"/>
  <c r="BC9" i="279"/>
  <c r="BC19" i="279"/>
  <c r="BH9" i="279"/>
  <c r="BJ7" i="279"/>
  <c r="BJ9" i="279"/>
  <c r="BH19" i="279"/>
  <c r="M20" i="279"/>
  <c r="N20" i="279"/>
  <c r="N16" i="279"/>
  <c r="BN16" i="279"/>
  <c r="BM17" i="279"/>
  <c r="BJ25" i="279"/>
  <c r="BJ26" i="279"/>
  <c r="BI26" i="279"/>
  <c r="BI37" i="279"/>
  <c r="BI38" i="279"/>
  <c r="F27" i="279"/>
  <c r="D30" i="279"/>
  <c r="F30" i="279"/>
  <c r="H35" i="279"/>
  <c r="J35" i="279"/>
  <c r="J27" i="279"/>
  <c r="M35" i="279"/>
  <c r="M30" i="279"/>
  <c r="N30" i="279"/>
  <c r="BM51" i="279"/>
  <c r="BN50" i="279"/>
  <c r="BN51" i="279"/>
  <c r="BM54" i="279"/>
  <c r="BJ16" i="279"/>
  <c r="R32" i="279"/>
  <c r="F9" i="279"/>
  <c r="C19" i="279"/>
  <c r="C21" i="279"/>
  <c r="I54" i="279"/>
  <c r="J54" i="279"/>
  <c r="O54" i="279"/>
  <c r="R54" i="279"/>
  <c r="L75" i="279"/>
  <c r="M36" i="279"/>
  <c r="J28" i="279"/>
  <c r="H53" i="279"/>
  <c r="N54" i="279"/>
  <c r="BC54" i="279"/>
  <c r="BC55" i="279"/>
  <c r="BL54" i="279"/>
  <c r="BL55" i="279"/>
  <c r="F47" i="279"/>
  <c r="M47" i="279"/>
  <c r="R51" i="279"/>
  <c r="BC51" i="279"/>
  <c r="Q74" i="279"/>
  <c r="Q38" i="279"/>
  <c r="R35" i="279"/>
  <c r="J52" i="279"/>
  <c r="I38" i="279"/>
  <c r="I74" i="279"/>
  <c r="BC74" i="279"/>
  <c r="K75" i="279"/>
  <c r="K55" i="279"/>
  <c r="F18" i="279"/>
  <c r="E74" i="279"/>
  <c r="K76" i="279"/>
  <c r="N37" i="279"/>
  <c r="BG38" i="279"/>
  <c r="BG74" i="279"/>
  <c r="Q55" i="279"/>
  <c r="R52" i="279"/>
  <c r="BD55" i="279"/>
  <c r="BD74" i="279"/>
  <c r="BD77" i="279"/>
  <c r="I76" i="279"/>
  <c r="O55" i="279"/>
  <c r="R55" i="279"/>
  <c r="N47" i="279"/>
  <c r="I21" i="279"/>
  <c r="I75" i="279"/>
  <c r="J19" i="279"/>
  <c r="N36" i="279"/>
  <c r="C55" i="279"/>
  <c r="J53" i="279"/>
  <c r="BL72" i="279"/>
  <c r="BL74" i="279"/>
  <c r="BN69" i="279"/>
  <c r="G32" i="282"/>
  <c r="D32" i="282"/>
  <c r="C32" i="282"/>
  <c r="F62" i="314"/>
  <c r="F65" i="314"/>
  <c r="H65" i="314"/>
  <c r="L32" i="253"/>
  <c r="L36" i="253"/>
  <c r="T32" i="253"/>
  <c r="H28" i="253"/>
  <c r="L28" i="253"/>
  <c r="U8" i="253"/>
  <c r="T31" i="253"/>
  <c r="T36" i="253"/>
  <c r="V13" i="253"/>
  <c r="U31" i="253"/>
  <c r="M8" i="253"/>
  <c r="Q8" i="253"/>
  <c r="T93" i="275"/>
  <c r="N31" i="253"/>
  <c r="X13" i="253"/>
  <c r="P36" i="253"/>
  <c r="O8" i="253"/>
  <c r="H8" i="253"/>
  <c r="U103" i="275"/>
  <c r="J30" i="253"/>
  <c r="J31" i="253"/>
  <c r="I33" i="253"/>
  <c r="S8" i="253"/>
  <c r="V30" i="253"/>
  <c r="V36" i="253"/>
  <c r="L8" i="253"/>
  <c r="R30" i="253"/>
  <c r="O33" i="253"/>
  <c r="O36" i="253"/>
  <c r="R31" i="253"/>
  <c r="M33" i="253"/>
  <c r="Q33" i="253"/>
  <c r="Q36" i="253"/>
  <c r="U33" i="253"/>
  <c r="N30" i="253"/>
  <c r="S13" i="253"/>
  <c r="I8" i="253"/>
  <c r="S93" i="275"/>
  <c r="S103" i="275"/>
  <c r="P8" i="253"/>
  <c r="I32" i="253"/>
  <c r="M32" i="253"/>
  <c r="U32" i="253"/>
  <c r="I28" i="253"/>
  <c r="M28" i="253"/>
  <c r="Q28" i="253"/>
  <c r="V93" i="275"/>
  <c r="V103" i="275"/>
  <c r="R8" i="253"/>
  <c r="J18" i="253"/>
  <c r="H30" i="253"/>
  <c r="H36" i="253"/>
  <c r="K31" i="253"/>
  <c r="K36" i="253"/>
  <c r="W36" i="253"/>
  <c r="M18" i="253"/>
  <c r="U18" i="253"/>
  <c r="S36" i="253"/>
  <c r="I18" i="253"/>
  <c r="Q18" i="253"/>
  <c r="X8" i="253"/>
  <c r="X28" i="253"/>
  <c r="M31" i="253"/>
  <c r="U13" i="253"/>
  <c r="O18" i="253"/>
  <c r="X33" i="253"/>
  <c r="T103" i="275"/>
  <c r="X18" i="253"/>
  <c r="H9" i="172"/>
  <c r="I19" i="172"/>
  <c r="G14" i="172"/>
  <c r="E37" i="172"/>
  <c r="I37" i="172"/>
  <c r="K37" i="172"/>
  <c r="D37" i="172"/>
  <c r="F37" i="172"/>
  <c r="M37" i="172"/>
  <c r="N37" i="172"/>
  <c r="G37" i="172"/>
  <c r="H37" i="172"/>
  <c r="L37" i="172"/>
  <c r="J37" i="172"/>
  <c r="E37" i="297"/>
  <c r="Z37" i="297"/>
  <c r="K34" i="297"/>
  <c r="W9" i="297"/>
  <c r="Z9" i="297"/>
  <c r="T31" i="297"/>
  <c r="T37" i="297"/>
  <c r="E9" i="297"/>
  <c r="W14" i="297"/>
  <c r="K31" i="297"/>
  <c r="K37" i="297"/>
  <c r="Q19" i="297"/>
  <c r="Q9" i="297"/>
  <c r="F29" i="98"/>
  <c r="R29" i="98"/>
  <c r="AB29" i="98"/>
  <c r="AG29" i="98"/>
  <c r="AR29" i="98"/>
  <c r="AV29" i="98"/>
  <c r="AZ29" i="98"/>
  <c r="BE29" i="98"/>
  <c r="D19" i="98"/>
  <c r="H19" i="98"/>
  <c r="L19" i="98"/>
  <c r="P19" i="98"/>
  <c r="T19" i="98"/>
  <c r="AX19" i="98"/>
  <c r="BG19" i="98"/>
  <c r="O33" i="98"/>
  <c r="AN33" i="98"/>
  <c r="BG33" i="98"/>
  <c r="N9" i="98"/>
  <c r="AF19" i="98"/>
  <c r="AD34" i="98"/>
  <c r="AI24" i="274"/>
  <c r="BD40" i="274"/>
  <c r="BD102" i="274"/>
  <c r="BK39" i="274"/>
  <c r="BK40" i="274"/>
  <c r="AF70" i="274"/>
  <c r="BN70" i="274"/>
  <c r="BN102" i="274"/>
  <c r="W9" i="98"/>
  <c r="AM9" i="98"/>
  <c r="BE32" i="98"/>
  <c r="AU19" i="98"/>
  <c r="X102" i="274"/>
  <c r="AU99" i="274"/>
  <c r="AX40" i="274"/>
  <c r="AP8" i="98"/>
  <c r="AU94" i="274"/>
  <c r="BC40" i="274"/>
  <c r="AY40" i="274"/>
  <c r="AV9" i="98"/>
  <c r="BD9" i="98"/>
  <c r="AP6" i="98"/>
  <c r="AH6" i="98"/>
  <c r="AH9" i="98"/>
  <c r="AE15" i="274"/>
  <c r="BG15" i="274"/>
  <c r="AI20" i="274"/>
  <c r="AE20" i="274"/>
  <c r="AP7" i="98"/>
  <c r="AP32" i="98"/>
  <c r="V7" i="98"/>
  <c r="AL7" i="98"/>
  <c r="BG24" i="274"/>
  <c r="AD16" i="98"/>
  <c r="AD31" i="98"/>
  <c r="V16" i="98"/>
  <c r="BJ16" i="98"/>
  <c r="AQ62" i="274"/>
  <c r="BO62" i="274"/>
  <c r="BF17" i="98"/>
  <c r="AH18" i="98"/>
  <c r="AH33" i="98"/>
  <c r="BK69" i="274"/>
  <c r="AE69" i="274"/>
  <c r="AE70" i="274"/>
  <c r="AQ69" i="274"/>
  <c r="BO69" i="274"/>
  <c r="K9" i="98"/>
  <c r="AC9" i="98"/>
  <c r="D9" i="98"/>
  <c r="L9" i="98"/>
  <c r="T9" i="98"/>
  <c r="AJ9" i="98"/>
  <c r="AT9" i="98"/>
  <c r="AX9" i="98"/>
  <c r="BG32" i="98"/>
  <c r="E31" i="98"/>
  <c r="U31" i="98"/>
  <c r="U37" i="98"/>
  <c r="AQ31" i="98"/>
  <c r="AQ37" i="98"/>
  <c r="BC19" i="98"/>
  <c r="BH31" i="98"/>
  <c r="BH37" i="98"/>
  <c r="J19" i="98"/>
  <c r="R19" i="98"/>
  <c r="W19" i="98"/>
  <c r="AB19" i="98"/>
  <c r="AG19" i="98"/>
  <c r="BD19" i="98"/>
  <c r="S19" i="98"/>
  <c r="X19" i="98"/>
  <c r="H33" i="98"/>
  <c r="H37" i="98"/>
  <c r="P33" i="98"/>
  <c r="AE29" i="98"/>
  <c r="AJ29" i="98"/>
  <c r="BC33" i="98"/>
  <c r="BC37" i="98"/>
  <c r="BH29" i="98"/>
  <c r="AV34" i="98"/>
  <c r="BD34" i="98"/>
  <c r="AA15" i="274"/>
  <c r="Z6" i="98"/>
  <c r="W15" i="274"/>
  <c r="V6" i="98"/>
  <c r="AM15" i="274"/>
  <c r="AL6" i="98"/>
  <c r="BJ6" i="98"/>
  <c r="BK15" i="274"/>
  <c r="BF12" i="98"/>
  <c r="BG34" i="274"/>
  <c r="BG50" i="274"/>
  <c r="BF16" i="98"/>
  <c r="BF31" i="98"/>
  <c r="Z16" i="98"/>
  <c r="AA50" i="274"/>
  <c r="AP16" i="98"/>
  <c r="AQ50" i="274"/>
  <c r="AM50" i="274"/>
  <c r="AL16" i="98"/>
  <c r="AH16" i="98"/>
  <c r="AI50" i="274"/>
  <c r="Z17" i="98"/>
  <c r="Z32" i="98"/>
  <c r="AA62" i="274"/>
  <c r="W62" i="274"/>
  <c r="V17" i="98"/>
  <c r="AL17" i="98"/>
  <c r="AM62" i="274"/>
  <c r="AI62" i="274"/>
  <c r="AH17" i="98"/>
  <c r="AH32" i="98"/>
  <c r="BF18" i="98"/>
  <c r="BF33" i="98"/>
  <c r="BG69" i="274"/>
  <c r="Z18" i="98"/>
  <c r="Z33" i="98"/>
  <c r="AA69" i="274"/>
  <c r="AL18" i="98"/>
  <c r="AL33" i="98"/>
  <c r="AM69" i="274"/>
  <c r="W94" i="274"/>
  <c r="W100" i="274"/>
  <c r="V27" i="98"/>
  <c r="AE94" i="274"/>
  <c r="AD27" i="98"/>
  <c r="AD29" i="98"/>
  <c r="F31" i="98"/>
  <c r="F9" i="98"/>
  <c r="J31" i="98"/>
  <c r="J9" i="98"/>
  <c r="AB9" i="98"/>
  <c r="AB31" i="98"/>
  <c r="AR9" i="98"/>
  <c r="AR31" i="98"/>
  <c r="AZ31" i="98"/>
  <c r="AZ9" i="98"/>
  <c r="BI31" i="98"/>
  <c r="BI9" i="98"/>
  <c r="C32" i="98"/>
  <c r="C9" i="98"/>
  <c r="G9" i="98"/>
  <c r="G32" i="98"/>
  <c r="O32" i="98"/>
  <c r="O37" i="98"/>
  <c r="O9" i="98"/>
  <c r="S32" i="98"/>
  <c r="S37" i="98"/>
  <c r="S9" i="98"/>
  <c r="X32" i="98"/>
  <c r="X37" i="98"/>
  <c r="X9" i="98"/>
  <c r="AI32" i="98"/>
  <c r="AI9" i="98"/>
  <c r="AN32" i="98"/>
  <c r="AN37" i="98"/>
  <c r="AN9" i="98"/>
  <c r="AS9" i="98"/>
  <c r="AS32" i="98"/>
  <c r="BA32" i="98"/>
  <c r="BA9" i="98"/>
  <c r="AE9" i="98"/>
  <c r="AE34" i="98"/>
  <c r="BG34" i="98"/>
  <c r="BG9" i="98"/>
  <c r="AX32" i="98"/>
  <c r="AX14" i="98"/>
  <c r="I19" i="98"/>
  <c r="I31" i="98"/>
  <c r="I37" i="98"/>
  <c r="M31" i="98"/>
  <c r="M19" i="98"/>
  <c r="Q19" i="98"/>
  <c r="Q31" i="98"/>
  <c r="Q37" i="98"/>
  <c r="AA31" i="98"/>
  <c r="AA37" i="98"/>
  <c r="AA19" i="98"/>
  <c r="AK31" i="98"/>
  <c r="AK37" i="98"/>
  <c r="AK19" i="98"/>
  <c r="AY19" i="98"/>
  <c r="AY31" i="98"/>
  <c r="AY37" i="98"/>
  <c r="F32" i="98"/>
  <c r="N19" i="98"/>
  <c r="N32" i="98"/>
  <c r="AM32" i="98"/>
  <c r="AM37" i="98"/>
  <c r="AM19" i="98"/>
  <c r="AR32" i="98"/>
  <c r="AV32" i="98"/>
  <c r="AV37" i="98"/>
  <c r="AZ19" i="98"/>
  <c r="AZ32" i="98"/>
  <c r="BI19" i="98"/>
  <c r="BI32" i="98"/>
  <c r="C19" i="98"/>
  <c r="C33" i="98"/>
  <c r="G33" i="98"/>
  <c r="G19" i="98"/>
  <c r="K19" i="98"/>
  <c r="K33" i="98"/>
  <c r="K37" i="98"/>
  <c r="AC33" i="98"/>
  <c r="AC37" i="98"/>
  <c r="AC19" i="98"/>
  <c r="AI33" i="98"/>
  <c r="AI19" i="98"/>
  <c r="AS19" i="98"/>
  <c r="AS33" i="98"/>
  <c r="BA33" i="98"/>
  <c r="BA19" i="98"/>
  <c r="BE19" i="98"/>
  <c r="BE33" i="98"/>
  <c r="BE37" i="98"/>
  <c r="BI34" i="98"/>
  <c r="BI29" i="98"/>
  <c r="AW37" i="98"/>
  <c r="D33" i="98"/>
  <c r="L33" i="98"/>
  <c r="T33" i="98"/>
  <c r="Y33" i="98"/>
  <c r="AE33" i="98"/>
  <c r="AJ33" i="98"/>
  <c r="AO33" i="98"/>
  <c r="AT33" i="98"/>
  <c r="AX33" i="98"/>
  <c r="BB32" i="98"/>
  <c r="F34" i="98"/>
  <c r="J34" i="98"/>
  <c r="N34" i="98"/>
  <c r="R34" i="98"/>
  <c r="AB34" i="98"/>
  <c r="AG34" i="98"/>
  <c r="AG37" i="98"/>
  <c r="AR34" i="98"/>
  <c r="AZ34" i="98"/>
  <c r="D29" i="98"/>
  <c r="H29" i="98"/>
  <c r="L29" i="98"/>
  <c r="P29" i="98"/>
  <c r="T29" i="98"/>
  <c r="Y29" i="98"/>
  <c r="AO29" i="98"/>
  <c r="AT29" i="98"/>
  <c r="AQ15" i="274"/>
  <c r="AD7" i="98"/>
  <c r="AD9" i="98"/>
  <c r="BF7" i="98"/>
  <c r="AA20" i="274"/>
  <c r="AA25" i="274"/>
  <c r="W20" i="274"/>
  <c r="W25" i="274"/>
  <c r="AM20" i="274"/>
  <c r="BK50" i="274"/>
  <c r="BK70" i="274"/>
  <c r="AP18" i="98"/>
  <c r="AP33" i="98"/>
  <c r="V18" i="98"/>
  <c r="BJ18" i="98"/>
  <c r="BJ33" i="98"/>
  <c r="J32" i="98"/>
  <c r="R32" i="98"/>
  <c r="R37" i="98"/>
  <c r="AB32" i="98"/>
  <c r="BD32" i="98"/>
  <c r="P37" i="98"/>
  <c r="E37" i="98"/>
  <c r="BS69" i="274"/>
  <c r="BG100" i="274"/>
  <c r="BG40" i="274"/>
  <c r="W70" i="274"/>
  <c r="BB29" i="98"/>
  <c r="D34" i="98"/>
  <c r="L34" i="98"/>
  <c r="T34" i="98"/>
  <c r="Y34" i="98"/>
  <c r="AJ34" i="98"/>
  <c r="AO34" i="98"/>
  <c r="AT34" i="98"/>
  <c r="AX34" i="98"/>
  <c r="BB34" i="98"/>
  <c r="BF9" i="98"/>
  <c r="M37" i="98"/>
  <c r="AH29" i="98"/>
  <c r="AD18" i="98"/>
  <c r="AD19" i="98"/>
  <c r="AP34" i="98"/>
  <c r="AP9" i="98"/>
  <c r="BL40" i="274"/>
  <c r="BL102" i="274"/>
  <c r="BI70" i="274"/>
  <c r="BI102" i="274"/>
  <c r="BC85" i="274"/>
  <c r="BC100" i="274"/>
  <c r="AF100" i="274"/>
  <c r="AH100" i="274"/>
  <c r="BA100" i="274"/>
  <c r="BA102" i="274"/>
  <c r="AE99" i="274"/>
  <c r="AE100" i="274"/>
  <c r="U100" i="274"/>
  <c r="U102" i="274"/>
  <c r="AU20" i="274"/>
  <c r="AT25" i="274"/>
  <c r="AT102" i="274"/>
  <c r="AS100" i="274"/>
  <c r="AY15" i="274"/>
  <c r="AV25" i="274"/>
  <c r="AX25" i="274"/>
  <c r="AY62" i="274"/>
  <c r="BS94" i="274"/>
  <c r="AJ102" i="274"/>
  <c r="BK20" i="274"/>
  <c r="AQ24" i="274"/>
  <c r="AQ25" i="274"/>
  <c r="AG25" i="274"/>
  <c r="AG102" i="274"/>
  <c r="BJ17" i="98"/>
  <c r="AM85" i="274"/>
  <c r="AM100" i="274"/>
  <c r="AQ99" i="274"/>
  <c r="AQ100" i="274"/>
  <c r="AL100" i="274"/>
  <c r="AL102" i="274"/>
  <c r="AT100" i="274"/>
  <c r="AW70" i="274"/>
  <c r="AY70" i="274"/>
  <c r="AV70" i="274"/>
  <c r="AI25" i="274"/>
  <c r="AH25" i="274"/>
  <c r="AD70" i="274"/>
  <c r="AD102" i="274"/>
  <c r="BJ100" i="274"/>
  <c r="BJ102" i="274"/>
  <c r="AU24" i="274"/>
  <c r="AS40" i="274"/>
  <c r="AU40" i="274"/>
  <c r="AU69" i="274"/>
  <c r="AW100" i="274"/>
  <c r="BS50" i="274"/>
  <c r="BB102" i="274"/>
  <c r="BK24" i="274"/>
  <c r="BJ11" i="98"/>
  <c r="BJ14" i="98"/>
  <c r="V70" i="274"/>
  <c r="V102" i="274"/>
  <c r="Z70" i="274"/>
  <c r="Z102" i="274"/>
  <c r="BC70" i="274"/>
  <c r="AU50" i="274"/>
  <c r="AS70" i="274"/>
  <c r="AU85" i="274"/>
  <c r="AW25" i="274"/>
  <c r="AY34" i="274"/>
  <c r="AX70" i="274"/>
  <c r="AF102" i="274"/>
  <c r="AU100" i="274"/>
  <c r="AY25" i="274"/>
  <c r="AR25" i="274"/>
  <c r="AV100" i="274"/>
  <c r="BS15" i="274"/>
  <c r="BS24" i="274"/>
  <c r="BR40" i="274"/>
  <c r="BS39" i="274"/>
  <c r="V26" i="98"/>
  <c r="AR70" i="274"/>
  <c r="BR70" i="274"/>
  <c r="BS62" i="274"/>
  <c r="BS85" i="274"/>
  <c r="BQ70" i="274"/>
  <c r="BQ40" i="274"/>
  <c r="BS30" i="274"/>
  <c r="BS40" i="274"/>
  <c r="BS100" i="274"/>
  <c r="I57" i="310"/>
  <c r="G79" i="314"/>
  <c r="D59" i="314"/>
  <c r="G65" i="314"/>
  <c r="D65" i="314"/>
  <c r="I69" i="314"/>
  <c r="I72" i="314"/>
  <c r="G72" i="314"/>
  <c r="D72" i="314"/>
  <c r="E59" i="314"/>
  <c r="F58" i="314"/>
  <c r="E65" i="314"/>
  <c r="H72" i="314"/>
  <c r="E72" i="314"/>
  <c r="D79" i="314"/>
  <c r="D98" i="314"/>
  <c r="E79" i="314"/>
  <c r="E98" i="314"/>
  <c r="E126" i="314"/>
  <c r="E43" i="314"/>
  <c r="D43" i="314"/>
  <c r="H37" i="314"/>
  <c r="H41" i="314"/>
  <c r="H79" i="314"/>
  <c r="L43" i="314"/>
  <c r="E125" i="314"/>
  <c r="J43" i="314"/>
  <c r="G99" i="308"/>
  <c r="F91" i="308"/>
  <c r="Z31" i="296"/>
  <c r="X37" i="296"/>
  <c r="Z37" i="296"/>
  <c r="Z13" i="296"/>
  <c r="Y14" i="296"/>
  <c r="Z14" i="296"/>
  <c r="Z27" i="296"/>
  <c r="Z16" i="296"/>
  <c r="X19" i="296"/>
  <c r="Z19" i="296"/>
  <c r="Z12" i="296"/>
  <c r="C30" i="313"/>
  <c r="F58" i="310"/>
  <c r="E58" i="310"/>
  <c r="G58" i="310"/>
  <c r="H58" i="310"/>
  <c r="I45" i="310"/>
  <c r="I22" i="310"/>
  <c r="G12" i="313"/>
  <c r="G14" i="313"/>
  <c r="D29" i="313"/>
  <c r="D24" i="313"/>
  <c r="E9" i="313"/>
  <c r="D14" i="313"/>
  <c r="C26" i="313"/>
  <c r="D26" i="313"/>
  <c r="C9" i="313"/>
  <c r="G17" i="313"/>
  <c r="G27" i="313"/>
  <c r="G22" i="313"/>
  <c r="G24" i="313"/>
  <c r="E14" i="313"/>
  <c r="E19" i="313"/>
  <c r="G16" i="313"/>
  <c r="E30" i="313"/>
  <c r="I16" i="310"/>
  <c r="G18" i="313"/>
  <c r="C19" i="313"/>
  <c r="G6" i="313"/>
  <c r="C29" i="313"/>
  <c r="C28" i="313"/>
  <c r="D19" i="313"/>
  <c r="E28" i="313"/>
  <c r="D9" i="313"/>
  <c r="D28" i="313"/>
  <c r="F26" i="313"/>
  <c r="F32" i="313"/>
  <c r="E29" i="313"/>
  <c r="G59" i="314"/>
  <c r="I55" i="314"/>
  <c r="I62" i="314"/>
  <c r="I65" i="314"/>
  <c r="F43" i="314"/>
  <c r="G43" i="314"/>
  <c r="K43" i="314"/>
  <c r="M37" i="314"/>
  <c r="H59" i="314"/>
  <c r="M34" i="314"/>
  <c r="I43" i="314"/>
  <c r="F51" i="314"/>
  <c r="F55" i="314"/>
  <c r="F69" i="314"/>
  <c r="F72" i="314"/>
  <c r="I51" i="314"/>
  <c r="I58" i="314"/>
  <c r="F79" i="314"/>
  <c r="D125" i="314"/>
  <c r="H34" i="314"/>
  <c r="M41" i="314"/>
  <c r="I79" i="314"/>
  <c r="F17" i="328"/>
  <c r="F32" i="328"/>
  <c r="G46" i="327"/>
  <c r="G17" i="328"/>
  <c r="G32" i="328"/>
  <c r="H46" i="327"/>
  <c r="I42" i="327"/>
  <c r="I46" i="327"/>
  <c r="I11" i="327"/>
  <c r="I19" i="327"/>
  <c r="G20" i="327"/>
  <c r="I15" i="327"/>
  <c r="H20" i="327"/>
  <c r="I28" i="327"/>
  <c r="G28" i="327"/>
  <c r="I50" i="327"/>
  <c r="H28" i="327"/>
  <c r="I57" i="327"/>
  <c r="F31" i="328"/>
  <c r="F9" i="328"/>
  <c r="H7" i="328"/>
  <c r="F35" i="328"/>
  <c r="F14" i="328"/>
  <c r="F33" i="328"/>
  <c r="H18" i="328"/>
  <c r="H26" i="328"/>
  <c r="F29" i="328"/>
  <c r="H8" i="328"/>
  <c r="H34" i="328"/>
  <c r="F34" i="328"/>
  <c r="H36" i="328"/>
  <c r="F36" i="328"/>
  <c r="G6" i="328"/>
  <c r="H6" i="328"/>
  <c r="G35" i="328"/>
  <c r="G27" i="328"/>
  <c r="G29" i="328"/>
  <c r="G24" i="329"/>
  <c r="I34" i="325"/>
  <c r="I39" i="325"/>
  <c r="G101" i="325"/>
  <c r="H101" i="325"/>
  <c r="G14" i="329"/>
  <c r="I77" i="325"/>
  <c r="F31" i="329"/>
  <c r="H6" i="329"/>
  <c r="F9" i="329"/>
  <c r="F35" i="329"/>
  <c r="H12" i="329"/>
  <c r="H35" i="329"/>
  <c r="H16" i="329"/>
  <c r="F19" i="329"/>
  <c r="H17" i="329"/>
  <c r="H18" i="329"/>
  <c r="H33" i="329"/>
  <c r="F33" i="329"/>
  <c r="G31" i="329"/>
  <c r="G9" i="329"/>
  <c r="H7" i="329"/>
  <c r="F32" i="329"/>
  <c r="H13" i="329"/>
  <c r="H36" i="329"/>
  <c r="F36" i="329"/>
  <c r="H26" i="329"/>
  <c r="H29" i="329"/>
  <c r="F29" i="329"/>
  <c r="G32" i="329"/>
  <c r="F34" i="329"/>
  <c r="H8" i="329"/>
  <c r="H34" i="329"/>
  <c r="F14" i="329"/>
  <c r="H11" i="329"/>
  <c r="F24" i="329"/>
  <c r="H21" i="329"/>
  <c r="H24" i="329"/>
  <c r="E33" i="326"/>
  <c r="I61" i="323"/>
  <c r="H17" i="326"/>
  <c r="H39" i="323"/>
  <c r="G39" i="323"/>
  <c r="I49" i="323"/>
  <c r="H16" i="326"/>
  <c r="I93" i="323"/>
  <c r="E19" i="326"/>
  <c r="D32" i="326"/>
  <c r="D9" i="326"/>
  <c r="E35" i="326"/>
  <c r="C24" i="326"/>
  <c r="D19" i="326"/>
  <c r="H77" i="323"/>
  <c r="I84" i="323"/>
  <c r="E9" i="326"/>
  <c r="E24" i="326"/>
  <c r="C32" i="326"/>
  <c r="I15" i="323"/>
  <c r="H6" i="326"/>
  <c r="I20" i="323"/>
  <c r="H7" i="326"/>
  <c r="I24" i="323"/>
  <c r="H8" i="326"/>
  <c r="H34" i="326"/>
  <c r="H25" i="323"/>
  <c r="I38" i="323"/>
  <c r="H69" i="323"/>
  <c r="I68" i="323"/>
  <c r="H18" i="326"/>
  <c r="H33" i="326"/>
  <c r="G69" i="323"/>
  <c r="D14" i="326"/>
  <c r="I99" i="323"/>
  <c r="H99" i="323"/>
  <c r="I77" i="323"/>
  <c r="C34" i="326"/>
  <c r="E29" i="326"/>
  <c r="C29" i="326"/>
  <c r="D29" i="326"/>
  <c r="D34" i="326"/>
  <c r="E34" i="326"/>
  <c r="C36" i="312"/>
  <c r="E36" i="312"/>
  <c r="C38" i="312"/>
  <c r="D29" i="312"/>
  <c r="D42" i="312"/>
  <c r="C37" i="312"/>
  <c r="E37" i="312"/>
  <c r="E14" i="312"/>
  <c r="E39" i="312"/>
  <c r="C29" i="312"/>
  <c r="C42" i="312"/>
  <c r="E17" i="311"/>
  <c r="E32" i="311"/>
  <c r="F55" i="308"/>
  <c r="F17" i="311"/>
  <c r="F32" i="311"/>
  <c r="G55" i="308"/>
  <c r="E29" i="311"/>
  <c r="E24" i="311"/>
  <c r="F34" i="311"/>
  <c r="F35" i="311"/>
  <c r="F14" i="311"/>
  <c r="F29" i="311"/>
  <c r="E9" i="311"/>
  <c r="F77" i="308"/>
  <c r="F99" i="308"/>
  <c r="E31" i="311"/>
  <c r="F31" i="311"/>
  <c r="F24" i="311"/>
  <c r="F33" i="311"/>
  <c r="E33" i="311"/>
  <c r="E34" i="311"/>
  <c r="F9" i="311"/>
  <c r="E14" i="311"/>
  <c r="CC30" i="123"/>
  <c r="CC35" i="123"/>
  <c r="BZ38" i="123"/>
  <c r="CC33" i="123"/>
  <c r="CC32" i="123"/>
  <c r="CA38" i="123"/>
  <c r="CC15" i="123"/>
  <c r="BY38" i="123"/>
  <c r="F59" i="287"/>
  <c r="G60" i="327"/>
  <c r="H60" i="327"/>
  <c r="H19" i="326"/>
  <c r="H32" i="326"/>
  <c r="F31" i="326"/>
  <c r="F37" i="326"/>
  <c r="F9" i="326"/>
  <c r="I39" i="323"/>
  <c r="H13" i="326"/>
  <c r="H31" i="326"/>
  <c r="H9" i="326"/>
  <c r="F100" i="308"/>
  <c r="J39" i="288"/>
  <c r="R29" i="233"/>
  <c r="R32" i="233"/>
  <c r="J9" i="233"/>
  <c r="J26" i="233"/>
  <c r="D32" i="233"/>
  <c r="J24" i="233"/>
  <c r="J29" i="233"/>
  <c r="U32" i="233"/>
  <c r="F27" i="233"/>
  <c r="F32" i="233"/>
  <c r="N26" i="233"/>
  <c r="N32" i="233"/>
  <c r="N9" i="233"/>
  <c r="T32" i="233"/>
  <c r="Z27" i="233"/>
  <c r="Z32" i="233"/>
  <c r="X32" i="233"/>
  <c r="Y32" i="233"/>
  <c r="V28" i="233"/>
  <c r="V32" i="233"/>
  <c r="BN54" i="279"/>
  <c r="F55" i="279"/>
  <c r="R47" i="279"/>
  <c r="BL21" i="279"/>
  <c r="F53" i="279"/>
  <c r="BN47" i="279"/>
  <c r="H75" i="279"/>
  <c r="N26" i="279"/>
  <c r="BN20" i="279"/>
  <c r="C75" i="279"/>
  <c r="F75" i="279"/>
  <c r="F26" i="279"/>
  <c r="D38" i="279"/>
  <c r="D76" i="279"/>
  <c r="D77" i="279"/>
  <c r="F19" i="279"/>
  <c r="O76" i="279"/>
  <c r="O77" i="279"/>
  <c r="E21" i="279"/>
  <c r="F21" i="279"/>
  <c r="R30" i="279"/>
  <c r="J17" i="279"/>
  <c r="BN72" i="279"/>
  <c r="M38" i="279"/>
  <c r="BJ55" i="279"/>
  <c r="BM76" i="279"/>
  <c r="BM77" i="279"/>
  <c r="BJ54" i="279"/>
  <c r="BC76" i="279"/>
  <c r="BF76" i="279"/>
  <c r="I55" i="279"/>
  <c r="BF17" i="279"/>
  <c r="BL75" i="279"/>
  <c r="BN53" i="279"/>
  <c r="M76" i="279"/>
  <c r="N76" i="279"/>
  <c r="BF52" i="279"/>
  <c r="BF54" i="279"/>
  <c r="BI21" i="279"/>
  <c r="BI74" i="279"/>
  <c r="BJ74" i="279"/>
  <c r="BJ18" i="279"/>
  <c r="P76" i="279"/>
  <c r="P77" i="279"/>
  <c r="R20" i="279"/>
  <c r="G21" i="279"/>
  <c r="J18" i="279"/>
  <c r="G74" i="279"/>
  <c r="G77" i="279"/>
  <c r="N53" i="279"/>
  <c r="H74" i="279"/>
  <c r="H38" i="279"/>
  <c r="J38" i="279"/>
  <c r="E75" i="279"/>
  <c r="N18" i="279"/>
  <c r="L21" i="279"/>
  <c r="BK75" i="279"/>
  <c r="BN75" i="279"/>
  <c r="BK21" i="279"/>
  <c r="BJ20" i="279"/>
  <c r="BH76" i="279"/>
  <c r="BE74" i="279"/>
  <c r="BE77" i="279"/>
  <c r="BE21" i="279"/>
  <c r="BJ17" i="279"/>
  <c r="H55" i="279"/>
  <c r="J55" i="279"/>
  <c r="BN17" i="279"/>
  <c r="BK55" i="279"/>
  <c r="BN52" i="279"/>
  <c r="BN55" i="279"/>
  <c r="BK74" i="279"/>
  <c r="BN74" i="279"/>
  <c r="BC75" i="279"/>
  <c r="BF75" i="279"/>
  <c r="BC21" i="279"/>
  <c r="BF19" i="279"/>
  <c r="BJ13" i="279"/>
  <c r="R13" i="279"/>
  <c r="BF13" i="279"/>
  <c r="BN19" i="279"/>
  <c r="BN21" i="279"/>
  <c r="BM55" i="279"/>
  <c r="BF18" i="279"/>
  <c r="BN36" i="279"/>
  <c r="BN38" i="279"/>
  <c r="BN34" i="279"/>
  <c r="C38" i="279"/>
  <c r="F38" i="279"/>
  <c r="C74" i="279"/>
  <c r="C77" i="279"/>
  <c r="F35" i="279"/>
  <c r="R18" i="279"/>
  <c r="O21" i="279"/>
  <c r="H76" i="279"/>
  <c r="J76" i="279"/>
  <c r="J37" i="279"/>
  <c r="F20" i="279"/>
  <c r="E76" i="279"/>
  <c r="F76" i="279"/>
  <c r="M74" i="279"/>
  <c r="N35" i="279"/>
  <c r="BJ19" i="279"/>
  <c r="BH75" i="279"/>
  <c r="BH21" i="279"/>
  <c r="P21" i="279"/>
  <c r="L74" i="279"/>
  <c r="R37" i="279"/>
  <c r="O38" i="279"/>
  <c r="R38" i="279"/>
  <c r="BI76" i="279"/>
  <c r="M75" i="279"/>
  <c r="N75" i="279"/>
  <c r="M21" i="279"/>
  <c r="H21" i="279"/>
  <c r="BJ37" i="279"/>
  <c r="BJ38" i="279"/>
  <c r="F36" i="279"/>
  <c r="BG77" i="279"/>
  <c r="K77" i="279"/>
  <c r="I77" i="279"/>
  <c r="R74" i="279"/>
  <c r="Q77" i="279"/>
  <c r="J75" i="279"/>
  <c r="BL77" i="279"/>
  <c r="N38" i="279"/>
  <c r="N55" i="279"/>
  <c r="D126" i="314"/>
  <c r="M36" i="253"/>
  <c r="U36" i="253"/>
  <c r="I36" i="253"/>
  <c r="J36" i="253"/>
  <c r="N36" i="253"/>
  <c r="R36" i="253"/>
  <c r="X36" i="253"/>
  <c r="V19" i="98"/>
  <c r="AD33" i="98"/>
  <c r="AO37" i="98"/>
  <c r="AT37" i="98"/>
  <c r="V33" i="98"/>
  <c r="BD37" i="98"/>
  <c r="AW102" i="274"/>
  <c r="BB37" i="98"/>
  <c r="AU70" i="274"/>
  <c r="BC102" i="274"/>
  <c r="AM25" i="274"/>
  <c r="AM102" i="274"/>
  <c r="BI37" i="98"/>
  <c r="BG37" i="98"/>
  <c r="AI70" i="274"/>
  <c r="AP31" i="98"/>
  <c r="AP37" i="98"/>
  <c r="AL31" i="98"/>
  <c r="L37" i="98"/>
  <c r="T37" i="98"/>
  <c r="J37" i="98"/>
  <c r="AB37" i="98"/>
  <c r="BO70" i="274"/>
  <c r="BO102" i="274"/>
  <c r="AE25" i="274"/>
  <c r="AE102" i="274"/>
  <c r="AE37" i="98"/>
  <c r="W102" i="274"/>
  <c r="BS70" i="274"/>
  <c r="Y37" i="98"/>
  <c r="BF32" i="98"/>
  <c r="AR37" i="98"/>
  <c r="N37" i="98"/>
  <c r="AX37" i="98"/>
  <c r="AP19" i="98"/>
  <c r="AL32" i="98"/>
  <c r="V29" i="98"/>
  <c r="AI102" i="274"/>
  <c r="C37" i="98"/>
  <c r="AS37" i="98"/>
  <c r="G37" i="98"/>
  <c r="BG70" i="274"/>
  <c r="AL9" i="98"/>
  <c r="BG25" i="274"/>
  <c r="AJ37" i="98"/>
  <c r="D37" i="98"/>
  <c r="AQ70" i="274"/>
  <c r="AQ102" i="274"/>
  <c r="BF19" i="98"/>
  <c r="V31" i="98"/>
  <c r="BA37" i="98"/>
  <c r="AD32" i="98"/>
  <c r="AD37" i="98"/>
  <c r="V9" i="98"/>
  <c r="AI37" i="98"/>
  <c r="AM70" i="274"/>
  <c r="AH19" i="98"/>
  <c r="AH31" i="98"/>
  <c r="AH37" i="98"/>
  <c r="BJ31" i="98"/>
  <c r="BJ9" i="98"/>
  <c r="AA70" i="274"/>
  <c r="AA102" i="274"/>
  <c r="AL19" i="98"/>
  <c r="Z31" i="98"/>
  <c r="Z37" i="98"/>
  <c r="Z9" i="98"/>
  <c r="AZ37" i="98"/>
  <c r="Z19" i="98"/>
  <c r="BF35" i="98"/>
  <c r="BF14" i="98"/>
  <c r="F37" i="98"/>
  <c r="BS25" i="274"/>
  <c r="V32" i="98"/>
  <c r="BK25" i="274"/>
  <c r="BK102" i="274"/>
  <c r="AH102" i="274"/>
  <c r="AS102" i="274"/>
  <c r="BJ32" i="98"/>
  <c r="BJ19" i="98"/>
  <c r="AX102" i="274"/>
  <c r="AY100" i="274"/>
  <c r="AV102" i="274"/>
  <c r="AU25" i="274"/>
  <c r="AR102" i="274"/>
  <c r="D81" i="314"/>
  <c r="H43" i="314"/>
  <c r="E81" i="314"/>
  <c r="H81" i="314"/>
  <c r="G81" i="314"/>
  <c r="I59" i="314"/>
  <c r="G100" i="308"/>
  <c r="F19" i="311"/>
  <c r="E19" i="311"/>
  <c r="I58" i="310"/>
  <c r="G30" i="313"/>
  <c r="G19" i="313"/>
  <c r="D32" i="313"/>
  <c r="G28" i="313"/>
  <c r="C32" i="313"/>
  <c r="G9" i="313"/>
  <c r="G26" i="313"/>
  <c r="E32" i="313"/>
  <c r="F59" i="314"/>
  <c r="M43" i="314"/>
  <c r="G19" i="328"/>
  <c r="F19" i="328"/>
  <c r="H17" i="328"/>
  <c r="H19" i="328"/>
  <c r="I20" i="327"/>
  <c r="I60" i="327"/>
  <c r="H31" i="328"/>
  <c r="H9" i="328"/>
  <c r="G14" i="328"/>
  <c r="H27" i="328"/>
  <c r="H29" i="328"/>
  <c r="H35" i="328"/>
  <c r="G33" i="328"/>
  <c r="G31" i="328"/>
  <c r="G9" i="328"/>
  <c r="F37" i="328"/>
  <c r="I101" i="325"/>
  <c r="H14" i="329"/>
  <c r="H19" i="329"/>
  <c r="G37" i="329"/>
  <c r="H9" i="329"/>
  <c r="H31" i="329"/>
  <c r="H32" i="329"/>
  <c r="F37" i="329"/>
  <c r="H101" i="323"/>
  <c r="E31" i="326"/>
  <c r="I25" i="323"/>
  <c r="G101" i="323"/>
  <c r="I69" i="323"/>
  <c r="E14" i="326"/>
  <c r="E32" i="326"/>
  <c r="D37" i="326"/>
  <c r="C37" i="326"/>
  <c r="D38" i="312"/>
  <c r="E38" i="312"/>
  <c r="E29" i="312"/>
  <c r="E42" i="312"/>
  <c r="F37" i="311"/>
  <c r="E37" i="311"/>
  <c r="CC38" i="123"/>
  <c r="H36" i="326"/>
  <c r="H37" i="326"/>
  <c r="H14" i="326"/>
  <c r="J32" i="233"/>
  <c r="H77" i="279"/>
  <c r="BC77" i="279"/>
  <c r="R76" i="279"/>
  <c r="BF55" i="279"/>
  <c r="F74" i="279"/>
  <c r="F77" i="279"/>
  <c r="BN76" i="279"/>
  <c r="E77" i="279"/>
  <c r="M77" i="279"/>
  <c r="J77" i="279"/>
  <c r="J74" i="279"/>
  <c r="N74" i="279"/>
  <c r="L77" i="279"/>
  <c r="N77" i="279"/>
  <c r="BK77" i="279"/>
  <c r="BJ76" i="279"/>
  <c r="N21" i="279"/>
  <c r="BJ21" i="279"/>
  <c r="BF21" i="279"/>
  <c r="J21" i="279"/>
  <c r="BI77" i="279"/>
  <c r="BJ75" i="279"/>
  <c r="BH77" i="279"/>
  <c r="BN77" i="279"/>
  <c r="BF74" i="279"/>
  <c r="BF77" i="279"/>
  <c r="R77" i="279"/>
  <c r="R21" i="279"/>
  <c r="BF37" i="98"/>
  <c r="AL37" i="98"/>
  <c r="AU102" i="274"/>
  <c r="BG102" i="274"/>
  <c r="V37" i="98"/>
  <c r="BJ37" i="98"/>
  <c r="AY102" i="274"/>
  <c r="F81" i="314"/>
  <c r="I81" i="314"/>
  <c r="G32" i="313"/>
  <c r="H32" i="328"/>
  <c r="H33" i="328"/>
  <c r="G37" i="328"/>
  <c r="H14" i="328"/>
  <c r="H37" i="329"/>
  <c r="E37" i="326"/>
  <c r="I101" i="323"/>
  <c r="BJ77" i="279"/>
  <c r="H37" i="328"/>
  <c r="AS37" i="234" l="1"/>
  <c r="G14" i="331"/>
  <c r="F14" i="331"/>
  <c r="D33" i="331"/>
  <c r="G32" i="331"/>
  <c r="H31" i="331"/>
  <c r="H19" i="331"/>
  <c r="G29" i="331"/>
  <c r="C29" i="331"/>
  <c r="F32" i="331"/>
  <c r="F37" i="331" s="1"/>
  <c r="H32" i="331"/>
  <c r="H14" i="331"/>
  <c r="E25" i="330"/>
  <c r="F98" i="330"/>
  <c r="F49" i="330"/>
  <c r="D25" i="330"/>
  <c r="F20" i="330"/>
  <c r="E69" i="330"/>
  <c r="C33" i="331"/>
  <c r="F76" i="330"/>
  <c r="F38" i="330"/>
  <c r="E11" i="331" s="1"/>
  <c r="F84" i="330"/>
  <c r="E26" i="331" s="1"/>
  <c r="F93" i="330"/>
  <c r="E27" i="331" s="1"/>
  <c r="E99" i="330"/>
  <c r="D39" i="330"/>
  <c r="F15" i="330"/>
  <c r="F29" i="330"/>
  <c r="E12" i="331" s="1"/>
  <c r="E35" i="331" s="1"/>
  <c r="E39" i="330"/>
  <c r="F68" i="330"/>
  <c r="E18" i="331" s="1"/>
  <c r="D77" i="330"/>
  <c r="C24" i="331"/>
  <c r="C32" i="331"/>
  <c r="C14" i="331"/>
  <c r="D24" i="331"/>
  <c r="D29" i="331"/>
  <c r="D32" i="331"/>
  <c r="D14" i="331"/>
  <c r="F77" i="330"/>
  <c r="E22" i="331"/>
  <c r="E24" i="331" s="1"/>
  <c r="C34" i="331"/>
  <c r="C9" i="331"/>
  <c r="D9" i="331"/>
  <c r="D34" i="331"/>
  <c r="F24" i="330"/>
  <c r="D69" i="330"/>
  <c r="F34" i="330"/>
  <c r="E77" i="330"/>
  <c r="D99" i="330"/>
  <c r="F61" i="330"/>
  <c r="E17" i="331" s="1"/>
  <c r="F22" i="324"/>
  <c r="F31" i="324" s="1"/>
  <c r="E59" i="324"/>
  <c r="D59" i="324"/>
  <c r="F59" i="324"/>
  <c r="E33" i="331" l="1"/>
  <c r="D100" i="330"/>
  <c r="E100" i="330"/>
  <c r="E29" i="331"/>
  <c r="F69" i="330"/>
  <c r="F99" i="330"/>
  <c r="D37" i="331"/>
  <c r="F25" i="330"/>
  <c r="E8" i="331"/>
  <c r="C37" i="331"/>
  <c r="E13" i="331"/>
  <c r="F39" i="330"/>
  <c r="E32" i="331"/>
  <c r="E19" i="331"/>
  <c r="F100" i="330" l="1"/>
  <c r="E34" i="331"/>
  <c r="E9" i="331"/>
  <c r="E36" i="331"/>
  <c r="E14" i="331"/>
  <c r="E37" i="331" l="1"/>
  <c r="G8" i="331"/>
  <c r="G34" i="331" s="1"/>
  <c r="G37" i="331" s="1"/>
  <c r="I23" i="330"/>
  <c r="I24" i="330" s="1"/>
  <c r="I25" i="330" l="1"/>
  <c r="I100" i="330" s="1"/>
  <c r="H8" i="331"/>
  <c r="G9" i="331"/>
  <c r="H34" i="331" l="1"/>
  <c r="H37" i="331" s="1"/>
  <c r="H9" i="331"/>
</calcChain>
</file>

<file path=xl/sharedStrings.xml><?xml version="1.0" encoding="utf-8"?>
<sst xmlns="http://schemas.openxmlformats.org/spreadsheetml/2006/main" count="12167" uniqueCount="1584">
  <si>
    <t>FUENTE: Dirección de Sistemas Escolares.</t>
  </si>
  <si>
    <t>Maestría en Ciencias y Artes para el Diseño</t>
  </si>
  <si>
    <t>Doctorado en Ciencias y Artes para el Diseño</t>
  </si>
  <si>
    <t>AZCAPOTZALCO</t>
  </si>
  <si>
    <t>DIVISIÓN</t>
  </si>
  <si>
    <t>CBI</t>
  </si>
  <si>
    <t>CSH</t>
  </si>
  <si>
    <t>CAD</t>
  </si>
  <si>
    <t>CUAJIMALPA</t>
  </si>
  <si>
    <t>CCD</t>
  </si>
  <si>
    <t>XOCHIMILCO</t>
  </si>
  <si>
    <t>CBS</t>
  </si>
  <si>
    <t>TOTAL</t>
  </si>
  <si>
    <t>TOTAL CBI</t>
  </si>
  <si>
    <t>TOTAL CSH</t>
  </si>
  <si>
    <t>TOTAL CAD</t>
  </si>
  <si>
    <t>UNIDAD</t>
  </si>
  <si>
    <t>07-P</t>
  </si>
  <si>
    <t>07-O</t>
  </si>
  <si>
    <t>Maestría en Psicología Social de Grupos e Instituciones</t>
  </si>
  <si>
    <t>Doctorado en Ciencias Sociales</t>
  </si>
  <si>
    <t>06-O</t>
  </si>
  <si>
    <t>07-I</t>
  </si>
  <si>
    <t>05-O</t>
  </si>
  <si>
    <t>05-P</t>
  </si>
  <si>
    <t>GRADO</t>
  </si>
  <si>
    <t>ESPECIALIZACIÓN</t>
  </si>
  <si>
    <t>MAESTRÍA</t>
  </si>
  <si>
    <t>DOCTORADO</t>
  </si>
  <si>
    <t>TOTAL AZCAPOTZALCO</t>
  </si>
  <si>
    <t>TOTAL CBS</t>
  </si>
  <si>
    <t>TOTAL IZTAPALAPA</t>
  </si>
  <si>
    <t>TOTAL XOCHIMILCO</t>
  </si>
  <si>
    <t>BAJAS DEFINITIVAS DE ALUMNOS DE POSGRADO</t>
  </si>
  <si>
    <t>BAJAS REGLAMENTARIAS DE ALUMNOS DE POSGRADO</t>
  </si>
  <si>
    <t>ASIGNADA</t>
  </si>
  <si>
    <t>PAGADA</t>
  </si>
  <si>
    <t>BECA A ALUMNOS DE NUEVO INGRESO O DE SEGUNDO AÑO EN PROGRAMAS EVALUADOS POSITIVAMENTE</t>
  </si>
  <si>
    <t>Y QUE NO CUENTAN CON FINANCIAMIENTO EXTERNO</t>
  </si>
  <si>
    <t>BECAS A ALUMNOS EN PROCESO DE ELABORACIÓN DE TESIS</t>
  </si>
  <si>
    <t>Reporte de investigación o técnico</t>
  </si>
  <si>
    <t>Artículo especializado de investigación</t>
  </si>
  <si>
    <t>Edición de libro colectivo</t>
  </si>
  <si>
    <t>Libro científico</t>
  </si>
  <si>
    <t>Patentes registro y aceptación de forma para solicitar examen de novedad</t>
  </si>
  <si>
    <t>Expedición de título de patente</t>
  </si>
  <si>
    <t>Trabajos presentados en eventos especializados</t>
  </si>
  <si>
    <t>Conferencias magistrales presentadas en eventos especializados</t>
  </si>
  <si>
    <t>Desarrollo de prototipos o modelos innovadores</t>
  </si>
  <si>
    <t>Desarrollo de paquetes computacionales</t>
  </si>
  <si>
    <t>Asesoría de proyectos de investigación</t>
  </si>
  <si>
    <t>Unidad</t>
  </si>
  <si>
    <t>CAC</t>
  </si>
  <si>
    <t>CAEC</t>
  </si>
  <si>
    <t>CAEF</t>
  </si>
  <si>
    <t>FUENTE: Dirección de Planeación.</t>
  </si>
  <si>
    <t>Especialización en Biotecnología</t>
  </si>
  <si>
    <t>Especialización en Acupuntura y Fitoterapia</t>
  </si>
  <si>
    <t>Especialización en Estudios de la Mujer</t>
  </si>
  <si>
    <t>06-P</t>
  </si>
  <si>
    <t>UAM</t>
  </si>
  <si>
    <t>Total 2004</t>
  </si>
  <si>
    <t>Total 2005</t>
  </si>
  <si>
    <t>Total 2006</t>
  </si>
  <si>
    <t>Total 2007</t>
  </si>
  <si>
    <t>Año de evaluación</t>
  </si>
  <si>
    <t>Fuente: Departamento de Ingreso y Promoción de Personal Académico</t>
  </si>
  <si>
    <t>UNIDAD XOCHIMILCO</t>
  </si>
  <si>
    <t>Maestría en Ciencias y Tecnologías de la Información</t>
  </si>
  <si>
    <t>06-I</t>
  </si>
  <si>
    <t>04-O</t>
  </si>
  <si>
    <t>04-P</t>
  </si>
  <si>
    <t>05-I</t>
  </si>
  <si>
    <t>04-I</t>
  </si>
  <si>
    <t>CNI</t>
  </si>
  <si>
    <t>IZTAPALAPA</t>
  </si>
  <si>
    <t>TOTAL UAM</t>
  </si>
  <si>
    <t>PLAN DE ESTUDIOS</t>
  </si>
  <si>
    <t>Especialización en Ciencias Antropológicas</t>
  </si>
  <si>
    <t>Maestría en Humanidades</t>
  </si>
  <si>
    <t>Maestría en Ciencias Antropológicas</t>
  </si>
  <si>
    <t>Maestría en Estudios Organizacionales</t>
  </si>
  <si>
    <t>Maestría en Estudios Sociales</t>
  </si>
  <si>
    <t>Doctorado en Humanidades</t>
  </si>
  <si>
    <t>Doctorado en Ciencias Antropológicas</t>
  </si>
  <si>
    <t>Doctorado en Estudios Organizacionales</t>
  </si>
  <si>
    <t>Doctorado en Estudios Sociales</t>
  </si>
  <si>
    <t>Maestría en Biología</t>
  </si>
  <si>
    <t>Maestría en Políticas Públicas</t>
  </si>
  <si>
    <t>Maestría en Estudios de la Mujer</t>
  </si>
  <si>
    <t>Doctorado en Desarrollo Rural</t>
  </si>
  <si>
    <t>Especialización en Medicina Social</t>
  </si>
  <si>
    <t>Maestría en Ciencias Agropecuarias</t>
  </si>
  <si>
    <t>Maestría en Rehabilitación Neurológica</t>
  </si>
  <si>
    <t>Maestría en Medicina Social</t>
  </si>
  <si>
    <t>Maestría en Ciencias Farmacéuticas</t>
  </si>
  <si>
    <t>Doctorado en Ciencias en Salud Colectiva</t>
  </si>
  <si>
    <t>PERSONAL ACADÉMICO DEFINITIVO POR RANGOS DE EDAD</t>
  </si>
  <si>
    <t>RANGOS DE EDAD</t>
  </si>
  <si>
    <t>HASTA 30 AÑOS</t>
  </si>
  <si>
    <t>31 - 35 AÑOS</t>
  </si>
  <si>
    <t>36 - 40 AÑOS</t>
  </si>
  <si>
    <t>41 - 45 AÑOS</t>
  </si>
  <si>
    <t>46 - 50 AÑOS</t>
  </si>
  <si>
    <t>51 - 55 AÑOS</t>
  </si>
  <si>
    <t>56 - 60 AÑOS</t>
  </si>
  <si>
    <t>61 - 65 AÑOS</t>
  </si>
  <si>
    <t>66 - 70 AÑOS</t>
  </si>
  <si>
    <t>EDAD PROMEDIO</t>
  </si>
  <si>
    <t>PERSONAL ACADÉMICO DEFINITIVO POR AÑOS DE ANTIGÜEDAD</t>
  </si>
  <si>
    <t>HASTA 5 AÑOS</t>
  </si>
  <si>
    <t>6 - 10 AÑOS</t>
  </si>
  <si>
    <t>11 - 15 AÑOS</t>
  </si>
  <si>
    <t>16 - 20 AÑOS</t>
  </si>
  <si>
    <t>21 - 25 AÑOS</t>
  </si>
  <si>
    <t>26 - 30 AÑOS</t>
  </si>
  <si>
    <t>ELABORACIÓN: Dirección de Planeación.</t>
  </si>
  <si>
    <t>FUENTE: Bases del TIPPA de cada año. Departamento de Ingreso y Promoción del Personal Académico.</t>
  </si>
  <si>
    <t>Docencia</t>
  </si>
  <si>
    <t>Investigación</t>
  </si>
  <si>
    <t>Preservación y difusión de la cultura</t>
  </si>
  <si>
    <t>Dirección Académica</t>
  </si>
  <si>
    <t>Participación Universitaria</t>
  </si>
  <si>
    <t>Creacion artística</t>
  </si>
  <si>
    <t>Actividades</t>
  </si>
  <si>
    <t xml:space="preserve">AZCAPOTZALCO </t>
  </si>
  <si>
    <t xml:space="preserve">IZTAPALAPA </t>
  </si>
  <si>
    <t xml:space="preserve">XOCHIMILCO </t>
  </si>
  <si>
    <t>Los alumnos que registraron actividad académica son aquellos que se inscribieron al menos una vez en el año de referencia.</t>
  </si>
  <si>
    <t>BECA A ALUMNOS DE NUEVO INGRESO O DE SEGUNDO AÑO EN PROGRAMAS DE NUEVA CREACIÓN</t>
  </si>
  <si>
    <t>ANTIGÜEDAD PROMEDIO</t>
  </si>
  <si>
    <t>FUENTE: Oficina de becas. Coordinación General de Información Institucional.</t>
  </si>
  <si>
    <t>La categoría estudiantes que terminaron estudios de licenciatura, incluye a las personas que concluyeron en el año de referencia el plan de estudios correspondiente.</t>
  </si>
  <si>
    <t xml:space="preserve">La categoría trimestres cursados  corresponde a los trimestres donde el alumno tuvo alguna actividad académica
</t>
  </si>
  <si>
    <t>UNIDAD IZTAPALAPA</t>
  </si>
  <si>
    <t>Maestría en Ciencias de la Computación</t>
  </si>
  <si>
    <t>Maestría en Ingeniería Estructural</t>
  </si>
  <si>
    <t>Doctorado en Ingeniería Estructural</t>
  </si>
  <si>
    <t>Especialización en Literatura Mexicana del Siglo XX</t>
  </si>
  <si>
    <t>Maestría en Ciencias Económicas</t>
  </si>
  <si>
    <t>Maestría en Economía</t>
  </si>
  <si>
    <t>Maestría en Planeación y Políticas Metropolitanas</t>
  </si>
  <si>
    <t>Doctorado en Sociología</t>
  </si>
  <si>
    <t>Doctorado en Ciencias Económicas</t>
  </si>
  <si>
    <t>NIVEL</t>
  </si>
  <si>
    <t>C</t>
  </si>
  <si>
    <t>C: Candidato</t>
  </si>
  <si>
    <t>2004-2008</t>
  </si>
  <si>
    <t>08-P</t>
  </si>
  <si>
    <t>08-O</t>
  </si>
  <si>
    <t>08-I</t>
  </si>
  <si>
    <t>Total 2008</t>
  </si>
  <si>
    <t>2005-2008</t>
  </si>
  <si>
    <t>2003-2008</t>
  </si>
  <si>
    <t>03-P</t>
  </si>
  <si>
    <t>03-O</t>
  </si>
  <si>
    <t>03-I</t>
  </si>
  <si>
    <t>Total 2003</t>
  </si>
  <si>
    <t>2003*</t>
  </si>
  <si>
    <t>* No se cuenta con la distribución por División en éste año.</t>
  </si>
  <si>
    <t>Total</t>
  </si>
  <si>
    <t>Azcapotzalco</t>
  </si>
  <si>
    <t>Iztapalapa</t>
  </si>
  <si>
    <t>Xochimilco</t>
  </si>
  <si>
    <t>UNIDAD / DIVISIÓN</t>
  </si>
  <si>
    <t>LICENCIATURA</t>
  </si>
  <si>
    <t>DIV</t>
  </si>
  <si>
    <t>PLAN</t>
  </si>
  <si>
    <t>ARQUITECTURA</t>
  </si>
  <si>
    <t>DISEÑO DE LA COM.GRÁFICA</t>
  </si>
  <si>
    <t>DISEÑO INDUSTRIAL</t>
  </si>
  <si>
    <t>INGENIERÍA AMBIENTAL</t>
  </si>
  <si>
    <t>INGENIERÍA CIVIL</t>
  </si>
  <si>
    <t>INGENIERÍA ELÉCTRICA</t>
  </si>
  <si>
    <t>INGENIERÍA FÍSICA</t>
  </si>
  <si>
    <t>INGENIERÍA INDUSTRIAL</t>
  </si>
  <si>
    <t>INGENIERÍA MECÁNICA</t>
  </si>
  <si>
    <t>INGENIERÍA METALÚRGICA</t>
  </si>
  <si>
    <t>INGENIERIA QUÍMICA</t>
  </si>
  <si>
    <t>INGENIERIA ELECTRÓNICA</t>
  </si>
  <si>
    <t>INGENIERÍA EN COMPUTACIÓN</t>
  </si>
  <si>
    <t>ADMINISTRACIÓN</t>
  </si>
  <si>
    <t>DERECHO</t>
  </si>
  <si>
    <t>ECONOMÍA</t>
  </si>
  <si>
    <t>SOCIOLOGÍA</t>
  </si>
  <si>
    <t>DISEÑO</t>
  </si>
  <si>
    <t>TECNOLOGÍAS Y SIST. DE INF.</t>
  </si>
  <si>
    <t>CIENCIAS DE LA COMUNICACIÓN</t>
  </si>
  <si>
    <t>INGENIERIA EN COMPUTACIÓN</t>
  </si>
  <si>
    <t>MATEMÁTICAS APLICADAS</t>
  </si>
  <si>
    <t>INGENIERÍA BIOLÓGICA</t>
  </si>
  <si>
    <t>ESTUDIOS SOCIOTERRITORIALES</t>
  </si>
  <si>
    <t>ESTUDIOS HUMANISTICOS</t>
  </si>
  <si>
    <t>INGENIERÍA BIOMÉDICA</t>
  </si>
  <si>
    <t>INGENIERÍA HIDROLÓGICA</t>
  </si>
  <si>
    <t>INGENIERÍA QUÍMICA</t>
  </si>
  <si>
    <t>INGENIERÍA EN ENERGÍA</t>
  </si>
  <si>
    <t>FÍSICA</t>
  </si>
  <si>
    <t>INGENIERÍA ELECTRÓNICA</t>
  </si>
  <si>
    <t>MATEMÁTICAS</t>
  </si>
  <si>
    <t>QUÍMICA</t>
  </si>
  <si>
    <t>COMPUTACIÓN</t>
  </si>
  <si>
    <t>BIOLOGÍA</t>
  </si>
  <si>
    <t>BIOLOGÍA EXPERIMENTAL</t>
  </si>
  <si>
    <t>HIDROBIOLOGÍA</t>
  </si>
  <si>
    <t>PRODUCCIÓN ANIMAL</t>
  </si>
  <si>
    <t>ING. BIOQUIMICA INDUSTRIAL</t>
  </si>
  <si>
    <t>INGENIERÍA DE LOS ALIMENTOS</t>
  </si>
  <si>
    <t>ANTROPOLOGÍA SOCIAL</t>
  </si>
  <si>
    <t>LETRAS HISPÁNICAS</t>
  </si>
  <si>
    <t>FILOSOFÍA</t>
  </si>
  <si>
    <t>HISTORIA</t>
  </si>
  <si>
    <t>LINGUISTICA</t>
  </si>
  <si>
    <t>CIENCIA POLÍTICA</t>
  </si>
  <si>
    <t>PSICOLOGÍA SOCIAL</t>
  </si>
  <si>
    <t>GEOGRAFÍA HUMANA</t>
  </si>
  <si>
    <t>PLANEACIÓN TERRITORIAL</t>
  </si>
  <si>
    <t>ENFERMERÍA</t>
  </si>
  <si>
    <t>ESTOMATOLOGÍA</t>
  </si>
  <si>
    <t>QUÍM. FARM.BIOLÓGICA</t>
  </si>
  <si>
    <t>MEDICINA VET. Y ZOO.</t>
  </si>
  <si>
    <t>AGRONOMÍA</t>
  </si>
  <si>
    <t>MEDICINA</t>
  </si>
  <si>
    <t>NUTRICIÓN</t>
  </si>
  <si>
    <t>COMUNICACIÓN SOCIAL</t>
  </si>
  <si>
    <t>PSICOLOGÍA</t>
  </si>
  <si>
    <t>POLÍTICA Y GESTIÓN SOCIAL</t>
  </si>
  <si>
    <t xml:space="preserve"> </t>
  </si>
  <si>
    <t xml:space="preserve">BAJAS DEFINITIVAS DE ALUMNOS POR LICENCIATURA </t>
  </si>
  <si>
    <t>CVE</t>
  </si>
  <si>
    <t xml:space="preserve">BAJAS REGLAMENTARIAS DE ALUMNOS POR LICENCIATURA </t>
  </si>
  <si>
    <t>MAESTRÍA  EN CIENCIAS E INGENIERÍA (AMBIENTALES, DE MATERIALES)</t>
  </si>
  <si>
    <t>DOCTORADO EN CIENCIAS E INGENIERÍA (AMBIENTALES, DE MATERIALES)</t>
  </si>
  <si>
    <t>MAESTRÍA EN INGENIERÍA ESTRUCTURAL</t>
  </si>
  <si>
    <t>DOCTORADO EN INGENIERÍA ESTRUCTURAL</t>
  </si>
  <si>
    <t>MAESTRÍA EN CIENCIAS DE LA COMPUTACIÓN</t>
  </si>
  <si>
    <t>ESPECIALIZACIÓN EN LITERATURA MEXICANA DEL SIGLO XX</t>
  </si>
  <si>
    <t>ESPECIALIZACIÓN EN SOCIOLOGÍA DE LA EDUCACIÓN SUPERIOR</t>
  </si>
  <si>
    <t>POSGRADO EN HISTORIOGRAFÍA (ESPECIALIZACIÓN)</t>
  </si>
  <si>
    <t>POSGRADO EN HISTORIOGRAFÍA (MAESTRÍA)</t>
  </si>
  <si>
    <t>POSGRADO EN HISTORIOGRAFÍA (DOCTORADO)</t>
  </si>
  <si>
    <t>MAESTRÍA EN HISTORIOGRAFÍA DE MÉXICO</t>
  </si>
  <si>
    <t>MAESTRÍA EN CIENCIAS ECONÓMICAS</t>
  </si>
  <si>
    <t>DOCTORADO EN CIENCIAS ECONÓMICAS</t>
  </si>
  <si>
    <t>MAESTRÍA EN SOCIOLOGÍA</t>
  </si>
  <si>
    <t>DOCTORADO EN SOCIOLOGÍA</t>
  </si>
  <si>
    <t>MAESTRÍA EN PLANEACIÓN Y POLÍTICAS METROPOLITANAS</t>
  </si>
  <si>
    <t>MAESTRÍA EN ECONOMÍA (HISTORIA ECONÓMICA; EMPRESAS, FINANZAS E INNOVACIÓN)</t>
  </si>
  <si>
    <t>ESPECIALIZACIÓN EN DISEÑO</t>
  </si>
  <si>
    <t>MAESTRÍA EN DISEÑO</t>
  </si>
  <si>
    <t>DOCTORADO EN DISEÑO</t>
  </si>
  <si>
    <t>POSGRADO EN FÍSICA (MAESTRÍA)</t>
  </si>
  <si>
    <t>POSGRADO EN FÍSICA (DOCTORADO)</t>
  </si>
  <si>
    <t>POSGRADO EN MATEMÁTICAS (DOCTORADO)</t>
  </si>
  <si>
    <t>POSGRADO EN QUÍMICA (MAESTRÍA)</t>
  </si>
  <si>
    <t>POSGRADO EN QUÍMICA (DOCTORADO)</t>
  </si>
  <si>
    <t>POSGRADO EN INGENIERÍA QUÍMICA (MAESTRÍA)</t>
  </si>
  <si>
    <t>POSGRADO EN INGENIERÍA QUÍMICA (DOCTORADO)</t>
  </si>
  <si>
    <t>POSGRADO EN INGENIERÍA BIOMÉDICA (MAESTRÍA)</t>
  </si>
  <si>
    <t>POSGRADO EN INGENIERÍA BIOMÉDICA (DOCTORADO)</t>
  </si>
  <si>
    <t>MAESTRÍA EN CIENCIAS Y TECNOLOGÍAS DE LA INFORMACIÓN</t>
  </si>
  <si>
    <t>DOCTORADO EN CIENCIAS</t>
  </si>
  <si>
    <t>ESPECIALIZACIÓN EN CIENCIAS ANTROPOLÓGICAS</t>
  </si>
  <si>
    <t>MAESTRÍA EN CIENCIAS ANTROPOLÓGICAS</t>
  </si>
  <si>
    <t>DOCTORADO EN CIENCIAS ANTROPOLÓGICAS</t>
  </si>
  <si>
    <t>MAESTRÍA EN ESTUDIOS ORGANIZACIONALES</t>
  </si>
  <si>
    <t>DOCTORADO EN ESTUDIOS ORGANIZACIONALES</t>
  </si>
  <si>
    <t>MAESTRÍA EN HUMANIDADES</t>
  </si>
  <si>
    <t>DOCTORADO EN HUMANIDADES</t>
  </si>
  <si>
    <t>MAESTRÍA EN ESTUDIOS SOCIALES</t>
  </si>
  <si>
    <t>DOCTORADO EN ESTUDIOS SOCIALES</t>
  </si>
  <si>
    <t>ESPECIALIZACIÓN EN BIOTECNOLOGÍA</t>
  </si>
  <si>
    <t>POSGRADO EN BIOTECNOLOGÍA (MAESTRÍA)</t>
  </si>
  <si>
    <t>POSGRADO EN BIOTECNOLOGÍA (DOCTORADO)</t>
  </si>
  <si>
    <t>ESPECIALIZACIÓN EN ACUPUNTURA Y FITOTERAPIA</t>
  </si>
  <si>
    <t>MAESTRÍA EN BIOLOGÍA DE LA REPRODUCCIÓN ANIMAL</t>
  </si>
  <si>
    <t>POSGRADO EN BIOLOGÍA EXPERIMENTAL (MAESTRÍA)</t>
  </si>
  <si>
    <t>POSGRADO EN BIOLOGÍA EXPERIMENTAL (DOCTORADO)</t>
  </si>
  <si>
    <t>MAESTRÍA EN BIOLOGÍA</t>
  </si>
  <si>
    <t>DOCTORADO EN CIENCIAS BIOLÓGICAS</t>
  </si>
  <si>
    <t>ESPECIALIZACIÓN EN ESTUDIOS DE LA MUJER</t>
  </si>
  <si>
    <t>MAESTRÍA EN ESTUDIOS DE LA MUJER</t>
  </si>
  <si>
    <t>ESPECIALIZACIÓN EN DESARROLLO RURAL</t>
  </si>
  <si>
    <t>MAESTRÍA EN DESARROLLO RURAL</t>
  </si>
  <si>
    <t>DOCTORADO EN DESARROLLO RURAL</t>
  </si>
  <si>
    <t>MAESTRÍA EN DESARROLLO Y PLANEACIÓN DE LA EDUCACIÓN</t>
  </si>
  <si>
    <t>MAESTRÍA EN ECONOMÍA Y GESTIÓN DEL CAMBIO TECNOLÓGICO</t>
  </si>
  <si>
    <t>MAESTRÍA EN PSICOLOGÍA SOCIAL DE GRUPOS E INSTITUCIONES</t>
  </si>
  <si>
    <t>MAESTRÍA EN POLÍTICAS PÚBLICAS</t>
  </si>
  <si>
    <t>MAESTRÍA EN COMUNICACIÓN Y POLÍTICA</t>
  </si>
  <si>
    <t>DOCTORADO EN CIENCIAS SOCIALES</t>
  </si>
  <si>
    <t>CURSO DE ESPECIALIZACIÓN EN PATOLOGÍA Y MEDICINA BUCAL</t>
  </si>
  <si>
    <t>ESPECIALIZACIÓN EN DIAGNÓSTICO INTEGRAL Y PATOLOGÍA BUCAL</t>
  </si>
  <si>
    <t>ESPECIALIZACIÓN EN MEDICINA SOCIAL</t>
  </si>
  <si>
    <t>MAESTRÍA EN MEDICINA SOCIAL</t>
  </si>
  <si>
    <t>MAESTRÍA EN REHABILITACIÓN NEUROLÓGICA</t>
  </si>
  <si>
    <t>MAESTRÍA EN CIENCIAS EN SALUD EN EL TRABAJO</t>
  </si>
  <si>
    <t>MAESTRÍA EN POBLACIÓN Y SALUD (ÁREA DE PLANIFICACIÓN FAMILIAR)</t>
  </si>
  <si>
    <t>MAESTRÍA EN CIENCIAS FARMACÉUTICAS</t>
  </si>
  <si>
    <t>MAESTRÍA EN CIENCIAS AGROPECUARIAS</t>
  </si>
  <si>
    <t>DOCTORADO EN CIENCIAS EN SALUD COLECTIVA</t>
  </si>
  <si>
    <t>MAESTRÍA EN CIENCIAS Y ARTES PARA EL DISEÑO</t>
  </si>
  <si>
    <t>DOCTORADO EN CIENCIAS Y ARTES PARA EL DISEÑO</t>
  </si>
  <si>
    <t>POSGRADO EN MATEMÁTICAS (MAESTRÍA)</t>
  </si>
  <si>
    <t>MAESTRÍA Y DOCTORADO EN INGENIERÍA ESTRUCTURAL (M)</t>
  </si>
  <si>
    <t>DOCTORADO EN CIENCIAS E INGENIERÍA (AMBIENTALES, DE MATERIALES) (D)</t>
  </si>
  <si>
    <t>MAESTRÍA Y DOCTORADO EN INGENIERÍA ESTRUCTURAL (D)</t>
  </si>
  <si>
    <t>MAESTRÍA Y DOCTORADO EN CIENCIAS ECONÓMICAS (M)</t>
  </si>
  <si>
    <t>MAESTRÍA Y DOCTORADO EN SOCIOLOGÍA (M)</t>
  </si>
  <si>
    <t>MAESTRÍA Y DOCTORADO EN CIENCIAS ECONÓMICAS (D)</t>
  </si>
  <si>
    <t>MAESTRÍA Y DOCTORADO EN SOCIOLOGÍA (D)</t>
  </si>
  <si>
    <t>ESPECIALIZACIÓN, MAESTRÍA Y DOCTORADO EN CIENCIAS ANTROPOLÓGICAS (D)</t>
  </si>
  <si>
    <t>MAESTRÍA  EN CIENCIAS ECONÓMICAS</t>
  </si>
  <si>
    <t>ESPECIALIZACIÓN EN DISEÑO AMBIENTAL</t>
  </si>
  <si>
    <t>MAESTRÍA EN DESARROLLO DE PRODUCTOS</t>
  </si>
  <si>
    <t>MAESTRÍA EN QUÍMICA</t>
  </si>
  <si>
    <t>MAESTRÍA EN ADMINISTRACIÓN DEL TRABAJO</t>
  </si>
  <si>
    <t>MAESTRÍA EN DERECHO ECONÓMICO</t>
  </si>
  <si>
    <t>La categoría trimestres cursados correspondiente a los trimestres donde el alumno tuvo alguna actividad académica</t>
  </si>
  <si>
    <t>Fuente: Dirección de Planeación.</t>
  </si>
  <si>
    <t>MAESTRÍA EN FILOSOFÍA DE LA CIENCIA</t>
  </si>
  <si>
    <t>MAESTRÍA EN SOCIOLOGÍA DEL TRABAJO</t>
  </si>
  <si>
    <t>NÚMERO DE BECAS PAGADAS POR LA SEP ADICIONALES A PRONABES</t>
  </si>
  <si>
    <t>09-O</t>
  </si>
  <si>
    <t>09-P</t>
  </si>
  <si>
    <t>09-I</t>
  </si>
  <si>
    <t>LERMA</t>
  </si>
  <si>
    <t>Total 2009</t>
  </si>
  <si>
    <t>MAESTRIA EN REUTILIZACION DEL PATRIMONIO EDIFICADO</t>
  </si>
  <si>
    <t>MAESTRIA EN DISEÑO Y PRODUCCION EDITORIAL</t>
  </si>
  <si>
    <t>POSGRADO EN HISTORIOGRAFIA (E)</t>
  </si>
  <si>
    <t>POSGRADO EN HISTORIOGRAFIA (D)</t>
  </si>
  <si>
    <t>ESPECIALIZACIÓN EN PATOLOGÍA Y MEDICINA BUCAL</t>
  </si>
  <si>
    <t>UNIDAD AZCAPOTZALCO</t>
  </si>
  <si>
    <t>FUENTE: Dirección de Sistemas Escolares</t>
  </si>
  <si>
    <t>10-P</t>
  </si>
  <si>
    <t>10-O</t>
  </si>
  <si>
    <t>2003-2010</t>
  </si>
  <si>
    <t>10-I</t>
  </si>
  <si>
    <t>Total 2010</t>
  </si>
  <si>
    <t>ESTUDIANTES QUE TERMINARON ESTUDIOS DE LICENCIATURA ACUMULADO</t>
  </si>
  <si>
    <t>L</t>
  </si>
  <si>
    <t>E</t>
  </si>
  <si>
    <t>M</t>
  </si>
  <si>
    <t>D</t>
  </si>
  <si>
    <t>PROFESORES EN EL S N I</t>
  </si>
  <si>
    <t>POSGRADO EN HISTORIOGRAFIA (M)</t>
  </si>
  <si>
    <t>MAESTRÍA EN PATOLOGÍA Y MEDICINA BUCAL</t>
  </si>
  <si>
    <t>TECNOLOGÍAS Y SISTEMAS DE INFORMACIÓN</t>
  </si>
  <si>
    <t>Maestría en Economía y Gestión de la Innovación</t>
  </si>
  <si>
    <t>FUENTE: Coordinación General de Información Institucional. Departamento de Admisión</t>
  </si>
  <si>
    <t>PLAN DE ESTUDIO</t>
  </si>
  <si>
    <t xml:space="preserve">TOTAL DE ALUMNOS REINSCRITOS POR POSGRADO Y TRIMESTRE </t>
  </si>
  <si>
    <t>** Base de datos de promep, AZC envío adicionales a estos</t>
  </si>
  <si>
    <t>Fuente: Base del FPI PROMEP</t>
  </si>
  <si>
    <t>Fuente: Catálogo de Profesores de Tiempo Completo del PROMEP.</t>
  </si>
  <si>
    <t>DIVISION</t>
  </si>
  <si>
    <t xml:space="preserve">CBI        </t>
  </si>
  <si>
    <t xml:space="preserve">CAD      </t>
  </si>
  <si>
    <t xml:space="preserve">CBS      </t>
  </si>
  <si>
    <t>Especialización en Sociología de la Educación Superior</t>
  </si>
  <si>
    <t>Doctorado en Ciencias Biológicas y de la Salud</t>
  </si>
  <si>
    <t>Especialización en diseño</t>
  </si>
  <si>
    <t>Maestría en diseño</t>
  </si>
  <si>
    <t>Doctorado en diseño</t>
  </si>
  <si>
    <t>Doctorado en ciencias</t>
  </si>
  <si>
    <t>Maestría en sociología del trabajo</t>
  </si>
  <si>
    <t>Especialización en Literatura Mexicana del siglo XX</t>
  </si>
  <si>
    <t>Maestría en Historiografía de México</t>
  </si>
  <si>
    <t>Maestría en Sociología</t>
  </si>
  <si>
    <t>Posgrado en Historiografía (Maestría)</t>
  </si>
  <si>
    <t>Posgrado en Historiografía (Doctorado)</t>
  </si>
  <si>
    <t>Posgrado en Física (Maestría)</t>
  </si>
  <si>
    <t>Posgrado en Física (Doctorado)</t>
  </si>
  <si>
    <t>Doctorado en Ciencias y Tecnologías de la Información</t>
  </si>
  <si>
    <t>Posgrado en Ingeniería Biomédica (Doctorado)</t>
  </si>
  <si>
    <t>Posgrado en Ingeniería Biomédica (Maestría)</t>
  </si>
  <si>
    <t>Posgrado en Ingeniería Química (Doctorado)</t>
  </si>
  <si>
    <t>Posgrado en Ingeniería Química (Maestría)</t>
  </si>
  <si>
    <t>Posgrado en Química (Doctorado)</t>
  </si>
  <si>
    <t>Posgrado en Química (Maestría)</t>
  </si>
  <si>
    <t>Posgrado en Matemáticas (Doctorado)</t>
  </si>
  <si>
    <t>Posgrado en Matemáticas (Maestría)</t>
  </si>
  <si>
    <t>Maestría en Filosofía de la Ciencia</t>
  </si>
  <si>
    <t>Posgrado en Biotecnología (Maestría)</t>
  </si>
  <si>
    <t>Posgrado en Biotecnología (Doctorado)</t>
  </si>
  <si>
    <t>Maestría en Biología de la Reproducción Animal</t>
  </si>
  <si>
    <t>Posgrado en Biología Experimental (Maestría)</t>
  </si>
  <si>
    <t>Posgrado en Biología Experimental (Doctorado)</t>
  </si>
  <si>
    <t>Doctorado en Ciencias Biológicas</t>
  </si>
  <si>
    <t>Especialización en Desarrollo Rural</t>
  </si>
  <si>
    <t>Maestría en Desarrollo Rural</t>
  </si>
  <si>
    <t>Maestría en Desarrollo y Planeación de la Educación</t>
  </si>
  <si>
    <t>Maestría en Economía y Gestión del Cambio Tecnológico</t>
  </si>
  <si>
    <t>Maestría en Comunicación y Política</t>
  </si>
  <si>
    <t>Especialización en Patología y Medicina Bucal</t>
  </si>
  <si>
    <t>Maestria en Patologia y Medicina Bucal</t>
  </si>
  <si>
    <t>Especialización en Diagnóstico Integral y Patología Bucal</t>
  </si>
  <si>
    <t>Maestría en Ciencias en Salud en el Trabajo</t>
  </si>
  <si>
    <t>Maestria en Reutilizacion del Patrimonio Edificado</t>
  </si>
  <si>
    <t>Maestria en Diseño y Produccion Editorial</t>
  </si>
  <si>
    <t>Maestria en Ciencias Sociales y Humanidades</t>
  </si>
  <si>
    <t>Doctorado en Ciencias Sociales y Humanidades</t>
  </si>
  <si>
    <t>Especialización en Diseño</t>
  </si>
  <si>
    <t>Maestría en Diseño</t>
  </si>
  <si>
    <t>Doctorado en Diseño</t>
  </si>
  <si>
    <t>Posgrado en Historiografía (Especialización)</t>
  </si>
  <si>
    <t>Doctorado en Ciencias</t>
  </si>
  <si>
    <t>Maestría en Sociología del Trabajo</t>
  </si>
  <si>
    <t>Maestría en Ciencias Sociales y Humanidades</t>
  </si>
  <si>
    <t>Cuajimalpa</t>
  </si>
  <si>
    <t>Lerma</t>
  </si>
  <si>
    <t>Maestría en Ingeniería de Procesos</t>
  </si>
  <si>
    <t>Maestría en Optimización</t>
  </si>
  <si>
    <t>Maestría en Lireratura Mexicana Contemporanea</t>
  </si>
  <si>
    <t>Maestría en Diseño, Información y Comunicación</t>
  </si>
  <si>
    <t>Especialización en Ciencias Naturales e Ingeniería</t>
  </si>
  <si>
    <t>Maestría en Ciencias Naturales e Ingeniería</t>
  </si>
  <si>
    <t>Doctorado en Ciencias Naturales e Ingeniería</t>
  </si>
  <si>
    <t>Maestría en Relaciones Internacionales</t>
  </si>
  <si>
    <t>TOTAL CCD</t>
  </si>
  <si>
    <t>TOTAL CNI</t>
  </si>
  <si>
    <t>Mtría en Literatura Mexicana Contemporánea</t>
  </si>
  <si>
    <t>Esp-Mtría en Estudios de la Mujer</t>
  </si>
  <si>
    <t>Mtría en Relaciones Internacionales</t>
  </si>
  <si>
    <t>Posgrado en Ciencias Naturales e Ingeniería (especialidad)</t>
  </si>
  <si>
    <t>Posgrado en Ciencias Naturales e Ingeniería (maestría)</t>
  </si>
  <si>
    <t>Posgrado en Ciencias Naturales e Ingeniería (doctorado)</t>
  </si>
  <si>
    <t xml:space="preserve">AZC </t>
  </si>
  <si>
    <t xml:space="preserve">CBI         </t>
  </si>
  <si>
    <t xml:space="preserve">CSH      </t>
  </si>
  <si>
    <t xml:space="preserve">CAD       </t>
  </si>
  <si>
    <t xml:space="preserve">IZT </t>
  </si>
  <si>
    <t xml:space="preserve">CSH             </t>
  </si>
  <si>
    <t xml:space="preserve">XOC </t>
  </si>
  <si>
    <t xml:space="preserve">CSH       </t>
  </si>
  <si>
    <t>CUA</t>
  </si>
  <si>
    <t>LER</t>
  </si>
  <si>
    <t>Posgrado en Ingeniería de Procesos (Maestría)</t>
  </si>
  <si>
    <t>Posgrado en Optimización (Maestría)</t>
  </si>
  <si>
    <t>Posgrado en Ciencias Naturales e Ingeniería (Especialización)</t>
  </si>
  <si>
    <t>Posgrado en Ciencias Naturales e Ingeniería (Maestría)</t>
  </si>
  <si>
    <t>Posgrado en Ciencias Naturales e Ingeniería (Doctorado)</t>
  </si>
  <si>
    <t>Maestría en Población y Salud</t>
  </si>
  <si>
    <t>Maestría en Literatura Mexicana Contemporánea</t>
  </si>
  <si>
    <t>Personas que han concluido hasta el año 2012, el plan de estudios correspondiente</t>
  </si>
  <si>
    <t>AZC</t>
  </si>
  <si>
    <t>IZT</t>
  </si>
  <si>
    <t>XOC</t>
  </si>
  <si>
    <t>2003-2009</t>
  </si>
  <si>
    <t>Total Unidad</t>
  </si>
  <si>
    <t>total</t>
  </si>
  <si>
    <t>Ingeniería Ambiental</t>
  </si>
  <si>
    <t>Ingeniería Civil</t>
  </si>
  <si>
    <t>Ingeniería Eléctrica</t>
  </si>
  <si>
    <t>Ingeniería Física</t>
  </si>
  <si>
    <t>Ingeniería Industrial</t>
  </si>
  <si>
    <t>Ingeniería Mecánica</t>
  </si>
  <si>
    <t>Ingeniería Metalúrgica</t>
  </si>
  <si>
    <t>Ingeniería Química</t>
  </si>
  <si>
    <t>Ingeniería Electrónica</t>
  </si>
  <si>
    <t>Ingeniería en Computación</t>
  </si>
  <si>
    <t>Administración</t>
  </si>
  <si>
    <t>Derecho</t>
  </si>
  <si>
    <t>Economía</t>
  </si>
  <si>
    <t>Sociología</t>
  </si>
  <si>
    <t>Arquitectura</t>
  </si>
  <si>
    <t>Diseño de la Comunicación Gráfica</t>
  </si>
  <si>
    <t>Diseño Industrial</t>
  </si>
  <si>
    <t>Ingeniería Biomédica</t>
  </si>
  <si>
    <t>Ingeniería Hidrológica</t>
  </si>
  <si>
    <t>Ingeniería en Energía</t>
  </si>
  <si>
    <t>Física</t>
  </si>
  <si>
    <t>Matemáticas</t>
  </si>
  <si>
    <t>Química</t>
  </si>
  <si>
    <t>Computación</t>
  </si>
  <si>
    <t>Antropología Social</t>
  </si>
  <si>
    <t>Letras Hispánicas</t>
  </si>
  <si>
    <t>Filosofía</t>
  </si>
  <si>
    <t>Historia</t>
  </si>
  <si>
    <t>Lingüística</t>
  </si>
  <si>
    <t>Ciencia Política</t>
  </si>
  <si>
    <t>Psicología Social</t>
  </si>
  <si>
    <t>Geografía Humana</t>
  </si>
  <si>
    <t>Biología</t>
  </si>
  <si>
    <t>Biología Experimental</t>
  </si>
  <si>
    <t>Hidrobiología</t>
  </si>
  <si>
    <t>Producción Animal</t>
  </si>
  <si>
    <t>Ingeniería Bioquímica Industrial</t>
  </si>
  <si>
    <t>Ingeniería de los Alimentos</t>
  </si>
  <si>
    <t>Comunicación Social</t>
  </si>
  <si>
    <t>Psicología</t>
  </si>
  <si>
    <t>Política y Gestión Social</t>
  </si>
  <si>
    <t>Enfermería</t>
  </si>
  <si>
    <t>Estomatología</t>
  </si>
  <si>
    <t>Química Farmacéutica Biológica</t>
  </si>
  <si>
    <t>Medicina Veterinaria y Zootecnia</t>
  </si>
  <si>
    <t>Agronomía</t>
  </si>
  <si>
    <t>Medicina</t>
  </si>
  <si>
    <t>Nutrición Humana</t>
  </si>
  <si>
    <t>Planeación Territorial</t>
  </si>
  <si>
    <t>Estudios Socioterritoriales</t>
  </si>
  <si>
    <t>Humanidades</t>
  </si>
  <si>
    <t>Diseño</t>
  </si>
  <si>
    <t>Tecnologías y Sistemas de Información</t>
  </si>
  <si>
    <t>Ciencias de la Comunicación</t>
  </si>
  <si>
    <t>Matemáticas Aplicadas</t>
  </si>
  <si>
    <t>Ingeniería Biológica</t>
  </si>
  <si>
    <t>Biología Molecular</t>
  </si>
  <si>
    <t>Ingeniería en Recursos Hídricos</t>
  </si>
  <si>
    <t>Políticas Públicas</t>
  </si>
  <si>
    <t>Biología Ambiental</t>
  </si>
  <si>
    <t>Ingeniería En Computación</t>
  </si>
  <si>
    <t>TITULADOS DE LICENCIATURA</t>
  </si>
  <si>
    <t>Estudios Humanísticos</t>
  </si>
  <si>
    <t>Nutrición</t>
  </si>
  <si>
    <t xml:space="preserve">Total Unidad </t>
  </si>
  <si>
    <t>Tecnologías y Sistemas de la Información</t>
  </si>
  <si>
    <t>Ing. En Computación</t>
  </si>
  <si>
    <t>Ingeniería En Energía</t>
  </si>
  <si>
    <t>Ing. Bioquímica Industrial</t>
  </si>
  <si>
    <t xml:space="preserve">Total </t>
  </si>
  <si>
    <t>Diseño De La Comunicación Gráfica</t>
  </si>
  <si>
    <t>Inv</t>
  </si>
  <si>
    <t>Prim</t>
  </si>
  <si>
    <t>Oto</t>
  </si>
  <si>
    <t>Doct.</t>
  </si>
  <si>
    <t>Mtría.</t>
  </si>
  <si>
    <t>Esp.</t>
  </si>
  <si>
    <t>Total Azcapotzalco</t>
  </si>
  <si>
    <t>Total Iztapalapa</t>
  </si>
  <si>
    <t>Total Xochimilco</t>
  </si>
  <si>
    <t>Total Cuajimalpa</t>
  </si>
  <si>
    <t>Maestría en Literatura Contemporánea</t>
  </si>
  <si>
    <t>Especialización en Acupuntura Y Fitoterapia</t>
  </si>
  <si>
    <t>Especialización y Maestría en Patología y Medicina Bucal</t>
  </si>
  <si>
    <t>Doctorado en Ciencias En Salud Colectiva</t>
  </si>
  <si>
    <t>Maestría en Reutilización del Patrimonio Edificado</t>
  </si>
  <si>
    <t>Maestría en Diseño y Producción Editorial</t>
  </si>
  <si>
    <t>Posgrado en Historiografía</t>
  </si>
  <si>
    <t>Doctorado en Historiografía</t>
  </si>
  <si>
    <t>Especialización en Diseño Ambiental</t>
  </si>
  <si>
    <t>Maestría en Desarrollo de Productos</t>
  </si>
  <si>
    <t>Maestría en Física</t>
  </si>
  <si>
    <t>Maestría en Química</t>
  </si>
  <si>
    <t>Maestría en Matemáticas</t>
  </si>
  <si>
    <t>Maestría en Ingeniería Química</t>
  </si>
  <si>
    <t>Maestría en Ingeniería Biomédica</t>
  </si>
  <si>
    <t>Posgrado en Física</t>
  </si>
  <si>
    <t>Posgrado en Matemáticas</t>
  </si>
  <si>
    <t>Posgrado en Química</t>
  </si>
  <si>
    <t>Posgrado en Ingeniería Química</t>
  </si>
  <si>
    <t>Posgrado en Ingeniería Biomédica</t>
  </si>
  <si>
    <t>Posgrado en Ciencias y Tecnologías de la Información</t>
  </si>
  <si>
    <t>Maestría en Historia</t>
  </si>
  <si>
    <t>Maestría en Biología Experimental</t>
  </si>
  <si>
    <t>Maestría en Investigación en Salud Pública</t>
  </si>
  <si>
    <t>Posgrado en Biotecnología</t>
  </si>
  <si>
    <t>Posgrado en Biología Experimental</t>
  </si>
  <si>
    <t>Maestría en Derecho Económico</t>
  </si>
  <si>
    <t>Maestría en Administración del Trabajo</t>
  </si>
  <si>
    <t>Especialización y Maestría En Patología y Medicina Bucal</t>
  </si>
  <si>
    <r>
      <t>Maestría en Población y Salud</t>
    </r>
    <r>
      <rPr>
        <i/>
        <sz val="10"/>
        <color theme="1"/>
        <rFont val="Calibri"/>
        <family val="2"/>
        <scheme val="minor"/>
      </rPr>
      <t xml:space="preserve"> (Área de Planificación Familiar)</t>
    </r>
  </si>
  <si>
    <r>
      <t xml:space="preserve">Especialización en Ciencias e Ingeniería </t>
    </r>
    <r>
      <rPr>
        <i/>
        <sz val="10"/>
        <color theme="1"/>
        <rFont val="Calibri"/>
        <family val="2"/>
        <scheme val="minor"/>
      </rPr>
      <t>(Ambientales, de Materiales)</t>
    </r>
  </si>
  <si>
    <r>
      <t xml:space="preserve">Maestría  en Ciencias e Ingeniería </t>
    </r>
    <r>
      <rPr>
        <i/>
        <sz val="10"/>
        <color theme="1"/>
        <rFont val="Calibri"/>
        <family val="2"/>
        <scheme val="minor"/>
      </rPr>
      <t>(Ambientales, de Materiales)</t>
    </r>
  </si>
  <si>
    <r>
      <t xml:space="preserve">Doctorado en Ciencias e Ingeniería </t>
    </r>
    <r>
      <rPr>
        <i/>
        <sz val="10"/>
        <color theme="1"/>
        <rFont val="Calibri"/>
        <family val="2"/>
        <scheme val="minor"/>
      </rPr>
      <t>(Ambientales, de Materiales)</t>
    </r>
  </si>
  <si>
    <r>
      <t xml:space="preserve">Especialización en Ciencias e Ingeniería </t>
    </r>
    <r>
      <rPr>
        <i/>
        <sz val="10"/>
        <color indexed="8"/>
        <rFont val="Calibri"/>
        <family val="2"/>
        <scheme val="minor"/>
      </rPr>
      <t>(Ambientales, de Materiales)</t>
    </r>
  </si>
  <si>
    <r>
      <t xml:space="preserve">Maestría en Ciencias e Ingeniería </t>
    </r>
    <r>
      <rPr>
        <i/>
        <sz val="10"/>
        <color indexed="8"/>
        <rFont val="Calibri"/>
        <family val="2"/>
        <scheme val="minor"/>
      </rPr>
      <t>(Ambientales, de Materiales)</t>
    </r>
  </si>
  <si>
    <r>
      <t xml:space="preserve">Doctorado en Ciencias e Ingeniería </t>
    </r>
    <r>
      <rPr>
        <i/>
        <sz val="10"/>
        <color indexed="8"/>
        <rFont val="Calibri"/>
        <family val="2"/>
        <scheme val="minor"/>
      </rPr>
      <t>(Ambientales, de Materiales)</t>
    </r>
  </si>
  <si>
    <r>
      <t xml:space="preserve">Maestría en Población y Salud </t>
    </r>
    <r>
      <rPr>
        <i/>
        <sz val="10"/>
        <color rgb="FF000000"/>
        <rFont val="Calibri"/>
        <family val="2"/>
        <scheme val="minor"/>
      </rPr>
      <t>(Área de Planificación Familiar)</t>
    </r>
  </si>
  <si>
    <r>
      <t xml:space="preserve">Especialización en Ciencias e Ingeniería </t>
    </r>
    <r>
      <rPr>
        <i/>
        <sz val="10"/>
        <color rgb="FF000000"/>
        <rFont val="Calibri"/>
        <family val="2"/>
        <scheme val="minor"/>
      </rPr>
      <t>(Ambientales, de Materiales)</t>
    </r>
  </si>
  <si>
    <r>
      <t xml:space="preserve">Maestría  en Ciencias e Ingeniería </t>
    </r>
    <r>
      <rPr>
        <i/>
        <sz val="10"/>
        <color rgb="FF000000"/>
        <rFont val="Calibri"/>
        <family val="2"/>
        <scheme val="minor"/>
      </rPr>
      <t>(Ambientales, de Materiales)</t>
    </r>
  </si>
  <si>
    <r>
      <t>Doctorado en Ciencias e Ingeniería</t>
    </r>
    <r>
      <rPr>
        <i/>
        <sz val="10"/>
        <color rgb="FF000000"/>
        <rFont val="Calibri"/>
        <family val="2"/>
        <scheme val="minor"/>
      </rPr>
      <t xml:space="preserve"> (Ambientales, de Materiales)</t>
    </r>
  </si>
  <si>
    <r>
      <t>Maestría  en Ciencias e Ingeniería</t>
    </r>
    <r>
      <rPr>
        <i/>
        <sz val="10"/>
        <color rgb="FF000000"/>
        <rFont val="Calibri"/>
        <family val="2"/>
        <scheme val="minor"/>
      </rPr>
      <t xml:space="preserve"> (Ambientales, de Materiales)</t>
    </r>
  </si>
  <si>
    <r>
      <t>Especialización en Ciencias e Ingeniería</t>
    </r>
    <r>
      <rPr>
        <i/>
        <sz val="10"/>
        <color rgb="FF000000"/>
        <rFont val="Calibri"/>
        <family val="2"/>
        <scheme val="minor"/>
      </rPr>
      <t xml:space="preserve"> (ambientales, de materiales)</t>
    </r>
  </si>
  <si>
    <r>
      <t>Maestría  en Ciencias e Ingeniería</t>
    </r>
    <r>
      <rPr>
        <i/>
        <sz val="10"/>
        <color rgb="FF000000"/>
        <rFont val="Calibri"/>
        <family val="2"/>
        <scheme val="minor"/>
      </rPr>
      <t xml:space="preserve"> (ambientales, de materiales)</t>
    </r>
  </si>
  <si>
    <r>
      <t xml:space="preserve">Doctorado en Ciencias e Ingeniería </t>
    </r>
    <r>
      <rPr>
        <i/>
        <sz val="10"/>
        <color rgb="FF000000"/>
        <rFont val="Calibri"/>
        <family val="2"/>
        <scheme val="minor"/>
      </rPr>
      <t>(ambientales, de materiales)</t>
    </r>
  </si>
  <si>
    <r>
      <t xml:space="preserve">Especialización  en Ciencias e Ingeniería </t>
    </r>
    <r>
      <rPr>
        <i/>
        <sz val="10"/>
        <color indexed="8"/>
        <rFont val="Calibri"/>
        <family val="2"/>
        <scheme val="minor"/>
      </rPr>
      <t>(Ambientales, de Materiales)</t>
    </r>
  </si>
  <si>
    <r>
      <t>Maestría  en Ciencias e Ingeniería</t>
    </r>
    <r>
      <rPr>
        <i/>
        <sz val="10"/>
        <color indexed="8"/>
        <rFont val="Calibri"/>
        <family val="2"/>
        <scheme val="minor"/>
      </rPr>
      <t xml:space="preserve"> (Ambientales, de Materiales)</t>
    </r>
  </si>
  <si>
    <t>Maestría en Patología y Medicina Bucal</t>
  </si>
  <si>
    <r>
      <t>Maestría en Economía</t>
    </r>
    <r>
      <rPr>
        <i/>
        <sz val="11"/>
        <color theme="1"/>
        <rFont val="Calibri"/>
        <family val="2"/>
        <scheme val="minor"/>
      </rPr>
      <t xml:space="preserve"> </t>
    </r>
    <r>
      <rPr>
        <i/>
        <sz val="10"/>
        <color theme="1"/>
        <rFont val="Calibri"/>
        <family val="2"/>
        <scheme val="minor"/>
      </rPr>
      <t>(Historia Económica; Empresas, Finanzas e Innovación)</t>
    </r>
  </si>
  <si>
    <t xml:space="preserve">Psicología </t>
  </si>
  <si>
    <t xml:space="preserve">Diseño </t>
  </si>
  <si>
    <t>Diseño  de la Comunicación Gráfica</t>
  </si>
  <si>
    <t>Ingeniería en Biología Molecular</t>
  </si>
  <si>
    <t>HISTORICO DE BECAS Y ESTIMULOS 1990-2004</t>
  </si>
  <si>
    <t>Total UAM</t>
  </si>
  <si>
    <t>Estímulo a la Docencia y la Investigación (EDI)</t>
  </si>
  <si>
    <t>Beca de apoyo a la permanencia (BAP)</t>
  </si>
  <si>
    <t>Beca a la Carrera Docente (BCD)</t>
  </si>
  <si>
    <t>Estímulo al Grado Académico (EGA)</t>
  </si>
  <si>
    <t>Estímulo a la Trayectoria Académica Sobresaliente (ETAS)</t>
  </si>
  <si>
    <t>BECAS DE DE POSGRADO UAM</t>
  </si>
  <si>
    <t>Maestría en Energía y Medio Ambiente</t>
  </si>
  <si>
    <t>Doctorado en Ciencias Agropecuarias</t>
  </si>
  <si>
    <t>ACTIVIDAD</t>
  </si>
  <si>
    <t>BENEFICIARIOS  2008</t>
  </si>
  <si>
    <t>Convivencia Deportiva*</t>
  </si>
  <si>
    <t>Olimpiada UAM **</t>
  </si>
  <si>
    <t>Serial Atlético "Corriendo por la UAM"</t>
  </si>
  <si>
    <t>Serial Atlético "Caminando por la UAM"</t>
  </si>
  <si>
    <r>
      <t xml:space="preserve">* </t>
    </r>
    <r>
      <rPr>
        <b/>
        <sz val="9"/>
        <color theme="1"/>
        <rFont val="Arial"/>
        <family val="2"/>
      </rPr>
      <t>Convivencia Deportiva</t>
    </r>
    <r>
      <rPr>
        <sz val="9"/>
        <color theme="1"/>
        <rFont val="Arial"/>
        <family val="2"/>
      </rPr>
      <t>: Participan los equipos representativos de las 5 Unidades Académicas de la UAM en los siguientes deportes: 1.- Ajedrez   2.- Atletismo    3.- Baloncesto 4.- Fútbol Asociación 5.- Fútbol Rápido 6.- Karate Do 7.- Lev. Olímpico de Pesas 8.- Tae Kwon Do 9.- Tenis 10.- Tenis de Mesa 11.- Voleibol de Playa 12.- Voleibol de Sala</t>
    </r>
  </si>
  <si>
    <r>
      <t xml:space="preserve">** </t>
    </r>
    <r>
      <rPr>
        <b/>
        <sz val="9"/>
        <color theme="1"/>
        <rFont val="Arial"/>
        <family val="2"/>
      </rPr>
      <t>Olimpiada UAM</t>
    </r>
    <r>
      <rPr>
        <sz val="9"/>
        <color theme="1"/>
        <rFont val="Arial"/>
        <family val="2"/>
      </rPr>
      <t>: Participan equipos de alumnos de las 5 Unidades Académicas en los siguientes deportes: 1.- Ajedrez  2.- Baloncesto 3.- Fisicoconstructivismo 4.- Fútbol Asociación 5.- Fútbol Rápido 6.- Levantamiento de Potencia 7.- Tenis de Mesa 8.- Voliebol de Playa</t>
    </r>
  </si>
  <si>
    <t>PERSONAL ADMINISTRATIVO DEFINITIVO POR RANGOS DE EDAD</t>
  </si>
  <si>
    <t>MÁS DE 70 AÑOS</t>
  </si>
  <si>
    <t>PERSONAL ADMINISTRATIVO DEFINITIVO POR AÑOS DE ANTIGÜEDAD</t>
  </si>
  <si>
    <t>RANGOS DE ANTIGÜEDAD</t>
  </si>
  <si>
    <t>MÁS DE 30 AÑOS</t>
  </si>
  <si>
    <t>ANTIGUEDAD PROMEDIO</t>
  </si>
  <si>
    <t>CONACYT</t>
  </si>
  <si>
    <t>SEP</t>
  </si>
  <si>
    <t>PROMEP*</t>
  </si>
  <si>
    <t xml:space="preserve">CONTRATOS Y CONVENIOS </t>
  </si>
  <si>
    <t>RECTORIA GENERAL</t>
  </si>
  <si>
    <t>PIFI</t>
  </si>
  <si>
    <t>CONVENIOS Y CONTRATOS</t>
  </si>
  <si>
    <t>FUENTE: Unidades Universitarias. Coordinación Gral. De Vinculación y Desarrollo Institucional.</t>
  </si>
  <si>
    <t>CONVENIOS</t>
  </si>
  <si>
    <t>CONVENIOS SEP</t>
  </si>
  <si>
    <t>RECTORIA</t>
  </si>
  <si>
    <t xml:space="preserve">RECTORIA </t>
  </si>
  <si>
    <t>SEP *</t>
  </si>
  <si>
    <t>OTROS CONVENIOS</t>
  </si>
  <si>
    <t>RECTORÍA GENERAL</t>
  </si>
  <si>
    <t>RECTORÍA</t>
  </si>
  <si>
    <t>Arte y Comunicación Digitales</t>
  </si>
  <si>
    <t>PERSONAL ACADÉMICO CON PERFIL DESEABLE VIGENTE PROMEP</t>
  </si>
  <si>
    <t>Doctorado en Ingeniería de Procesos</t>
  </si>
  <si>
    <t>Doctorado en Optimización</t>
  </si>
  <si>
    <t>Posgrado en Energía y Medio Ambiente (Maestría)</t>
  </si>
  <si>
    <t>Posgrado en Energía y Medio Ambiente (Doctorado)</t>
  </si>
  <si>
    <t>Especialización</t>
  </si>
  <si>
    <t>Maestría</t>
  </si>
  <si>
    <t>Doctorado</t>
  </si>
  <si>
    <t>Posgrado en Ingeniería de Procesos</t>
  </si>
  <si>
    <t>Posgrado en Optimización</t>
  </si>
  <si>
    <r>
      <t xml:space="preserve">Maestría en Población y Salud </t>
    </r>
    <r>
      <rPr>
        <sz val="8"/>
        <color indexed="8"/>
        <rFont val="Calibri"/>
        <family val="2"/>
        <scheme val="minor"/>
      </rPr>
      <t>(Área de Planificación Familiar)</t>
    </r>
  </si>
  <si>
    <t>Doctorado en Ciencias Biológicas y de La Salud</t>
  </si>
  <si>
    <t>Posgrado en Ciencias Sociales y Humanidades</t>
  </si>
  <si>
    <t>Posgrado en Ciencias Naturales e Ingeniería</t>
  </si>
  <si>
    <t>FUENTE: Base de Datos de Nómina, Quincena 20 de cada año.</t>
  </si>
  <si>
    <t>31 - 40 AÑOS</t>
  </si>
  <si>
    <t>41 - 50 AÑOS</t>
  </si>
  <si>
    <t>51 - 60 AÑOS</t>
  </si>
  <si>
    <t>61 -70 AÑOS</t>
  </si>
  <si>
    <t>Arte y Comunicaciones Digitales</t>
  </si>
  <si>
    <t>Asignadas</t>
  </si>
  <si>
    <t>Pagadas</t>
  </si>
  <si>
    <t>Excelencia</t>
  </si>
  <si>
    <t>Servicio Social</t>
  </si>
  <si>
    <t>Titulación</t>
  </si>
  <si>
    <t>Vinculación</t>
  </si>
  <si>
    <t>41 -50 AÑOS</t>
  </si>
  <si>
    <t>61 - 70 AÑOS</t>
  </si>
  <si>
    <t>Mujer</t>
  </si>
  <si>
    <t>Hombre</t>
  </si>
  <si>
    <r>
      <t xml:space="preserve">CAC: </t>
    </r>
    <r>
      <rPr>
        <sz val="10"/>
        <rFont val="Arial"/>
        <family val="2"/>
      </rPr>
      <t>Cuerpo Académico Consolidado</t>
    </r>
  </si>
  <si>
    <r>
      <t>CAEC:</t>
    </r>
    <r>
      <rPr>
        <sz val="10"/>
        <rFont val="Arial"/>
        <family val="2"/>
      </rPr>
      <t xml:space="preserve"> Cuerpo Académico en consolidación</t>
    </r>
  </si>
  <si>
    <r>
      <t>CAEF:</t>
    </r>
    <r>
      <rPr>
        <sz val="10"/>
        <rFont val="Arial"/>
        <family val="2"/>
      </rPr>
      <t xml:space="preserve"> Cuerpo Académico en Formación</t>
    </r>
  </si>
  <si>
    <t>Personas que han concluido hasta el año de referencia el plan de estudios correspondiente.</t>
  </si>
  <si>
    <r>
      <rPr>
        <b/>
        <sz val="11"/>
        <rFont val="Arial"/>
        <family val="2"/>
      </rPr>
      <t>L</t>
    </r>
    <r>
      <rPr>
        <sz val="10"/>
        <rFont val="Arial"/>
        <family val="2"/>
      </rPr>
      <t>icenciatura</t>
    </r>
  </si>
  <si>
    <r>
      <rPr>
        <b/>
        <sz val="11"/>
        <rFont val="Arial"/>
        <family val="2"/>
      </rPr>
      <t>E</t>
    </r>
    <r>
      <rPr>
        <sz val="10"/>
        <rFont val="Arial"/>
        <family val="2"/>
      </rPr>
      <t>specialidad</t>
    </r>
  </si>
  <si>
    <r>
      <rPr>
        <b/>
        <sz val="11"/>
        <rFont val="Arial"/>
        <family val="2"/>
      </rPr>
      <t>M</t>
    </r>
    <r>
      <rPr>
        <sz val="10"/>
        <rFont val="Arial"/>
        <family val="2"/>
      </rPr>
      <t>aestría</t>
    </r>
  </si>
  <si>
    <r>
      <rPr>
        <b/>
        <sz val="11"/>
        <rFont val="Arial"/>
        <family val="2"/>
      </rPr>
      <t>D</t>
    </r>
    <r>
      <rPr>
        <sz val="10"/>
        <rFont val="Arial"/>
        <family val="2"/>
      </rPr>
      <t>octorado</t>
    </r>
  </si>
  <si>
    <t>FUENTE: AGA de Licenciatura - Dirección de Sistemas Escolares</t>
  </si>
  <si>
    <t>FUENTE: AGA de Licenciatura - Dirección de Sistemas Escolares.</t>
  </si>
  <si>
    <t>Doctorado en Energía y Medio Ambiente</t>
  </si>
  <si>
    <t xml:space="preserve">Posgrado en Ciencias Sociales y Humanidades </t>
  </si>
  <si>
    <t>P</t>
  </si>
  <si>
    <t>O</t>
  </si>
  <si>
    <t>I</t>
  </si>
  <si>
    <t>Nivel 1</t>
  </si>
  <si>
    <t>Nivel 2</t>
  </si>
  <si>
    <t>Nivel 3</t>
  </si>
  <si>
    <t>Candidato</t>
  </si>
  <si>
    <t>Femenino</t>
  </si>
  <si>
    <t>Masculino</t>
  </si>
  <si>
    <t>AÑO DE INGRESO</t>
  </si>
  <si>
    <t>1974-2000</t>
  </si>
  <si>
    <t>CHS</t>
  </si>
  <si>
    <t>-</t>
  </si>
  <si>
    <t>EFICIENCIA TERMINAL 2011</t>
  </si>
  <si>
    <t>1974-1997</t>
  </si>
  <si>
    <t>EFICIENCIA TERMINAL 2010</t>
  </si>
  <si>
    <t>1974-2001</t>
  </si>
  <si>
    <t>EFICIENCIA TERMINAL 2012</t>
  </si>
  <si>
    <t>1974-2002</t>
  </si>
  <si>
    <t>EFICIENCIA TERMINAL 2013</t>
  </si>
  <si>
    <t>Rectoría General</t>
  </si>
  <si>
    <t>Nivel</t>
  </si>
  <si>
    <t>CAC: Cuerpos Académicos Consolidados</t>
  </si>
  <si>
    <t>CAEC: Cuerpos Académicos en Consolidación</t>
  </si>
  <si>
    <t>CAEF: Cuerpos Academicos en Formación</t>
  </si>
  <si>
    <t>Rectoría</t>
  </si>
  <si>
    <t>Unidad Azcapotzalco</t>
  </si>
  <si>
    <t>Unidad Cuajimalpa</t>
  </si>
  <si>
    <t>Unidad Iztapalapa</t>
  </si>
  <si>
    <t>Unidad Xochimilco</t>
  </si>
  <si>
    <t>Licenciatura</t>
  </si>
  <si>
    <t>Posgrado</t>
  </si>
  <si>
    <t>Aspirantes</t>
  </si>
  <si>
    <t>Plan</t>
  </si>
  <si>
    <t>División</t>
  </si>
  <si>
    <t>Género</t>
  </si>
  <si>
    <t>Admitidos</t>
  </si>
  <si>
    <t>Socioeconómicos</t>
  </si>
  <si>
    <t>Inscritos</t>
  </si>
  <si>
    <t>Matrícula</t>
  </si>
  <si>
    <t>Bajas Definitivas</t>
  </si>
  <si>
    <t>Activos</t>
  </si>
  <si>
    <t>Egreso</t>
  </si>
  <si>
    <t>Egreso acumulado</t>
  </si>
  <si>
    <t>Titulados</t>
  </si>
  <si>
    <t>Trimestres cursados promedio para egresar</t>
  </si>
  <si>
    <t>1978-2013</t>
  </si>
  <si>
    <t>Eficiencia terminal</t>
  </si>
  <si>
    <t>Definitivo</t>
  </si>
  <si>
    <t>Edad</t>
  </si>
  <si>
    <t>Antigüedad</t>
  </si>
  <si>
    <t>Becas y Estímulos</t>
  </si>
  <si>
    <t>Grado Académico</t>
  </si>
  <si>
    <t>Perfil PROMEP</t>
  </si>
  <si>
    <t>Cuerpos Académicos</t>
  </si>
  <si>
    <t>Producción Científica</t>
  </si>
  <si>
    <t>Producción Total</t>
  </si>
  <si>
    <t>Deportes</t>
  </si>
  <si>
    <t>Administrativos</t>
  </si>
  <si>
    <t>Recursos Externos</t>
  </si>
  <si>
    <t>Convenios</t>
  </si>
  <si>
    <t>Personas que han concluido hasta el año  correspondiente el plan de estudios</t>
  </si>
  <si>
    <t>ADMITIDOS</t>
  </si>
  <si>
    <t>RANGOS</t>
  </si>
  <si>
    <t>Estado laboral</t>
  </si>
  <si>
    <t>No trabajan</t>
  </si>
  <si>
    <t>Trabajan</t>
  </si>
  <si>
    <t>Horas de dedicación</t>
  </si>
  <si>
    <t>20 o menos horas</t>
  </si>
  <si>
    <t>de 21 a 40 hrs.</t>
  </si>
  <si>
    <t>más de 40 hrs.</t>
  </si>
  <si>
    <t>Permanente</t>
  </si>
  <si>
    <t>Eventual</t>
  </si>
  <si>
    <t>Ingreso mensual</t>
  </si>
  <si>
    <t>Menos de 1,000</t>
  </si>
  <si>
    <t>de 1,000 a 2,999</t>
  </si>
  <si>
    <t>de 3,000 a 4999</t>
  </si>
  <si>
    <t>Nivel de estudios del Padre</t>
  </si>
  <si>
    <t>ninguno</t>
  </si>
  <si>
    <t>primaria</t>
  </si>
  <si>
    <t>secundaria</t>
  </si>
  <si>
    <t>tecnica</t>
  </si>
  <si>
    <t>media superior</t>
  </si>
  <si>
    <t xml:space="preserve">superior </t>
  </si>
  <si>
    <t>posgrado</t>
  </si>
  <si>
    <t>Nivel de estudios de la Madre</t>
  </si>
  <si>
    <t>INSCRITOS DE NUEVO INGRESO</t>
  </si>
  <si>
    <t>de 5,000 a 6,999</t>
  </si>
  <si>
    <t>INDICE</t>
  </si>
  <si>
    <t>Gráfica</t>
  </si>
  <si>
    <t>POSGRADO</t>
  </si>
  <si>
    <t>BECAS</t>
  </si>
  <si>
    <t>PERSONAL ACADÉMICO</t>
  </si>
  <si>
    <t>APOYO INSTITUCIONAL</t>
  </si>
  <si>
    <t>Activos de lic. y pos.</t>
  </si>
  <si>
    <t>Egresados de lic. y pos.</t>
  </si>
  <si>
    <t>Bajas Reglamentarias</t>
  </si>
  <si>
    <t>BENEFICIARIOS 2014</t>
  </si>
  <si>
    <t>Participantes</t>
  </si>
  <si>
    <t>Espectadores</t>
  </si>
  <si>
    <t>ACTIVIDADES DEPORTIVAS</t>
  </si>
  <si>
    <t>BECA O ESTÍMULO</t>
  </si>
  <si>
    <t>Estímulo a la Docencia e Investigación</t>
  </si>
  <si>
    <t>Beca de Apoyo a la Permanencia</t>
  </si>
  <si>
    <t>Beca a la Carrera Docente</t>
  </si>
  <si>
    <t>Estímulo a los Grados Académicos</t>
  </si>
  <si>
    <t>Estímulo a la trayectoria Académica sobresaliente</t>
  </si>
  <si>
    <t xml:space="preserve">FUENTE: Base de Nomina del año correspondiente
</t>
  </si>
  <si>
    <r>
      <t xml:space="preserve">PERSONAL ACADÉMICO DEFINITIVO DE </t>
    </r>
    <r>
      <rPr>
        <b/>
        <sz val="14"/>
        <color rgb="FFCC9900"/>
        <rFont val="Calibri"/>
        <family val="2"/>
        <scheme val="minor"/>
      </rPr>
      <t>TIEMPO COMPLETO</t>
    </r>
  </si>
  <si>
    <r>
      <t xml:space="preserve">PERSONAL ACADÉMICO DEFINITIVO DE </t>
    </r>
    <r>
      <rPr>
        <b/>
        <sz val="14"/>
        <color rgb="FFCC9900"/>
        <rFont val="Calibri"/>
        <family val="2"/>
        <scheme val="minor"/>
      </rPr>
      <t>MEDIO TIEMPO</t>
    </r>
  </si>
  <si>
    <r>
      <rPr>
        <b/>
        <sz val="14"/>
        <rFont val="Calibri"/>
        <family val="2"/>
        <scheme val="minor"/>
      </rPr>
      <t>PERSONAL ACADÉMICO DEFINITIVO DE</t>
    </r>
    <r>
      <rPr>
        <b/>
        <sz val="14"/>
        <color rgb="FFCC9900"/>
        <rFont val="Calibri"/>
        <family val="2"/>
        <scheme val="minor"/>
      </rPr>
      <t xml:space="preserve"> TIEMPO PARCIAL</t>
    </r>
  </si>
  <si>
    <t xml:space="preserve">% División </t>
  </si>
  <si>
    <t>PERSONAL ACADÉMICO DEFINITIVO</t>
  </si>
  <si>
    <t>Maestría en Ecología Aplicada</t>
  </si>
  <si>
    <t>Posgrado en historiografía</t>
  </si>
  <si>
    <t>Posgrado en Energía y Medio Ambiente</t>
  </si>
  <si>
    <t>TOTAL UAM POR DIVISIÓN</t>
  </si>
  <si>
    <t>Reconocimiento a profesores con perfil deseable. El perfil deseable, de acuerdo con el Promep, se refiere a: ser profesor de tiempo completo, haber obtenido el grado preferente (doctor) o mínimo (maestro o en su caso una especialidad médica) y demostrar fehacientemente la participación en actividades de docencia, generación o aplicación innovadora del conocimiento, tutoría y gestión académica individual o grupal</t>
  </si>
  <si>
    <t>El CA cuenta con productos académicos reconocidos por su buena calidad y que se derivan de LGAC/LIIADT/LILCD consolidadas.</t>
  </si>
  <si>
    <t xml:space="preserve">Los integrantes del CA cuentan con amplia experiencia en docencia y en formación de recursos humanos. </t>
  </si>
  <si>
    <t xml:space="preserve">La mayoría de los integrantes cuenta con el Reconocimiento al Perfil Deseable, tienen un alto compromiso con la institución, colaboran entre sí y su producción es evidencia de ello. </t>
  </si>
  <si>
    <t>El CA cuenta con productos académicos reconocidos por su buena calidad y que se derivan del desarrollo de las LGAC/LIIADT/LILCD que cultivan.</t>
  </si>
  <si>
    <t xml:space="preserve">Los integrantes participan conjuntamente en LGAC/LIIADT/LILCD bien definidas. </t>
  </si>
  <si>
    <t xml:space="preserve">Por lo menos la tercera parte de quienes lo integran cuenta con amplia experiencia en docencia y en formación de recursos humanos. </t>
  </si>
  <si>
    <t xml:space="preserve">La mayoría de los integrantes cuentan con reconocimiento al perfil deseable. </t>
  </si>
  <si>
    <t xml:space="preserve">El CA cuenta con evidencias objetivas respecto a su vida colegiada y a las acciones académicas que llevan a cabo en colaboración entre sus integrantes. </t>
  </si>
  <si>
    <t>El CA colabora con otros CA.</t>
  </si>
  <si>
    <t>Los integrantes tienen definidas las LGAC, LIIADT o LILCD que cultivan.</t>
  </si>
  <si>
    <t xml:space="preserve">El CA tiene proyectos de investigación conjuntos para desarrollar las LGAC/LIIADT/LILCD. </t>
  </si>
  <si>
    <t xml:space="preserve">PEl CA tiene identificados a sus integrantes. </t>
  </si>
  <si>
    <t xml:space="preserve">El CA ha identificado algunos CA afines, y de alto nivel, de otras instituciones del país o del extranjero con quienes desean establecer contactos. </t>
  </si>
  <si>
    <r>
      <t xml:space="preserve">Los Cuerpos Académicos (CA) son grupos de profesores de tiempo completo que en las </t>
    </r>
    <r>
      <rPr>
        <b/>
        <sz val="8"/>
        <color theme="1"/>
        <rFont val="Arial"/>
        <family val="2"/>
      </rPr>
      <t>universidades públicas</t>
    </r>
    <r>
      <rPr>
        <sz val="8"/>
        <color theme="1"/>
        <rFont val="Arial"/>
        <family val="2"/>
      </rPr>
      <t xml:space="preserve">, estatales y afines comparten una o varias Líneas de Generación y Aplicación Innovadora del Conocimiento </t>
    </r>
    <r>
      <rPr>
        <sz val="8"/>
        <color rgb="FFCD032E"/>
        <rFont val="Arial"/>
        <family val="2"/>
      </rPr>
      <t>(LGAC)</t>
    </r>
    <r>
      <rPr>
        <sz val="8"/>
        <color theme="1"/>
        <rFont val="Arial"/>
        <family val="2"/>
      </rPr>
      <t xml:space="preserve"> (investigación o estudio) en temas disciplinares o multidisciplinares así como un conjunto de objetivos y metas académicas comunes. Adicionalmente sus integrantes atienden Programas Educativos (PE) en varios niveles para el cumplimiento cabal de las funciones institucionales.</t>
    </r>
  </si>
  <si>
    <r>
      <t>Línea(s) innovadora(s) de investigación aplicada y desarrollo tecnológico (</t>
    </r>
    <r>
      <rPr>
        <sz val="8"/>
        <color rgb="FFCD032E"/>
        <rFont val="Arial"/>
        <family val="2"/>
      </rPr>
      <t>LIIADT</t>
    </r>
    <r>
      <rPr>
        <sz val="8"/>
        <rFont val="Arial"/>
        <family val="2"/>
      </rPr>
      <t>).</t>
    </r>
    <r>
      <rPr>
        <b/>
        <sz val="8"/>
        <rFont val="Arial"/>
        <family val="2"/>
      </rPr>
      <t xml:space="preserve"> </t>
    </r>
  </si>
  <si>
    <r>
      <t>Línea(s) de Investigación en Lengua, Cultura y Desarrollo (</t>
    </r>
    <r>
      <rPr>
        <sz val="8"/>
        <color rgb="FFCD032E"/>
        <rFont val="Arial"/>
        <family val="2"/>
      </rPr>
      <t>LILCD</t>
    </r>
    <r>
      <rPr>
        <sz val="8"/>
        <rFont val="Arial"/>
        <family val="2"/>
      </rPr>
      <t xml:space="preserve">). </t>
    </r>
  </si>
  <si>
    <r>
      <t xml:space="preserve">Cuerpo Académico </t>
    </r>
    <r>
      <rPr>
        <sz val="8"/>
        <color rgb="FFCD032E"/>
        <rFont val="Arial"/>
        <family val="2"/>
      </rPr>
      <t>En Formación</t>
    </r>
    <r>
      <rPr>
        <sz val="8"/>
        <rFont val="Arial"/>
        <family val="2"/>
      </rPr>
      <t xml:space="preserve"> (CAEF). </t>
    </r>
  </si>
  <si>
    <r>
      <t xml:space="preserve">Cuerpo Académico </t>
    </r>
    <r>
      <rPr>
        <sz val="8"/>
        <color rgb="FFCD032E"/>
        <rFont val="Arial"/>
        <family val="2"/>
      </rPr>
      <t>En Consolidación</t>
    </r>
    <r>
      <rPr>
        <sz val="8"/>
        <rFont val="Arial"/>
        <family val="2"/>
      </rPr>
      <t xml:space="preserve"> (CAEC). </t>
    </r>
  </si>
  <si>
    <r>
      <t xml:space="preserve">Cuerpo Académico </t>
    </r>
    <r>
      <rPr>
        <sz val="8"/>
        <color rgb="FFCD032E"/>
        <rFont val="Arial"/>
        <family val="2"/>
      </rPr>
      <t>Consolidado</t>
    </r>
    <r>
      <rPr>
        <sz val="8"/>
        <rFont val="Arial"/>
        <family val="2"/>
      </rPr>
      <t xml:space="preserve"> (CAC). </t>
    </r>
  </si>
  <si>
    <t>La categoría de inscritos de primer ingreso incluye a todos los alumnos admitidos que realizaron la inscripción a su primer al trimestre.</t>
  </si>
  <si>
    <t>La categoria alumnos que registraron actividad académica durante el año esta compuesta por lo alumnos que se inscribieron al menos una vez en el año de referencia</t>
  </si>
  <si>
    <t>Baja definitiva: Es la pérdida de la calidad de alumno por renuncia expresa del interesado —es decir, del propio alumno—, e imputable al mismo (artículo 18, fracción II, del RESUAM).</t>
  </si>
  <si>
    <t xml:space="preserve">Baja reglamentaria:
Es la perdida de la calidad de alumno como consecuencia de una sanción aplicada al estudiante, por haber incurrido en cualquiera de las causas establecidas en el artículo 18, fracciones III, IV y VII, incisos a) y b), del RESUAM.
</t>
  </si>
  <si>
    <t>TC</t>
  </si>
  <si>
    <t>MT</t>
  </si>
  <si>
    <t>TP</t>
  </si>
  <si>
    <t>CONACyT</t>
  </si>
  <si>
    <t>TOTAL 2008</t>
  </si>
  <si>
    <t>TOTAL 2009</t>
  </si>
  <si>
    <t>TOTAL 2007</t>
  </si>
  <si>
    <t>TOTAL 2003</t>
  </si>
  <si>
    <t>TOTAL 2004</t>
  </si>
  <si>
    <t>TOTAL 2005</t>
  </si>
  <si>
    <t>TOTAL 2006</t>
  </si>
  <si>
    <t>TOTAL 2010</t>
  </si>
  <si>
    <t>Total 2011</t>
  </si>
  <si>
    <t>TOTAL 2012</t>
  </si>
  <si>
    <t>Total 2013</t>
  </si>
  <si>
    <t>Especialidad</t>
  </si>
  <si>
    <t>Cuajiamalpa</t>
  </si>
  <si>
    <t>Nacional</t>
  </si>
  <si>
    <t>Extranjero</t>
  </si>
  <si>
    <t>Patrocinado</t>
  </si>
  <si>
    <t>No patrocinado</t>
  </si>
  <si>
    <t>Convenio por origen</t>
  </si>
  <si>
    <t>Convenio por tipo</t>
  </si>
  <si>
    <t>FestiUAM</t>
  </si>
  <si>
    <t>EQUIVALENCIA A LICENCIATURA (Esp. = 1, Mría. = 2, Doc. = 3)</t>
  </si>
  <si>
    <t>Equivalencia:</t>
  </si>
  <si>
    <t>Alumnos por PTC</t>
  </si>
  <si>
    <r>
      <t xml:space="preserve">ALUMNOS ATENDIDOS DE </t>
    </r>
    <r>
      <rPr>
        <b/>
        <sz val="12"/>
        <color rgb="FFCC9900"/>
        <rFont val="Arial"/>
        <family val="2"/>
      </rPr>
      <t>POSGRADO</t>
    </r>
    <r>
      <rPr>
        <b/>
        <sz val="12"/>
        <rFont val="Arial"/>
        <family val="2"/>
      </rPr>
      <t xml:space="preserve"> POR PROFESOR DE TIEMPO COMPLETO</t>
    </r>
  </si>
  <si>
    <t>Maestría en Literatura Mexicana Contemporanea</t>
  </si>
  <si>
    <t>Posgrado en Ciencias y Tecnologías de la Información (Maestría)</t>
  </si>
  <si>
    <t xml:space="preserve"> Especialización en Patología y Medicina Bucal</t>
  </si>
  <si>
    <t>Plan de Estudio</t>
  </si>
  <si>
    <t>INGENIERIA ELECTRICA</t>
  </si>
  <si>
    <t>SOCIOLOGIA</t>
  </si>
  <si>
    <t>DISEÑO DE LA COMUNICACION GRAFICA</t>
  </si>
  <si>
    <t xml:space="preserve">CIENCIA POLÍTICA </t>
  </si>
  <si>
    <t>LINGÜÍSTICA</t>
  </si>
  <si>
    <t xml:space="preserve">PSICOLOGÍA </t>
  </si>
  <si>
    <t xml:space="preserve">MEDICINA </t>
  </si>
  <si>
    <t>MEDICINA VETERINARIA Y ZOOTECNIA</t>
  </si>
  <si>
    <t>NUTRICIÓN HUMANA</t>
  </si>
  <si>
    <t xml:space="preserve">ADMINISTRACION                          </t>
  </si>
  <si>
    <t>HUMANIDADES</t>
  </si>
  <si>
    <t xml:space="preserve">DISEÑO                                  </t>
  </si>
  <si>
    <t>TECNOLOGIAS Y SISTEMAS DE INFORMACION</t>
  </si>
  <si>
    <t>BIOLOGÍA MOLECULAR</t>
  </si>
  <si>
    <t xml:space="preserve">MATEMATICAS APLICADAS                   </t>
  </si>
  <si>
    <t>INGENIERÍA EN RECURSOS HIDRICOS</t>
  </si>
  <si>
    <t>POLÍTICAS PUBLICAS</t>
  </si>
  <si>
    <t>ARTE Y COMUNICACIÓN DIGITALES</t>
  </si>
  <si>
    <t>BIOLOGÍA AMBIENTAL</t>
  </si>
  <si>
    <t>Extranjeros</t>
  </si>
  <si>
    <t>Mexicanos</t>
  </si>
  <si>
    <t>Doctorado en Ciencias e Ingeniería (Línea de Materiales)</t>
  </si>
  <si>
    <t>Maestría en Ciencias e Ingeniería (Línea Ambientales)</t>
  </si>
  <si>
    <t>Doctorado en Ciencias (Química)</t>
  </si>
  <si>
    <t>Doctorado en Ciencias (Ingeniería Química)</t>
  </si>
  <si>
    <t>Maestría en Ciencias (Química)</t>
  </si>
  <si>
    <t>Maestría en Ciencias (Ingeniería Química)</t>
  </si>
  <si>
    <t>Maestria en Ingeniería Biomédica</t>
  </si>
  <si>
    <t>Doctorado en Biotecnología</t>
  </si>
  <si>
    <t>Doctorado en Biología Experimental</t>
  </si>
  <si>
    <t>Maestría en Biotecnología</t>
  </si>
  <si>
    <t>Maestría en Ciencias Farmaceúticas</t>
  </si>
  <si>
    <t>Total 2014</t>
  </si>
  <si>
    <t>Becas para grupos vulnerables pagadas</t>
  </si>
  <si>
    <t>Manutención (antes Pronabes)</t>
  </si>
  <si>
    <t>Grupos Vulnerables</t>
  </si>
  <si>
    <t>Maestría en Historiografía</t>
  </si>
  <si>
    <t>Doctorado en Diseño (Línea Arquitectura Bioclimática</t>
  </si>
  <si>
    <t>Maestría en Diseño (Línea Arquitectura Bioclimática</t>
  </si>
  <si>
    <t>Doctorado en Ciencias (Física)</t>
  </si>
  <si>
    <t>Becas de Posgrado</t>
  </si>
  <si>
    <t>Mujeres</t>
  </si>
  <si>
    <t>Hombres</t>
  </si>
  <si>
    <t xml:space="preserve">Maestría en Literatura Mexicana Contemporánea </t>
  </si>
  <si>
    <t>Doctorado en Física</t>
  </si>
  <si>
    <t>Maestría en Biología De La Reproducción</t>
  </si>
  <si>
    <t>Total Pagadas 2014</t>
  </si>
  <si>
    <t xml:space="preserve">Maestría en Ciencias Sociales y Humanidades </t>
  </si>
  <si>
    <t xml:space="preserve">Doctorado en Ciencias  y Tecnologías de la Información </t>
  </si>
  <si>
    <t>Maestría en Ciencias e Ingeniería</t>
  </si>
  <si>
    <t xml:space="preserve"> CSH</t>
  </si>
  <si>
    <t>Total División</t>
  </si>
  <si>
    <t>Maestría en Ciencias e Ingeniería (Ambientales de Materiales)</t>
  </si>
  <si>
    <t>Maestría en Rehabilitación Neurologica</t>
  </si>
  <si>
    <t>S N I</t>
  </si>
  <si>
    <t>Nivel 1:  Al interior de las Unidades Académicas</t>
  </si>
  <si>
    <t>b) Servicios proporcionados a la Comunidad Universitaria *</t>
  </si>
  <si>
    <t>PERIODICIDAD</t>
  </si>
  <si>
    <t>No. de benefiviarios</t>
  </si>
  <si>
    <t>DISCIPLINA</t>
  </si>
  <si>
    <t>NO. DE TORNEOS</t>
  </si>
  <si>
    <t>NO. PARTICIPANTES</t>
  </si>
  <si>
    <t>NO. DE SERVICIOS</t>
  </si>
  <si>
    <t>NO. DE BENEFICIARIOS</t>
  </si>
  <si>
    <t>Ajedrez</t>
  </si>
  <si>
    <t>Acondicionamiento Físico</t>
  </si>
  <si>
    <t>Septiembre - Diciembre</t>
  </si>
  <si>
    <t>Basquetbol</t>
  </si>
  <si>
    <t>Baloncesto</t>
  </si>
  <si>
    <t>Simultáneas de Ajedrez, Dominó, Fútbol Coladeritas, Voleibol de Pasto, Juegos de Destreza, Tenis de Mesa y Karaoke</t>
  </si>
  <si>
    <t>Damas Españolas</t>
  </si>
  <si>
    <t>Capoeira</t>
  </si>
  <si>
    <t>Dominó</t>
  </si>
  <si>
    <t>Colchonetas</t>
  </si>
  <si>
    <t>Fútbol Rápido</t>
  </si>
  <si>
    <t>Danza Acrobática</t>
  </si>
  <si>
    <t>Olimpiada UAM 2011</t>
  </si>
  <si>
    <t>Septiembre y Octubre</t>
  </si>
  <si>
    <t>Fútbol 7</t>
  </si>
  <si>
    <t>Desfiles Cívicos</t>
  </si>
  <si>
    <t>Competencia de Fuerza, Voleibol de Playa, Tenis, Ajedrez, Fútbol de Bardas, Baloncesto, Fútbol Asociación y Tenis de Mesa</t>
  </si>
  <si>
    <t>Fútbol Soccer</t>
  </si>
  <si>
    <t>Halterofilia</t>
  </si>
  <si>
    <t>Evaluaciones Físicas</t>
  </si>
  <si>
    <t>Intradivisional CyAD</t>
  </si>
  <si>
    <t>Fútbol Americano</t>
  </si>
  <si>
    <t>Rally de Bienvenida</t>
  </si>
  <si>
    <t>Ler. 12 Sept.</t>
  </si>
  <si>
    <t>Remo y Remo Bajo Techo</t>
  </si>
  <si>
    <t>Cua. 18 Sept</t>
  </si>
  <si>
    <t>Squash</t>
  </si>
  <si>
    <t>Gimnasio de Duela</t>
  </si>
  <si>
    <t>Caminando por la UAM</t>
  </si>
  <si>
    <t>Azc. 10 Oct.</t>
  </si>
  <si>
    <t>Tenis</t>
  </si>
  <si>
    <t>Gimnasio de Pesas y Cardio</t>
  </si>
  <si>
    <t>Corriendo por la UAM</t>
  </si>
  <si>
    <t>Xoc. 24 Oct.</t>
  </si>
  <si>
    <t>Tenis de Mesa</t>
  </si>
  <si>
    <t>Hapkido</t>
  </si>
  <si>
    <t>Izt. 14 Nov.</t>
  </si>
  <si>
    <t>Tochito Bandera Femenil y Mixto</t>
  </si>
  <si>
    <t>Juegos de Mesa</t>
  </si>
  <si>
    <t>Convivencia Deportiva</t>
  </si>
  <si>
    <t>Vencidas</t>
  </si>
  <si>
    <t>Karaoke</t>
  </si>
  <si>
    <t>Fútbol Asociación, Baloncesto, Voleibol, Fútbol Bardas, Karate do, Tae kwon do</t>
  </si>
  <si>
    <t>Octubre</t>
  </si>
  <si>
    <t xml:space="preserve">    Voleibol de Playa</t>
  </si>
  <si>
    <t>Karate do</t>
  </si>
  <si>
    <t>Voleibol de Sala</t>
  </si>
  <si>
    <t>Kendo</t>
  </si>
  <si>
    <t>Natación</t>
  </si>
  <si>
    <t>* Estos servicios se cuentan por usuario atendido, que en algunos casos se repite.</t>
  </si>
  <si>
    <t>Pista de Atletismo y Circuito de Corredores</t>
  </si>
  <si>
    <t>Servicio Médico</t>
  </si>
  <si>
    <t>Spinning</t>
  </si>
  <si>
    <t>Tae Kwon Do</t>
  </si>
  <si>
    <t>Tableros de Ajedrez</t>
  </si>
  <si>
    <t>Voleibol de Playa</t>
  </si>
  <si>
    <t>BENEFICIARIOS</t>
  </si>
  <si>
    <t>PARTICIPANTES</t>
  </si>
  <si>
    <t>SERVICIOS</t>
  </si>
  <si>
    <t>Convivencia Deportiva 2013</t>
  </si>
  <si>
    <t>Junio, Septiembre y Octubre 2013</t>
  </si>
  <si>
    <t xml:space="preserve">Paticipan los equipos representativos de las 5 Unidades Académicas de la UAM en los siguientes deportes: </t>
  </si>
  <si>
    <t>Atletismo</t>
  </si>
  <si>
    <t xml:space="preserve">      Acondicionamiento Físico</t>
  </si>
  <si>
    <t>Actividades Diversas **</t>
  </si>
  <si>
    <t>Basquetbol Tercias           Relámpago y Two Ball</t>
  </si>
  <si>
    <t xml:space="preserve">     Baile</t>
  </si>
  <si>
    <t xml:space="preserve">1.- Ajedrez </t>
  </si>
  <si>
    <t>Sede de los eventos: Las instalaciones de las Unidades Académicas</t>
  </si>
  <si>
    <t>Balonmano</t>
  </si>
  <si>
    <t>Box</t>
  </si>
  <si>
    <t>2.- Atletismo</t>
  </si>
  <si>
    <t>Canotaje</t>
  </si>
  <si>
    <t xml:space="preserve">      Capoeira</t>
  </si>
  <si>
    <t>3.- Baloncesto</t>
  </si>
  <si>
    <t>Danza</t>
  </si>
  <si>
    <t>4.- Fútbol Asociación</t>
  </si>
  <si>
    <t>5.- Fútbol Rápid</t>
  </si>
  <si>
    <t>Dominó (juegos de destreza)</t>
  </si>
  <si>
    <t>6.- Karate Do</t>
  </si>
  <si>
    <t>Grupo de Animación</t>
  </si>
  <si>
    <t>7.- Lev. Olímpico de Pesas</t>
  </si>
  <si>
    <t>Full Contact</t>
  </si>
  <si>
    <t>8.- Tae Kwon Do</t>
  </si>
  <si>
    <t xml:space="preserve">9.- Tenis </t>
  </si>
  <si>
    <t>Karate Do</t>
  </si>
  <si>
    <t>10.- Tenis de Mesa</t>
  </si>
  <si>
    <t>Paseo Ciclista</t>
  </si>
  <si>
    <t>11.- Voleibol de Playa</t>
  </si>
  <si>
    <t>Gap</t>
  </si>
  <si>
    <t>12.- Voleibol de Sala</t>
  </si>
  <si>
    <t>Gimnasio de Duela ***</t>
  </si>
  <si>
    <t>Serial Atlético "Corriendo por la UAM" 2013</t>
  </si>
  <si>
    <t>Lerma 4 de Septiembre</t>
  </si>
  <si>
    <t>Cuajimalpa 13 de Septiembre</t>
  </si>
  <si>
    <t>Serial Atlético "Caminando por la UAM" 2013</t>
  </si>
  <si>
    <t>Azcapotzalco 27 de Septiembre</t>
  </si>
  <si>
    <t>Xochimilco 11 de Octubre</t>
  </si>
  <si>
    <t>Tae kwon do</t>
  </si>
  <si>
    <t>Iztapalapa 25 de Octubre</t>
  </si>
  <si>
    <t>Lacrosse</t>
  </si>
  <si>
    <t>Parkour</t>
  </si>
  <si>
    <t>Pláticas de Juego Limpio</t>
  </si>
  <si>
    <t xml:space="preserve">* Estos servicios se cuentan por usuario atendido, que en algunos casos se repite.                                     </t>
  </si>
  <si>
    <t xml:space="preserve"> ** Se reporta en bloque ya que son varias actividades con poca participación</t>
  </si>
  <si>
    <t>*** Son los dias de clases que corresponden a tres trimestres del año</t>
  </si>
  <si>
    <t>Voleibol</t>
  </si>
  <si>
    <t>Yoga</t>
  </si>
  <si>
    <t>Zumba</t>
  </si>
  <si>
    <t>ESPECTADORES</t>
  </si>
  <si>
    <t>Convivencia Deportiva 2012</t>
  </si>
  <si>
    <t>Julio 2012</t>
  </si>
  <si>
    <t>Artes Marciales</t>
  </si>
  <si>
    <t>Basquetbol Tercias                              Relámpago y Two Ball</t>
  </si>
  <si>
    <t>Campamento Deportivo</t>
  </si>
  <si>
    <t>1.- Ajedrez   2.- Atletismo    3.- Baloncesto 4.- Fútbol Asociación 5.- Fútbol Rápido 6.- Karate Do 7.- Lev. Olímpico de Pesas 8.- Tae Kwon Do 9.- Tenis 10.- Tenis de Mesa 11.- Voleibol de Playa 12.- Voleibol de Sala</t>
  </si>
  <si>
    <t>Prog. Diversificación Acts. Deportivas</t>
  </si>
  <si>
    <t>Pesas</t>
  </si>
  <si>
    <t>Fisicoconstructivismo</t>
  </si>
  <si>
    <t>Olimpiada UAM 2012</t>
  </si>
  <si>
    <t>Septiembre - Octubre 2012</t>
  </si>
  <si>
    <t>Gimnasia</t>
  </si>
  <si>
    <t>Participan equipos de alumnos de las 5 Unidades Académicas en los siguientes deportes: 1.- Ajedrez  2.- Baloncesto 3.- Fisicoconstructivismo 4.- Fútbol Asociación 5.- Fútbol Rápido 6.- Levantamiento de Potencia 7.- Tenis de Mesa 8.- Voliebol de Playa</t>
  </si>
  <si>
    <t>Fútbolito</t>
  </si>
  <si>
    <t>Interdivisional CBI, CSH y CyAD</t>
  </si>
  <si>
    <t>Serial Atlético "Corriendo por la UAM" 2012</t>
  </si>
  <si>
    <t>Cuajimalpa 11 de Octubre</t>
  </si>
  <si>
    <t>Azcapotzalco 26 de Octubre</t>
  </si>
  <si>
    <t>Serial Atlético "Caminando por la UAM" 2012</t>
  </si>
  <si>
    <t>Xochimilco 9 de Noviembre</t>
  </si>
  <si>
    <t>Lerma 16 de Noviembre</t>
  </si>
  <si>
    <t>Iztapalapa 23 de Noviembre</t>
  </si>
  <si>
    <t>* Estos servicios se cuentan por usuario atendido, que en algunos casos se repite.    ** Se reporta en bloque ya que son varias actividades con poca participación</t>
  </si>
  <si>
    <t>Artes Marciales Mixtas</t>
  </si>
  <si>
    <t>Caminata por la Salud</t>
  </si>
  <si>
    <t>Clase abierta de Zumba</t>
  </si>
  <si>
    <t>Fútbol Rápido Tercias</t>
  </si>
  <si>
    <t>Voleibol Tercias</t>
  </si>
  <si>
    <t xml:space="preserve">    Voleibol</t>
  </si>
  <si>
    <t xml:space="preserve">      Actividades Diversas</t>
  </si>
  <si>
    <t>Danza Árabe y Polinesia</t>
  </si>
  <si>
    <t>Jazz</t>
  </si>
  <si>
    <t>Tahitiano y Hawwaiano</t>
  </si>
  <si>
    <t>Olimpiada UAM 2010</t>
  </si>
  <si>
    <t>Anual</t>
  </si>
  <si>
    <t>4 carreras por año</t>
  </si>
  <si>
    <t>4 eventos por año</t>
  </si>
  <si>
    <r>
      <t xml:space="preserve">a) Torneos Internos * </t>
    </r>
    <r>
      <rPr>
        <b/>
        <sz val="11"/>
        <color rgb="FFFF0000"/>
        <rFont val="Arial"/>
        <family val="2"/>
      </rPr>
      <t>2011</t>
    </r>
  </si>
  <si>
    <r>
      <t xml:space="preserve">Nivel 1:  Al interior de las Unidades Académicas </t>
    </r>
    <r>
      <rPr>
        <b/>
        <sz val="11"/>
        <color rgb="FFFF0000"/>
        <rFont val="Arial"/>
        <family val="2"/>
      </rPr>
      <t>2011</t>
    </r>
  </si>
  <si>
    <r>
      <t xml:space="preserve">Nivel 2: Entre las Unidades académicas </t>
    </r>
    <r>
      <rPr>
        <b/>
        <sz val="11"/>
        <color rgb="FFFF0000"/>
        <rFont val="Arial"/>
        <family val="2"/>
      </rPr>
      <t>2011</t>
    </r>
  </si>
  <si>
    <t>No. DE TORNEOS</t>
  </si>
  <si>
    <t>No. PARTICIPANTES</t>
  </si>
  <si>
    <t>No. DE SERVICIOS</t>
  </si>
  <si>
    <t>No. DE BENEFICIARIOS</t>
  </si>
  <si>
    <t>Basquetbol Tercias</t>
  </si>
  <si>
    <t>Caminata por el Día Mundial del Medio Ambiente</t>
  </si>
  <si>
    <t>Competencia de Pesas</t>
  </si>
  <si>
    <t>Fitness</t>
  </si>
  <si>
    <t>Concurso de Karaoke</t>
  </si>
  <si>
    <t>Damas españolas</t>
  </si>
  <si>
    <t>Fútbol Sala</t>
  </si>
  <si>
    <t>Remo bajo Techo</t>
  </si>
  <si>
    <t>Tochito Flag (Mixto)</t>
  </si>
  <si>
    <t>Tochito Bandera</t>
  </si>
  <si>
    <r>
      <t xml:space="preserve">Nivel 1:  Al interior de las Unidades Académicas </t>
    </r>
    <r>
      <rPr>
        <b/>
        <sz val="11"/>
        <color rgb="FFFF0000"/>
        <rFont val="Arial"/>
        <family val="2"/>
      </rPr>
      <t>2010</t>
    </r>
  </si>
  <si>
    <r>
      <t>Nivel 2: Entre las Unidades académicas</t>
    </r>
    <r>
      <rPr>
        <b/>
        <sz val="11"/>
        <color rgb="FFFF0000"/>
        <rFont val="Arial"/>
        <family val="2"/>
      </rPr>
      <t xml:space="preserve"> 2010</t>
    </r>
  </si>
  <si>
    <r>
      <t>a) Torneos Internos *</t>
    </r>
    <r>
      <rPr>
        <b/>
        <sz val="11"/>
        <color rgb="FFFF0000"/>
        <rFont val="Arial"/>
        <family val="2"/>
      </rPr>
      <t xml:space="preserve"> 2010</t>
    </r>
  </si>
  <si>
    <t>Fútbol rápido</t>
  </si>
  <si>
    <t>Fútbol soccer</t>
  </si>
  <si>
    <t xml:space="preserve">Basquetbol </t>
  </si>
  <si>
    <t>Acondicionamiento físico</t>
  </si>
  <si>
    <t>Torneos divisionales</t>
  </si>
  <si>
    <t>Tochito varonil</t>
  </si>
  <si>
    <t>Futbol rápido</t>
  </si>
  <si>
    <t>XOCHIMILCO*</t>
  </si>
  <si>
    <t xml:space="preserve">Atletismo </t>
  </si>
  <si>
    <t>Karate, Tae Kwon Do</t>
  </si>
  <si>
    <t>Remo</t>
  </si>
  <si>
    <t>NÚMERO DE PARTICIPANTES</t>
  </si>
  <si>
    <t>Fútbol soccer 7</t>
  </si>
  <si>
    <t>Tochito bandera</t>
  </si>
  <si>
    <t>Tenis de mesa</t>
  </si>
  <si>
    <t>Torneo de fisicoconstructivismo</t>
  </si>
  <si>
    <t>Torneo de fuerza</t>
  </si>
  <si>
    <t xml:space="preserve">Torneos divisionales </t>
  </si>
  <si>
    <t xml:space="preserve">Tenis </t>
  </si>
  <si>
    <t xml:space="preserve"> Tenis de mesa</t>
  </si>
  <si>
    <t>Levantamiento de pesas</t>
  </si>
  <si>
    <t>Remo bajo techo</t>
  </si>
  <si>
    <t>Olimpiada UAM 2009</t>
  </si>
  <si>
    <r>
      <t>Nivel 2: Entre las Unidades académicas</t>
    </r>
    <r>
      <rPr>
        <b/>
        <sz val="11"/>
        <color rgb="FFFF0000"/>
        <rFont val="Arial"/>
        <family val="2"/>
      </rPr>
      <t xml:space="preserve"> 2009</t>
    </r>
  </si>
  <si>
    <r>
      <t xml:space="preserve">DISCIPLINA </t>
    </r>
    <r>
      <rPr>
        <b/>
        <sz val="12"/>
        <color rgb="FFFF0000"/>
        <rFont val="Calibri"/>
        <family val="2"/>
        <scheme val="minor"/>
      </rPr>
      <t>2009</t>
    </r>
  </si>
  <si>
    <t>FESTI UAM</t>
  </si>
  <si>
    <r>
      <t xml:space="preserve">DISCIPLINA </t>
    </r>
    <r>
      <rPr>
        <b/>
        <sz val="12"/>
        <color rgb="FFFF0000"/>
        <rFont val="Calibri"/>
        <family val="2"/>
        <scheme val="minor"/>
      </rPr>
      <t>2008</t>
    </r>
  </si>
  <si>
    <r>
      <t>Nivel 2: Entre las Unidades académicas</t>
    </r>
    <r>
      <rPr>
        <b/>
        <sz val="11"/>
        <color rgb="FFFF0000"/>
        <rFont val="Arial"/>
        <family val="2"/>
      </rPr>
      <t xml:space="preserve"> 2008</t>
    </r>
  </si>
  <si>
    <t>Olimpiada UAM 2008</t>
  </si>
  <si>
    <t>BENEFICIARIOS 2009</t>
  </si>
  <si>
    <t>BENEFICIARIOS 2010</t>
  </si>
  <si>
    <t>BENEFICIARIOS 2011</t>
  </si>
  <si>
    <t>BENEFICIARIOS 2012</t>
  </si>
  <si>
    <t>BENEFICIARIOS 2013</t>
  </si>
  <si>
    <r>
      <t xml:space="preserve">Nivel 1:  Al interior de las Unidades Académicas </t>
    </r>
    <r>
      <rPr>
        <b/>
        <sz val="10"/>
        <color rgb="FFFF0000"/>
        <rFont val="Calibri"/>
        <family val="2"/>
        <scheme val="minor"/>
      </rPr>
      <t>2014</t>
    </r>
  </si>
  <si>
    <r>
      <t xml:space="preserve">Nivel 2: Entre las Unidades académicas </t>
    </r>
    <r>
      <rPr>
        <b/>
        <sz val="10"/>
        <color rgb="FFFF0000"/>
        <rFont val="Calibri"/>
        <family val="2"/>
        <scheme val="minor"/>
      </rPr>
      <t>2014</t>
    </r>
  </si>
  <si>
    <r>
      <t xml:space="preserve">Nivel 1:  Al interior de las Unidades Académicas </t>
    </r>
    <r>
      <rPr>
        <sz val="10"/>
        <color rgb="FFFF0000"/>
        <rFont val="Calibri"/>
        <family val="2"/>
        <scheme val="minor"/>
      </rPr>
      <t>2013</t>
    </r>
  </si>
  <si>
    <r>
      <t xml:space="preserve">Nivel 2: Entre las Unidades académicas </t>
    </r>
    <r>
      <rPr>
        <sz val="10"/>
        <color rgb="FFFF0000"/>
        <rFont val="Calibri"/>
        <family val="2"/>
        <scheme val="minor"/>
      </rPr>
      <t>2013</t>
    </r>
  </si>
  <si>
    <r>
      <t xml:space="preserve">a) Torneos Internos * </t>
    </r>
    <r>
      <rPr>
        <b/>
        <sz val="10"/>
        <color rgb="FFFF0000"/>
        <rFont val="Calibri"/>
        <family val="2"/>
        <scheme val="minor"/>
      </rPr>
      <t>2013</t>
    </r>
  </si>
  <si>
    <r>
      <t xml:space="preserve">Nivel 1:  Al interior de las Unidades Académicas </t>
    </r>
    <r>
      <rPr>
        <b/>
        <sz val="10"/>
        <color rgb="FFFF0000"/>
        <rFont val="Calibri"/>
        <family val="2"/>
        <scheme val="minor"/>
      </rPr>
      <t>2012</t>
    </r>
  </si>
  <si>
    <r>
      <t xml:space="preserve">Nivel 2: Entre las Unidades académicas </t>
    </r>
    <r>
      <rPr>
        <b/>
        <sz val="10"/>
        <color rgb="FFFF0000"/>
        <rFont val="Calibri"/>
        <family val="2"/>
        <scheme val="minor"/>
      </rPr>
      <t>2012</t>
    </r>
  </si>
  <si>
    <r>
      <t xml:space="preserve">a) Torneos Internos * </t>
    </r>
    <r>
      <rPr>
        <b/>
        <sz val="10"/>
        <color rgb="FFFF0000"/>
        <rFont val="Calibri"/>
        <family val="2"/>
        <scheme val="minor"/>
      </rPr>
      <t>2012</t>
    </r>
  </si>
  <si>
    <r>
      <t>a) Torneos Internos *</t>
    </r>
    <r>
      <rPr>
        <b/>
        <sz val="10"/>
        <color rgb="FFFF0000"/>
        <rFont val="Calibri"/>
        <family val="2"/>
        <scheme val="minor"/>
      </rPr>
      <t xml:space="preserve"> 2014</t>
    </r>
  </si>
  <si>
    <r>
      <t xml:space="preserve">Nivel 1:  Al interior de las Unidades Académicas </t>
    </r>
    <r>
      <rPr>
        <b/>
        <sz val="10"/>
        <color rgb="FFFF0000"/>
        <rFont val="Calibri"/>
        <family val="2"/>
        <scheme val="minor"/>
      </rPr>
      <t>2011</t>
    </r>
  </si>
  <si>
    <r>
      <t xml:space="preserve">Nivel 2: Entre las Unidades académicas </t>
    </r>
    <r>
      <rPr>
        <b/>
        <sz val="10"/>
        <color rgb="FFFF0000"/>
        <rFont val="Calibri"/>
        <family val="2"/>
        <scheme val="minor"/>
      </rPr>
      <t>2011</t>
    </r>
  </si>
  <si>
    <r>
      <t xml:space="preserve">a) Torneos Internos * </t>
    </r>
    <r>
      <rPr>
        <b/>
        <sz val="10"/>
        <color rgb="FFFF0000"/>
        <rFont val="Calibri"/>
        <family val="2"/>
        <scheme val="minor"/>
      </rPr>
      <t>2011</t>
    </r>
  </si>
  <si>
    <r>
      <t xml:space="preserve">Nivel 1:  Al interior de las Unidades Académicas </t>
    </r>
    <r>
      <rPr>
        <b/>
        <sz val="10"/>
        <color rgb="FFFF0000"/>
        <rFont val="Calibri"/>
        <family val="2"/>
        <scheme val="minor"/>
      </rPr>
      <t>2010</t>
    </r>
  </si>
  <si>
    <r>
      <t>Nivel 2: Entre las Unidades académicas</t>
    </r>
    <r>
      <rPr>
        <b/>
        <sz val="10"/>
        <color rgb="FFFF0000"/>
        <rFont val="Calibri"/>
        <family val="2"/>
        <scheme val="minor"/>
      </rPr>
      <t xml:space="preserve"> 2010</t>
    </r>
  </si>
  <si>
    <r>
      <t>a) Torneos Internos *</t>
    </r>
    <r>
      <rPr>
        <b/>
        <sz val="10"/>
        <color rgb="FFFF0000"/>
        <rFont val="Calibri"/>
        <family val="2"/>
        <scheme val="minor"/>
      </rPr>
      <t xml:space="preserve"> 2010</t>
    </r>
  </si>
  <si>
    <r>
      <t>Nivel 2: Entre las Unidades académicas</t>
    </r>
    <r>
      <rPr>
        <b/>
        <sz val="10"/>
        <color rgb="FFFF0000"/>
        <rFont val="Calibri"/>
        <family val="2"/>
        <scheme val="minor"/>
      </rPr>
      <t xml:space="preserve"> 2009</t>
    </r>
  </si>
  <si>
    <r>
      <t>Nivel 2: Entre las Unidades académicas</t>
    </r>
    <r>
      <rPr>
        <b/>
        <sz val="10"/>
        <color rgb="FFFF0000"/>
        <rFont val="Calibri"/>
        <family val="2"/>
        <scheme val="minor"/>
      </rPr>
      <t xml:space="preserve"> 2008</t>
    </r>
  </si>
  <si>
    <r>
      <t xml:space="preserve">DISCIPLINA </t>
    </r>
    <r>
      <rPr>
        <b/>
        <sz val="10"/>
        <color rgb="FFFF0000"/>
        <rFont val="Calibri"/>
        <family val="2"/>
        <scheme val="minor"/>
      </rPr>
      <t>2009</t>
    </r>
  </si>
  <si>
    <r>
      <t xml:space="preserve">DISCIPLINA </t>
    </r>
    <r>
      <rPr>
        <b/>
        <sz val="10"/>
        <color rgb="FFFF0000"/>
        <rFont val="Calibri"/>
        <family val="2"/>
        <scheme val="minor"/>
      </rPr>
      <t>2008</t>
    </r>
  </si>
  <si>
    <t>1974-2003</t>
  </si>
  <si>
    <t>Planes EVALUABLES</t>
  </si>
  <si>
    <t xml:space="preserve">Evaluados por CIEES en nivel 1  </t>
  </si>
  <si>
    <t>Acreditados</t>
  </si>
  <si>
    <t>%</t>
  </si>
  <si>
    <t>Planes en proceso</t>
  </si>
  <si>
    <r>
      <t>Planes</t>
    </r>
    <r>
      <rPr>
        <sz val="11"/>
        <color indexed="8"/>
        <rFont val="Calibri"/>
        <family val="2"/>
        <scheme val="minor"/>
      </rPr>
      <t xml:space="preserve"> Trim.14-O</t>
    </r>
  </si>
  <si>
    <t>Planes de buena calidad 2014</t>
  </si>
  <si>
    <t>Planes de buena calidad 2013</t>
  </si>
  <si>
    <t>PLANES de estudio de LICENCIATURA de buena calidad</t>
  </si>
  <si>
    <t>Planes de buena calidad 2012</t>
  </si>
  <si>
    <r>
      <t>Planes</t>
    </r>
    <r>
      <rPr>
        <sz val="11"/>
        <color indexed="8"/>
        <rFont val="Calibri"/>
        <family val="2"/>
        <scheme val="minor"/>
      </rPr>
      <t xml:space="preserve"> Trim.13-O</t>
    </r>
  </si>
  <si>
    <r>
      <t>Planes</t>
    </r>
    <r>
      <rPr>
        <sz val="11"/>
        <color indexed="8"/>
        <rFont val="Calibri"/>
        <family val="2"/>
        <scheme val="minor"/>
      </rPr>
      <t xml:space="preserve"> Trim.12-O</t>
    </r>
  </si>
  <si>
    <t>Planes de buena calidad 2011</t>
  </si>
  <si>
    <t>Planes de estudio acreditados o evaluados en nivel 1  por CIEES</t>
  </si>
  <si>
    <t>Planes de buena calidad 2010</t>
  </si>
  <si>
    <t>ORGANISMOS ACREDITADORES O EVALUADORES</t>
  </si>
  <si>
    <t>NIVEL CIEES</t>
  </si>
  <si>
    <t xml:space="preserve">AÑO DE ACREDITACIÓN O EVALUACIÓN </t>
  </si>
  <si>
    <t>VIGENCIA</t>
  </si>
  <si>
    <t>OBSERVACIONES</t>
  </si>
  <si>
    <t>Ciencias Básicas e Ingeniería (CBI)</t>
  </si>
  <si>
    <t xml:space="preserve">Ingeniería Ambiental </t>
  </si>
  <si>
    <t>CACEI</t>
  </si>
  <si>
    <t xml:space="preserve">Ingeniería Civil </t>
  </si>
  <si>
    <t xml:space="preserve">Ingeniería Eléctrica </t>
  </si>
  <si>
    <t xml:space="preserve">Ingeniería Física </t>
  </si>
  <si>
    <t xml:space="preserve">Ingeniería Industrial </t>
  </si>
  <si>
    <t xml:space="preserve">Ingeniería Mecánica </t>
  </si>
  <si>
    <t xml:space="preserve">Ingeniería Metalúrgica </t>
  </si>
  <si>
    <t xml:space="preserve">Ingeniería Química </t>
  </si>
  <si>
    <t xml:space="preserve">Ingeniería Electrónica </t>
  </si>
  <si>
    <t>Ciencias Sociales y Humanidades (CSH)</t>
  </si>
  <si>
    <t>CACECA</t>
  </si>
  <si>
    <t>CIEES</t>
  </si>
  <si>
    <t>CONACE</t>
  </si>
  <si>
    <t>ACCECISO</t>
  </si>
  <si>
    <t>Ciencias y Artes para el Diseño (CAD)</t>
  </si>
  <si>
    <t>ANPADEH</t>
  </si>
  <si>
    <t>COMAPROD</t>
  </si>
  <si>
    <t xml:space="preserve">CACEI: Consejo de Acreditación de la Enseñanza de la Ingeniería, A.C. </t>
  </si>
  <si>
    <r>
      <rPr>
        <b/>
        <sz val="9"/>
        <rFont val="Calibri"/>
        <family val="2"/>
      </rPr>
      <t>FUENTE:</t>
    </r>
    <r>
      <rPr>
        <sz val="9"/>
        <rFont val="Calibri"/>
        <family val="2"/>
      </rPr>
      <t xml:space="preserve"> Comités Interinstitucionales para la Evaluación de la Educación Superior (CIEES), SEP, Consejo para la Acreditación de la Educación Superior (COPAES)</t>
    </r>
  </si>
  <si>
    <t>CACECA: Consejo de Acreditación en la Enseñanza de la Contaduría y Administración, A.C.</t>
  </si>
  <si>
    <t>CIEES: Comités Interinstitucionales para la Evaluación de la Eduación Superior, A. C.</t>
  </si>
  <si>
    <t xml:space="preserve">CONACE: Consejo Nacional de Acreditación de la Ciencia Económica, A.C. </t>
  </si>
  <si>
    <t xml:space="preserve">ACCECISO: Asociación para la Acreditación y Certificación en Ciencias Sociales, A.C. </t>
  </si>
  <si>
    <t>ANPADEH: Acreditadora Nacional de Programas de Arquitectura y Disciplinas del Espacio Habitable, A. C.</t>
  </si>
  <si>
    <t>COMAPROD: Consejo Mexicano para la Acreditación de Programas de Diseño, A. C.</t>
  </si>
  <si>
    <r>
      <t>OBSERVACIONES</t>
    </r>
    <r>
      <rPr>
        <sz val="11"/>
        <rFont val="Calibri"/>
        <family val="2"/>
        <scheme val="minor"/>
      </rPr>
      <t xml:space="preserve"> (Fecha de creación)</t>
    </r>
  </si>
  <si>
    <t xml:space="preserve">Administración </t>
  </si>
  <si>
    <t xml:space="preserve">Estudios Socioterritoriales </t>
  </si>
  <si>
    <t>25 mayo, 2007</t>
  </si>
  <si>
    <t>Ciencias de la Comunicación y Diseño (CCD)</t>
  </si>
  <si>
    <t>18 julio, 2005</t>
  </si>
  <si>
    <t xml:space="preserve">Tecnologías y Sistemas de Información </t>
  </si>
  <si>
    <t>Ciencias Naturales e Ingeniería (CNI)</t>
  </si>
  <si>
    <t xml:space="preserve">Ingeniería en Computación </t>
  </si>
  <si>
    <t xml:space="preserve">Ingeniería Biológica </t>
  </si>
  <si>
    <t>20 mayo, 2010</t>
  </si>
  <si>
    <t>FUENTE: Comités Interinstitucionales para la Evaluación de la Educación Superior (CIEES), SEP, Consejo para la Acreditación de la Educación Superior (COPAES)</t>
  </si>
  <si>
    <t xml:space="preserve">Ingeniería Biomédica </t>
  </si>
  <si>
    <t xml:space="preserve">Ingeniería Hidrológica </t>
  </si>
  <si>
    <t>prorroga</t>
  </si>
  <si>
    <t xml:space="preserve">Matemáticas  </t>
  </si>
  <si>
    <t>CONAIC</t>
  </si>
  <si>
    <t>Ciencias Sociales y Humanidades CSH)</t>
  </si>
  <si>
    <t xml:space="preserve">Lingüística </t>
  </si>
  <si>
    <t>CNEIP</t>
  </si>
  <si>
    <t xml:space="preserve">Geografía Humana </t>
  </si>
  <si>
    <t>Ciencias Biológicas y de la Salud (CBS)</t>
  </si>
  <si>
    <t xml:space="preserve">Biología Experimental </t>
  </si>
  <si>
    <r>
      <rPr>
        <b/>
        <sz val="9"/>
        <rFont val="Calibri"/>
        <family val="2"/>
        <scheme val="minor"/>
      </rPr>
      <t>FUENTE:</t>
    </r>
    <r>
      <rPr>
        <sz val="9"/>
        <rFont val="Calibri"/>
        <family val="2"/>
        <scheme val="minor"/>
      </rPr>
      <t xml:space="preserve"> Comités Interinstitucionales para la Evaluación de la Educación Superior (CIEES), SEP, Consejo para la Acreditación de la Educación Superior (COPAES)</t>
    </r>
  </si>
  <si>
    <t xml:space="preserve">CONAIC: Consejo Nacional de Acreditación en Informática y Computación, A.C. </t>
  </si>
  <si>
    <t xml:space="preserve">CACECA: Consejo de Acreditación en la Enseñanza de la Contaduría y Administración, A.C. </t>
  </si>
  <si>
    <t xml:space="preserve">CNEIP: Consejo Nacional para la Enseñanza e Investigación en Psicología, A.C. </t>
  </si>
  <si>
    <t xml:space="preserve">ANPROMAR: Asociación Nacional de Profesionales del Mar, A.C. </t>
  </si>
  <si>
    <t xml:space="preserve">Ingeniería en Recursos Hidrícos </t>
  </si>
  <si>
    <t xml:space="preserve">Políticas Públicas </t>
  </si>
  <si>
    <r>
      <rPr>
        <b/>
        <sz val="9"/>
        <rFont val="Calibri"/>
        <family val="2"/>
      </rPr>
      <t>FUENTE:</t>
    </r>
    <r>
      <rPr>
        <sz val="9"/>
        <rFont val="Calibri"/>
        <family val="2"/>
      </rPr>
      <t xml:space="preserve"> Colegio Académico</t>
    </r>
  </si>
  <si>
    <t>CACEB</t>
  </si>
  <si>
    <t>Estomatología (Odontología)</t>
  </si>
  <si>
    <t>CONAEDO</t>
  </si>
  <si>
    <t>Química Farmaceútica Biológica</t>
  </si>
  <si>
    <t>COMEAA</t>
  </si>
  <si>
    <t>Medicina (Médico Cirujano)</t>
  </si>
  <si>
    <t>COMAEM</t>
  </si>
  <si>
    <t>CONCAPREN</t>
  </si>
  <si>
    <t xml:space="preserve">Planeación Territorial </t>
  </si>
  <si>
    <t>CONACE: Consejo Nacional de Acreditación de la Ciencia Económica A.C.</t>
  </si>
  <si>
    <t>CACEB: Comité de Acreditación y Certificación de la Licenciatura en Biología, A.C.</t>
  </si>
  <si>
    <t xml:space="preserve">COMACE: Consejo Mexicano para la  Acreditación y Certificación de la Enfermería, A.C. </t>
  </si>
  <si>
    <t xml:space="preserve">CONAEDO: Consejo Nacional de Educación Odontológica, A.C. </t>
  </si>
  <si>
    <t xml:space="preserve">COMEAA: Comité Mexicano de Acreditación de la Educación Agronómica, A.C. </t>
  </si>
  <si>
    <t xml:space="preserve">COMAEM: Consejo Mexicano para la Acreditación de la Educación Médica, A.C. </t>
  </si>
  <si>
    <t>CONCAPREN: Consejo Nacional para la Calidad de Programas Educativos en Nutriología, A.C.</t>
  </si>
  <si>
    <t xml:space="preserve">ANPADEH: Acreditadora Nacional de Programas de Arquitectura y Disciplinas del Espacio Habitable, A. C. </t>
  </si>
  <si>
    <t>LINEAS</t>
  </si>
  <si>
    <t>Consolidado</t>
  </si>
  <si>
    <t>Materiales</t>
  </si>
  <si>
    <t>En desarrollo</t>
  </si>
  <si>
    <t>Ambientales</t>
  </si>
  <si>
    <t>Reciente Creación</t>
  </si>
  <si>
    <t>Doctorado en Ciencias e Ingeniería</t>
  </si>
  <si>
    <t>Reciente creación</t>
  </si>
  <si>
    <t xml:space="preserve">Especialización en Historiografía </t>
  </si>
  <si>
    <t>Maestría  en Sociología</t>
  </si>
  <si>
    <t>Compartido: Azcapotzalco, Iztapalapa y Xochimilco</t>
  </si>
  <si>
    <t>Compartido: Azcapotzalco e Iztapalapa</t>
  </si>
  <si>
    <t>FUENTE: Padrón del Programa Nacional de Posgrados de Calidad del CONACYT</t>
  </si>
  <si>
    <t>PNPC: Programa Nacional de Posgrados de Calidad</t>
  </si>
  <si>
    <t>INTERUNIDADES</t>
  </si>
  <si>
    <t>CBS Y CNI</t>
  </si>
  <si>
    <t>Incorporados al PNPC</t>
  </si>
  <si>
    <t>Competencia internacional</t>
  </si>
  <si>
    <t>En proceso</t>
  </si>
  <si>
    <t>Planes de estudio por nivel 2014</t>
  </si>
  <si>
    <t>Planes de estudio en el PNPC 2014</t>
  </si>
  <si>
    <t>Posgrado en Ciencias Sociales y Humanidades (Maestría)</t>
  </si>
  <si>
    <t>Posgrado en Ciencias Sociales y Humanidades (Doctorado)</t>
  </si>
  <si>
    <t xml:space="preserve"> Reciente creación</t>
  </si>
  <si>
    <t>Compartido: Iztapalapa, Xochimilco y Cuajimalpa</t>
  </si>
  <si>
    <t>Maestría en Ciencias (Matemáticas Aplicadas e Industriales)</t>
  </si>
  <si>
    <t>Maestría en Ciencias (Física)</t>
  </si>
  <si>
    <t>Maestría en Ciencias (Matemáticas)</t>
  </si>
  <si>
    <t>Maestría en Ciencias (Ingeniería Biomédica)</t>
  </si>
  <si>
    <t>Compartido con CBS</t>
  </si>
  <si>
    <t>Doctorado en Ciencias (Matemáticas)</t>
  </si>
  <si>
    <t>Doctorado directo: Consolidado</t>
  </si>
  <si>
    <t>Doctorado en Ciencias (Ingeniería Biomédica)</t>
  </si>
  <si>
    <t>Posgrado en Ciencias y Tecnologías de la Información (Doctorado)</t>
  </si>
  <si>
    <t>Compartido con CBI</t>
  </si>
  <si>
    <t xml:space="preserve">Especialización en Desarrollo Rural </t>
  </si>
  <si>
    <t xml:space="preserve">Maestría en Comunicación y Política </t>
  </si>
  <si>
    <t xml:space="preserve">Maestría en Desarrollo Rural </t>
  </si>
  <si>
    <t>Especialización en Población y Salud</t>
  </si>
  <si>
    <t>Maestría en Ciencias en Salud en el trabajo</t>
  </si>
  <si>
    <t>CBS y CNI</t>
  </si>
  <si>
    <t>Planes de estudio por nivel 2013</t>
  </si>
  <si>
    <t>Planes de estudio en el PNPC 2013</t>
  </si>
  <si>
    <t>Planes de estudio acreditados o evaluados 2010</t>
  </si>
  <si>
    <t>Planes de estudio por nivel 2010</t>
  </si>
  <si>
    <t>Fuente: Oficina de Posgrado, Conacyt</t>
  </si>
  <si>
    <t>Planes de estudio acreditados o evaluados 2011</t>
  </si>
  <si>
    <t>Planes de estudio por nivel 2011</t>
  </si>
  <si>
    <t>Planes de estudio en el PNPC 2012</t>
  </si>
  <si>
    <t>Planes de estudio por nivel 2012</t>
  </si>
  <si>
    <t>Becas de Excelencia</t>
  </si>
  <si>
    <t>Resumen</t>
  </si>
  <si>
    <t>Planes de estudio</t>
  </si>
  <si>
    <t>ADMITIDOS POR GÉNERO</t>
  </si>
  <si>
    <t>Beca para integrantes de grupos vulnerables</t>
  </si>
  <si>
    <t>Beca de Movilidad Nacional (licenciatura)</t>
  </si>
  <si>
    <t>Beca para estudiantes de licenciatura en instituciones de educación superior en el extranjero en acciones de movilidad en la UAM</t>
  </si>
  <si>
    <t>BECAS UAM</t>
  </si>
  <si>
    <t>No.</t>
  </si>
  <si>
    <t>Nombre de la beca</t>
  </si>
  <si>
    <t>Beca para participar en Eventos de Difusión y de Investigación en Ciencia y Tecnología UAM</t>
  </si>
  <si>
    <t>Becas UAM pagadas</t>
  </si>
  <si>
    <t>Eventos de Difusión y de Investigación en Ciencia y Tecnología UAM</t>
  </si>
  <si>
    <t>ASPIRANTES A LICENCIATURA POR TRIMESTRE DE INGRESO</t>
  </si>
  <si>
    <t xml:space="preserve">ASPIRANTES POR GÉNERO </t>
  </si>
  <si>
    <t xml:space="preserve">ADMITIDOS TOTALES A LICENCIATURA POR TRIMESTRE DE INGRESO </t>
  </si>
  <si>
    <t xml:space="preserve">ADMITIDOS A LICENCIATURA POR TRIMESTRE DE INGRESO </t>
  </si>
  <si>
    <t xml:space="preserve">Histórico Datos Socioeconómicos Admitidos </t>
  </si>
  <si>
    <t xml:space="preserve">INSCRITOS DE PRIMER INGRESO A LICENCIATURA POR TRIMESTRE </t>
  </si>
  <si>
    <t xml:space="preserve">Histórico Datos Socioeconómicos Nuevo Ingreso </t>
  </si>
  <si>
    <t xml:space="preserve">INSCRITOS DE PRIMER INGRESO A LICENCIATURA POR TRIMESTRE DE INGRESO </t>
  </si>
  <si>
    <t xml:space="preserve">INSCRITOS DE PRIMER INGRESO Y REINSCRITOS POR LICENCIATURA Y TRIMESTRE </t>
  </si>
  <si>
    <t xml:space="preserve">BAJAS DEFINITIVAS DE ALUMNOS DE LICENCIATURA </t>
  </si>
  <si>
    <t xml:space="preserve">BAJAS REGLAMENTARIAS DE ALUMNOS DE LICENCIATURA </t>
  </si>
  <si>
    <t xml:space="preserve">ESTUDIANTES QUE TERMINARON ESTUDIOS DE LICENCIATURA POR TRIMESTRE </t>
  </si>
  <si>
    <t xml:space="preserve">TITULADOS DE LICENCIATURA </t>
  </si>
  <si>
    <t xml:space="preserve">INSCRITOS DE PRIMER INGRESO POR POSGRADO Y TRIMESTRE </t>
  </si>
  <si>
    <r>
      <t xml:space="preserve">ALUMNOS QUE TERMINARON ESTUDIOS DE POSGRADO </t>
    </r>
    <r>
      <rPr>
        <b/>
        <i/>
        <sz val="12"/>
        <color rgb="FFFFC000"/>
        <rFont val="Arial"/>
        <family val="2"/>
      </rPr>
      <t>ACUMULADO</t>
    </r>
    <r>
      <rPr>
        <b/>
        <sz val="12"/>
        <rFont val="Arial"/>
        <family val="2"/>
      </rPr>
      <t xml:space="preserve"> </t>
    </r>
  </si>
  <si>
    <r>
      <t>ALUMNOS QUE TERMINARON ESTUDIOS DE POSGRADO</t>
    </r>
    <r>
      <rPr>
        <b/>
        <i/>
        <sz val="13"/>
        <color theme="0" tint="-0.499984740745262"/>
        <rFont val="Arial"/>
        <family val="2"/>
      </rPr>
      <t xml:space="preserve"> </t>
    </r>
    <r>
      <rPr>
        <b/>
        <i/>
        <sz val="13"/>
        <color rgb="FFFFC000"/>
        <rFont val="Arial"/>
        <family val="2"/>
      </rPr>
      <t>ACUMULADO</t>
    </r>
  </si>
  <si>
    <t>Esp-Mtría-Doc en Desarrollo Rural</t>
  </si>
  <si>
    <t>De 7,000 a 9,999</t>
  </si>
  <si>
    <t xml:space="preserve">RESUMEN DE INGRESOS POR APOYOS EXTERNOS </t>
  </si>
  <si>
    <t xml:space="preserve">Nacionales </t>
  </si>
  <si>
    <t xml:space="preserve">Extranjeros </t>
  </si>
  <si>
    <t>Convenio por Unidad</t>
  </si>
  <si>
    <r>
      <t>UNIDAD</t>
    </r>
    <r>
      <rPr>
        <sz val="10"/>
        <color indexed="8"/>
        <rFont val="Arial"/>
        <family val="2"/>
      </rPr>
      <t xml:space="preserve"> </t>
    </r>
  </si>
  <si>
    <r>
      <t>Nacionales</t>
    </r>
    <r>
      <rPr>
        <sz val="10"/>
        <color indexed="8"/>
        <rFont val="Arial"/>
        <family val="2"/>
      </rPr>
      <t xml:space="preserve"> </t>
    </r>
  </si>
  <si>
    <r>
      <t>Extranjeros</t>
    </r>
    <r>
      <rPr>
        <sz val="10"/>
        <color indexed="8"/>
        <rFont val="Arial"/>
        <family val="2"/>
      </rPr>
      <t xml:space="preserve"> </t>
    </r>
  </si>
  <si>
    <r>
      <t>Total UAM</t>
    </r>
    <r>
      <rPr>
        <sz val="10"/>
        <color indexed="8"/>
        <rFont val="Arial"/>
        <family val="2"/>
      </rPr>
      <t xml:space="preserve"> </t>
    </r>
  </si>
  <si>
    <t xml:space="preserve">Azcapotzalco </t>
  </si>
  <si>
    <t xml:space="preserve">Cuajimalpa </t>
  </si>
  <si>
    <t>Total Asignadas 2014</t>
  </si>
  <si>
    <t>Doctorado en Diseño (Línea Arquitectura Bioclimática)</t>
  </si>
  <si>
    <t>Maestría en Diseño (Línea Arquitectura Bioclimática)</t>
  </si>
  <si>
    <t>La categoría aspirantes considera a los que presentan el examen de admisión.</t>
  </si>
  <si>
    <t>La categoría admitidos  comprende a los elegidos en los procesos de selección. A partir del 2004 se incluyen los datos de admitidos por lista complementaria</t>
  </si>
  <si>
    <t>de 10,000 a 14,999</t>
  </si>
  <si>
    <t>de 15,000 o más</t>
  </si>
  <si>
    <t>La eficiencia terminal muestra el comportamiento de egresados por año de ingreso; para medicina se considera un año anterior por ser un plan de 5 años.</t>
  </si>
  <si>
    <t>FUENTE: Unidades Universitarias</t>
  </si>
  <si>
    <t>La categoría estudiantes que terminaron estudios de posgrado incluye a las personas que en el año de referencia acreditaron el plan de estudios y/o se graduaron.</t>
  </si>
  <si>
    <t xml:space="preserve">FUENTE: CONACYT </t>
  </si>
  <si>
    <t>Fuente: proyectos registrados en el COFON en 2014</t>
  </si>
  <si>
    <t xml:space="preserve">Beca para estudios de lenguas extranjeras </t>
  </si>
  <si>
    <t>F</t>
  </si>
  <si>
    <t>Ing. Ambiental</t>
  </si>
  <si>
    <t>Ing. Civil</t>
  </si>
  <si>
    <t>Ing. Eléctrica</t>
  </si>
  <si>
    <t>Ing. Electrónica</t>
  </si>
  <si>
    <t>Ing. Física</t>
  </si>
  <si>
    <t>Ing. Industrial</t>
  </si>
  <si>
    <t>Ing. Mecánica</t>
  </si>
  <si>
    <t>Ing. Metalúrgica</t>
  </si>
  <si>
    <t>Ing. Química</t>
  </si>
  <si>
    <t>TOTAL DIVISIÓN</t>
  </si>
  <si>
    <t>CyAD</t>
  </si>
  <si>
    <t>Ing. Biológica</t>
  </si>
  <si>
    <t>Ing. Biomédica</t>
  </si>
  <si>
    <t>Ing. En Energía</t>
  </si>
  <si>
    <t>Ing. Hidrológica</t>
  </si>
  <si>
    <t>Ing. De los Alimentos</t>
  </si>
  <si>
    <t>Ing. Recursos Hídricos</t>
  </si>
  <si>
    <t>Maestría en Diseño: Estudios Urbanos</t>
  </si>
  <si>
    <t>Beca de movilidad internacional</t>
  </si>
  <si>
    <t>Beca de movilidad nacional</t>
  </si>
  <si>
    <t>Plan de estudios</t>
  </si>
  <si>
    <t xml:space="preserve">Femenino </t>
  </si>
  <si>
    <t>Masulino</t>
  </si>
  <si>
    <t>Estudios de Posgrado en la UAM</t>
  </si>
  <si>
    <t>Estudios de lenguas extranjeras</t>
  </si>
  <si>
    <t>Movilidad Internacional_Lic.</t>
  </si>
  <si>
    <t>Movilidad Nacional_Lic.</t>
  </si>
  <si>
    <t>Participantes extranjeros_Lic.</t>
  </si>
  <si>
    <t>Movilidad Internacional y nacional _Pos.</t>
  </si>
  <si>
    <r>
      <t>ASPIRANTES</t>
    </r>
    <r>
      <rPr>
        <sz val="14"/>
        <rFont val="Arial"/>
        <family val="2"/>
      </rPr>
      <t xml:space="preserve"> (presentados a examen)</t>
    </r>
    <r>
      <rPr>
        <b/>
        <sz val="14"/>
        <rFont val="Arial"/>
        <family val="2"/>
      </rPr>
      <t xml:space="preserve"> A LICENCIATURA POR TRIMESTRE DE INGRESO</t>
    </r>
  </si>
  <si>
    <t>Histórico Datos Socioeconómicos Inscritos</t>
  </si>
  <si>
    <t>INSCRITOS DE PRIMER INGRESO Y REINSCRITOS A LICENCIATURA</t>
  </si>
  <si>
    <t>ALUMNOS QUE REGISTRARON ACTIVIDAD ACADÉMICA A NIVEL LICENCIATURA</t>
  </si>
  <si>
    <t xml:space="preserve">ALUMNOS QUE REGISTRARON ACTIVIDAD ACADÉMICA A NIVEL LICENCIATURA </t>
  </si>
  <si>
    <t>ESTUDIANTES QUE TERMINARON ESTUDIOS DE LICENCIATURA</t>
  </si>
  <si>
    <t>ESTUDIANTES QUE TERMINARON ESTUDIOS DE LICENCIATURA GÉNERO</t>
  </si>
  <si>
    <t>TRIMESTRES CURSADOS PROMEDIO PARA TERMINAR ESTUDIOS DE LICENCIATURA</t>
  </si>
  <si>
    <t>Trimestres cursados promedio para terminar estudios de licenciatura</t>
  </si>
  <si>
    <t>ASPIRANTES DE PRIMER INGRESO A POSGRADO</t>
  </si>
  <si>
    <t>INSCRITOS DE PRIMER INGRESO A POSGRADO</t>
  </si>
  <si>
    <t>INSCRITOS DE PRIMER INGRESO Y REINSCRITOS DE POSGRADO</t>
  </si>
  <si>
    <t>ALUMNOS DE POSGRADO QUE REGISTRARON ACTIVIDAD ACADEMICA</t>
  </si>
  <si>
    <t>ESTUDIANTES QUE TERMINARON ESTUDIOS DE POSGRADO</t>
  </si>
  <si>
    <t>Cambia de nombre a Becas de Manutención</t>
  </si>
  <si>
    <r>
      <t>PRONABES SEP-UAM</t>
    </r>
    <r>
      <rPr>
        <sz val="12"/>
        <rFont val="Arial"/>
        <family val="2"/>
      </rPr>
      <t xml:space="preserve"> (a partir de 2014 cambia a Becas de Manutención)</t>
    </r>
  </si>
  <si>
    <t>Total (TC, MT, TP)</t>
  </si>
  <si>
    <t>HISTÓRICO DE BECAS Y ESTÍMULOS AL PERSONAL ACADÉMICO</t>
  </si>
  <si>
    <t xml:space="preserve">PERSONAL ACADÉMICO DE TIEMPO COMPLETO REGISTRADO EN PROMEP POR GRADO ACADÉMICO </t>
  </si>
  <si>
    <t>Especialización + Maestría</t>
  </si>
  <si>
    <t>PERSONAL ACADÉMICO DE TIEMPO COMPLETO REGISTRADO EN PROMEP POR GRADO ACADÉMICO</t>
  </si>
  <si>
    <r>
      <t xml:space="preserve">CUERPOS ACADÉMICOS </t>
    </r>
    <r>
      <rPr>
        <sz val="11"/>
        <rFont val="Arial"/>
        <family val="2"/>
      </rPr>
      <t>(grado que PROMEP reconoce)</t>
    </r>
  </si>
  <si>
    <t>ACTIVIDADES  EVALUADAS POR LAS COMISIONES DICTAMINADORAS POR UNIDAD</t>
  </si>
  <si>
    <t>ACTIVIDADES ACADÉMICAS RELACIONADAS CON LA INVESTIGACIÓN POR UNIDAD Y AÑO DE EVALUACIÓN</t>
  </si>
  <si>
    <t>ASISTENTE</t>
  </si>
  <si>
    <t>ASOCIADO</t>
  </si>
  <si>
    <t>TITULAR</t>
  </si>
  <si>
    <t>FUENTE: Base de Nómina correspondiente a la quincena  20 de cada año.</t>
  </si>
  <si>
    <t xml:space="preserve">PERSONAL ACADEMICO DEFINITIVO INCLUYE: PROFESORES, </t>
  </si>
  <si>
    <t>Titular</t>
  </si>
  <si>
    <t>Asociado</t>
  </si>
  <si>
    <t>Asistente</t>
  </si>
  <si>
    <t>Tiempo Completo</t>
  </si>
  <si>
    <t>Medio Tiempo</t>
  </si>
  <si>
    <t>Tiempo Parcial</t>
  </si>
  <si>
    <r>
      <t xml:space="preserve">PERSONAL ACADÉMICO DEFINITIVO DE </t>
    </r>
    <r>
      <rPr>
        <b/>
        <i/>
        <sz val="12"/>
        <color rgb="FFCC9900"/>
        <rFont val="Calibri"/>
        <family val="2"/>
        <scheme val="minor"/>
      </rPr>
      <t>TIEMPO COMPLETO</t>
    </r>
    <r>
      <rPr>
        <b/>
        <sz val="12"/>
        <color indexed="8"/>
        <rFont val="Calibri"/>
        <family val="2"/>
        <scheme val="minor"/>
      </rPr>
      <t xml:space="preserve"> POR CATEGORÍA</t>
    </r>
  </si>
  <si>
    <r>
      <t>PERSONAL ACADÉMICO DEFINITIVO DE</t>
    </r>
    <r>
      <rPr>
        <b/>
        <sz val="12"/>
        <color rgb="FFCC9900"/>
        <rFont val="Calibri"/>
        <family val="2"/>
        <scheme val="minor"/>
      </rPr>
      <t xml:space="preserve"> </t>
    </r>
    <r>
      <rPr>
        <b/>
        <i/>
        <sz val="12"/>
        <color rgb="FFCC9900"/>
        <rFont val="Calibri"/>
        <family val="2"/>
        <scheme val="minor"/>
      </rPr>
      <t>MEDIO TIEMPO</t>
    </r>
    <r>
      <rPr>
        <b/>
        <sz val="12"/>
        <color indexed="8"/>
        <rFont val="Calibri"/>
        <family val="2"/>
        <scheme val="minor"/>
      </rPr>
      <t xml:space="preserve"> POR CATEGORÍA</t>
    </r>
  </si>
  <si>
    <r>
      <t>PERSONAL ACADÉMICO DEFINITIVO DE</t>
    </r>
    <r>
      <rPr>
        <b/>
        <sz val="12"/>
        <color rgb="FFCC9900"/>
        <rFont val="Calibri"/>
        <family val="2"/>
        <scheme val="minor"/>
      </rPr>
      <t xml:space="preserve"> </t>
    </r>
    <r>
      <rPr>
        <b/>
        <i/>
        <sz val="12"/>
        <color rgb="FFCC9900"/>
        <rFont val="Calibri"/>
        <family val="2"/>
        <scheme val="minor"/>
      </rPr>
      <t>TIEMPO PARCIAL</t>
    </r>
    <r>
      <rPr>
        <b/>
        <sz val="12"/>
        <color indexed="8"/>
        <rFont val="Calibri"/>
        <family val="2"/>
        <scheme val="minor"/>
      </rPr>
      <t xml:space="preserve"> POR CATEGORÍA</t>
    </r>
  </si>
  <si>
    <r>
      <t xml:space="preserve">PERSONAL ACADÉMICO DEFINITIVO </t>
    </r>
    <r>
      <rPr>
        <b/>
        <i/>
        <sz val="12"/>
        <color theme="8" tint="-0.249977111117893"/>
        <rFont val="Calibri"/>
        <family val="2"/>
        <scheme val="minor"/>
      </rPr>
      <t xml:space="preserve"> </t>
    </r>
    <r>
      <rPr>
        <b/>
        <sz val="12"/>
        <rFont val="Calibri"/>
        <family val="2"/>
        <scheme val="minor"/>
      </rPr>
      <t>POR CATEGORÍA (TOTAL)</t>
    </r>
  </si>
  <si>
    <t>Posgrado en Diseño Bioclimático</t>
  </si>
  <si>
    <t>Posgrado en Diseño y Desarrollo de Productos</t>
  </si>
  <si>
    <t>Posgrado en Diseño y Estudios Urbanos</t>
  </si>
  <si>
    <t>Posgrado en Diseño, Planificación y Conservación de Paisajes y Jardines</t>
  </si>
  <si>
    <t>Posgrado en Diseño y Visualización de la Información</t>
  </si>
  <si>
    <t>Posgrado en Diseño para la Rehabilitación, Recuperación y Conservación del Patrimonio Construido</t>
  </si>
  <si>
    <t>Posgrado en Diseño Bioclimatico</t>
  </si>
  <si>
    <r>
      <t>ALUMNOS ATENDIDOS DE</t>
    </r>
    <r>
      <rPr>
        <b/>
        <sz val="12"/>
        <color rgb="FFCC9900"/>
        <rFont val="Arial"/>
        <family val="2"/>
      </rPr>
      <t xml:space="preserve"> LICENCIATURA</t>
    </r>
    <r>
      <rPr>
        <b/>
        <sz val="12"/>
        <rFont val="Arial"/>
        <family val="2"/>
      </rPr>
      <t xml:space="preserve"> POR PERSONAL ACADÉMICO DEFINITIVO </t>
    </r>
    <r>
      <rPr>
        <sz val="10"/>
        <rFont val="Arial"/>
        <family val="2"/>
      </rPr>
      <t>(Activos / PAD)</t>
    </r>
  </si>
  <si>
    <t>3 Tiempo Parcial = 1 Tiempo Completo</t>
  </si>
  <si>
    <t>2 Medio Tiempo = 1 Tiempo Completo</t>
  </si>
  <si>
    <t>Personal academico definitivo estandarizado</t>
  </si>
  <si>
    <t>1 Doctorado = 3 Licenciatura</t>
  </si>
  <si>
    <t>1 Maestría = 2 Licenciatura</t>
  </si>
  <si>
    <t>1 Especialización = 1 Licenciatura</t>
  </si>
  <si>
    <t>Alumnos atendidos de posgrado estandarizados</t>
  </si>
  <si>
    <t>UNIDAD AZCAPOTZALCO 2015</t>
  </si>
  <si>
    <t>UNIDAD CUAJIMALPA 2015</t>
  </si>
  <si>
    <r>
      <rPr>
        <sz val="8"/>
        <color indexed="8"/>
        <rFont val="Calibri"/>
        <family val="2"/>
        <scheme val="minor"/>
      </rPr>
      <t>18/07/2005,</t>
    </r>
    <r>
      <rPr>
        <sz val="11"/>
        <color indexed="8"/>
        <rFont val="Calibri"/>
        <family val="2"/>
        <scheme val="minor"/>
      </rPr>
      <t xml:space="preserve">  18/06/2014</t>
    </r>
  </si>
  <si>
    <t>UNIDAD IZTAPALAPA 2015</t>
  </si>
  <si>
    <t>UNIDAD LERMA 2015</t>
  </si>
  <si>
    <t>UNIDAD XOCHIMILCO 2015</t>
  </si>
  <si>
    <t>vencido</t>
  </si>
  <si>
    <r>
      <t>Planes</t>
    </r>
    <r>
      <rPr>
        <sz val="10"/>
        <color indexed="8"/>
        <rFont val="Arial"/>
        <family val="2"/>
      </rPr>
      <t xml:space="preserve"> Trim.15-O</t>
    </r>
  </si>
  <si>
    <t xml:space="preserve">CIEES en nivel 1  </t>
  </si>
  <si>
    <t>Planes de buena calidad 2015</t>
  </si>
  <si>
    <t>AZCAPOTZALCO 2015</t>
  </si>
  <si>
    <t>NIVEL PNPC</t>
  </si>
  <si>
    <t>Posgrado en Diseño, Planificación y Conservación de Paisajes y Jardines (Especialización)</t>
  </si>
  <si>
    <t>Posgrado en Diseño Bioclimatico (Maestría)</t>
  </si>
  <si>
    <t>Posgrado en Diseño y Desarrollo de Productos (Maestría)</t>
  </si>
  <si>
    <t>Posgrado en Diseño y Estudios Urbanos (Maestría)</t>
  </si>
  <si>
    <t>Posgrado en Diseño, Planificación y Conservación de Paisajes y Jardines (Maestría)</t>
  </si>
  <si>
    <t>Posgrado en Diseño y Visualización de la Información (Maestría)</t>
  </si>
  <si>
    <t>Posgrado en Diseño para la Rehabilitación, Recuperación y Conservación del Patrimonio Construido (Maestría)</t>
  </si>
  <si>
    <t>Posgrado en Diseño Bioclimatico (Doctorado)</t>
  </si>
  <si>
    <t>Posgrado en Diseño y Desarrollo de Productos  (Doctorado)</t>
  </si>
  <si>
    <t>Posgrado en Diseño y Estudios Urbanos (Doctorado)</t>
  </si>
  <si>
    <t>Posgrado en Diseño, Planificación y Conservación de Paisajes y Jardines  (Doctorado)</t>
  </si>
  <si>
    <t>Posgrado en Diseño y Visualización de la Información  (Doctorado)</t>
  </si>
  <si>
    <t>Posgrado en Diseño para la Rehabilitación, Recuperación y Conservación del Patrimonio Construido (Doctorado)</t>
  </si>
  <si>
    <t>CUAJIMALPA 2015</t>
  </si>
  <si>
    <t>IZTAPALAPA 2015</t>
  </si>
  <si>
    <t>XOCHIMILCO 2015</t>
  </si>
  <si>
    <t>INTER-UNIDADES 2015</t>
  </si>
  <si>
    <t>PLANES de estudio de POSGRADO</t>
  </si>
  <si>
    <t>Planes de estudio por nivel 2015</t>
  </si>
  <si>
    <t>Nivel de los planes de estudio en el PNPC 2015</t>
  </si>
  <si>
    <r>
      <t>ALUMNOS ATENDIDOS DE</t>
    </r>
    <r>
      <rPr>
        <b/>
        <sz val="12"/>
        <color rgb="FFCC9900"/>
        <rFont val="Arial"/>
        <family val="2"/>
      </rPr>
      <t xml:space="preserve"> LICENCIATURA Y POSGRADO</t>
    </r>
    <r>
      <rPr>
        <b/>
        <sz val="12"/>
        <rFont val="Arial"/>
        <family val="2"/>
      </rPr>
      <t xml:space="preserve"> POR PERSONAL ACADÉMICO DEFINITIVO </t>
    </r>
    <r>
      <rPr>
        <sz val="10"/>
        <rFont val="Arial"/>
        <family val="2"/>
      </rPr>
      <t>(Activos / PAD)</t>
    </r>
  </si>
  <si>
    <t>Especialización en Diseño, planificación y conservación de paisajes y jardines</t>
  </si>
  <si>
    <t>Doctorado en diseño bioclimático</t>
  </si>
  <si>
    <t>Pagadas en 2015</t>
  </si>
  <si>
    <t>Beca para realizar estudios de Licenciatura  Manutención (antes PRONABES)</t>
  </si>
  <si>
    <t>Beca de servicio social</t>
  </si>
  <si>
    <t xml:space="preserve">Beca para curso de lenguas extranjeras en el D.F., Estado de México o en el extranjero </t>
  </si>
  <si>
    <t>Beca de Movilidad Internacional de alumnos de Licenciatura</t>
  </si>
  <si>
    <t>Beca para estudiantes de licenciatura en Instituciones de Educación Superior en el extranjero en acciones de movilidad en la UAM</t>
  </si>
  <si>
    <t>Beca para realizar estudios de maestría y doctorado en la UAM</t>
  </si>
  <si>
    <t>Beca para participar en Eventos de Difusión y de Investigación en Ciencia y Tecnología</t>
  </si>
  <si>
    <t>Beca de Movilidad Internacional para estudiantes de maestría y doctorado</t>
  </si>
  <si>
    <t>Beca para estudiantes de maestría y doctorado en Instituciones de Educación Superior en el extranjero en acciones de movilidad en la UAM</t>
  </si>
  <si>
    <t>Beca de Estancias Posdoctorales</t>
  </si>
  <si>
    <t>Becas de superación del personal académico</t>
  </si>
  <si>
    <t>Personal Académico</t>
  </si>
  <si>
    <t>ANTROPOLOGIA SOCIAL</t>
  </si>
  <si>
    <t>INGENIERIA EN RECURSOS HIDRICOS</t>
  </si>
  <si>
    <t>PLANEACION TERRITORIAL</t>
  </si>
  <si>
    <t>NUTRICION HUMANA</t>
  </si>
  <si>
    <t>INGENIERIA CIVIL</t>
  </si>
  <si>
    <t>INGENIERIA ELECTRONICA</t>
  </si>
  <si>
    <t>INGENIERIA INDUSTRIAL</t>
  </si>
  <si>
    <t>INGENIERIA METALURGICA</t>
  </si>
  <si>
    <t>INGENIERIA QUIMICA</t>
  </si>
  <si>
    <t>INGENIERIA EN ENERGIA</t>
  </si>
  <si>
    <t>INGENIERIA DE LOS ALIMENTOS</t>
  </si>
  <si>
    <t>POLITICA Y GESTION SOCIAL</t>
  </si>
  <si>
    <t>QUIMICA FARMACEUTICA BIOLOGICA</t>
  </si>
  <si>
    <t>INGENIERIA FÍSICA</t>
  </si>
  <si>
    <t>INGENIERIA BIOLÓGICA</t>
  </si>
  <si>
    <t>Ing. de los Alimentos</t>
  </si>
  <si>
    <t>Doctorado en Diseño y Desarrollo de productos</t>
  </si>
  <si>
    <t>Maestría en Diseño Bioclimático</t>
  </si>
  <si>
    <t>Maestría en Diseño y Desarrollo de productos</t>
  </si>
  <si>
    <t>Maestría en Diseño y Visualización de la Información</t>
  </si>
  <si>
    <t>Maestría en Diseño, Planificación y Conservación de Paisajes y Jardines</t>
  </si>
  <si>
    <t>Doctorado en Ciencias (Energía y Medio Ambiente)</t>
  </si>
  <si>
    <t>Total Pagadas 2015</t>
  </si>
  <si>
    <t>Doctorado en Ciencias Sociales (Sociedad y territorio)</t>
  </si>
  <si>
    <t>Becas de estancias posdoctorales</t>
  </si>
  <si>
    <t>Becas de superación de personal Académico</t>
  </si>
  <si>
    <t>Beca de Servicio Social</t>
  </si>
  <si>
    <t>Becas de Estancias Posdoctorales</t>
  </si>
  <si>
    <t>Becas de Superación del personal Académico</t>
  </si>
  <si>
    <t>Ciencias e Ingeniería Línea Ambiental</t>
  </si>
  <si>
    <t>Ciencias Sociales y Humanidades</t>
  </si>
  <si>
    <t>Economía y Gestión de la Innovación</t>
  </si>
  <si>
    <t>Psicología Social de Grupos e Instituciones</t>
  </si>
  <si>
    <t xml:space="preserve">Desarrollo Rural </t>
  </si>
  <si>
    <t>CYAD</t>
  </si>
  <si>
    <t>Ciencias y Artes para el Diseño</t>
  </si>
  <si>
    <t>Ciencias Farmacéuticas</t>
  </si>
  <si>
    <t>Estudios de la Mujer</t>
  </si>
  <si>
    <t>Ciencias Biológicas y de la Salud</t>
  </si>
  <si>
    <t>Ciencias Sociales</t>
  </si>
  <si>
    <t>Biotecnología</t>
  </si>
  <si>
    <t>Bología Experimental</t>
  </si>
  <si>
    <t>Pagadas en 2014</t>
  </si>
  <si>
    <t>Asignadas 2015</t>
  </si>
  <si>
    <t>Pagadas 2015</t>
  </si>
  <si>
    <t>INGENIERÍA ELECTRICA</t>
  </si>
  <si>
    <t>INGENIERÍA ELECTRONICA</t>
  </si>
  <si>
    <t>INGENIERÍA MECANICA</t>
  </si>
  <si>
    <t>INGENIERÍA METALURGICA</t>
  </si>
  <si>
    <t>INGENIERÍA QUIMICA</t>
  </si>
  <si>
    <t>INGENIERÍA BIOMEDICA</t>
  </si>
  <si>
    <t>INGENIERÍA EN ENERGIA</t>
  </si>
  <si>
    <t>INGENIERÍA HIDROLOGICA</t>
  </si>
  <si>
    <t>INGENIERÍA BIOQUIMICA INDUSTRIAL</t>
  </si>
  <si>
    <t>INGENIERÍA BIOLOGICA</t>
  </si>
  <si>
    <t>INGENIERÍA EN COMPUTACION</t>
  </si>
  <si>
    <t>Doctorado en Diseño (Nuevas Tecnologías)</t>
  </si>
  <si>
    <t>Total Asignadas 2015</t>
  </si>
  <si>
    <t>Becas Pagadas 2013</t>
  </si>
  <si>
    <t>Becas Asignadas 2013</t>
  </si>
  <si>
    <t>Total 2015</t>
  </si>
  <si>
    <t>EFICIENCIA TERMINAL</t>
  </si>
  <si>
    <t>1974-2004</t>
  </si>
  <si>
    <t>EVALUACIÓN DE LOS PLANES DE ESTUDIO DE LICENCIATURA</t>
  </si>
  <si>
    <t>PLANES DE POSGRADO</t>
  </si>
  <si>
    <t>Anexo Estadístico del Informe del Rector General 2015</t>
  </si>
  <si>
    <t>Maestría y Doctorado en Ciencias Económicas</t>
  </si>
  <si>
    <r>
      <t>PRONABES SEP-UAM</t>
    </r>
    <r>
      <rPr>
        <sz val="14"/>
        <rFont val="Arial"/>
        <family val="2"/>
      </rPr>
      <t xml:space="preserve"> </t>
    </r>
    <r>
      <rPr>
        <sz val="12"/>
        <rFont val="Arial"/>
        <family val="2"/>
      </rPr>
      <t>(a partir de 2014 cambia a Becas de Manutención)</t>
    </r>
  </si>
  <si>
    <r>
      <t xml:space="preserve">Beca de movilidad internacional posgrado (alumnos UAM) </t>
    </r>
    <r>
      <rPr>
        <b/>
        <sz val="11"/>
        <color theme="1"/>
        <rFont val="Calibri"/>
        <family val="2"/>
        <scheme val="minor"/>
      </rPr>
      <t>2014</t>
    </r>
  </si>
  <si>
    <r>
      <t xml:space="preserve">Beca de movilidad internacional posgrado (participantes) </t>
    </r>
    <r>
      <rPr>
        <b/>
        <sz val="11"/>
        <color theme="1"/>
        <rFont val="Calibri"/>
        <family val="2"/>
        <scheme val="minor"/>
      </rPr>
      <t>2014</t>
    </r>
  </si>
  <si>
    <t>TOTAL DE ACTIVIDADES EVALUADAS</t>
  </si>
  <si>
    <t>Transparencia</t>
  </si>
  <si>
    <t>Consultas</t>
  </si>
  <si>
    <t>TASA DE CRECIMIENTO  DE CONSULTAS DE LA INFORMACIÓN INSTITUCIONAL</t>
  </si>
  <si>
    <t>Información pública consultada en la página de transparencia en Internet</t>
  </si>
  <si>
    <t>Rubro*</t>
  </si>
  <si>
    <t>Número de consultas</t>
  </si>
  <si>
    <t>Indice de crecimiento</t>
  </si>
  <si>
    <t>Informe de Actividades del  Rector General y Anuarios Estadísticos</t>
  </si>
  <si>
    <t>Directorio de Funcionarios</t>
  </si>
  <si>
    <t xml:space="preserve">Presupuesto de Ingresos y Egresos y Estados Financieros dictaminados e Informe Presupuestal de Ingresos y Egresos </t>
  </si>
  <si>
    <t>Informe de Actividades de los Órganos e Instancias de Apoyo</t>
  </si>
  <si>
    <t>Portal de Transparencia</t>
  </si>
  <si>
    <t>Tabulador de sueldos del Personal Académico y Administrativo</t>
  </si>
  <si>
    <t xml:space="preserve">Estructura Orgánica </t>
  </si>
  <si>
    <t>Contrato Colectivo de Trabajo</t>
  </si>
  <si>
    <t>Lineamientos para el Acceso a la Información de la UAM</t>
  </si>
  <si>
    <t>Becas y Financiamiento Educativo</t>
  </si>
  <si>
    <t>Convocatorias para licitar obras, adquisiciones etc, y contrataciones que se hayan celebrado</t>
  </si>
  <si>
    <t>Marco Normativo</t>
  </si>
  <si>
    <t>Informe de Actividades del Comité de Información y Resolución</t>
  </si>
  <si>
    <r>
      <rPr>
        <i/>
        <sz val="10"/>
        <rFont val="Calibri"/>
        <family val="2"/>
        <scheme val="minor"/>
      </rPr>
      <t>Otros conceptos</t>
    </r>
    <r>
      <rPr>
        <sz val="11"/>
        <rFont val="Calibri"/>
        <family val="2"/>
        <scheme val="minor"/>
      </rPr>
      <t xml:space="preserve"> _ PROMEP</t>
    </r>
  </si>
  <si>
    <t>Resultado de las Auditorias Practicadas</t>
  </si>
  <si>
    <t>Datos de la Oficina de Enlace y Acceso a la Información Universitaria</t>
  </si>
  <si>
    <t xml:space="preserve">Becas y Estímulos del Personal Académico </t>
  </si>
  <si>
    <t>Servicios que ofrece la UAM</t>
  </si>
  <si>
    <t>Cuotas por los servicios que ofrece la UAM</t>
  </si>
  <si>
    <t>Personal Académico y Administrativo contratado</t>
  </si>
  <si>
    <t>Información relevante</t>
  </si>
  <si>
    <t>*Se considera una consulta al ingresar al rubro.</t>
  </si>
  <si>
    <t>FUENTE: Oficina de Enlace y Acceso a la Información</t>
  </si>
  <si>
    <r>
      <t xml:space="preserve">Informe Presupuestal </t>
    </r>
    <r>
      <rPr>
        <i/>
        <u/>
        <sz val="10"/>
        <color rgb="FFFF0000"/>
        <rFont val="Calibri"/>
        <family val="2"/>
        <scheme val="minor"/>
      </rPr>
      <t>(se agrego al rubro anterior a partir del 2011)</t>
    </r>
  </si>
  <si>
    <t>a) Torneos Internos *</t>
  </si>
  <si>
    <t xml:space="preserve"> Ajedrez Tableros</t>
  </si>
  <si>
    <t>Basquetbol Tercias y Two Ball</t>
  </si>
  <si>
    <t>Crossfit</t>
  </si>
  <si>
    <t>Interdivisional</t>
  </si>
  <si>
    <t>Marathón de Sustentabilidad</t>
  </si>
  <si>
    <t>Rally Recreativo de CNI</t>
  </si>
  <si>
    <r>
      <t>Nivel 1:  Al interior de las Unidades Académicas</t>
    </r>
    <r>
      <rPr>
        <b/>
        <sz val="10"/>
        <color rgb="FFFF0000"/>
        <rFont val="Calibri"/>
        <family val="2"/>
        <scheme val="minor"/>
      </rPr>
      <t xml:space="preserve"> 2015</t>
    </r>
  </si>
  <si>
    <r>
      <t xml:space="preserve">Nivel 1:  Al interior de las Unidades Académicas </t>
    </r>
    <r>
      <rPr>
        <b/>
        <sz val="10"/>
        <color rgb="FFFF0000"/>
        <rFont val="Calibri"/>
        <family val="2"/>
        <scheme val="minor"/>
      </rPr>
      <t>2015</t>
    </r>
  </si>
  <si>
    <t>Cua. 23 Sept.</t>
  </si>
  <si>
    <t>Ler. 1 Oct.</t>
  </si>
  <si>
    <t>Azc. 16 Oct.</t>
  </si>
  <si>
    <t>Xoc. 30 Oct.</t>
  </si>
  <si>
    <t>Izt. 13 Nov.</t>
  </si>
  <si>
    <t>Ajedrez,Baloncesto, Fútbol Asociación, Fútbol Bardas, Halterofilia, karate Do, Tae kwon do, Tenis, Tenis de mesa, Voleibol de playa y Voleibol de sala</t>
  </si>
  <si>
    <r>
      <t>Nivel 2: Entre las Unidades académicas</t>
    </r>
    <r>
      <rPr>
        <b/>
        <sz val="10"/>
        <color rgb="FFFF0000"/>
        <rFont val="Calibri"/>
        <family val="2"/>
        <scheme val="minor"/>
      </rPr>
      <t xml:space="preserve"> 2015</t>
    </r>
  </si>
  <si>
    <t>BENEFICIARIOS 2015</t>
  </si>
  <si>
    <t>Fuente: proyectos registrados en el COFON en 2015</t>
  </si>
  <si>
    <t xml:space="preserve"> Maestría en Sociología</t>
  </si>
  <si>
    <t>Becas de Movilidad de Posgrado</t>
  </si>
  <si>
    <t>Beca de movilidad internacional posgrado (participantes)</t>
  </si>
  <si>
    <t>Maestría en Biología de la reproducción animal</t>
  </si>
  <si>
    <t>Beca de movilidad internacional posgrado (alumnos UAM) 2015</t>
  </si>
  <si>
    <r>
      <t xml:space="preserve">Beca de movilidad internacional posgrado </t>
    </r>
    <r>
      <rPr>
        <b/>
        <sz val="11"/>
        <color theme="1"/>
        <rFont val="Calibri"/>
        <family val="2"/>
        <scheme val="minor"/>
      </rPr>
      <t>(participantes)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2015</t>
    </r>
  </si>
  <si>
    <r>
      <t>Beca de movilidad internacional posgrado</t>
    </r>
    <r>
      <rPr>
        <b/>
        <sz val="11"/>
        <color theme="1"/>
        <rFont val="Calibri"/>
        <family val="2"/>
        <scheme val="minor"/>
      </rPr>
      <t xml:space="preserve"> (alumnos UAM)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2015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</si>
</sst>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_([$€-2]* #,##0.00_);_([$€-2]* \(#,##0.00\);_([$€-2]* &quot;-&quot;??_)"/>
    <numFmt numFmtId="167" formatCode="0_);\(0\)"/>
    <numFmt numFmtId="168" formatCode="0.0%"/>
    <numFmt numFmtId="169" formatCode="_(&quot;$&quot;* #,##0.00_);_(&quot;$&quot;* \(#,##0.00\);_(&quot;$&quot;* &quot;-&quot;??_);_(@_)"/>
    <numFmt numFmtId="170" formatCode="&quot;$&quot;#,##0_);[Red]\(&quot;$&quot;#,##0\)"/>
    <numFmt numFmtId="171" formatCode="&quot;$&quot;#.00"/>
    <numFmt numFmtId="172" formatCode="m\o\n\th\ d\,\ \y\y\y\y"/>
    <numFmt numFmtId="173" formatCode="#.00"/>
    <numFmt numFmtId="174" formatCode="#."/>
    <numFmt numFmtId="175" formatCode="%#.00"/>
    <numFmt numFmtId="176" formatCode="\ \ \ \ \ @"/>
    <numFmt numFmtId="177" formatCode="#,##0.0"/>
    <numFmt numFmtId="178" formatCode="_(* #,##0.0_);_(* \(#,##0.0\);_(* &quot;-&quot;??_);_(@_)"/>
    <numFmt numFmtId="179" formatCode="_-* #,##0_-;\-* #,##0_-;_-* &quot;-&quot;??_-;_-@_-"/>
    <numFmt numFmtId="180" formatCode="_(* #,##0_);_(* \(#,##0\);_(* &quot;-&quot;_);_(@_)"/>
    <numFmt numFmtId="181" formatCode="_-* #,##0.0_-;\-* #,##0.0_-;_-* &quot;-&quot;??_-;_-@_-"/>
    <numFmt numFmtId="182" formatCode="0.0"/>
    <numFmt numFmtId="183" formatCode="[$-1540A]dd\ mmmm\,\ yyyy;@"/>
    <numFmt numFmtId="184" formatCode="[$-409]General"/>
  </numFmts>
  <fonts count="31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b/>
      <sz val="8"/>
      <name val="Century Gothic"/>
      <family val="2"/>
    </font>
    <font>
      <sz val="10"/>
      <name val="Century Gothic"/>
      <family val="2"/>
    </font>
    <font>
      <b/>
      <sz val="12"/>
      <name val="Century Gothic"/>
      <family val="2"/>
    </font>
    <font>
      <sz val="8"/>
      <name val="Arial"/>
      <family val="2"/>
    </font>
    <font>
      <sz val="8"/>
      <name val="Century Gothic"/>
      <family val="2"/>
    </font>
    <font>
      <sz val="8"/>
      <name val="Arial"/>
      <family val="2"/>
    </font>
    <font>
      <b/>
      <sz val="13"/>
      <name val="Century Gothic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8"/>
      <color indexed="8"/>
      <name val="Arial"/>
      <family val="2"/>
    </font>
    <font>
      <sz val="9"/>
      <color indexed="8"/>
      <name val="Arial"/>
      <family val="2"/>
    </font>
    <font>
      <u/>
      <sz val="10"/>
      <color indexed="12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2"/>
      <name val="Arial"/>
      <family val="2"/>
    </font>
    <font>
      <b/>
      <sz val="13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b/>
      <sz val="16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u/>
      <sz val="9"/>
      <name val="Arial"/>
      <family val="2"/>
    </font>
    <font>
      <sz val="14"/>
      <name val="Arial"/>
      <family val="2"/>
    </font>
    <font>
      <b/>
      <sz val="11"/>
      <name val="Lucida Sans Unicode"/>
      <family val="2"/>
    </font>
    <font>
      <sz val="10"/>
      <name val="Arial"/>
      <family val="2"/>
    </font>
    <font>
      <sz val="8"/>
      <color indexed="8"/>
      <name val="Century Gothic"/>
      <family val="2"/>
    </font>
    <font>
      <sz val="13"/>
      <name val="Arial"/>
      <family val="2"/>
    </font>
    <font>
      <sz val="16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rgb="FF000000"/>
      <name val="Calibri"/>
      <family val="2"/>
    </font>
    <font>
      <sz val="8"/>
      <color rgb="FF000000"/>
      <name val="Arial"/>
      <family val="2"/>
    </font>
    <font>
      <b/>
      <sz val="14"/>
      <color rgb="FF00000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color rgb="FF000000"/>
      <name val="Calibri"/>
      <family val="2"/>
    </font>
    <font>
      <sz val="11"/>
      <color indexed="8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10"/>
      <color theme="5"/>
      <name val="Arial"/>
      <family val="2"/>
    </font>
    <font>
      <b/>
      <sz val="10"/>
      <color theme="6" tint="-0.249977111117893"/>
      <name val="Arial"/>
      <family val="2"/>
    </font>
    <font>
      <b/>
      <sz val="10"/>
      <color theme="4"/>
      <name val="Arial"/>
      <family val="2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8"/>
      <color theme="10"/>
      <name val="Arial"/>
      <family val="2"/>
    </font>
    <font>
      <sz val="12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name val="Calibri"/>
      <family val="2"/>
    </font>
    <font>
      <b/>
      <sz val="8"/>
      <name val="Calibri"/>
      <family val="2"/>
      <scheme val="minor"/>
    </font>
    <font>
      <b/>
      <sz val="9"/>
      <color theme="0"/>
      <name val="Arial"/>
      <family val="2"/>
    </font>
    <font>
      <sz val="11"/>
      <color theme="4"/>
      <name val="Calibri"/>
      <family val="2"/>
      <scheme val="minor"/>
    </font>
    <font>
      <sz val="10"/>
      <color theme="6" tint="-0.249977111117893"/>
      <name val="Arial"/>
      <family val="2"/>
    </font>
    <font>
      <sz val="11"/>
      <name val="Calibri"/>
      <family val="2"/>
    </font>
    <font>
      <sz val="12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i/>
      <sz val="9"/>
      <name val="Arial"/>
      <family val="2"/>
    </font>
    <font>
      <b/>
      <sz val="14"/>
      <name val="Calibri"/>
      <family val="2"/>
      <scheme val="minor"/>
    </font>
    <font>
      <sz val="10"/>
      <name val="Book Antiqua"/>
      <family val="1"/>
    </font>
    <font>
      <sz val="1"/>
      <color indexed="8"/>
      <name val="Courier"/>
      <family val="3"/>
    </font>
    <font>
      <sz val="10"/>
      <name val="MS Sans Serif"/>
      <family val="2"/>
    </font>
    <font>
      <b/>
      <sz val="1"/>
      <color indexed="8"/>
      <name val="Courier"/>
      <family val="3"/>
    </font>
    <font>
      <u/>
      <sz val="8.8000000000000007"/>
      <color rgb="FF0000FF"/>
      <name val="Calibri"/>
      <family val="2"/>
    </font>
    <font>
      <sz val="11"/>
      <color rgb="FFCD032E"/>
      <name val="Calibri"/>
      <family val="2"/>
      <scheme val="minor"/>
    </font>
    <font>
      <sz val="11"/>
      <color rgb="FFF08200"/>
      <name val="Calibri"/>
      <family val="2"/>
      <scheme val="minor"/>
    </font>
    <font>
      <sz val="11"/>
      <color rgb="FF57A519"/>
      <name val="Calibri"/>
      <family val="2"/>
      <scheme val="minor"/>
    </font>
    <font>
      <sz val="11"/>
      <color rgb="FF0072CE"/>
      <name val="Calibri"/>
      <family val="2"/>
      <scheme val="minor"/>
    </font>
    <font>
      <b/>
      <sz val="12"/>
      <color rgb="FFCD032E"/>
      <name val="Calibri"/>
      <family val="2"/>
      <scheme val="minor"/>
    </font>
    <font>
      <b/>
      <sz val="12"/>
      <color rgb="FF57A519"/>
      <name val="Calibri"/>
      <family val="2"/>
      <scheme val="minor"/>
    </font>
    <font>
      <b/>
      <sz val="12"/>
      <color rgb="FF0072CE"/>
      <name val="Calibri"/>
      <family val="2"/>
      <scheme val="minor"/>
    </font>
    <font>
      <b/>
      <sz val="12"/>
      <color rgb="FFF08200"/>
      <name val="Calibri"/>
      <family val="2"/>
      <scheme val="minor"/>
    </font>
    <font>
      <b/>
      <sz val="12"/>
      <color rgb="FFAD25A8"/>
      <name val="Calibri"/>
      <family val="2"/>
      <scheme val="minor"/>
    </font>
    <font>
      <b/>
      <sz val="11"/>
      <color rgb="FFCD032E"/>
      <name val="Calibri"/>
      <family val="2"/>
      <scheme val="minor"/>
    </font>
    <font>
      <b/>
      <sz val="11"/>
      <color rgb="FFF08200"/>
      <name val="Calibri"/>
      <family val="2"/>
      <scheme val="minor"/>
    </font>
    <font>
      <b/>
      <sz val="11"/>
      <color rgb="FF0072CE"/>
      <name val="Calibri"/>
      <family val="2"/>
      <scheme val="minor"/>
    </font>
    <font>
      <b/>
      <sz val="11"/>
      <color rgb="FFAD25A8"/>
      <name val="Calibri"/>
      <family val="2"/>
      <scheme val="minor"/>
    </font>
    <font>
      <b/>
      <sz val="11"/>
      <color rgb="FF57A519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indexed="8"/>
      <name val="Calibri"/>
      <family val="2"/>
      <scheme val="minor"/>
    </font>
    <font>
      <i/>
      <sz val="10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sz val="11"/>
      <color rgb="FFAD25A8"/>
      <name val="Calibri"/>
      <family val="2"/>
      <scheme val="minor"/>
    </font>
    <font>
      <sz val="11"/>
      <color rgb="FFAD25A8"/>
      <name val="Calibri"/>
      <family val="2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11"/>
      <color theme="6" tint="-0.249977111117893"/>
      <name val="Calibri"/>
      <family val="2"/>
      <scheme val="minor"/>
    </font>
    <font>
      <b/>
      <i/>
      <sz val="13"/>
      <color theme="0" tint="-0.499984740745262"/>
      <name val="Arial"/>
      <family val="2"/>
    </font>
    <font>
      <b/>
      <sz val="11"/>
      <color rgb="FFFF0000"/>
      <name val="Calibri"/>
      <family val="2"/>
      <scheme val="minor"/>
    </font>
    <font>
      <b/>
      <i/>
      <sz val="13"/>
      <color rgb="FFFFC000"/>
      <name val="Arial"/>
      <family val="2"/>
    </font>
    <font>
      <b/>
      <i/>
      <sz val="12"/>
      <color rgb="FFFFC000"/>
      <name val="Arial"/>
      <family val="2"/>
    </font>
    <font>
      <i/>
      <sz val="11"/>
      <name val="Calibri"/>
      <family val="2"/>
      <scheme val="minor"/>
    </font>
    <font>
      <b/>
      <sz val="14"/>
      <color rgb="FFCC9900"/>
      <name val="Calibri"/>
      <family val="2"/>
      <scheme val="minor"/>
    </font>
    <font>
      <b/>
      <i/>
      <sz val="14"/>
      <name val="Arial"/>
      <family val="2"/>
    </font>
    <font>
      <sz val="18"/>
      <color rgb="FF222222"/>
      <name val="Arial"/>
      <family val="2"/>
    </font>
    <font>
      <u/>
      <sz val="11"/>
      <color indexed="12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CD032E"/>
      <name val="Arial"/>
      <family val="2"/>
    </font>
    <font>
      <sz val="8"/>
      <color rgb="FF000000"/>
      <name val="Calibri"/>
      <family val="2"/>
      <scheme val="minor"/>
    </font>
    <font>
      <i/>
      <sz val="8"/>
      <color rgb="FF000000"/>
      <name val="Calibri"/>
      <family val="2"/>
    </font>
    <font>
      <b/>
      <sz val="11"/>
      <color rgb="FF0072D0"/>
      <name val="Calibri"/>
      <family val="2"/>
      <scheme val="minor"/>
    </font>
    <font>
      <b/>
      <i/>
      <sz val="8"/>
      <name val="Calibri"/>
      <family val="2"/>
      <scheme val="minor"/>
    </font>
    <font>
      <sz val="10"/>
      <color rgb="FFF08200"/>
      <name val="Arial"/>
      <family val="2"/>
    </font>
    <font>
      <b/>
      <sz val="10"/>
      <color rgb="FFF08200"/>
      <name val="Arial"/>
      <family val="2"/>
    </font>
    <font>
      <sz val="10"/>
      <color rgb="FFCD032E"/>
      <name val="Arial"/>
      <family val="2"/>
    </font>
    <font>
      <b/>
      <sz val="10"/>
      <color rgb="FFCD032E"/>
      <name val="Arial"/>
      <family val="2"/>
    </font>
    <font>
      <sz val="10"/>
      <color rgb="FF57A519"/>
      <name val="Arial"/>
      <family val="2"/>
    </font>
    <font>
      <b/>
      <sz val="10"/>
      <color rgb="FF57A519"/>
      <name val="Arial"/>
      <family val="2"/>
    </font>
    <font>
      <sz val="10"/>
      <color rgb="FF0072CE"/>
      <name val="Arial"/>
      <family val="2"/>
    </font>
    <font>
      <b/>
      <sz val="10"/>
      <color rgb="FF0072CE"/>
      <name val="Arial"/>
      <family val="2"/>
    </font>
    <font>
      <sz val="10"/>
      <color rgb="FFAD25A8"/>
      <name val="Arial"/>
      <family val="2"/>
    </font>
    <font>
      <b/>
      <sz val="10"/>
      <color rgb="FFAD25A8"/>
      <name val="Arial"/>
      <family val="2"/>
    </font>
    <font>
      <b/>
      <sz val="11"/>
      <color theme="1" tint="0.499984740745262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0"/>
      <name val="Arial"/>
      <family val="2"/>
    </font>
    <font>
      <b/>
      <i/>
      <sz val="10"/>
      <name val="Arial"/>
      <family val="2"/>
    </font>
    <font>
      <b/>
      <sz val="12"/>
      <color rgb="FFCC9900"/>
      <name val="Arial"/>
      <family val="2"/>
    </font>
    <font>
      <sz val="7"/>
      <name val="Times New Roman"/>
      <family val="1"/>
    </font>
    <font>
      <sz val="8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FF0000"/>
      <name val="Arial"/>
      <family val="2"/>
    </font>
    <font>
      <sz val="11"/>
      <color theme="1"/>
      <name val="Arial"/>
      <family val="2"/>
    </font>
    <font>
      <b/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5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b/>
      <sz val="10"/>
      <color theme="6" tint="-0.249977111117893"/>
      <name val="Calibri"/>
      <family val="2"/>
      <scheme val="minor"/>
    </font>
    <font>
      <b/>
      <sz val="10"/>
      <color theme="4"/>
      <name val="Calibri"/>
      <family val="2"/>
      <scheme val="minor"/>
    </font>
    <font>
      <sz val="12"/>
      <color rgb="FFCD032E"/>
      <name val="Calibri"/>
      <family val="2"/>
      <scheme val="minor"/>
    </font>
    <font>
      <sz val="12"/>
      <color rgb="FFF08200"/>
      <name val="Calibri"/>
      <family val="2"/>
      <scheme val="minor"/>
    </font>
    <font>
      <sz val="12"/>
      <color rgb="FF57A519"/>
      <name val="Calibri"/>
      <family val="2"/>
      <scheme val="minor"/>
    </font>
    <font>
      <sz val="12"/>
      <color rgb="FF0072CE"/>
      <name val="Calibri"/>
      <family val="2"/>
      <scheme val="minor"/>
    </font>
    <font>
      <b/>
      <sz val="9"/>
      <color indexed="8"/>
      <name val="Arial"/>
      <family val="2"/>
    </font>
    <font>
      <b/>
      <sz val="10"/>
      <color theme="1"/>
      <name val="Arial"/>
      <family val="2"/>
    </font>
    <font>
      <b/>
      <sz val="8"/>
      <color indexed="8"/>
      <name val="Arial"/>
      <family val="2"/>
    </font>
    <font>
      <b/>
      <sz val="10"/>
      <color theme="9"/>
      <name val="Arial"/>
      <family val="2"/>
    </font>
    <font>
      <b/>
      <sz val="10"/>
      <color theme="7"/>
      <name val="Arial"/>
      <family val="2"/>
    </font>
    <font>
      <b/>
      <sz val="11"/>
      <color theme="0"/>
      <name val="Calibri"/>
      <family val="2"/>
      <scheme val="minor"/>
    </font>
    <font>
      <sz val="9"/>
      <name val="Calibri"/>
      <family val="2"/>
    </font>
    <font>
      <b/>
      <sz val="9"/>
      <name val="Calibri"/>
      <family val="2"/>
    </font>
    <font>
      <sz val="11"/>
      <color theme="9" tint="-0.249977111117893"/>
      <name val="Calibri"/>
      <family val="2"/>
      <scheme val="minor"/>
    </font>
    <font>
      <sz val="11"/>
      <color theme="6" tint="-0.249977111117893"/>
      <name val="Calibri"/>
      <family val="2"/>
      <scheme val="minor"/>
    </font>
    <font>
      <b/>
      <sz val="9"/>
      <name val="Calibri"/>
      <family val="2"/>
      <scheme val="minor"/>
    </font>
    <font>
      <sz val="8"/>
      <color theme="5"/>
      <name val="Arial"/>
      <family val="2"/>
    </font>
    <font>
      <sz val="8"/>
      <color rgb="FFFF0000"/>
      <name val="Arial"/>
      <family val="2"/>
    </font>
    <font>
      <sz val="8"/>
      <color rgb="FFFF0000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i/>
      <sz val="10"/>
      <color theme="9" tint="-0.249977111117893"/>
      <name val="Calibri"/>
      <family val="2"/>
      <scheme val="minor"/>
    </font>
    <font>
      <b/>
      <sz val="10"/>
      <color theme="9" tint="-0.249977111117893"/>
      <name val="Arial"/>
      <family val="2"/>
    </font>
    <font>
      <i/>
      <sz val="10"/>
      <name val="Calibri"/>
      <family val="2"/>
      <scheme val="minor"/>
    </font>
    <font>
      <i/>
      <sz val="9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b/>
      <sz val="16"/>
      <name val="Calibri"/>
      <family val="2"/>
      <scheme val="minor"/>
    </font>
    <font>
      <sz val="36"/>
      <name val="Arial"/>
      <family val="2"/>
    </font>
    <font>
      <i/>
      <sz val="36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C0504D"/>
      <name val="Arial"/>
      <family val="2"/>
    </font>
    <font>
      <sz val="10"/>
      <color rgb="FFE46C0A"/>
      <name val="Arial"/>
      <family val="2"/>
    </font>
    <font>
      <sz val="10"/>
      <color rgb="FF77933C"/>
      <name val="Arial"/>
      <family val="2"/>
    </font>
    <font>
      <sz val="10"/>
      <color rgb="FF4F81BD"/>
      <name val="Arial"/>
      <family val="2"/>
    </font>
    <font>
      <sz val="10"/>
      <color theme="7"/>
      <name val="Arial"/>
      <family val="2"/>
    </font>
    <font>
      <sz val="14"/>
      <color rgb="FFFF0000"/>
      <name val="Arial"/>
      <family val="2"/>
    </font>
    <font>
      <sz val="10"/>
      <color rgb="FFCC9900"/>
      <name val="Arial"/>
      <family val="2"/>
    </font>
    <font>
      <sz val="10"/>
      <color theme="0" tint="-0.14999847407452621"/>
      <name val="Arial"/>
      <family val="2"/>
    </font>
    <font>
      <sz val="11"/>
      <color theme="0" tint="-0.14999847407452621"/>
      <name val="Arial"/>
      <family val="2"/>
    </font>
    <font>
      <sz val="11"/>
      <color theme="0" tint="-0.1499984740745262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0" tint="-0.14999847407452621"/>
      <name val="Arial"/>
      <family val="2"/>
    </font>
    <font>
      <b/>
      <sz val="14"/>
      <color indexed="8"/>
      <name val="Calibri"/>
      <family val="2"/>
      <scheme val="minor"/>
    </font>
    <font>
      <sz val="9"/>
      <color rgb="FF000000"/>
      <name val="Arial"/>
      <family val="2"/>
    </font>
    <font>
      <b/>
      <sz val="12"/>
      <color indexed="8"/>
      <name val="Calibri"/>
      <family val="2"/>
      <scheme val="minor"/>
    </font>
    <font>
      <b/>
      <i/>
      <sz val="12"/>
      <color rgb="FFCC9900"/>
      <name val="Calibri"/>
      <family val="2"/>
      <scheme val="minor"/>
    </font>
    <font>
      <b/>
      <i/>
      <sz val="12"/>
      <color theme="8" tint="-0.249977111117893"/>
      <name val="Calibri"/>
      <family val="2"/>
      <scheme val="minor"/>
    </font>
    <font>
      <b/>
      <sz val="12"/>
      <color rgb="FFCC9900"/>
      <name val="Calibri"/>
      <family val="2"/>
      <scheme val="minor"/>
    </font>
    <font>
      <b/>
      <sz val="14"/>
      <color indexed="8"/>
      <name val="Calibri"/>
      <family val="2"/>
    </font>
    <font>
      <sz val="11"/>
      <color theme="0" tint="-0.249977111117893"/>
      <name val="Calibri"/>
      <family val="2"/>
      <scheme val="minor"/>
    </font>
    <font>
      <sz val="10"/>
      <color theme="0" tint="-0.249977111117893"/>
      <name val="Arial"/>
      <family val="2"/>
    </font>
    <font>
      <sz val="10"/>
      <color theme="0" tint="-0.34998626667073579"/>
      <name val="Arial"/>
      <family val="2"/>
    </font>
    <font>
      <sz val="11"/>
      <color theme="0" tint="-0.34998626667073579"/>
      <name val="Calibri"/>
      <family val="2"/>
    </font>
    <font>
      <sz val="10"/>
      <color theme="0" tint="-0.499984740745262"/>
      <name val="Arial"/>
      <family val="2"/>
    </font>
    <font>
      <b/>
      <i/>
      <sz val="12"/>
      <color theme="0"/>
      <name val="Calibri"/>
      <family val="2"/>
      <scheme val="minor"/>
    </font>
    <font>
      <sz val="10"/>
      <color rgb="FFCD032E"/>
      <name val="Calibri"/>
      <family val="2"/>
      <scheme val="minor"/>
    </font>
    <font>
      <sz val="8"/>
      <color rgb="FFCD032E"/>
      <name val="Calibri"/>
      <family val="2"/>
      <scheme val="minor"/>
    </font>
    <font>
      <sz val="10"/>
      <color rgb="FF57A519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rgb="FF57A519"/>
      <name val="Calibri"/>
      <family val="2"/>
      <scheme val="minor"/>
    </font>
    <font>
      <sz val="10"/>
      <color rgb="FF0072CE"/>
      <name val="Calibri"/>
      <family val="2"/>
      <scheme val="minor"/>
    </font>
    <font>
      <sz val="9"/>
      <color rgb="FFCD032E"/>
      <name val="Calibri"/>
      <family val="2"/>
      <scheme val="minor"/>
    </font>
    <font>
      <b/>
      <sz val="9"/>
      <color rgb="FFCD032E"/>
      <name val="Calibri"/>
      <family val="2"/>
      <scheme val="minor"/>
    </font>
    <font>
      <b/>
      <sz val="9"/>
      <color rgb="FFF08200"/>
      <name val="Calibri"/>
      <family val="2"/>
      <scheme val="minor"/>
    </font>
    <font>
      <b/>
      <sz val="9"/>
      <color rgb="FF57A519"/>
      <name val="Calibri"/>
      <family val="2"/>
      <scheme val="minor"/>
    </font>
    <font>
      <b/>
      <sz val="9"/>
      <color rgb="FFAD25A8"/>
      <name val="Calibri"/>
      <family val="2"/>
      <scheme val="minor"/>
    </font>
    <font>
      <b/>
      <sz val="9"/>
      <color rgb="FF0072CE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sz val="12"/>
      <color rgb="FFAD25A8"/>
      <name val="Calibri"/>
      <family val="2"/>
      <scheme val="minor"/>
    </font>
    <font>
      <b/>
      <i/>
      <sz val="12"/>
      <color theme="1"/>
      <name val="Arial"/>
      <family val="2"/>
    </font>
    <font>
      <i/>
      <u/>
      <sz val="1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sz val="8"/>
      <name val="Helv"/>
    </font>
    <font>
      <sz val="12"/>
      <color indexed="8"/>
      <name val="Verdana"/>
      <family val="2"/>
    </font>
    <font>
      <sz val="11"/>
      <color rgb="FF000000"/>
      <name val="Calibri"/>
      <family val="2"/>
      <charset val="1"/>
    </font>
    <font>
      <b/>
      <sz val="11"/>
      <color theme="1" tint="0.249977111117893"/>
      <name val="Calibri"/>
      <family val="2"/>
      <scheme val="minor"/>
    </font>
    <font>
      <b/>
      <sz val="9"/>
      <color rgb="FFFF0000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D9D9D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D032E"/>
        <bgColor indexed="64"/>
      </patternFill>
    </fill>
    <fill>
      <patternFill patternType="solid">
        <fgColor rgb="FFF08200"/>
        <bgColor indexed="64"/>
      </patternFill>
    </fill>
    <fill>
      <patternFill patternType="solid">
        <fgColor rgb="FF57A51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AD25A8"/>
        <bgColor indexed="64"/>
      </patternFill>
    </fill>
    <fill>
      <patternFill patternType="solid">
        <fgColor rgb="FF0072CE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</fills>
  <borders count="20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/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/>
      <right/>
      <top style="thin">
        <color rgb="FF000000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indexed="64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14996795556505021"/>
      </top>
      <bottom/>
      <diagonal/>
    </border>
    <border>
      <left style="thin">
        <color indexed="64"/>
      </left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/>
      <diagonal/>
    </border>
    <border>
      <left style="thin">
        <color indexed="64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indexed="64"/>
      </left>
      <right/>
      <top style="thin">
        <color theme="0" tint="-0.14993743705557422"/>
      </top>
      <bottom style="thin">
        <color theme="0" tint="-0.14996795556505021"/>
      </bottom>
      <diagonal/>
    </border>
    <border>
      <left/>
      <right/>
      <top style="thin">
        <color theme="0" tint="-0.14993743705557422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indexed="64"/>
      </left>
      <right style="thin">
        <color indexed="64"/>
      </right>
      <top style="thin">
        <color theme="0" tint="-0.14993743705557422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indexed="64"/>
      </left>
      <right/>
      <top/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thin">
        <color indexed="64"/>
      </right>
      <top/>
      <bottom style="thin">
        <color theme="0" tint="-0.1499679555650502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theme="0" tint="-0.24994659260841701"/>
      </bottom>
      <diagonal/>
    </border>
    <border>
      <left style="thin">
        <color rgb="FF000000"/>
      </left>
      <right style="thin">
        <color rgb="FF000000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000000"/>
      </left>
      <right style="thin">
        <color rgb="FF000000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tted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hair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tted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tted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dotted">
        <color indexed="64"/>
      </bottom>
      <diagonal/>
    </border>
    <border>
      <left style="hair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hair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dotted">
        <color indexed="64"/>
      </top>
      <bottom/>
      <diagonal/>
    </border>
    <border>
      <left style="thin">
        <color indexed="64"/>
      </left>
      <right style="hair">
        <color indexed="64"/>
      </right>
      <top style="dotted">
        <color indexed="64"/>
      </top>
      <bottom/>
      <diagonal/>
    </border>
    <border>
      <left style="hair">
        <color indexed="64"/>
      </left>
      <right style="hair">
        <color indexed="64"/>
      </right>
      <top style="dotted">
        <color indexed="64"/>
      </top>
      <bottom/>
      <diagonal/>
    </border>
    <border>
      <left style="hair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hair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tted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/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/>
      <top/>
      <bottom style="thin">
        <color theme="0" tint="-0.34998626667073579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3499862666707357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indexed="22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</borders>
  <cellStyleXfs count="3809">
    <xf numFmtId="0" fontId="0" fillId="0" borderId="0"/>
    <xf numFmtId="0" fontId="73" fillId="2" borderId="0" applyNumberFormat="0" applyBorder="0" applyAlignment="0" applyProtection="0"/>
    <xf numFmtId="0" fontId="73" fillId="3" borderId="0" applyNumberFormat="0" applyBorder="0" applyAlignment="0" applyProtection="0"/>
    <xf numFmtId="0" fontId="73" fillId="4" borderId="0" applyNumberFormat="0" applyBorder="0" applyAlignment="0" applyProtection="0"/>
    <xf numFmtId="0" fontId="73" fillId="5" borderId="0" applyNumberFormat="0" applyBorder="0" applyAlignment="0" applyProtection="0"/>
    <xf numFmtId="0" fontId="73" fillId="6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73" fillId="3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6" borderId="0" applyNumberFormat="0" applyBorder="0" applyAlignment="0" applyProtection="0"/>
    <xf numFmtId="0" fontId="73" fillId="4" borderId="0" applyNumberFormat="0" applyBorder="0" applyAlignment="0" applyProtection="0"/>
    <xf numFmtId="0" fontId="74" fillId="6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8" borderId="0" applyNumberFormat="0" applyBorder="0" applyAlignment="0" applyProtection="0"/>
    <xf numFmtId="0" fontId="74" fillId="6" borderId="0" applyNumberFormat="0" applyBorder="0" applyAlignment="0" applyProtection="0"/>
    <xf numFmtId="0" fontId="74" fillId="3" borderId="0" applyNumberFormat="0" applyBorder="0" applyAlignment="0" applyProtection="0"/>
    <xf numFmtId="0" fontId="75" fillId="6" borderId="0" applyNumberFormat="0" applyBorder="0" applyAlignment="0" applyProtection="0"/>
    <xf numFmtId="0" fontId="76" fillId="11" borderId="1" applyNumberFormat="0" applyAlignment="0" applyProtection="0"/>
    <xf numFmtId="0" fontId="77" fillId="12" borderId="2" applyNumberFormat="0" applyAlignment="0" applyProtection="0"/>
    <xf numFmtId="0" fontId="78" fillId="0" borderId="3" applyNumberFormat="0" applyFill="0" applyAlignment="0" applyProtection="0"/>
    <xf numFmtId="0" fontId="79" fillId="0" borderId="0" applyNumberFormat="0" applyFill="0" applyBorder="0" applyAlignment="0" applyProtection="0"/>
    <xf numFmtId="0" fontId="74" fillId="13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6" borderId="0" applyNumberFormat="0" applyBorder="0" applyAlignment="0" applyProtection="0"/>
    <xf numFmtId="0" fontId="80" fillId="7" borderId="1" applyNumberFormat="0" applyAlignment="0" applyProtection="0"/>
    <xf numFmtId="166" fontId="59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1" fillId="17" borderId="0" applyNumberFormat="0" applyBorder="0" applyAlignment="0" applyProtection="0"/>
    <xf numFmtId="43" fontId="5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0" fontId="82" fillId="7" borderId="0" applyNumberFormat="0" applyBorder="0" applyAlignment="0" applyProtection="0"/>
    <xf numFmtId="0" fontId="59" fillId="0" borderId="0"/>
    <xf numFmtId="0" fontId="73" fillId="0" borderId="0"/>
    <xf numFmtId="0" fontId="111" fillId="0" borderId="0"/>
    <xf numFmtId="0" fontId="59" fillId="0" borderId="0"/>
    <xf numFmtId="0" fontId="89" fillId="0" borderId="0"/>
    <xf numFmtId="0" fontId="73" fillId="0" borderId="0"/>
    <xf numFmtId="0" fontId="89" fillId="0" borderId="0"/>
    <xf numFmtId="0" fontId="89" fillId="0" borderId="0"/>
    <xf numFmtId="0" fontId="5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59" fillId="4" borderId="4" applyNumberFormat="0" applyFont="0" applyAlignment="0" applyProtection="0"/>
    <xf numFmtId="9" fontId="58" fillId="0" borderId="0" applyFont="0" applyFill="0" applyBorder="0" applyAlignment="0" applyProtection="0"/>
    <xf numFmtId="0" fontId="83" fillId="11" borderId="5" applyNumberFormat="0" applyAlignment="0" applyProtection="0"/>
    <xf numFmtId="0" fontId="78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6" applyNumberFormat="0" applyFill="0" applyAlignment="0" applyProtection="0"/>
    <xf numFmtId="0" fontId="87" fillId="0" borderId="7" applyNumberFormat="0" applyFill="0" applyAlignment="0" applyProtection="0"/>
    <xf numFmtId="0" fontId="79" fillId="0" borderId="8" applyNumberFormat="0" applyFill="0" applyAlignment="0" applyProtection="0"/>
    <xf numFmtId="0" fontId="88" fillId="0" borderId="9" applyNumberFormat="0" applyFill="0" applyAlignment="0" applyProtection="0"/>
    <xf numFmtId="0" fontId="58" fillId="0" borderId="0"/>
    <xf numFmtId="43" fontId="58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43" fontId="123" fillId="0" borderId="0" applyFont="0" applyFill="0" applyBorder="0" applyAlignment="0" applyProtection="0"/>
    <xf numFmtId="0" fontId="73" fillId="0" borderId="0"/>
    <xf numFmtId="0" fontId="57" fillId="0" borderId="0"/>
    <xf numFmtId="0" fontId="55" fillId="0" borderId="0"/>
    <xf numFmtId="0" fontId="54" fillId="0" borderId="0"/>
    <xf numFmtId="0" fontId="53" fillId="0" borderId="0"/>
    <xf numFmtId="164" fontId="53" fillId="0" borderId="0" applyFont="0" applyFill="0" applyBorder="0" applyAlignment="0" applyProtection="0"/>
    <xf numFmtId="43" fontId="58" fillId="0" borderId="0" applyFont="0" applyFill="0" applyBorder="0" applyAlignment="0" applyProtection="0"/>
    <xf numFmtId="0" fontId="53" fillId="0" borderId="0"/>
    <xf numFmtId="9" fontId="53" fillId="0" borderId="0" applyFont="0" applyFill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4" fillId="6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8" borderId="0" applyNumberFormat="0" applyBorder="0" applyAlignment="0" applyProtection="0"/>
    <xf numFmtId="0" fontId="74" fillId="6" borderId="0" applyNumberFormat="0" applyBorder="0" applyAlignment="0" applyProtection="0"/>
    <xf numFmtId="0" fontId="74" fillId="3" borderId="0" applyNumberFormat="0" applyBorder="0" applyAlignment="0" applyProtection="0"/>
    <xf numFmtId="0" fontId="75" fillId="6" borderId="0" applyNumberFormat="0" applyBorder="0" applyAlignment="0" applyProtection="0"/>
    <xf numFmtId="0" fontId="76" fillId="11" borderId="1" applyNumberFormat="0" applyAlignment="0" applyProtection="0"/>
    <xf numFmtId="0" fontId="77" fillId="12" borderId="2" applyNumberFormat="0" applyAlignment="0" applyProtection="0"/>
    <xf numFmtId="0" fontId="78" fillId="0" borderId="3" applyNumberFormat="0" applyFill="0" applyAlignment="0" applyProtection="0"/>
    <xf numFmtId="0" fontId="79" fillId="0" borderId="0" applyNumberFormat="0" applyFill="0" applyBorder="0" applyAlignment="0" applyProtection="0"/>
    <xf numFmtId="0" fontId="74" fillId="13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6" borderId="0" applyNumberFormat="0" applyBorder="0" applyAlignment="0" applyProtection="0"/>
    <xf numFmtId="0" fontId="80" fillId="7" borderId="1" applyNumberFormat="0" applyAlignment="0" applyProtection="0"/>
    <xf numFmtId="0" fontId="81" fillId="17" borderId="0" applyNumberFormat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51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58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58" fillId="0" borderId="0" applyFont="0" applyFill="0" applyBorder="0" applyAlignment="0" applyProtection="0"/>
    <xf numFmtId="169" fontId="73" fillId="0" borderId="0" applyFont="0" applyFill="0" applyBorder="0" applyAlignment="0" applyProtection="0"/>
    <xf numFmtId="169" fontId="73" fillId="0" borderId="0" applyFont="0" applyFill="0" applyBorder="0" applyAlignment="0" applyProtection="0"/>
    <xf numFmtId="0" fontId="82" fillId="7" borderId="0" applyNumberFormat="0" applyBorder="0" applyAlignment="0" applyProtection="0"/>
    <xf numFmtId="0" fontId="51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51" fillId="0" borderId="0"/>
    <xf numFmtId="0" fontId="51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51" fillId="0" borderId="0"/>
    <xf numFmtId="0" fontId="51" fillId="0" borderId="0"/>
    <xf numFmtId="0" fontId="51" fillId="0" borderId="0"/>
    <xf numFmtId="0" fontId="58" fillId="4" borderId="4" applyNumberFormat="0" applyFont="0" applyAlignment="0" applyProtection="0"/>
    <xf numFmtId="9" fontId="51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3" fillId="11" borderId="5" applyNumberFormat="0" applyAlignment="0" applyProtection="0"/>
    <xf numFmtId="0" fontId="78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6" fillId="0" borderId="6" applyNumberFormat="0" applyFill="0" applyAlignment="0" applyProtection="0"/>
    <xf numFmtId="0" fontId="87" fillId="0" borderId="7" applyNumberFormat="0" applyFill="0" applyAlignment="0" applyProtection="0"/>
    <xf numFmtId="0" fontId="79" fillId="0" borderId="8" applyNumberFormat="0" applyFill="0" applyAlignment="0" applyProtection="0"/>
    <xf numFmtId="0" fontId="85" fillId="0" borderId="0" applyNumberFormat="0" applyFill="0" applyBorder="0" applyAlignment="0" applyProtection="0"/>
    <xf numFmtId="0" fontId="88" fillId="0" borderId="9" applyNumberFormat="0" applyFill="0" applyAlignment="0" applyProtection="0"/>
    <xf numFmtId="0" fontId="50" fillId="0" borderId="0"/>
    <xf numFmtId="164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58" fillId="0" borderId="0"/>
    <xf numFmtId="0" fontId="48" fillId="0" borderId="0"/>
    <xf numFmtId="0" fontId="48" fillId="0" borderId="0"/>
    <xf numFmtId="9" fontId="48" fillId="0" borderId="0" applyFont="0" applyFill="0" applyBorder="0" applyAlignment="0" applyProtection="0"/>
    <xf numFmtId="0" fontId="73" fillId="2" borderId="0" applyNumberFormat="0" applyBorder="0" applyAlignment="0" applyProtection="0"/>
    <xf numFmtId="0" fontId="73" fillId="3" borderId="0" applyNumberFormat="0" applyBorder="0" applyAlignment="0" applyProtection="0"/>
    <xf numFmtId="0" fontId="73" fillId="4" borderId="0" applyNumberFormat="0" applyBorder="0" applyAlignment="0" applyProtection="0"/>
    <xf numFmtId="0" fontId="73" fillId="5" borderId="0" applyNumberFormat="0" applyBorder="0" applyAlignment="0" applyProtection="0"/>
    <xf numFmtId="0" fontId="73" fillId="6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73" fillId="3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6" borderId="0" applyNumberFormat="0" applyBorder="0" applyAlignment="0" applyProtection="0"/>
    <xf numFmtId="0" fontId="73" fillId="4" borderId="0" applyNumberFormat="0" applyBorder="0" applyAlignment="0" applyProtection="0"/>
    <xf numFmtId="0" fontId="74" fillId="6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8" borderId="0" applyNumberFormat="0" applyBorder="0" applyAlignment="0" applyProtection="0"/>
    <xf numFmtId="0" fontId="74" fillId="6" borderId="0" applyNumberFormat="0" applyBorder="0" applyAlignment="0" applyProtection="0"/>
    <xf numFmtId="0" fontId="74" fillId="3" borderId="0" applyNumberFormat="0" applyBorder="0" applyAlignment="0" applyProtection="0"/>
    <xf numFmtId="0" fontId="75" fillId="6" borderId="0" applyNumberFormat="0" applyBorder="0" applyAlignment="0" applyProtection="0"/>
    <xf numFmtId="0" fontId="76" fillId="11" borderId="1" applyNumberFormat="0" applyAlignment="0" applyProtection="0"/>
    <xf numFmtId="0" fontId="77" fillId="12" borderId="2" applyNumberFormat="0" applyAlignment="0" applyProtection="0"/>
    <xf numFmtId="0" fontId="78" fillId="0" borderId="3" applyNumberFormat="0" applyFill="0" applyAlignment="0" applyProtection="0"/>
    <xf numFmtId="0" fontId="79" fillId="0" borderId="0" applyNumberFormat="0" applyFill="0" applyBorder="0" applyAlignment="0" applyProtection="0"/>
    <xf numFmtId="0" fontId="74" fillId="13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6" borderId="0" applyNumberFormat="0" applyBorder="0" applyAlignment="0" applyProtection="0"/>
    <xf numFmtId="0" fontId="80" fillId="7" borderId="1" applyNumberFormat="0" applyAlignment="0" applyProtection="0"/>
    <xf numFmtId="166" fontId="58" fillId="0" borderId="0" applyFont="0" applyFill="0" applyBorder="0" applyAlignment="0" applyProtection="0"/>
    <xf numFmtId="0" fontId="81" fillId="17" borderId="0" applyNumberFormat="0" applyBorder="0" applyAlignment="0" applyProtection="0"/>
    <xf numFmtId="44" fontId="58" fillId="0" borderId="0" applyFont="0" applyFill="0" applyBorder="0" applyAlignment="0" applyProtection="0"/>
    <xf numFmtId="0" fontId="82" fillId="7" borderId="0" applyNumberFormat="0" applyBorder="0" applyAlignment="0" applyProtection="0"/>
    <xf numFmtId="0" fontId="58" fillId="0" borderId="0"/>
    <xf numFmtId="0" fontId="58" fillId="4" borderId="4" applyNumberFormat="0" applyFont="0" applyAlignment="0" applyProtection="0"/>
    <xf numFmtId="9" fontId="58" fillId="0" borderId="0" applyFont="0" applyFill="0" applyBorder="0" applyAlignment="0" applyProtection="0"/>
    <xf numFmtId="0" fontId="83" fillId="11" borderId="5" applyNumberFormat="0" applyAlignment="0" applyProtection="0"/>
    <xf numFmtId="0" fontId="78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6" applyNumberFormat="0" applyFill="0" applyAlignment="0" applyProtection="0"/>
    <xf numFmtId="0" fontId="87" fillId="0" borderId="7" applyNumberFormat="0" applyFill="0" applyAlignment="0" applyProtection="0"/>
    <xf numFmtId="0" fontId="79" fillId="0" borderId="8" applyNumberFormat="0" applyFill="0" applyAlignment="0" applyProtection="0"/>
    <xf numFmtId="0" fontId="88" fillId="0" borderId="9" applyNumberFormat="0" applyFill="0" applyAlignment="0" applyProtection="0"/>
    <xf numFmtId="43" fontId="5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4" fontId="48" fillId="0" borderId="0" applyFont="0" applyFill="0" applyBorder="0" applyAlignment="0" applyProtection="0"/>
    <xf numFmtId="0" fontId="48" fillId="0" borderId="0"/>
    <xf numFmtId="9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9" fontId="48" fillId="0" borderId="0" applyFont="0" applyFill="0" applyBorder="0" applyAlignment="0" applyProtection="0"/>
    <xf numFmtId="0" fontId="48" fillId="0" borderId="0"/>
    <xf numFmtId="164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48" fillId="0" borderId="0"/>
    <xf numFmtId="164" fontId="48" fillId="0" borderId="0" applyFont="0" applyFill="0" applyBorder="0" applyAlignment="0" applyProtection="0"/>
    <xf numFmtId="0" fontId="47" fillId="0" borderId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5" fillId="0" borderId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4" fontId="150" fillId="0" borderId="0">
      <protection locked="0"/>
    </xf>
    <xf numFmtId="38" fontId="151" fillId="0" borderId="0" applyFont="0" applyFill="0" applyBorder="0" applyAlignment="0" applyProtection="0"/>
    <xf numFmtId="171" fontId="150" fillId="0" borderId="0">
      <protection locked="0"/>
    </xf>
    <xf numFmtId="170" fontId="151" fillId="0" borderId="0" applyFont="0" applyFill="0" applyBorder="0" applyAlignment="0" applyProtection="0"/>
    <xf numFmtId="172" fontId="150" fillId="0" borderId="0">
      <protection locked="0"/>
    </xf>
    <xf numFmtId="173" fontId="150" fillId="0" borderId="0">
      <protection locked="0"/>
    </xf>
    <xf numFmtId="174" fontId="152" fillId="0" borderId="0">
      <protection locked="0"/>
    </xf>
    <xf numFmtId="174" fontId="152" fillId="0" borderId="0">
      <protection locked="0"/>
    </xf>
    <xf numFmtId="0" fontId="153" fillId="0" borderId="0" applyNumberFormat="0" applyFill="0" applyBorder="0" applyAlignment="0" applyProtection="0">
      <alignment vertical="top"/>
      <protection locked="0"/>
    </xf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164" fontId="45" fillId="0" borderId="0" applyFont="0" applyFill="0" applyBorder="0" applyAlignment="0" applyProtection="0"/>
    <xf numFmtId="0" fontId="45" fillId="0" borderId="0"/>
    <xf numFmtId="0" fontId="45" fillId="0" borderId="0"/>
    <xf numFmtId="0" fontId="58" fillId="0" borderId="0"/>
    <xf numFmtId="0" fontId="149" fillId="0" borderId="0"/>
    <xf numFmtId="0" fontId="58" fillId="0" borderId="0"/>
    <xf numFmtId="0" fontId="58" fillId="0" borderId="0"/>
    <xf numFmtId="0" fontId="73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8" fillId="0" borderId="0"/>
    <xf numFmtId="0" fontId="45" fillId="0" borderId="0"/>
    <xf numFmtId="0" fontId="45" fillId="0" borderId="0"/>
    <xf numFmtId="0" fontId="58" fillId="0" borderId="0"/>
    <xf numFmtId="0" fontId="45" fillId="0" borderId="0"/>
    <xf numFmtId="0" fontId="58" fillId="0" borderId="0"/>
    <xf numFmtId="0" fontId="45" fillId="0" borderId="0"/>
    <xf numFmtId="175" fontId="150" fillId="0" borderId="0">
      <protection locked="0"/>
    </xf>
    <xf numFmtId="9" fontId="45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16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0" fontId="58" fillId="0" borderId="0"/>
    <xf numFmtId="0" fontId="58" fillId="0" borderId="0"/>
    <xf numFmtId="0" fontId="58" fillId="4" borderId="4" applyNumberFormat="0" applyFont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58" fillId="0" borderId="0"/>
    <xf numFmtId="9" fontId="58" fillId="0" borderId="0" applyFont="0" applyFill="0" applyBorder="0" applyAlignment="0" applyProtection="0"/>
    <xf numFmtId="0" fontId="58" fillId="0" borderId="0"/>
    <xf numFmtId="0" fontId="76" fillId="11" borderId="1" applyNumberFormat="0" applyAlignment="0" applyProtection="0"/>
    <xf numFmtId="0" fontId="76" fillId="11" borderId="1" applyNumberFormat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43" fontId="73" fillId="0" borderId="0" applyFont="0" applyFill="0" applyBorder="0" applyAlignment="0" applyProtection="0"/>
    <xf numFmtId="43" fontId="58" fillId="0" borderId="0" applyFon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4" borderId="4" applyNumberFormat="0" applyFont="0" applyAlignment="0" applyProtection="0"/>
    <xf numFmtId="0" fontId="58" fillId="4" borderId="4" applyNumberFormat="0" applyFont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83" fillId="11" borderId="5" applyNumberFormat="0" applyAlignment="0" applyProtection="0"/>
    <xf numFmtId="0" fontId="83" fillId="11" borderId="5" applyNumberFormat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76" fillId="11" borderId="73" applyNumberFormat="0" applyAlignment="0" applyProtection="0"/>
    <xf numFmtId="0" fontId="80" fillId="7" borderId="73" applyNumberFormat="0" applyAlignment="0" applyProtection="0"/>
    <xf numFmtId="0" fontId="58" fillId="4" borderId="74" applyNumberFormat="0" applyFont="0" applyAlignment="0" applyProtection="0"/>
    <xf numFmtId="0" fontId="83" fillId="11" borderId="75" applyNumberFormat="0" applyAlignment="0" applyProtection="0"/>
    <xf numFmtId="0" fontId="88" fillId="0" borderId="76" applyNumberFormat="0" applyFill="0" applyAlignment="0" applyProtection="0"/>
    <xf numFmtId="0" fontId="58" fillId="4" borderId="74" applyNumberFormat="0" applyFont="0" applyAlignment="0" applyProtection="0"/>
    <xf numFmtId="0" fontId="76" fillId="11" borderId="73" applyNumberFormat="0" applyAlignment="0" applyProtection="0"/>
    <xf numFmtId="0" fontId="76" fillId="11" borderId="73" applyNumberFormat="0" applyAlignment="0" applyProtection="0"/>
    <xf numFmtId="0" fontId="80" fillId="7" borderId="73" applyNumberFormat="0" applyAlignment="0" applyProtection="0"/>
    <xf numFmtId="0" fontId="80" fillId="7" borderId="73" applyNumberFormat="0" applyAlignment="0" applyProtection="0"/>
    <xf numFmtId="0" fontId="58" fillId="4" borderId="74" applyNumberFormat="0" applyFont="0" applyAlignment="0" applyProtection="0"/>
    <xf numFmtId="0" fontId="58" fillId="4" borderId="74" applyNumberFormat="0" applyFont="0" applyAlignment="0" applyProtection="0"/>
    <xf numFmtId="0" fontId="83" fillId="11" borderId="75" applyNumberFormat="0" applyAlignment="0" applyProtection="0"/>
    <xf numFmtId="0" fontId="83" fillId="11" borderId="75" applyNumberFormat="0" applyAlignment="0" applyProtection="0"/>
    <xf numFmtId="0" fontId="88" fillId="0" borderId="76" applyNumberFormat="0" applyFill="0" applyAlignment="0" applyProtection="0"/>
    <xf numFmtId="0" fontId="88" fillId="0" borderId="76" applyNumberFormat="0" applyFill="0" applyAlignment="0" applyProtection="0"/>
    <xf numFmtId="0" fontId="44" fillId="0" borderId="0"/>
    <xf numFmtId="0" fontId="43" fillId="0" borderId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9" fontId="58" fillId="0" borderId="0" applyFont="0" applyFill="0" applyBorder="0" applyAlignment="0" applyProtection="0"/>
    <xf numFmtId="0" fontId="89" fillId="0" borderId="0"/>
    <xf numFmtId="0" fontId="89" fillId="0" borderId="0"/>
    <xf numFmtId="0" fontId="38" fillId="0" borderId="0"/>
    <xf numFmtId="0" fontId="176" fillId="0" borderId="0"/>
    <xf numFmtId="0" fontId="37" fillId="0" borderId="0"/>
    <xf numFmtId="0" fontId="76" fillId="11" borderId="73" applyNumberFormat="0" applyAlignment="0" applyProtection="0"/>
    <xf numFmtId="0" fontId="76" fillId="11" borderId="73" applyNumberFormat="0" applyAlignment="0" applyProtection="0"/>
    <xf numFmtId="0" fontId="76" fillId="11" borderId="73" applyNumberFormat="0" applyAlignment="0" applyProtection="0"/>
    <xf numFmtId="0" fontId="76" fillId="11" borderId="73" applyNumberFormat="0" applyAlignment="0" applyProtection="0"/>
    <xf numFmtId="0" fontId="76" fillId="11" borderId="73" applyNumberFormat="0" applyAlignment="0" applyProtection="0"/>
    <xf numFmtId="0" fontId="76" fillId="11" borderId="73" applyNumberFormat="0" applyAlignment="0" applyProtection="0"/>
    <xf numFmtId="0" fontId="76" fillId="11" borderId="73" applyNumberFormat="0" applyAlignment="0" applyProtection="0"/>
    <xf numFmtId="0" fontId="76" fillId="11" borderId="73" applyNumberFormat="0" applyAlignment="0" applyProtection="0"/>
    <xf numFmtId="0" fontId="76" fillId="11" borderId="73" applyNumberFormat="0" applyAlignment="0" applyProtection="0"/>
    <xf numFmtId="0" fontId="76" fillId="11" borderId="73" applyNumberFormat="0" applyAlignment="0" applyProtection="0"/>
    <xf numFmtId="0" fontId="76" fillId="11" borderId="73" applyNumberFormat="0" applyAlignment="0" applyProtection="0"/>
    <xf numFmtId="0" fontId="76" fillId="11" borderId="73" applyNumberFormat="0" applyAlignment="0" applyProtection="0"/>
    <xf numFmtId="0" fontId="76" fillId="11" borderId="73" applyNumberFormat="0" applyAlignment="0" applyProtection="0"/>
    <xf numFmtId="0" fontId="76" fillId="11" borderId="73" applyNumberFormat="0" applyAlignment="0" applyProtection="0"/>
    <xf numFmtId="0" fontId="76" fillId="11" borderId="73" applyNumberFormat="0" applyAlignment="0" applyProtection="0"/>
    <xf numFmtId="0" fontId="76" fillId="11" borderId="73" applyNumberFormat="0" applyAlignment="0" applyProtection="0"/>
    <xf numFmtId="0" fontId="76" fillId="11" borderId="73" applyNumberFormat="0" applyAlignment="0" applyProtection="0"/>
    <xf numFmtId="0" fontId="76" fillId="11" borderId="73" applyNumberFormat="0" applyAlignment="0" applyProtection="0"/>
    <xf numFmtId="0" fontId="76" fillId="11" borderId="73" applyNumberFormat="0" applyAlignment="0" applyProtection="0"/>
    <xf numFmtId="0" fontId="76" fillId="11" borderId="73" applyNumberFormat="0" applyAlignment="0" applyProtection="0"/>
    <xf numFmtId="0" fontId="76" fillId="11" borderId="73" applyNumberFormat="0" applyAlignment="0" applyProtection="0"/>
    <xf numFmtId="0" fontId="76" fillId="11" borderId="73" applyNumberFormat="0" applyAlignment="0" applyProtection="0"/>
    <xf numFmtId="0" fontId="76" fillId="11" borderId="73" applyNumberFormat="0" applyAlignment="0" applyProtection="0"/>
    <xf numFmtId="0" fontId="76" fillId="11" borderId="73" applyNumberFormat="0" applyAlignment="0" applyProtection="0"/>
    <xf numFmtId="0" fontId="76" fillId="11" borderId="73" applyNumberFormat="0" applyAlignment="0" applyProtection="0"/>
    <xf numFmtId="0" fontId="76" fillId="11" borderId="73" applyNumberFormat="0" applyAlignment="0" applyProtection="0"/>
    <xf numFmtId="0" fontId="76" fillId="11" borderId="73" applyNumberFormat="0" applyAlignment="0" applyProtection="0"/>
    <xf numFmtId="0" fontId="80" fillId="7" borderId="73" applyNumberFormat="0" applyAlignment="0" applyProtection="0"/>
    <xf numFmtId="0" fontId="80" fillId="7" borderId="73" applyNumberFormat="0" applyAlignment="0" applyProtection="0"/>
    <xf numFmtId="0" fontId="80" fillId="7" borderId="73" applyNumberFormat="0" applyAlignment="0" applyProtection="0"/>
    <xf numFmtId="0" fontId="80" fillId="7" borderId="73" applyNumberFormat="0" applyAlignment="0" applyProtection="0"/>
    <xf numFmtId="0" fontId="80" fillId="7" borderId="73" applyNumberFormat="0" applyAlignment="0" applyProtection="0"/>
    <xf numFmtId="0" fontId="80" fillId="7" borderId="73" applyNumberFormat="0" applyAlignment="0" applyProtection="0"/>
    <xf numFmtId="0" fontId="80" fillId="7" borderId="73" applyNumberFormat="0" applyAlignment="0" applyProtection="0"/>
    <xf numFmtId="0" fontId="80" fillId="7" borderId="73" applyNumberFormat="0" applyAlignment="0" applyProtection="0"/>
    <xf numFmtId="0" fontId="80" fillId="7" borderId="73" applyNumberFormat="0" applyAlignment="0" applyProtection="0"/>
    <xf numFmtId="0" fontId="80" fillId="7" borderId="73" applyNumberFormat="0" applyAlignment="0" applyProtection="0"/>
    <xf numFmtId="0" fontId="80" fillId="7" borderId="73" applyNumberFormat="0" applyAlignment="0" applyProtection="0"/>
    <xf numFmtId="0" fontId="80" fillId="7" borderId="73" applyNumberFormat="0" applyAlignment="0" applyProtection="0"/>
    <xf numFmtId="0" fontId="80" fillId="7" borderId="73" applyNumberFormat="0" applyAlignment="0" applyProtection="0"/>
    <xf numFmtId="0" fontId="80" fillId="7" borderId="73" applyNumberFormat="0" applyAlignment="0" applyProtection="0"/>
    <xf numFmtId="0" fontId="80" fillId="7" borderId="73" applyNumberFormat="0" applyAlignment="0" applyProtection="0"/>
    <xf numFmtId="0" fontId="80" fillId="7" borderId="73" applyNumberFormat="0" applyAlignment="0" applyProtection="0"/>
    <xf numFmtId="0" fontId="80" fillId="7" borderId="73" applyNumberFormat="0" applyAlignment="0" applyProtection="0"/>
    <xf numFmtId="0" fontId="80" fillId="7" borderId="73" applyNumberFormat="0" applyAlignment="0" applyProtection="0"/>
    <xf numFmtId="0" fontId="80" fillId="7" borderId="73" applyNumberFormat="0" applyAlignment="0" applyProtection="0"/>
    <xf numFmtId="0" fontId="80" fillId="7" borderId="73" applyNumberFormat="0" applyAlignment="0" applyProtection="0"/>
    <xf numFmtId="0" fontId="80" fillId="7" borderId="73" applyNumberFormat="0" applyAlignment="0" applyProtection="0"/>
    <xf numFmtId="0" fontId="80" fillId="7" borderId="73" applyNumberFormat="0" applyAlignment="0" applyProtection="0"/>
    <xf numFmtId="0" fontId="80" fillId="7" borderId="73" applyNumberFormat="0" applyAlignment="0" applyProtection="0"/>
    <xf numFmtId="0" fontId="80" fillId="7" borderId="73" applyNumberFormat="0" applyAlignment="0" applyProtection="0"/>
    <xf numFmtId="0" fontId="80" fillId="7" borderId="73" applyNumberFormat="0" applyAlignment="0" applyProtection="0"/>
    <xf numFmtId="0" fontId="80" fillId="7" borderId="73" applyNumberFormat="0" applyAlignment="0" applyProtection="0"/>
    <xf numFmtId="0" fontId="80" fillId="7" borderId="73" applyNumberFormat="0" applyAlignment="0" applyProtection="0"/>
    <xf numFmtId="0" fontId="58" fillId="0" borderId="0"/>
    <xf numFmtId="43" fontId="73" fillId="0" borderId="0" applyFont="0" applyFill="0" applyBorder="0" applyAlignment="0" applyProtection="0"/>
    <xf numFmtId="0" fontId="37" fillId="0" borderId="0"/>
    <xf numFmtId="0" fontId="37" fillId="0" borderId="0"/>
    <xf numFmtId="0" fontId="58" fillId="4" borderId="74" applyNumberFormat="0" applyFont="0" applyAlignment="0" applyProtection="0"/>
    <xf numFmtId="0" fontId="58" fillId="4" borderId="74" applyNumberFormat="0" applyFont="0" applyAlignment="0" applyProtection="0"/>
    <xf numFmtId="0" fontId="58" fillId="4" borderId="74" applyNumberFormat="0" applyFont="0" applyAlignment="0" applyProtection="0"/>
    <xf numFmtId="0" fontId="58" fillId="4" borderId="74" applyNumberFormat="0" applyFont="0" applyAlignment="0" applyProtection="0"/>
    <xf numFmtId="0" fontId="58" fillId="4" borderId="74" applyNumberFormat="0" applyFont="0" applyAlignment="0" applyProtection="0"/>
    <xf numFmtId="0" fontId="58" fillId="4" borderId="74" applyNumberFormat="0" applyFont="0" applyAlignment="0" applyProtection="0"/>
    <xf numFmtId="0" fontId="58" fillId="4" borderId="74" applyNumberFormat="0" applyFont="0" applyAlignment="0" applyProtection="0"/>
    <xf numFmtId="0" fontId="58" fillId="4" borderId="74" applyNumberFormat="0" applyFont="0" applyAlignment="0" applyProtection="0"/>
    <xf numFmtId="0" fontId="58" fillId="4" borderId="74" applyNumberFormat="0" applyFont="0" applyAlignment="0" applyProtection="0"/>
    <xf numFmtId="0" fontId="58" fillId="4" borderId="74" applyNumberFormat="0" applyFont="0" applyAlignment="0" applyProtection="0"/>
    <xf numFmtId="0" fontId="58" fillId="4" borderId="74" applyNumberFormat="0" applyFont="0" applyAlignment="0" applyProtection="0"/>
    <xf numFmtId="0" fontId="58" fillId="4" borderId="74" applyNumberFormat="0" applyFont="0" applyAlignment="0" applyProtection="0"/>
    <xf numFmtId="0" fontId="58" fillId="4" borderId="74" applyNumberFormat="0" applyFont="0" applyAlignment="0" applyProtection="0"/>
    <xf numFmtId="0" fontId="58" fillId="4" borderId="74" applyNumberFormat="0" applyFont="0" applyAlignment="0" applyProtection="0"/>
    <xf numFmtId="0" fontId="58" fillId="4" borderId="74" applyNumberFormat="0" applyFont="0" applyAlignment="0" applyProtection="0"/>
    <xf numFmtId="0" fontId="58" fillId="4" borderId="74" applyNumberFormat="0" applyFont="0" applyAlignment="0" applyProtection="0"/>
    <xf numFmtId="0" fontId="58" fillId="4" borderId="74" applyNumberFormat="0" applyFont="0" applyAlignment="0" applyProtection="0"/>
    <xf numFmtId="0" fontId="58" fillId="4" borderId="74" applyNumberFormat="0" applyFont="0" applyAlignment="0" applyProtection="0"/>
    <xf numFmtId="0" fontId="58" fillId="4" borderId="74" applyNumberFormat="0" applyFont="0" applyAlignment="0" applyProtection="0"/>
    <xf numFmtId="0" fontId="58" fillId="4" borderId="74" applyNumberFormat="0" applyFont="0" applyAlignment="0" applyProtection="0"/>
    <xf numFmtId="0" fontId="58" fillId="4" borderId="74" applyNumberFormat="0" applyFont="0" applyAlignment="0" applyProtection="0"/>
    <xf numFmtId="0" fontId="58" fillId="4" borderId="74" applyNumberFormat="0" applyFont="0" applyAlignment="0" applyProtection="0"/>
    <xf numFmtId="0" fontId="58" fillId="4" borderId="74" applyNumberFormat="0" applyFont="0" applyAlignment="0" applyProtection="0"/>
    <xf numFmtId="0" fontId="58" fillId="4" borderId="74" applyNumberFormat="0" applyFont="0" applyAlignment="0" applyProtection="0"/>
    <xf numFmtId="0" fontId="58" fillId="4" borderId="74" applyNumberFormat="0" applyFont="0" applyAlignment="0" applyProtection="0"/>
    <xf numFmtId="0" fontId="58" fillId="4" borderId="74" applyNumberFormat="0" applyFont="0" applyAlignment="0" applyProtection="0"/>
    <xf numFmtId="0" fontId="58" fillId="4" borderId="74" applyNumberFormat="0" applyFont="0" applyAlignment="0" applyProtection="0"/>
    <xf numFmtId="0" fontId="58" fillId="4" borderId="74" applyNumberFormat="0" applyFont="0" applyAlignment="0" applyProtection="0"/>
    <xf numFmtId="0" fontId="58" fillId="4" borderId="74" applyNumberFormat="0" applyFont="0" applyAlignment="0" applyProtection="0"/>
    <xf numFmtId="0" fontId="58" fillId="4" borderId="74" applyNumberFormat="0" applyFont="0" applyAlignment="0" applyProtection="0"/>
    <xf numFmtId="0" fontId="58" fillId="4" borderId="74" applyNumberFormat="0" applyFont="0" applyAlignment="0" applyProtection="0"/>
    <xf numFmtId="0" fontId="58" fillId="4" borderId="74" applyNumberFormat="0" applyFont="0" applyAlignment="0" applyProtection="0"/>
    <xf numFmtId="0" fontId="58" fillId="4" borderId="74" applyNumberFormat="0" applyFont="0" applyAlignment="0" applyProtection="0"/>
    <xf numFmtId="0" fontId="58" fillId="4" borderId="74" applyNumberFormat="0" applyFont="0" applyAlignment="0" applyProtection="0"/>
    <xf numFmtId="0" fontId="58" fillId="4" borderId="74" applyNumberFormat="0" applyFont="0" applyAlignment="0" applyProtection="0"/>
    <xf numFmtId="0" fontId="58" fillId="4" borderId="74" applyNumberFormat="0" applyFont="0" applyAlignment="0" applyProtection="0"/>
    <xf numFmtId="0" fontId="58" fillId="4" borderId="74" applyNumberFormat="0" applyFont="0" applyAlignment="0" applyProtection="0"/>
    <xf numFmtId="0" fontId="58" fillId="4" borderId="74" applyNumberFormat="0" applyFont="0" applyAlignment="0" applyProtection="0"/>
    <xf numFmtId="0" fontId="58" fillId="4" borderId="74" applyNumberFormat="0" applyFont="0" applyAlignment="0" applyProtection="0"/>
    <xf numFmtId="0" fontId="58" fillId="4" borderId="74" applyNumberFormat="0" applyFont="0" applyAlignment="0" applyProtection="0"/>
    <xf numFmtId="0" fontId="58" fillId="4" borderId="74" applyNumberFormat="0" applyFont="0" applyAlignment="0" applyProtection="0"/>
    <xf numFmtId="0" fontId="58" fillId="4" borderId="74" applyNumberFormat="0" applyFont="0" applyAlignment="0" applyProtection="0"/>
    <xf numFmtId="9" fontId="73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83" fillId="11" borderId="75" applyNumberFormat="0" applyAlignment="0" applyProtection="0"/>
    <xf numFmtId="0" fontId="83" fillId="11" borderId="75" applyNumberFormat="0" applyAlignment="0" applyProtection="0"/>
    <xf numFmtId="0" fontId="83" fillId="11" borderId="75" applyNumberFormat="0" applyAlignment="0" applyProtection="0"/>
    <xf numFmtId="0" fontId="83" fillId="11" borderId="75" applyNumberFormat="0" applyAlignment="0" applyProtection="0"/>
    <xf numFmtId="0" fontId="83" fillId="11" borderId="75" applyNumberFormat="0" applyAlignment="0" applyProtection="0"/>
    <xf numFmtId="0" fontId="83" fillId="11" borderId="75" applyNumberFormat="0" applyAlignment="0" applyProtection="0"/>
    <xf numFmtId="0" fontId="83" fillId="11" borderId="75" applyNumberFormat="0" applyAlignment="0" applyProtection="0"/>
    <xf numFmtId="0" fontId="83" fillId="11" borderId="75" applyNumberFormat="0" applyAlignment="0" applyProtection="0"/>
    <xf numFmtId="0" fontId="83" fillId="11" borderId="75" applyNumberFormat="0" applyAlignment="0" applyProtection="0"/>
    <xf numFmtId="0" fontId="83" fillId="11" borderId="75" applyNumberFormat="0" applyAlignment="0" applyProtection="0"/>
    <xf numFmtId="0" fontId="83" fillId="11" borderId="75" applyNumberFormat="0" applyAlignment="0" applyProtection="0"/>
    <xf numFmtId="0" fontId="83" fillId="11" borderId="75" applyNumberFormat="0" applyAlignment="0" applyProtection="0"/>
    <xf numFmtId="0" fontId="83" fillId="11" borderId="75" applyNumberFormat="0" applyAlignment="0" applyProtection="0"/>
    <xf numFmtId="0" fontId="83" fillId="11" borderId="75" applyNumberFormat="0" applyAlignment="0" applyProtection="0"/>
    <xf numFmtId="0" fontId="83" fillId="11" borderId="75" applyNumberFormat="0" applyAlignment="0" applyProtection="0"/>
    <xf numFmtId="0" fontId="83" fillId="11" borderId="75" applyNumberFormat="0" applyAlignment="0" applyProtection="0"/>
    <xf numFmtId="0" fontId="83" fillId="11" borderId="75" applyNumberFormat="0" applyAlignment="0" applyProtection="0"/>
    <xf numFmtId="0" fontId="83" fillId="11" borderId="75" applyNumberFormat="0" applyAlignment="0" applyProtection="0"/>
    <xf numFmtId="0" fontId="83" fillId="11" borderId="75" applyNumberFormat="0" applyAlignment="0" applyProtection="0"/>
    <xf numFmtId="0" fontId="83" fillId="11" borderId="75" applyNumberFormat="0" applyAlignment="0" applyProtection="0"/>
    <xf numFmtId="0" fontId="83" fillId="11" borderId="75" applyNumberFormat="0" applyAlignment="0" applyProtection="0"/>
    <xf numFmtId="0" fontId="83" fillId="11" borderId="75" applyNumberFormat="0" applyAlignment="0" applyProtection="0"/>
    <xf numFmtId="0" fontId="83" fillId="11" borderId="75" applyNumberFormat="0" applyAlignment="0" applyProtection="0"/>
    <xf numFmtId="0" fontId="83" fillId="11" borderId="75" applyNumberFormat="0" applyAlignment="0" applyProtection="0"/>
    <xf numFmtId="0" fontId="83" fillId="11" borderId="75" applyNumberFormat="0" applyAlignment="0" applyProtection="0"/>
    <xf numFmtId="0" fontId="83" fillId="11" borderId="75" applyNumberFormat="0" applyAlignment="0" applyProtection="0"/>
    <xf numFmtId="0" fontId="83" fillId="11" borderId="75" applyNumberFormat="0" applyAlignment="0" applyProtection="0"/>
    <xf numFmtId="0" fontId="83" fillId="11" borderId="75" applyNumberFormat="0" applyAlignment="0" applyProtection="0"/>
    <xf numFmtId="0" fontId="83" fillId="11" borderId="75" applyNumberFormat="0" applyAlignment="0" applyProtection="0"/>
    <xf numFmtId="0" fontId="83" fillId="11" borderId="75" applyNumberFormat="0" applyAlignment="0" applyProtection="0"/>
    <xf numFmtId="0" fontId="88" fillId="0" borderId="76" applyNumberFormat="0" applyFill="0" applyAlignment="0" applyProtection="0"/>
    <xf numFmtId="0" fontId="88" fillId="0" borderId="76" applyNumberFormat="0" applyFill="0" applyAlignment="0" applyProtection="0"/>
    <xf numFmtId="0" fontId="88" fillId="0" borderId="76" applyNumberFormat="0" applyFill="0" applyAlignment="0" applyProtection="0"/>
    <xf numFmtId="0" fontId="88" fillId="0" borderId="76" applyNumberFormat="0" applyFill="0" applyAlignment="0" applyProtection="0"/>
    <xf numFmtId="0" fontId="88" fillId="0" borderId="76" applyNumberFormat="0" applyFill="0" applyAlignment="0" applyProtection="0"/>
    <xf numFmtId="0" fontId="88" fillId="0" borderId="76" applyNumberFormat="0" applyFill="0" applyAlignment="0" applyProtection="0"/>
    <xf numFmtId="0" fontId="88" fillId="0" borderId="76" applyNumberFormat="0" applyFill="0" applyAlignment="0" applyProtection="0"/>
    <xf numFmtId="0" fontId="88" fillId="0" borderId="76" applyNumberFormat="0" applyFill="0" applyAlignment="0" applyProtection="0"/>
    <xf numFmtId="0" fontId="88" fillId="0" borderId="76" applyNumberFormat="0" applyFill="0" applyAlignment="0" applyProtection="0"/>
    <xf numFmtId="0" fontId="88" fillId="0" borderId="76" applyNumberFormat="0" applyFill="0" applyAlignment="0" applyProtection="0"/>
    <xf numFmtId="0" fontId="88" fillId="0" borderId="76" applyNumberFormat="0" applyFill="0" applyAlignment="0" applyProtection="0"/>
    <xf numFmtId="0" fontId="88" fillId="0" borderId="76" applyNumberFormat="0" applyFill="0" applyAlignment="0" applyProtection="0"/>
    <xf numFmtId="0" fontId="88" fillId="0" borderId="76" applyNumberFormat="0" applyFill="0" applyAlignment="0" applyProtection="0"/>
    <xf numFmtId="0" fontId="88" fillId="0" borderId="76" applyNumberFormat="0" applyFill="0" applyAlignment="0" applyProtection="0"/>
    <xf numFmtId="0" fontId="88" fillId="0" borderId="76" applyNumberFormat="0" applyFill="0" applyAlignment="0" applyProtection="0"/>
    <xf numFmtId="0" fontId="88" fillId="0" borderId="76" applyNumberFormat="0" applyFill="0" applyAlignment="0" applyProtection="0"/>
    <xf numFmtId="0" fontId="88" fillId="0" borderId="76" applyNumberFormat="0" applyFill="0" applyAlignment="0" applyProtection="0"/>
    <xf numFmtId="0" fontId="88" fillId="0" borderId="76" applyNumberFormat="0" applyFill="0" applyAlignment="0" applyProtection="0"/>
    <xf numFmtId="0" fontId="88" fillId="0" borderId="76" applyNumberFormat="0" applyFill="0" applyAlignment="0" applyProtection="0"/>
    <xf numFmtId="0" fontId="88" fillId="0" borderId="76" applyNumberFormat="0" applyFill="0" applyAlignment="0" applyProtection="0"/>
    <xf numFmtId="0" fontId="88" fillId="0" borderId="76" applyNumberFormat="0" applyFill="0" applyAlignment="0" applyProtection="0"/>
    <xf numFmtId="0" fontId="88" fillId="0" borderId="76" applyNumberFormat="0" applyFill="0" applyAlignment="0" applyProtection="0"/>
    <xf numFmtId="0" fontId="88" fillId="0" borderId="76" applyNumberFormat="0" applyFill="0" applyAlignment="0" applyProtection="0"/>
    <xf numFmtId="0" fontId="88" fillId="0" borderId="76" applyNumberFormat="0" applyFill="0" applyAlignment="0" applyProtection="0"/>
    <xf numFmtId="0" fontId="88" fillId="0" borderId="76" applyNumberFormat="0" applyFill="0" applyAlignment="0" applyProtection="0"/>
    <xf numFmtId="0" fontId="88" fillId="0" borderId="76" applyNumberFormat="0" applyFill="0" applyAlignment="0" applyProtection="0"/>
    <xf numFmtId="0" fontId="88" fillId="0" borderId="76" applyNumberFormat="0" applyFill="0" applyAlignment="0" applyProtection="0"/>
    <xf numFmtId="0" fontId="88" fillId="0" borderId="76" applyNumberFormat="0" applyFill="0" applyAlignment="0" applyProtection="0"/>
    <xf numFmtId="0" fontId="88" fillId="0" borderId="76" applyNumberFormat="0" applyFill="0" applyAlignment="0" applyProtection="0"/>
    <xf numFmtId="0" fontId="88" fillId="0" borderId="76" applyNumberFormat="0" applyFill="0" applyAlignment="0" applyProtection="0"/>
    <xf numFmtId="0" fontId="36" fillId="0" borderId="0"/>
    <xf numFmtId="164" fontId="36" fillId="0" borderId="0" applyFont="0" applyFill="0" applyBorder="0" applyAlignment="0" applyProtection="0"/>
    <xf numFmtId="0" fontId="35" fillId="0" borderId="0"/>
    <xf numFmtId="0" fontId="34" fillId="0" borderId="0"/>
    <xf numFmtId="16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3" fillId="0" borderId="0"/>
    <xf numFmtId="164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43" fontId="29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20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4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16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164" fontId="21" fillId="0" borderId="0" applyFont="0" applyFill="0" applyBorder="0" applyAlignment="0" applyProtection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76" fillId="11" borderId="73" applyNumberFormat="0" applyAlignment="0" applyProtection="0"/>
    <xf numFmtId="0" fontId="80" fillId="7" borderId="73" applyNumberFormat="0" applyAlignment="0" applyProtection="0"/>
    <xf numFmtId="0" fontId="58" fillId="4" borderId="74" applyNumberFormat="0" applyFont="0" applyAlignment="0" applyProtection="0"/>
    <xf numFmtId="0" fontId="83" fillId="11" borderId="75" applyNumberFormat="0" applyAlignment="0" applyProtection="0"/>
    <xf numFmtId="0" fontId="88" fillId="0" borderId="76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4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16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164" fontId="21" fillId="0" borderId="0" applyFont="0" applyFill="0" applyBorder="0" applyAlignment="0" applyProtection="0"/>
    <xf numFmtId="0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4" fontId="21" fillId="0" borderId="0" applyFont="0" applyFill="0" applyBorder="0" applyAlignment="0" applyProtection="0"/>
    <xf numFmtId="0" fontId="21" fillId="0" borderId="0"/>
    <xf numFmtId="0" fontId="21" fillId="0" borderId="0"/>
    <xf numFmtId="16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16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1" fillId="0" borderId="0"/>
    <xf numFmtId="0" fontId="58" fillId="0" borderId="0"/>
    <xf numFmtId="0" fontId="19" fillId="0" borderId="0"/>
    <xf numFmtId="0" fontId="18" fillId="0" borderId="0"/>
    <xf numFmtId="0" fontId="17" fillId="0" borderId="0"/>
    <xf numFmtId="0" fontId="184" fillId="0" borderId="0"/>
    <xf numFmtId="164" fontId="73" fillId="0" borderId="0" applyFont="0" applyFill="0" applyBorder="0" applyAlignment="0" applyProtection="0"/>
    <xf numFmtId="0" fontId="11" fillId="0" borderId="0"/>
    <xf numFmtId="0" fontId="10" fillId="0" borderId="0"/>
    <xf numFmtId="0" fontId="89" fillId="0" borderId="0"/>
    <xf numFmtId="0" fontId="89" fillId="0" borderId="0"/>
    <xf numFmtId="0" fontId="3" fillId="0" borderId="0"/>
    <xf numFmtId="9" fontId="3" fillId="0" borderId="0" applyFont="0" applyFill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0" fontId="76" fillId="11" borderId="204" applyNumberFormat="0" applyAlignment="0" applyProtection="0"/>
    <xf numFmtId="38" fontId="151" fillId="0" borderId="0" applyFont="0" applyFill="0" applyBorder="0" applyAlignment="0" applyProtection="0"/>
    <xf numFmtId="4" fontId="150" fillId="0" borderId="0">
      <protection locked="0"/>
    </xf>
    <xf numFmtId="43" fontId="73" fillId="0" borderId="0" applyFont="0" applyFill="0" applyBorder="0" applyAlignment="0" applyProtection="0"/>
    <xf numFmtId="4" fontId="150" fillId="0" borderId="0">
      <protection locked="0"/>
    </xf>
    <xf numFmtId="4" fontId="150" fillId="0" borderId="0">
      <protection locked="0"/>
    </xf>
    <xf numFmtId="4" fontId="150" fillId="0" borderId="0">
      <protection locked="0"/>
    </xf>
    <xf numFmtId="170" fontId="151" fillId="0" borderId="0" applyFont="0" applyFill="0" applyBorder="0" applyAlignment="0" applyProtection="0"/>
    <xf numFmtId="171" fontId="150" fillId="0" borderId="0">
      <protection locked="0"/>
    </xf>
    <xf numFmtId="44" fontId="73" fillId="0" borderId="0" applyFont="0" applyFill="0" applyBorder="0" applyAlignment="0" applyProtection="0"/>
    <xf numFmtId="171" fontId="150" fillId="0" borderId="0">
      <protection locked="0"/>
    </xf>
    <xf numFmtId="44" fontId="58" fillId="0" borderId="0" applyFont="0" applyFill="0" applyBorder="0" applyAlignment="0" applyProtection="0"/>
    <xf numFmtId="171" fontId="150" fillId="0" borderId="0">
      <protection locked="0"/>
    </xf>
    <xf numFmtId="171" fontId="150" fillId="0" borderId="0">
      <protection locked="0"/>
    </xf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0" fontId="80" fillId="7" borderId="204" applyNumberFormat="0" applyAlignment="0" applyProtection="0"/>
    <xf numFmtId="184" fontId="260" fillId="0" borderId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307" fillId="0" borderId="0" applyNumberFormat="0" applyFill="0" applyBorder="0" applyAlignment="0" applyProtection="0"/>
    <xf numFmtId="0" fontId="308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58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169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169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0" fontId="309" fillId="0" borderId="0"/>
    <xf numFmtId="0" fontId="309" fillId="0" borderId="0"/>
    <xf numFmtId="0" fontId="309" fillId="0" borderId="0"/>
    <xf numFmtId="0" fontId="309" fillId="0" borderId="0"/>
    <xf numFmtId="0" fontId="309" fillId="0" borderId="0"/>
    <xf numFmtId="0" fontId="309" fillId="0" borderId="0"/>
    <xf numFmtId="0" fontId="309" fillId="0" borderId="0"/>
    <xf numFmtId="0" fontId="30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0" fillId="0" borderId="0" applyNumberFormat="0" applyFill="0" applyBorder="0" applyProtection="0">
      <alignment vertical="top" wrapText="1"/>
    </xf>
    <xf numFmtId="0" fontId="310" fillId="0" borderId="0" applyNumberFormat="0" applyFill="0" applyBorder="0" applyProtection="0">
      <alignment vertical="top" wrapText="1"/>
    </xf>
    <xf numFmtId="0" fontId="310" fillId="0" borderId="0" applyNumberFormat="0" applyFill="0" applyBorder="0" applyProtection="0">
      <alignment vertical="top" wrapText="1"/>
    </xf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184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73" fillId="0" borderId="0"/>
    <xf numFmtId="0" fontId="73" fillId="0" borderId="0"/>
    <xf numFmtId="0" fontId="73" fillId="0" borderId="0" applyFill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73" fillId="0" borderId="0"/>
    <xf numFmtId="0" fontId="73" fillId="0" borderId="0"/>
    <xf numFmtId="0" fontId="73" fillId="0" borderId="0"/>
    <xf numFmtId="0" fontId="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0" fontId="58" fillId="4" borderId="205" applyNumberFormat="0" applyFont="0" applyAlignment="0" applyProtection="0"/>
    <xf numFmtId="175" fontId="150" fillId="0" borderId="0">
      <protection locked="0"/>
    </xf>
    <xf numFmtId="9" fontId="73" fillId="0" borderId="0" applyFont="0" applyFill="0" applyBorder="0" applyAlignment="0" applyProtection="0"/>
    <xf numFmtId="175" fontId="150" fillId="0" borderId="0"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83" fillId="11" borderId="206" applyNumberFormat="0" applyAlignment="0" applyProtection="0"/>
    <xf numFmtId="0" fontId="311" fillId="0" borderId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  <xf numFmtId="0" fontId="88" fillId="0" borderId="207" applyNumberFormat="0" applyFill="0" applyAlignment="0" applyProtection="0"/>
  </cellStyleXfs>
  <cellXfs count="6577">
    <xf numFmtId="0" fontId="0" fillId="0" borderId="0" xfId="0"/>
    <xf numFmtId="0" fontId="59" fillId="0" borderId="0" xfId="0" applyFont="1" applyAlignment="1">
      <alignment vertical="center"/>
    </xf>
    <xf numFmtId="0" fontId="59" fillId="0" borderId="0" xfId="0" applyFont="1"/>
    <xf numFmtId="0" fontId="59" fillId="0" borderId="0" xfId="0" applyFont="1" applyAlignment="1">
      <alignment horizontal="center"/>
    </xf>
    <xf numFmtId="0" fontId="68" fillId="0" borderId="0" xfId="0" applyFont="1" applyAlignment="1">
      <alignment horizontal="center"/>
    </xf>
    <xf numFmtId="0" fontId="60" fillId="0" borderId="0" xfId="0" applyFont="1" applyFill="1" applyBorder="1" applyAlignment="1">
      <alignment wrapText="1"/>
    </xf>
    <xf numFmtId="0" fontId="62" fillId="0" borderId="0" xfId="0" applyFont="1" applyFill="1" applyBorder="1" applyAlignment="1">
      <alignment vertical="center"/>
    </xf>
    <xf numFmtId="0" fontId="64" fillId="0" borderId="0" xfId="0" applyFont="1" applyFill="1" applyBorder="1"/>
    <xf numFmtId="0" fontId="62" fillId="0" borderId="0" xfId="0" applyFont="1" applyFill="1" applyBorder="1"/>
    <xf numFmtId="0" fontId="96" fillId="0" borderId="0" xfId="0" applyFont="1" applyFill="1" applyBorder="1"/>
    <xf numFmtId="3" fontId="0" fillId="0" borderId="0" xfId="0" applyNumberFormat="1"/>
    <xf numFmtId="3" fontId="65" fillId="19" borderId="11" xfId="50" applyNumberFormat="1" applyFont="1" applyFill="1" applyBorder="1" applyAlignment="1">
      <alignment horizontal="center" vertical="center" wrapText="1"/>
    </xf>
    <xf numFmtId="0" fontId="59" fillId="0" borderId="12" xfId="0" applyFont="1" applyBorder="1" applyAlignment="1">
      <alignment horizontal="center" vertical="center"/>
    </xf>
    <xf numFmtId="0" fontId="59" fillId="0" borderId="0" xfId="0" applyFont="1" applyBorder="1" applyAlignment="1">
      <alignment horizontal="center" vertical="center"/>
    </xf>
    <xf numFmtId="0" fontId="59" fillId="0" borderId="0" xfId="0" applyFont="1" applyBorder="1"/>
    <xf numFmtId="0" fontId="61" fillId="0" borderId="0" xfId="0" applyFont="1" applyFill="1" applyBorder="1" applyAlignment="1">
      <alignment vertical="center"/>
    </xf>
    <xf numFmtId="0" fontId="59" fillId="0" borderId="11" xfId="0" applyFont="1" applyBorder="1"/>
    <xf numFmtId="0" fontId="63" fillId="0" borderId="0" xfId="0" applyFont="1" applyBorder="1" applyAlignment="1">
      <alignment horizontal="center"/>
    </xf>
    <xf numFmtId="0" fontId="61" fillId="0" borderId="0" xfId="0" applyFont="1" applyBorder="1" applyAlignment="1">
      <alignment horizontal="center" vertical="center"/>
    </xf>
    <xf numFmtId="0" fontId="99" fillId="0" borderId="0" xfId="0" applyFont="1" applyAlignment="1">
      <alignment horizontal="center"/>
    </xf>
    <xf numFmtId="0" fontId="99" fillId="0" borderId="0" xfId="0" applyFont="1" applyAlignment="1">
      <alignment horizontal="center" vertical="center"/>
    </xf>
    <xf numFmtId="3" fontId="65" fillId="19" borderId="18" xfId="50" applyNumberFormat="1" applyFont="1" applyFill="1" applyBorder="1" applyAlignment="1">
      <alignment horizontal="center" vertical="center" wrapText="1"/>
    </xf>
    <xf numFmtId="3" fontId="65" fillId="19" borderId="13" xfId="5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60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59" fillId="0" borderId="0" xfId="0" applyFont="1" applyBorder="1" applyAlignment="1">
      <alignment vertical="center"/>
    </xf>
    <xf numFmtId="0" fontId="61" fillId="0" borderId="0" xfId="0" applyFont="1" applyAlignment="1">
      <alignment vertical="center"/>
    </xf>
    <xf numFmtId="0" fontId="98" fillId="0" borderId="0" xfId="0" applyFont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9" fillId="0" borderId="16" xfId="0" applyFont="1" applyBorder="1"/>
    <xf numFmtId="0" fontId="62" fillId="0" borderId="0" xfId="0" applyFont="1" applyBorder="1" applyAlignment="1">
      <alignment horizontal="center" vertical="center"/>
    </xf>
    <xf numFmtId="0" fontId="63" fillId="0" borderId="0" xfId="0" applyFont="1" applyAlignment="1">
      <alignment vertical="center"/>
    </xf>
    <xf numFmtId="0" fontId="104" fillId="0" borderId="0" xfId="32" applyFont="1" applyAlignment="1" applyProtection="1">
      <alignment horizontal="left" vertical="center"/>
    </xf>
    <xf numFmtId="0" fontId="60" fillId="0" borderId="0" xfId="0" applyFont="1" applyAlignment="1">
      <alignment vertical="center"/>
    </xf>
    <xf numFmtId="0" fontId="60" fillId="0" borderId="0" xfId="0" applyFont="1" applyFill="1" applyBorder="1" applyAlignment="1">
      <alignment vertical="center" wrapText="1"/>
    </xf>
    <xf numFmtId="0" fontId="64" fillId="0" borderId="0" xfId="0" applyFont="1" applyFill="1" applyBorder="1" applyAlignment="1">
      <alignment vertical="center"/>
    </xf>
    <xf numFmtId="0" fontId="64" fillId="0" borderId="0" xfId="0" applyFont="1" applyAlignment="1">
      <alignment vertical="center"/>
    </xf>
    <xf numFmtId="0" fontId="96" fillId="0" borderId="0" xfId="0" applyFont="1" applyFill="1" applyBorder="1" applyAlignment="1">
      <alignment vertical="center"/>
    </xf>
    <xf numFmtId="3" fontId="0" fillId="0" borderId="0" xfId="0" applyNumberFormat="1" applyAlignment="1">
      <alignment vertical="center"/>
    </xf>
    <xf numFmtId="0" fontId="62" fillId="0" borderId="0" xfId="48" applyFont="1" applyFill="1" applyBorder="1" applyAlignment="1">
      <alignment vertical="center"/>
    </xf>
    <xf numFmtId="0" fontId="97" fillId="0" borderId="0" xfId="0" applyFont="1" applyAlignment="1">
      <alignment horizontal="center" vertical="center"/>
    </xf>
    <xf numFmtId="0" fontId="59" fillId="0" borderId="12" xfId="0" applyFont="1" applyBorder="1" applyAlignment="1">
      <alignment horizontal="center"/>
    </xf>
    <xf numFmtId="0" fontId="59" fillId="0" borderId="0" xfId="0" applyFont="1" applyBorder="1" applyAlignment="1">
      <alignment horizontal="center"/>
    </xf>
    <xf numFmtId="0" fontId="71" fillId="0" borderId="0" xfId="0" applyFont="1" applyAlignment="1">
      <alignment horizontal="left" vertical="center"/>
    </xf>
    <xf numFmtId="0" fontId="62" fillId="0" borderId="0" xfId="0" applyFont="1" applyAlignment="1">
      <alignment vertical="center"/>
    </xf>
    <xf numFmtId="0" fontId="59" fillId="0" borderId="0" xfId="0" applyFont="1" applyFill="1" applyAlignment="1">
      <alignment vertical="center"/>
    </xf>
    <xf numFmtId="0" fontId="59" fillId="0" borderId="11" xfId="0" applyFont="1" applyBorder="1" applyAlignment="1">
      <alignment horizontal="center"/>
    </xf>
    <xf numFmtId="0" fontId="59" fillId="0" borderId="19" xfId="0" applyFont="1" applyBorder="1"/>
    <xf numFmtId="0" fontId="61" fillId="0" borderId="16" xfId="0" applyFont="1" applyBorder="1" applyAlignment="1">
      <alignment horizontal="center" vertical="center"/>
    </xf>
    <xf numFmtId="0" fontId="59" fillId="0" borderId="21" xfId="0" applyFont="1" applyBorder="1"/>
    <xf numFmtId="0" fontId="59" fillId="0" borderId="16" xfId="0" applyFont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61" fillId="0" borderId="21" xfId="0" applyFont="1" applyFill="1" applyBorder="1" applyAlignment="1">
      <alignment horizontal="center" vertical="center"/>
    </xf>
    <xf numFmtId="0" fontId="59" fillId="0" borderId="21" xfId="0" applyFont="1" applyBorder="1" applyAlignment="1">
      <alignment horizontal="right" vertical="center"/>
    </xf>
    <xf numFmtId="0" fontId="61" fillId="0" borderId="21" xfId="0" applyFont="1" applyBorder="1" applyAlignment="1">
      <alignment horizontal="center" vertical="center"/>
    </xf>
    <xf numFmtId="0" fontId="59" fillId="0" borderId="11" xfId="0" applyFont="1" applyBorder="1" applyAlignment="1">
      <alignment horizontal="center" vertical="center"/>
    </xf>
    <xf numFmtId="0" fontId="59" fillId="0" borderId="19" xfId="0" applyFont="1" applyBorder="1" applyAlignment="1">
      <alignment vertical="center"/>
    </xf>
    <xf numFmtId="0" fontId="59" fillId="0" borderId="21" xfId="0" applyFont="1" applyBorder="1" applyAlignment="1">
      <alignment vertical="center"/>
    </xf>
    <xf numFmtId="1" fontId="61" fillId="0" borderId="0" xfId="0" applyNumberFormat="1" applyFont="1" applyAlignment="1">
      <alignment vertical="center"/>
    </xf>
    <xf numFmtId="0" fontId="61" fillId="0" borderId="0" xfId="0" applyFont="1" applyBorder="1" applyAlignment="1">
      <alignment vertical="center"/>
    </xf>
    <xf numFmtId="0" fontId="59" fillId="0" borderId="16" xfId="0" applyFont="1" applyBorder="1" applyAlignment="1">
      <alignment vertical="center"/>
    </xf>
    <xf numFmtId="0" fontId="59" fillId="0" borderId="0" xfId="0" applyFont="1" applyFill="1" applyAlignment="1">
      <alignment vertical="center" wrapText="1"/>
    </xf>
    <xf numFmtId="1" fontId="59" fillId="0" borderId="0" xfId="0" applyNumberFormat="1" applyFont="1" applyBorder="1" applyAlignment="1">
      <alignment vertical="center"/>
    </xf>
    <xf numFmtId="1" fontId="61" fillId="0" borderId="0" xfId="0" applyNumberFormat="1" applyFont="1" applyBorder="1" applyAlignment="1">
      <alignment vertical="center"/>
    </xf>
    <xf numFmtId="1" fontId="59" fillId="0" borderId="16" xfId="0" applyNumberFormat="1" applyFont="1" applyBorder="1" applyAlignment="1">
      <alignment vertical="center"/>
    </xf>
    <xf numFmtId="0" fontId="59" fillId="0" borderId="12" xfId="0" applyFont="1" applyBorder="1"/>
    <xf numFmtId="0" fontId="101" fillId="0" borderId="0" xfId="0" applyFont="1" applyAlignment="1">
      <alignment vertical="center"/>
    </xf>
    <xf numFmtId="0" fontId="59" fillId="0" borderId="11" xfId="0" applyFont="1" applyBorder="1" applyAlignment="1">
      <alignment vertical="center"/>
    </xf>
    <xf numFmtId="0" fontId="59" fillId="0" borderId="12" xfId="0" applyFont="1" applyBorder="1" applyAlignment="1">
      <alignment vertical="center"/>
    </xf>
    <xf numFmtId="0" fontId="61" fillId="0" borderId="12" xfId="0" applyFont="1" applyBorder="1" applyAlignment="1">
      <alignment vertical="center"/>
    </xf>
    <xf numFmtId="0" fontId="59" fillId="0" borderId="0" xfId="0" applyFont="1" applyAlignment="1">
      <alignment horizontal="left" vertical="center" wrapText="1"/>
    </xf>
    <xf numFmtId="0" fontId="98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0" fontId="61" fillId="0" borderId="0" xfId="0" applyFont="1" applyFill="1" applyAlignment="1">
      <alignment vertical="center"/>
    </xf>
    <xf numFmtId="1" fontId="59" fillId="0" borderId="0" xfId="0" applyNumberFormat="1" applyFont="1" applyAlignment="1">
      <alignment vertical="center"/>
    </xf>
    <xf numFmtId="0" fontId="62" fillId="0" borderId="0" xfId="0" applyFont="1"/>
    <xf numFmtId="0" fontId="59" fillId="0" borderId="15" xfId="0" applyFont="1" applyBorder="1"/>
    <xf numFmtId="0" fontId="59" fillId="0" borderId="17" xfId="0" applyFont="1" applyBorder="1"/>
    <xf numFmtId="0" fontId="97" fillId="0" borderId="0" xfId="0" applyFont="1" applyFill="1" applyBorder="1" applyAlignment="1">
      <alignment horizontal="center" vertical="center"/>
    </xf>
    <xf numFmtId="0" fontId="59" fillId="0" borderId="15" xfId="0" applyFont="1" applyBorder="1" applyAlignment="1">
      <alignment vertical="center"/>
    </xf>
    <xf numFmtId="0" fontId="59" fillId="0" borderId="17" xfId="0" applyFont="1" applyBorder="1" applyAlignment="1">
      <alignment vertical="center"/>
    </xf>
    <xf numFmtId="0" fontId="96" fillId="0" borderId="0" xfId="0" applyFont="1" applyAlignment="1">
      <alignment vertical="center"/>
    </xf>
    <xf numFmtId="1" fontId="59" fillId="0" borderId="12" xfId="0" applyNumberFormat="1" applyFont="1" applyBorder="1" applyAlignment="1">
      <alignment vertical="center"/>
    </xf>
    <xf numFmtId="0" fontId="98" fillId="0" borderId="0" xfId="0" applyFont="1" applyFill="1" applyBorder="1" applyAlignment="1">
      <alignment horizontal="center" vertical="center"/>
    </xf>
    <xf numFmtId="0" fontId="69" fillId="0" borderId="0" xfId="0" applyFont="1" applyAlignment="1">
      <alignment vertical="center"/>
    </xf>
    <xf numFmtId="0" fontId="114" fillId="0" borderId="0" xfId="0" applyFont="1" applyAlignment="1">
      <alignment horizontal="left" readingOrder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59" fillId="0" borderId="0" xfId="0" applyFont="1" applyBorder="1" applyAlignment="1">
      <alignment horizontal="left" vertical="center" wrapText="1"/>
    </xf>
    <xf numFmtId="3" fontId="59" fillId="0" borderId="16" xfId="0" applyNumberFormat="1" applyFont="1" applyBorder="1" applyAlignment="1">
      <alignment horizontal="right" vertical="center" indent="1"/>
    </xf>
    <xf numFmtId="3" fontId="59" fillId="0" borderId="17" xfId="0" applyNumberFormat="1" applyFont="1" applyBorder="1" applyAlignment="1">
      <alignment horizontal="right" vertical="center" indent="1"/>
    </xf>
    <xf numFmtId="3" fontId="64" fillId="18" borderId="13" xfId="0" applyNumberFormat="1" applyFont="1" applyFill="1" applyBorder="1" applyAlignment="1">
      <alignment horizontal="right" vertical="center" indent="1"/>
    </xf>
    <xf numFmtId="3" fontId="64" fillId="18" borderId="10" xfId="0" applyNumberFormat="1" applyFont="1" applyFill="1" applyBorder="1" applyAlignment="1">
      <alignment horizontal="right" vertical="center" indent="1"/>
    </xf>
    <xf numFmtId="3" fontId="61" fillId="0" borderId="17" xfId="0" applyNumberFormat="1" applyFont="1" applyBorder="1" applyAlignment="1">
      <alignment horizontal="right" vertical="center" indent="1"/>
    </xf>
    <xf numFmtId="3" fontId="61" fillId="0" borderId="16" xfId="0" applyNumberFormat="1" applyFont="1" applyBorder="1" applyAlignment="1">
      <alignment horizontal="right" vertical="center" indent="1"/>
    </xf>
    <xf numFmtId="1" fontId="59" fillId="0" borderId="0" xfId="0" applyNumberFormat="1" applyFont="1" applyBorder="1" applyAlignment="1">
      <alignment horizontal="right" vertical="center" indent="1"/>
    </xf>
    <xf numFmtId="1" fontId="61" fillId="0" borderId="0" xfId="0" applyNumberFormat="1" applyFont="1" applyBorder="1" applyAlignment="1">
      <alignment horizontal="right" vertical="center" indent="1"/>
    </xf>
    <xf numFmtId="1" fontId="59" fillId="0" borderId="16" xfId="0" applyNumberFormat="1" applyFont="1" applyBorder="1" applyAlignment="1">
      <alignment horizontal="right" vertical="center" indent="1"/>
    </xf>
    <xf numFmtId="1" fontId="61" fillId="0" borderId="17" xfId="0" applyNumberFormat="1" applyFont="1" applyBorder="1" applyAlignment="1">
      <alignment horizontal="right" vertical="center" indent="1"/>
    </xf>
    <xf numFmtId="1" fontId="61" fillId="0" borderId="16" xfId="0" applyNumberFormat="1" applyFont="1" applyBorder="1" applyAlignment="1">
      <alignment horizontal="right" vertical="center" indent="1"/>
    </xf>
    <xf numFmtId="0" fontId="59" fillId="0" borderId="0" xfId="0" applyFont="1" applyBorder="1" applyAlignment="1">
      <alignment horizontal="right" vertical="center" indent="1"/>
    </xf>
    <xf numFmtId="0" fontId="59" fillId="0" borderId="16" xfId="0" applyFont="1" applyBorder="1" applyAlignment="1">
      <alignment horizontal="right" vertical="center" indent="1"/>
    </xf>
    <xf numFmtId="1" fontId="64" fillId="18" borderId="14" xfId="0" applyNumberFormat="1" applyFont="1" applyFill="1" applyBorder="1" applyAlignment="1">
      <alignment horizontal="right" vertical="center" indent="1"/>
    </xf>
    <xf numFmtId="1" fontId="64" fillId="18" borderId="13" xfId="0" applyNumberFormat="1" applyFont="1" applyFill="1" applyBorder="1" applyAlignment="1">
      <alignment horizontal="right" vertical="center" indent="1"/>
    </xf>
    <xf numFmtId="1" fontId="64" fillId="18" borderId="10" xfId="0" applyNumberFormat="1" applyFont="1" applyFill="1" applyBorder="1" applyAlignment="1">
      <alignment horizontal="right" vertical="center" indent="1"/>
    </xf>
    <xf numFmtId="1" fontId="61" fillId="19" borderId="14" xfId="0" applyNumberFormat="1" applyFont="1" applyFill="1" applyBorder="1" applyAlignment="1">
      <alignment horizontal="right" vertical="center" indent="1"/>
    </xf>
    <xf numFmtId="1" fontId="61" fillId="19" borderId="13" xfId="0" applyNumberFormat="1" applyFont="1" applyFill="1" applyBorder="1" applyAlignment="1">
      <alignment horizontal="right" vertical="center" indent="1"/>
    </xf>
    <xf numFmtId="1" fontId="61" fillId="19" borderId="10" xfId="0" applyNumberFormat="1" applyFont="1" applyFill="1" applyBorder="1" applyAlignment="1">
      <alignment horizontal="right" vertical="center" indent="1"/>
    </xf>
    <xf numFmtId="1" fontId="64" fillId="19" borderId="14" xfId="0" applyNumberFormat="1" applyFont="1" applyFill="1" applyBorder="1" applyAlignment="1">
      <alignment horizontal="right" vertical="center" indent="1"/>
    </xf>
    <xf numFmtId="1" fontId="64" fillId="19" borderId="13" xfId="0" applyNumberFormat="1" applyFont="1" applyFill="1" applyBorder="1" applyAlignment="1">
      <alignment horizontal="right" vertical="center" indent="1"/>
    </xf>
    <xf numFmtId="1" fontId="64" fillId="19" borderId="10" xfId="0" applyNumberFormat="1" applyFont="1" applyFill="1" applyBorder="1" applyAlignment="1">
      <alignment horizontal="right" vertical="center" indent="1"/>
    </xf>
    <xf numFmtId="0" fontId="59" fillId="0" borderId="17" xfId="0" applyFont="1" applyBorder="1" applyAlignment="1">
      <alignment horizontal="right" vertical="center" indent="1"/>
    </xf>
    <xf numFmtId="1" fontId="59" fillId="0" borderId="17" xfId="0" applyNumberFormat="1" applyFont="1" applyBorder="1" applyAlignment="1">
      <alignment horizontal="right" vertical="center" indent="1"/>
    </xf>
    <xf numFmtId="0" fontId="59" fillId="0" borderId="11" xfId="0" applyFont="1" applyBorder="1" applyAlignment="1">
      <alignment horizontal="right" vertical="center" indent="1"/>
    </xf>
    <xf numFmtId="0" fontId="59" fillId="0" borderId="15" xfId="0" applyFont="1" applyBorder="1" applyAlignment="1">
      <alignment horizontal="right" vertical="center" indent="1"/>
    </xf>
    <xf numFmtId="0" fontId="59" fillId="0" borderId="12" xfId="0" applyFont="1" applyBorder="1" applyAlignment="1">
      <alignment horizontal="right" vertical="center" indent="1"/>
    </xf>
    <xf numFmtId="0" fontId="59" fillId="0" borderId="11" xfId="0" applyFont="1" applyBorder="1" applyAlignment="1">
      <alignment horizontal="right" indent="1"/>
    </xf>
    <xf numFmtId="0" fontId="59" fillId="0" borderId="12" xfId="0" applyFont="1" applyBorder="1" applyAlignment="1">
      <alignment horizontal="right" indent="1"/>
    </xf>
    <xf numFmtId="0" fontId="59" fillId="0" borderId="15" xfId="0" applyFont="1" applyBorder="1" applyAlignment="1">
      <alignment horizontal="right" indent="1"/>
    </xf>
    <xf numFmtId="0" fontId="59" fillId="0" borderId="16" xfId="0" applyFont="1" applyBorder="1" applyAlignment="1">
      <alignment horizontal="right" indent="1"/>
    </xf>
    <xf numFmtId="0" fontId="59" fillId="0" borderId="0" xfId="0" applyFont="1" applyBorder="1" applyAlignment="1">
      <alignment horizontal="right" indent="1"/>
    </xf>
    <xf numFmtId="0" fontId="59" fillId="0" borderId="17" xfId="0" applyFont="1" applyBorder="1" applyAlignment="1">
      <alignment horizontal="right" indent="1"/>
    </xf>
    <xf numFmtId="0" fontId="106" fillId="0" borderId="0" xfId="0" applyFont="1" applyBorder="1" applyAlignment="1">
      <alignment horizontal="center" vertical="center"/>
    </xf>
    <xf numFmtId="0" fontId="63" fillId="0" borderId="0" xfId="0" applyFont="1" applyBorder="1" applyAlignment="1">
      <alignment horizontal="center" vertical="center"/>
    </xf>
    <xf numFmtId="3" fontId="64" fillId="21" borderId="13" xfId="0" applyNumberFormat="1" applyFont="1" applyFill="1" applyBorder="1" applyAlignment="1">
      <alignment horizontal="right" vertical="center" indent="1"/>
    </xf>
    <xf numFmtId="3" fontId="64" fillId="21" borderId="10" xfId="0" applyNumberFormat="1" applyFont="1" applyFill="1" applyBorder="1" applyAlignment="1">
      <alignment horizontal="right" vertical="center" indent="1"/>
    </xf>
    <xf numFmtId="1" fontId="59" fillId="0" borderId="17" xfId="0" applyNumberFormat="1" applyFont="1" applyBorder="1" applyAlignment="1">
      <alignment vertical="center"/>
    </xf>
    <xf numFmtId="3" fontId="59" fillId="0" borderId="20" xfId="0" applyNumberFormat="1" applyFont="1" applyBorder="1" applyAlignment="1">
      <alignment horizontal="right" vertical="center" indent="1"/>
    </xf>
    <xf numFmtId="3" fontId="59" fillId="0" borderId="22" xfId="0" applyNumberFormat="1" applyFont="1" applyBorder="1" applyAlignment="1">
      <alignment horizontal="right" vertical="center" indent="1"/>
    </xf>
    <xf numFmtId="3" fontId="59" fillId="0" borderId="11" xfId="0" applyNumberFormat="1" applyFont="1" applyBorder="1" applyAlignment="1">
      <alignment horizontal="right" vertical="center" indent="1"/>
    </xf>
    <xf numFmtId="3" fontId="59" fillId="0" borderId="15" xfId="0" applyNumberFormat="1" applyFont="1" applyBorder="1" applyAlignment="1">
      <alignment horizontal="right" vertical="center" indent="1"/>
    </xf>
    <xf numFmtId="3" fontId="64" fillId="18" borderId="11" xfId="0" applyNumberFormat="1" applyFont="1" applyFill="1" applyBorder="1" applyAlignment="1">
      <alignment horizontal="right" vertical="center" indent="1"/>
    </xf>
    <xf numFmtId="3" fontId="64" fillId="18" borderId="15" xfId="0" applyNumberFormat="1" applyFont="1" applyFill="1" applyBorder="1" applyAlignment="1">
      <alignment horizontal="right" vertical="center" indent="1"/>
    </xf>
    <xf numFmtId="0" fontId="64" fillId="0" borderId="0" xfId="0" applyFont="1" applyFill="1" applyBorder="1" applyAlignment="1">
      <alignment horizontal="right" vertical="center" indent="1"/>
    </xf>
    <xf numFmtId="0" fontId="115" fillId="0" borderId="0" xfId="0" applyFont="1" applyAlignment="1">
      <alignment readingOrder="1"/>
    </xf>
    <xf numFmtId="0" fontId="0" fillId="0" borderId="0" xfId="0" applyFont="1"/>
    <xf numFmtId="0" fontId="63" fillId="0" borderId="0" xfId="32" applyFont="1" applyAlignment="1" applyProtection="1">
      <alignment horizontal="left" vertical="center"/>
    </xf>
    <xf numFmtId="0" fontId="60" fillId="0" borderId="0" xfId="0" applyFont="1"/>
    <xf numFmtId="0" fontId="72" fillId="0" borderId="0" xfId="0" applyFont="1" applyAlignment="1">
      <alignment horizontal="center"/>
    </xf>
    <xf numFmtId="0" fontId="68" fillId="0" borderId="0" xfId="0" applyFont="1" applyAlignment="1"/>
    <xf numFmtId="0" fontId="66" fillId="0" borderId="0" xfId="0" applyFont="1" applyAlignment="1">
      <alignment horizontal="left"/>
    </xf>
    <xf numFmtId="0" fontId="60" fillId="0" borderId="0" xfId="0" applyFont="1" applyFill="1" applyBorder="1" applyAlignment="1"/>
    <xf numFmtId="0" fontId="61" fillId="0" borderId="0" xfId="0" applyFont="1"/>
    <xf numFmtId="0" fontId="92" fillId="0" borderId="0" xfId="0" applyFont="1" applyFill="1" applyBorder="1" applyAlignment="1">
      <alignment horizontal="left" vertical="center" wrapText="1"/>
    </xf>
    <xf numFmtId="0" fontId="59" fillId="0" borderId="11" xfId="0" applyFont="1" applyFill="1" applyBorder="1" applyAlignment="1">
      <alignment vertical="center"/>
    </xf>
    <xf numFmtId="0" fontId="59" fillId="0" borderId="12" xfId="0" applyFont="1" applyFill="1" applyBorder="1" applyAlignment="1">
      <alignment vertical="center"/>
    </xf>
    <xf numFmtId="0" fontId="61" fillId="0" borderId="12" xfId="0" applyFont="1" applyFill="1" applyBorder="1" applyAlignment="1">
      <alignment vertical="center"/>
    </xf>
    <xf numFmtId="0" fontId="61" fillId="0" borderId="15" xfId="0" applyFont="1" applyFill="1" applyBorder="1" applyAlignment="1">
      <alignment vertical="center"/>
    </xf>
    <xf numFmtId="0" fontId="59" fillId="0" borderId="16" xfId="0" applyFont="1" applyFill="1" applyBorder="1" applyAlignment="1">
      <alignment vertical="center"/>
    </xf>
    <xf numFmtId="0" fontId="59" fillId="0" borderId="0" xfId="0" applyFont="1" applyFill="1" applyBorder="1" applyAlignment="1">
      <alignment vertical="center"/>
    </xf>
    <xf numFmtId="0" fontId="61" fillId="0" borderId="17" xfId="0" applyFont="1" applyFill="1" applyBorder="1" applyAlignment="1">
      <alignment vertical="center"/>
    </xf>
    <xf numFmtId="0" fontId="63" fillId="0" borderId="0" xfId="0" applyFont="1" applyFill="1" applyBorder="1" applyAlignment="1">
      <alignment horizontal="left" vertical="center" wrapText="1"/>
    </xf>
    <xf numFmtId="0" fontId="59" fillId="0" borderId="20" xfId="0" applyFont="1" applyFill="1" applyBorder="1" applyAlignment="1">
      <alignment vertical="center"/>
    </xf>
    <xf numFmtId="0" fontId="59" fillId="0" borderId="24" xfId="0" applyFont="1" applyFill="1" applyBorder="1" applyAlignment="1">
      <alignment vertical="center"/>
    </xf>
    <xf numFmtId="0" fontId="61" fillId="0" borderId="24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97" fillId="0" borderId="0" xfId="0" applyFont="1" applyAlignment="1">
      <alignment horizontal="center" vertical="center" wrapText="1"/>
    </xf>
    <xf numFmtId="0" fontId="109" fillId="0" borderId="0" xfId="0" applyFont="1" applyAlignment="1">
      <alignment horizontal="center" vertical="center"/>
    </xf>
    <xf numFmtId="0" fontId="91" fillId="0" borderId="0" xfId="0" applyFont="1" applyFill="1" applyBorder="1" applyAlignment="1">
      <alignment vertical="center" wrapText="1"/>
    </xf>
    <xf numFmtId="0" fontId="89" fillId="0" borderId="11" xfId="0" applyFont="1" applyFill="1" applyBorder="1" applyAlignment="1">
      <alignment vertical="center"/>
    </xf>
    <xf numFmtId="0" fontId="89" fillId="0" borderId="12" xfId="0" applyFont="1" applyFill="1" applyBorder="1" applyAlignment="1">
      <alignment vertical="center"/>
    </xf>
    <xf numFmtId="0" fontId="90" fillId="0" borderId="12" xfId="0" applyFont="1" applyFill="1" applyBorder="1" applyAlignment="1">
      <alignment vertical="center"/>
    </xf>
    <xf numFmtId="0" fontId="90" fillId="0" borderId="15" xfId="0" applyFont="1" applyFill="1" applyBorder="1" applyAlignment="1">
      <alignment vertical="center"/>
    </xf>
    <xf numFmtId="0" fontId="94" fillId="0" borderId="12" xfId="0" applyFont="1" applyFill="1" applyBorder="1" applyAlignment="1">
      <alignment vertical="center"/>
    </xf>
    <xf numFmtId="0" fontId="95" fillId="0" borderId="15" xfId="0" applyFont="1" applyFill="1" applyBorder="1" applyAlignment="1">
      <alignment vertical="center"/>
    </xf>
    <xf numFmtId="0" fontId="89" fillId="0" borderId="16" xfId="0" applyFont="1" applyFill="1" applyBorder="1" applyAlignment="1">
      <alignment vertical="center"/>
    </xf>
    <xf numFmtId="0" fontId="89" fillId="0" borderId="0" xfId="0" applyFont="1" applyFill="1" applyBorder="1" applyAlignment="1">
      <alignment vertical="center"/>
    </xf>
    <xf numFmtId="0" fontId="90" fillId="0" borderId="0" xfId="0" applyFont="1" applyFill="1" applyBorder="1" applyAlignment="1">
      <alignment vertical="center"/>
    </xf>
    <xf numFmtId="0" fontId="90" fillId="0" borderId="17" xfId="0" applyFont="1" applyFill="1" applyBorder="1" applyAlignment="1">
      <alignment vertical="center"/>
    </xf>
    <xf numFmtId="0" fontId="94" fillId="0" borderId="0" xfId="0" applyFont="1" applyFill="1" applyBorder="1" applyAlignment="1">
      <alignment vertical="center"/>
    </xf>
    <xf numFmtId="0" fontId="95" fillId="0" borderId="17" xfId="0" applyFont="1" applyFill="1" applyBorder="1" applyAlignment="1">
      <alignment vertical="center"/>
    </xf>
    <xf numFmtId="0" fontId="69" fillId="0" borderId="0" xfId="0" applyFont="1" applyFill="1" applyBorder="1" applyAlignment="1">
      <alignment vertical="center" wrapText="1"/>
    </xf>
    <xf numFmtId="0" fontId="102" fillId="0" borderId="0" xfId="0" applyFont="1" applyFill="1" applyBorder="1" applyAlignment="1">
      <alignment vertical="center"/>
    </xf>
    <xf numFmtId="0" fontId="103" fillId="0" borderId="17" xfId="0" applyFont="1" applyFill="1" applyBorder="1" applyAlignment="1">
      <alignment vertical="center"/>
    </xf>
    <xf numFmtId="0" fontId="110" fillId="0" borderId="16" xfId="0" applyFont="1" applyFill="1" applyBorder="1" applyAlignment="1">
      <alignment vertical="center"/>
    </xf>
    <xf numFmtId="0" fontId="59" fillId="0" borderId="0" xfId="48"/>
    <xf numFmtId="0" fontId="60" fillId="0" borderId="0" xfId="48" applyFont="1"/>
    <xf numFmtId="0" fontId="72" fillId="0" borderId="0" xfId="48" applyFont="1" applyAlignment="1">
      <alignment horizontal="center"/>
    </xf>
    <xf numFmtId="0" fontId="68" fillId="0" borderId="0" xfId="48" applyFont="1" applyAlignment="1"/>
    <xf numFmtId="0" fontId="60" fillId="0" borderId="0" xfId="48" applyFont="1" applyFill="1" applyBorder="1" applyAlignment="1">
      <alignment wrapText="1"/>
    </xf>
    <xf numFmtId="0" fontId="64" fillId="0" borderId="0" xfId="48" applyFont="1" applyFill="1" applyBorder="1"/>
    <xf numFmtId="0" fontId="62" fillId="0" borderId="0" xfId="48" applyFont="1" applyFill="1" applyBorder="1"/>
    <xf numFmtId="0" fontId="58" fillId="0" borderId="0" xfId="66" applyAlignment="1">
      <alignment vertical="center"/>
    </xf>
    <xf numFmtId="3" fontId="58" fillId="0" borderId="0" xfId="66" applyNumberFormat="1" applyAlignment="1">
      <alignment vertical="center"/>
    </xf>
    <xf numFmtId="0" fontId="62" fillId="0" borderId="0" xfId="66" applyFont="1" applyFill="1" applyBorder="1" applyAlignment="1">
      <alignment vertical="center"/>
    </xf>
    <xf numFmtId="0" fontId="62" fillId="0" borderId="0" xfId="66" applyFont="1" applyFill="1" applyBorder="1" applyAlignment="1">
      <alignment horizontal="left" vertical="center"/>
    </xf>
    <xf numFmtId="0" fontId="64" fillId="0" borderId="0" xfId="66" applyFont="1" applyFill="1" applyBorder="1" applyAlignment="1">
      <alignment vertical="center"/>
    </xf>
    <xf numFmtId="0" fontId="60" fillId="0" borderId="0" xfId="66" applyFont="1" applyFill="1" applyBorder="1" applyAlignment="1">
      <alignment vertical="center" wrapText="1"/>
    </xf>
    <xf numFmtId="0" fontId="68" fillId="0" borderId="0" xfId="66" applyFont="1" applyAlignment="1">
      <alignment vertical="center"/>
    </xf>
    <xf numFmtId="0" fontId="60" fillId="0" borderId="0" xfId="66" applyFont="1" applyAlignment="1">
      <alignment vertical="center"/>
    </xf>
    <xf numFmtId="0" fontId="58" fillId="0" borderId="0" xfId="0" applyFont="1"/>
    <xf numFmtId="0" fontId="64" fillId="0" borderId="0" xfId="0" applyFont="1" applyFill="1" applyBorder="1" applyAlignment="1">
      <alignment horizontal="center"/>
    </xf>
    <xf numFmtId="0" fontId="96" fillId="0" borderId="0" xfId="66" applyFont="1" applyFill="1" applyBorder="1" applyAlignment="1">
      <alignment horizontal="center" vertical="center"/>
    </xf>
    <xf numFmtId="0" fontId="96" fillId="0" borderId="0" xfId="66" applyFont="1" applyFill="1" applyBorder="1"/>
    <xf numFmtId="0" fontId="60" fillId="0" borderId="0" xfId="66" applyFont="1" applyFill="1" applyBorder="1" applyAlignment="1">
      <alignment wrapText="1"/>
    </xf>
    <xf numFmtId="0" fontId="64" fillId="0" borderId="0" xfId="66" applyFont="1" applyFill="1" applyBorder="1"/>
    <xf numFmtId="0" fontId="62" fillId="0" borderId="0" xfId="66" applyFont="1" applyFill="1" applyBorder="1"/>
    <xf numFmtId="0" fontId="58" fillId="0" borderId="0" xfId="66"/>
    <xf numFmtId="0" fontId="96" fillId="0" borderId="0" xfId="66" applyFont="1" applyFill="1" applyBorder="1" applyAlignment="1">
      <alignment vertical="center"/>
    </xf>
    <xf numFmtId="0" fontId="60" fillId="0" borderId="0" xfId="66" applyFont="1" applyFill="1" applyBorder="1" applyAlignment="1">
      <alignment vertical="center"/>
    </xf>
    <xf numFmtId="0" fontId="58" fillId="0" borderId="0" xfId="66" applyFont="1"/>
    <xf numFmtId="0" fontId="60" fillId="0" borderId="0" xfId="66" applyFont="1"/>
    <xf numFmtId="0" fontId="97" fillId="0" borderId="0" xfId="66" applyFont="1" applyAlignment="1">
      <alignment horizontal="center"/>
    </xf>
    <xf numFmtId="0" fontId="60" fillId="0" borderId="0" xfId="66" applyFont="1" applyAlignment="1"/>
    <xf numFmtId="0" fontId="62" fillId="0" borderId="0" xfId="66" applyFont="1" applyFill="1" applyBorder="1" applyAlignment="1">
      <alignment horizontal="center" vertical="center"/>
    </xf>
    <xf numFmtId="0" fontId="68" fillId="0" borderId="0" xfId="66" applyFont="1" applyAlignment="1">
      <alignment horizontal="center"/>
    </xf>
    <xf numFmtId="0" fontId="58" fillId="0" borderId="0" xfId="0" applyFont="1" applyAlignment="1">
      <alignment vertical="center"/>
    </xf>
    <xf numFmtId="0" fontId="58" fillId="0" borderId="0" xfId="66" applyFont="1" applyAlignment="1">
      <alignment vertical="center"/>
    </xf>
    <xf numFmtId="0" fontId="58" fillId="0" borderId="0" xfId="66" applyFont="1" applyAlignment="1">
      <alignment vertical="center" wrapText="1"/>
    </xf>
    <xf numFmtId="3" fontId="58" fillId="0" borderId="0" xfId="66" applyNumberFormat="1" applyFont="1" applyAlignment="1">
      <alignment vertical="center"/>
    </xf>
    <xf numFmtId="0" fontId="58" fillId="0" borderId="0" xfId="66" applyFont="1" applyFill="1" applyAlignment="1">
      <alignment vertical="center"/>
    </xf>
    <xf numFmtId="0" fontId="58" fillId="0" borderId="0" xfId="66" applyFont="1" applyFill="1" applyAlignment="1">
      <alignment vertical="center" wrapText="1"/>
    </xf>
    <xf numFmtId="0" fontId="105" fillId="0" borderId="0" xfId="66" applyFont="1" applyAlignment="1">
      <alignment vertical="center"/>
    </xf>
    <xf numFmtId="0" fontId="98" fillId="0" borderId="0" xfId="66" applyFont="1" applyAlignment="1">
      <alignment horizontal="center" vertical="center" wrapText="1"/>
    </xf>
    <xf numFmtId="0" fontId="58" fillId="0" borderId="0" xfId="66" applyFont="1" applyBorder="1" applyAlignment="1">
      <alignment vertical="center"/>
    </xf>
    <xf numFmtId="0" fontId="58" fillId="0" borderId="0" xfId="66" applyFont="1" applyBorder="1" applyAlignment="1">
      <alignment horizontal="center" vertical="center"/>
    </xf>
    <xf numFmtId="0" fontId="58" fillId="0" borderId="16" xfId="66" applyFont="1" applyBorder="1" applyAlignment="1">
      <alignment horizontal="center" vertical="center"/>
    </xf>
    <xf numFmtId="3" fontId="58" fillId="0" borderId="16" xfId="66" applyNumberFormat="1" applyFont="1" applyBorder="1" applyAlignment="1">
      <alignment horizontal="right" vertical="center" indent="1"/>
    </xf>
    <xf numFmtId="3" fontId="58" fillId="0" borderId="0" xfId="66" applyNumberFormat="1" applyFont="1" applyBorder="1" applyAlignment="1">
      <alignment horizontal="right" vertical="center" indent="1"/>
    </xf>
    <xf numFmtId="3" fontId="58" fillId="0" borderId="17" xfId="66" applyNumberFormat="1" applyFont="1" applyBorder="1" applyAlignment="1">
      <alignment horizontal="right" vertical="center" indent="1"/>
    </xf>
    <xf numFmtId="0" fontId="61" fillId="0" borderId="0" xfId="66" applyFont="1" applyAlignment="1">
      <alignment vertical="center"/>
    </xf>
    <xf numFmtId="0" fontId="61" fillId="0" borderId="0" xfId="66" applyFont="1" applyBorder="1" applyAlignment="1">
      <alignment vertical="center"/>
    </xf>
    <xf numFmtId="0" fontId="64" fillId="0" borderId="0" xfId="66" applyFont="1" applyAlignment="1">
      <alignment vertical="center"/>
    </xf>
    <xf numFmtId="1" fontId="58" fillId="0" borderId="0" xfId="66" applyNumberFormat="1" applyFont="1" applyFill="1" applyAlignment="1">
      <alignment vertical="center"/>
    </xf>
    <xf numFmtId="1" fontId="61" fillId="0" borderId="0" xfId="66" applyNumberFormat="1" applyFont="1" applyFill="1" applyAlignment="1">
      <alignment vertical="center"/>
    </xf>
    <xf numFmtId="1" fontId="58" fillId="0" borderId="0" xfId="66" applyNumberFormat="1" applyFont="1" applyAlignment="1">
      <alignment vertical="center"/>
    </xf>
    <xf numFmtId="0" fontId="58" fillId="0" borderId="0" xfId="66" applyFont="1" applyAlignment="1">
      <alignment horizontal="center" vertical="center"/>
    </xf>
    <xf numFmtId="0" fontId="58" fillId="0" borderId="0" xfId="66" applyFont="1" applyFill="1" applyAlignment="1">
      <alignment horizontal="center" vertical="center"/>
    </xf>
    <xf numFmtId="0" fontId="92" fillId="0" borderId="17" xfId="66" applyFont="1" applyFill="1" applyBorder="1" applyAlignment="1">
      <alignment vertical="center" wrapText="1"/>
    </xf>
    <xf numFmtId="0" fontId="63" fillId="0" borderId="17" xfId="66" applyFont="1" applyFill="1" applyBorder="1" applyAlignment="1">
      <alignment vertical="center" wrapText="1"/>
    </xf>
    <xf numFmtId="0" fontId="70" fillId="0" borderId="0" xfId="66" applyFont="1" applyBorder="1" applyAlignment="1">
      <alignment vertical="center"/>
    </xf>
    <xf numFmtId="0" fontId="61" fillId="0" borderId="0" xfId="66" applyFont="1" applyFill="1" applyBorder="1" applyAlignment="1">
      <alignment vertical="center"/>
    </xf>
    <xf numFmtId="3" fontId="61" fillId="0" borderId="0" xfId="66" applyNumberFormat="1" applyFont="1" applyFill="1" applyBorder="1" applyAlignment="1">
      <alignment vertical="center"/>
    </xf>
    <xf numFmtId="0" fontId="61" fillId="0" borderId="0" xfId="66" applyFont="1" applyFill="1" applyAlignment="1">
      <alignment vertical="center"/>
    </xf>
    <xf numFmtId="3" fontId="61" fillId="0" borderId="0" xfId="66" applyNumberFormat="1" applyFont="1" applyAlignment="1">
      <alignment vertical="center"/>
    </xf>
    <xf numFmtId="3" fontId="58" fillId="0" borderId="0" xfId="66" applyNumberFormat="1"/>
    <xf numFmtId="0" fontId="61" fillId="0" borderId="0" xfId="66" applyFont="1" applyFill="1" applyAlignment="1">
      <alignment horizontal="center" vertical="center"/>
    </xf>
    <xf numFmtId="0" fontId="68" fillId="0" borderId="0" xfId="0" applyFont="1" applyAlignment="1">
      <alignment horizontal="center"/>
    </xf>
    <xf numFmtId="0" fontId="69" fillId="0" borderId="0" xfId="66" applyFont="1" applyAlignment="1">
      <alignment vertical="center"/>
    </xf>
    <xf numFmtId="0" fontId="64" fillId="0" borderId="0" xfId="66" applyFont="1" applyFill="1" applyBorder="1" applyAlignment="1">
      <alignment horizontal="center"/>
    </xf>
    <xf numFmtId="0" fontId="68" fillId="0" borderId="0" xfId="66" applyFont="1" applyAlignment="1"/>
    <xf numFmtId="0" fontId="69" fillId="0" borderId="0" xfId="66" applyFont="1" applyFill="1" applyBorder="1" applyAlignment="1">
      <alignment horizontal="left" vertical="center"/>
    </xf>
    <xf numFmtId="0" fontId="69" fillId="0" borderId="0" xfId="66" applyFont="1" applyAlignment="1">
      <alignment horizontal="left"/>
    </xf>
    <xf numFmtId="0" fontId="62" fillId="0" borderId="0" xfId="66" applyFont="1" applyAlignment="1">
      <alignment vertical="center"/>
    </xf>
    <xf numFmtId="0" fontId="117" fillId="0" borderId="30" xfId="0" applyFont="1" applyFill="1" applyBorder="1" applyAlignment="1">
      <alignment horizontal="center" vertical="center"/>
    </xf>
    <xf numFmtId="0" fontId="117" fillId="0" borderId="31" xfId="0" applyFont="1" applyFill="1" applyBorder="1" applyAlignment="1">
      <alignment horizontal="center" vertical="center"/>
    </xf>
    <xf numFmtId="0" fontId="117" fillId="0" borderId="32" xfId="0" applyFont="1" applyFill="1" applyBorder="1" applyAlignment="1">
      <alignment horizontal="center" vertical="center"/>
    </xf>
    <xf numFmtId="0" fontId="117" fillId="0" borderId="34" xfId="0" applyFont="1" applyFill="1" applyBorder="1" applyAlignment="1">
      <alignment horizontal="center" vertical="center"/>
    </xf>
    <xf numFmtId="0" fontId="117" fillId="0" borderId="0" xfId="0" applyFont="1" applyAlignment="1">
      <alignment vertical="center"/>
    </xf>
    <xf numFmtId="0" fontId="117" fillId="0" borderId="0" xfId="0" applyFont="1"/>
    <xf numFmtId="0" fontId="117" fillId="0" borderId="0" xfId="0" applyFont="1" applyFill="1" applyBorder="1"/>
    <xf numFmtId="3" fontId="96" fillId="0" borderId="0" xfId="0" applyNumberFormat="1" applyFont="1" applyFill="1" applyBorder="1"/>
    <xf numFmtId="0" fontId="57" fillId="0" borderId="0" xfId="73" applyAlignment="1">
      <alignment vertical="center"/>
    </xf>
    <xf numFmtId="0" fontId="98" fillId="0" borderId="0" xfId="73" applyFont="1" applyBorder="1" applyAlignment="1">
      <alignment horizontal="center" vertical="center"/>
    </xf>
    <xf numFmtId="0" fontId="58" fillId="0" borderId="0" xfId="73" applyFont="1" applyAlignment="1">
      <alignment vertical="center"/>
    </xf>
    <xf numFmtId="0" fontId="120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3" fontId="64" fillId="24" borderId="13" xfId="0" applyNumberFormat="1" applyFont="1" applyFill="1" applyBorder="1" applyAlignment="1">
      <alignment horizontal="right" vertical="center" indent="1"/>
    </xf>
    <xf numFmtId="3" fontId="64" fillId="24" borderId="14" xfId="0" applyNumberFormat="1" applyFont="1" applyFill="1" applyBorder="1" applyAlignment="1">
      <alignment horizontal="right" vertical="center" indent="1"/>
    </xf>
    <xf numFmtId="3" fontId="64" fillId="24" borderId="10" xfId="0" applyNumberFormat="1" applyFont="1" applyFill="1" applyBorder="1" applyAlignment="1">
      <alignment horizontal="right" vertical="center" indent="1"/>
    </xf>
    <xf numFmtId="0" fontId="118" fillId="0" borderId="0" xfId="0" applyFont="1" applyAlignment="1">
      <alignment vertical="center"/>
    </xf>
    <xf numFmtId="0" fontId="117" fillId="0" borderId="0" xfId="66" applyFont="1" applyAlignment="1">
      <alignment vertical="center"/>
    </xf>
    <xf numFmtId="0" fontId="117" fillId="0" borderId="30" xfId="66" applyFont="1" applyFill="1" applyBorder="1" applyAlignment="1">
      <alignment horizontal="center" vertical="center"/>
    </xf>
    <xf numFmtId="3" fontId="117" fillId="0" borderId="25" xfId="66" applyNumberFormat="1" applyFont="1" applyFill="1" applyBorder="1" applyAlignment="1">
      <alignment horizontal="right" vertical="center" indent="1"/>
    </xf>
    <xf numFmtId="3" fontId="117" fillId="0" borderId="35" xfId="66" applyNumberFormat="1" applyFont="1" applyFill="1" applyBorder="1" applyAlignment="1">
      <alignment horizontal="right" vertical="center" indent="1"/>
    </xf>
    <xf numFmtId="3" fontId="117" fillId="0" borderId="40" xfId="66" applyNumberFormat="1" applyFont="1" applyFill="1" applyBorder="1" applyAlignment="1">
      <alignment horizontal="right" vertical="center" indent="1"/>
    </xf>
    <xf numFmtId="0" fontId="117" fillId="0" borderId="31" xfId="66" applyFont="1" applyFill="1" applyBorder="1" applyAlignment="1">
      <alignment horizontal="center" vertical="center"/>
    </xf>
    <xf numFmtId="3" fontId="117" fillId="0" borderId="26" xfId="66" applyNumberFormat="1" applyFont="1" applyFill="1" applyBorder="1" applyAlignment="1">
      <alignment horizontal="right" vertical="center" indent="1"/>
    </xf>
    <xf numFmtId="3" fontId="117" fillId="0" borderId="36" xfId="66" applyNumberFormat="1" applyFont="1" applyFill="1" applyBorder="1" applyAlignment="1">
      <alignment horizontal="right" vertical="center" indent="1"/>
    </xf>
    <xf numFmtId="3" fontId="117" fillId="0" borderId="41" xfId="66" applyNumberFormat="1" applyFont="1" applyFill="1" applyBorder="1" applyAlignment="1">
      <alignment horizontal="right" vertical="center" indent="1"/>
    </xf>
    <xf numFmtId="3" fontId="117" fillId="0" borderId="27" xfId="66" applyNumberFormat="1" applyFont="1" applyFill="1" applyBorder="1" applyAlignment="1">
      <alignment horizontal="right" vertical="center" indent="1"/>
    </xf>
    <xf numFmtId="3" fontId="117" fillId="0" borderId="37" xfId="66" applyNumberFormat="1" applyFont="1" applyFill="1" applyBorder="1" applyAlignment="1">
      <alignment horizontal="right" vertical="center" indent="1"/>
    </xf>
    <xf numFmtId="3" fontId="117" fillId="0" borderId="42" xfId="66" applyNumberFormat="1" applyFont="1" applyFill="1" applyBorder="1" applyAlignment="1">
      <alignment horizontal="right" vertical="center" indent="1"/>
    </xf>
    <xf numFmtId="0" fontId="117" fillId="0" borderId="33" xfId="66" applyFont="1" applyFill="1" applyBorder="1" applyAlignment="1">
      <alignment horizontal="center" vertical="center"/>
    </xf>
    <xf numFmtId="3" fontId="117" fillId="0" borderId="28" xfId="66" applyNumberFormat="1" applyFont="1" applyFill="1" applyBorder="1" applyAlignment="1">
      <alignment horizontal="right" vertical="center" indent="1"/>
    </xf>
    <xf numFmtId="3" fontId="117" fillId="0" borderId="38" xfId="66" applyNumberFormat="1" applyFont="1" applyFill="1" applyBorder="1" applyAlignment="1">
      <alignment horizontal="right" vertical="center" indent="1"/>
    </xf>
    <xf numFmtId="0" fontId="117" fillId="0" borderId="32" xfId="66" applyFont="1" applyFill="1" applyBorder="1" applyAlignment="1">
      <alignment horizontal="center" vertical="center"/>
    </xf>
    <xf numFmtId="3" fontId="59" fillId="0" borderId="0" xfId="48" applyNumberFormat="1"/>
    <xf numFmtId="1" fontId="64" fillId="24" borderId="14" xfId="0" applyNumberFormat="1" applyFont="1" applyFill="1" applyBorder="1" applyAlignment="1">
      <alignment horizontal="right" vertical="center" indent="1"/>
    </xf>
    <xf numFmtId="1" fontId="64" fillId="24" borderId="13" xfId="0" applyNumberFormat="1" applyFont="1" applyFill="1" applyBorder="1" applyAlignment="1">
      <alignment horizontal="right" vertical="center" indent="1"/>
    </xf>
    <xf numFmtId="1" fontId="64" fillId="24" borderId="10" xfId="0" applyNumberFormat="1" applyFont="1" applyFill="1" applyBorder="1" applyAlignment="1">
      <alignment horizontal="right" vertical="center" indent="1"/>
    </xf>
    <xf numFmtId="0" fontId="59" fillId="0" borderId="30" xfId="0" applyFont="1" applyBorder="1" applyAlignment="1">
      <alignment horizontal="center" vertical="center"/>
    </xf>
    <xf numFmtId="1" fontId="59" fillId="0" borderId="35" xfId="0" applyNumberFormat="1" applyFont="1" applyBorder="1" applyAlignment="1">
      <alignment horizontal="right" vertical="center" indent="1"/>
    </xf>
    <xf numFmtId="1" fontId="61" fillId="0" borderId="35" xfId="0" applyNumberFormat="1" applyFont="1" applyBorder="1" applyAlignment="1">
      <alignment horizontal="right" vertical="center" indent="1"/>
    </xf>
    <xf numFmtId="1" fontId="59" fillId="0" borderId="25" xfId="0" applyNumberFormat="1" applyFont="1" applyBorder="1" applyAlignment="1">
      <alignment horizontal="right" vertical="center" indent="1"/>
    </xf>
    <xf numFmtId="1" fontId="61" fillId="0" borderId="40" xfId="0" applyNumberFormat="1" applyFont="1" applyBorder="1" applyAlignment="1">
      <alignment horizontal="right" vertical="center" indent="1"/>
    </xf>
    <xf numFmtId="3" fontId="59" fillId="0" borderId="25" xfId="0" applyNumberFormat="1" applyFont="1" applyBorder="1" applyAlignment="1">
      <alignment horizontal="right" vertical="center" indent="1"/>
    </xf>
    <xf numFmtId="3" fontId="59" fillId="0" borderId="35" xfId="0" applyNumberFormat="1" applyFont="1" applyBorder="1" applyAlignment="1">
      <alignment horizontal="right" vertical="center" indent="1"/>
    </xf>
    <xf numFmtId="3" fontId="59" fillId="0" borderId="40" xfId="0" applyNumberFormat="1" applyFont="1" applyBorder="1" applyAlignment="1">
      <alignment horizontal="right" vertical="center" indent="1"/>
    </xf>
    <xf numFmtId="0" fontId="59" fillId="0" borderId="31" xfId="0" applyFont="1" applyBorder="1" applyAlignment="1">
      <alignment horizontal="center" vertical="center"/>
    </xf>
    <xf numFmtId="1" fontId="59" fillId="0" borderId="36" xfId="0" applyNumberFormat="1" applyFont="1" applyBorder="1" applyAlignment="1">
      <alignment horizontal="right" vertical="center" indent="1"/>
    </xf>
    <xf numFmtId="1" fontId="61" fillId="0" borderId="36" xfId="0" applyNumberFormat="1" applyFont="1" applyBorder="1" applyAlignment="1">
      <alignment horizontal="right" vertical="center" indent="1"/>
    </xf>
    <xf numFmtId="1" fontId="59" fillId="0" borderId="26" xfId="0" applyNumberFormat="1" applyFont="1" applyBorder="1" applyAlignment="1">
      <alignment horizontal="right" vertical="center" indent="1"/>
    </xf>
    <xf numFmtId="1" fontId="61" fillId="0" borderId="41" xfId="0" applyNumberFormat="1" applyFont="1" applyBorder="1" applyAlignment="1">
      <alignment horizontal="right" vertical="center" indent="1"/>
    </xf>
    <xf numFmtId="3" fontId="59" fillId="0" borderId="26" xfId="0" applyNumberFormat="1" applyFont="1" applyBorder="1" applyAlignment="1">
      <alignment horizontal="right" vertical="center" indent="1"/>
    </xf>
    <xf numFmtId="3" fontId="59" fillId="0" borderId="36" xfId="0" applyNumberFormat="1" applyFont="1" applyBorder="1" applyAlignment="1">
      <alignment horizontal="right" vertical="center" indent="1"/>
    </xf>
    <xf numFmtId="3" fontId="59" fillId="0" borderId="41" xfId="0" applyNumberFormat="1" applyFont="1" applyBorder="1" applyAlignment="1">
      <alignment horizontal="right" vertical="center" indent="1"/>
    </xf>
    <xf numFmtId="0" fontId="59" fillId="0" borderId="32" xfId="0" applyFont="1" applyBorder="1" applyAlignment="1">
      <alignment horizontal="center" vertical="center"/>
    </xf>
    <xf numFmtId="1" fontId="59" fillId="0" borderId="37" xfId="0" applyNumberFormat="1" applyFont="1" applyBorder="1" applyAlignment="1">
      <alignment horizontal="right" vertical="center" indent="1"/>
    </xf>
    <xf numFmtId="1" fontId="61" fillId="0" borderId="37" xfId="0" applyNumberFormat="1" applyFont="1" applyBorder="1" applyAlignment="1">
      <alignment horizontal="right" vertical="center" indent="1"/>
    </xf>
    <xf numFmtId="1" fontId="59" fillId="0" borderId="27" xfId="0" applyNumberFormat="1" applyFont="1" applyBorder="1" applyAlignment="1">
      <alignment horizontal="right" vertical="center" indent="1"/>
    </xf>
    <xf numFmtId="1" fontId="61" fillId="0" borderId="42" xfId="0" applyNumberFormat="1" applyFont="1" applyBorder="1" applyAlignment="1">
      <alignment horizontal="right" vertical="center" indent="1"/>
    </xf>
    <xf numFmtId="3" fontId="59" fillId="0" borderId="27" xfId="0" applyNumberFormat="1" applyFont="1" applyBorder="1" applyAlignment="1">
      <alignment horizontal="right" vertical="center" indent="1"/>
    </xf>
    <xf numFmtId="3" fontId="59" fillId="0" borderId="37" xfId="0" applyNumberFormat="1" applyFont="1" applyBorder="1" applyAlignment="1">
      <alignment horizontal="right" vertical="center" indent="1"/>
    </xf>
    <xf numFmtId="3" fontId="59" fillId="0" borderId="42" xfId="0" applyNumberFormat="1" applyFont="1" applyBorder="1" applyAlignment="1">
      <alignment horizontal="right" vertical="center" indent="1"/>
    </xf>
    <xf numFmtId="0" fontId="64" fillId="24" borderId="14" xfId="0" applyFont="1" applyFill="1" applyBorder="1" applyAlignment="1">
      <alignment horizontal="center" vertical="center"/>
    </xf>
    <xf numFmtId="0" fontId="117" fillId="0" borderId="0" xfId="0" applyFont="1" applyFill="1" applyBorder="1" applyAlignment="1">
      <alignment horizontal="center" vertical="center"/>
    </xf>
    <xf numFmtId="3" fontId="117" fillId="0" borderId="25" xfId="0" applyNumberFormat="1" applyFont="1" applyFill="1" applyBorder="1" applyAlignment="1">
      <alignment horizontal="right" indent="1"/>
    </xf>
    <xf numFmtId="3" fontId="117" fillId="0" borderId="35" xfId="0" applyNumberFormat="1" applyFont="1" applyFill="1" applyBorder="1" applyAlignment="1">
      <alignment horizontal="right" indent="1"/>
    </xf>
    <xf numFmtId="3" fontId="117" fillId="0" borderId="40" xfId="0" applyNumberFormat="1" applyFont="1" applyFill="1" applyBorder="1" applyAlignment="1">
      <alignment horizontal="right" indent="1"/>
    </xf>
    <xf numFmtId="3" fontId="117" fillId="0" borderId="26" xfId="0" applyNumberFormat="1" applyFont="1" applyFill="1" applyBorder="1" applyAlignment="1">
      <alignment horizontal="right" indent="1"/>
    </xf>
    <xf numFmtId="3" fontId="117" fillId="0" borderId="36" xfId="0" applyNumberFormat="1" applyFont="1" applyFill="1" applyBorder="1" applyAlignment="1">
      <alignment horizontal="right" indent="1"/>
    </xf>
    <xf numFmtId="3" fontId="117" fillId="0" borderId="41" xfId="0" applyNumberFormat="1" applyFont="1" applyFill="1" applyBorder="1" applyAlignment="1">
      <alignment horizontal="right" indent="1"/>
    </xf>
    <xf numFmtId="3" fontId="117" fillId="0" borderId="29" xfId="0" applyNumberFormat="1" applyFont="1" applyFill="1" applyBorder="1" applyAlignment="1">
      <alignment horizontal="right" indent="1"/>
    </xf>
    <xf numFmtId="3" fontId="117" fillId="0" borderId="39" xfId="0" applyNumberFormat="1" applyFont="1" applyFill="1" applyBorder="1" applyAlignment="1">
      <alignment horizontal="right" indent="1"/>
    </xf>
    <xf numFmtId="3" fontId="117" fillId="0" borderId="44" xfId="0" applyNumberFormat="1" applyFont="1" applyFill="1" applyBorder="1" applyAlignment="1">
      <alignment horizontal="right" indent="1"/>
    </xf>
    <xf numFmtId="0" fontId="118" fillId="0" borderId="0" xfId="0" applyFont="1" applyBorder="1" applyAlignment="1">
      <alignment vertical="center"/>
    </xf>
    <xf numFmtId="0" fontId="118" fillId="0" borderId="12" xfId="0" applyFont="1" applyBorder="1" applyAlignment="1"/>
    <xf numFmtId="0" fontId="117" fillId="0" borderId="0" xfId="0" applyFont="1" applyAlignment="1">
      <alignment horizontal="left" vertical="center"/>
    </xf>
    <xf numFmtId="0" fontId="117" fillId="0" borderId="0" xfId="0" applyFont="1" applyBorder="1" applyAlignment="1">
      <alignment vertical="center"/>
    </xf>
    <xf numFmtId="0" fontId="132" fillId="0" borderId="0" xfId="0" applyFont="1" applyAlignment="1">
      <alignment horizontal="left" vertical="center"/>
    </xf>
    <xf numFmtId="0" fontId="118" fillId="0" borderId="0" xfId="0" applyFont="1" applyAlignment="1">
      <alignment horizontal="left" vertical="center"/>
    </xf>
    <xf numFmtId="0" fontId="61" fillId="24" borderId="13" xfId="0" applyFont="1" applyFill="1" applyBorder="1" applyAlignment="1">
      <alignment vertical="center"/>
    </xf>
    <xf numFmtId="0" fontId="61" fillId="24" borderId="14" xfId="0" applyFont="1" applyFill="1" applyBorder="1" applyAlignment="1">
      <alignment vertical="center"/>
    </xf>
    <xf numFmtId="0" fontId="61" fillId="24" borderId="10" xfId="0" applyFont="1" applyFill="1" applyBorder="1" applyAlignment="1">
      <alignment vertical="center"/>
    </xf>
    <xf numFmtId="0" fontId="58" fillId="0" borderId="0" xfId="0" applyFont="1" applyFill="1" applyBorder="1" applyAlignment="1">
      <alignment vertical="center"/>
    </xf>
    <xf numFmtId="0" fontId="116" fillId="0" borderId="0" xfId="0" applyFont="1" applyBorder="1" applyAlignment="1">
      <alignment vertical="center"/>
    </xf>
    <xf numFmtId="0" fontId="117" fillId="0" borderId="16" xfId="0" applyFont="1" applyBorder="1" applyAlignment="1">
      <alignment horizontal="center" vertical="center"/>
    </xf>
    <xf numFmtId="1" fontId="117" fillId="0" borderId="0" xfId="0" applyNumberFormat="1" applyFont="1" applyBorder="1" applyAlignment="1">
      <alignment horizontal="right" vertical="center" indent="1"/>
    </xf>
    <xf numFmtId="1" fontId="116" fillId="0" borderId="0" xfId="0" applyNumberFormat="1" applyFont="1" applyBorder="1" applyAlignment="1">
      <alignment horizontal="right" vertical="center" indent="1"/>
    </xf>
    <xf numFmtId="1" fontId="117" fillId="0" borderId="16" xfId="0" applyNumberFormat="1" applyFont="1" applyBorder="1" applyAlignment="1">
      <alignment horizontal="right" vertical="center" indent="1"/>
    </xf>
    <xf numFmtId="1" fontId="116" fillId="0" borderId="17" xfId="0" applyNumberFormat="1" applyFont="1" applyBorder="1" applyAlignment="1">
      <alignment horizontal="right" vertical="center" indent="1"/>
    </xf>
    <xf numFmtId="3" fontId="117" fillId="0" borderId="16" xfId="0" applyNumberFormat="1" applyFont="1" applyBorder="1" applyAlignment="1">
      <alignment horizontal="right" vertical="center" indent="1"/>
    </xf>
    <xf numFmtId="3" fontId="117" fillId="0" borderId="0" xfId="0" applyNumberFormat="1" applyFont="1" applyBorder="1" applyAlignment="1">
      <alignment horizontal="right" vertical="center" indent="1"/>
    </xf>
    <xf numFmtId="3" fontId="116" fillId="0" borderId="0" xfId="0" applyNumberFormat="1" applyFont="1" applyBorder="1" applyAlignment="1">
      <alignment horizontal="right" vertical="center" indent="1"/>
    </xf>
    <xf numFmtId="3" fontId="116" fillId="0" borderId="17" xfId="0" applyNumberFormat="1" applyFont="1" applyBorder="1" applyAlignment="1">
      <alignment horizontal="right" vertical="center" indent="1"/>
    </xf>
    <xf numFmtId="3" fontId="117" fillId="0" borderId="17" xfId="0" applyNumberFormat="1" applyFont="1" applyBorder="1" applyAlignment="1">
      <alignment horizontal="right" vertical="center" indent="1"/>
    </xf>
    <xf numFmtId="0" fontId="59" fillId="0" borderId="26" xfId="0" applyFont="1" applyBorder="1" applyAlignment="1">
      <alignment horizontal="center" vertical="center"/>
    </xf>
    <xf numFmtId="0" fontId="59" fillId="0" borderId="36" xfId="0" applyFont="1" applyBorder="1" applyAlignment="1">
      <alignment horizontal="center" vertical="center"/>
    </xf>
    <xf numFmtId="0" fontId="59" fillId="0" borderId="41" xfId="0" applyFont="1" applyBorder="1" applyAlignment="1">
      <alignment horizontal="center" vertical="center"/>
    </xf>
    <xf numFmtId="3" fontId="61" fillId="0" borderId="36" xfId="0" applyNumberFormat="1" applyFont="1" applyBorder="1" applyAlignment="1">
      <alignment horizontal="right" vertical="center" indent="1"/>
    </xf>
    <xf numFmtId="3" fontId="61" fillId="0" borderId="41" xfId="0" applyNumberFormat="1" applyFont="1" applyBorder="1" applyAlignment="1">
      <alignment horizontal="right" vertical="center" indent="1"/>
    </xf>
    <xf numFmtId="0" fontId="59" fillId="0" borderId="31" xfId="0" applyFont="1" applyBorder="1" applyAlignment="1">
      <alignment horizontal="right" vertical="center"/>
    </xf>
    <xf numFmtId="0" fontId="59" fillId="0" borderId="26" xfId="0" applyFont="1" applyBorder="1" applyAlignment="1">
      <alignment horizontal="right" vertical="center"/>
    </xf>
    <xf numFmtId="0" fontId="59" fillId="0" borderId="36" xfId="0" applyFont="1" applyBorder="1" applyAlignment="1">
      <alignment horizontal="right" vertical="center"/>
    </xf>
    <xf numFmtId="0" fontId="59" fillId="0" borderId="41" xfId="0" applyFont="1" applyBorder="1" applyAlignment="1">
      <alignment horizontal="right" vertical="center"/>
    </xf>
    <xf numFmtId="0" fontId="59" fillId="0" borderId="26" xfId="0" applyFont="1" applyBorder="1" applyAlignment="1">
      <alignment horizontal="right" vertical="center" indent="1"/>
    </xf>
    <xf numFmtId="0" fontId="59" fillId="0" borderId="36" xfId="0" applyFont="1" applyBorder="1" applyAlignment="1">
      <alignment horizontal="right" vertical="center" indent="1"/>
    </xf>
    <xf numFmtId="0" fontId="61" fillId="0" borderId="36" xfId="0" applyFont="1" applyBorder="1" applyAlignment="1">
      <alignment horizontal="right" vertical="center" indent="1"/>
    </xf>
    <xf numFmtId="0" fontId="61" fillId="0" borderId="41" xfId="0" applyFont="1" applyBorder="1" applyAlignment="1">
      <alignment horizontal="right" vertical="center" indent="1"/>
    </xf>
    <xf numFmtId="0" fontId="59" fillId="0" borderId="26" xfId="0" applyFont="1" applyBorder="1" applyAlignment="1">
      <alignment vertical="center"/>
    </xf>
    <xf numFmtId="0" fontId="59" fillId="0" borderId="27" xfId="0" applyFont="1" applyBorder="1" applyAlignment="1">
      <alignment horizontal="center" vertical="center"/>
    </xf>
    <xf numFmtId="0" fontId="59" fillId="0" borderId="37" xfId="0" applyFont="1" applyBorder="1" applyAlignment="1">
      <alignment horizontal="center" vertical="center"/>
    </xf>
    <xf numFmtId="0" fontId="59" fillId="0" borderId="42" xfId="0" applyFont="1" applyBorder="1" applyAlignment="1">
      <alignment horizontal="center" vertical="center"/>
    </xf>
    <xf numFmtId="0" fontId="59" fillId="0" borderId="35" xfId="0" applyFont="1" applyBorder="1" applyAlignment="1">
      <alignment horizontal="center" vertical="center"/>
    </xf>
    <xf numFmtId="0" fontId="59" fillId="0" borderId="25" xfId="0" applyFont="1" applyBorder="1" applyAlignment="1">
      <alignment horizontal="center" vertical="center"/>
    </xf>
    <xf numFmtId="0" fontId="59" fillId="0" borderId="40" xfId="0" applyFont="1" applyBorder="1" applyAlignment="1">
      <alignment horizontal="center" vertical="center"/>
    </xf>
    <xf numFmtId="3" fontId="61" fillId="0" borderId="35" xfId="0" applyNumberFormat="1" applyFont="1" applyBorder="1" applyAlignment="1">
      <alignment horizontal="right" vertical="center" indent="1"/>
    </xf>
    <xf numFmtId="3" fontId="61" fillId="0" borderId="40" xfId="0" applyNumberFormat="1" applyFont="1" applyBorder="1" applyAlignment="1">
      <alignment horizontal="right" vertical="center" indent="1"/>
    </xf>
    <xf numFmtId="0" fontId="59" fillId="0" borderId="29" xfId="0" applyFont="1" applyBorder="1" applyAlignment="1">
      <alignment horizontal="center" vertical="center"/>
    </xf>
    <xf numFmtId="0" fontId="59" fillId="0" borderId="39" xfId="0" applyFont="1" applyBorder="1" applyAlignment="1">
      <alignment horizontal="center" vertical="center"/>
    </xf>
    <xf numFmtId="0" fontId="59" fillId="0" borderId="44" xfId="0" applyFont="1" applyBorder="1" applyAlignment="1">
      <alignment horizontal="center" vertical="center"/>
    </xf>
    <xf numFmtId="1" fontId="59" fillId="0" borderId="29" xfId="0" applyNumberFormat="1" applyFont="1" applyBorder="1" applyAlignment="1">
      <alignment horizontal="right" vertical="center" indent="1"/>
    </xf>
    <xf numFmtId="1" fontId="59" fillId="0" borderId="39" xfId="0" applyNumberFormat="1" applyFont="1" applyBorder="1" applyAlignment="1">
      <alignment horizontal="right" vertical="center" indent="1"/>
    </xf>
    <xf numFmtId="1" fontId="61" fillId="0" borderId="39" xfId="0" applyNumberFormat="1" applyFont="1" applyBorder="1" applyAlignment="1">
      <alignment horizontal="right" vertical="center" indent="1"/>
    </xf>
    <xf numFmtId="1" fontId="61" fillId="0" borderId="44" xfId="0" applyNumberFormat="1" applyFont="1" applyBorder="1" applyAlignment="1">
      <alignment horizontal="right" vertical="center" indent="1"/>
    </xf>
    <xf numFmtId="3" fontId="59" fillId="0" borderId="29" xfId="0" applyNumberFormat="1" applyFont="1" applyBorder="1" applyAlignment="1">
      <alignment horizontal="right" vertical="center" indent="1"/>
    </xf>
    <xf numFmtId="3" fontId="59" fillId="0" borderId="39" xfId="0" applyNumberFormat="1" applyFont="1" applyBorder="1" applyAlignment="1">
      <alignment horizontal="right" vertical="center" indent="1"/>
    </xf>
    <xf numFmtId="3" fontId="61" fillId="0" borderId="44" xfId="0" applyNumberFormat="1" applyFont="1" applyBorder="1" applyAlignment="1">
      <alignment horizontal="right" vertical="center" indent="1"/>
    </xf>
    <xf numFmtId="3" fontId="59" fillId="0" borderId="44" xfId="0" applyNumberFormat="1" applyFont="1" applyBorder="1" applyAlignment="1">
      <alignment horizontal="right" vertical="center" indent="1"/>
    </xf>
    <xf numFmtId="0" fontId="118" fillId="0" borderId="0" xfId="66" applyFont="1"/>
    <xf numFmtId="0" fontId="132" fillId="0" borderId="0" xfId="66" applyFont="1"/>
    <xf numFmtId="0" fontId="132" fillId="0" borderId="0" xfId="66" applyFont="1" applyAlignment="1">
      <alignment horizontal="left" vertical="center"/>
    </xf>
    <xf numFmtId="0" fontId="132" fillId="0" borderId="0" xfId="0" applyFont="1" applyAlignment="1">
      <alignment vertical="center"/>
    </xf>
    <xf numFmtId="0" fontId="118" fillId="0" borderId="12" xfId="66" applyFont="1" applyBorder="1" applyAlignment="1">
      <alignment vertical="center"/>
    </xf>
    <xf numFmtId="0" fontId="118" fillId="0" borderId="0" xfId="66" applyFont="1" applyBorder="1" applyAlignment="1">
      <alignment vertical="center"/>
    </xf>
    <xf numFmtId="0" fontId="118" fillId="0" borderId="0" xfId="66" applyFont="1" applyAlignment="1">
      <alignment vertical="center"/>
    </xf>
    <xf numFmtId="0" fontId="135" fillId="0" borderId="0" xfId="0" applyFont="1" applyBorder="1" applyAlignment="1">
      <alignment horizontal="left" vertical="center" wrapText="1" readingOrder="1"/>
    </xf>
    <xf numFmtId="0" fontId="135" fillId="0" borderId="49" xfId="0" applyFont="1" applyBorder="1" applyAlignment="1">
      <alignment horizontal="center" vertical="center" wrapText="1" readingOrder="1"/>
    </xf>
    <xf numFmtId="0" fontId="135" fillId="0" borderId="36" xfId="0" applyFont="1" applyBorder="1" applyAlignment="1">
      <alignment horizontal="center" vertical="center" wrapText="1" readingOrder="1"/>
    </xf>
    <xf numFmtId="3" fontId="58" fillId="0" borderId="25" xfId="0" applyNumberFormat="1" applyFont="1" applyBorder="1" applyAlignment="1">
      <alignment horizontal="right" vertical="center" indent="1"/>
    </xf>
    <xf numFmtId="3" fontId="58" fillId="0" borderId="35" xfId="0" applyNumberFormat="1" applyFont="1" applyBorder="1" applyAlignment="1">
      <alignment horizontal="right" vertical="center" indent="1"/>
    </xf>
    <xf numFmtId="3" fontId="58" fillId="0" borderId="26" xfId="0" applyNumberFormat="1" applyFont="1" applyBorder="1" applyAlignment="1">
      <alignment horizontal="right" vertical="center" indent="1"/>
    </xf>
    <xf numFmtId="3" fontId="58" fillId="0" borderId="36" xfId="0" applyNumberFormat="1" applyFont="1" applyBorder="1" applyAlignment="1">
      <alignment horizontal="right" vertical="center" indent="1"/>
    </xf>
    <xf numFmtId="0" fontId="135" fillId="0" borderId="39" xfId="0" applyFont="1" applyBorder="1" applyAlignment="1">
      <alignment horizontal="center" vertical="center" wrapText="1" readingOrder="1"/>
    </xf>
    <xf numFmtId="3" fontId="58" fillId="0" borderId="29" xfId="0" applyNumberFormat="1" applyFont="1" applyBorder="1" applyAlignment="1">
      <alignment horizontal="right" vertical="center" indent="1"/>
    </xf>
    <xf numFmtId="3" fontId="58" fillId="0" borderId="39" xfId="0" applyNumberFormat="1" applyFont="1" applyBorder="1" applyAlignment="1">
      <alignment horizontal="right" vertical="center" indent="1"/>
    </xf>
    <xf numFmtId="0" fontId="132" fillId="0" borderId="12" xfId="0" applyFont="1" applyBorder="1" applyAlignment="1">
      <alignment vertical="center"/>
    </xf>
    <xf numFmtId="0" fontId="64" fillId="24" borderId="13" xfId="0" applyFont="1" applyFill="1" applyBorder="1" applyAlignment="1">
      <alignment horizontal="center" vertical="center"/>
    </xf>
    <xf numFmtId="0" fontId="64" fillId="24" borderId="14" xfId="0" applyFont="1" applyFill="1" applyBorder="1" applyAlignment="1">
      <alignment horizontal="center" vertical="center"/>
    </xf>
    <xf numFmtId="0" fontId="64" fillId="24" borderId="10" xfId="0" applyFont="1" applyFill="1" applyBorder="1" applyAlignment="1">
      <alignment horizontal="center" vertical="center"/>
    </xf>
    <xf numFmtId="0" fontId="92" fillId="0" borderId="15" xfId="66" applyFont="1" applyFill="1" applyBorder="1" applyAlignment="1">
      <alignment vertical="center" wrapText="1"/>
    </xf>
    <xf numFmtId="0" fontId="92" fillId="0" borderId="22" xfId="66" applyFont="1" applyFill="1" applyBorder="1" applyAlignment="1">
      <alignment vertical="center" wrapText="1"/>
    </xf>
    <xf numFmtId="0" fontId="63" fillId="0" borderId="15" xfId="66" applyFont="1" applyFill="1" applyBorder="1" applyAlignment="1">
      <alignment vertical="center" wrapText="1"/>
    </xf>
    <xf numFmtId="0" fontId="63" fillId="0" borderId="22" xfId="66" applyFont="1" applyFill="1" applyBorder="1" applyAlignment="1">
      <alignment vertical="center" wrapText="1"/>
    </xf>
    <xf numFmtId="3" fontId="58" fillId="0" borderId="12" xfId="66" applyNumberFormat="1" applyFont="1" applyFill="1" applyBorder="1" applyAlignment="1">
      <alignment horizontal="right" vertical="center" indent="1"/>
    </xf>
    <xf numFmtId="3" fontId="58" fillId="0" borderId="0" xfId="66" applyNumberFormat="1" applyFont="1" applyFill="1" applyBorder="1" applyAlignment="1">
      <alignment horizontal="right" vertical="center" indent="1"/>
    </xf>
    <xf numFmtId="3" fontId="58" fillId="0" borderId="12" xfId="66" applyNumberFormat="1" applyFont="1" applyFill="1" applyBorder="1" applyAlignment="1" applyProtection="1">
      <alignment horizontal="right" vertical="center" indent="1"/>
    </xf>
    <xf numFmtId="3" fontId="58" fillId="0" borderId="0" xfId="66" applyNumberFormat="1" applyFont="1" applyFill="1" applyBorder="1" applyAlignment="1" applyProtection="1">
      <alignment horizontal="right" vertical="center" indent="1"/>
    </xf>
    <xf numFmtId="3" fontId="58" fillId="0" borderId="24" xfId="66" applyNumberFormat="1" applyFont="1" applyFill="1" applyBorder="1" applyAlignment="1" applyProtection="1">
      <alignment horizontal="right" vertical="center" indent="1"/>
    </xf>
    <xf numFmtId="0" fontId="58" fillId="0" borderId="11" xfId="66" applyFont="1" applyBorder="1" applyAlignment="1">
      <alignment horizontal="center" vertical="center"/>
    </xf>
    <xf numFmtId="3" fontId="58" fillId="0" borderId="11" xfId="66" applyNumberFormat="1" applyFont="1" applyBorder="1" applyAlignment="1">
      <alignment horizontal="right" vertical="center" indent="1"/>
    </xf>
    <xf numFmtId="3" fontId="58" fillId="0" borderId="12" xfId="66" applyNumberFormat="1" applyFont="1" applyBorder="1" applyAlignment="1">
      <alignment horizontal="right" vertical="center" indent="1"/>
    </xf>
    <xf numFmtId="3" fontId="58" fillId="0" borderId="15" xfId="66" applyNumberFormat="1" applyFont="1" applyBorder="1" applyAlignment="1">
      <alignment horizontal="right" vertical="center" indent="1"/>
    </xf>
    <xf numFmtId="3" fontId="62" fillId="0" borderId="0" xfId="66" applyNumberFormat="1" applyFont="1" applyFill="1" applyBorder="1"/>
    <xf numFmtId="0" fontId="67" fillId="0" borderId="12" xfId="66" applyFont="1" applyBorder="1" applyAlignment="1">
      <alignment horizontal="left" vertical="center"/>
    </xf>
    <xf numFmtId="0" fontId="67" fillId="0" borderId="0" xfId="66" applyFont="1" applyAlignment="1">
      <alignment horizontal="left" vertical="center"/>
    </xf>
    <xf numFmtId="3" fontId="96" fillId="0" borderId="0" xfId="66" applyNumberFormat="1" applyFont="1" applyFill="1" applyBorder="1" applyAlignment="1">
      <alignment vertical="center"/>
    </xf>
    <xf numFmtId="0" fontId="92" fillId="0" borderId="12" xfId="0" applyFont="1" applyFill="1" applyBorder="1" applyAlignment="1">
      <alignment horizontal="left" vertical="center" wrapText="1"/>
    </xf>
    <xf numFmtId="0" fontId="92" fillId="0" borderId="24" xfId="0" applyFont="1" applyFill="1" applyBorder="1" applyAlignment="1">
      <alignment horizontal="left" vertical="center" wrapText="1"/>
    </xf>
    <xf numFmtId="0" fontId="63" fillId="0" borderId="12" xfId="0" applyFont="1" applyFill="1" applyBorder="1" applyAlignment="1">
      <alignment horizontal="left" vertical="center" wrapText="1"/>
    </xf>
    <xf numFmtId="0" fontId="63" fillId="0" borderId="24" xfId="0" applyFont="1" applyFill="1" applyBorder="1" applyAlignment="1">
      <alignment horizontal="left" vertical="center" wrapText="1"/>
    </xf>
    <xf numFmtId="0" fontId="59" fillId="0" borderId="15" xfId="0" applyFont="1" applyFill="1" applyBorder="1" applyAlignment="1">
      <alignment vertical="center"/>
    </xf>
    <xf numFmtId="0" fontId="58" fillId="0" borderId="16" xfId="0" applyFont="1" applyFill="1" applyBorder="1" applyAlignment="1">
      <alignment vertical="center"/>
    </xf>
    <xf numFmtId="0" fontId="117" fillId="0" borderId="20" xfId="0" applyFont="1" applyBorder="1" applyAlignment="1">
      <alignment horizontal="center" vertical="center"/>
    </xf>
    <xf numFmtId="3" fontId="117" fillId="0" borderId="20" xfId="0" applyNumberFormat="1" applyFont="1" applyBorder="1" applyAlignment="1">
      <alignment horizontal="right" vertical="center" indent="1"/>
    </xf>
    <xf numFmtId="3" fontId="117" fillId="0" borderId="24" xfId="0" applyNumberFormat="1" applyFont="1" applyBorder="1" applyAlignment="1">
      <alignment horizontal="right" vertical="center" indent="1"/>
    </xf>
    <xf numFmtId="3" fontId="116" fillId="0" borderId="22" xfId="0" applyNumberFormat="1" applyFont="1" applyBorder="1" applyAlignment="1">
      <alignment horizontal="right" vertical="center" indent="1"/>
    </xf>
    <xf numFmtId="0" fontId="91" fillId="0" borderId="12" xfId="0" applyFont="1" applyFill="1" applyBorder="1" applyAlignment="1">
      <alignment vertical="center" wrapText="1"/>
    </xf>
    <xf numFmtId="0" fontId="91" fillId="0" borderId="24" xfId="0" applyFont="1" applyFill="1" applyBorder="1" applyAlignment="1">
      <alignment vertical="center" wrapText="1"/>
    </xf>
    <xf numFmtId="0" fontId="89" fillId="0" borderId="20" xfId="0" applyFont="1" applyFill="1" applyBorder="1" applyAlignment="1">
      <alignment vertical="center"/>
    </xf>
    <xf numFmtId="0" fontId="89" fillId="0" borderId="24" xfId="0" applyFont="1" applyFill="1" applyBorder="1" applyAlignment="1">
      <alignment vertical="center"/>
    </xf>
    <xf numFmtId="0" fontId="90" fillId="0" borderId="24" xfId="0" applyFont="1" applyFill="1" applyBorder="1" applyAlignment="1">
      <alignment vertical="center"/>
    </xf>
    <xf numFmtId="0" fontId="90" fillId="0" borderId="22" xfId="0" applyFont="1" applyFill="1" applyBorder="1" applyAlignment="1">
      <alignment vertical="center"/>
    </xf>
    <xf numFmtId="0" fontId="94" fillId="0" borderId="24" xfId="0" applyFont="1" applyFill="1" applyBorder="1" applyAlignment="1">
      <alignment vertical="center"/>
    </xf>
    <xf numFmtId="0" fontId="95" fillId="0" borderId="22" xfId="0" applyFont="1" applyFill="1" applyBorder="1" applyAlignment="1">
      <alignment vertical="center"/>
    </xf>
    <xf numFmtId="0" fontId="69" fillId="0" borderId="12" xfId="0" applyFont="1" applyFill="1" applyBorder="1" applyAlignment="1">
      <alignment vertical="center" wrapText="1"/>
    </xf>
    <xf numFmtId="0" fontId="69" fillId="0" borderId="24" xfId="0" applyFont="1" applyFill="1" applyBorder="1" applyAlignment="1">
      <alignment vertical="center" wrapText="1"/>
    </xf>
    <xf numFmtId="0" fontId="61" fillId="28" borderId="31" xfId="0" applyFont="1" applyFill="1" applyBorder="1" applyAlignment="1">
      <alignment horizontal="center" vertical="center"/>
    </xf>
    <xf numFmtId="0" fontId="61" fillId="28" borderId="26" xfId="0" applyFont="1" applyFill="1" applyBorder="1" applyAlignment="1">
      <alignment horizontal="center" vertical="center"/>
    </xf>
    <xf numFmtId="0" fontId="61" fillId="28" borderId="36" xfId="0" applyFont="1" applyFill="1" applyBorder="1" applyAlignment="1">
      <alignment horizontal="center" vertical="center"/>
    </xf>
    <xf numFmtId="0" fontId="61" fillId="28" borderId="41" xfId="0" applyFont="1" applyFill="1" applyBorder="1" applyAlignment="1">
      <alignment horizontal="center" vertical="center"/>
    </xf>
    <xf numFmtId="1" fontId="61" fillId="28" borderId="26" xfId="0" applyNumberFormat="1" applyFont="1" applyFill="1" applyBorder="1" applyAlignment="1">
      <alignment horizontal="right" vertical="center" indent="1"/>
    </xf>
    <xf numFmtId="1" fontId="61" fillId="28" borderId="36" xfId="0" applyNumberFormat="1" applyFont="1" applyFill="1" applyBorder="1" applyAlignment="1">
      <alignment horizontal="right" vertical="center" indent="1"/>
    </xf>
    <xf numFmtId="1" fontId="61" fillId="28" borderId="41" xfId="0" applyNumberFormat="1" applyFont="1" applyFill="1" applyBorder="1" applyAlignment="1">
      <alignment horizontal="right" vertical="center" indent="1"/>
    </xf>
    <xf numFmtId="3" fontId="61" fillId="28" borderId="26" xfId="0" applyNumberFormat="1" applyFont="1" applyFill="1" applyBorder="1" applyAlignment="1">
      <alignment horizontal="right" vertical="center" indent="1"/>
    </xf>
    <xf numFmtId="3" fontId="61" fillId="28" borderId="36" xfId="0" applyNumberFormat="1" applyFont="1" applyFill="1" applyBorder="1" applyAlignment="1">
      <alignment horizontal="right" vertical="center" indent="1"/>
    </xf>
    <xf numFmtId="3" fontId="61" fillId="28" borderId="41" xfId="0" applyNumberFormat="1" applyFont="1" applyFill="1" applyBorder="1" applyAlignment="1">
      <alignment horizontal="right" vertical="center" indent="1"/>
    </xf>
    <xf numFmtId="0" fontId="68" fillId="0" borderId="24" xfId="48" applyFont="1" applyBorder="1" applyAlignment="1">
      <alignment vertical="center"/>
    </xf>
    <xf numFmtId="0" fontId="69" fillId="0" borderId="12" xfId="0" applyFont="1" applyBorder="1" applyAlignment="1">
      <alignment wrapText="1"/>
    </xf>
    <xf numFmtId="0" fontId="69" fillId="0" borderId="0" xfId="0" applyFont="1" applyAlignment="1">
      <alignment horizontal="left" wrapText="1"/>
    </xf>
    <xf numFmtId="3" fontId="117" fillId="0" borderId="11" xfId="0" applyNumberFormat="1" applyFont="1" applyBorder="1" applyAlignment="1">
      <alignment horizontal="right" vertical="center" indent="1"/>
    </xf>
    <xf numFmtId="3" fontId="117" fillId="0" borderId="12" xfId="0" applyNumberFormat="1" applyFont="1" applyBorder="1" applyAlignment="1">
      <alignment horizontal="right" vertical="center" indent="1"/>
    </xf>
    <xf numFmtId="3" fontId="117" fillId="0" borderId="15" xfId="0" applyNumberFormat="1" applyFont="1" applyBorder="1" applyAlignment="1">
      <alignment horizontal="right" vertical="center" indent="1"/>
    </xf>
    <xf numFmtId="3" fontId="117" fillId="0" borderId="22" xfId="0" applyNumberFormat="1" applyFont="1" applyBorder="1" applyAlignment="1">
      <alignment horizontal="right" vertical="center" indent="1"/>
    </xf>
    <xf numFmtId="0" fontId="106" fillId="0" borderId="0" xfId="0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63" fillId="0" borderId="0" xfId="0" applyFont="1" applyAlignment="1">
      <alignment horizontal="left" vertical="center"/>
    </xf>
    <xf numFmtId="168" fontId="58" fillId="0" borderId="0" xfId="57" applyNumberFormat="1" applyFont="1"/>
    <xf numFmtId="165" fontId="0" fillId="0" borderId="0" xfId="0" applyNumberFormat="1"/>
    <xf numFmtId="9" fontId="0" fillId="0" borderId="0" xfId="57" applyFont="1"/>
    <xf numFmtId="0" fontId="57" fillId="0" borderId="0" xfId="73" applyAlignment="1">
      <alignment horizontal="center" vertical="center"/>
    </xf>
    <xf numFmtId="0" fontId="63" fillId="0" borderId="0" xfId="73" applyFont="1" applyAlignment="1">
      <alignment horizontal="left" vertical="center"/>
    </xf>
    <xf numFmtId="0" fontId="137" fillId="0" borderId="14" xfId="0" applyFont="1" applyBorder="1"/>
    <xf numFmtId="0" fontId="116" fillId="0" borderId="14" xfId="0" applyFont="1" applyFill="1" applyBorder="1" applyAlignment="1">
      <alignment horizontal="center" vertical="top" wrapText="1"/>
    </xf>
    <xf numFmtId="0" fontId="116" fillId="0" borderId="15" xfId="0" applyFont="1" applyBorder="1" applyAlignment="1">
      <alignment horizontal="center"/>
    </xf>
    <xf numFmtId="3" fontId="117" fillId="0" borderId="21" xfId="0" applyNumberFormat="1" applyFont="1" applyBorder="1" applyAlignment="1">
      <alignment horizontal="right" indent="1"/>
    </xf>
    <xf numFmtId="0" fontId="116" fillId="0" borderId="17" xfId="0" applyFont="1" applyBorder="1" applyAlignment="1">
      <alignment horizontal="center"/>
    </xf>
    <xf numFmtId="0" fontId="117" fillId="0" borderId="0" xfId="0" applyFont="1" applyAlignment="1">
      <alignment horizontal="center"/>
    </xf>
    <xf numFmtId="3" fontId="117" fillId="0" borderId="19" xfId="0" applyNumberFormat="1" applyFont="1" applyBorder="1" applyAlignment="1">
      <alignment horizontal="right" indent="1"/>
    </xf>
    <xf numFmtId="3" fontId="117" fillId="0" borderId="23" xfId="0" applyNumberFormat="1" applyFont="1" applyBorder="1" applyAlignment="1">
      <alignment horizontal="right" indent="1"/>
    </xf>
    <xf numFmtId="0" fontId="116" fillId="0" borderId="19" xfId="0" applyFont="1" applyBorder="1" applyAlignment="1">
      <alignment horizontal="center"/>
    </xf>
    <xf numFmtId="0" fontId="116" fillId="0" borderId="21" xfId="0" applyFont="1" applyBorder="1" applyAlignment="1">
      <alignment horizontal="center"/>
    </xf>
    <xf numFmtId="0" fontId="116" fillId="0" borderId="12" xfId="0" applyFont="1" applyBorder="1" applyAlignment="1">
      <alignment horizontal="center"/>
    </xf>
    <xf numFmtId="3" fontId="116" fillId="0" borderId="19" xfId="0" applyNumberFormat="1" applyFont="1" applyBorder="1" applyAlignment="1">
      <alignment horizontal="right" indent="1"/>
    </xf>
    <xf numFmtId="0" fontId="116" fillId="0" borderId="0" xfId="0" applyFont="1" applyBorder="1" applyAlignment="1">
      <alignment horizontal="center"/>
    </xf>
    <xf numFmtId="3" fontId="116" fillId="0" borderId="21" xfId="0" applyNumberFormat="1" applyFont="1" applyBorder="1" applyAlignment="1">
      <alignment horizontal="right" indent="1"/>
    </xf>
    <xf numFmtId="0" fontId="116" fillId="0" borderId="24" xfId="0" applyFont="1" applyBorder="1" applyAlignment="1">
      <alignment horizontal="center"/>
    </xf>
    <xf numFmtId="3" fontId="116" fillId="0" borderId="23" xfId="0" applyNumberFormat="1" applyFont="1" applyBorder="1" applyAlignment="1">
      <alignment horizontal="right" indent="1"/>
    </xf>
    <xf numFmtId="3" fontId="117" fillId="0" borderId="12" xfId="66" applyNumberFormat="1" applyFont="1" applyFill="1" applyBorder="1" applyAlignment="1">
      <alignment horizontal="right" vertical="center" indent="1"/>
    </xf>
    <xf numFmtId="3" fontId="117" fillId="0" borderId="11" xfId="66" applyNumberFormat="1" applyFont="1" applyFill="1" applyBorder="1" applyAlignment="1">
      <alignment horizontal="right" vertical="center" indent="1"/>
    </xf>
    <xf numFmtId="3" fontId="117" fillId="0" borderId="15" xfId="66" applyNumberFormat="1" applyFont="1" applyFill="1" applyBorder="1" applyAlignment="1">
      <alignment horizontal="right" vertical="center" indent="1"/>
    </xf>
    <xf numFmtId="3" fontId="117" fillId="0" borderId="0" xfId="66" applyNumberFormat="1" applyFont="1" applyFill="1" applyBorder="1" applyAlignment="1">
      <alignment horizontal="right" vertical="center" indent="1"/>
    </xf>
    <xf numFmtId="3" fontId="117" fillId="0" borderId="16" xfId="66" applyNumberFormat="1" applyFont="1" applyFill="1" applyBorder="1" applyAlignment="1">
      <alignment horizontal="right" vertical="center" indent="1"/>
    </xf>
    <xf numFmtId="3" fontId="117" fillId="0" borderId="17" xfId="66" applyNumberFormat="1" applyFont="1" applyFill="1" applyBorder="1" applyAlignment="1">
      <alignment horizontal="right" vertical="center" indent="1"/>
    </xf>
    <xf numFmtId="3" fontId="117" fillId="0" borderId="24" xfId="66" applyNumberFormat="1" applyFont="1" applyFill="1" applyBorder="1" applyAlignment="1">
      <alignment horizontal="right" vertical="center" indent="1"/>
    </xf>
    <xf numFmtId="3" fontId="117" fillId="0" borderId="20" xfId="66" applyNumberFormat="1" applyFont="1" applyFill="1" applyBorder="1" applyAlignment="1">
      <alignment horizontal="right" vertical="center" indent="1"/>
    </xf>
    <xf numFmtId="3" fontId="117" fillId="0" borderId="22" xfId="66" applyNumberFormat="1" applyFont="1" applyFill="1" applyBorder="1" applyAlignment="1">
      <alignment horizontal="right" vertical="center" indent="1"/>
    </xf>
    <xf numFmtId="0" fontId="117" fillId="0" borderId="0" xfId="0" applyFont="1" applyFill="1" applyAlignment="1">
      <alignment vertical="center"/>
    </xf>
    <xf numFmtId="165" fontId="56" fillId="0" borderId="12" xfId="67" applyNumberFormat="1" applyFont="1" applyFill="1" applyBorder="1" applyAlignment="1">
      <alignment vertical="center"/>
    </xf>
    <xf numFmtId="165" fontId="120" fillId="0" borderId="15" xfId="67" applyNumberFormat="1" applyFont="1" applyFill="1" applyBorder="1" applyAlignment="1">
      <alignment vertical="center"/>
    </xf>
    <xf numFmtId="165" fontId="56" fillId="0" borderId="12" xfId="68" applyNumberFormat="1" applyFont="1" applyFill="1" applyBorder="1" applyAlignment="1">
      <alignment vertical="center"/>
    </xf>
    <xf numFmtId="165" fontId="120" fillId="0" borderId="15" xfId="68" applyNumberFormat="1" applyFont="1" applyFill="1" applyBorder="1" applyAlignment="1">
      <alignment vertical="center"/>
    </xf>
    <xf numFmtId="165" fontId="56" fillId="0" borderId="11" xfId="68" applyNumberFormat="1" applyFont="1" applyFill="1" applyBorder="1" applyAlignment="1">
      <alignment vertical="center"/>
    </xf>
    <xf numFmtId="165" fontId="56" fillId="0" borderId="0" xfId="67" applyNumberFormat="1" applyFont="1" applyFill="1" applyBorder="1" applyAlignment="1">
      <alignment vertical="center"/>
    </xf>
    <xf numFmtId="165" fontId="120" fillId="0" borderId="17" xfId="67" applyNumberFormat="1" applyFont="1" applyFill="1" applyBorder="1" applyAlignment="1">
      <alignment vertical="center"/>
    </xf>
    <xf numFmtId="165" fontId="56" fillId="0" borderId="0" xfId="68" applyNumberFormat="1" applyFont="1" applyFill="1" applyBorder="1" applyAlignment="1">
      <alignment vertical="center"/>
    </xf>
    <xf numFmtId="165" fontId="120" fillId="0" borderId="17" xfId="68" applyNumberFormat="1" applyFont="1" applyFill="1" applyBorder="1" applyAlignment="1">
      <alignment vertical="center"/>
    </xf>
    <xf numFmtId="165" fontId="56" fillId="0" borderId="16" xfId="68" applyNumberFormat="1" applyFont="1" applyFill="1" applyBorder="1" applyAlignment="1">
      <alignment vertical="center"/>
    </xf>
    <xf numFmtId="165" fontId="117" fillId="0" borderId="0" xfId="0" applyNumberFormat="1" applyFont="1" applyFill="1" applyAlignment="1">
      <alignment vertical="center"/>
    </xf>
    <xf numFmtId="165" fontId="56" fillId="0" borderId="11" xfId="67" applyNumberFormat="1" applyFont="1" applyFill="1" applyBorder="1" applyAlignment="1">
      <alignment vertical="center"/>
    </xf>
    <xf numFmtId="165" fontId="120" fillId="0" borderId="12" xfId="68" applyNumberFormat="1" applyFont="1" applyFill="1" applyBorder="1" applyAlignment="1">
      <alignment vertical="center"/>
    </xf>
    <xf numFmtId="165" fontId="56" fillId="0" borderId="16" xfId="67" applyNumberFormat="1" applyFont="1" applyFill="1" applyBorder="1" applyAlignment="1">
      <alignment vertical="center"/>
    </xf>
    <xf numFmtId="165" fontId="120" fillId="0" borderId="0" xfId="68" applyNumberFormat="1" applyFont="1" applyFill="1" applyBorder="1" applyAlignment="1">
      <alignment vertical="center"/>
    </xf>
    <xf numFmtId="165" fontId="120" fillId="0" borderId="12" xfId="67" applyNumberFormat="1" applyFont="1" applyFill="1" applyBorder="1" applyAlignment="1">
      <alignment vertical="center"/>
    </xf>
    <xf numFmtId="165" fontId="120" fillId="0" borderId="0" xfId="67" applyNumberFormat="1" applyFont="1" applyFill="1" applyBorder="1" applyAlignment="1">
      <alignment vertical="center"/>
    </xf>
    <xf numFmtId="0" fontId="117" fillId="0" borderId="0" xfId="66" applyFont="1" applyFill="1" applyBorder="1" applyAlignment="1">
      <alignment vertical="center"/>
    </xf>
    <xf numFmtId="0" fontId="117" fillId="0" borderId="19" xfId="66" applyFont="1" applyFill="1" applyBorder="1" applyAlignment="1">
      <alignment horizontal="center" vertical="center"/>
    </xf>
    <xf numFmtId="3" fontId="116" fillId="0" borderId="12" xfId="66" applyNumberFormat="1" applyFont="1" applyFill="1" applyBorder="1" applyAlignment="1">
      <alignment horizontal="right" vertical="center" indent="1"/>
    </xf>
    <xf numFmtId="3" fontId="116" fillId="0" borderId="15" xfId="66" applyNumberFormat="1" applyFont="1" applyFill="1" applyBorder="1" applyAlignment="1">
      <alignment horizontal="right" vertical="center" indent="1"/>
    </xf>
    <xf numFmtId="3" fontId="117" fillId="0" borderId="11" xfId="66" applyNumberFormat="1" applyFont="1" applyFill="1" applyBorder="1" applyAlignment="1">
      <alignment vertical="center"/>
    </xf>
    <xf numFmtId="3" fontId="117" fillId="0" borderId="12" xfId="66" applyNumberFormat="1" applyFont="1" applyFill="1" applyBorder="1" applyAlignment="1">
      <alignment vertical="center"/>
    </xf>
    <xf numFmtId="3" fontId="117" fillId="0" borderId="15" xfId="66" applyNumberFormat="1" applyFont="1" applyFill="1" applyBorder="1" applyAlignment="1">
      <alignment vertical="center"/>
    </xf>
    <xf numFmtId="0" fontId="117" fillId="0" borderId="21" xfId="66" applyFont="1" applyFill="1" applyBorder="1" applyAlignment="1">
      <alignment horizontal="center" vertical="center"/>
    </xf>
    <xf numFmtId="3" fontId="116" fillId="0" borderId="0" xfId="66" applyNumberFormat="1" applyFont="1" applyFill="1" applyBorder="1" applyAlignment="1">
      <alignment horizontal="right" vertical="center" indent="1"/>
    </xf>
    <xf numFmtId="3" fontId="116" fillId="0" borderId="17" xfId="66" applyNumberFormat="1" applyFont="1" applyFill="1" applyBorder="1" applyAlignment="1">
      <alignment horizontal="right" vertical="center" indent="1"/>
    </xf>
    <xf numFmtId="3" fontId="117" fillId="0" borderId="16" xfId="66" applyNumberFormat="1" applyFont="1" applyFill="1" applyBorder="1" applyAlignment="1">
      <alignment vertical="center"/>
    </xf>
    <xf numFmtId="3" fontId="117" fillId="0" borderId="0" xfId="66" applyNumberFormat="1" applyFont="1" applyFill="1" applyBorder="1" applyAlignment="1">
      <alignment vertical="center"/>
    </xf>
    <xf numFmtId="3" fontId="117" fillId="0" borderId="17" xfId="66" applyNumberFormat="1" applyFont="1" applyFill="1" applyBorder="1" applyAlignment="1">
      <alignment vertical="center"/>
    </xf>
    <xf numFmtId="0" fontId="117" fillId="0" borderId="23" xfId="66" applyFont="1" applyFill="1" applyBorder="1" applyAlignment="1">
      <alignment horizontal="center" vertical="center"/>
    </xf>
    <xf numFmtId="3" fontId="116" fillId="0" borderId="24" xfId="66" applyNumberFormat="1" applyFont="1" applyFill="1" applyBorder="1" applyAlignment="1">
      <alignment horizontal="right" vertical="center" indent="1"/>
    </xf>
    <xf numFmtId="3" fontId="116" fillId="0" borderId="22" xfId="66" applyNumberFormat="1" applyFont="1" applyFill="1" applyBorder="1" applyAlignment="1">
      <alignment horizontal="right" vertical="center" indent="1"/>
    </xf>
    <xf numFmtId="3" fontId="117" fillId="0" borderId="20" xfId="66" applyNumberFormat="1" applyFont="1" applyFill="1" applyBorder="1" applyAlignment="1">
      <alignment vertical="center"/>
    </xf>
    <xf numFmtId="3" fontId="117" fillId="0" borderId="24" xfId="66" applyNumberFormat="1" applyFont="1" applyFill="1" applyBorder="1" applyAlignment="1">
      <alignment vertical="center"/>
    </xf>
    <xf numFmtId="3" fontId="117" fillId="0" borderId="22" xfId="66" applyNumberFormat="1" applyFont="1" applyFill="1" applyBorder="1" applyAlignment="1">
      <alignment vertical="center"/>
    </xf>
    <xf numFmtId="0" fontId="117" fillId="0" borderId="0" xfId="52" applyFont="1" applyFill="1" applyBorder="1" applyAlignment="1">
      <alignment horizontal="left" vertical="center"/>
    </xf>
    <xf numFmtId="0" fontId="117" fillId="0" borderId="17" xfId="66" applyFont="1" applyFill="1" applyBorder="1" applyAlignment="1">
      <alignment horizontal="center" vertical="center"/>
    </xf>
    <xf numFmtId="3" fontId="125" fillId="0" borderId="0" xfId="53" applyNumberFormat="1" applyFont="1" applyFill="1" applyBorder="1" applyAlignment="1">
      <alignment horizontal="right" vertical="center" indent="1"/>
    </xf>
    <xf numFmtId="3" fontId="125" fillId="0" borderId="20" xfId="53" applyNumberFormat="1" applyFont="1" applyFill="1" applyBorder="1" applyAlignment="1">
      <alignment horizontal="right" vertical="center" indent="1"/>
    </xf>
    <xf numFmtId="3" fontId="125" fillId="0" borderId="24" xfId="53" applyNumberFormat="1" applyFont="1" applyFill="1" applyBorder="1" applyAlignment="1">
      <alignment horizontal="right" vertical="center" indent="1"/>
    </xf>
    <xf numFmtId="0" fontId="117" fillId="0" borderId="0" xfId="66" applyFont="1" applyFill="1" applyBorder="1" applyAlignment="1">
      <alignment horizontal="center" vertical="center"/>
    </xf>
    <xf numFmtId="0" fontId="60" fillId="0" borderId="0" xfId="66" applyFont="1" applyFill="1" applyBorder="1" applyAlignment="1">
      <alignment horizontal="center" vertical="center"/>
    </xf>
    <xf numFmtId="3" fontId="62" fillId="0" borderId="0" xfId="66" applyNumberFormat="1" applyFont="1" applyFill="1" applyBorder="1" applyAlignment="1">
      <alignment vertical="center"/>
    </xf>
    <xf numFmtId="0" fontId="70" fillId="0" borderId="0" xfId="66" applyFont="1" applyAlignment="1">
      <alignment horizontal="left" vertical="center"/>
    </xf>
    <xf numFmtId="3" fontId="58" fillId="0" borderId="20" xfId="66" applyNumberFormat="1" applyFont="1" applyBorder="1" applyAlignment="1">
      <alignment horizontal="right" vertical="center" indent="1"/>
    </xf>
    <xf numFmtId="1" fontId="61" fillId="0" borderId="0" xfId="66" applyNumberFormat="1" applyFont="1" applyAlignment="1">
      <alignment vertical="center"/>
    </xf>
    <xf numFmtId="3" fontId="58" fillId="0" borderId="11" xfId="66" applyNumberFormat="1" applyFont="1" applyFill="1" applyBorder="1" applyAlignment="1">
      <alignment horizontal="right" vertical="center" indent="1"/>
    </xf>
    <xf numFmtId="3" fontId="58" fillId="0" borderId="15" xfId="66" applyNumberFormat="1" applyFont="1" applyFill="1" applyBorder="1" applyAlignment="1">
      <alignment horizontal="right" vertical="center" indent="1"/>
    </xf>
    <xf numFmtId="3" fontId="58" fillId="0" borderId="16" xfId="66" applyNumberFormat="1" applyFont="1" applyFill="1" applyBorder="1" applyAlignment="1">
      <alignment horizontal="right" vertical="center" indent="1"/>
    </xf>
    <xf numFmtId="3" fontId="58" fillId="0" borderId="17" xfId="66" applyNumberFormat="1" applyFont="1" applyFill="1" applyBorder="1" applyAlignment="1">
      <alignment horizontal="right" vertical="center" indent="1"/>
    </xf>
    <xf numFmtId="3" fontId="58" fillId="0" borderId="0" xfId="66" applyNumberFormat="1" applyFont="1" applyFill="1" applyBorder="1" applyAlignment="1" applyProtection="1">
      <alignment horizontal="right" vertical="center" indent="1"/>
      <protection locked="0"/>
    </xf>
    <xf numFmtId="3" fontId="58" fillId="0" borderId="17" xfId="66" applyNumberFormat="1" applyFont="1" applyFill="1" applyBorder="1" applyAlignment="1" applyProtection="1">
      <alignment horizontal="right" vertical="center" indent="1"/>
    </xf>
    <xf numFmtId="3" fontId="58" fillId="0" borderId="16" xfId="66" applyNumberFormat="1" applyFont="1" applyFill="1" applyBorder="1" applyAlignment="1" applyProtection="1">
      <alignment horizontal="right" vertical="center" indent="1"/>
    </xf>
    <xf numFmtId="3" fontId="58" fillId="0" borderId="16" xfId="66" applyNumberFormat="1" applyFont="1" applyFill="1" applyBorder="1" applyAlignment="1" applyProtection="1">
      <alignment horizontal="right" vertical="center" indent="1"/>
      <protection locked="0"/>
    </xf>
    <xf numFmtId="3" fontId="58" fillId="0" borderId="20" xfId="66" applyNumberFormat="1" applyFont="1" applyFill="1" applyBorder="1" applyAlignment="1" applyProtection="1">
      <alignment horizontal="right" vertical="center" indent="1"/>
      <protection locked="0"/>
    </xf>
    <xf numFmtId="3" fontId="58" fillId="0" borderId="24" xfId="66" applyNumberFormat="1" applyFont="1" applyFill="1" applyBorder="1" applyAlignment="1" applyProtection="1">
      <alignment horizontal="right" vertical="center" indent="1"/>
      <protection locked="0"/>
    </xf>
    <xf numFmtId="3" fontId="58" fillId="0" borderId="22" xfId="66" applyNumberFormat="1" applyFont="1" applyFill="1" applyBorder="1" applyAlignment="1" applyProtection="1">
      <alignment horizontal="right" vertical="center" indent="1"/>
    </xf>
    <xf numFmtId="3" fontId="58" fillId="0" borderId="20" xfId="66" applyNumberFormat="1" applyFont="1" applyFill="1" applyBorder="1" applyAlignment="1" applyProtection="1">
      <alignment horizontal="right" vertical="center" indent="1"/>
    </xf>
    <xf numFmtId="0" fontId="63" fillId="0" borderId="0" xfId="66" applyFont="1" applyFill="1" applyBorder="1"/>
    <xf numFmtId="3" fontId="58" fillId="0" borderId="11" xfId="66" applyNumberFormat="1" applyFont="1" applyFill="1" applyBorder="1" applyAlignment="1" applyProtection="1">
      <alignment horizontal="right" vertical="center" indent="1"/>
      <protection locked="0"/>
    </xf>
    <xf numFmtId="3" fontId="58" fillId="0" borderId="12" xfId="66" applyNumberFormat="1" applyFont="1" applyFill="1" applyBorder="1" applyAlignment="1" applyProtection="1">
      <alignment horizontal="right" vertical="center" indent="1"/>
      <protection locked="0"/>
    </xf>
    <xf numFmtId="3" fontId="58" fillId="0" borderId="15" xfId="66" applyNumberFormat="1" applyFont="1" applyFill="1" applyBorder="1" applyAlignment="1" applyProtection="1">
      <alignment horizontal="right" vertical="center" indent="1"/>
    </xf>
    <xf numFmtId="3" fontId="58" fillId="0" borderId="11" xfId="66" applyNumberFormat="1" applyFont="1" applyFill="1" applyBorder="1" applyAlignment="1" applyProtection="1">
      <alignment horizontal="right" vertical="center" indent="1"/>
    </xf>
    <xf numFmtId="0" fontId="58" fillId="0" borderId="0" xfId="66" applyFont="1" applyFill="1" applyBorder="1"/>
    <xf numFmtId="3" fontId="117" fillId="0" borderId="30" xfId="66" applyNumberFormat="1" applyFont="1" applyFill="1" applyBorder="1" applyAlignment="1">
      <alignment horizontal="right" vertical="center" indent="1"/>
    </xf>
    <xf numFmtId="3" fontId="117" fillId="0" borderId="31" xfId="66" applyNumberFormat="1" applyFont="1" applyFill="1" applyBorder="1" applyAlignment="1">
      <alignment horizontal="right" vertical="center" indent="1"/>
    </xf>
    <xf numFmtId="0" fontId="62" fillId="0" borderId="0" xfId="66" applyFont="1" applyFill="1" applyBorder="1" applyAlignment="1">
      <alignment horizontal="right" indent="1"/>
    </xf>
    <xf numFmtId="3" fontId="117" fillId="0" borderId="32" xfId="66" applyNumberFormat="1" applyFont="1" applyFill="1" applyBorder="1" applyAlignment="1">
      <alignment horizontal="right" vertical="center" indent="1"/>
    </xf>
    <xf numFmtId="0" fontId="113" fillId="0" borderId="0" xfId="0" applyFont="1" applyAlignment="1">
      <alignment horizontal="center"/>
    </xf>
    <xf numFmtId="3" fontId="61" fillId="0" borderId="0" xfId="0" applyNumberFormat="1" applyFont="1" applyAlignment="1">
      <alignment vertical="center"/>
    </xf>
    <xf numFmtId="0" fontId="69" fillId="0" borderId="0" xfId="66" applyFont="1" applyBorder="1" applyAlignment="1">
      <alignment vertical="center"/>
    </xf>
    <xf numFmtId="0" fontId="58" fillId="0" borderId="17" xfId="52" applyFont="1" applyFill="1" applyBorder="1" applyAlignment="1">
      <alignment horizontal="left" vertical="center"/>
    </xf>
    <xf numFmtId="0" fontId="58" fillId="0" borderId="15" xfId="52" applyFont="1" applyFill="1" applyBorder="1" applyAlignment="1">
      <alignment horizontal="left" vertical="center"/>
    </xf>
    <xf numFmtId="0" fontId="58" fillId="0" borderId="22" xfId="52" applyFont="1" applyFill="1" applyBorder="1" applyAlignment="1">
      <alignment horizontal="left" vertical="center"/>
    </xf>
    <xf numFmtId="0" fontId="58" fillId="0" borderId="19" xfId="52" applyFont="1" applyFill="1" applyBorder="1" applyAlignment="1">
      <alignment horizontal="left" vertical="center"/>
    </xf>
    <xf numFmtId="0" fontId="58" fillId="0" borderId="21" xfId="52" applyFont="1" applyFill="1" applyBorder="1" applyAlignment="1">
      <alignment horizontal="left" vertical="center"/>
    </xf>
    <xf numFmtId="0" fontId="97" fillId="0" borderId="24" xfId="66" applyFont="1" applyBorder="1" applyAlignment="1">
      <alignment vertical="center"/>
    </xf>
    <xf numFmtId="3" fontId="116" fillId="23" borderId="18" xfId="0" applyNumberFormat="1" applyFont="1" applyFill="1" applyBorder="1" applyAlignment="1">
      <alignment horizontal="right" vertical="center" wrapText="1" indent="1"/>
    </xf>
    <xf numFmtId="0" fontId="68" fillId="0" borderId="0" xfId="0" applyFont="1" applyAlignment="1">
      <alignment horizontal="center"/>
    </xf>
    <xf numFmtId="1" fontId="61" fillId="23" borderId="18" xfId="50" applyNumberFormat="1" applyFont="1" applyFill="1" applyBorder="1" applyAlignment="1">
      <alignment horizontal="center" vertical="center" wrapText="1"/>
    </xf>
    <xf numFmtId="0" fontId="118" fillId="0" borderId="12" xfId="66" applyFont="1" applyBorder="1" applyAlignment="1">
      <alignment horizontal="left" vertical="center"/>
    </xf>
    <xf numFmtId="0" fontId="60" fillId="0" borderId="0" xfId="66" applyFont="1" applyFill="1" applyBorder="1" applyAlignment="1">
      <alignment horizontal="center" vertical="center"/>
    </xf>
    <xf numFmtId="0" fontId="70" fillId="0" borderId="0" xfId="66" applyFont="1" applyAlignment="1">
      <alignment vertical="center"/>
    </xf>
    <xf numFmtId="0" fontId="116" fillId="23" borderId="18" xfId="0" applyFont="1" applyFill="1" applyBorder="1" applyAlignment="1">
      <alignment horizontal="center" vertical="center" wrapText="1"/>
    </xf>
    <xf numFmtId="0" fontId="116" fillId="23" borderId="13" xfId="66" applyFont="1" applyFill="1" applyBorder="1" applyAlignment="1">
      <alignment horizontal="center" vertical="center" wrapText="1"/>
    </xf>
    <xf numFmtId="0" fontId="116" fillId="23" borderId="10" xfId="66" applyFont="1" applyFill="1" applyBorder="1" applyAlignment="1">
      <alignment horizontal="center" vertical="center" wrapText="1"/>
    </xf>
    <xf numFmtId="3" fontId="138" fillId="23" borderId="13" xfId="53" applyNumberFormat="1" applyFont="1" applyFill="1" applyBorder="1" applyAlignment="1">
      <alignment horizontal="right" vertical="center" indent="1"/>
    </xf>
    <xf numFmtId="0" fontId="139" fillId="0" borderId="0" xfId="66" applyFont="1" applyAlignment="1">
      <alignment vertical="center"/>
    </xf>
    <xf numFmtId="0" fontId="139" fillId="0" borderId="0" xfId="66" applyFont="1" applyAlignment="1">
      <alignment horizontal="left" vertical="center"/>
    </xf>
    <xf numFmtId="1" fontId="116" fillId="23" borderId="10" xfId="50" applyNumberFormat="1" applyFont="1" applyFill="1" applyBorder="1" applyAlignment="1">
      <alignment horizontal="center" vertical="center" wrapText="1"/>
    </xf>
    <xf numFmtId="0" fontId="119" fillId="0" borderId="0" xfId="66" applyFont="1" applyAlignment="1">
      <alignment vertical="center"/>
    </xf>
    <xf numFmtId="0" fontId="116" fillId="23" borderId="18" xfId="66" applyFont="1" applyFill="1" applyBorder="1" applyAlignment="1">
      <alignment horizontal="center" vertical="center"/>
    </xf>
    <xf numFmtId="3" fontId="116" fillId="23" borderId="13" xfId="66" applyNumberFormat="1" applyFont="1" applyFill="1" applyBorder="1" applyAlignment="1">
      <alignment horizontal="right" vertical="center" indent="1"/>
    </xf>
    <xf numFmtId="3" fontId="116" fillId="23" borderId="14" xfId="66" applyNumberFormat="1" applyFont="1" applyFill="1" applyBorder="1" applyAlignment="1">
      <alignment horizontal="right" vertical="center" indent="1"/>
    </xf>
    <xf numFmtId="3" fontId="116" fillId="23" borderId="10" xfId="66" applyNumberFormat="1" applyFont="1" applyFill="1" applyBorder="1" applyAlignment="1">
      <alignment horizontal="right" vertical="center" indent="1"/>
    </xf>
    <xf numFmtId="0" fontId="116" fillId="23" borderId="32" xfId="66" applyFont="1" applyFill="1" applyBorder="1" applyAlignment="1">
      <alignment horizontal="center" vertical="center"/>
    </xf>
    <xf numFmtId="3" fontId="116" fillId="23" borderId="27" xfId="66" applyNumberFormat="1" applyFont="1" applyFill="1" applyBorder="1" applyAlignment="1">
      <alignment horizontal="right" vertical="center" indent="1"/>
    </xf>
    <xf numFmtId="3" fontId="116" fillId="23" borderId="37" xfId="66" applyNumberFormat="1" applyFont="1" applyFill="1" applyBorder="1" applyAlignment="1">
      <alignment horizontal="right" vertical="center" indent="1"/>
    </xf>
    <xf numFmtId="3" fontId="116" fillId="23" borderId="42" xfId="66" applyNumberFormat="1" applyFont="1" applyFill="1" applyBorder="1" applyAlignment="1">
      <alignment horizontal="right" vertical="center" indent="1"/>
    </xf>
    <xf numFmtId="0" fontId="140" fillId="0" borderId="0" xfId="66" applyFont="1" applyAlignment="1">
      <alignment horizontal="left"/>
    </xf>
    <xf numFmtId="0" fontId="117" fillId="0" borderId="0" xfId="66" applyFont="1" applyFill="1" applyBorder="1"/>
    <xf numFmtId="0" fontId="116" fillId="23" borderId="23" xfId="66" applyFont="1" applyFill="1" applyBorder="1" applyAlignment="1">
      <alignment horizontal="center" vertical="center"/>
    </xf>
    <xf numFmtId="3" fontId="116" fillId="23" borderId="20" xfId="66" applyNumberFormat="1" applyFont="1" applyFill="1" applyBorder="1" applyAlignment="1">
      <alignment horizontal="right" vertical="center" indent="1"/>
    </xf>
    <xf numFmtId="3" fontId="116" fillId="23" borderId="24" xfId="66" applyNumberFormat="1" applyFont="1" applyFill="1" applyBorder="1" applyAlignment="1">
      <alignment horizontal="right" vertical="center" indent="1"/>
    </xf>
    <xf numFmtId="3" fontId="116" fillId="23" borderId="22" xfId="66" applyNumberFormat="1" applyFont="1" applyFill="1" applyBorder="1" applyAlignment="1">
      <alignment horizontal="right" vertical="center" indent="1"/>
    </xf>
    <xf numFmtId="0" fontId="119" fillId="0" borderId="0" xfId="66" applyFont="1" applyBorder="1" applyAlignment="1">
      <alignment vertical="center"/>
    </xf>
    <xf numFmtId="0" fontId="96" fillId="0" borderId="0" xfId="66" applyFont="1" applyAlignment="1">
      <alignment vertical="center"/>
    </xf>
    <xf numFmtId="0" fontId="101" fillId="0" borderId="24" xfId="66" applyFont="1" applyBorder="1" applyAlignment="1">
      <alignment horizontal="center" vertical="center"/>
    </xf>
    <xf numFmtId="0" fontId="101" fillId="0" borderId="0" xfId="66" applyFont="1" applyBorder="1" applyAlignment="1">
      <alignment horizontal="center" vertical="center"/>
    </xf>
    <xf numFmtId="3" fontId="116" fillId="23" borderId="13" xfId="66" applyNumberFormat="1" applyFont="1" applyFill="1" applyBorder="1" applyAlignment="1">
      <alignment vertical="center"/>
    </xf>
    <xf numFmtId="3" fontId="116" fillId="23" borderId="14" xfId="66" applyNumberFormat="1" applyFont="1" applyFill="1" applyBorder="1" applyAlignment="1">
      <alignment vertical="center"/>
    </xf>
    <xf numFmtId="3" fontId="116" fillId="23" borderId="10" xfId="66" applyNumberFormat="1" applyFont="1" applyFill="1" applyBorder="1" applyAlignment="1">
      <alignment vertical="center"/>
    </xf>
    <xf numFmtId="3" fontId="116" fillId="0" borderId="38" xfId="66" applyNumberFormat="1" applyFont="1" applyFill="1" applyBorder="1" applyAlignment="1">
      <alignment horizontal="right" vertical="center" indent="1"/>
    </xf>
    <xf numFmtId="3" fontId="116" fillId="0" borderId="43" xfId="66" applyNumberFormat="1" applyFont="1" applyFill="1" applyBorder="1" applyAlignment="1">
      <alignment horizontal="right" vertical="center" indent="1"/>
    </xf>
    <xf numFmtId="0" fontId="116" fillId="23" borderId="13" xfId="0" applyFont="1" applyFill="1" applyBorder="1" applyAlignment="1">
      <alignment horizontal="center" vertical="center" wrapText="1"/>
    </xf>
    <xf numFmtId="3" fontId="138" fillId="23" borderId="13" xfId="46" applyNumberFormat="1" applyFont="1" applyFill="1" applyBorder="1" applyAlignment="1">
      <alignment horizontal="right" wrapText="1" indent="1"/>
    </xf>
    <xf numFmtId="3" fontId="116" fillId="23" borderId="13" xfId="0" applyNumberFormat="1" applyFont="1" applyFill="1" applyBorder="1" applyAlignment="1">
      <alignment horizontal="right" vertical="center" indent="1"/>
    </xf>
    <xf numFmtId="3" fontId="116" fillId="23" borderId="14" xfId="0" applyNumberFormat="1" applyFont="1" applyFill="1" applyBorder="1" applyAlignment="1">
      <alignment horizontal="right" vertical="center" indent="1"/>
    </xf>
    <xf numFmtId="3" fontId="116" fillId="23" borderId="10" xfId="0" applyNumberFormat="1" applyFont="1" applyFill="1" applyBorder="1" applyAlignment="1">
      <alignment horizontal="right" vertical="center" indent="1"/>
    </xf>
    <xf numFmtId="0" fontId="116" fillId="23" borderId="14" xfId="0" applyFont="1" applyFill="1" applyBorder="1" applyAlignment="1">
      <alignment horizontal="center" vertical="center"/>
    </xf>
    <xf numFmtId="0" fontId="116" fillId="23" borderId="32" xfId="0" applyFont="1" applyFill="1" applyBorder="1" applyAlignment="1">
      <alignment horizontal="center" vertical="center"/>
    </xf>
    <xf numFmtId="3" fontId="116" fillId="23" borderId="27" xfId="0" applyNumberFormat="1" applyFont="1" applyFill="1" applyBorder="1" applyAlignment="1">
      <alignment horizontal="right" vertical="center" indent="1"/>
    </xf>
    <xf numFmtId="3" fontId="116" fillId="23" borderId="42" xfId="0" applyNumberFormat="1" applyFont="1" applyFill="1" applyBorder="1" applyAlignment="1">
      <alignment horizontal="right" vertical="center" indent="1"/>
    </xf>
    <xf numFmtId="0" fontId="61" fillId="23" borderId="18" xfId="0" applyFont="1" applyFill="1" applyBorder="1" applyAlignment="1">
      <alignment horizontal="center" vertical="center" wrapText="1"/>
    </xf>
    <xf numFmtId="3" fontId="89" fillId="0" borderId="16" xfId="53" applyNumberFormat="1" applyFont="1" applyFill="1" applyBorder="1" applyAlignment="1">
      <alignment horizontal="right" vertical="center" indent="1"/>
    </xf>
    <xf numFmtId="3" fontId="58" fillId="0" borderId="21" xfId="0" applyNumberFormat="1" applyFont="1" applyFill="1" applyBorder="1" applyAlignment="1">
      <alignment horizontal="right" vertical="center" indent="1"/>
    </xf>
    <xf numFmtId="3" fontId="89" fillId="0" borderId="17" xfId="53" applyNumberFormat="1" applyFont="1" applyFill="1" applyBorder="1" applyAlignment="1">
      <alignment horizontal="right" vertical="center" indent="1"/>
    </xf>
    <xf numFmtId="3" fontId="89" fillId="0" borderId="11" xfId="53" applyNumberFormat="1" applyFont="1" applyFill="1" applyBorder="1" applyAlignment="1">
      <alignment horizontal="right" vertical="center" indent="1"/>
    </xf>
    <xf numFmtId="3" fontId="58" fillId="0" borderId="19" xfId="0" applyNumberFormat="1" applyFont="1" applyFill="1" applyBorder="1" applyAlignment="1">
      <alignment horizontal="right" vertical="center" indent="1"/>
    </xf>
    <xf numFmtId="3" fontId="89" fillId="0" borderId="15" xfId="53" applyNumberFormat="1" applyFont="1" applyFill="1" applyBorder="1" applyAlignment="1">
      <alignment horizontal="right" vertical="center" indent="1"/>
    </xf>
    <xf numFmtId="3" fontId="89" fillId="0" borderId="20" xfId="53" applyNumberFormat="1" applyFont="1" applyFill="1" applyBorder="1" applyAlignment="1">
      <alignment horizontal="right" vertical="center" indent="1"/>
    </xf>
    <xf numFmtId="3" fontId="58" fillId="0" borderId="23" xfId="0" applyNumberFormat="1" applyFont="1" applyFill="1" applyBorder="1" applyAlignment="1">
      <alignment horizontal="right" vertical="center" indent="1"/>
    </xf>
    <xf numFmtId="3" fontId="89" fillId="0" borderId="22" xfId="53" applyNumberFormat="1" applyFont="1" applyFill="1" applyBorder="1" applyAlignment="1">
      <alignment horizontal="right" vertical="center" indent="1"/>
    </xf>
    <xf numFmtId="3" fontId="58" fillId="0" borderId="11" xfId="0" applyNumberFormat="1" applyFont="1" applyFill="1" applyBorder="1" applyAlignment="1">
      <alignment horizontal="right" vertical="center" indent="1"/>
    </xf>
    <xf numFmtId="3" fontId="58" fillId="0" borderId="15" xfId="0" applyNumberFormat="1" applyFont="1" applyFill="1" applyBorder="1" applyAlignment="1">
      <alignment horizontal="right" vertical="center" indent="1"/>
    </xf>
    <xf numFmtId="3" fontId="58" fillId="0" borderId="16" xfId="0" applyNumberFormat="1" applyFont="1" applyFill="1" applyBorder="1" applyAlignment="1">
      <alignment horizontal="right" vertical="center" indent="1"/>
    </xf>
    <xf numFmtId="3" fontId="58" fillId="0" borderId="17" xfId="0" applyNumberFormat="1" applyFont="1" applyFill="1" applyBorder="1" applyAlignment="1">
      <alignment horizontal="right" vertical="center" indent="1"/>
    </xf>
    <xf numFmtId="3" fontId="58" fillId="0" borderId="20" xfId="0" applyNumberFormat="1" applyFont="1" applyFill="1" applyBorder="1" applyAlignment="1">
      <alignment horizontal="right" vertical="center" indent="1"/>
    </xf>
    <xf numFmtId="3" fontId="58" fillId="0" borderId="22" xfId="0" applyNumberFormat="1" applyFont="1" applyFill="1" applyBorder="1" applyAlignment="1">
      <alignment horizontal="right" vertical="center" indent="1"/>
    </xf>
    <xf numFmtId="3" fontId="90" fillId="23" borderId="13" xfId="53" applyNumberFormat="1" applyFont="1" applyFill="1" applyBorder="1" applyAlignment="1">
      <alignment horizontal="right" vertical="center" indent="1"/>
    </xf>
    <xf numFmtId="3" fontId="90" fillId="23" borderId="18" xfId="53" applyNumberFormat="1" applyFont="1" applyFill="1" applyBorder="1" applyAlignment="1">
      <alignment horizontal="right" vertical="center" indent="1"/>
    </xf>
    <xf numFmtId="3" fontId="90" fillId="23" borderId="10" xfId="53" applyNumberFormat="1" applyFont="1" applyFill="1" applyBorder="1" applyAlignment="1">
      <alignment horizontal="right" vertical="center" indent="1"/>
    </xf>
    <xf numFmtId="3" fontId="117" fillId="0" borderId="11" xfId="0" applyNumberFormat="1" applyFont="1" applyFill="1" applyBorder="1" applyAlignment="1">
      <alignment horizontal="right" vertical="center" indent="1"/>
    </xf>
    <xf numFmtId="3" fontId="117" fillId="0" borderId="19" xfId="0" applyNumberFormat="1" applyFont="1" applyFill="1" applyBorder="1" applyAlignment="1">
      <alignment horizontal="right" vertical="center" indent="1"/>
    </xf>
    <xf numFmtId="3" fontId="117" fillId="0" borderId="15" xfId="0" applyNumberFormat="1" applyFont="1" applyFill="1" applyBorder="1" applyAlignment="1">
      <alignment horizontal="right" vertical="center" indent="1"/>
    </xf>
    <xf numFmtId="3" fontId="117" fillId="0" borderId="16" xfId="0" applyNumberFormat="1" applyFont="1" applyFill="1" applyBorder="1" applyAlignment="1">
      <alignment horizontal="right" vertical="center" indent="1"/>
    </xf>
    <xf numFmtId="3" fontId="117" fillId="0" borderId="21" xfId="0" applyNumberFormat="1" applyFont="1" applyFill="1" applyBorder="1" applyAlignment="1">
      <alignment horizontal="right" vertical="center" indent="1"/>
    </xf>
    <xf numFmtId="3" fontId="117" fillId="0" borderId="17" xfId="0" applyNumberFormat="1" applyFont="1" applyFill="1" applyBorder="1" applyAlignment="1">
      <alignment horizontal="right" vertical="center" indent="1"/>
    </xf>
    <xf numFmtId="0" fontId="61" fillId="23" borderId="13" xfId="0" applyFont="1" applyFill="1" applyBorder="1" applyAlignment="1">
      <alignment horizontal="center" vertical="center" wrapText="1"/>
    </xf>
    <xf numFmtId="0" fontId="61" fillId="23" borderId="10" xfId="0" applyFont="1" applyFill="1" applyBorder="1" applyAlignment="1">
      <alignment horizontal="center" vertical="center" wrapText="1"/>
    </xf>
    <xf numFmtId="3" fontId="117" fillId="0" borderId="11" xfId="0" applyNumberFormat="1" applyFont="1" applyFill="1" applyBorder="1" applyAlignment="1">
      <alignment horizontal="right" indent="1"/>
    </xf>
    <xf numFmtId="3" fontId="117" fillId="0" borderId="15" xfId="0" applyNumberFormat="1" applyFont="1" applyFill="1" applyBorder="1" applyAlignment="1">
      <alignment horizontal="right" indent="1"/>
    </xf>
    <xf numFmtId="3" fontId="117" fillId="0" borderId="16" xfId="0" applyNumberFormat="1" applyFont="1" applyFill="1" applyBorder="1" applyAlignment="1">
      <alignment horizontal="right" indent="1"/>
    </xf>
    <xf numFmtId="3" fontId="117" fillId="0" borderId="17" xfId="0" applyNumberFormat="1" applyFont="1" applyFill="1" applyBorder="1" applyAlignment="1">
      <alignment horizontal="right" indent="1"/>
    </xf>
    <xf numFmtId="0" fontId="98" fillId="0" borderId="0" xfId="66" applyFont="1" applyAlignment="1">
      <alignment horizontal="center" vertical="center"/>
    </xf>
    <xf numFmtId="0" fontId="64" fillId="23" borderId="13" xfId="66" applyFont="1" applyFill="1" applyBorder="1" applyAlignment="1">
      <alignment horizontal="center" vertical="center"/>
    </xf>
    <xf numFmtId="0" fontId="101" fillId="0" borderId="0" xfId="66" applyFont="1" applyAlignment="1">
      <alignment vertical="center"/>
    </xf>
    <xf numFmtId="0" fontId="60" fillId="0" borderId="0" xfId="66" applyFont="1" applyBorder="1" applyAlignment="1">
      <alignment vertical="center"/>
    </xf>
    <xf numFmtId="3" fontId="116" fillId="23" borderId="37" xfId="0" applyNumberFormat="1" applyFont="1" applyFill="1" applyBorder="1" applyAlignment="1">
      <alignment horizontal="right" vertical="center" indent="1"/>
    </xf>
    <xf numFmtId="0" fontId="69" fillId="0" borderId="12" xfId="66" applyFont="1" applyBorder="1" applyAlignment="1">
      <alignment vertical="center"/>
    </xf>
    <xf numFmtId="3" fontId="61" fillId="23" borderId="13" xfId="66" applyNumberFormat="1" applyFont="1" applyFill="1" applyBorder="1" applyAlignment="1">
      <alignment horizontal="right" vertical="center" indent="1"/>
    </xf>
    <xf numFmtId="3" fontId="61" fillId="23" borderId="14" xfId="66" applyNumberFormat="1" applyFont="1" applyFill="1" applyBorder="1" applyAlignment="1">
      <alignment horizontal="right" vertical="center" indent="1"/>
    </xf>
    <xf numFmtId="3" fontId="61" fillId="23" borderId="10" xfId="66" applyNumberFormat="1" applyFont="1" applyFill="1" applyBorder="1" applyAlignment="1">
      <alignment horizontal="right" vertical="center" indent="1"/>
    </xf>
    <xf numFmtId="3" fontId="58" fillId="0" borderId="24" xfId="66" applyNumberFormat="1" applyFont="1" applyBorder="1" applyAlignment="1">
      <alignment horizontal="right" vertical="center" indent="1"/>
    </xf>
    <xf numFmtId="3" fontId="58" fillId="0" borderId="22" xfId="66" applyNumberFormat="1" applyFont="1" applyBorder="1" applyAlignment="1">
      <alignment horizontal="right" vertical="center" indent="1"/>
    </xf>
    <xf numFmtId="3" fontId="61" fillId="23" borderId="20" xfId="66" applyNumberFormat="1" applyFont="1" applyFill="1" applyBorder="1" applyAlignment="1">
      <alignment horizontal="right" vertical="center" indent="1"/>
    </xf>
    <xf numFmtId="3" fontId="61" fillId="23" borderId="24" xfId="66" applyNumberFormat="1" applyFont="1" applyFill="1" applyBorder="1" applyAlignment="1">
      <alignment horizontal="right" vertical="center" indent="1"/>
    </xf>
    <xf numFmtId="3" fontId="61" fillId="23" borderId="22" xfId="66" applyNumberFormat="1" applyFont="1" applyFill="1" applyBorder="1" applyAlignment="1">
      <alignment horizontal="right" vertical="center" indent="1"/>
    </xf>
    <xf numFmtId="0" fontId="116" fillId="23" borderId="13" xfId="0" applyFont="1" applyFill="1" applyBorder="1" applyAlignment="1">
      <alignment horizontal="center" vertical="center"/>
    </xf>
    <xf numFmtId="0" fontId="117" fillId="0" borderId="19" xfId="0" applyFont="1" applyBorder="1" applyAlignment="1">
      <alignment horizontal="center" vertical="center"/>
    </xf>
    <xf numFmtId="0" fontId="117" fillId="0" borderId="21" xfId="0" applyFont="1" applyBorder="1" applyAlignment="1">
      <alignment horizontal="center" vertical="center"/>
    </xf>
    <xf numFmtId="0" fontId="101" fillId="0" borderId="0" xfId="66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16" fillId="23" borderId="14" xfId="0" applyFont="1" applyFill="1" applyBorder="1" applyAlignment="1">
      <alignment horizontal="center" vertical="center" wrapText="1"/>
    </xf>
    <xf numFmtId="0" fontId="116" fillId="23" borderId="10" xfId="0" applyFont="1" applyFill="1" applyBorder="1" applyAlignment="1">
      <alignment horizontal="center" vertical="center" wrapText="1"/>
    </xf>
    <xf numFmtId="0" fontId="98" fillId="0" borderId="0" xfId="66" applyFont="1" applyAlignment="1">
      <alignment vertical="center"/>
    </xf>
    <xf numFmtId="3" fontId="61" fillId="23" borderId="13" xfId="66" applyNumberFormat="1" applyFont="1" applyFill="1" applyBorder="1" applyAlignment="1" applyProtection="1">
      <alignment horizontal="right" vertical="center" indent="1"/>
      <protection locked="0"/>
    </xf>
    <xf numFmtId="3" fontId="61" fillId="23" borderId="14" xfId="66" applyNumberFormat="1" applyFont="1" applyFill="1" applyBorder="1" applyAlignment="1" applyProtection="1">
      <alignment horizontal="right" vertical="center" indent="1"/>
      <protection locked="0"/>
    </xf>
    <xf numFmtId="3" fontId="61" fillId="23" borderId="10" xfId="66" applyNumberFormat="1" applyFont="1" applyFill="1" applyBorder="1" applyAlignment="1" applyProtection="1">
      <alignment horizontal="right" vertical="center" indent="1"/>
      <protection locked="0"/>
    </xf>
    <xf numFmtId="0" fontId="70" fillId="0" borderId="12" xfId="66" applyFont="1" applyBorder="1" applyAlignment="1">
      <alignment vertical="center"/>
    </xf>
    <xf numFmtId="3" fontId="64" fillId="23" borderId="13" xfId="66" applyNumberFormat="1" applyFont="1" applyFill="1" applyBorder="1" applyAlignment="1">
      <alignment horizontal="right" vertical="center" indent="1"/>
    </xf>
    <xf numFmtId="3" fontId="64" fillId="23" borderId="14" xfId="66" applyNumberFormat="1" applyFont="1" applyFill="1" applyBorder="1" applyAlignment="1">
      <alignment horizontal="right" vertical="center" indent="1"/>
    </xf>
    <xf numFmtId="3" fontId="64" fillId="23" borderId="10" xfId="66" applyNumberFormat="1" applyFont="1" applyFill="1" applyBorder="1" applyAlignment="1">
      <alignment horizontal="right" vertical="center" indent="1"/>
    </xf>
    <xf numFmtId="0" fontId="58" fillId="0" borderId="20" xfId="66" applyFont="1" applyBorder="1" applyAlignment="1">
      <alignment horizontal="center" vertical="center"/>
    </xf>
    <xf numFmtId="0" fontId="58" fillId="0" borderId="0" xfId="66" applyFont="1" applyFill="1" applyBorder="1" applyAlignment="1">
      <alignment vertical="center" wrapText="1"/>
    </xf>
    <xf numFmtId="0" fontId="61" fillId="23" borderId="20" xfId="66" applyFont="1" applyFill="1" applyBorder="1" applyAlignment="1">
      <alignment horizontal="center" vertical="center"/>
    </xf>
    <xf numFmtId="0" fontId="117" fillId="0" borderId="11" xfId="0" applyFont="1" applyBorder="1" applyAlignment="1">
      <alignment horizontal="center" vertical="center"/>
    </xf>
    <xf numFmtId="1" fontId="117" fillId="0" borderId="11" xfId="0" applyNumberFormat="1" applyFont="1" applyBorder="1" applyAlignment="1">
      <alignment horizontal="right" vertical="center" indent="1"/>
    </xf>
    <xf numFmtId="1" fontId="117" fillId="0" borderId="12" xfId="0" applyNumberFormat="1" applyFont="1" applyBorder="1" applyAlignment="1">
      <alignment horizontal="right" vertical="center" indent="1"/>
    </xf>
    <xf numFmtId="1" fontId="116" fillId="0" borderId="15" xfId="0" applyNumberFormat="1" applyFont="1" applyBorder="1" applyAlignment="1">
      <alignment horizontal="right" vertical="center" indent="1"/>
    </xf>
    <xf numFmtId="1" fontId="116" fillId="0" borderId="12" xfId="0" applyNumberFormat="1" applyFont="1" applyBorder="1" applyAlignment="1">
      <alignment horizontal="right" vertical="center" indent="1"/>
    </xf>
    <xf numFmtId="3" fontId="116" fillId="0" borderId="15" xfId="0" applyNumberFormat="1" applyFont="1" applyBorder="1" applyAlignment="1">
      <alignment horizontal="right" vertical="center" indent="1"/>
    </xf>
    <xf numFmtId="1" fontId="117" fillId="0" borderId="20" xfId="0" applyNumberFormat="1" applyFont="1" applyBorder="1" applyAlignment="1">
      <alignment horizontal="right" vertical="center" indent="1"/>
    </xf>
    <xf numFmtId="1" fontId="117" fillId="0" borderId="24" xfId="0" applyNumberFormat="1" applyFont="1" applyBorder="1" applyAlignment="1">
      <alignment horizontal="right" vertical="center" indent="1"/>
    </xf>
    <xf numFmtId="1" fontId="116" fillId="0" borderId="22" xfId="0" applyNumberFormat="1" applyFont="1" applyBorder="1" applyAlignment="1">
      <alignment horizontal="right" vertical="center" indent="1"/>
    </xf>
    <xf numFmtId="1" fontId="116" fillId="0" borderId="24" xfId="0" applyNumberFormat="1" applyFont="1" applyBorder="1" applyAlignment="1">
      <alignment horizontal="right" vertical="center" indent="1"/>
    </xf>
    <xf numFmtId="0" fontId="116" fillId="23" borderId="20" xfId="0" applyFont="1" applyFill="1" applyBorder="1" applyAlignment="1">
      <alignment horizontal="center" vertical="center"/>
    </xf>
    <xf numFmtId="1" fontId="116" fillId="23" borderId="20" xfId="0" applyNumberFormat="1" applyFont="1" applyFill="1" applyBorder="1" applyAlignment="1">
      <alignment horizontal="right" vertical="center" indent="1"/>
    </xf>
    <xf numFmtId="1" fontId="116" fillId="23" borderId="24" xfId="0" applyNumberFormat="1" applyFont="1" applyFill="1" applyBorder="1" applyAlignment="1">
      <alignment horizontal="right" vertical="center" indent="1"/>
    </xf>
    <xf numFmtId="1" fontId="116" fillId="23" borderId="22" xfId="0" applyNumberFormat="1" applyFont="1" applyFill="1" applyBorder="1" applyAlignment="1">
      <alignment horizontal="right" vertical="center" indent="1"/>
    </xf>
    <xf numFmtId="3" fontId="116" fillId="23" borderId="20" xfId="0" applyNumberFormat="1" applyFont="1" applyFill="1" applyBorder="1" applyAlignment="1">
      <alignment horizontal="right" vertical="center" indent="1"/>
    </xf>
    <xf numFmtId="3" fontId="116" fillId="23" borderId="24" xfId="0" applyNumberFormat="1" applyFont="1" applyFill="1" applyBorder="1" applyAlignment="1">
      <alignment horizontal="right" vertical="center" indent="1"/>
    </xf>
    <xf numFmtId="3" fontId="116" fillId="23" borderId="22" xfId="0" applyNumberFormat="1" applyFont="1" applyFill="1" applyBorder="1" applyAlignment="1">
      <alignment horizontal="right" vertical="center" indent="1"/>
    </xf>
    <xf numFmtId="1" fontId="116" fillId="23" borderId="13" xfId="0" applyNumberFormat="1" applyFont="1" applyFill="1" applyBorder="1" applyAlignment="1">
      <alignment horizontal="right" vertical="center" indent="1"/>
    </xf>
    <xf numFmtId="1" fontId="116" fillId="23" borderId="14" xfId="0" applyNumberFormat="1" applyFont="1" applyFill="1" applyBorder="1" applyAlignment="1">
      <alignment horizontal="right" vertical="center" indent="1"/>
    </xf>
    <xf numFmtId="1" fontId="116" fillId="23" borderId="10" xfId="0" applyNumberFormat="1" applyFont="1" applyFill="1" applyBorder="1" applyAlignment="1">
      <alignment horizontal="right" vertical="center" indent="1"/>
    </xf>
    <xf numFmtId="3" fontId="116" fillId="0" borderId="12" xfId="0" applyNumberFormat="1" applyFont="1" applyBorder="1" applyAlignment="1">
      <alignment horizontal="right" vertical="center" indent="1"/>
    </xf>
    <xf numFmtId="1" fontId="133" fillId="23" borderId="18" xfId="50" applyNumberFormat="1" applyFont="1" applyFill="1" applyBorder="1" applyAlignment="1">
      <alignment horizontal="center" vertical="center" wrapText="1"/>
    </xf>
    <xf numFmtId="0" fontId="133" fillId="23" borderId="18" xfId="66" applyFont="1" applyFill="1" applyBorder="1" applyAlignment="1">
      <alignment horizontal="center" vertical="center" wrapText="1"/>
    </xf>
    <xf numFmtId="3" fontId="116" fillId="23" borderId="32" xfId="66" applyNumberFormat="1" applyFont="1" applyFill="1" applyBorder="1" applyAlignment="1">
      <alignment horizontal="right" vertical="center" indent="1"/>
    </xf>
    <xf numFmtId="0" fontId="60" fillId="0" borderId="0" xfId="0" applyFont="1" applyFill="1" applyBorder="1" applyAlignment="1">
      <alignment vertical="center"/>
    </xf>
    <xf numFmtId="0" fontId="60" fillId="0" borderId="0" xfId="48" applyFont="1" applyAlignment="1">
      <alignment vertical="center"/>
    </xf>
    <xf numFmtId="0" fontId="60" fillId="0" borderId="0" xfId="48" applyFont="1" applyAlignment="1">
      <alignment vertical="center" wrapText="1"/>
    </xf>
    <xf numFmtId="0" fontId="96" fillId="0" borderId="0" xfId="48" applyFont="1" applyAlignment="1">
      <alignment vertical="center"/>
    </xf>
    <xf numFmtId="0" fontId="60" fillId="0" borderId="0" xfId="48" applyFont="1" applyAlignment="1"/>
    <xf numFmtId="0" fontId="134" fillId="23" borderId="50" xfId="0" applyFont="1" applyFill="1" applyBorder="1" applyAlignment="1">
      <alignment horizontal="center" vertical="center" wrapText="1" readingOrder="1"/>
    </xf>
    <xf numFmtId="3" fontId="134" fillId="23" borderId="27" xfId="0" applyNumberFormat="1" applyFont="1" applyFill="1" applyBorder="1" applyAlignment="1">
      <alignment horizontal="right" vertical="center" wrapText="1" indent="1"/>
    </xf>
    <xf numFmtId="3" fontId="134" fillId="23" borderId="37" xfId="0" applyNumberFormat="1" applyFont="1" applyFill="1" applyBorder="1" applyAlignment="1">
      <alignment horizontal="right" vertical="center" wrapText="1" indent="1"/>
    </xf>
    <xf numFmtId="0" fontId="58" fillId="0" borderId="24" xfId="66" applyFont="1" applyBorder="1" applyAlignment="1">
      <alignment vertical="center"/>
    </xf>
    <xf numFmtId="165" fontId="120" fillId="23" borderId="14" xfId="67" applyNumberFormat="1" applyFont="1" applyFill="1" applyBorder="1" applyAlignment="1">
      <alignment vertical="center"/>
    </xf>
    <xf numFmtId="165" fontId="120" fillId="23" borderId="13" xfId="68" applyNumberFormat="1" applyFont="1" applyFill="1" applyBorder="1" applyAlignment="1">
      <alignment vertical="center"/>
    </xf>
    <xf numFmtId="165" fontId="120" fillId="23" borderId="14" xfId="68" applyNumberFormat="1" applyFont="1" applyFill="1" applyBorder="1" applyAlignment="1">
      <alignment vertical="center"/>
    </xf>
    <xf numFmtId="165" fontId="120" fillId="23" borderId="10" xfId="68" applyNumberFormat="1" applyFont="1" applyFill="1" applyBorder="1" applyAlignment="1">
      <alignment vertical="center"/>
    </xf>
    <xf numFmtId="167" fontId="120" fillId="0" borderId="18" xfId="68" applyNumberFormat="1" applyFont="1" applyFill="1" applyBorder="1" applyAlignment="1">
      <alignment horizontal="centerContinuous" vertical="center"/>
    </xf>
    <xf numFmtId="0" fontId="116" fillId="23" borderId="10" xfId="0" applyFont="1" applyFill="1" applyBorder="1" applyAlignment="1">
      <alignment horizontal="center"/>
    </xf>
    <xf numFmtId="3" fontId="116" fillId="23" borderId="18" xfId="0" applyNumberFormat="1" applyFont="1" applyFill="1" applyBorder="1" applyAlignment="1">
      <alignment horizontal="right" indent="1"/>
    </xf>
    <xf numFmtId="3" fontId="138" fillId="23" borderId="18" xfId="53" applyNumberFormat="1" applyFont="1" applyFill="1" applyBorder="1" applyAlignment="1">
      <alignment horizontal="right" vertical="center" indent="1"/>
    </xf>
    <xf numFmtId="0" fontId="144" fillId="0" borderId="18" xfId="50" applyFont="1" applyFill="1" applyBorder="1" applyAlignment="1">
      <alignment vertical="center" wrapText="1"/>
    </xf>
    <xf numFmtId="0" fontId="126" fillId="0" borderId="0" xfId="66" applyFont="1" applyFill="1" applyBorder="1" applyAlignment="1">
      <alignment horizontal="center" vertical="center"/>
    </xf>
    <xf numFmtId="3" fontId="116" fillId="0" borderId="11" xfId="66" applyNumberFormat="1" applyFont="1" applyFill="1" applyBorder="1" applyAlignment="1">
      <alignment horizontal="right" vertical="center" indent="1"/>
    </xf>
    <xf numFmtId="3" fontId="116" fillId="0" borderId="16" xfId="66" applyNumberFormat="1" applyFont="1" applyFill="1" applyBorder="1" applyAlignment="1">
      <alignment horizontal="right" vertical="center" indent="1"/>
    </xf>
    <xf numFmtId="3" fontId="116" fillId="0" borderId="20" xfId="66" applyNumberFormat="1" applyFont="1" applyFill="1" applyBorder="1" applyAlignment="1">
      <alignment horizontal="right" vertical="center" indent="1"/>
    </xf>
    <xf numFmtId="0" fontId="145" fillId="0" borderId="14" xfId="0" applyFont="1" applyBorder="1"/>
    <xf numFmtId="3" fontId="146" fillId="0" borderId="21" xfId="0" applyNumberFormat="1" applyFont="1" applyBorder="1" applyAlignment="1">
      <alignment horizontal="right" indent="1"/>
    </xf>
    <xf numFmtId="0" fontId="146" fillId="0" borderId="0" xfId="0" applyFont="1"/>
    <xf numFmtId="3" fontId="146" fillId="0" borderId="19" xfId="0" applyNumberFormat="1" applyFont="1" applyBorder="1" applyAlignment="1">
      <alignment horizontal="right" indent="1"/>
    </xf>
    <xf numFmtId="3" fontId="146" fillId="0" borderId="23" xfId="0" applyNumberFormat="1" applyFont="1" applyBorder="1" applyAlignment="1">
      <alignment horizontal="right" indent="1"/>
    </xf>
    <xf numFmtId="0" fontId="117" fillId="0" borderId="19" xfId="66" applyFont="1" applyFill="1" applyBorder="1" applyAlignment="1">
      <alignment horizontal="center" vertical="center"/>
    </xf>
    <xf numFmtId="0" fontId="117" fillId="0" borderId="21" xfId="66" applyFont="1" applyFill="1" applyBorder="1" applyAlignment="1">
      <alignment horizontal="center" vertical="center"/>
    </xf>
    <xf numFmtId="0" fontId="126" fillId="0" borderId="0" xfId="66" applyFont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61" fillId="0" borderId="0" xfId="0" applyFont="1" applyAlignment="1">
      <alignment horizontal="center"/>
    </xf>
    <xf numFmtId="165" fontId="52" fillId="0" borderId="11" xfId="78" applyNumberFormat="1" applyFont="1" applyFill="1" applyBorder="1" applyAlignment="1">
      <alignment vertical="center"/>
    </xf>
    <xf numFmtId="165" fontId="52" fillId="0" borderId="12" xfId="78" applyNumberFormat="1" applyFont="1" applyFill="1" applyBorder="1" applyAlignment="1">
      <alignment vertical="center"/>
    </xf>
    <xf numFmtId="165" fontId="120" fillId="0" borderId="15" xfId="78" applyNumberFormat="1" applyFont="1" applyFill="1" applyBorder="1" applyAlignment="1">
      <alignment vertical="center"/>
    </xf>
    <xf numFmtId="165" fontId="52" fillId="0" borderId="16" xfId="78" applyNumberFormat="1" applyFont="1" applyFill="1" applyBorder="1" applyAlignment="1">
      <alignment vertical="center"/>
    </xf>
    <xf numFmtId="165" fontId="52" fillId="0" borderId="0" xfId="78" applyNumberFormat="1" applyFont="1" applyFill="1" applyBorder="1" applyAlignment="1">
      <alignment vertical="center"/>
    </xf>
    <xf numFmtId="165" fontId="120" fillId="0" borderId="17" xfId="78" applyNumberFormat="1" applyFont="1" applyFill="1" applyBorder="1" applyAlignment="1">
      <alignment vertical="center"/>
    </xf>
    <xf numFmtId="165" fontId="120" fillId="23" borderId="13" xfId="78" applyNumberFormat="1" applyFont="1" applyFill="1" applyBorder="1" applyAlignment="1">
      <alignment vertical="center"/>
    </xf>
    <xf numFmtId="165" fontId="120" fillId="23" borderId="14" xfId="78" applyNumberFormat="1" applyFont="1" applyFill="1" applyBorder="1" applyAlignment="1">
      <alignment vertical="center"/>
    </xf>
    <xf numFmtId="165" fontId="120" fillId="23" borderId="10" xfId="78" applyNumberFormat="1" applyFont="1" applyFill="1" applyBorder="1" applyAlignment="1">
      <alignment vertical="center"/>
    </xf>
    <xf numFmtId="0" fontId="131" fillId="0" borderId="0" xfId="0" applyFont="1" applyAlignment="1">
      <alignment horizontal="center"/>
    </xf>
    <xf numFmtId="0" fontId="116" fillId="23" borderId="18" xfId="0" applyFont="1" applyFill="1" applyBorder="1" applyAlignment="1">
      <alignment horizontal="center" vertical="center"/>
    </xf>
    <xf numFmtId="0" fontId="101" fillId="0" borderId="0" xfId="0" applyFont="1" applyFill="1" applyAlignment="1">
      <alignment vertical="center"/>
    </xf>
    <xf numFmtId="3" fontId="117" fillId="0" borderId="0" xfId="0" applyNumberFormat="1" applyFont="1" applyFill="1" applyBorder="1" applyAlignment="1">
      <alignment horizontal="right" indent="1"/>
    </xf>
    <xf numFmtId="3" fontId="117" fillId="0" borderId="12" xfId="0" applyNumberFormat="1" applyFont="1" applyFill="1" applyBorder="1" applyAlignment="1">
      <alignment horizontal="right" indent="1"/>
    </xf>
    <xf numFmtId="3" fontId="117" fillId="0" borderId="27" xfId="0" applyNumberFormat="1" applyFont="1" applyFill="1" applyBorder="1" applyAlignment="1">
      <alignment horizontal="right" indent="1"/>
    </xf>
    <xf numFmtId="3" fontId="117" fillId="0" borderId="37" xfId="0" applyNumberFormat="1" applyFont="1" applyFill="1" applyBorder="1" applyAlignment="1">
      <alignment horizontal="right" indent="1"/>
    </xf>
    <xf numFmtId="3" fontId="117" fillId="0" borderId="42" xfId="0" applyNumberFormat="1" applyFont="1" applyFill="1" applyBorder="1" applyAlignment="1">
      <alignment horizontal="right" indent="1"/>
    </xf>
    <xf numFmtId="0" fontId="117" fillId="0" borderId="0" xfId="0" applyFont="1" applyFill="1" applyBorder="1" applyAlignment="1">
      <alignment vertical="center"/>
    </xf>
    <xf numFmtId="3" fontId="117" fillId="0" borderId="25" xfId="0" applyNumberFormat="1" applyFont="1" applyFill="1" applyBorder="1" applyAlignment="1">
      <alignment horizontal="right" vertical="center" indent="1"/>
    </xf>
    <xf numFmtId="3" fontId="117" fillId="0" borderId="35" xfId="0" applyNumberFormat="1" applyFont="1" applyFill="1" applyBorder="1" applyAlignment="1">
      <alignment horizontal="right" vertical="center" indent="1"/>
    </xf>
    <xf numFmtId="3" fontId="117" fillId="0" borderId="40" xfId="0" applyNumberFormat="1" applyFont="1" applyFill="1" applyBorder="1" applyAlignment="1">
      <alignment horizontal="right" vertical="center" indent="1"/>
    </xf>
    <xf numFmtId="3" fontId="117" fillId="0" borderId="26" xfId="0" applyNumberFormat="1" applyFont="1" applyFill="1" applyBorder="1" applyAlignment="1">
      <alignment horizontal="right" vertical="center" indent="1"/>
    </xf>
    <xf numFmtId="3" fontId="117" fillId="0" borderId="36" xfId="0" applyNumberFormat="1" applyFont="1" applyFill="1" applyBorder="1" applyAlignment="1">
      <alignment horizontal="right" vertical="center" indent="1"/>
    </xf>
    <xf numFmtId="3" fontId="117" fillId="0" borderId="41" xfId="0" applyNumberFormat="1" applyFont="1" applyFill="1" applyBorder="1" applyAlignment="1">
      <alignment horizontal="right" vertical="center" indent="1"/>
    </xf>
    <xf numFmtId="0" fontId="116" fillId="0" borderId="0" xfId="0" applyFont="1" applyFill="1" applyBorder="1" applyAlignment="1">
      <alignment vertical="center"/>
    </xf>
    <xf numFmtId="3" fontId="116" fillId="0" borderId="11" xfId="0" applyNumberFormat="1" applyFont="1" applyFill="1" applyBorder="1" applyAlignment="1">
      <alignment horizontal="right" vertical="center" indent="1"/>
    </xf>
    <xf numFmtId="3" fontId="116" fillId="0" borderId="12" xfId="0" applyNumberFormat="1" applyFont="1" applyFill="1" applyBorder="1" applyAlignment="1">
      <alignment horizontal="right" vertical="center" indent="1"/>
    </xf>
    <xf numFmtId="3" fontId="116" fillId="0" borderId="15" xfId="0" applyNumberFormat="1" applyFont="1" applyFill="1" applyBorder="1" applyAlignment="1">
      <alignment horizontal="right" vertical="center" indent="1"/>
    </xf>
    <xf numFmtId="3" fontId="116" fillId="0" borderId="16" xfId="0" applyNumberFormat="1" applyFont="1" applyFill="1" applyBorder="1" applyAlignment="1">
      <alignment horizontal="right" vertical="center" indent="1"/>
    </xf>
    <xf numFmtId="3" fontId="116" fillId="0" borderId="0" xfId="0" applyNumberFormat="1" applyFont="1" applyFill="1" applyBorder="1" applyAlignment="1">
      <alignment horizontal="right" vertical="center" indent="1"/>
    </xf>
    <xf numFmtId="3" fontId="116" fillId="0" borderId="17" xfId="0" applyNumberFormat="1" applyFont="1" applyFill="1" applyBorder="1" applyAlignment="1">
      <alignment horizontal="right" vertical="center" indent="1"/>
    </xf>
    <xf numFmtId="3" fontId="117" fillId="0" borderId="27" xfId="0" applyNumberFormat="1" applyFont="1" applyFill="1" applyBorder="1" applyAlignment="1">
      <alignment horizontal="right" vertical="center" indent="1"/>
    </xf>
    <xf numFmtId="3" fontId="117" fillId="0" borderId="37" xfId="0" applyNumberFormat="1" applyFont="1" applyFill="1" applyBorder="1" applyAlignment="1">
      <alignment horizontal="right" vertical="center" indent="1"/>
    </xf>
    <xf numFmtId="3" fontId="117" fillId="0" borderId="42" xfId="0" applyNumberFormat="1" applyFont="1" applyFill="1" applyBorder="1" applyAlignment="1">
      <alignment horizontal="right" vertical="center" indent="1"/>
    </xf>
    <xf numFmtId="0" fontId="119" fillId="0" borderId="0" xfId="223" applyFont="1" applyAlignment="1">
      <alignment vertical="center"/>
    </xf>
    <xf numFmtId="0" fontId="69" fillId="0" borderId="0" xfId="0" applyFont="1" applyAlignment="1">
      <alignment vertical="top" wrapText="1"/>
    </xf>
    <xf numFmtId="168" fontId="0" fillId="0" borderId="0" xfId="0" applyNumberFormat="1"/>
    <xf numFmtId="3" fontId="61" fillId="23" borderId="13" xfId="0" applyNumberFormat="1" applyFont="1" applyFill="1" applyBorder="1" applyAlignment="1">
      <alignment horizontal="right" vertical="center" indent="1"/>
    </xf>
    <xf numFmtId="3" fontId="61" fillId="23" borderId="14" xfId="0" applyNumberFormat="1" applyFont="1" applyFill="1" applyBorder="1" applyAlignment="1">
      <alignment horizontal="right" vertical="center" indent="1"/>
    </xf>
    <xf numFmtId="0" fontId="69" fillId="23" borderId="15" xfId="0" applyFont="1" applyFill="1" applyBorder="1" applyAlignment="1">
      <alignment horizontal="center" vertical="center" wrapText="1"/>
    </xf>
    <xf numFmtId="0" fontId="69" fillId="23" borderId="19" xfId="0" applyFont="1" applyFill="1" applyBorder="1" applyAlignment="1">
      <alignment horizontal="center" vertical="center" wrapText="1"/>
    </xf>
    <xf numFmtId="0" fontId="69" fillId="23" borderId="11" xfId="0" applyFont="1" applyFill="1" applyBorder="1" applyAlignment="1">
      <alignment horizontal="center" vertical="center" wrapText="1"/>
    </xf>
    <xf numFmtId="0" fontId="113" fillId="0" borderId="0" xfId="0" applyFont="1" applyAlignment="1">
      <alignment horizontal="left" vertical="center"/>
    </xf>
    <xf numFmtId="0" fontId="116" fillId="23" borderId="10" xfId="0" applyFont="1" applyFill="1" applyBorder="1" applyAlignment="1">
      <alignment horizontal="center" vertical="center" wrapText="1"/>
    </xf>
    <xf numFmtId="0" fontId="98" fillId="0" borderId="0" xfId="66" applyFont="1" applyBorder="1" applyAlignment="1">
      <alignment horizontal="center" vertical="center"/>
    </xf>
    <xf numFmtId="1" fontId="61" fillId="23" borderId="18" xfId="50" applyNumberFormat="1" applyFont="1" applyFill="1" applyBorder="1" applyAlignment="1">
      <alignment horizontal="center" vertical="center" wrapText="1"/>
    </xf>
    <xf numFmtId="0" fontId="127" fillId="0" borderId="0" xfId="0" applyFont="1" applyFill="1" applyBorder="1" applyAlignment="1">
      <alignment horizontal="center" vertical="center"/>
    </xf>
    <xf numFmtId="0" fontId="127" fillId="0" borderId="0" xfId="66" applyFont="1" applyFill="1" applyBorder="1" applyAlignment="1">
      <alignment horizontal="center" vertical="center"/>
    </xf>
    <xf numFmtId="0" fontId="58" fillId="0" borderId="23" xfId="52" applyFont="1" applyFill="1" applyBorder="1" applyAlignment="1">
      <alignment horizontal="left" vertical="center"/>
    </xf>
    <xf numFmtId="0" fontId="61" fillId="29" borderId="11" xfId="0" applyFont="1" applyFill="1" applyBorder="1" applyAlignment="1">
      <alignment vertical="center"/>
    </xf>
    <xf numFmtId="0" fontId="61" fillId="29" borderId="12" xfId="0" applyFont="1" applyFill="1" applyBorder="1" applyAlignment="1">
      <alignment vertical="center"/>
    </xf>
    <xf numFmtId="0" fontId="61" fillId="29" borderId="15" xfId="0" applyFont="1" applyFill="1" applyBorder="1" applyAlignment="1">
      <alignment vertical="center"/>
    </xf>
    <xf numFmtId="0" fontId="61" fillId="29" borderId="13" xfId="0" applyFont="1" applyFill="1" applyBorder="1" applyAlignment="1">
      <alignment vertical="center"/>
    </xf>
    <xf numFmtId="0" fontId="61" fillId="29" borderId="14" xfId="0" applyFont="1" applyFill="1" applyBorder="1" applyAlignment="1">
      <alignment vertical="center"/>
    </xf>
    <xf numFmtId="0" fontId="61" fillId="29" borderId="10" xfId="0" applyFont="1" applyFill="1" applyBorder="1" applyAlignment="1">
      <alignment vertical="center"/>
    </xf>
    <xf numFmtId="0" fontId="117" fillId="0" borderId="0" xfId="66" applyFont="1" applyBorder="1" applyAlignment="1">
      <alignment vertical="center"/>
    </xf>
    <xf numFmtId="1" fontId="116" fillId="23" borderId="18" xfId="50" applyNumberFormat="1" applyFont="1" applyFill="1" applyBorder="1" applyAlignment="1">
      <alignment horizontal="center" vertical="center" wrapText="1"/>
    </xf>
    <xf numFmtId="0" fontId="117" fillId="0" borderId="0" xfId="48" applyFont="1" applyFill="1" applyBorder="1" applyAlignment="1">
      <alignment vertical="center"/>
    </xf>
    <xf numFmtId="3" fontId="117" fillId="0" borderId="19" xfId="48" applyNumberFormat="1" applyFont="1" applyFill="1" applyBorder="1" applyAlignment="1">
      <alignment horizontal="right" vertical="center" indent="1"/>
    </xf>
    <xf numFmtId="3" fontId="117" fillId="0" borderId="21" xfId="48" applyNumberFormat="1" applyFont="1" applyFill="1" applyBorder="1" applyAlignment="1">
      <alignment horizontal="right" vertical="center" indent="1"/>
    </xf>
    <xf numFmtId="3" fontId="117" fillId="0" borderId="17" xfId="48" applyNumberFormat="1" applyFont="1" applyFill="1" applyBorder="1" applyAlignment="1">
      <alignment horizontal="right" vertical="center" indent="1"/>
    </xf>
    <xf numFmtId="3" fontId="117" fillId="0" borderId="12" xfId="48" applyNumberFormat="1" applyFont="1" applyFill="1" applyBorder="1" applyAlignment="1">
      <alignment horizontal="right" vertical="center" indent="1"/>
    </xf>
    <xf numFmtId="3" fontId="117" fillId="0" borderId="15" xfId="48" applyNumberFormat="1" applyFont="1" applyFill="1" applyBorder="1" applyAlignment="1">
      <alignment horizontal="right" vertical="center" indent="1"/>
    </xf>
    <xf numFmtId="3" fontId="117" fillId="0" borderId="0" xfId="48" applyNumberFormat="1" applyFont="1" applyFill="1" applyBorder="1" applyAlignment="1">
      <alignment horizontal="right" vertical="center" indent="1"/>
    </xf>
    <xf numFmtId="0" fontId="142" fillId="0" borderId="0" xfId="52" applyFont="1" applyFill="1" applyBorder="1" applyAlignment="1">
      <alignment horizontal="center" vertical="center"/>
    </xf>
    <xf numFmtId="0" fontId="117" fillId="0" borderId="0" xfId="48" applyFont="1" applyFill="1" applyBorder="1"/>
    <xf numFmtId="3" fontId="117" fillId="0" borderId="0" xfId="48" applyNumberFormat="1" applyFont="1" applyFill="1" applyBorder="1"/>
    <xf numFmtId="3" fontId="117" fillId="0" borderId="11" xfId="48" applyNumberFormat="1" applyFont="1" applyFill="1" applyBorder="1" applyAlignment="1">
      <alignment horizontal="right" vertical="center" indent="1"/>
    </xf>
    <xf numFmtId="3" fontId="117" fillId="0" borderId="16" xfId="48" applyNumberFormat="1" applyFont="1" applyFill="1" applyBorder="1" applyAlignment="1">
      <alignment horizontal="right" vertical="center" indent="1"/>
    </xf>
    <xf numFmtId="0" fontId="117" fillId="0" borderId="19" xfId="48" applyFont="1" applyFill="1" applyBorder="1" applyAlignment="1">
      <alignment horizontal="center" vertical="center"/>
    </xf>
    <xf numFmtId="0" fontId="117" fillId="0" borderId="21" xfId="48" applyFont="1" applyFill="1" applyBorder="1" applyAlignment="1">
      <alignment horizontal="center" vertical="center"/>
    </xf>
    <xf numFmtId="3" fontId="116" fillId="23" borderId="23" xfId="48" applyNumberFormat="1" applyFont="1" applyFill="1" applyBorder="1" applyAlignment="1">
      <alignment horizontal="right" vertical="center" indent="1"/>
    </xf>
    <xf numFmtId="3" fontId="116" fillId="23" borderId="20" xfId="48" applyNumberFormat="1" applyFont="1" applyFill="1" applyBorder="1" applyAlignment="1">
      <alignment horizontal="right" vertical="center" indent="1"/>
    </xf>
    <xf numFmtId="3" fontId="116" fillId="23" borderId="24" xfId="48" applyNumberFormat="1" applyFont="1" applyFill="1" applyBorder="1" applyAlignment="1">
      <alignment horizontal="right" vertical="center" indent="1"/>
    </xf>
    <xf numFmtId="3" fontId="116" fillId="23" borderId="22" xfId="48" applyNumberFormat="1" applyFont="1" applyFill="1" applyBorder="1" applyAlignment="1">
      <alignment horizontal="right" vertical="center" indent="1"/>
    </xf>
    <xf numFmtId="3" fontId="117" fillId="0" borderId="12" xfId="0" applyNumberFormat="1" applyFont="1" applyFill="1" applyBorder="1" applyAlignment="1">
      <alignment horizontal="right" vertical="center" indent="1"/>
    </xf>
    <xf numFmtId="3" fontId="117" fillId="0" borderId="0" xfId="0" applyNumberFormat="1" applyFont="1" applyFill="1" applyBorder="1" applyAlignment="1">
      <alignment horizontal="right" vertical="center" indent="1"/>
    </xf>
    <xf numFmtId="0" fontId="118" fillId="0" borderId="23" xfId="0" applyFont="1" applyFill="1" applyBorder="1" applyAlignment="1">
      <alignment horizontal="right" vertical="center" indent="1"/>
    </xf>
    <xf numFmtId="0" fontId="118" fillId="0" borderId="20" xfId="0" applyFont="1" applyFill="1" applyBorder="1" applyAlignment="1">
      <alignment horizontal="right" vertical="center" indent="1"/>
    </xf>
    <xf numFmtId="0" fontId="118" fillId="0" borderId="24" xfId="0" applyFont="1" applyFill="1" applyBorder="1" applyAlignment="1">
      <alignment horizontal="right" vertical="center" indent="1"/>
    </xf>
    <xf numFmtId="0" fontId="118" fillId="0" borderId="22" xfId="0" applyFont="1" applyFill="1" applyBorder="1" applyAlignment="1">
      <alignment horizontal="right" vertical="center" indent="1"/>
    </xf>
    <xf numFmtId="0" fontId="116" fillId="23" borderId="18" xfId="48" applyFont="1" applyFill="1" applyBorder="1" applyAlignment="1">
      <alignment horizontal="center" vertical="center"/>
    </xf>
    <xf numFmtId="0" fontId="147" fillId="0" borderId="0" xfId="0" applyFont="1" applyFill="1" applyBorder="1" applyAlignment="1">
      <alignment vertical="center"/>
    </xf>
    <xf numFmtId="0" fontId="117" fillId="0" borderId="45" xfId="52" applyFont="1" applyFill="1" applyBorder="1" applyAlignment="1">
      <alignment horizontal="left" vertical="center"/>
    </xf>
    <xf numFmtId="3" fontId="125" fillId="0" borderId="52" xfId="53" applyNumberFormat="1" applyFont="1" applyFill="1" applyBorder="1" applyAlignment="1">
      <alignment horizontal="right" vertical="center" indent="1"/>
    </xf>
    <xf numFmtId="3" fontId="125" fillId="0" borderId="53" xfId="53" applyNumberFormat="1" applyFont="1" applyFill="1" applyBorder="1" applyAlignment="1">
      <alignment horizontal="right" vertical="center" indent="1"/>
    </xf>
    <xf numFmtId="3" fontId="116" fillId="0" borderId="51" xfId="66" applyNumberFormat="1" applyFont="1" applyFill="1" applyBorder="1" applyAlignment="1">
      <alignment horizontal="right" vertical="center" indent="1"/>
    </xf>
    <xf numFmtId="3" fontId="117" fillId="0" borderId="52" xfId="0" applyNumberFormat="1" applyFont="1" applyBorder="1" applyAlignment="1">
      <alignment horizontal="right" indent="1"/>
    </xf>
    <xf numFmtId="3" fontId="117" fillId="0" borderId="53" xfId="0" applyNumberFormat="1" applyFont="1" applyBorder="1" applyAlignment="1">
      <alignment horizontal="right" indent="1"/>
    </xf>
    <xf numFmtId="0" fontId="117" fillId="0" borderId="46" xfId="52" applyFont="1" applyFill="1" applyBorder="1" applyAlignment="1">
      <alignment horizontal="left" vertical="center"/>
    </xf>
    <xf numFmtId="3" fontId="125" fillId="0" borderId="47" xfId="53" applyNumberFormat="1" applyFont="1" applyFill="1" applyBorder="1" applyAlignment="1">
      <alignment horizontal="right" vertical="center" indent="1"/>
    </xf>
    <xf numFmtId="3" fontId="125" fillId="0" borderId="55" xfId="53" applyNumberFormat="1" applyFont="1" applyFill="1" applyBorder="1" applyAlignment="1">
      <alignment horizontal="right" vertical="center" indent="1"/>
    </xf>
    <xf numFmtId="3" fontId="116" fillId="0" borderId="54" xfId="66" applyNumberFormat="1" applyFont="1" applyFill="1" applyBorder="1" applyAlignment="1">
      <alignment horizontal="right" vertical="center" indent="1"/>
    </xf>
    <xf numFmtId="3" fontId="117" fillId="0" borderId="47" xfId="0" applyNumberFormat="1" applyFont="1" applyBorder="1" applyAlignment="1">
      <alignment horizontal="right" indent="1"/>
    </xf>
    <xf numFmtId="3" fontId="117" fillId="0" borderId="55" xfId="0" applyNumberFormat="1" applyFont="1" applyBorder="1" applyAlignment="1">
      <alignment horizontal="right" indent="1"/>
    </xf>
    <xf numFmtId="3" fontId="117" fillId="0" borderId="47" xfId="66" applyNumberFormat="1" applyFont="1" applyFill="1" applyBorder="1" applyAlignment="1">
      <alignment horizontal="right" vertical="center" indent="1"/>
    </xf>
    <xf numFmtId="0" fontId="117" fillId="0" borderId="55" xfId="66" applyFont="1" applyFill="1" applyBorder="1" applyAlignment="1">
      <alignment horizontal="right" vertical="center" indent="1"/>
    </xf>
    <xf numFmtId="3" fontId="117" fillId="0" borderId="55" xfId="66" applyNumberFormat="1" applyFont="1" applyFill="1" applyBorder="1" applyAlignment="1">
      <alignment horizontal="right" vertical="center" indent="1"/>
    </xf>
    <xf numFmtId="0" fontId="117" fillId="0" borderId="66" xfId="52" applyFont="1" applyFill="1" applyBorder="1" applyAlignment="1">
      <alignment horizontal="left" vertical="center"/>
    </xf>
    <xf numFmtId="3" fontId="125" fillId="0" borderId="60" xfId="53" applyNumberFormat="1" applyFont="1" applyFill="1" applyBorder="1" applyAlignment="1">
      <alignment horizontal="right" vertical="center" indent="1"/>
    </xf>
    <xf numFmtId="3" fontId="125" fillId="0" borderId="61" xfId="53" applyNumberFormat="1" applyFont="1" applyFill="1" applyBorder="1" applyAlignment="1">
      <alignment horizontal="right" vertical="center" indent="1"/>
    </xf>
    <xf numFmtId="3" fontId="116" fillId="0" borderId="59" xfId="66" applyNumberFormat="1" applyFont="1" applyFill="1" applyBorder="1" applyAlignment="1">
      <alignment horizontal="right" vertical="center" indent="1"/>
    </xf>
    <xf numFmtId="3" fontId="117" fillId="0" borderId="60" xfId="0" applyNumberFormat="1" applyFont="1" applyBorder="1" applyAlignment="1">
      <alignment horizontal="right" indent="1"/>
    </xf>
    <xf numFmtId="0" fontId="117" fillId="0" borderId="69" xfId="52" applyFont="1" applyFill="1" applyBorder="1" applyAlignment="1">
      <alignment horizontal="left" vertical="center"/>
    </xf>
    <xf numFmtId="3" fontId="125" fillId="0" borderId="70" xfId="53" applyNumberFormat="1" applyFont="1" applyFill="1" applyBorder="1" applyAlignment="1">
      <alignment horizontal="right" vertical="center" indent="1"/>
    </xf>
    <xf numFmtId="3" fontId="125" fillId="0" borderId="71" xfId="53" applyNumberFormat="1" applyFont="1" applyFill="1" applyBorder="1" applyAlignment="1">
      <alignment horizontal="right" vertical="center" indent="1"/>
    </xf>
    <xf numFmtId="3" fontId="116" fillId="0" borderId="72" xfId="66" applyNumberFormat="1" applyFont="1" applyFill="1" applyBorder="1" applyAlignment="1">
      <alignment horizontal="right" vertical="center" indent="1"/>
    </xf>
    <xf numFmtId="3" fontId="117" fillId="0" borderId="70" xfId="0" applyNumberFormat="1" applyFont="1" applyBorder="1" applyAlignment="1">
      <alignment horizontal="right" indent="1"/>
    </xf>
    <xf numFmtId="3" fontId="117" fillId="0" borderId="71" xfId="0" applyNumberFormat="1" applyFont="1" applyBorder="1" applyAlignment="1">
      <alignment horizontal="right" indent="1"/>
    </xf>
    <xf numFmtId="3" fontId="117" fillId="0" borderId="70" xfId="66" applyNumberFormat="1" applyFont="1" applyFill="1" applyBorder="1" applyAlignment="1">
      <alignment horizontal="right" vertical="center" indent="1"/>
    </xf>
    <xf numFmtId="3" fontId="117" fillId="0" borderId="71" xfId="66" applyNumberFormat="1" applyFont="1" applyFill="1" applyBorder="1" applyAlignment="1">
      <alignment horizontal="right" vertical="center" indent="1"/>
    </xf>
    <xf numFmtId="3" fontId="117" fillId="0" borderId="60" xfId="66" applyNumberFormat="1" applyFont="1" applyFill="1" applyBorder="1" applyAlignment="1">
      <alignment horizontal="right" vertical="center" indent="1"/>
    </xf>
    <xf numFmtId="0" fontId="117" fillId="0" borderId="71" xfId="66" applyFont="1" applyFill="1" applyBorder="1" applyAlignment="1">
      <alignment horizontal="right" vertical="center" indent="1"/>
    </xf>
    <xf numFmtId="3" fontId="117" fillId="0" borderId="52" xfId="66" applyNumberFormat="1" applyFont="1" applyFill="1" applyBorder="1" applyAlignment="1">
      <alignment horizontal="right" vertical="center" indent="1"/>
    </xf>
    <xf numFmtId="3" fontId="117" fillId="0" borderId="53" xfId="66" applyNumberFormat="1" applyFont="1" applyFill="1" applyBorder="1" applyAlignment="1">
      <alignment horizontal="right" vertical="center" indent="1"/>
    </xf>
    <xf numFmtId="0" fontId="117" fillId="0" borderId="53" xfId="66" applyFont="1" applyFill="1" applyBorder="1" applyAlignment="1">
      <alignment horizontal="right" vertical="center" indent="1"/>
    </xf>
    <xf numFmtId="0" fontId="73" fillId="0" borderId="23" xfId="50" applyFont="1" applyFill="1" applyBorder="1" applyAlignment="1">
      <alignment vertical="center" wrapText="1"/>
    </xf>
    <xf numFmtId="3" fontId="125" fillId="0" borderId="13" xfId="53" applyNumberFormat="1" applyFont="1" applyFill="1" applyBorder="1" applyAlignment="1">
      <alignment horizontal="right" vertical="center" indent="1"/>
    </xf>
    <xf numFmtId="3" fontId="125" fillId="0" borderId="14" xfId="53" applyNumberFormat="1" applyFont="1" applyFill="1" applyBorder="1" applyAlignment="1">
      <alignment horizontal="right" vertical="center" indent="1"/>
    </xf>
    <xf numFmtId="3" fontId="116" fillId="0" borderId="14" xfId="66" applyNumberFormat="1" applyFont="1" applyFill="1" applyBorder="1" applyAlignment="1">
      <alignment horizontal="right" vertical="center" indent="1"/>
    </xf>
    <xf numFmtId="3" fontId="116" fillId="0" borderId="10" xfId="66" applyNumberFormat="1" applyFont="1" applyFill="1" applyBorder="1" applyAlignment="1">
      <alignment horizontal="right" vertical="center" indent="1"/>
    </xf>
    <xf numFmtId="0" fontId="117" fillId="0" borderId="52" xfId="52" applyFont="1" applyFill="1" applyBorder="1" applyAlignment="1">
      <alignment horizontal="left" vertical="center"/>
    </xf>
    <xf numFmtId="0" fontId="125" fillId="0" borderId="53" xfId="44" applyFont="1" applyFill="1" applyBorder="1" applyAlignment="1">
      <alignment horizontal="right" vertical="center" wrapText="1" indent="1"/>
    </xf>
    <xf numFmtId="0" fontId="117" fillId="0" borderId="47" xfId="52" applyFont="1" applyFill="1" applyBorder="1" applyAlignment="1">
      <alignment horizontal="left" vertical="center"/>
    </xf>
    <xf numFmtId="0" fontId="125" fillId="0" borderId="55" xfId="44" applyFont="1" applyFill="1" applyBorder="1" applyAlignment="1">
      <alignment horizontal="right" vertical="center" wrapText="1" indent="1"/>
    </xf>
    <xf numFmtId="3" fontId="117" fillId="0" borderId="54" xfId="0" applyNumberFormat="1" applyFont="1" applyBorder="1" applyAlignment="1">
      <alignment horizontal="right" indent="1"/>
    </xf>
    <xf numFmtId="0" fontId="116" fillId="0" borderId="0" xfId="66" applyFont="1" applyFill="1" applyBorder="1" applyAlignment="1">
      <alignment vertical="center"/>
    </xf>
    <xf numFmtId="0" fontId="117" fillId="0" borderId="12" xfId="66" applyFont="1" applyBorder="1" applyAlignment="1">
      <alignment vertical="center"/>
    </xf>
    <xf numFmtId="0" fontId="125" fillId="0" borderId="52" xfId="54" applyFont="1" applyFill="1" applyBorder="1" applyAlignment="1">
      <alignment horizontal="right" wrapText="1" indent="1"/>
    </xf>
    <xf numFmtId="0" fontId="125" fillId="0" borderId="53" xfId="54" applyFont="1" applyFill="1" applyBorder="1" applyAlignment="1">
      <alignment horizontal="right" wrapText="1" indent="1"/>
    </xf>
    <xf numFmtId="0" fontId="125" fillId="0" borderId="47" xfId="54" applyFont="1" applyFill="1" applyBorder="1" applyAlignment="1">
      <alignment horizontal="right" wrapText="1" indent="1"/>
    </xf>
    <xf numFmtId="0" fontId="125" fillId="0" borderId="55" xfId="54" applyFont="1" applyFill="1" applyBorder="1" applyAlignment="1">
      <alignment horizontal="right" wrapText="1" indent="1"/>
    </xf>
    <xf numFmtId="0" fontId="117" fillId="0" borderId="47" xfId="66" applyFont="1" applyFill="1" applyBorder="1" applyAlignment="1">
      <alignment horizontal="right" vertical="center" indent="1"/>
    </xf>
    <xf numFmtId="0" fontId="125" fillId="0" borderId="55" xfId="49" applyFont="1" applyFill="1" applyBorder="1" applyAlignment="1">
      <alignment horizontal="right" wrapText="1" indent="1"/>
    </xf>
    <xf numFmtId="0" fontId="117" fillId="0" borderId="55" xfId="66" applyFont="1" applyFill="1" applyBorder="1" applyAlignment="1">
      <alignment horizontal="right" indent="1"/>
    </xf>
    <xf numFmtId="0" fontId="125" fillId="0" borderId="61" xfId="54" applyFont="1" applyFill="1" applyBorder="1" applyAlignment="1">
      <alignment horizontal="right" wrapText="1" indent="1"/>
    </xf>
    <xf numFmtId="0" fontId="125" fillId="0" borderId="60" xfId="54" applyFont="1" applyFill="1" applyBorder="1" applyAlignment="1">
      <alignment horizontal="right" wrapText="1" indent="1"/>
    </xf>
    <xf numFmtId="0" fontId="125" fillId="0" borderId="70" xfId="54" applyFont="1" applyFill="1" applyBorder="1" applyAlignment="1">
      <alignment horizontal="right" wrapText="1" indent="1"/>
    </xf>
    <xf numFmtId="0" fontId="125" fillId="0" borderId="71" xfId="54" applyFont="1" applyFill="1" applyBorder="1" applyAlignment="1">
      <alignment horizontal="right" wrapText="1" indent="1"/>
    </xf>
    <xf numFmtId="3" fontId="125" fillId="0" borderId="71" xfId="55" applyNumberFormat="1" applyFont="1" applyFill="1" applyBorder="1" applyAlignment="1">
      <alignment horizontal="right" wrapText="1" indent="1"/>
    </xf>
    <xf numFmtId="0" fontId="117" fillId="0" borderId="60" xfId="66" applyFont="1" applyFill="1" applyBorder="1" applyAlignment="1">
      <alignment horizontal="right" vertical="center" indent="1"/>
    </xf>
    <xf numFmtId="0" fontId="117" fillId="0" borderId="70" xfId="66" applyFont="1" applyFill="1" applyBorder="1" applyAlignment="1">
      <alignment horizontal="right" vertical="center" indent="1"/>
    </xf>
    <xf numFmtId="0" fontId="117" fillId="0" borderId="52" xfId="66" applyFont="1" applyFill="1" applyBorder="1" applyAlignment="1">
      <alignment horizontal="right" vertical="center" indent="1"/>
    </xf>
    <xf numFmtId="0" fontId="125" fillId="0" borderId="53" xfId="49" applyFont="1" applyFill="1" applyBorder="1" applyAlignment="1">
      <alignment horizontal="right" wrapText="1" indent="1"/>
    </xf>
    <xf numFmtId="0" fontId="125" fillId="0" borderId="20" xfId="50" applyFont="1" applyFill="1" applyBorder="1" applyAlignment="1">
      <alignment vertical="center" wrapText="1"/>
    </xf>
    <xf numFmtId="0" fontId="116" fillId="23" borderId="21" xfId="52" applyFont="1" applyFill="1" applyBorder="1" applyAlignment="1">
      <alignment horizontal="center" vertical="center"/>
    </xf>
    <xf numFmtId="3" fontId="138" fillId="23" borderId="16" xfId="53" applyNumberFormat="1" applyFont="1" applyFill="1" applyBorder="1" applyAlignment="1">
      <alignment horizontal="right" vertical="center" indent="1"/>
    </xf>
    <xf numFmtId="0" fontId="138" fillId="23" borderId="0" xfId="54" applyFont="1" applyFill="1" applyBorder="1" applyAlignment="1">
      <alignment horizontal="right" wrapText="1" indent="1"/>
    </xf>
    <xf numFmtId="3" fontId="116" fillId="23" borderId="17" xfId="66" applyNumberFormat="1" applyFont="1" applyFill="1" applyBorder="1" applyAlignment="1">
      <alignment horizontal="right" vertical="center" indent="1"/>
    </xf>
    <xf numFmtId="0" fontId="125" fillId="0" borderId="61" xfId="44" applyFont="1" applyFill="1" applyBorder="1" applyAlignment="1">
      <alignment horizontal="right" vertical="center" wrapText="1" indent="1"/>
    </xf>
    <xf numFmtId="0" fontId="116" fillId="23" borderId="48" xfId="52" applyFont="1" applyFill="1" applyBorder="1" applyAlignment="1">
      <alignment horizontal="center" vertical="center"/>
    </xf>
    <xf numFmtId="0" fontId="116" fillId="23" borderId="23" xfId="52" applyFont="1" applyFill="1" applyBorder="1" applyAlignment="1">
      <alignment horizontal="center" vertical="center"/>
    </xf>
    <xf numFmtId="3" fontId="138" fillId="23" borderId="20" xfId="53" applyNumberFormat="1" applyFont="1" applyFill="1" applyBorder="1" applyAlignment="1">
      <alignment horizontal="right" vertical="center" indent="1"/>
    </xf>
    <xf numFmtId="0" fontId="138" fillId="23" borderId="24" xfId="54" applyFont="1" applyFill="1" applyBorder="1" applyAlignment="1">
      <alignment horizontal="right" wrapText="1" indent="1"/>
    </xf>
    <xf numFmtId="3" fontId="138" fillId="23" borderId="13" xfId="54" applyNumberFormat="1" applyFont="1" applyFill="1" applyBorder="1" applyAlignment="1">
      <alignment horizontal="right" wrapText="1" indent="1"/>
    </xf>
    <xf numFmtId="3" fontId="138" fillId="23" borderId="14" xfId="54" applyNumberFormat="1" applyFont="1" applyFill="1" applyBorder="1" applyAlignment="1">
      <alignment horizontal="right" wrapText="1" indent="1"/>
    </xf>
    <xf numFmtId="3" fontId="138" fillId="23" borderId="10" xfId="54" applyNumberFormat="1" applyFont="1" applyFill="1" applyBorder="1" applyAlignment="1">
      <alignment horizontal="right" wrapText="1" indent="1"/>
    </xf>
    <xf numFmtId="3" fontId="125" fillId="0" borderId="55" xfId="55" applyNumberFormat="1" applyFont="1" applyFill="1" applyBorder="1" applyAlignment="1">
      <alignment horizontal="right" wrapText="1" indent="1"/>
    </xf>
    <xf numFmtId="0" fontId="73" fillId="0" borderId="57" xfId="50" applyFont="1" applyFill="1" applyBorder="1" applyAlignment="1">
      <alignment vertical="center" wrapText="1"/>
    </xf>
    <xf numFmtId="3" fontId="125" fillId="0" borderId="57" xfId="53" applyNumberFormat="1" applyFont="1" applyFill="1" applyBorder="1" applyAlignment="1">
      <alignment horizontal="right" vertical="center" indent="1"/>
    </xf>
    <xf numFmtId="3" fontId="125" fillId="0" borderId="58" xfId="53" applyNumberFormat="1" applyFont="1" applyFill="1" applyBorder="1" applyAlignment="1">
      <alignment horizontal="right" vertical="center" indent="1"/>
    </xf>
    <xf numFmtId="3" fontId="116" fillId="0" borderId="58" xfId="66" applyNumberFormat="1" applyFont="1" applyFill="1" applyBorder="1" applyAlignment="1">
      <alignment horizontal="right" vertical="center" indent="1"/>
    </xf>
    <xf numFmtId="3" fontId="116" fillId="0" borderId="56" xfId="66" applyNumberFormat="1" applyFont="1" applyFill="1" applyBorder="1" applyAlignment="1">
      <alignment horizontal="right" vertical="center" indent="1"/>
    </xf>
    <xf numFmtId="3" fontId="116" fillId="23" borderId="13" xfId="54" applyNumberFormat="1" applyFont="1" applyFill="1" applyBorder="1" applyAlignment="1">
      <alignment horizontal="right" wrapText="1" indent="1"/>
    </xf>
    <xf numFmtId="3" fontId="116" fillId="23" borderId="14" xfId="54" applyNumberFormat="1" applyFont="1" applyFill="1" applyBorder="1" applyAlignment="1">
      <alignment horizontal="right" wrapText="1" indent="1"/>
    </xf>
    <xf numFmtId="3" fontId="116" fillId="23" borderId="10" xfId="54" applyNumberFormat="1" applyFont="1" applyFill="1" applyBorder="1" applyAlignment="1">
      <alignment horizontal="right" wrapText="1" indent="1"/>
    </xf>
    <xf numFmtId="3" fontId="125" fillId="0" borderId="52" xfId="46" applyNumberFormat="1" applyFont="1" applyFill="1" applyBorder="1" applyAlignment="1">
      <alignment horizontal="right" wrapText="1" indent="1"/>
    </xf>
    <xf numFmtId="3" fontId="125" fillId="0" borderId="53" xfId="46" applyNumberFormat="1" applyFont="1" applyFill="1" applyBorder="1" applyAlignment="1">
      <alignment horizontal="right" wrapText="1" indent="1"/>
    </xf>
    <xf numFmtId="3" fontId="125" fillId="0" borderId="51" xfId="46" applyNumberFormat="1" applyFont="1" applyFill="1" applyBorder="1" applyAlignment="1">
      <alignment horizontal="right" wrapText="1" indent="1"/>
    </xf>
    <xf numFmtId="3" fontId="125" fillId="0" borderId="51" xfId="51" applyNumberFormat="1" applyFont="1" applyFill="1" applyBorder="1" applyAlignment="1">
      <alignment horizontal="right" wrapText="1" indent="1"/>
    </xf>
    <xf numFmtId="3" fontId="125" fillId="0" borderId="52" xfId="51" applyNumberFormat="1" applyFont="1" applyFill="1" applyBorder="1" applyAlignment="1">
      <alignment horizontal="right" wrapText="1" indent="1"/>
    </xf>
    <xf numFmtId="3" fontId="125" fillId="0" borderId="53" xfId="51" applyNumberFormat="1" applyFont="1" applyFill="1" applyBorder="1" applyAlignment="1">
      <alignment horizontal="right" wrapText="1" indent="1"/>
    </xf>
    <xf numFmtId="3" fontId="125" fillId="0" borderId="53" xfId="47" applyNumberFormat="1" applyFont="1" applyFill="1" applyBorder="1" applyAlignment="1">
      <alignment horizontal="right" wrapText="1" indent="1"/>
    </xf>
    <xf numFmtId="3" fontId="117" fillId="0" borderId="52" xfId="0" applyNumberFormat="1" applyFont="1" applyBorder="1" applyAlignment="1">
      <alignment horizontal="right" vertical="center" indent="1"/>
    </xf>
    <xf numFmtId="3" fontId="117" fillId="0" borderId="53" xfId="0" applyNumberFormat="1" applyFont="1" applyBorder="1" applyAlignment="1">
      <alignment horizontal="right" vertical="center" indent="1"/>
    </xf>
    <xf numFmtId="3" fontId="117" fillId="0" borderId="51" xfId="0" applyNumberFormat="1" applyFont="1" applyBorder="1" applyAlignment="1">
      <alignment horizontal="right" vertical="center" indent="1"/>
    </xf>
    <xf numFmtId="3" fontId="125" fillId="0" borderId="47" xfId="46" applyNumberFormat="1" applyFont="1" applyFill="1" applyBorder="1" applyAlignment="1">
      <alignment horizontal="right" wrapText="1" indent="1"/>
    </xf>
    <xf numFmtId="3" fontId="125" fillId="0" borderId="55" xfId="46" applyNumberFormat="1" applyFont="1" applyFill="1" applyBorder="1" applyAlignment="1">
      <alignment horizontal="right" wrapText="1" indent="1"/>
    </xf>
    <xf numFmtId="3" fontId="125" fillId="0" borderId="54" xfId="46" applyNumberFormat="1" applyFont="1" applyFill="1" applyBorder="1" applyAlignment="1">
      <alignment horizontal="right" wrapText="1" indent="1"/>
    </xf>
    <xf numFmtId="3" fontId="125" fillId="0" borderId="54" xfId="51" applyNumberFormat="1" applyFont="1" applyFill="1" applyBorder="1" applyAlignment="1">
      <alignment horizontal="right" wrapText="1" indent="1"/>
    </xf>
    <xf numFmtId="3" fontId="125" fillId="0" borderId="47" xfId="51" applyNumberFormat="1" applyFont="1" applyFill="1" applyBorder="1" applyAlignment="1">
      <alignment horizontal="right" wrapText="1" indent="1"/>
    </xf>
    <xf numFmtId="3" fontId="125" fillId="0" borderId="55" xfId="51" applyNumberFormat="1" applyFont="1" applyFill="1" applyBorder="1" applyAlignment="1">
      <alignment horizontal="right" wrapText="1" indent="1"/>
    </xf>
    <xf numFmtId="3" fontId="125" fillId="0" borderId="55" xfId="47" applyNumberFormat="1" applyFont="1" applyFill="1" applyBorder="1" applyAlignment="1">
      <alignment horizontal="right" wrapText="1" indent="1"/>
    </xf>
    <xf numFmtId="3" fontId="117" fillId="0" borderId="47" xfId="0" applyNumberFormat="1" applyFont="1" applyBorder="1" applyAlignment="1">
      <alignment horizontal="right" vertical="center" indent="1"/>
    </xf>
    <xf numFmtId="3" fontId="117" fillId="0" borderId="55" xfId="0" applyNumberFormat="1" applyFont="1" applyBorder="1" applyAlignment="1">
      <alignment horizontal="right" vertical="center" indent="1"/>
    </xf>
    <xf numFmtId="3" fontId="117" fillId="0" borderId="54" xfId="0" applyNumberFormat="1" applyFont="1" applyBorder="1" applyAlignment="1">
      <alignment horizontal="right" vertical="center" indent="1"/>
    </xf>
    <xf numFmtId="3" fontId="117" fillId="0" borderId="54" xfId="66" applyNumberFormat="1" applyFont="1" applyFill="1" applyBorder="1" applyAlignment="1">
      <alignment horizontal="right" vertical="center" indent="1"/>
    </xf>
    <xf numFmtId="3" fontId="125" fillId="0" borderId="55" xfId="50" applyNumberFormat="1" applyFont="1" applyFill="1" applyBorder="1" applyAlignment="1">
      <alignment horizontal="right" wrapText="1" indent="1"/>
    </xf>
    <xf numFmtId="3" fontId="125" fillId="0" borderId="47" xfId="50" applyNumberFormat="1" applyFont="1" applyFill="1" applyBorder="1" applyAlignment="1">
      <alignment horizontal="right" wrapText="1" indent="1"/>
    </xf>
    <xf numFmtId="3" fontId="125" fillId="0" borderId="54" xfId="50" applyNumberFormat="1" applyFont="1" applyFill="1" applyBorder="1" applyAlignment="1">
      <alignment horizontal="right" wrapText="1" indent="1"/>
    </xf>
    <xf numFmtId="0" fontId="117" fillId="0" borderId="70" xfId="52" applyFont="1" applyFill="1" applyBorder="1" applyAlignment="1">
      <alignment horizontal="left" vertical="center"/>
    </xf>
    <xf numFmtId="3" fontId="125" fillId="0" borderId="70" xfId="46" applyNumberFormat="1" applyFont="1" applyFill="1" applyBorder="1" applyAlignment="1">
      <alignment horizontal="right" wrapText="1" indent="1"/>
    </xf>
    <xf numFmtId="3" fontId="125" fillId="0" borderId="71" xfId="46" applyNumberFormat="1" applyFont="1" applyFill="1" applyBorder="1" applyAlignment="1">
      <alignment horizontal="right" wrapText="1" indent="1"/>
    </xf>
    <xf numFmtId="3" fontId="125" fillId="0" borderId="72" xfId="46" applyNumberFormat="1" applyFont="1" applyFill="1" applyBorder="1" applyAlignment="1">
      <alignment horizontal="right" wrapText="1" indent="1"/>
    </xf>
    <xf numFmtId="3" fontId="125" fillId="0" borderId="72" xfId="51" applyNumberFormat="1" applyFont="1" applyFill="1" applyBorder="1" applyAlignment="1">
      <alignment horizontal="right" wrapText="1" indent="1"/>
    </xf>
    <xf numFmtId="3" fontId="125" fillId="0" borderId="70" xfId="51" applyNumberFormat="1" applyFont="1" applyFill="1" applyBorder="1" applyAlignment="1">
      <alignment horizontal="right" wrapText="1" indent="1"/>
    </xf>
    <xf numFmtId="3" fontId="125" fillId="0" borderId="71" xfId="51" applyNumberFormat="1" applyFont="1" applyFill="1" applyBorder="1" applyAlignment="1">
      <alignment horizontal="right" wrapText="1" indent="1"/>
    </xf>
    <xf numFmtId="3" fontId="125" fillId="0" borderId="71" xfId="47" applyNumberFormat="1" applyFont="1" applyFill="1" applyBorder="1" applyAlignment="1">
      <alignment horizontal="right" wrapText="1" indent="1"/>
    </xf>
    <xf numFmtId="3" fontId="117" fillId="0" borderId="70" xfId="0" applyNumberFormat="1" applyFont="1" applyBorder="1" applyAlignment="1">
      <alignment horizontal="right" vertical="center" indent="1"/>
    </xf>
    <xf numFmtId="3" fontId="117" fillId="0" borderId="71" xfId="0" applyNumberFormat="1" applyFont="1" applyBorder="1" applyAlignment="1">
      <alignment horizontal="right" vertical="center" indent="1"/>
    </xf>
    <xf numFmtId="3" fontId="117" fillId="0" borderId="72" xfId="0" applyNumberFormat="1" applyFont="1" applyBorder="1" applyAlignment="1">
      <alignment horizontal="right" vertical="center" indent="1"/>
    </xf>
    <xf numFmtId="3" fontId="138" fillId="23" borderId="57" xfId="53" applyNumberFormat="1" applyFont="1" applyFill="1" applyBorder="1" applyAlignment="1">
      <alignment horizontal="right" vertical="center" indent="1"/>
    </xf>
    <xf numFmtId="3" fontId="138" fillId="23" borderId="58" xfId="53" applyNumberFormat="1" applyFont="1" applyFill="1" applyBorder="1" applyAlignment="1">
      <alignment horizontal="right" vertical="center" indent="1"/>
    </xf>
    <xf numFmtId="3" fontId="138" fillId="23" borderId="56" xfId="53" applyNumberFormat="1" applyFont="1" applyFill="1" applyBorder="1" applyAlignment="1">
      <alignment horizontal="right" vertical="center" indent="1"/>
    </xf>
    <xf numFmtId="168" fontId="58" fillId="0" borderId="0" xfId="57" applyNumberFormat="1" applyFont="1" applyAlignment="1">
      <alignment vertical="center"/>
    </xf>
    <xf numFmtId="0" fontId="61" fillId="23" borderId="13" xfId="0" applyFont="1" applyFill="1" applyBorder="1" applyAlignment="1">
      <alignment horizontal="center" vertical="center"/>
    </xf>
    <xf numFmtId="3" fontId="117" fillId="0" borderId="11" xfId="66" applyNumberFormat="1" applyFont="1" applyBorder="1" applyAlignment="1">
      <alignment horizontal="right" vertical="center" indent="1"/>
    </xf>
    <xf numFmtId="3" fontId="117" fillId="0" borderId="12" xfId="66" applyNumberFormat="1" applyFont="1" applyBorder="1" applyAlignment="1">
      <alignment horizontal="right" vertical="center" indent="1"/>
    </xf>
    <xf numFmtId="3" fontId="117" fillId="0" borderId="15" xfId="66" applyNumberFormat="1" applyFont="1" applyBorder="1" applyAlignment="1">
      <alignment horizontal="right" vertical="center" indent="1"/>
    </xf>
    <xf numFmtId="3" fontId="117" fillId="0" borderId="16" xfId="66" applyNumberFormat="1" applyFont="1" applyBorder="1" applyAlignment="1">
      <alignment horizontal="right" vertical="center" indent="1"/>
    </xf>
    <xf numFmtId="3" fontId="117" fillId="0" borderId="0" xfId="66" applyNumberFormat="1" applyFont="1" applyBorder="1" applyAlignment="1">
      <alignment horizontal="right" vertical="center" indent="1"/>
    </xf>
    <xf numFmtId="3" fontId="117" fillId="0" borderId="17" xfId="66" applyNumberFormat="1" applyFont="1" applyBorder="1" applyAlignment="1">
      <alignment horizontal="right" vertical="center" indent="1"/>
    </xf>
    <xf numFmtId="0" fontId="116" fillId="0" borderId="0" xfId="66" applyFont="1" applyAlignment="1">
      <alignment vertical="center"/>
    </xf>
    <xf numFmtId="3" fontId="117" fillId="0" borderId="20" xfId="66" applyNumberFormat="1" applyFont="1" applyBorder="1" applyAlignment="1">
      <alignment horizontal="right" vertical="center" indent="1"/>
    </xf>
    <xf numFmtId="3" fontId="117" fillId="0" borderId="24" xfId="66" applyNumberFormat="1" applyFont="1" applyBorder="1" applyAlignment="1">
      <alignment horizontal="right" vertical="center" indent="1"/>
    </xf>
    <xf numFmtId="3" fontId="117" fillId="0" borderId="22" xfId="66" applyNumberFormat="1" applyFont="1" applyBorder="1" applyAlignment="1">
      <alignment horizontal="right" vertical="center" indent="1"/>
    </xf>
    <xf numFmtId="0" fontId="116" fillId="23" borderId="10" xfId="0" applyFont="1" applyFill="1" applyBorder="1" applyAlignment="1">
      <alignment horizontal="center" vertical="center" wrapText="1"/>
    </xf>
    <xf numFmtId="3" fontId="138" fillId="23" borderId="14" xfId="53" applyNumberFormat="1" applyFont="1" applyFill="1" applyBorder="1" applyAlignment="1">
      <alignment horizontal="right" vertical="center" indent="1"/>
    </xf>
    <xf numFmtId="3" fontId="138" fillId="23" borderId="10" xfId="53" applyNumberFormat="1" applyFont="1" applyFill="1" applyBorder="1" applyAlignment="1">
      <alignment horizontal="right" vertical="center" indent="1"/>
    </xf>
    <xf numFmtId="0" fontId="143" fillId="0" borderId="0" xfId="66" applyFont="1" applyAlignment="1">
      <alignment vertical="center"/>
    </xf>
    <xf numFmtId="0" fontId="60" fillId="0" borderId="0" xfId="66" applyFont="1" applyAlignment="1">
      <alignment horizontal="center" vertical="center"/>
    </xf>
    <xf numFmtId="0" fontId="68" fillId="0" borderId="0" xfId="0" applyFont="1" applyAlignment="1">
      <alignment horizontal="center"/>
    </xf>
    <xf numFmtId="0" fontId="58" fillId="0" borderId="0" xfId="374" applyAlignment="1">
      <alignment wrapText="1"/>
    </xf>
    <xf numFmtId="0" fontId="61" fillId="0" borderId="0" xfId="374" applyFont="1" applyAlignment="1">
      <alignment wrapText="1"/>
    </xf>
    <xf numFmtId="0" fontId="61" fillId="0" borderId="0" xfId="374" applyFont="1" applyAlignment="1">
      <alignment horizontal="center" vertical="center" wrapText="1"/>
    </xf>
    <xf numFmtId="0" fontId="58" fillId="0" borderId="0" xfId="374" applyFill="1" applyBorder="1" applyAlignment="1">
      <alignment horizontal="left" vertical="center" wrapText="1"/>
    </xf>
    <xf numFmtId="0" fontId="58" fillId="0" borderId="0" xfId="374" applyFill="1" applyBorder="1" applyAlignment="1">
      <alignment horizontal="center" vertical="center" wrapText="1"/>
    </xf>
    <xf numFmtId="0" fontId="58" fillId="0" borderId="0" xfId="374"/>
    <xf numFmtId="0" fontId="58" fillId="0" borderId="0" xfId="374" applyFont="1"/>
    <xf numFmtId="0" fontId="58" fillId="0" borderId="0" xfId="374" applyAlignment="1">
      <alignment horizontal="right" wrapText="1"/>
    </xf>
    <xf numFmtId="0" fontId="58" fillId="0" borderId="0" xfId="374" applyAlignment="1">
      <alignment horizontal="center" vertical="center"/>
    </xf>
    <xf numFmtId="0" fontId="105" fillId="0" borderId="0" xfId="374" applyFont="1"/>
    <xf numFmtId="0" fontId="60" fillId="0" borderId="24" xfId="66" applyFont="1" applyBorder="1" applyAlignment="1">
      <alignment vertical="center"/>
    </xf>
    <xf numFmtId="0" fontId="68" fillId="0" borderId="24" xfId="0" applyFont="1" applyBorder="1" applyAlignment="1"/>
    <xf numFmtId="0" fontId="97" fillId="0" borderId="0" xfId="66" applyFont="1" applyAlignment="1">
      <alignment vertical="center"/>
    </xf>
    <xf numFmtId="0" fontId="62" fillId="0" borderId="0" xfId="66" applyFont="1" applyAlignment="1"/>
    <xf numFmtId="0" fontId="96" fillId="0" borderId="0" xfId="0" applyFont="1" applyAlignment="1"/>
    <xf numFmtId="0" fontId="69" fillId="0" borderId="0" xfId="66" applyFont="1" applyAlignment="1">
      <alignment horizontal="left" vertical="center"/>
    </xf>
    <xf numFmtId="0" fontId="108" fillId="0" borderId="0" xfId="457" applyFont="1"/>
    <xf numFmtId="0" fontId="61" fillId="23" borderId="13" xfId="66" applyFont="1" applyFill="1" applyBorder="1" applyAlignment="1">
      <alignment horizontal="center" vertical="center"/>
    </xf>
    <xf numFmtId="0" fontId="61" fillId="23" borderId="10" xfId="66" applyFont="1" applyFill="1" applyBorder="1" applyAlignment="1">
      <alignment horizontal="center" vertical="center"/>
    </xf>
    <xf numFmtId="0" fontId="61" fillId="23" borderId="14" xfId="66" applyFont="1" applyFill="1" applyBorder="1" applyAlignment="1">
      <alignment horizontal="center" vertical="center"/>
    </xf>
    <xf numFmtId="1" fontId="116" fillId="23" borderId="18" xfId="50" applyNumberFormat="1" applyFont="1" applyFill="1" applyBorder="1" applyAlignment="1">
      <alignment horizontal="center" vertical="center" wrapText="1"/>
    </xf>
    <xf numFmtId="0" fontId="118" fillId="0" borderId="0" xfId="0" applyFont="1"/>
    <xf numFmtId="3" fontId="138" fillId="23" borderId="14" xfId="46" applyNumberFormat="1" applyFont="1" applyFill="1" applyBorder="1" applyAlignment="1">
      <alignment horizontal="right" wrapText="1" indent="1"/>
    </xf>
    <xf numFmtId="3" fontId="138" fillId="23" borderId="10" xfId="46" applyNumberFormat="1" applyFont="1" applyFill="1" applyBorder="1" applyAlignment="1">
      <alignment horizontal="right" wrapText="1" indent="1"/>
    </xf>
    <xf numFmtId="0" fontId="60" fillId="0" borderId="0" xfId="374" applyFont="1" applyFill="1" applyBorder="1" applyAlignment="1">
      <alignment vertical="center"/>
    </xf>
    <xf numFmtId="0" fontId="96" fillId="0" borderId="0" xfId="374" applyFont="1" applyFill="1" applyBorder="1" applyAlignment="1">
      <alignment vertical="center"/>
    </xf>
    <xf numFmtId="0" fontId="60" fillId="0" borderId="0" xfId="374" applyFont="1" applyFill="1" applyBorder="1" applyAlignment="1">
      <alignment vertical="center" wrapText="1"/>
    </xf>
    <xf numFmtId="0" fontId="117" fillId="0" borderId="52" xfId="463" applyFont="1" applyFill="1" applyBorder="1" applyAlignment="1">
      <alignment horizontal="left" vertical="center"/>
    </xf>
    <xf numFmtId="3" fontId="116" fillId="0" borderId="53" xfId="374" applyNumberFormat="1" applyFont="1" applyFill="1" applyBorder="1" applyAlignment="1">
      <alignment horizontal="right" vertical="center" indent="1"/>
    </xf>
    <xf numFmtId="3" fontId="117" fillId="0" borderId="52" xfId="374" applyNumberFormat="1" applyFont="1" applyFill="1" applyBorder="1" applyAlignment="1">
      <alignment horizontal="right" vertical="center" indent="1"/>
    </xf>
    <xf numFmtId="3" fontId="116" fillId="0" borderId="51" xfId="374" applyNumberFormat="1" applyFont="1" applyFill="1" applyBorder="1" applyAlignment="1">
      <alignment horizontal="right" vertical="center" indent="1"/>
    </xf>
    <xf numFmtId="3" fontId="117" fillId="0" borderId="53" xfId="374" applyNumberFormat="1" applyFont="1" applyBorder="1" applyAlignment="1">
      <alignment horizontal="right" indent="1"/>
    </xf>
    <xf numFmtId="3" fontId="116" fillId="0" borderId="51" xfId="374" applyNumberFormat="1" applyFont="1" applyBorder="1" applyAlignment="1">
      <alignment horizontal="right" indent="1"/>
    </xf>
    <xf numFmtId="3" fontId="117" fillId="0" borderId="52" xfId="374" applyNumberFormat="1" applyFont="1" applyBorder="1" applyAlignment="1">
      <alignment horizontal="right" indent="1"/>
    </xf>
    <xf numFmtId="0" fontId="62" fillId="0" borderId="0" xfId="374" applyFont="1" applyFill="1" applyBorder="1" applyAlignment="1">
      <alignment vertical="center"/>
    </xf>
    <xf numFmtId="0" fontId="117" fillId="0" borderId="47" xfId="463" applyFont="1" applyFill="1" applyBorder="1" applyAlignment="1">
      <alignment horizontal="left" vertical="center"/>
    </xf>
    <xf numFmtId="3" fontId="116" fillId="0" borderId="55" xfId="374" applyNumberFormat="1" applyFont="1" applyFill="1" applyBorder="1" applyAlignment="1">
      <alignment horizontal="right" vertical="center" indent="1"/>
    </xf>
    <xf numFmtId="3" fontId="117" fillId="0" borderId="47" xfId="374" applyNumberFormat="1" applyFont="1" applyFill="1" applyBorder="1" applyAlignment="1">
      <alignment horizontal="right" vertical="center" indent="1"/>
    </xf>
    <xf numFmtId="3" fontId="116" fillId="0" borderId="54" xfId="374" applyNumberFormat="1" applyFont="1" applyFill="1" applyBorder="1" applyAlignment="1">
      <alignment horizontal="right" vertical="center" indent="1"/>
    </xf>
    <xf numFmtId="3" fontId="117" fillId="0" borderId="55" xfId="374" applyNumberFormat="1" applyFont="1" applyBorder="1" applyAlignment="1">
      <alignment horizontal="right" indent="1"/>
    </xf>
    <xf numFmtId="3" fontId="116" fillId="0" borderId="54" xfId="374" applyNumberFormat="1" applyFont="1" applyBorder="1" applyAlignment="1">
      <alignment horizontal="right" indent="1"/>
    </xf>
    <xf numFmtId="3" fontId="117" fillId="0" borderId="47" xfId="374" applyNumberFormat="1" applyFont="1" applyBorder="1" applyAlignment="1">
      <alignment horizontal="right" indent="1"/>
    </xf>
    <xf numFmtId="0" fontId="117" fillId="0" borderId="60" xfId="463" applyFont="1" applyFill="1" applyBorder="1" applyAlignment="1">
      <alignment horizontal="left" vertical="center"/>
    </xf>
    <xf numFmtId="3" fontId="116" fillId="0" borderId="61" xfId="374" applyNumberFormat="1" applyFont="1" applyFill="1" applyBorder="1" applyAlignment="1">
      <alignment horizontal="right" vertical="center" indent="1"/>
    </xf>
    <xf numFmtId="3" fontId="117" fillId="0" borderId="60" xfId="374" applyNumberFormat="1" applyFont="1" applyFill="1" applyBorder="1" applyAlignment="1">
      <alignment horizontal="right" vertical="center" indent="1"/>
    </xf>
    <xf numFmtId="3" fontId="116" fillId="0" borderId="59" xfId="374" applyNumberFormat="1" applyFont="1" applyFill="1" applyBorder="1" applyAlignment="1">
      <alignment horizontal="right" vertical="center" indent="1"/>
    </xf>
    <xf numFmtId="3" fontId="117" fillId="0" borderId="61" xfId="374" applyNumberFormat="1" applyFont="1" applyBorder="1" applyAlignment="1">
      <alignment horizontal="right" indent="1"/>
    </xf>
    <xf numFmtId="3" fontId="116" fillId="0" borderId="59" xfId="374" applyNumberFormat="1" applyFont="1" applyBorder="1" applyAlignment="1">
      <alignment horizontal="right" indent="1"/>
    </xf>
    <xf numFmtId="3" fontId="117" fillId="0" borderId="60" xfId="374" applyNumberFormat="1" applyFont="1" applyBorder="1" applyAlignment="1">
      <alignment horizontal="right" indent="1"/>
    </xf>
    <xf numFmtId="0" fontId="116" fillId="23" borderId="48" xfId="463" applyFont="1" applyFill="1" applyBorder="1" applyAlignment="1">
      <alignment horizontal="center" vertical="center"/>
    </xf>
    <xf numFmtId="3" fontId="116" fillId="23" borderId="57" xfId="374" applyNumberFormat="1" applyFont="1" applyFill="1" applyBorder="1" applyAlignment="1">
      <alignment horizontal="right" indent="1"/>
    </xf>
    <xf numFmtId="3" fontId="116" fillId="23" borderId="58" xfId="374" applyNumberFormat="1" applyFont="1" applyFill="1" applyBorder="1" applyAlignment="1">
      <alignment horizontal="right" indent="1"/>
    </xf>
    <xf numFmtId="3" fontId="116" fillId="23" borderId="56" xfId="374" applyNumberFormat="1" applyFont="1" applyFill="1" applyBorder="1" applyAlignment="1">
      <alignment horizontal="right" indent="1"/>
    </xf>
    <xf numFmtId="3" fontId="117" fillId="0" borderId="45" xfId="374" applyNumberFormat="1" applyFont="1" applyBorder="1"/>
    <xf numFmtId="0" fontId="117" fillId="0" borderId="53" xfId="374" applyFont="1" applyBorder="1" applyAlignment="1">
      <alignment horizontal="right" vertical="center" indent="1"/>
    </xf>
    <xf numFmtId="0" fontId="117" fillId="0" borderId="51" xfId="374" applyFont="1" applyBorder="1" applyAlignment="1">
      <alignment horizontal="right" vertical="center" indent="1"/>
    </xf>
    <xf numFmtId="3" fontId="117" fillId="0" borderId="51" xfId="374" applyNumberFormat="1" applyFont="1" applyBorder="1" applyAlignment="1">
      <alignment horizontal="right" indent="1"/>
    </xf>
    <xf numFmtId="3" fontId="117" fillId="0" borderId="46" xfId="374" applyNumberFormat="1" applyFont="1" applyBorder="1"/>
    <xf numFmtId="0" fontId="117" fillId="0" borderId="55" xfId="374" applyFont="1" applyBorder="1" applyAlignment="1">
      <alignment horizontal="right" vertical="center" indent="1"/>
    </xf>
    <xf numFmtId="0" fontId="117" fillId="0" borderId="54" xfId="374" applyFont="1" applyBorder="1" applyAlignment="1">
      <alignment horizontal="right" vertical="center" indent="1"/>
    </xf>
    <xf numFmtId="3" fontId="117" fillId="0" borderId="54" xfId="374" applyNumberFormat="1" applyFont="1" applyBorder="1" applyAlignment="1">
      <alignment horizontal="right" indent="1"/>
    </xf>
    <xf numFmtId="0" fontId="117" fillId="0" borderId="52" xfId="374" applyFont="1" applyBorder="1" applyAlignment="1">
      <alignment horizontal="right" indent="1"/>
    </xf>
    <xf numFmtId="0" fontId="117" fillId="0" borderId="53" xfId="374" applyFont="1" applyBorder="1" applyAlignment="1">
      <alignment horizontal="right" indent="1"/>
    </xf>
    <xf numFmtId="0" fontId="116" fillId="0" borderId="51" xfId="374" applyFont="1" applyBorder="1" applyAlignment="1">
      <alignment horizontal="right" indent="1"/>
    </xf>
    <xf numFmtId="0" fontId="117" fillId="0" borderId="47" xfId="374" applyFont="1" applyBorder="1" applyAlignment="1">
      <alignment horizontal="right" indent="1"/>
    </xf>
    <xf numFmtId="0" fontId="117" fillId="0" borderId="55" xfId="374" applyFont="1" applyBorder="1" applyAlignment="1">
      <alignment horizontal="right" indent="1"/>
    </xf>
    <xf numFmtId="0" fontId="116" fillId="0" borderId="54" xfId="374" applyFont="1" applyBorder="1" applyAlignment="1">
      <alignment horizontal="right" indent="1"/>
    </xf>
    <xf numFmtId="3" fontId="117" fillId="0" borderId="55" xfId="374" applyNumberFormat="1" applyFont="1" applyFill="1" applyBorder="1" applyAlignment="1">
      <alignment horizontal="right" vertical="center" indent="1"/>
    </xf>
    <xf numFmtId="3" fontId="116" fillId="23" borderId="13" xfId="374" applyNumberFormat="1" applyFont="1" applyFill="1" applyBorder="1" applyAlignment="1">
      <alignment horizontal="right" indent="1"/>
    </xf>
    <xf numFmtId="3" fontId="116" fillId="23" borderId="14" xfId="374" applyNumberFormat="1" applyFont="1" applyFill="1" applyBorder="1" applyAlignment="1">
      <alignment horizontal="right" indent="1"/>
    </xf>
    <xf numFmtId="3" fontId="116" fillId="23" borderId="10" xfId="374" applyNumberFormat="1" applyFont="1" applyFill="1" applyBorder="1" applyAlignment="1">
      <alignment horizontal="right" indent="1"/>
    </xf>
    <xf numFmtId="0" fontId="58" fillId="0" borderId="0" xfId="374" applyFont="1" applyFill="1" applyBorder="1" applyAlignment="1">
      <alignment vertical="center"/>
    </xf>
    <xf numFmtId="0" fontId="70" fillId="0" borderId="0" xfId="374" applyFont="1" applyBorder="1" applyAlignment="1">
      <alignment vertical="center"/>
    </xf>
    <xf numFmtId="0" fontId="64" fillId="0" borderId="0" xfId="374" applyFont="1" applyFill="1" applyBorder="1" applyAlignment="1">
      <alignment vertical="center"/>
    </xf>
    <xf numFmtId="0" fontId="58" fillId="0" borderId="0" xfId="374" applyAlignment="1">
      <alignment vertical="center"/>
    </xf>
    <xf numFmtId="0" fontId="58" fillId="0" borderId="0" xfId="374" applyFont="1" applyAlignment="1">
      <alignment vertical="center"/>
    </xf>
    <xf numFmtId="0" fontId="61" fillId="0" borderId="0" xfId="374" applyFont="1" applyAlignment="1">
      <alignment vertical="center"/>
    </xf>
    <xf numFmtId="0" fontId="60" fillId="0" borderId="0" xfId="374" applyFont="1" applyAlignment="1"/>
    <xf numFmtId="0" fontId="58" fillId="0" borderId="0" xfId="374" applyAlignment="1">
      <alignment horizontal="center"/>
    </xf>
    <xf numFmtId="0" fontId="60" fillId="0" borderId="0" xfId="0" applyFont="1" applyAlignment="1"/>
    <xf numFmtId="0" fontId="117" fillId="0" borderId="25" xfId="0" applyFont="1" applyFill="1" applyBorder="1" applyAlignment="1">
      <alignment horizontal="center" vertical="center"/>
    </xf>
    <xf numFmtId="0" fontId="117" fillId="0" borderId="26" xfId="0" applyFont="1" applyFill="1" applyBorder="1" applyAlignment="1">
      <alignment horizontal="center" vertical="center"/>
    </xf>
    <xf numFmtId="0" fontId="117" fillId="0" borderId="27" xfId="0" applyFont="1" applyFill="1" applyBorder="1" applyAlignment="1">
      <alignment horizontal="center" vertical="center"/>
    </xf>
    <xf numFmtId="0" fontId="61" fillId="23" borderId="24" xfId="66" applyFont="1" applyFill="1" applyBorder="1" applyAlignment="1">
      <alignment horizontal="center" vertical="center"/>
    </xf>
    <xf numFmtId="0" fontId="61" fillId="0" borderId="22" xfId="66" applyFont="1" applyFill="1" applyBorder="1" applyAlignment="1">
      <alignment horizontal="center" vertical="center"/>
    </xf>
    <xf numFmtId="0" fontId="116" fillId="0" borderId="22" xfId="66" applyFont="1" applyFill="1" applyBorder="1" applyAlignment="1">
      <alignment horizontal="center" vertical="center" wrapText="1"/>
    </xf>
    <xf numFmtId="3" fontId="117" fillId="0" borderId="25" xfId="0" applyNumberFormat="1" applyFont="1" applyFill="1" applyBorder="1" applyAlignment="1">
      <alignment horizontal="center" vertical="center"/>
    </xf>
    <xf numFmtId="3" fontId="117" fillId="0" borderId="26" xfId="0" applyNumberFormat="1" applyFont="1" applyFill="1" applyBorder="1" applyAlignment="1">
      <alignment horizontal="center" vertical="center"/>
    </xf>
    <xf numFmtId="3" fontId="117" fillId="0" borderId="27" xfId="0" applyNumberFormat="1" applyFont="1" applyFill="1" applyBorder="1" applyAlignment="1">
      <alignment horizontal="center" vertical="center"/>
    </xf>
    <xf numFmtId="3" fontId="116" fillId="23" borderId="18" xfId="0" applyNumberFormat="1" applyFont="1" applyFill="1" applyBorder="1" applyAlignment="1">
      <alignment horizontal="center" vertical="center"/>
    </xf>
    <xf numFmtId="0" fontId="116" fillId="0" borderId="0" xfId="0" applyFont="1"/>
    <xf numFmtId="0" fontId="116" fillId="0" borderId="0" xfId="66" applyFont="1" applyFill="1" applyBorder="1" applyAlignment="1">
      <alignment horizontal="center" vertical="center"/>
    </xf>
    <xf numFmtId="0" fontId="68" fillId="0" borderId="0" xfId="0" applyFont="1" applyBorder="1" applyAlignment="1"/>
    <xf numFmtId="167" fontId="120" fillId="23" borderId="13" xfId="67" applyNumberFormat="1" applyFont="1" applyFill="1" applyBorder="1" applyAlignment="1">
      <alignment horizontal="center" vertical="center"/>
    </xf>
    <xf numFmtId="167" fontId="120" fillId="23" borderId="14" xfId="67" applyNumberFormat="1" applyFont="1" applyFill="1" applyBorder="1" applyAlignment="1">
      <alignment horizontal="center" vertical="center"/>
    </xf>
    <xf numFmtId="167" fontId="120" fillId="23" borderId="10" xfId="67" applyNumberFormat="1" applyFont="1" applyFill="1" applyBorder="1" applyAlignment="1">
      <alignment horizontal="center" vertical="center"/>
    </xf>
    <xf numFmtId="167" fontId="120" fillId="0" borderId="10" xfId="68" applyNumberFormat="1" applyFont="1" applyFill="1" applyBorder="1" applyAlignment="1">
      <alignment horizontal="centerContinuous" vertical="center"/>
    </xf>
    <xf numFmtId="167" fontId="120" fillId="0" borderId="22" xfId="67" applyNumberFormat="1" applyFont="1" applyFill="1" applyBorder="1" applyAlignment="1">
      <alignment horizontal="center" vertical="center"/>
    </xf>
    <xf numFmtId="167" fontId="120" fillId="0" borderId="19" xfId="68" applyNumberFormat="1" applyFont="1" applyFill="1" applyBorder="1" applyAlignment="1">
      <alignment horizontal="centerContinuous" vertical="center"/>
    </xf>
    <xf numFmtId="167" fontId="120" fillId="0" borderId="24" xfId="67" applyNumberFormat="1" applyFont="1" applyFill="1" applyBorder="1" applyAlignment="1">
      <alignment horizontal="center" vertical="center"/>
    </xf>
    <xf numFmtId="0" fontId="69" fillId="0" borderId="0" xfId="66" applyFont="1" applyAlignment="1">
      <alignment horizontal="left" vertical="center"/>
    </xf>
    <xf numFmtId="0" fontId="96" fillId="0" borderId="0" xfId="66" applyFont="1" applyAlignment="1">
      <alignment horizontal="center" vertical="center"/>
    </xf>
    <xf numFmtId="0" fontId="60" fillId="0" borderId="0" xfId="66" applyFont="1" applyAlignment="1">
      <alignment horizontal="center" vertical="center"/>
    </xf>
    <xf numFmtId="0" fontId="134" fillId="0" borderId="23" xfId="0" applyFont="1" applyFill="1" applyBorder="1" applyAlignment="1">
      <alignment horizontal="center" vertical="center" wrapText="1" readingOrder="1"/>
    </xf>
    <xf numFmtId="0" fontId="116" fillId="23" borderId="13" xfId="66" applyFont="1" applyFill="1" applyBorder="1" applyAlignment="1">
      <alignment horizontal="center" vertical="center"/>
    </xf>
    <xf numFmtId="0" fontId="116" fillId="23" borderId="14" xfId="66" applyFont="1" applyFill="1" applyBorder="1" applyAlignment="1">
      <alignment horizontal="center" vertical="center"/>
    </xf>
    <xf numFmtId="0" fontId="116" fillId="23" borderId="10" xfId="66" applyFont="1" applyFill="1" applyBorder="1" applyAlignment="1">
      <alignment horizontal="center" vertical="center"/>
    </xf>
    <xf numFmtId="0" fontId="60" fillId="0" borderId="0" xfId="374" applyFont="1" applyAlignment="1">
      <alignment vertical="center"/>
    </xf>
    <xf numFmtId="0" fontId="58" fillId="0" borderId="0" xfId="374" applyFont="1" applyBorder="1" applyAlignment="1">
      <alignment vertical="center"/>
    </xf>
    <xf numFmtId="0" fontId="60" fillId="0" borderId="0" xfId="374" applyFont="1" applyBorder="1" applyAlignment="1">
      <alignment vertical="center"/>
    </xf>
    <xf numFmtId="0" fontId="61" fillId="0" borderId="0" xfId="374" applyFont="1" applyBorder="1" applyAlignment="1">
      <alignment vertical="center"/>
    </xf>
    <xf numFmtId="0" fontId="69" fillId="0" borderId="12" xfId="374" applyFont="1" applyBorder="1" applyAlignment="1">
      <alignment vertical="center"/>
    </xf>
    <xf numFmtId="0" fontId="69" fillId="0" borderId="0" xfId="374" applyFont="1" applyAlignment="1">
      <alignment vertical="center"/>
    </xf>
    <xf numFmtId="0" fontId="58" fillId="0" borderId="0" xfId="374" applyFont="1" applyAlignment="1">
      <alignment horizontal="center" vertical="center"/>
    </xf>
    <xf numFmtId="0" fontId="134" fillId="23" borderId="13" xfId="0" applyFont="1" applyFill="1" applyBorder="1" applyAlignment="1">
      <alignment horizontal="center" vertical="center" wrapText="1" readingOrder="1"/>
    </xf>
    <xf numFmtId="0" fontId="134" fillId="23" borderId="14" xfId="0" applyFont="1" applyFill="1" applyBorder="1" applyAlignment="1">
      <alignment horizontal="center" vertical="center" wrapText="1" readingOrder="1"/>
    </xf>
    <xf numFmtId="3" fontId="134" fillId="23" borderId="42" xfId="0" applyNumberFormat="1" applyFont="1" applyFill="1" applyBorder="1" applyAlignment="1">
      <alignment horizontal="right" vertical="center" wrapText="1" indent="1"/>
    </xf>
    <xf numFmtId="3" fontId="0" fillId="0" borderId="0" xfId="0" applyNumberFormat="1" applyFont="1" applyBorder="1" applyAlignment="1">
      <alignment horizontal="right" indent="1"/>
    </xf>
    <xf numFmtId="3" fontId="61" fillId="0" borderId="0" xfId="0" applyNumberFormat="1" applyFont="1" applyBorder="1" applyAlignment="1">
      <alignment horizontal="right" indent="1"/>
    </xf>
    <xf numFmtId="0" fontId="69" fillId="0" borderId="0" xfId="66" applyFont="1" applyAlignment="1">
      <alignment horizontal="left" vertical="center"/>
    </xf>
    <xf numFmtId="0" fontId="70" fillId="0" borderId="0" xfId="457" applyFont="1"/>
    <xf numFmtId="0" fontId="117" fillId="0" borderId="30" xfId="66" applyFont="1" applyBorder="1" applyAlignment="1">
      <alignment horizontal="center" vertical="center"/>
    </xf>
    <xf numFmtId="3" fontId="117" fillId="0" borderId="25" xfId="66" applyNumberFormat="1" applyFont="1" applyBorder="1" applyAlignment="1">
      <alignment horizontal="right" vertical="center" indent="1"/>
    </xf>
    <xf numFmtId="3" fontId="117" fillId="0" borderId="35" xfId="66" applyNumberFormat="1" applyFont="1" applyBorder="1" applyAlignment="1">
      <alignment horizontal="right" vertical="center" indent="1"/>
    </xf>
    <xf numFmtId="3" fontId="116" fillId="0" borderId="35" xfId="66" applyNumberFormat="1" applyFont="1" applyBorder="1" applyAlignment="1">
      <alignment horizontal="right" vertical="center" indent="1"/>
    </xf>
    <xf numFmtId="3" fontId="116" fillId="0" borderId="40" xfId="66" applyNumberFormat="1" applyFont="1" applyBorder="1" applyAlignment="1">
      <alignment horizontal="right" vertical="center" indent="1"/>
    </xf>
    <xf numFmtId="0" fontId="117" fillId="0" borderId="31" xfId="66" applyFont="1" applyBorder="1" applyAlignment="1">
      <alignment horizontal="center" vertical="center"/>
    </xf>
    <xf numFmtId="3" fontId="117" fillId="0" borderId="26" xfId="66" applyNumberFormat="1" applyFont="1" applyBorder="1" applyAlignment="1">
      <alignment horizontal="right" vertical="center" indent="1"/>
    </xf>
    <xf numFmtId="3" fontId="117" fillId="0" borderId="36" xfId="66" applyNumberFormat="1" applyFont="1" applyBorder="1" applyAlignment="1">
      <alignment horizontal="right" vertical="center" indent="1"/>
    </xf>
    <xf numFmtId="3" fontId="116" fillId="0" borderId="36" xfId="66" applyNumberFormat="1" applyFont="1" applyBorder="1" applyAlignment="1">
      <alignment horizontal="right" vertical="center" indent="1"/>
    </xf>
    <xf numFmtId="3" fontId="116" fillId="0" borderId="41" xfId="66" applyNumberFormat="1" applyFont="1" applyBorder="1" applyAlignment="1">
      <alignment horizontal="right" vertical="center" indent="1"/>
    </xf>
    <xf numFmtId="3" fontId="117" fillId="0" borderId="41" xfId="66" applyNumberFormat="1" applyFont="1" applyBorder="1" applyAlignment="1">
      <alignment horizontal="right" vertical="center" indent="1"/>
    </xf>
    <xf numFmtId="0" fontId="117" fillId="0" borderId="34" xfId="66" applyFont="1" applyBorder="1" applyAlignment="1">
      <alignment horizontal="center" vertical="center"/>
    </xf>
    <xf numFmtId="3" fontId="117" fillId="0" borderId="29" xfId="66" applyNumberFormat="1" applyFont="1" applyBorder="1" applyAlignment="1">
      <alignment horizontal="right" vertical="center" indent="1"/>
    </xf>
    <xf numFmtId="3" fontId="117" fillId="0" borderId="39" xfId="66" applyNumberFormat="1" applyFont="1" applyBorder="1" applyAlignment="1">
      <alignment horizontal="right" vertical="center" indent="1"/>
    </xf>
    <xf numFmtId="3" fontId="116" fillId="0" borderId="39" xfId="66" applyNumberFormat="1" applyFont="1" applyBorder="1" applyAlignment="1">
      <alignment horizontal="right" vertical="center" indent="1"/>
    </xf>
    <xf numFmtId="3" fontId="116" fillId="0" borderId="44" xfId="66" applyNumberFormat="1" applyFont="1" applyBorder="1" applyAlignment="1">
      <alignment horizontal="right" vertical="center" indent="1"/>
    </xf>
    <xf numFmtId="3" fontId="117" fillId="0" borderId="44" xfId="66" applyNumberFormat="1" applyFont="1" applyBorder="1" applyAlignment="1">
      <alignment horizontal="right" vertical="center" indent="1"/>
    </xf>
    <xf numFmtId="0" fontId="131" fillId="0" borderId="0" xfId="66" applyFont="1" applyAlignment="1">
      <alignment vertical="center"/>
    </xf>
    <xf numFmtId="0" fontId="117" fillId="0" borderId="41" xfId="66" applyFont="1" applyBorder="1" applyAlignment="1">
      <alignment horizontal="center" vertical="center"/>
    </xf>
    <xf numFmtId="3" fontId="117" fillId="0" borderId="40" xfId="66" applyNumberFormat="1" applyFont="1" applyBorder="1" applyAlignment="1">
      <alignment horizontal="right" vertical="center" indent="1"/>
    </xf>
    <xf numFmtId="3" fontId="117" fillId="0" borderId="27" xfId="66" applyNumberFormat="1" applyFont="1" applyBorder="1" applyAlignment="1">
      <alignment horizontal="right" vertical="center" indent="1"/>
    </xf>
    <xf numFmtId="3" fontId="117" fillId="0" borderId="37" xfId="66" applyNumberFormat="1" applyFont="1" applyBorder="1" applyAlignment="1">
      <alignment horizontal="right" vertical="center" indent="1"/>
    </xf>
    <xf numFmtId="3" fontId="116" fillId="0" borderId="42" xfId="66" applyNumberFormat="1" applyFont="1" applyBorder="1" applyAlignment="1">
      <alignment horizontal="right" vertical="center" indent="1"/>
    </xf>
    <xf numFmtId="0" fontId="116" fillId="0" borderId="22" xfId="66" applyFont="1" applyFill="1" applyBorder="1" applyAlignment="1">
      <alignment horizontal="center" vertical="center"/>
    </xf>
    <xf numFmtId="0" fontId="117" fillId="0" borderId="11" xfId="66" applyFont="1" applyBorder="1" applyAlignment="1">
      <alignment horizontal="center" vertical="center"/>
    </xf>
    <xf numFmtId="0" fontId="116" fillId="23" borderId="13" xfId="66" applyFont="1" applyFill="1" applyBorder="1" applyAlignment="1">
      <alignment horizontal="center" vertical="center"/>
    </xf>
    <xf numFmtId="0" fontId="116" fillId="23" borderId="14" xfId="66" applyFont="1" applyFill="1" applyBorder="1" applyAlignment="1">
      <alignment horizontal="center" vertical="center"/>
    </xf>
    <xf numFmtId="0" fontId="116" fillId="23" borderId="10" xfId="66" applyFont="1" applyFill="1" applyBorder="1" applyAlignment="1">
      <alignment horizontal="center" vertical="center"/>
    </xf>
    <xf numFmtId="0" fontId="117" fillId="0" borderId="21" xfId="66" applyFont="1" applyFill="1" applyBorder="1" applyAlignment="1">
      <alignment horizontal="center" vertical="center"/>
    </xf>
    <xf numFmtId="0" fontId="117" fillId="0" borderId="21" xfId="374" applyFont="1" applyBorder="1" applyAlignment="1">
      <alignment horizontal="center" vertical="center"/>
    </xf>
    <xf numFmtId="0" fontId="117" fillId="0" borderId="19" xfId="66" applyFont="1" applyBorder="1" applyAlignment="1">
      <alignment horizontal="center" vertical="center"/>
    </xf>
    <xf numFmtId="0" fontId="117" fillId="0" borderId="21" xfId="66" applyFont="1" applyBorder="1" applyAlignment="1">
      <alignment horizontal="center" vertical="center"/>
    </xf>
    <xf numFmtId="0" fontId="157" fillId="0" borderId="21" xfId="66" applyFont="1" applyFill="1" applyBorder="1" applyAlignment="1">
      <alignment horizontal="center" vertical="center"/>
    </xf>
    <xf numFmtId="0" fontId="116" fillId="23" borderId="14" xfId="0" applyFont="1" applyFill="1" applyBorder="1" applyAlignment="1">
      <alignment horizontal="center" vertical="center" wrapText="1"/>
    </xf>
    <xf numFmtId="0" fontId="117" fillId="0" borderId="18" xfId="66" applyFont="1" applyFill="1" applyBorder="1" applyAlignment="1">
      <alignment horizontal="center" vertical="center"/>
    </xf>
    <xf numFmtId="0" fontId="125" fillId="0" borderId="40" xfId="66" applyFont="1" applyFill="1" applyBorder="1" applyAlignment="1">
      <alignment vertical="center" wrapText="1"/>
    </xf>
    <xf numFmtId="0" fontId="125" fillId="0" borderId="41" xfId="66" applyFont="1" applyFill="1" applyBorder="1" applyAlignment="1">
      <alignment vertical="center" wrapText="1"/>
    </xf>
    <xf numFmtId="0" fontId="117" fillId="0" borderId="41" xfId="66" applyFont="1" applyFill="1" applyBorder="1" applyAlignment="1">
      <alignment vertical="center" wrapText="1"/>
    </xf>
    <xf numFmtId="0" fontId="117" fillId="23" borderId="22" xfId="66" applyFont="1" applyFill="1" applyBorder="1" applyAlignment="1">
      <alignment horizontal="center" vertical="center"/>
    </xf>
    <xf numFmtId="0" fontId="138" fillId="23" borderId="42" xfId="66" applyFont="1" applyFill="1" applyBorder="1" applyAlignment="1">
      <alignment horizontal="center" vertical="center" wrapText="1"/>
    </xf>
    <xf numFmtId="0" fontId="125" fillId="0" borderId="43" xfId="66" applyFont="1" applyFill="1" applyBorder="1" applyAlignment="1">
      <alignment vertical="center" wrapText="1"/>
    </xf>
    <xf numFmtId="0" fontId="125" fillId="0" borderId="44" xfId="66" applyFont="1" applyFill="1" applyBorder="1" applyAlignment="1">
      <alignment vertical="center" wrapText="1"/>
    </xf>
    <xf numFmtId="3" fontId="117" fillId="0" borderId="35" xfId="66" applyNumberFormat="1" applyFont="1" applyFill="1" applyBorder="1" applyAlignment="1" applyProtection="1">
      <alignment horizontal="center" vertical="center"/>
    </xf>
    <xf numFmtId="3" fontId="116" fillId="0" borderId="40" xfId="66" applyNumberFormat="1" applyFont="1" applyFill="1" applyBorder="1" applyAlignment="1" applyProtection="1">
      <alignment horizontal="center" vertical="center"/>
    </xf>
    <xf numFmtId="3" fontId="116" fillId="0" borderId="40" xfId="66" applyNumberFormat="1" applyFont="1" applyFill="1" applyBorder="1" applyAlignment="1">
      <alignment horizontal="center" vertical="center"/>
    </xf>
    <xf numFmtId="3" fontId="117" fillId="0" borderId="36" xfId="66" applyNumberFormat="1" applyFont="1" applyFill="1" applyBorder="1" applyAlignment="1" applyProtection="1">
      <alignment horizontal="center" vertical="center"/>
    </xf>
    <xf numFmtId="3" fontId="116" fillId="0" borderId="41" xfId="66" applyNumberFormat="1" applyFont="1" applyFill="1" applyBorder="1" applyAlignment="1" applyProtection="1">
      <alignment horizontal="center" vertical="center"/>
    </xf>
    <xf numFmtId="3" fontId="116" fillId="0" borderId="41" xfId="66" applyNumberFormat="1" applyFont="1" applyFill="1" applyBorder="1" applyAlignment="1">
      <alignment horizontal="center" vertical="center"/>
    </xf>
    <xf numFmtId="3" fontId="117" fillId="0" borderId="36" xfId="66" applyNumberFormat="1" applyFont="1" applyFill="1" applyBorder="1" applyAlignment="1">
      <alignment horizontal="center" vertical="center"/>
    </xf>
    <xf numFmtId="0" fontId="117" fillId="0" borderId="30" xfId="66" applyFont="1" applyFill="1" applyBorder="1" applyAlignment="1">
      <alignment vertical="center" wrapText="1"/>
    </xf>
    <xf numFmtId="0" fontId="117" fillId="0" borderId="31" xfId="66" applyFont="1" applyFill="1" applyBorder="1" applyAlignment="1">
      <alignment vertical="center" wrapText="1"/>
    </xf>
    <xf numFmtId="0" fontId="117" fillId="0" borderId="34" xfId="66" applyFont="1" applyFill="1" applyBorder="1" applyAlignment="1">
      <alignment vertical="center" wrapText="1"/>
    </xf>
    <xf numFmtId="3" fontId="117" fillId="0" borderId="39" xfId="66" applyNumberFormat="1" applyFont="1" applyFill="1" applyBorder="1" applyAlignment="1" applyProtection="1">
      <alignment horizontal="center" vertical="center"/>
    </xf>
    <xf numFmtId="3" fontId="116" fillId="0" borderId="44" xfId="66" applyNumberFormat="1" applyFont="1" applyFill="1" applyBorder="1" applyAlignment="1" applyProtection="1">
      <alignment horizontal="center" vertical="center"/>
    </xf>
    <xf numFmtId="0" fontId="125" fillId="0" borderId="31" xfId="66" applyFont="1" applyFill="1" applyBorder="1" applyAlignment="1">
      <alignment vertical="center" wrapText="1"/>
    </xf>
    <xf numFmtId="0" fontId="117" fillId="23" borderId="17" xfId="66" applyFont="1" applyFill="1" applyBorder="1" applyAlignment="1">
      <alignment horizontal="center" vertical="center"/>
    </xf>
    <xf numFmtId="0" fontId="125" fillId="0" borderId="30" xfId="66" applyFont="1" applyFill="1" applyBorder="1" applyAlignment="1">
      <alignment vertical="center" wrapText="1"/>
    </xf>
    <xf numFmtId="0" fontId="125" fillId="0" borderId="34" xfId="66" applyFont="1" applyFill="1" applyBorder="1" applyAlignment="1">
      <alignment vertical="center" wrapText="1"/>
    </xf>
    <xf numFmtId="0" fontId="125" fillId="0" borderId="33" xfId="66" applyFont="1" applyFill="1" applyBorder="1" applyAlignment="1">
      <alignment vertical="center" wrapText="1"/>
    </xf>
    <xf numFmtId="3" fontId="117" fillId="0" borderId="38" xfId="66" applyNumberFormat="1" applyFont="1" applyFill="1" applyBorder="1" applyAlignment="1" applyProtection="1">
      <alignment horizontal="center" vertical="center"/>
    </xf>
    <xf numFmtId="3" fontId="116" fillId="0" borderId="43" xfId="66" applyNumberFormat="1" applyFont="1" applyFill="1" applyBorder="1" applyAlignment="1" applyProtection="1">
      <alignment horizontal="center" vertical="center"/>
    </xf>
    <xf numFmtId="0" fontId="117" fillId="0" borderId="33" xfId="66" applyFont="1" applyFill="1" applyBorder="1" applyAlignment="1">
      <alignment vertical="center" wrapText="1"/>
    </xf>
    <xf numFmtId="3" fontId="116" fillId="0" borderId="38" xfId="66" applyNumberFormat="1" applyFont="1" applyFill="1" applyBorder="1" applyAlignment="1" applyProtection="1">
      <alignment horizontal="center" vertical="center"/>
    </xf>
    <xf numFmtId="3" fontId="117" fillId="0" borderId="25" xfId="66" applyNumberFormat="1" applyFont="1" applyFill="1" applyBorder="1" applyAlignment="1" applyProtection="1">
      <alignment horizontal="center" vertical="center"/>
    </xf>
    <xf numFmtId="3" fontId="117" fillId="0" borderId="28" xfId="66" applyNumberFormat="1" applyFont="1" applyFill="1" applyBorder="1" applyAlignment="1" applyProtection="1">
      <alignment horizontal="center" vertical="center"/>
    </xf>
    <xf numFmtId="3" fontId="116" fillId="0" borderId="39" xfId="66" applyNumberFormat="1" applyFont="1" applyFill="1" applyBorder="1" applyAlignment="1" applyProtection="1">
      <alignment horizontal="center" vertical="center"/>
    </xf>
    <xf numFmtId="3" fontId="117" fillId="0" borderId="29" xfId="66" applyNumberFormat="1" applyFont="1" applyFill="1" applyBorder="1" applyAlignment="1" applyProtection="1">
      <alignment horizontal="center" vertical="center"/>
    </xf>
    <xf numFmtId="0" fontId="117" fillId="23" borderId="23" xfId="66" applyFont="1" applyFill="1" applyBorder="1" applyAlignment="1">
      <alignment horizontal="center" vertical="center"/>
    </xf>
    <xf numFmtId="0" fontId="117" fillId="0" borderId="43" xfId="66" applyFont="1" applyFill="1" applyBorder="1" applyAlignment="1">
      <alignment vertical="center" wrapText="1"/>
    </xf>
    <xf numFmtId="3" fontId="116" fillId="0" borderId="36" xfId="66" applyNumberFormat="1" applyFont="1" applyFill="1" applyBorder="1" applyAlignment="1" applyProtection="1">
      <alignment horizontal="center" vertical="center"/>
    </xf>
    <xf numFmtId="3" fontId="117" fillId="0" borderId="26" xfId="66" applyNumberFormat="1" applyFont="1" applyFill="1" applyBorder="1" applyAlignment="1" applyProtection="1">
      <alignment horizontal="center" vertical="center"/>
    </xf>
    <xf numFmtId="0" fontId="125" fillId="0" borderId="0" xfId="66" applyFont="1" applyFill="1" applyBorder="1" applyAlignment="1">
      <alignment horizontal="center" vertical="center"/>
    </xf>
    <xf numFmtId="0" fontId="117" fillId="0" borderId="0" xfId="66" applyFont="1" applyFill="1" applyBorder="1" applyAlignment="1">
      <alignment vertical="center" wrapText="1"/>
    </xf>
    <xf numFmtId="1" fontId="117" fillId="0" borderId="0" xfId="66" applyNumberFormat="1" applyFont="1" applyFill="1" applyBorder="1" applyAlignment="1" applyProtection="1">
      <alignment horizontal="center" vertical="center"/>
      <protection locked="0"/>
    </xf>
    <xf numFmtId="1" fontId="116" fillId="0" borderId="0" xfId="66" applyNumberFormat="1" applyFont="1" applyFill="1" applyBorder="1" applyAlignment="1" applyProtection="1">
      <alignment horizontal="center" vertical="center"/>
    </xf>
    <xf numFmtId="1" fontId="117" fillId="0" borderId="0" xfId="66" applyNumberFormat="1" applyFont="1" applyFill="1" applyBorder="1" applyAlignment="1" applyProtection="1">
      <alignment horizontal="center" vertical="center"/>
    </xf>
    <xf numFmtId="3" fontId="117" fillId="0" borderId="0" xfId="66" applyNumberFormat="1" applyFont="1" applyFill="1" applyBorder="1" applyAlignment="1" applyProtection="1">
      <alignment horizontal="center" vertical="center"/>
    </xf>
    <xf numFmtId="3" fontId="116" fillId="0" borderId="0" xfId="66" applyNumberFormat="1" applyFont="1" applyFill="1" applyBorder="1" applyAlignment="1" applyProtection="1">
      <alignment horizontal="center" vertical="center"/>
    </xf>
    <xf numFmtId="1" fontId="117" fillId="0" borderId="25" xfId="66" applyNumberFormat="1" applyFont="1" applyFill="1" applyBorder="1" applyAlignment="1">
      <alignment horizontal="right" vertical="center" indent="1"/>
    </xf>
    <xf numFmtId="1" fontId="117" fillId="0" borderId="35" xfId="66" applyNumberFormat="1" applyFont="1" applyFill="1" applyBorder="1" applyAlignment="1">
      <alignment horizontal="right" vertical="center" indent="1"/>
    </xf>
    <xf numFmtId="1" fontId="116" fillId="0" borderId="40" xfId="66" applyNumberFormat="1" applyFont="1" applyFill="1" applyBorder="1" applyAlignment="1">
      <alignment horizontal="right" vertical="center" indent="1"/>
    </xf>
    <xf numFmtId="0" fontId="135" fillId="0" borderId="31" xfId="66" applyFont="1" applyBorder="1" applyAlignment="1">
      <alignment wrapText="1"/>
    </xf>
    <xf numFmtId="1" fontId="117" fillId="0" borderId="26" xfId="66" applyNumberFormat="1" applyFont="1" applyFill="1" applyBorder="1" applyAlignment="1">
      <alignment horizontal="right" vertical="center" indent="1"/>
    </xf>
    <xf numFmtId="1" fontId="117" fillId="0" borderId="36" xfId="66" applyNumberFormat="1" applyFont="1" applyFill="1" applyBorder="1" applyAlignment="1">
      <alignment horizontal="right" vertical="center" indent="1"/>
    </xf>
    <xf numFmtId="1" fontId="116" fillId="0" borderId="41" xfId="66" applyNumberFormat="1" applyFont="1" applyFill="1" applyBorder="1" applyAlignment="1">
      <alignment horizontal="right" vertical="center" indent="1"/>
    </xf>
    <xf numFmtId="0" fontId="117" fillId="0" borderId="31" xfId="66" applyFont="1" applyBorder="1" applyAlignment="1">
      <alignment wrapText="1"/>
    </xf>
    <xf numFmtId="0" fontId="117" fillId="0" borderId="36" xfId="66" applyFont="1" applyFill="1" applyBorder="1" applyAlignment="1">
      <alignment horizontal="right" vertical="center" indent="1"/>
    </xf>
    <xf numFmtId="0" fontId="116" fillId="23" borderId="32" xfId="66" applyFont="1" applyFill="1" applyBorder="1" applyAlignment="1">
      <alignment horizontal="center" wrapText="1"/>
    </xf>
    <xf numFmtId="1" fontId="117" fillId="23" borderId="27" xfId="66" applyNumberFormat="1" applyFont="1" applyFill="1" applyBorder="1" applyAlignment="1">
      <alignment horizontal="right" vertical="center" indent="1"/>
    </xf>
    <xf numFmtId="1" fontId="117" fillId="23" borderId="37" xfId="66" applyNumberFormat="1" applyFont="1" applyFill="1" applyBorder="1" applyAlignment="1">
      <alignment horizontal="right" vertical="center" indent="1"/>
    </xf>
    <xf numFmtId="1" fontId="117" fillId="23" borderId="42" xfId="66" applyNumberFormat="1" applyFont="1" applyFill="1" applyBorder="1" applyAlignment="1">
      <alignment horizontal="right" vertical="center" indent="1"/>
    </xf>
    <xf numFmtId="0" fontId="135" fillId="0" borderId="33" xfId="66" applyFont="1" applyBorder="1" applyAlignment="1">
      <alignment wrapText="1"/>
    </xf>
    <xf numFmtId="1" fontId="117" fillId="0" borderId="28" xfId="66" applyNumberFormat="1" applyFont="1" applyFill="1" applyBorder="1" applyAlignment="1">
      <alignment horizontal="right" vertical="center" indent="1"/>
    </xf>
    <xf numFmtId="1" fontId="117" fillId="0" borderId="38" xfId="66" applyNumberFormat="1" applyFont="1" applyFill="1" applyBorder="1" applyAlignment="1" applyProtection="1">
      <alignment horizontal="right" vertical="center" indent="1"/>
      <protection locked="0"/>
    </xf>
    <xf numFmtId="1" fontId="116" fillId="0" borderId="43" xfId="66" applyNumberFormat="1" applyFont="1" applyFill="1" applyBorder="1" applyAlignment="1" applyProtection="1">
      <alignment horizontal="right" vertical="center" indent="1"/>
    </xf>
    <xf numFmtId="1" fontId="117" fillId="0" borderId="38" xfId="66" applyNumberFormat="1" applyFont="1" applyFill="1" applyBorder="1" applyAlignment="1" applyProtection="1">
      <alignment horizontal="right" vertical="center" indent="1"/>
    </xf>
    <xf numFmtId="1" fontId="116" fillId="0" borderId="43" xfId="66" applyNumberFormat="1" applyFont="1" applyFill="1" applyBorder="1" applyAlignment="1">
      <alignment horizontal="right" vertical="center" indent="1"/>
    </xf>
    <xf numFmtId="1" fontId="117" fillId="0" borderId="36" xfId="66" applyNumberFormat="1" applyFont="1" applyFill="1" applyBorder="1" applyAlignment="1" applyProtection="1">
      <alignment horizontal="right" vertical="center" indent="1"/>
      <protection locked="0"/>
    </xf>
    <xf numFmtId="1" fontId="116" fillId="0" borderId="41" xfId="66" applyNumberFormat="1" applyFont="1" applyFill="1" applyBorder="1" applyAlignment="1" applyProtection="1">
      <alignment horizontal="right" vertical="center" indent="1"/>
    </xf>
    <xf numFmtId="1" fontId="117" fillId="0" borderId="36" xfId="66" applyNumberFormat="1" applyFont="1" applyFill="1" applyBorder="1" applyAlignment="1" applyProtection="1">
      <alignment horizontal="right" vertical="center" indent="1"/>
    </xf>
    <xf numFmtId="1" fontId="117" fillId="0" borderId="26" xfId="66" applyNumberFormat="1" applyFont="1" applyFill="1" applyBorder="1" applyAlignment="1" applyProtection="1">
      <alignment horizontal="right" vertical="center" indent="1"/>
      <protection locked="0"/>
    </xf>
    <xf numFmtId="0" fontId="135" fillId="0" borderId="34" xfId="66" applyFont="1" applyBorder="1" applyAlignment="1">
      <alignment wrapText="1"/>
    </xf>
    <xf numFmtId="1" fontId="117" fillId="0" borderId="29" xfId="66" applyNumberFormat="1" applyFont="1" applyFill="1" applyBorder="1" applyAlignment="1" applyProtection="1">
      <alignment horizontal="right" vertical="center" indent="1"/>
      <protection locked="0"/>
    </xf>
    <xf numFmtId="1" fontId="117" fillId="0" borderId="39" xfId="66" applyNumberFormat="1" applyFont="1" applyFill="1" applyBorder="1" applyAlignment="1" applyProtection="1">
      <alignment horizontal="right" vertical="center" indent="1"/>
      <protection locked="0"/>
    </xf>
    <xf numFmtId="1" fontId="116" fillId="0" borderId="44" xfId="66" applyNumberFormat="1" applyFont="1" applyFill="1" applyBorder="1" applyAlignment="1" applyProtection="1">
      <alignment horizontal="right" vertical="center" indent="1"/>
    </xf>
    <xf numFmtId="1" fontId="117" fillId="0" borderId="39" xfId="66" applyNumberFormat="1" applyFont="1" applyFill="1" applyBorder="1" applyAlignment="1" applyProtection="1">
      <alignment horizontal="right" vertical="center" indent="1"/>
    </xf>
    <xf numFmtId="1" fontId="116" fillId="0" borderId="44" xfId="66" applyNumberFormat="1" applyFont="1" applyFill="1" applyBorder="1" applyAlignment="1">
      <alignment horizontal="right" vertical="center" indent="1"/>
    </xf>
    <xf numFmtId="1" fontId="117" fillId="0" borderId="25" xfId="66" applyNumberFormat="1" applyFont="1" applyFill="1" applyBorder="1" applyAlignment="1" applyProtection="1">
      <alignment horizontal="right" vertical="center" indent="1"/>
      <protection locked="0"/>
    </xf>
    <xf numFmtId="1" fontId="117" fillId="0" borderId="35" xfId="66" applyNumberFormat="1" applyFont="1" applyFill="1" applyBorder="1" applyAlignment="1" applyProtection="1">
      <alignment horizontal="right" vertical="center" indent="1"/>
      <protection locked="0"/>
    </xf>
    <xf numFmtId="1" fontId="116" fillId="0" borderId="40" xfId="66" applyNumberFormat="1" applyFont="1" applyFill="1" applyBorder="1" applyAlignment="1" applyProtection="1">
      <alignment horizontal="right" vertical="center" indent="1"/>
    </xf>
    <xf numFmtId="1" fontId="117" fillId="0" borderId="35" xfId="66" applyNumberFormat="1" applyFont="1" applyFill="1" applyBorder="1" applyAlignment="1" applyProtection="1">
      <alignment horizontal="right" vertical="center" indent="1"/>
    </xf>
    <xf numFmtId="0" fontId="117" fillId="23" borderId="21" xfId="66" applyFont="1" applyFill="1" applyBorder="1" applyAlignment="1">
      <alignment horizontal="center" vertical="center"/>
    </xf>
    <xf numFmtId="0" fontId="117" fillId="0" borderId="30" xfId="66" applyFont="1" applyBorder="1" applyAlignment="1">
      <alignment wrapText="1"/>
    </xf>
    <xf numFmtId="1" fontId="117" fillId="0" borderId="25" xfId="66" applyNumberFormat="1" applyFont="1" applyFill="1" applyBorder="1" applyAlignment="1" applyProtection="1">
      <alignment horizontal="right" vertical="center" indent="1"/>
    </xf>
    <xf numFmtId="1" fontId="116" fillId="0" borderId="35" xfId="66" applyNumberFormat="1" applyFont="1" applyFill="1" applyBorder="1" applyAlignment="1" applyProtection="1">
      <alignment horizontal="right" vertical="center" indent="1"/>
    </xf>
    <xf numFmtId="1" fontId="116" fillId="0" borderId="35" xfId="66" applyNumberFormat="1" applyFont="1" applyFill="1" applyBorder="1" applyAlignment="1">
      <alignment horizontal="right" vertical="center" indent="1"/>
    </xf>
    <xf numFmtId="0" fontId="117" fillId="0" borderId="33" xfId="66" applyFont="1" applyBorder="1" applyAlignment="1">
      <alignment wrapText="1"/>
    </xf>
    <xf numFmtId="1" fontId="117" fillId="0" borderId="28" xfId="66" applyNumberFormat="1" applyFont="1" applyFill="1" applyBorder="1" applyAlignment="1" applyProtection="1">
      <alignment horizontal="right" vertical="center" indent="1"/>
      <protection locked="0"/>
    </xf>
    <xf numFmtId="1" fontId="116" fillId="23" borderId="42" xfId="66" applyNumberFormat="1" applyFont="1" applyFill="1" applyBorder="1" applyAlignment="1">
      <alignment horizontal="right" vertical="center" indent="1"/>
    </xf>
    <xf numFmtId="0" fontId="117" fillId="0" borderId="43" xfId="66" applyFont="1" applyBorder="1" applyAlignment="1">
      <alignment wrapText="1"/>
    </xf>
    <xf numFmtId="0" fontId="117" fillId="0" borderId="41" xfId="66" applyFont="1" applyBorder="1" applyAlignment="1">
      <alignment wrapText="1"/>
    </xf>
    <xf numFmtId="0" fontId="157" fillId="0" borderId="0" xfId="66" applyFont="1" applyFill="1" applyBorder="1" applyAlignment="1">
      <alignment horizontal="center" vertical="center"/>
    </xf>
    <xf numFmtId="1" fontId="116" fillId="23" borderId="13" xfId="66" applyNumberFormat="1" applyFont="1" applyFill="1" applyBorder="1" applyAlignment="1">
      <alignment horizontal="right" vertical="center" indent="1"/>
    </xf>
    <xf numFmtId="1" fontId="116" fillId="23" borderId="14" xfId="66" applyNumberFormat="1" applyFont="1" applyFill="1" applyBorder="1" applyAlignment="1">
      <alignment horizontal="right" vertical="center" indent="1"/>
    </xf>
    <xf numFmtId="1" fontId="116" fillId="23" borderId="10" xfId="66" applyNumberFormat="1" applyFont="1" applyFill="1" applyBorder="1" applyAlignment="1">
      <alignment horizontal="right" vertical="center" indent="1"/>
    </xf>
    <xf numFmtId="0" fontId="117" fillId="0" borderId="31" xfId="66" applyFont="1" applyBorder="1" applyAlignment="1">
      <alignment horizontal="left" vertical="center" wrapText="1"/>
    </xf>
    <xf numFmtId="1" fontId="116" fillId="23" borderId="27" xfId="66" applyNumberFormat="1" applyFont="1" applyFill="1" applyBorder="1" applyAlignment="1">
      <alignment horizontal="right" vertical="center" indent="1"/>
    </xf>
    <xf numFmtId="1" fontId="116" fillId="23" borderId="37" xfId="66" applyNumberFormat="1" applyFont="1" applyFill="1" applyBorder="1" applyAlignment="1">
      <alignment horizontal="right" vertical="center" indent="1"/>
    </xf>
    <xf numFmtId="1" fontId="116" fillId="23" borderId="20" xfId="66" applyNumberFormat="1" applyFont="1" applyFill="1" applyBorder="1" applyAlignment="1">
      <alignment horizontal="right" vertical="center" indent="1"/>
    </xf>
    <xf numFmtId="1" fontId="116" fillId="23" borderId="24" xfId="66" applyNumberFormat="1" applyFont="1" applyFill="1" applyBorder="1" applyAlignment="1">
      <alignment horizontal="right" vertical="center" indent="1"/>
    </xf>
    <xf numFmtId="1" fontId="116" fillId="23" borderId="22" xfId="66" applyNumberFormat="1" applyFont="1" applyFill="1" applyBorder="1" applyAlignment="1">
      <alignment horizontal="right" vertical="center" indent="1"/>
    </xf>
    <xf numFmtId="0" fontId="165" fillId="0" borderId="16" xfId="66" applyFont="1" applyFill="1" applyBorder="1" applyAlignment="1">
      <alignment horizontal="center" vertical="center"/>
    </xf>
    <xf numFmtId="0" fontId="116" fillId="23" borderId="20" xfId="66" applyFont="1" applyFill="1" applyBorder="1" applyAlignment="1">
      <alignment horizontal="center" vertical="center"/>
    </xf>
    <xf numFmtId="0" fontId="116" fillId="23" borderId="24" xfId="66" applyFont="1" applyFill="1" applyBorder="1" applyAlignment="1">
      <alignment horizontal="center" vertical="center"/>
    </xf>
    <xf numFmtId="0" fontId="157" fillId="0" borderId="24" xfId="66" applyFont="1" applyBorder="1" applyAlignment="1">
      <alignment horizontal="center" vertical="center"/>
    </xf>
    <xf numFmtId="0" fontId="117" fillId="23" borderId="20" xfId="66" applyFont="1" applyFill="1" applyBorder="1" applyAlignment="1">
      <alignment horizontal="center" vertical="center"/>
    </xf>
    <xf numFmtId="0" fontId="117" fillId="0" borderId="16" xfId="66" applyFont="1" applyFill="1" applyBorder="1" applyAlignment="1">
      <alignment horizontal="center" vertical="center"/>
    </xf>
    <xf numFmtId="0" fontId="117" fillId="0" borderId="16" xfId="66" applyFont="1" applyBorder="1" applyAlignment="1">
      <alignment horizontal="center" vertical="center"/>
    </xf>
    <xf numFmtId="0" fontId="117" fillId="0" borderId="24" xfId="66" applyFont="1" applyBorder="1" applyAlignment="1">
      <alignment horizontal="center" vertical="center"/>
    </xf>
    <xf numFmtId="0" fontId="117" fillId="0" borderId="18" xfId="66" applyFont="1" applyBorder="1" applyAlignment="1">
      <alignment horizontal="center" vertical="center"/>
    </xf>
    <xf numFmtId="3" fontId="117" fillId="0" borderId="25" xfId="66" applyNumberFormat="1" applyFont="1" applyBorder="1" applyAlignment="1">
      <alignment horizontal="center" vertical="center"/>
    </xf>
    <xf numFmtId="3" fontId="117" fillId="0" borderId="35" xfId="66" applyNumberFormat="1" applyFont="1" applyBorder="1" applyAlignment="1">
      <alignment horizontal="center" vertical="center"/>
    </xf>
    <xf numFmtId="3" fontId="117" fillId="0" borderId="40" xfId="66" applyNumberFormat="1" applyFont="1" applyBorder="1" applyAlignment="1">
      <alignment horizontal="center" vertical="center"/>
    </xf>
    <xf numFmtId="3" fontId="117" fillId="0" borderId="26" xfId="66" applyNumberFormat="1" applyFont="1" applyBorder="1" applyAlignment="1">
      <alignment horizontal="center" vertical="center"/>
    </xf>
    <xf numFmtId="3" fontId="117" fillId="0" borderId="36" xfId="66" applyNumberFormat="1" applyFont="1" applyBorder="1" applyAlignment="1">
      <alignment horizontal="center" vertical="center"/>
    </xf>
    <xf numFmtId="3" fontId="117" fillId="0" borderId="41" xfId="66" applyNumberFormat="1" applyFont="1" applyBorder="1" applyAlignment="1">
      <alignment horizontal="center" vertical="center"/>
    </xf>
    <xf numFmtId="3" fontId="117" fillId="0" borderId="29" xfId="66" applyNumberFormat="1" applyFont="1" applyFill="1" applyBorder="1" applyAlignment="1">
      <alignment horizontal="center" vertical="center"/>
    </xf>
    <xf numFmtId="3" fontId="117" fillId="0" borderId="39" xfId="66" applyNumberFormat="1" applyFont="1" applyFill="1" applyBorder="1" applyAlignment="1">
      <alignment horizontal="center" vertical="center"/>
    </xf>
    <xf numFmtId="3" fontId="117" fillId="0" borderId="44" xfId="66" applyNumberFormat="1" applyFont="1" applyFill="1" applyBorder="1" applyAlignment="1">
      <alignment horizontal="center" vertical="center"/>
    </xf>
    <xf numFmtId="3" fontId="117" fillId="0" borderId="26" xfId="66" applyNumberFormat="1" applyFont="1" applyFill="1" applyBorder="1" applyAlignment="1">
      <alignment horizontal="center" vertical="center"/>
    </xf>
    <xf numFmtId="3" fontId="117" fillId="0" borderId="41" xfId="66" applyNumberFormat="1" applyFont="1" applyFill="1" applyBorder="1" applyAlignment="1">
      <alignment horizontal="center" vertical="center"/>
    </xf>
    <xf numFmtId="3" fontId="117" fillId="23" borderId="20" xfId="66" applyNumberFormat="1" applyFont="1" applyFill="1" applyBorder="1" applyAlignment="1">
      <alignment horizontal="center" vertical="center"/>
    </xf>
    <xf numFmtId="3" fontId="117" fillId="23" borderId="24" xfId="66" applyNumberFormat="1" applyFont="1" applyFill="1" applyBorder="1" applyAlignment="1">
      <alignment horizontal="center" vertical="center"/>
    </xf>
    <xf numFmtId="3" fontId="117" fillId="23" borderId="22" xfId="66" applyNumberFormat="1" applyFont="1" applyFill="1" applyBorder="1" applyAlignment="1">
      <alignment horizontal="center" vertical="center"/>
    </xf>
    <xf numFmtId="3" fontId="117" fillId="0" borderId="28" xfId="66" applyNumberFormat="1" applyFont="1" applyFill="1" applyBorder="1" applyAlignment="1">
      <alignment horizontal="center" vertical="center"/>
    </xf>
    <xf numFmtId="3" fontId="117" fillId="0" borderId="38" xfId="66" applyNumberFormat="1" applyFont="1" applyFill="1" applyBorder="1" applyAlignment="1">
      <alignment horizontal="center" vertical="center"/>
    </xf>
    <xf numFmtId="3" fontId="117" fillId="0" borderId="43" xfId="66" applyNumberFormat="1" applyFont="1" applyFill="1" applyBorder="1" applyAlignment="1">
      <alignment horizontal="center" vertical="center"/>
    </xf>
    <xf numFmtId="3" fontId="117" fillId="0" borderId="25" xfId="66" applyNumberFormat="1" applyFont="1" applyFill="1" applyBorder="1" applyAlignment="1">
      <alignment horizontal="center" vertical="center"/>
    </xf>
    <xf numFmtId="3" fontId="117" fillId="0" borderId="35" xfId="66" applyNumberFormat="1" applyFont="1" applyFill="1" applyBorder="1" applyAlignment="1">
      <alignment horizontal="center" vertical="center"/>
    </xf>
    <xf numFmtId="3" fontId="117" fillId="0" borderId="40" xfId="66" applyNumberFormat="1" applyFont="1" applyFill="1" applyBorder="1" applyAlignment="1">
      <alignment horizontal="center" vertical="center"/>
    </xf>
    <xf numFmtId="3" fontId="117" fillId="0" borderId="16" xfId="66" applyNumberFormat="1" applyFont="1" applyFill="1" applyBorder="1" applyAlignment="1">
      <alignment horizontal="center" vertical="center"/>
    </xf>
    <xf numFmtId="3" fontId="117" fillId="0" borderId="0" xfId="66" applyNumberFormat="1" applyFont="1" applyFill="1" applyBorder="1" applyAlignment="1">
      <alignment horizontal="center" vertical="center"/>
    </xf>
    <xf numFmtId="3" fontId="117" fillId="0" borderId="17" xfId="66" applyNumberFormat="1" applyFont="1" applyFill="1" applyBorder="1" applyAlignment="1">
      <alignment horizontal="center" vertical="center"/>
    </xf>
    <xf numFmtId="3" fontId="117" fillId="0" borderId="28" xfId="66" applyNumberFormat="1" applyFont="1" applyBorder="1" applyAlignment="1">
      <alignment horizontal="center" vertical="center"/>
    </xf>
    <xf numFmtId="3" fontId="117" fillId="0" borderId="38" xfId="66" applyNumberFormat="1" applyFont="1" applyBorder="1" applyAlignment="1">
      <alignment horizontal="center" vertical="center"/>
    </xf>
    <xf numFmtId="3" fontId="117" fillId="0" borderId="43" xfId="66" applyNumberFormat="1" applyFont="1" applyBorder="1" applyAlignment="1">
      <alignment horizontal="center" vertical="center"/>
    </xf>
    <xf numFmtId="0" fontId="117" fillId="0" borderId="36" xfId="66" applyFont="1" applyBorder="1" applyAlignment="1">
      <alignment horizontal="center" vertical="center"/>
    </xf>
    <xf numFmtId="3" fontId="117" fillId="0" borderId="20" xfId="66" applyNumberFormat="1" applyFont="1" applyBorder="1" applyAlignment="1">
      <alignment horizontal="center" vertical="center"/>
    </xf>
    <xf numFmtId="3" fontId="117" fillId="0" borderId="24" xfId="66" applyNumberFormat="1" applyFont="1" applyBorder="1" applyAlignment="1">
      <alignment horizontal="center" vertical="center"/>
    </xf>
    <xf numFmtId="3" fontId="117" fillId="0" borderId="22" xfId="66" applyNumberFormat="1" applyFont="1" applyBorder="1" applyAlignment="1">
      <alignment horizontal="center" vertical="center"/>
    </xf>
    <xf numFmtId="3" fontId="116" fillId="23" borderId="13" xfId="66" applyNumberFormat="1" applyFont="1" applyFill="1" applyBorder="1" applyAlignment="1">
      <alignment horizontal="center" vertical="center"/>
    </xf>
    <xf numFmtId="3" fontId="116" fillId="23" borderId="14" xfId="66" applyNumberFormat="1" applyFont="1" applyFill="1" applyBorder="1" applyAlignment="1">
      <alignment horizontal="center" vertical="center"/>
    </xf>
    <xf numFmtId="3" fontId="116" fillId="23" borderId="10" xfId="66" applyNumberFormat="1" applyFont="1" applyFill="1" applyBorder="1" applyAlignment="1">
      <alignment horizontal="center" vertical="center"/>
    </xf>
    <xf numFmtId="0" fontId="117" fillId="23" borderId="0" xfId="66" applyFont="1" applyFill="1" applyBorder="1" applyAlignment="1">
      <alignment horizontal="center" vertical="center"/>
    </xf>
    <xf numFmtId="0" fontId="135" fillId="0" borderId="30" xfId="0" applyFont="1" applyBorder="1" applyAlignment="1">
      <alignment wrapText="1"/>
    </xf>
    <xf numFmtId="3" fontId="125" fillId="0" borderId="40" xfId="66" applyNumberFormat="1" applyFont="1" applyBorder="1" applyAlignment="1">
      <alignment horizontal="center" vertical="center"/>
    </xf>
    <xf numFmtId="3" fontId="125" fillId="0" borderId="30" xfId="66" applyNumberFormat="1" applyFont="1" applyBorder="1" applyAlignment="1">
      <alignment horizontal="center" vertical="center"/>
    </xf>
    <xf numFmtId="0" fontId="135" fillId="0" borderId="31" xfId="0" applyFont="1" applyBorder="1" applyAlignment="1">
      <alignment wrapText="1"/>
    </xf>
    <xf numFmtId="3" fontId="125" fillId="0" borderId="41" xfId="66" applyNumberFormat="1" applyFont="1" applyFill="1" applyBorder="1" applyAlignment="1">
      <alignment horizontal="center" vertical="center"/>
    </xf>
    <xf numFmtId="3" fontId="125" fillId="0" borderId="31" xfId="66" applyNumberFormat="1" applyFont="1" applyFill="1" applyBorder="1" applyAlignment="1">
      <alignment horizontal="center" vertical="center"/>
    </xf>
    <xf numFmtId="0" fontId="117" fillId="0" borderId="31" xfId="0" applyFont="1" applyBorder="1" applyAlignment="1">
      <alignment wrapText="1"/>
    </xf>
    <xf numFmtId="0" fontId="117" fillId="0" borderId="34" xfId="0" applyFont="1" applyBorder="1" applyAlignment="1">
      <alignment wrapText="1"/>
    </xf>
    <xf numFmtId="3" fontId="125" fillId="0" borderId="44" xfId="66" applyNumberFormat="1" applyFont="1" applyFill="1" applyBorder="1" applyAlignment="1">
      <alignment horizontal="center" vertical="center"/>
    </xf>
    <xf numFmtId="3" fontId="125" fillId="0" borderId="34" xfId="66" applyNumberFormat="1" applyFont="1" applyFill="1" applyBorder="1" applyAlignment="1">
      <alignment horizontal="center" vertical="center"/>
    </xf>
    <xf numFmtId="3" fontId="125" fillId="0" borderId="44" xfId="66" applyNumberFormat="1" applyFont="1" applyBorder="1" applyAlignment="1">
      <alignment horizontal="center" vertical="center"/>
    </xf>
    <xf numFmtId="3" fontId="125" fillId="0" borderId="34" xfId="66" applyNumberFormat="1" applyFont="1" applyBorder="1" applyAlignment="1">
      <alignment horizontal="center" vertical="center"/>
    </xf>
    <xf numFmtId="0" fontId="135" fillId="0" borderId="33" xfId="0" applyFont="1" applyBorder="1" applyAlignment="1">
      <alignment wrapText="1"/>
    </xf>
    <xf numFmtId="3" fontId="125" fillId="0" borderId="40" xfId="66" applyNumberFormat="1" applyFont="1" applyFill="1" applyBorder="1" applyAlignment="1">
      <alignment horizontal="center" vertical="center"/>
    </xf>
    <xf numFmtId="3" fontId="125" fillId="0" borderId="30" xfId="66" applyNumberFormat="1" applyFont="1" applyFill="1" applyBorder="1" applyAlignment="1">
      <alignment horizontal="center" vertical="center"/>
    </xf>
    <xf numFmtId="0" fontId="135" fillId="0" borderId="34" xfId="0" applyFont="1" applyBorder="1" applyAlignment="1">
      <alignment wrapText="1"/>
    </xf>
    <xf numFmtId="3" fontId="125" fillId="0" borderId="43" xfId="66" applyNumberFormat="1" applyFont="1" applyFill="1" applyBorder="1" applyAlignment="1">
      <alignment horizontal="center" vertical="center"/>
    </xf>
    <xf numFmtId="3" fontId="125" fillId="0" borderId="33" xfId="66" applyNumberFormat="1" applyFont="1" applyFill="1" applyBorder="1" applyAlignment="1">
      <alignment horizontal="center" vertical="center"/>
    </xf>
    <xf numFmtId="0" fontId="117" fillId="0" borderId="33" xfId="0" applyFont="1" applyBorder="1" applyAlignment="1">
      <alignment wrapText="1"/>
    </xf>
    <xf numFmtId="3" fontId="125" fillId="0" borderId="41" xfId="66" applyNumberFormat="1" applyFont="1" applyBorder="1" applyAlignment="1">
      <alignment horizontal="center" vertical="center"/>
    </xf>
    <xf numFmtId="3" fontId="125" fillId="0" borderId="31" xfId="66" applyNumberFormat="1" applyFont="1" applyBorder="1" applyAlignment="1">
      <alignment horizontal="center" vertical="center"/>
    </xf>
    <xf numFmtId="3" fontId="117" fillId="0" borderId="44" xfId="66" applyNumberFormat="1" applyFont="1" applyBorder="1" applyAlignment="1">
      <alignment horizontal="center" vertical="center"/>
    </xf>
    <xf numFmtId="3" fontId="117" fillId="0" borderId="34" xfId="66" applyNumberFormat="1" applyFont="1" applyBorder="1" applyAlignment="1">
      <alignment horizontal="center" vertical="center"/>
    </xf>
    <xf numFmtId="0" fontId="117" fillId="0" borderId="30" xfId="0" applyFont="1" applyBorder="1" applyAlignment="1">
      <alignment wrapText="1"/>
    </xf>
    <xf numFmtId="3" fontId="125" fillId="0" borderId="43" xfId="66" applyNumberFormat="1" applyFont="1" applyBorder="1" applyAlignment="1">
      <alignment horizontal="center" vertical="center"/>
    </xf>
    <xf numFmtId="3" fontId="125" fillId="0" borderId="33" xfId="66" applyNumberFormat="1" applyFont="1" applyBorder="1" applyAlignment="1">
      <alignment horizontal="center" vertical="center"/>
    </xf>
    <xf numFmtId="3" fontId="117" fillId="0" borderId="31" xfId="66" applyNumberFormat="1" applyFont="1" applyBorder="1" applyAlignment="1">
      <alignment horizontal="center" vertical="center"/>
    </xf>
    <xf numFmtId="0" fontId="135" fillId="0" borderId="19" xfId="0" applyFont="1" applyBorder="1" applyAlignment="1">
      <alignment wrapText="1"/>
    </xf>
    <xf numFmtId="3" fontId="125" fillId="0" borderId="15" xfId="66" applyNumberFormat="1" applyFont="1" applyBorder="1" applyAlignment="1">
      <alignment horizontal="center" vertical="center"/>
    </xf>
    <xf numFmtId="3" fontId="125" fillId="0" borderId="19" xfId="66" applyNumberFormat="1" applyFont="1" applyBorder="1" applyAlignment="1">
      <alignment horizontal="center" vertical="center"/>
    </xf>
    <xf numFmtId="3" fontId="138" fillId="23" borderId="18" xfId="66" applyNumberFormat="1" applyFont="1" applyFill="1" applyBorder="1" applyAlignment="1">
      <alignment horizontal="center" vertical="center"/>
    </xf>
    <xf numFmtId="0" fontId="117" fillId="23" borderId="16" xfId="66" applyFont="1" applyFill="1" applyBorder="1" applyAlignment="1">
      <alignment horizontal="center" vertical="center"/>
    </xf>
    <xf numFmtId="3" fontId="125" fillId="23" borderId="43" xfId="66" applyNumberFormat="1" applyFont="1" applyFill="1" applyBorder="1" applyAlignment="1">
      <alignment horizontal="center" vertical="center"/>
    </xf>
    <xf numFmtId="0" fontId="117" fillId="0" borderId="44" xfId="0" applyFont="1" applyBorder="1" applyAlignment="1">
      <alignment wrapText="1"/>
    </xf>
    <xf numFmtId="0" fontId="116" fillId="23" borderId="23" xfId="0" applyFont="1" applyFill="1" applyBorder="1" applyAlignment="1">
      <alignment horizontal="center" vertical="center" wrapText="1"/>
    </xf>
    <xf numFmtId="3" fontId="125" fillId="23" borderId="23" xfId="66" applyNumberFormat="1" applyFont="1" applyFill="1" applyBorder="1" applyAlignment="1">
      <alignment horizontal="center" vertical="center"/>
    </xf>
    <xf numFmtId="0" fontId="134" fillId="23" borderId="21" xfId="0" applyFont="1" applyFill="1" applyBorder="1" applyAlignment="1">
      <alignment horizontal="center" vertical="center" wrapText="1"/>
    </xf>
    <xf numFmtId="0" fontId="134" fillId="23" borderId="23" xfId="0" applyFont="1" applyFill="1" applyBorder="1" applyAlignment="1">
      <alignment horizontal="center" vertical="center" wrapText="1"/>
    </xf>
    <xf numFmtId="0" fontId="117" fillId="23" borderId="23" xfId="66" applyFont="1" applyFill="1" applyBorder="1" applyAlignment="1">
      <alignment vertical="center"/>
    </xf>
    <xf numFmtId="3" fontId="116" fillId="23" borderId="18" xfId="66" applyNumberFormat="1" applyFont="1" applyFill="1" applyBorder="1" applyAlignment="1">
      <alignment horizontal="right" vertical="center" indent="1"/>
    </xf>
    <xf numFmtId="3" fontId="117" fillId="0" borderId="19" xfId="66" applyNumberFormat="1" applyFont="1" applyBorder="1" applyAlignment="1">
      <alignment horizontal="right" vertical="center" indent="1"/>
    </xf>
    <xf numFmtId="3" fontId="116" fillId="0" borderId="19" xfId="66" applyNumberFormat="1" applyFont="1" applyBorder="1" applyAlignment="1">
      <alignment horizontal="right" vertical="center" indent="1"/>
    </xf>
    <xf numFmtId="3" fontId="117" fillId="0" borderId="21" xfId="66" applyNumberFormat="1" applyFont="1" applyBorder="1" applyAlignment="1">
      <alignment horizontal="right" vertical="center" indent="1"/>
    </xf>
    <xf numFmtId="3" fontId="116" fillId="23" borderId="23" xfId="66" applyNumberFormat="1" applyFont="1" applyFill="1" applyBorder="1" applyAlignment="1">
      <alignment horizontal="right" vertical="center" indent="1"/>
    </xf>
    <xf numFmtId="3" fontId="116" fillId="0" borderId="21" xfId="66" applyNumberFormat="1" applyFont="1" applyBorder="1" applyAlignment="1">
      <alignment horizontal="right" vertical="center" indent="1"/>
    </xf>
    <xf numFmtId="3" fontId="117" fillId="0" borderId="23" xfId="66" applyNumberFormat="1" applyFont="1" applyBorder="1" applyAlignment="1">
      <alignment horizontal="right" vertical="center" indent="1"/>
    </xf>
    <xf numFmtId="3" fontId="116" fillId="0" borderId="23" xfId="66" applyNumberFormat="1" applyFont="1" applyBorder="1" applyAlignment="1">
      <alignment horizontal="right" vertical="center" indent="1"/>
    </xf>
    <xf numFmtId="0" fontId="125" fillId="0" borderId="25" xfId="374" applyFont="1" applyFill="1" applyBorder="1" applyAlignment="1">
      <alignment vertical="center"/>
    </xf>
    <xf numFmtId="0" fontId="116" fillId="0" borderId="25" xfId="374" applyFont="1" applyFill="1" applyBorder="1" applyAlignment="1">
      <alignment horizontal="right" vertical="center" wrapText="1" indent="1"/>
    </xf>
    <xf numFmtId="0" fontId="117" fillId="0" borderId="35" xfId="374" applyFont="1" applyFill="1" applyBorder="1" applyAlignment="1">
      <alignment horizontal="right" vertical="center" wrapText="1" indent="1"/>
    </xf>
    <xf numFmtId="0" fontId="116" fillId="0" borderId="35" xfId="374" applyFont="1" applyFill="1" applyBorder="1" applyAlignment="1">
      <alignment horizontal="right" vertical="center" wrapText="1" indent="1"/>
    </xf>
    <xf numFmtId="0" fontId="116" fillId="0" borderId="35" xfId="374" applyFont="1" applyFill="1" applyBorder="1" applyAlignment="1">
      <alignment horizontal="right" vertical="center" indent="1"/>
    </xf>
    <xf numFmtId="0" fontId="117" fillId="0" borderId="25" xfId="374" applyFont="1" applyFill="1" applyBorder="1" applyAlignment="1">
      <alignment horizontal="right" vertical="center" wrapText="1" indent="1"/>
    </xf>
    <xf numFmtId="0" fontId="116" fillId="0" borderId="40" xfId="374" applyFont="1" applyFill="1" applyBorder="1" applyAlignment="1">
      <alignment horizontal="right" vertical="center" wrapText="1" indent="1"/>
    </xf>
    <xf numFmtId="0" fontId="116" fillId="0" borderId="40" xfId="374" applyFont="1" applyFill="1" applyBorder="1" applyAlignment="1">
      <alignment horizontal="right" vertical="center" indent="1"/>
    </xf>
    <xf numFmtId="0" fontId="125" fillId="0" borderId="26" xfId="374" applyFont="1" applyFill="1" applyBorder="1" applyAlignment="1">
      <alignment vertical="center"/>
    </xf>
    <xf numFmtId="0" fontId="117" fillId="0" borderId="26" xfId="374" applyFont="1" applyFill="1" applyBorder="1" applyAlignment="1">
      <alignment horizontal="right" vertical="center" indent="1"/>
    </xf>
    <xf numFmtId="0" fontId="117" fillId="0" borderId="36" xfId="374" applyFont="1" applyFill="1" applyBorder="1" applyAlignment="1">
      <alignment horizontal="right" vertical="center" indent="1"/>
    </xf>
    <xf numFmtId="0" fontId="116" fillId="0" borderId="36" xfId="374" applyFont="1" applyFill="1" applyBorder="1" applyAlignment="1">
      <alignment horizontal="right" vertical="center" indent="1"/>
    </xf>
    <xf numFmtId="0" fontId="116" fillId="0" borderId="41" xfId="374" applyFont="1" applyFill="1" applyBorder="1" applyAlignment="1">
      <alignment horizontal="right" vertical="center" indent="1"/>
    </xf>
    <xf numFmtId="0" fontId="117" fillId="0" borderId="26" xfId="374" applyFont="1" applyFill="1" applyBorder="1" applyAlignment="1">
      <alignment vertical="center"/>
    </xf>
    <xf numFmtId="0" fontId="125" fillId="0" borderId="29" xfId="374" applyFont="1" applyBorder="1" applyAlignment="1">
      <alignment vertical="center"/>
    </xf>
    <xf numFmtId="0" fontId="117" fillId="0" borderId="29" xfId="374" applyFont="1" applyFill="1" applyBorder="1" applyAlignment="1">
      <alignment horizontal="right" vertical="center" indent="1"/>
    </xf>
    <xf numFmtId="0" fontId="117" fillId="0" borderId="39" xfId="374" applyFont="1" applyFill="1" applyBorder="1" applyAlignment="1">
      <alignment horizontal="right" vertical="center" indent="1"/>
    </xf>
    <xf numFmtId="0" fontId="116" fillId="0" borderId="39" xfId="374" applyFont="1" applyFill="1" applyBorder="1" applyAlignment="1">
      <alignment horizontal="right" vertical="center" indent="1"/>
    </xf>
    <xf numFmtId="0" fontId="116" fillId="0" borderId="44" xfId="374" applyFont="1" applyFill="1" applyBorder="1" applyAlignment="1">
      <alignment horizontal="right" vertical="center" indent="1"/>
    </xf>
    <xf numFmtId="0" fontId="138" fillId="23" borderId="20" xfId="374" applyFont="1" applyFill="1" applyBorder="1" applyAlignment="1">
      <alignment horizontal="center" vertical="center"/>
    </xf>
    <xf numFmtId="0" fontId="117" fillId="23" borderId="20" xfId="374" applyFont="1" applyFill="1" applyBorder="1" applyAlignment="1">
      <alignment horizontal="right" vertical="center" indent="1"/>
    </xf>
    <xf numFmtId="0" fontId="117" fillId="23" borderId="24" xfId="374" applyFont="1" applyFill="1" applyBorder="1" applyAlignment="1">
      <alignment horizontal="right" vertical="center" indent="1"/>
    </xf>
    <xf numFmtId="0" fontId="125" fillId="0" borderId="25" xfId="374" applyFont="1" applyFill="1" applyBorder="1" applyAlignment="1">
      <alignment vertical="center" wrapText="1"/>
    </xf>
    <xf numFmtId="0" fontId="117" fillId="0" borderId="25" xfId="374" applyFont="1" applyFill="1" applyBorder="1" applyAlignment="1">
      <alignment horizontal="right" vertical="center" indent="1"/>
    </xf>
    <xf numFmtId="0" fontId="117" fillId="0" borderId="35" xfId="374" applyFont="1" applyFill="1" applyBorder="1" applyAlignment="1">
      <alignment horizontal="right" vertical="center" indent="1"/>
    </xf>
    <xf numFmtId="0" fontId="125" fillId="0" borderId="26" xfId="374" applyFont="1" applyFill="1" applyBorder="1" applyAlignment="1">
      <alignment vertical="center" wrapText="1"/>
    </xf>
    <xf numFmtId="0" fontId="117" fillId="0" borderId="26" xfId="374" applyFont="1" applyFill="1" applyBorder="1" applyAlignment="1">
      <alignment vertical="center" wrapText="1"/>
    </xf>
    <xf numFmtId="0" fontId="125" fillId="0" borderId="28" xfId="374" applyFont="1" applyFill="1" applyBorder="1" applyAlignment="1">
      <alignment vertical="center" wrapText="1"/>
    </xf>
    <xf numFmtId="0" fontId="117" fillId="0" borderId="28" xfId="374" applyFont="1" applyFill="1" applyBorder="1" applyAlignment="1">
      <alignment horizontal="right" vertical="center" indent="1"/>
    </xf>
    <xf numFmtId="0" fontId="117" fillId="0" borderId="38" xfId="374" applyFont="1" applyFill="1" applyBorder="1" applyAlignment="1">
      <alignment horizontal="right" vertical="center" indent="1"/>
    </xf>
    <xf numFmtId="0" fontId="116" fillId="0" borderId="38" xfId="374" applyFont="1" applyFill="1" applyBorder="1" applyAlignment="1">
      <alignment horizontal="right" vertical="center" indent="1"/>
    </xf>
    <xf numFmtId="0" fontId="116" fillId="0" borderId="43" xfId="374" applyFont="1" applyFill="1" applyBorder="1" applyAlignment="1">
      <alignment horizontal="right" vertical="center" indent="1"/>
    </xf>
    <xf numFmtId="0" fontId="117" fillId="0" borderId="25" xfId="374" applyFont="1" applyFill="1" applyBorder="1" applyAlignment="1">
      <alignment vertical="center" wrapText="1"/>
    </xf>
    <xf numFmtId="0" fontId="117" fillId="0" borderId="26" xfId="374" applyFont="1" applyBorder="1" applyAlignment="1">
      <alignment vertical="center" wrapText="1"/>
    </xf>
    <xf numFmtId="0" fontId="125" fillId="0" borderId="26" xfId="374" applyFont="1" applyBorder="1" applyAlignment="1">
      <alignment vertical="center" wrapText="1"/>
    </xf>
    <xf numFmtId="0" fontId="125" fillId="0" borderId="25" xfId="374" applyFont="1" applyBorder="1" applyAlignment="1">
      <alignment vertical="center" wrapText="1"/>
    </xf>
    <xf numFmtId="0" fontId="172" fillId="0" borderId="0" xfId="374" applyFont="1" applyAlignment="1">
      <alignment vertical="center"/>
    </xf>
    <xf numFmtId="0" fontId="117" fillId="0" borderId="28" xfId="374" applyFont="1" applyBorder="1" applyAlignment="1">
      <alignment vertical="center" wrapText="1"/>
    </xf>
    <xf numFmtId="0" fontId="117" fillId="0" borderId="38" xfId="374" applyFont="1" applyBorder="1" applyAlignment="1">
      <alignment vertical="center" wrapText="1"/>
    </xf>
    <xf numFmtId="0" fontId="117" fillId="0" borderId="36" xfId="374" applyFont="1" applyBorder="1" applyAlignment="1">
      <alignment vertical="center" wrapText="1"/>
    </xf>
    <xf numFmtId="0" fontId="117" fillId="0" borderId="39" xfId="374" applyFont="1" applyBorder="1" applyAlignment="1">
      <alignment vertical="center" wrapText="1"/>
    </xf>
    <xf numFmtId="0" fontId="117" fillId="0" borderId="0" xfId="374" applyFont="1" applyAlignment="1">
      <alignment vertical="center"/>
    </xf>
    <xf numFmtId="0" fontId="116" fillId="0" borderId="0" xfId="374" applyFont="1" applyAlignment="1">
      <alignment vertical="center"/>
    </xf>
    <xf numFmtId="0" fontId="116" fillId="23" borderId="13" xfId="374" applyFont="1" applyFill="1" applyBorder="1" applyAlignment="1">
      <alignment horizontal="right" vertical="center" indent="1"/>
    </xf>
    <xf numFmtId="0" fontId="116" fillId="23" borderId="14" xfId="374" applyFont="1" applyFill="1" applyBorder="1" applyAlignment="1">
      <alignment horizontal="right" vertical="center" indent="1"/>
    </xf>
    <xf numFmtId="0" fontId="116" fillId="23" borderId="10" xfId="374" applyFont="1" applyFill="1" applyBorder="1" applyAlignment="1">
      <alignment horizontal="right" vertical="center" indent="1"/>
    </xf>
    <xf numFmtId="1" fontId="117" fillId="0" borderId="25" xfId="66" applyNumberFormat="1" applyFont="1" applyBorder="1" applyAlignment="1">
      <alignment horizontal="right" vertical="center" indent="1"/>
    </xf>
    <xf numFmtId="1" fontId="117" fillId="0" borderId="35" xfId="66" applyNumberFormat="1" applyFont="1" applyBorder="1" applyAlignment="1">
      <alignment horizontal="right" vertical="center" indent="1"/>
    </xf>
    <xf numFmtId="1" fontId="116" fillId="0" borderId="40" xfId="66" applyNumberFormat="1" applyFont="1" applyBorder="1" applyAlignment="1">
      <alignment horizontal="right" vertical="center" indent="1"/>
    </xf>
    <xf numFmtId="1" fontId="116" fillId="0" borderId="35" xfId="66" applyNumberFormat="1" applyFont="1" applyBorder="1" applyAlignment="1">
      <alignment horizontal="right" vertical="center" indent="1"/>
    </xf>
    <xf numFmtId="1" fontId="117" fillId="0" borderId="26" xfId="66" applyNumberFormat="1" applyFont="1" applyBorder="1" applyAlignment="1">
      <alignment horizontal="right" vertical="center" indent="1"/>
    </xf>
    <xf numFmtId="1" fontId="117" fillId="0" borderId="36" xfId="66" applyNumberFormat="1" applyFont="1" applyBorder="1" applyAlignment="1">
      <alignment horizontal="right" vertical="center" indent="1"/>
    </xf>
    <xf numFmtId="1" fontId="116" fillId="0" borderId="41" xfId="66" applyNumberFormat="1" applyFont="1" applyBorder="1" applyAlignment="1">
      <alignment horizontal="right" vertical="center" indent="1"/>
    </xf>
    <xf numFmtId="1" fontId="116" fillId="0" borderId="36" xfId="66" applyNumberFormat="1" applyFont="1" applyBorder="1" applyAlignment="1">
      <alignment horizontal="right" vertical="center" indent="1"/>
    </xf>
    <xf numFmtId="1" fontId="117" fillId="0" borderId="28" xfId="66" applyNumberFormat="1" applyFont="1" applyBorder="1" applyAlignment="1">
      <alignment horizontal="right" vertical="center" indent="1"/>
    </xf>
    <xf numFmtId="1" fontId="117" fillId="0" borderId="38" xfId="66" applyNumberFormat="1" applyFont="1" applyBorder="1" applyAlignment="1">
      <alignment horizontal="right" vertical="center" indent="1"/>
    </xf>
    <xf numFmtId="1" fontId="116" fillId="0" borderId="43" xfId="66" applyNumberFormat="1" applyFont="1" applyBorder="1" applyAlignment="1">
      <alignment horizontal="right" vertical="center" indent="1"/>
    </xf>
    <xf numFmtId="1" fontId="116" fillId="0" borderId="38" xfId="66" applyNumberFormat="1" applyFont="1" applyBorder="1" applyAlignment="1">
      <alignment horizontal="right" vertical="center" indent="1"/>
    </xf>
    <xf numFmtId="3" fontId="117" fillId="0" borderId="28" xfId="66" applyNumberFormat="1" applyFont="1" applyBorder="1" applyAlignment="1">
      <alignment horizontal="right" vertical="center" indent="1"/>
    </xf>
    <xf numFmtId="3" fontId="117" fillId="0" borderId="38" xfId="66" applyNumberFormat="1" applyFont="1" applyBorder="1" applyAlignment="1">
      <alignment horizontal="right" vertical="center" indent="1"/>
    </xf>
    <xf numFmtId="3" fontId="117" fillId="0" borderId="43" xfId="66" applyNumberFormat="1" applyFont="1" applyBorder="1" applyAlignment="1">
      <alignment horizontal="right" vertical="center" indent="1"/>
    </xf>
    <xf numFmtId="1" fontId="117" fillId="0" borderId="29" xfId="66" applyNumberFormat="1" applyFont="1" applyBorder="1" applyAlignment="1">
      <alignment horizontal="right" vertical="center" indent="1"/>
    </xf>
    <xf numFmtId="1" fontId="117" fillId="0" borderId="39" xfId="66" applyNumberFormat="1" applyFont="1" applyBorder="1" applyAlignment="1">
      <alignment horizontal="right" vertical="center" indent="1"/>
    </xf>
    <xf numFmtId="1" fontId="116" fillId="0" borderId="44" xfId="66" applyNumberFormat="1" applyFont="1" applyBorder="1" applyAlignment="1">
      <alignment horizontal="right" vertical="center" indent="1"/>
    </xf>
    <xf numFmtId="1" fontId="116" fillId="0" borderId="39" xfId="66" applyNumberFormat="1" applyFont="1" applyBorder="1" applyAlignment="1">
      <alignment horizontal="right" vertical="center" indent="1"/>
    </xf>
    <xf numFmtId="0" fontId="117" fillId="0" borderId="28" xfId="66" applyFont="1" applyBorder="1" applyAlignment="1">
      <alignment vertical="center"/>
    </xf>
    <xf numFmtId="0" fontId="117" fillId="0" borderId="38" xfId="66" applyFont="1" applyBorder="1" applyAlignment="1">
      <alignment vertical="center"/>
    </xf>
    <xf numFmtId="0" fontId="117" fillId="0" borderId="43" xfId="66" applyFont="1" applyBorder="1" applyAlignment="1">
      <alignment vertical="center"/>
    </xf>
    <xf numFmtId="1" fontId="117" fillId="0" borderId="27" xfId="66" applyNumberFormat="1" applyFont="1" applyBorder="1" applyAlignment="1">
      <alignment horizontal="right" vertical="center" indent="1"/>
    </xf>
    <xf numFmtId="1" fontId="117" fillId="0" borderId="37" xfId="66" applyNumberFormat="1" applyFont="1" applyBorder="1" applyAlignment="1">
      <alignment horizontal="right" vertical="center" indent="1"/>
    </xf>
    <xf numFmtId="1" fontId="116" fillId="0" borderId="42" xfId="66" applyNumberFormat="1" applyFont="1" applyBorder="1" applyAlignment="1">
      <alignment horizontal="right" vertical="center" indent="1"/>
    </xf>
    <xf numFmtId="1" fontId="116" fillId="0" borderId="37" xfId="66" applyNumberFormat="1" applyFont="1" applyBorder="1" applyAlignment="1">
      <alignment horizontal="right" vertical="center" indent="1"/>
    </xf>
    <xf numFmtId="0" fontId="96" fillId="0" borderId="0" xfId="374" applyFont="1" applyBorder="1" applyAlignment="1">
      <alignment vertical="center"/>
    </xf>
    <xf numFmtId="0" fontId="117" fillId="0" borderId="11" xfId="374" applyFont="1" applyFill="1" applyBorder="1" applyAlignment="1">
      <alignment horizontal="center" vertical="center"/>
    </xf>
    <xf numFmtId="0" fontId="117" fillId="0" borderId="16" xfId="374" applyFont="1" applyFill="1" applyBorder="1" applyAlignment="1">
      <alignment horizontal="center" vertical="center"/>
    </xf>
    <xf numFmtId="0" fontId="117" fillId="0" borderId="16" xfId="374" applyFont="1" applyBorder="1" applyAlignment="1">
      <alignment horizontal="center" vertical="center"/>
    </xf>
    <xf numFmtId="0" fontId="117" fillId="23" borderId="20" xfId="374" applyFont="1" applyFill="1" applyBorder="1" applyAlignment="1">
      <alignment horizontal="center" vertical="center"/>
    </xf>
    <xf numFmtId="0" fontId="117" fillId="0" borderId="18" xfId="374" applyFont="1" applyFill="1" applyBorder="1" applyAlignment="1">
      <alignment horizontal="center" vertical="center"/>
    </xf>
    <xf numFmtId="0" fontId="117" fillId="23" borderId="22" xfId="374" applyFont="1" applyFill="1" applyBorder="1" applyAlignment="1">
      <alignment horizontal="right" vertical="center" indent="1"/>
    </xf>
    <xf numFmtId="0" fontId="125" fillId="0" borderId="35" xfId="374" applyFont="1" applyBorder="1" applyAlignment="1">
      <alignment vertical="center" wrapText="1"/>
    </xf>
    <xf numFmtId="0" fontId="125" fillId="0" borderId="36" xfId="374" applyFont="1" applyBorder="1" applyAlignment="1">
      <alignment vertical="center" wrapText="1"/>
    </xf>
    <xf numFmtId="0" fontId="125" fillId="0" borderId="39" xfId="374" applyFont="1" applyBorder="1" applyAlignment="1">
      <alignment vertical="center"/>
    </xf>
    <xf numFmtId="0" fontId="138" fillId="23" borderId="24" xfId="374" applyFont="1" applyFill="1" applyBorder="1" applyAlignment="1">
      <alignment horizontal="center" vertical="center"/>
    </xf>
    <xf numFmtId="0" fontId="117" fillId="23" borderId="23" xfId="374" applyFont="1" applyFill="1" applyBorder="1" applyAlignment="1">
      <alignment horizontal="center" vertical="center"/>
    </xf>
    <xf numFmtId="0" fontId="117" fillId="23" borderId="24" xfId="374" applyFont="1" applyFill="1" applyBorder="1" applyAlignment="1">
      <alignment horizontal="center" vertical="center"/>
    </xf>
    <xf numFmtId="0" fontId="40" fillId="0" borderId="30" xfId="0" applyFont="1" applyBorder="1" applyAlignment="1">
      <alignment vertical="center" wrapText="1"/>
    </xf>
    <xf numFmtId="0" fontId="40" fillId="0" borderId="31" xfId="0" applyFont="1" applyBorder="1" applyAlignment="1">
      <alignment vertical="center" wrapText="1"/>
    </xf>
    <xf numFmtId="0" fontId="40" fillId="0" borderId="33" xfId="0" applyFont="1" applyBorder="1" applyAlignment="1">
      <alignment vertical="center" wrapText="1"/>
    </xf>
    <xf numFmtId="0" fontId="40" fillId="0" borderId="19" xfId="0" applyFont="1" applyBorder="1" applyAlignment="1">
      <alignment horizontal="center" vertical="center" wrapText="1"/>
    </xf>
    <xf numFmtId="3" fontId="40" fillId="0" borderId="30" xfId="0" applyNumberFormat="1" applyFont="1" applyBorder="1" applyAlignment="1">
      <alignment horizontal="right" vertical="center" wrapText="1" indent="1"/>
    </xf>
    <xf numFmtId="3" fontId="40" fillId="0" borderId="31" xfId="0" applyNumberFormat="1" applyFont="1" applyBorder="1" applyAlignment="1">
      <alignment horizontal="right" vertical="center" wrapText="1" indent="1"/>
    </xf>
    <xf numFmtId="0" fontId="40" fillId="23" borderId="31" xfId="0" applyFont="1" applyFill="1" applyBorder="1" applyAlignment="1">
      <alignment horizontal="center" vertical="center" wrapText="1"/>
    </xf>
    <xf numFmtId="0" fontId="40" fillId="23" borderId="32" xfId="0" applyFont="1" applyFill="1" applyBorder="1" applyAlignment="1">
      <alignment horizontal="center" vertical="center" wrapText="1"/>
    </xf>
    <xf numFmtId="3" fontId="40" fillId="23" borderId="32" xfId="0" applyNumberFormat="1" applyFont="1" applyFill="1" applyBorder="1" applyAlignment="1">
      <alignment horizontal="right" vertical="center" wrapText="1" indent="1"/>
    </xf>
    <xf numFmtId="3" fontId="40" fillId="0" borderId="33" xfId="0" applyNumberFormat="1" applyFont="1" applyBorder="1" applyAlignment="1">
      <alignment horizontal="right" vertical="center" wrapText="1" indent="1"/>
    </xf>
    <xf numFmtId="0" fontId="40" fillId="23" borderId="34" xfId="0" applyFont="1" applyFill="1" applyBorder="1" applyAlignment="1">
      <alignment horizontal="center" vertical="center" wrapText="1"/>
    </xf>
    <xf numFmtId="3" fontId="40" fillId="23" borderId="34" xfId="0" applyNumberFormat="1" applyFont="1" applyFill="1" applyBorder="1" applyAlignment="1">
      <alignment horizontal="right" vertical="center" wrapText="1" indent="1"/>
    </xf>
    <xf numFmtId="0" fontId="40" fillId="23" borderId="23" xfId="0" applyFont="1" applyFill="1" applyBorder="1" applyAlignment="1">
      <alignment horizontal="center" vertical="center" wrapText="1"/>
    </xf>
    <xf numFmtId="0" fontId="116" fillId="23" borderId="19" xfId="0" applyFont="1" applyFill="1" applyBorder="1" applyAlignment="1">
      <alignment horizontal="center" vertical="center" wrapText="1"/>
    </xf>
    <xf numFmtId="1" fontId="116" fillId="23" borderId="18" xfId="0" applyNumberFormat="1" applyFont="1" applyFill="1" applyBorder="1" applyAlignment="1">
      <alignment horizontal="center" vertical="center" wrapText="1"/>
    </xf>
    <xf numFmtId="0" fontId="62" fillId="0" borderId="0" xfId="374" applyFont="1"/>
    <xf numFmtId="3" fontId="118" fillId="23" borderId="13" xfId="50" applyNumberFormat="1" applyFont="1" applyFill="1" applyBorder="1" applyAlignment="1">
      <alignment horizontal="center" vertical="center" wrapText="1"/>
    </xf>
    <xf numFmtId="3" fontId="118" fillId="23" borderId="18" xfId="50" applyNumberFormat="1" applyFont="1" applyFill="1" applyBorder="1" applyAlignment="1">
      <alignment horizontal="center" vertical="center" wrapText="1"/>
    </xf>
    <xf numFmtId="0" fontId="69" fillId="0" borderId="0" xfId="374" applyFont="1" applyAlignment="1">
      <alignment horizontal="center"/>
    </xf>
    <xf numFmtId="0" fontId="64" fillId="0" borderId="0" xfId="374" applyFont="1" applyAlignment="1">
      <alignment horizontal="left" vertical="center"/>
    </xf>
    <xf numFmtId="0" fontId="117" fillId="23" borderId="13" xfId="374" applyFont="1" applyFill="1" applyBorder="1" applyAlignment="1">
      <alignment horizontal="center" vertical="center"/>
    </xf>
    <xf numFmtId="0" fontId="117" fillId="23" borderId="14" xfId="374" applyFont="1" applyFill="1" applyBorder="1" applyAlignment="1">
      <alignment horizontal="center" vertical="center"/>
    </xf>
    <xf numFmtId="0" fontId="117" fillId="23" borderId="10" xfId="374" applyFont="1" applyFill="1" applyBorder="1" applyAlignment="1">
      <alignment horizontal="center" vertical="center"/>
    </xf>
    <xf numFmtId="3" fontId="116" fillId="0" borderId="15" xfId="374" applyNumberFormat="1" applyFont="1" applyBorder="1" applyAlignment="1">
      <alignment horizontal="center" vertical="center"/>
    </xf>
    <xf numFmtId="3" fontId="117" fillId="0" borderId="0" xfId="374" applyNumberFormat="1" applyFont="1" applyBorder="1" applyAlignment="1">
      <alignment horizontal="center" vertical="center"/>
    </xf>
    <xf numFmtId="3" fontId="116" fillId="0" borderId="17" xfId="374" applyNumberFormat="1" applyFont="1" applyBorder="1" applyAlignment="1">
      <alignment horizontal="center" vertical="center"/>
    </xf>
    <xf numFmtId="3" fontId="117" fillId="23" borderId="24" xfId="374" applyNumberFormat="1" applyFont="1" applyFill="1" applyBorder="1" applyAlignment="1">
      <alignment horizontal="center" vertical="center"/>
    </xf>
    <xf numFmtId="3" fontId="116" fillId="0" borderId="14" xfId="374" applyNumberFormat="1" applyFont="1" applyBorder="1" applyAlignment="1">
      <alignment horizontal="center" vertical="center"/>
    </xf>
    <xf numFmtId="3" fontId="116" fillId="0" borderId="10" xfId="374" applyNumberFormat="1" applyFont="1" applyBorder="1" applyAlignment="1">
      <alignment horizontal="center" vertical="center"/>
    </xf>
    <xf numFmtId="0" fontId="117" fillId="0" borderId="0" xfId="374" applyFont="1" applyAlignment="1">
      <alignment horizontal="center" vertical="center"/>
    </xf>
    <xf numFmtId="3" fontId="116" fillId="23" borderId="22" xfId="374" applyNumberFormat="1" applyFont="1" applyFill="1" applyBorder="1" applyAlignment="1">
      <alignment horizontal="center" vertical="center"/>
    </xf>
    <xf numFmtId="0" fontId="116" fillId="0" borderId="23" xfId="374" applyFont="1" applyFill="1" applyBorder="1" applyAlignment="1">
      <alignment horizontal="center" vertical="center"/>
    </xf>
    <xf numFmtId="0" fontId="116" fillId="0" borderId="22" xfId="374" applyFont="1" applyFill="1" applyBorder="1" applyAlignment="1">
      <alignment horizontal="center" vertical="center"/>
    </xf>
    <xf numFmtId="0" fontId="101" fillId="0" borderId="0" xfId="374" applyFont="1" applyFill="1" applyAlignment="1">
      <alignment vertical="center"/>
    </xf>
    <xf numFmtId="167" fontId="120" fillId="0" borderId="10" xfId="78" applyNumberFormat="1" applyFont="1" applyFill="1" applyBorder="1" applyAlignment="1">
      <alignment horizontal="centerContinuous" vertical="center"/>
    </xf>
    <xf numFmtId="167" fontId="120" fillId="0" borderId="18" xfId="78" applyNumberFormat="1" applyFont="1" applyFill="1" applyBorder="1" applyAlignment="1">
      <alignment horizontal="centerContinuous" vertical="center"/>
    </xf>
    <xf numFmtId="167" fontId="120" fillId="0" borderId="19" xfId="78" applyNumberFormat="1" applyFont="1" applyFill="1" applyBorder="1" applyAlignment="1">
      <alignment horizontal="centerContinuous" vertical="center"/>
    </xf>
    <xf numFmtId="0" fontId="117" fillId="0" borderId="0" xfId="374" applyFont="1" applyFill="1" applyAlignment="1">
      <alignment vertical="center"/>
    </xf>
    <xf numFmtId="165" fontId="39" fillId="0" borderId="12" xfId="67" applyNumberFormat="1" applyFont="1" applyFill="1" applyBorder="1" applyAlignment="1">
      <alignment vertical="center"/>
    </xf>
    <xf numFmtId="165" fontId="39" fillId="0" borderId="12" xfId="78" applyNumberFormat="1" applyFont="1" applyFill="1" applyBorder="1" applyAlignment="1">
      <alignment vertical="center"/>
    </xf>
    <xf numFmtId="165" fontId="39" fillId="0" borderId="11" xfId="78" applyNumberFormat="1" applyFont="1" applyFill="1" applyBorder="1" applyAlignment="1">
      <alignment vertical="center"/>
    </xf>
    <xf numFmtId="165" fontId="39" fillId="0" borderId="0" xfId="67" applyNumberFormat="1" applyFont="1" applyFill="1" applyBorder="1" applyAlignment="1">
      <alignment vertical="center"/>
    </xf>
    <xf numFmtId="165" fontId="39" fillId="0" borderId="0" xfId="78" applyNumberFormat="1" applyFont="1" applyFill="1" applyBorder="1" applyAlignment="1">
      <alignment vertical="center"/>
    </xf>
    <xf numFmtId="165" fontId="39" fillId="0" borderId="16" xfId="78" applyNumberFormat="1" applyFont="1" applyFill="1" applyBorder="1" applyAlignment="1">
      <alignment vertical="center"/>
    </xf>
    <xf numFmtId="165" fontId="117" fillId="0" borderId="0" xfId="374" applyNumberFormat="1" applyFont="1" applyFill="1" applyAlignment="1">
      <alignment vertical="center"/>
    </xf>
    <xf numFmtId="0" fontId="167" fillId="0" borderId="0" xfId="374" applyFont="1" applyFill="1" applyBorder="1" applyAlignment="1">
      <alignment horizontal="center" vertical="center"/>
    </xf>
    <xf numFmtId="0" fontId="117" fillId="0" borderId="0" xfId="374" applyFont="1"/>
    <xf numFmtId="165" fontId="58" fillId="0" borderId="0" xfId="374" applyNumberFormat="1"/>
    <xf numFmtId="0" fontId="114" fillId="0" borderId="0" xfId="374" applyFont="1" applyAlignment="1">
      <alignment horizontal="left" readingOrder="1"/>
    </xf>
    <xf numFmtId="0" fontId="61" fillId="0" borderId="0" xfId="374" applyFont="1"/>
    <xf numFmtId="0" fontId="61" fillId="0" borderId="0" xfId="374" applyFont="1" applyAlignment="1">
      <alignment horizontal="center"/>
    </xf>
    <xf numFmtId="168" fontId="58" fillId="0" borderId="0" xfId="374" applyNumberFormat="1"/>
    <xf numFmtId="0" fontId="144" fillId="0" borderId="0" xfId="374" applyFont="1"/>
    <xf numFmtId="0" fontId="56" fillId="0" borderId="15" xfId="0" applyFont="1" applyFill="1" applyBorder="1" applyAlignment="1">
      <alignment horizontal="center" vertical="center"/>
    </xf>
    <xf numFmtId="0" fontId="56" fillId="0" borderId="17" xfId="0" applyFont="1" applyFill="1" applyBorder="1" applyAlignment="1">
      <alignment horizontal="center" vertical="center"/>
    </xf>
    <xf numFmtId="168" fontId="175" fillId="0" borderId="24" xfId="57" applyNumberFormat="1" applyFont="1" applyFill="1" applyBorder="1" applyAlignment="1">
      <alignment vertical="center"/>
    </xf>
    <xf numFmtId="168" fontId="175" fillId="0" borderId="20" xfId="57" applyNumberFormat="1" applyFont="1" applyFill="1" applyBorder="1" applyAlignment="1">
      <alignment vertical="center"/>
    </xf>
    <xf numFmtId="9" fontId="58" fillId="0" borderId="0" xfId="57" applyNumberFormat="1" applyFont="1" applyAlignment="1">
      <alignment vertical="center"/>
    </xf>
    <xf numFmtId="0" fontId="38" fillId="0" borderId="0" xfId="464"/>
    <xf numFmtId="0" fontId="38" fillId="0" borderId="0" xfId="464" applyFont="1" applyAlignment="1">
      <alignment vertical="center"/>
    </xf>
    <xf numFmtId="0" fontId="38" fillId="0" borderId="30" xfId="464" applyFont="1" applyBorder="1" applyAlignment="1">
      <alignment horizontal="center" vertical="center"/>
    </xf>
    <xf numFmtId="0" fontId="38" fillId="0" borderId="31" xfId="464" applyFont="1" applyBorder="1" applyAlignment="1">
      <alignment horizontal="center" vertical="center"/>
    </xf>
    <xf numFmtId="0" fontId="38" fillId="0" borderId="0" xfId="464" applyFont="1" applyBorder="1" applyAlignment="1">
      <alignment horizontal="center" vertical="center"/>
    </xf>
    <xf numFmtId="0" fontId="120" fillId="0" borderId="0" xfId="464" applyFont="1" applyFill="1" applyBorder="1" applyAlignment="1">
      <alignment horizontal="center" vertical="center"/>
    </xf>
    <xf numFmtId="0" fontId="121" fillId="0" borderId="0" xfId="464" applyFont="1"/>
    <xf numFmtId="0" fontId="116" fillId="23" borderId="13" xfId="66" applyFont="1" applyFill="1" applyBorder="1" applyAlignment="1">
      <alignment horizontal="center" vertical="center"/>
    </xf>
    <xf numFmtId="0" fontId="116" fillId="23" borderId="14" xfId="66" applyFont="1" applyFill="1" applyBorder="1" applyAlignment="1">
      <alignment horizontal="center" vertical="center"/>
    </xf>
    <xf numFmtId="0" fontId="116" fillId="23" borderId="10" xfId="66" applyFont="1" applyFill="1" applyBorder="1" applyAlignment="1">
      <alignment horizontal="center" vertical="center"/>
    </xf>
    <xf numFmtId="0" fontId="70" fillId="0" borderId="0" xfId="66" applyFont="1" applyAlignment="1">
      <alignment horizontal="left" vertical="center"/>
    </xf>
    <xf numFmtId="0" fontId="117" fillId="0" borderId="21" xfId="66" applyFont="1" applyBorder="1" applyAlignment="1">
      <alignment horizontal="center" vertical="center"/>
    </xf>
    <xf numFmtId="0" fontId="157" fillId="0" borderId="17" xfId="66" applyFont="1" applyBorder="1" applyAlignment="1">
      <alignment horizontal="center" vertical="center"/>
    </xf>
    <xf numFmtId="0" fontId="60" fillId="0" borderId="0" xfId="66" applyFont="1" applyAlignment="1">
      <alignment horizontal="center" vertical="center"/>
    </xf>
    <xf numFmtId="0" fontId="135" fillId="0" borderId="30" xfId="465" applyFont="1" applyBorder="1" applyAlignment="1"/>
    <xf numFmtId="0" fontId="117" fillId="0" borderId="31" xfId="465" applyFont="1" applyBorder="1" applyAlignment="1"/>
    <xf numFmtId="0" fontId="117" fillId="0" borderId="29" xfId="465" applyFont="1" applyBorder="1" applyAlignment="1"/>
    <xf numFmtId="0" fontId="135" fillId="0" borderId="31" xfId="465" applyFont="1" applyBorder="1" applyAlignment="1"/>
    <xf numFmtId="0" fontId="116" fillId="23" borderId="20" xfId="465" applyFont="1" applyFill="1" applyBorder="1" applyAlignment="1">
      <alignment horizontal="center" vertical="center"/>
    </xf>
    <xf numFmtId="0" fontId="117" fillId="0" borderId="28" xfId="465" applyFont="1" applyBorder="1" applyAlignment="1"/>
    <xf numFmtId="0" fontId="117" fillId="0" borderId="26" xfId="465" applyFont="1" applyBorder="1" applyAlignment="1"/>
    <xf numFmtId="0" fontId="117" fillId="0" borderId="30" xfId="465" applyFont="1" applyBorder="1" applyAlignment="1"/>
    <xf numFmtId="0" fontId="117" fillId="0" borderId="25" xfId="465" applyFont="1" applyBorder="1" applyAlignment="1"/>
    <xf numFmtId="0" fontId="135" fillId="0" borderId="28" xfId="465" applyFont="1" applyBorder="1" applyAlignment="1"/>
    <xf numFmtId="0" fontId="135" fillId="0" borderId="26" xfId="465" applyFont="1" applyBorder="1" applyAlignment="1"/>
    <xf numFmtId="3" fontId="117" fillId="0" borderId="29" xfId="66" applyNumberFormat="1" applyFont="1" applyBorder="1" applyAlignment="1">
      <alignment horizontal="center" vertical="center"/>
    </xf>
    <xf numFmtId="3" fontId="117" fillId="0" borderId="39" xfId="66" applyNumberFormat="1" applyFont="1" applyBorder="1" applyAlignment="1">
      <alignment horizontal="center" vertical="center"/>
    </xf>
    <xf numFmtId="0" fontId="117" fillId="0" borderId="40" xfId="465" applyFont="1" applyBorder="1" applyAlignment="1"/>
    <xf numFmtId="0" fontId="117" fillId="0" borderId="36" xfId="465" applyFont="1" applyBorder="1" applyAlignment="1"/>
    <xf numFmtId="0" fontId="117" fillId="0" borderId="39" xfId="465" applyFont="1" applyBorder="1" applyAlignment="1"/>
    <xf numFmtId="0" fontId="135" fillId="0" borderId="36" xfId="465" applyFont="1" applyBorder="1" applyAlignment="1"/>
    <xf numFmtId="0" fontId="116" fillId="23" borderId="24" xfId="465" applyFont="1" applyFill="1" applyBorder="1" applyAlignment="1">
      <alignment horizontal="center" vertical="center"/>
    </xf>
    <xf numFmtId="0" fontId="117" fillId="0" borderId="22" xfId="465" applyFont="1" applyBorder="1" applyAlignment="1"/>
    <xf numFmtId="0" fontId="37" fillId="0" borderId="0" xfId="466"/>
    <xf numFmtId="0" fontId="177" fillId="0" borderId="0" xfId="466" applyFont="1" applyAlignment="1"/>
    <xf numFmtId="0" fontId="37" fillId="0" borderId="0" xfId="466" applyAlignment="1">
      <alignment horizontal="center"/>
    </xf>
    <xf numFmtId="0" fontId="181" fillId="0" borderId="18" xfId="52" applyFont="1" applyFill="1" applyBorder="1" applyAlignment="1">
      <alignment horizontal="center" vertical="center"/>
    </xf>
    <xf numFmtId="1" fontId="181" fillId="0" borderId="18" xfId="50" applyNumberFormat="1" applyFont="1" applyFill="1" applyBorder="1" applyAlignment="1">
      <alignment horizontal="center" vertical="center" wrapText="1"/>
    </xf>
    <xf numFmtId="1" fontId="182" fillId="0" borderId="18" xfId="5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103" fillId="0" borderId="0" xfId="0" applyFont="1" applyAlignment="1">
      <alignment vertical="center"/>
    </xf>
    <xf numFmtId="0" fontId="116" fillId="23" borderId="18" xfId="66" applyFont="1" applyFill="1" applyBorder="1" applyAlignment="1">
      <alignment horizontal="center" vertical="center" wrapText="1"/>
    </xf>
    <xf numFmtId="0" fontId="69" fillId="0" borderId="12" xfId="0" applyFont="1" applyFill="1" applyBorder="1"/>
    <xf numFmtId="0" fontId="120" fillId="23" borderId="18" xfId="0" applyFont="1" applyFill="1" applyBorder="1" applyAlignment="1">
      <alignment horizontal="center"/>
    </xf>
    <xf numFmtId="0" fontId="120" fillId="23" borderId="16" xfId="0" applyFont="1" applyFill="1" applyBorder="1" applyAlignment="1">
      <alignment horizontal="center" vertical="center"/>
    </xf>
    <xf numFmtId="0" fontId="120" fillId="23" borderId="18" xfId="0" applyFont="1" applyFill="1" applyBorder="1" applyAlignment="1">
      <alignment horizontal="center" vertical="center"/>
    </xf>
    <xf numFmtId="4" fontId="120" fillId="23" borderId="18" xfId="0" applyNumberFormat="1" applyFont="1" applyFill="1" applyBorder="1"/>
    <xf numFmtId="0" fontId="120" fillId="23" borderId="18" xfId="0" applyFont="1" applyFill="1" applyBorder="1" applyAlignment="1">
      <alignment horizontal="center" vertical="center" wrapText="1"/>
    </xf>
    <xf numFmtId="0" fontId="120" fillId="0" borderId="13" xfId="0" applyFont="1" applyBorder="1"/>
    <xf numFmtId="0" fontId="116" fillId="23" borderId="13" xfId="66" applyFont="1" applyFill="1" applyBorder="1" applyAlignment="1">
      <alignment horizontal="center" vertical="center"/>
    </xf>
    <xf numFmtId="0" fontId="116" fillId="23" borderId="14" xfId="66" applyFont="1" applyFill="1" applyBorder="1" applyAlignment="1">
      <alignment horizontal="center" vertical="center"/>
    </xf>
    <xf numFmtId="0" fontId="116" fillId="23" borderId="10" xfId="66" applyFont="1" applyFill="1" applyBorder="1" applyAlignment="1">
      <alignment horizontal="center" vertical="center"/>
    </xf>
    <xf numFmtId="0" fontId="116" fillId="23" borderId="18" xfId="0" applyFont="1" applyFill="1" applyBorder="1" applyAlignment="1">
      <alignment horizontal="center" vertical="center" wrapText="1"/>
    </xf>
    <xf numFmtId="3" fontId="116" fillId="23" borderId="18" xfId="0" applyNumberFormat="1" applyFont="1" applyFill="1" applyBorder="1" applyAlignment="1">
      <alignment horizontal="center" vertical="center" wrapText="1"/>
    </xf>
    <xf numFmtId="0" fontId="116" fillId="23" borderId="13" xfId="0" applyFont="1" applyFill="1" applyBorder="1" applyAlignment="1">
      <alignment horizontal="center" vertical="center" wrapText="1"/>
    </xf>
    <xf numFmtId="0" fontId="116" fillId="23" borderId="10" xfId="0" applyFont="1" applyFill="1" applyBorder="1" applyAlignment="1">
      <alignment horizontal="center" vertical="center" wrapText="1"/>
    </xf>
    <xf numFmtId="0" fontId="116" fillId="23" borderId="14" xfId="0" applyFont="1" applyFill="1" applyBorder="1" applyAlignment="1">
      <alignment horizontal="center" vertical="center" wrapText="1"/>
    </xf>
    <xf numFmtId="0" fontId="134" fillId="0" borderId="23" xfId="0" applyFont="1" applyFill="1" applyBorder="1" applyAlignment="1">
      <alignment horizontal="center" vertical="center" wrapText="1" readingOrder="1"/>
    </xf>
    <xf numFmtId="0" fontId="118" fillId="0" borderId="0" xfId="0" applyFont="1"/>
    <xf numFmtId="0" fontId="116" fillId="0" borderId="22" xfId="0" applyFont="1" applyFill="1" applyBorder="1" applyAlignment="1">
      <alignment horizontal="center" vertical="center"/>
    </xf>
    <xf numFmtId="0" fontId="117" fillId="0" borderId="25" xfId="0" applyFont="1" applyFill="1" applyBorder="1" applyAlignment="1">
      <alignment horizontal="center" vertical="center" wrapText="1"/>
    </xf>
    <xf numFmtId="0" fontId="117" fillId="0" borderId="35" xfId="0" applyFont="1" applyFill="1" applyBorder="1" applyAlignment="1">
      <alignment horizontal="center" vertical="center" wrapText="1"/>
    </xf>
    <xf numFmtId="0" fontId="117" fillId="0" borderId="40" xfId="0" applyFont="1" applyFill="1" applyBorder="1" applyAlignment="1">
      <alignment horizontal="center" vertical="center" wrapText="1"/>
    </xf>
    <xf numFmtId="0" fontId="116" fillId="0" borderId="30" xfId="0" applyFont="1" applyBorder="1" applyAlignment="1">
      <alignment horizontal="center" vertical="center"/>
    </xf>
    <xf numFmtId="3" fontId="116" fillId="0" borderId="30" xfId="0" applyNumberFormat="1" applyFont="1" applyBorder="1" applyAlignment="1">
      <alignment horizontal="center" vertical="center"/>
    </xf>
    <xf numFmtId="0" fontId="117" fillId="0" borderId="26" xfId="0" applyFont="1" applyFill="1" applyBorder="1" applyAlignment="1">
      <alignment horizontal="center" vertical="center" wrapText="1"/>
    </xf>
    <xf numFmtId="0" fontId="117" fillId="0" borderId="36" xfId="0" applyFont="1" applyFill="1" applyBorder="1" applyAlignment="1">
      <alignment horizontal="center" vertical="center" wrapText="1"/>
    </xf>
    <xf numFmtId="0" fontId="117" fillId="0" borderId="41" xfId="0" applyFont="1" applyFill="1" applyBorder="1" applyAlignment="1">
      <alignment horizontal="center" vertical="center" wrapText="1"/>
    </xf>
    <xf numFmtId="0" fontId="116" fillId="0" borderId="31" xfId="0" applyFont="1" applyBorder="1" applyAlignment="1">
      <alignment horizontal="center" vertical="center"/>
    </xf>
    <xf numFmtId="3" fontId="116" fillId="0" borderId="31" xfId="0" applyNumberFormat="1" applyFont="1" applyBorder="1" applyAlignment="1">
      <alignment horizontal="center" vertical="center"/>
    </xf>
    <xf numFmtId="0" fontId="116" fillId="23" borderId="27" xfId="0" applyFont="1" applyFill="1" applyBorder="1" applyAlignment="1">
      <alignment horizontal="center" vertical="center" wrapText="1"/>
    </xf>
    <xf numFmtId="0" fontId="116" fillId="23" borderId="37" xfId="0" applyFont="1" applyFill="1" applyBorder="1" applyAlignment="1">
      <alignment horizontal="center" vertical="center" wrapText="1"/>
    </xf>
    <xf numFmtId="0" fontId="116" fillId="23" borderId="42" xfId="0" applyFont="1" applyFill="1" applyBorder="1" applyAlignment="1">
      <alignment horizontal="center" vertical="center" wrapText="1"/>
    </xf>
    <xf numFmtId="0" fontId="116" fillId="23" borderId="32" xfId="0" applyFont="1" applyFill="1" applyBorder="1" applyAlignment="1">
      <alignment horizontal="center" vertical="center" wrapText="1"/>
    </xf>
    <xf numFmtId="3" fontId="116" fillId="23" borderId="32" xfId="0" applyNumberFormat="1" applyFont="1" applyFill="1" applyBorder="1" applyAlignment="1">
      <alignment horizontal="center" vertical="center" wrapText="1"/>
    </xf>
    <xf numFmtId="3" fontId="117" fillId="0" borderId="0" xfId="0" applyNumberFormat="1" applyFont="1"/>
    <xf numFmtId="0" fontId="116" fillId="0" borderId="0" xfId="0" applyFont="1" applyAlignment="1">
      <alignment horizontal="center" vertical="center"/>
    </xf>
    <xf numFmtId="3" fontId="117" fillId="0" borderId="0" xfId="0" applyNumberFormat="1" applyFont="1" applyFill="1" applyAlignment="1">
      <alignment vertical="center"/>
    </xf>
    <xf numFmtId="3" fontId="116" fillId="0" borderId="0" xfId="0" applyNumberFormat="1" applyFont="1" applyAlignment="1">
      <alignment horizontal="center" vertical="center"/>
    </xf>
    <xf numFmtId="0" fontId="117" fillId="0" borderId="30" xfId="0" applyFont="1" applyBorder="1" applyAlignment="1">
      <alignment horizontal="center" vertical="center"/>
    </xf>
    <xf numFmtId="3" fontId="117" fillId="0" borderId="30" xfId="0" applyNumberFormat="1" applyFont="1" applyBorder="1" applyAlignment="1">
      <alignment horizontal="center" vertical="center"/>
    </xf>
    <xf numFmtId="0" fontId="117" fillId="0" borderId="31" xfId="0" applyFont="1" applyBorder="1" applyAlignment="1">
      <alignment horizontal="center" vertical="center"/>
    </xf>
    <xf numFmtId="3" fontId="117" fillId="0" borderId="31" xfId="0" applyNumberFormat="1" applyFont="1" applyBorder="1" applyAlignment="1">
      <alignment horizontal="center" vertical="center"/>
    </xf>
    <xf numFmtId="0" fontId="117" fillId="0" borderId="27" xfId="0" applyFont="1" applyFill="1" applyBorder="1" applyAlignment="1">
      <alignment horizontal="center" vertical="center" wrapText="1"/>
    </xf>
    <xf numFmtId="0" fontId="117" fillId="0" borderId="37" xfId="0" applyFont="1" applyFill="1" applyBorder="1" applyAlignment="1">
      <alignment horizontal="center" vertical="center" wrapText="1"/>
    </xf>
    <xf numFmtId="0" fontId="117" fillId="0" borderId="42" xfId="0" applyFont="1" applyFill="1" applyBorder="1" applyAlignment="1">
      <alignment horizontal="center" vertical="center" wrapText="1"/>
    </xf>
    <xf numFmtId="0" fontId="117" fillId="0" borderId="32" xfId="0" applyFont="1" applyBorder="1" applyAlignment="1">
      <alignment horizontal="center" vertical="center"/>
    </xf>
    <xf numFmtId="3" fontId="117" fillId="0" borderId="32" xfId="0" applyNumberFormat="1" applyFont="1" applyBorder="1" applyAlignment="1">
      <alignment horizontal="center" vertical="center"/>
    </xf>
    <xf numFmtId="3" fontId="125" fillId="0" borderId="61" xfId="54" applyNumberFormat="1" applyFont="1" applyFill="1" applyBorder="1" applyAlignment="1">
      <alignment horizontal="right" wrapText="1" indent="1"/>
    </xf>
    <xf numFmtId="3" fontId="125" fillId="0" borderId="60" xfId="54" applyNumberFormat="1" applyFont="1" applyFill="1" applyBorder="1" applyAlignment="1">
      <alignment horizontal="right" wrapText="1" indent="1"/>
    </xf>
    <xf numFmtId="3" fontId="138" fillId="23" borderId="0" xfId="54" applyNumberFormat="1" applyFont="1" applyFill="1" applyBorder="1" applyAlignment="1">
      <alignment horizontal="right" wrapText="1" indent="1"/>
    </xf>
    <xf numFmtId="3" fontId="138" fillId="23" borderId="24" xfId="54" applyNumberFormat="1" applyFont="1" applyFill="1" applyBorder="1" applyAlignment="1">
      <alignment horizontal="right" wrapText="1" indent="1"/>
    </xf>
    <xf numFmtId="3" fontId="117" fillId="0" borderId="70" xfId="66" applyNumberFormat="1" applyFont="1" applyFill="1" applyBorder="1" applyAlignment="1">
      <alignment vertical="center"/>
    </xf>
    <xf numFmtId="3" fontId="117" fillId="0" borderId="47" xfId="66" applyNumberFormat="1" applyFont="1" applyFill="1" applyBorder="1" applyAlignment="1">
      <alignment vertical="center"/>
    </xf>
    <xf numFmtId="3" fontId="117" fillId="0" borderId="55" xfId="66" applyNumberFormat="1" applyFont="1" applyFill="1" applyBorder="1" applyAlignment="1">
      <alignment vertical="center"/>
    </xf>
    <xf numFmtId="3" fontId="117" fillId="0" borderId="52" xfId="66" applyNumberFormat="1" applyFont="1" applyFill="1" applyBorder="1" applyAlignment="1">
      <alignment vertical="center"/>
    </xf>
    <xf numFmtId="3" fontId="138" fillId="23" borderId="22" xfId="54" applyNumberFormat="1" applyFont="1" applyFill="1" applyBorder="1" applyAlignment="1">
      <alignment horizontal="right" wrapText="1" indent="1"/>
    </xf>
    <xf numFmtId="3" fontId="116" fillId="0" borderId="61" xfId="66" applyNumberFormat="1" applyFont="1" applyFill="1" applyBorder="1" applyAlignment="1">
      <alignment horizontal="right" vertical="center" indent="1"/>
    </xf>
    <xf numFmtId="0" fontId="73" fillId="0" borderId="70" xfId="50" applyFont="1" applyFill="1" applyBorder="1" applyAlignment="1">
      <alignment vertical="center" wrapText="1"/>
    </xf>
    <xf numFmtId="3" fontId="116" fillId="0" borderId="71" xfId="66" applyNumberFormat="1" applyFont="1" applyFill="1" applyBorder="1" applyAlignment="1">
      <alignment horizontal="right" vertical="center" indent="1"/>
    </xf>
    <xf numFmtId="0" fontId="144" fillId="0" borderId="13" xfId="50" applyFont="1" applyFill="1" applyBorder="1" applyAlignment="1">
      <alignment vertical="center" wrapText="1"/>
    </xf>
    <xf numFmtId="1" fontId="116" fillId="23" borderId="18" xfId="50" applyNumberFormat="1" applyFont="1" applyFill="1" applyBorder="1" applyAlignment="1">
      <alignment horizontal="center" vertical="center" wrapText="1"/>
    </xf>
    <xf numFmtId="0" fontId="35" fillId="0" borderId="0" xfId="631"/>
    <xf numFmtId="0" fontId="116" fillId="23" borderId="18" xfId="631" applyFont="1" applyFill="1" applyBorder="1" applyAlignment="1">
      <alignment horizontal="center" vertical="center" wrapText="1"/>
    </xf>
    <xf numFmtId="0" fontId="117" fillId="0" borderId="30" xfId="631" applyFont="1" applyFill="1" applyBorder="1" applyAlignment="1">
      <alignment horizontal="center" vertical="center"/>
    </xf>
    <xf numFmtId="177" fontId="117" fillId="0" borderId="25" xfId="631" applyNumberFormat="1" applyFont="1" applyFill="1" applyBorder="1" applyAlignment="1">
      <alignment horizontal="right" vertical="center" indent="1"/>
    </xf>
    <xf numFmtId="177" fontId="117" fillId="0" borderId="30" xfId="631" applyNumberFormat="1" applyFont="1" applyFill="1" applyBorder="1" applyAlignment="1">
      <alignment horizontal="right" vertical="center" indent="1"/>
    </xf>
    <xf numFmtId="0" fontId="117" fillId="0" borderId="31" xfId="631" applyFont="1" applyFill="1" applyBorder="1" applyAlignment="1">
      <alignment horizontal="center" vertical="center"/>
    </xf>
    <xf numFmtId="177" fontId="117" fillId="0" borderId="26" xfId="631" applyNumberFormat="1" applyFont="1" applyFill="1" applyBorder="1" applyAlignment="1">
      <alignment horizontal="right" vertical="center" indent="1"/>
    </xf>
    <xf numFmtId="177" fontId="117" fillId="0" borderId="31" xfId="631" applyNumberFormat="1" applyFont="1" applyFill="1" applyBorder="1" applyAlignment="1">
      <alignment horizontal="right" vertical="center" indent="1"/>
    </xf>
    <xf numFmtId="0" fontId="117" fillId="0" borderId="0" xfId="631" applyFont="1"/>
    <xf numFmtId="2" fontId="61" fillId="0" borderId="0" xfId="631" applyNumberFormat="1" applyFont="1"/>
    <xf numFmtId="2" fontId="35" fillId="0" borderId="0" xfId="631" applyNumberFormat="1"/>
    <xf numFmtId="0" fontId="117" fillId="0" borderId="0" xfId="631" applyFont="1" applyAlignment="1">
      <alignment vertical="center"/>
    </xf>
    <xf numFmtId="0" fontId="35" fillId="0" borderId="0" xfId="631" applyAlignment="1">
      <alignment vertical="center"/>
    </xf>
    <xf numFmtId="177" fontId="117" fillId="0" borderId="35" xfId="631" applyNumberFormat="1" applyFont="1" applyFill="1" applyBorder="1" applyAlignment="1">
      <alignment horizontal="right" vertical="center" indent="1"/>
    </xf>
    <xf numFmtId="177" fontId="117" fillId="0" borderId="40" xfId="631" applyNumberFormat="1" applyFont="1" applyFill="1" applyBorder="1" applyAlignment="1">
      <alignment horizontal="right" vertical="center" indent="1"/>
    </xf>
    <xf numFmtId="177" fontId="117" fillId="0" borderId="36" xfId="631" applyNumberFormat="1" applyFont="1" applyFill="1" applyBorder="1" applyAlignment="1">
      <alignment horizontal="right" vertical="center" indent="1"/>
    </xf>
    <xf numFmtId="177" fontId="117" fillId="0" borderId="41" xfId="631" applyNumberFormat="1" applyFont="1" applyFill="1" applyBorder="1" applyAlignment="1">
      <alignment horizontal="right" vertical="center" indent="1"/>
    </xf>
    <xf numFmtId="0" fontId="120" fillId="23" borderId="11" xfId="0" applyFont="1" applyFill="1" applyBorder="1" applyAlignment="1">
      <alignment horizontal="center" vertical="center"/>
    </xf>
    <xf numFmtId="0" fontId="117" fillId="0" borderId="13" xfId="50" applyFont="1" applyFill="1" applyBorder="1" applyAlignment="1">
      <alignment vertical="center" wrapText="1"/>
    </xf>
    <xf numFmtId="3" fontId="125" fillId="0" borderId="70" xfId="50" applyNumberFormat="1" applyFont="1" applyFill="1" applyBorder="1" applyAlignment="1">
      <alignment horizontal="right" wrapText="1" indent="1"/>
    </xf>
    <xf numFmtId="3" fontId="125" fillId="0" borderId="71" xfId="50" applyNumberFormat="1" applyFont="1" applyFill="1" applyBorder="1" applyAlignment="1">
      <alignment horizontal="right" wrapText="1" indent="1"/>
    </xf>
    <xf numFmtId="0" fontId="117" fillId="0" borderId="13" xfId="52" applyFont="1" applyFill="1" applyBorder="1" applyAlignment="1">
      <alignment horizontal="left" vertical="center"/>
    </xf>
    <xf numFmtId="3" fontId="125" fillId="0" borderId="13" xfId="50" applyNumberFormat="1" applyFont="1" applyFill="1" applyBorder="1" applyAlignment="1">
      <alignment horizontal="right" wrapText="1" indent="1"/>
    </xf>
    <xf numFmtId="3" fontId="125" fillId="0" borderId="14" xfId="50" applyNumberFormat="1" applyFont="1" applyFill="1" applyBorder="1" applyAlignment="1">
      <alignment horizontal="right" wrapText="1" indent="1"/>
    </xf>
    <xf numFmtId="3" fontId="117" fillId="0" borderId="14" xfId="0" applyNumberFormat="1" applyFont="1" applyBorder="1" applyAlignment="1">
      <alignment horizontal="right" indent="1"/>
    </xf>
    <xf numFmtId="3" fontId="125" fillId="0" borderId="14" xfId="51" applyNumberFormat="1" applyFont="1" applyFill="1" applyBorder="1" applyAlignment="1">
      <alignment horizontal="right" wrapText="1" indent="1"/>
    </xf>
    <xf numFmtId="3" fontId="125" fillId="0" borderId="14" xfId="46" applyNumberFormat="1" applyFont="1" applyFill="1" applyBorder="1" applyAlignment="1">
      <alignment horizontal="right" wrapText="1" indent="1"/>
    </xf>
    <xf numFmtId="3" fontId="125" fillId="0" borderId="14" xfId="47" applyNumberFormat="1" applyFont="1" applyFill="1" applyBorder="1" applyAlignment="1">
      <alignment horizontal="right" wrapText="1" indent="1"/>
    </xf>
    <xf numFmtId="3" fontId="117" fillId="0" borderId="14" xfId="0" applyNumberFormat="1" applyFont="1" applyBorder="1" applyAlignment="1">
      <alignment horizontal="right" vertical="center" indent="1"/>
    </xf>
    <xf numFmtId="3" fontId="117" fillId="0" borderId="10" xfId="0" applyNumberFormat="1" applyFont="1" applyBorder="1" applyAlignment="1">
      <alignment horizontal="right" vertical="center" indent="1"/>
    </xf>
    <xf numFmtId="3" fontId="117" fillId="0" borderId="13" xfId="0" applyNumberFormat="1" applyFont="1" applyBorder="1" applyAlignment="1">
      <alignment horizontal="right" vertical="center" indent="1"/>
    </xf>
    <xf numFmtId="0" fontId="181" fillId="0" borderId="23" xfId="52" applyFont="1" applyFill="1" applyBorder="1" applyAlignment="1">
      <alignment horizontal="center" vertical="center"/>
    </xf>
    <xf numFmtId="3" fontId="125" fillId="0" borderId="52" xfId="50" applyNumberFormat="1" applyFont="1" applyFill="1" applyBorder="1" applyAlignment="1">
      <alignment horizontal="right" wrapText="1" indent="1"/>
    </xf>
    <xf numFmtId="3" fontId="125" fillId="0" borderId="53" xfId="50" applyNumberFormat="1" applyFont="1" applyFill="1" applyBorder="1" applyAlignment="1">
      <alignment horizontal="right" wrapText="1" indent="1"/>
    </xf>
    <xf numFmtId="0" fontId="117" fillId="0" borderId="34" xfId="66" applyFont="1" applyBorder="1" applyAlignment="1">
      <alignment wrapText="1"/>
    </xf>
    <xf numFmtId="1" fontId="117" fillId="0" borderId="29" xfId="66" applyNumberFormat="1" applyFont="1" applyFill="1" applyBorder="1" applyAlignment="1">
      <alignment horizontal="right" vertical="center" indent="1"/>
    </xf>
    <xf numFmtId="1" fontId="117" fillId="0" borderId="39" xfId="66" applyNumberFormat="1" applyFont="1" applyFill="1" applyBorder="1" applyAlignment="1">
      <alignment horizontal="right" vertical="center" indent="1"/>
    </xf>
    <xf numFmtId="0" fontId="155" fillId="0" borderId="21" xfId="66" applyFont="1" applyFill="1" applyBorder="1" applyAlignment="1">
      <alignment horizontal="center" vertical="center"/>
    </xf>
    <xf numFmtId="0" fontId="157" fillId="0" borderId="21" xfId="66" applyFont="1" applyFill="1" applyBorder="1" applyAlignment="1">
      <alignment horizontal="center" vertical="center"/>
    </xf>
    <xf numFmtId="1" fontId="117" fillId="23" borderId="18" xfId="50" applyNumberFormat="1" applyFont="1" applyFill="1" applyBorder="1" applyAlignment="1">
      <alignment horizontal="center" vertical="center" wrapText="1"/>
    </xf>
    <xf numFmtId="0" fontId="97" fillId="0" borderId="0" xfId="66" applyFont="1" applyBorder="1" applyAlignment="1">
      <alignment vertical="center"/>
    </xf>
    <xf numFmtId="0" fontId="117" fillId="23" borderId="23" xfId="374" applyFont="1" applyFill="1" applyBorder="1" applyAlignment="1">
      <alignment horizontal="center" vertical="center"/>
    </xf>
    <xf numFmtId="0" fontId="154" fillId="0" borderId="18" xfId="66" applyFont="1" applyFill="1" applyBorder="1" applyAlignment="1">
      <alignment horizontal="center" vertical="center"/>
    </xf>
    <xf numFmtId="0" fontId="154" fillId="23" borderId="23" xfId="66" applyFont="1" applyFill="1" applyBorder="1" applyAlignment="1">
      <alignment horizontal="center" vertical="center"/>
    </xf>
    <xf numFmtId="0" fontId="157" fillId="23" borderId="23" xfId="66" applyFont="1" applyFill="1" applyBorder="1" applyAlignment="1">
      <alignment horizontal="center" vertical="center"/>
    </xf>
    <xf numFmtId="0" fontId="155" fillId="0" borderId="18" xfId="66" applyFont="1" applyFill="1" applyBorder="1" applyAlignment="1">
      <alignment horizontal="center" vertical="center"/>
    </xf>
    <xf numFmtId="0" fontId="155" fillId="23" borderId="23" xfId="66" applyFont="1" applyFill="1" applyBorder="1" applyAlignment="1">
      <alignment horizontal="center" vertical="center"/>
    </xf>
    <xf numFmtId="0" fontId="156" fillId="23" borderId="23" xfId="66" applyFont="1" applyFill="1" applyBorder="1" applyAlignment="1">
      <alignment horizontal="center" vertical="center"/>
    </xf>
    <xf numFmtId="0" fontId="156" fillId="0" borderId="18" xfId="66" applyFont="1" applyFill="1" applyBorder="1" applyAlignment="1">
      <alignment horizontal="center" vertical="center"/>
    </xf>
    <xf numFmtId="0" fontId="156" fillId="23" borderId="21" xfId="66" applyFont="1" applyFill="1" applyBorder="1" applyAlignment="1">
      <alignment horizontal="center" vertical="center"/>
    </xf>
    <xf numFmtId="0" fontId="116" fillId="0" borderId="0" xfId="374" applyFont="1" applyFill="1" applyBorder="1" applyAlignment="1">
      <alignment horizontal="right" vertical="center" indent="1"/>
    </xf>
    <xf numFmtId="0" fontId="117" fillId="0" borderId="18" xfId="374" applyFont="1" applyFill="1" applyBorder="1" applyAlignment="1">
      <alignment horizontal="right" vertical="center" indent="1"/>
    </xf>
    <xf numFmtId="0" fontId="117" fillId="0" borderId="35" xfId="374" applyFont="1" applyBorder="1" applyAlignment="1">
      <alignment vertical="center" wrapText="1"/>
    </xf>
    <xf numFmtId="0" fontId="117" fillId="0" borderId="41" xfId="374" applyFont="1" applyBorder="1" applyAlignment="1">
      <alignment vertical="center" wrapText="1"/>
    </xf>
    <xf numFmtId="0" fontId="116" fillId="0" borderId="11" xfId="374" applyFont="1" applyFill="1" applyBorder="1" applyAlignment="1">
      <alignment horizontal="right" vertical="center" indent="1"/>
    </xf>
    <xf numFmtId="0" fontId="116" fillId="0" borderId="12" xfId="374" applyFont="1" applyFill="1" applyBorder="1" applyAlignment="1">
      <alignment horizontal="right" vertical="center" indent="1"/>
    </xf>
    <xf numFmtId="0" fontId="116" fillId="0" borderId="15" xfId="374" applyFont="1" applyFill="1" applyBorder="1" applyAlignment="1">
      <alignment horizontal="right" vertical="center" indent="1"/>
    </xf>
    <xf numFmtId="0" fontId="116" fillId="0" borderId="16" xfId="374" applyFont="1" applyFill="1" applyBorder="1" applyAlignment="1">
      <alignment horizontal="right" vertical="center" indent="1"/>
    </xf>
    <xf numFmtId="0" fontId="116" fillId="0" borderId="17" xfId="374" applyFont="1" applyFill="1" applyBorder="1" applyAlignment="1">
      <alignment horizontal="right" vertical="center" indent="1"/>
    </xf>
    <xf numFmtId="0" fontId="117" fillId="0" borderId="19" xfId="374" applyFont="1" applyFill="1" applyBorder="1" applyAlignment="1">
      <alignment horizontal="right" vertical="center" indent="1"/>
    </xf>
    <xf numFmtId="0" fontId="117" fillId="0" borderId="18" xfId="0" applyFont="1" applyBorder="1" applyAlignment="1">
      <alignment horizontal="center" vertical="center"/>
    </xf>
    <xf numFmtId="0" fontId="154" fillId="0" borderId="18" xfId="0" applyFont="1" applyFill="1" applyBorder="1" applyAlignment="1">
      <alignment horizontal="center" vertical="center"/>
    </xf>
    <xf numFmtId="0" fontId="155" fillId="0" borderId="18" xfId="0" applyFont="1" applyBorder="1" applyAlignment="1">
      <alignment horizontal="center" vertical="center"/>
    </xf>
    <xf numFmtId="0" fontId="156" fillId="0" borderId="18" xfId="0" applyFont="1" applyBorder="1" applyAlignment="1">
      <alignment horizontal="center" vertical="center"/>
    </xf>
    <xf numFmtId="0" fontId="181" fillId="0" borderId="18" xfId="0" applyFont="1" applyBorder="1" applyAlignment="1">
      <alignment horizontal="center" vertical="center"/>
    </xf>
    <xf numFmtId="0" fontId="157" fillId="0" borderId="18" xfId="0" applyFont="1" applyBorder="1" applyAlignment="1">
      <alignment horizontal="center" vertical="center"/>
    </xf>
    <xf numFmtId="0" fontId="34" fillId="0" borderId="0" xfId="632"/>
    <xf numFmtId="0" fontId="34" fillId="0" borderId="0" xfId="632" applyAlignment="1">
      <alignment horizontal="centerContinuous" vertical="center"/>
    </xf>
    <xf numFmtId="0" fontId="112" fillId="23" borderId="92" xfId="632" applyFont="1" applyFill="1" applyBorder="1" applyAlignment="1">
      <alignment horizontal="center" vertical="center" wrapText="1"/>
    </xf>
    <xf numFmtId="0" fontId="112" fillId="23" borderId="93" xfId="632" applyFont="1" applyFill="1" applyBorder="1" applyAlignment="1">
      <alignment horizontal="center" vertical="center"/>
    </xf>
    <xf numFmtId="0" fontId="112" fillId="23" borderId="94" xfId="632" applyFont="1" applyFill="1" applyBorder="1" applyAlignment="1">
      <alignment horizontal="center" vertical="center"/>
    </xf>
    <xf numFmtId="0" fontId="112" fillId="23" borderId="95" xfId="632" applyFont="1" applyFill="1" applyBorder="1" applyAlignment="1">
      <alignment horizontal="center" vertical="center"/>
    </xf>
    <xf numFmtId="0" fontId="112" fillId="23" borderId="96" xfId="632" applyFont="1" applyFill="1" applyBorder="1" applyAlignment="1">
      <alignment horizontal="center" vertical="center"/>
    </xf>
    <xf numFmtId="0" fontId="184" fillId="20" borderId="97" xfId="632" applyFont="1" applyFill="1" applyBorder="1" applyAlignment="1">
      <alignment horizontal="center" vertical="center"/>
    </xf>
    <xf numFmtId="0" fontId="184" fillId="20" borderId="102" xfId="632" applyFont="1" applyFill="1" applyBorder="1" applyAlignment="1">
      <alignment horizontal="center" vertical="center"/>
    </xf>
    <xf numFmtId="0" fontId="184" fillId="20" borderId="105" xfId="632" applyFont="1" applyFill="1" applyBorder="1" applyAlignment="1">
      <alignment horizontal="center" vertical="center"/>
    </xf>
    <xf numFmtId="0" fontId="112" fillId="23" borderId="92" xfId="632" applyFont="1" applyFill="1" applyBorder="1" applyAlignment="1">
      <alignment horizontal="center" vertical="center"/>
    </xf>
    <xf numFmtId="0" fontId="112" fillId="0" borderId="0" xfId="632" applyFont="1" applyAlignment="1">
      <alignment horizontal="center" vertical="center"/>
    </xf>
    <xf numFmtId="0" fontId="184" fillId="0" borderId="0" xfId="632" applyFont="1"/>
    <xf numFmtId="0" fontId="34" fillId="0" borderId="0" xfId="632" applyAlignment="1">
      <alignment horizontal="center"/>
    </xf>
    <xf numFmtId="0" fontId="168" fillId="0" borderId="0" xfId="632" applyFont="1" applyFill="1" applyBorder="1"/>
    <xf numFmtId="0" fontId="34" fillId="0" borderId="0" xfId="632" applyFont="1" applyFill="1" applyBorder="1"/>
    <xf numFmtId="3" fontId="34" fillId="20" borderId="98" xfId="632" applyNumberFormat="1" applyFill="1" applyBorder="1" applyAlignment="1">
      <alignment horizontal="right" vertical="center" indent="1"/>
    </xf>
    <xf numFmtId="3" fontId="34" fillId="20" borderId="99" xfId="632" applyNumberFormat="1" applyFill="1" applyBorder="1" applyAlignment="1">
      <alignment horizontal="right" vertical="center" indent="1"/>
    </xf>
    <xf numFmtId="3" fontId="34" fillId="20" borderId="100" xfId="632" applyNumberFormat="1" applyFill="1" applyBorder="1" applyAlignment="1">
      <alignment horizontal="right" vertical="center" indent="1"/>
    </xf>
    <xf numFmtId="3" fontId="34" fillId="20" borderId="101" xfId="632" applyNumberFormat="1" applyFill="1" applyBorder="1" applyAlignment="1">
      <alignment horizontal="right" vertical="center" indent="1"/>
    </xf>
    <xf numFmtId="3" fontId="34" fillId="20" borderId="103" xfId="632" applyNumberFormat="1" applyFill="1" applyBorder="1" applyAlignment="1">
      <alignment horizontal="right" vertical="center" indent="1"/>
    </xf>
    <xf numFmtId="3" fontId="34" fillId="20" borderId="21" xfId="632" applyNumberFormat="1" applyFill="1" applyBorder="1" applyAlignment="1">
      <alignment horizontal="right" vertical="center" indent="1"/>
    </xf>
    <xf numFmtId="3" fontId="34" fillId="20" borderId="16" xfId="632" applyNumberFormat="1" applyFill="1" applyBorder="1" applyAlignment="1">
      <alignment horizontal="right" vertical="center" indent="1"/>
    </xf>
    <xf numFmtId="3" fontId="34" fillId="20" borderId="104" xfId="632" applyNumberFormat="1" applyFill="1" applyBorder="1" applyAlignment="1">
      <alignment horizontal="right" vertical="center" indent="1"/>
    </xf>
    <xf numFmtId="3" fontId="34" fillId="20" borderId="106" xfId="632" applyNumberFormat="1" applyFill="1" applyBorder="1" applyAlignment="1">
      <alignment horizontal="right" vertical="center" indent="1"/>
    </xf>
    <xf numFmtId="3" fontId="34" fillId="20" borderId="107" xfId="632" applyNumberFormat="1" applyFill="1" applyBorder="1" applyAlignment="1">
      <alignment horizontal="right" vertical="center" indent="1"/>
    </xf>
    <xf numFmtId="3" fontId="34" fillId="20" borderId="108" xfId="632" applyNumberFormat="1" applyFill="1" applyBorder="1" applyAlignment="1">
      <alignment horizontal="right" vertical="center" indent="1"/>
    </xf>
    <xf numFmtId="3" fontId="34" fillId="20" borderId="109" xfId="632" applyNumberFormat="1" applyFill="1" applyBorder="1" applyAlignment="1">
      <alignment horizontal="right" vertical="center" indent="1"/>
    </xf>
    <xf numFmtId="3" fontId="34" fillId="0" borderId="0" xfId="632" applyNumberFormat="1" applyAlignment="1">
      <alignment horizontal="right" indent="1"/>
    </xf>
    <xf numFmtId="3" fontId="112" fillId="23" borderId="93" xfId="633" applyNumberFormat="1" applyFont="1" applyFill="1" applyBorder="1" applyAlignment="1">
      <alignment horizontal="right" vertical="center" indent="1"/>
    </xf>
    <xf numFmtId="3" fontId="112" fillId="23" borderId="94" xfId="633" applyNumberFormat="1" applyFont="1" applyFill="1" applyBorder="1" applyAlignment="1">
      <alignment horizontal="right" vertical="center" indent="1"/>
    </xf>
    <xf numFmtId="3" fontId="112" fillId="23" borderId="96" xfId="633" applyNumberFormat="1" applyFont="1" applyFill="1" applyBorder="1" applyAlignment="1">
      <alignment horizontal="right" vertical="center" indent="1"/>
    </xf>
    <xf numFmtId="0" fontId="120" fillId="0" borderId="0" xfId="464" applyFont="1" applyAlignment="1">
      <alignment vertical="center"/>
    </xf>
    <xf numFmtId="0" fontId="38" fillId="0" borderId="25" xfId="464" applyFont="1" applyBorder="1" applyAlignment="1">
      <alignment horizontal="center" vertical="center"/>
    </xf>
    <xf numFmtId="0" fontId="38" fillId="0" borderId="40" xfId="464" applyFont="1" applyBorder="1" applyAlignment="1">
      <alignment horizontal="center" vertical="center"/>
    </xf>
    <xf numFmtId="0" fontId="38" fillId="0" borderId="26" xfId="464" applyFont="1" applyBorder="1" applyAlignment="1">
      <alignment horizontal="center" vertical="center"/>
    </xf>
    <xf numFmtId="0" fontId="38" fillId="0" borderId="41" xfId="464" applyFont="1" applyBorder="1" applyAlignment="1">
      <alignment horizontal="center" vertical="center"/>
    </xf>
    <xf numFmtId="0" fontId="38" fillId="0" borderId="0" xfId="464" applyFont="1" applyBorder="1" applyAlignment="1">
      <alignment vertical="center"/>
    </xf>
    <xf numFmtId="0" fontId="38" fillId="0" borderId="27" xfId="464" applyFont="1" applyBorder="1" applyAlignment="1">
      <alignment horizontal="center" vertical="center"/>
    </xf>
    <xf numFmtId="0" fontId="38" fillId="0" borderId="42" xfId="464" applyFont="1" applyBorder="1" applyAlignment="1">
      <alignment horizontal="center" vertical="center"/>
    </xf>
    <xf numFmtId="0" fontId="139" fillId="32" borderId="13" xfId="0" applyFont="1" applyFill="1" applyBorder="1" applyAlignment="1">
      <alignment horizontal="center" vertical="center" wrapText="1"/>
    </xf>
    <xf numFmtId="0" fontId="139" fillId="32" borderId="14" xfId="0" applyFont="1" applyFill="1" applyBorder="1" applyAlignment="1">
      <alignment horizontal="center" vertical="center" wrapText="1"/>
    </xf>
    <xf numFmtId="0" fontId="139" fillId="32" borderId="10" xfId="0" applyFont="1" applyFill="1" applyBorder="1" applyAlignment="1">
      <alignment horizontal="center" vertical="center" wrapText="1"/>
    </xf>
    <xf numFmtId="0" fontId="116" fillId="0" borderId="24" xfId="0" applyFont="1" applyFill="1" applyBorder="1" applyAlignment="1">
      <alignment horizontal="center" vertical="center"/>
    </xf>
    <xf numFmtId="0" fontId="98" fillId="0" borderId="0" xfId="73" applyFont="1" applyBorder="1" applyAlignment="1">
      <alignment vertical="center"/>
    </xf>
    <xf numFmtId="0" fontId="117" fillId="23" borderId="15" xfId="0" applyFont="1" applyFill="1" applyBorder="1" applyAlignment="1">
      <alignment horizontal="center" vertical="center"/>
    </xf>
    <xf numFmtId="0" fontId="117" fillId="23" borderId="19" xfId="0" applyFont="1" applyFill="1" applyBorder="1" applyAlignment="1">
      <alignment horizontal="center" vertical="center"/>
    </xf>
    <xf numFmtId="0" fontId="117" fillId="23" borderId="18" xfId="0" applyFont="1" applyFill="1" applyBorder="1" applyAlignment="1">
      <alignment horizontal="center" vertical="center"/>
    </xf>
    <xf numFmtId="0" fontId="146" fillId="23" borderId="19" xfId="0" applyFont="1" applyFill="1" applyBorder="1" applyAlignment="1">
      <alignment horizontal="center" vertical="center"/>
    </xf>
    <xf numFmtId="0" fontId="65" fillId="0" borderId="23" xfId="0" applyFont="1" applyFill="1" applyBorder="1" applyAlignment="1">
      <alignment horizontal="center" vertical="center" wrapText="1"/>
    </xf>
    <xf numFmtId="0" fontId="33" fillId="0" borderId="0" xfId="635"/>
    <xf numFmtId="0" fontId="33" fillId="0" borderId="0" xfId="635" applyAlignment="1">
      <alignment horizontal="centerContinuous" vertical="center"/>
    </xf>
    <xf numFmtId="0" fontId="112" fillId="23" borderId="92" xfId="635" applyFont="1" applyFill="1" applyBorder="1" applyAlignment="1">
      <alignment horizontal="center" vertical="center" wrapText="1"/>
    </xf>
    <xf numFmtId="0" fontId="184" fillId="0" borderId="0" xfId="635" applyFont="1"/>
    <xf numFmtId="0" fontId="112" fillId="23" borderId="93" xfId="635" applyFont="1" applyFill="1" applyBorder="1" applyAlignment="1">
      <alignment horizontal="center" vertical="center"/>
    </xf>
    <xf numFmtId="0" fontId="112" fillId="23" borderId="94" xfId="635" applyFont="1" applyFill="1" applyBorder="1" applyAlignment="1">
      <alignment horizontal="center" vertical="center"/>
    </xf>
    <xf numFmtId="0" fontId="112" fillId="23" borderId="96" xfId="635" applyFont="1" applyFill="1" applyBorder="1" applyAlignment="1">
      <alignment horizontal="center" vertical="center"/>
    </xf>
    <xf numFmtId="0" fontId="184" fillId="20" borderId="97" xfId="635" applyFont="1" applyFill="1" applyBorder="1" applyAlignment="1">
      <alignment horizontal="center" vertical="center"/>
    </xf>
    <xf numFmtId="0" fontId="33" fillId="20" borderId="98" xfId="635" applyFill="1" applyBorder="1" applyAlignment="1">
      <alignment horizontal="center" vertical="center"/>
    </xf>
    <xf numFmtId="0" fontId="33" fillId="20" borderId="99" xfId="635" applyFill="1" applyBorder="1" applyAlignment="1">
      <alignment horizontal="center" vertical="center"/>
    </xf>
    <xf numFmtId="0" fontId="33" fillId="20" borderId="100" xfId="635" applyFill="1" applyBorder="1" applyAlignment="1">
      <alignment horizontal="center" vertical="center"/>
    </xf>
    <xf numFmtId="0" fontId="33" fillId="20" borderId="101" xfId="635" applyFill="1" applyBorder="1" applyAlignment="1">
      <alignment horizontal="center" vertical="center"/>
    </xf>
    <xf numFmtId="0" fontId="184" fillId="20" borderId="102" xfId="635" applyFont="1" applyFill="1" applyBorder="1" applyAlignment="1">
      <alignment horizontal="center" vertical="center"/>
    </xf>
    <xf numFmtId="0" fontId="33" fillId="20" borderId="103" xfId="635" applyFill="1" applyBorder="1" applyAlignment="1">
      <alignment horizontal="center" vertical="center"/>
    </xf>
    <xf numFmtId="0" fontId="33" fillId="20" borderId="21" xfId="635" applyFill="1" applyBorder="1" applyAlignment="1">
      <alignment horizontal="center" vertical="center"/>
    </xf>
    <xf numFmtId="0" fontId="33" fillId="20" borderId="16" xfId="635" applyFill="1" applyBorder="1" applyAlignment="1">
      <alignment horizontal="center" vertical="center"/>
    </xf>
    <xf numFmtId="0" fontId="33" fillId="20" borderId="104" xfId="635" applyFill="1" applyBorder="1" applyAlignment="1">
      <alignment horizontal="center" vertical="center"/>
    </xf>
    <xf numFmtId="0" fontId="184" fillId="20" borderId="105" xfId="635" applyFont="1" applyFill="1" applyBorder="1" applyAlignment="1">
      <alignment horizontal="center" vertical="center"/>
    </xf>
    <xf numFmtId="0" fontId="33" fillId="20" borderId="106" xfId="635" applyFill="1" applyBorder="1" applyAlignment="1">
      <alignment horizontal="center" vertical="center"/>
    </xf>
    <xf numFmtId="0" fontId="33" fillId="20" borderId="107" xfId="635" applyFill="1" applyBorder="1" applyAlignment="1">
      <alignment horizontal="center" vertical="center"/>
    </xf>
    <xf numFmtId="0" fontId="33" fillId="20" borderId="108" xfId="635" applyFill="1" applyBorder="1" applyAlignment="1">
      <alignment horizontal="center" vertical="center"/>
    </xf>
    <xf numFmtId="0" fontId="33" fillId="20" borderId="109" xfId="635" applyFill="1" applyBorder="1" applyAlignment="1">
      <alignment horizontal="center" vertical="center"/>
    </xf>
    <xf numFmtId="0" fontId="112" fillId="23" borderId="92" xfId="635" applyFont="1" applyFill="1" applyBorder="1" applyAlignment="1">
      <alignment horizontal="center" vertical="center"/>
    </xf>
    <xf numFmtId="165" fontId="112" fillId="23" borderId="93" xfId="636" applyNumberFormat="1" applyFont="1" applyFill="1" applyBorder="1" applyAlignment="1">
      <alignment horizontal="center" vertical="center"/>
    </xf>
    <xf numFmtId="165" fontId="112" fillId="23" borderId="94" xfId="636" applyNumberFormat="1" applyFont="1" applyFill="1" applyBorder="1" applyAlignment="1">
      <alignment horizontal="center" vertical="center"/>
    </xf>
    <xf numFmtId="165" fontId="112" fillId="23" borderId="96" xfId="636" applyNumberFormat="1" applyFont="1" applyFill="1" applyBorder="1" applyAlignment="1">
      <alignment horizontal="center" vertical="center"/>
    </xf>
    <xf numFmtId="0" fontId="112" fillId="0" borderId="0" xfId="635" applyFont="1" applyAlignment="1">
      <alignment horizontal="center" vertical="center"/>
    </xf>
    <xf numFmtId="0" fontId="168" fillId="0" borderId="0" xfId="635" applyFont="1"/>
    <xf numFmtId="3" fontId="33" fillId="20" borderId="98" xfId="635" applyNumberFormat="1" applyFill="1" applyBorder="1" applyAlignment="1">
      <alignment horizontal="center" vertical="center"/>
    </xf>
    <xf numFmtId="3" fontId="33" fillId="20" borderId="99" xfId="635" applyNumberFormat="1" applyFill="1" applyBorder="1" applyAlignment="1">
      <alignment horizontal="center" vertical="center"/>
    </xf>
    <xf numFmtId="3" fontId="33" fillId="20" borderId="100" xfId="635" applyNumberFormat="1" applyFill="1" applyBorder="1" applyAlignment="1">
      <alignment horizontal="center" vertical="center"/>
    </xf>
    <xf numFmtId="3" fontId="33" fillId="20" borderId="101" xfId="635" applyNumberFormat="1" applyFill="1" applyBorder="1" applyAlignment="1">
      <alignment horizontal="center" vertical="center"/>
    </xf>
    <xf numFmtId="3" fontId="33" fillId="20" borderId="103" xfId="635" applyNumberFormat="1" applyFill="1" applyBorder="1" applyAlignment="1">
      <alignment horizontal="center" vertical="center"/>
    </xf>
    <xf numFmtId="3" fontId="33" fillId="20" borderId="21" xfId="635" applyNumberFormat="1" applyFill="1" applyBorder="1" applyAlignment="1">
      <alignment horizontal="center" vertical="center"/>
    </xf>
    <xf numFmtId="3" fontId="33" fillId="20" borderId="16" xfId="635" applyNumberFormat="1" applyFill="1" applyBorder="1" applyAlignment="1">
      <alignment horizontal="center" vertical="center"/>
    </xf>
    <xf numFmtId="3" fontId="33" fillId="20" borderId="104" xfId="635" applyNumberFormat="1" applyFill="1" applyBorder="1" applyAlignment="1">
      <alignment horizontal="center" vertical="center"/>
    </xf>
    <xf numFmtId="3" fontId="33" fillId="20" borderId="106" xfId="635" applyNumberFormat="1" applyFill="1" applyBorder="1" applyAlignment="1">
      <alignment horizontal="center" vertical="center"/>
    </xf>
    <xf numFmtId="3" fontId="33" fillId="20" borderId="107" xfId="635" applyNumberFormat="1" applyFill="1" applyBorder="1" applyAlignment="1">
      <alignment horizontal="center" vertical="center"/>
    </xf>
    <xf numFmtId="3" fontId="33" fillId="20" borderId="108" xfId="635" applyNumberFormat="1" applyFill="1" applyBorder="1" applyAlignment="1">
      <alignment horizontal="center" vertical="center"/>
    </xf>
    <xf numFmtId="3" fontId="33" fillId="20" borderId="109" xfId="635" applyNumberFormat="1" applyFill="1" applyBorder="1" applyAlignment="1">
      <alignment horizontal="center" vertical="center"/>
    </xf>
    <xf numFmtId="0" fontId="116" fillId="0" borderId="23" xfId="638" applyFont="1" applyFill="1" applyBorder="1" applyAlignment="1">
      <alignment horizontal="center" vertical="center" wrapText="1"/>
    </xf>
    <xf numFmtId="0" fontId="117" fillId="0" borderId="0" xfId="638" applyFont="1" applyAlignment="1">
      <alignment vertical="center"/>
    </xf>
    <xf numFmtId="0" fontId="117" fillId="0" borderId="25" xfId="638" applyFont="1" applyFill="1" applyBorder="1" applyAlignment="1">
      <alignment horizontal="center" vertical="center"/>
    </xf>
    <xf numFmtId="0" fontId="117" fillId="0" borderId="25" xfId="638" applyFont="1" applyFill="1" applyBorder="1" applyAlignment="1">
      <alignment horizontal="right" vertical="center" indent="1"/>
    </xf>
    <xf numFmtId="0" fontId="117" fillId="0" borderId="35" xfId="638" applyFont="1" applyFill="1" applyBorder="1" applyAlignment="1">
      <alignment horizontal="right" vertical="center" indent="1"/>
    </xf>
    <xf numFmtId="0" fontId="117" fillId="0" borderId="40" xfId="638" applyFont="1" applyFill="1" applyBorder="1" applyAlignment="1">
      <alignment horizontal="right" vertical="center" indent="1"/>
    </xf>
    <xf numFmtId="3" fontId="117" fillId="0" borderId="25" xfId="638" applyNumberFormat="1" applyFont="1" applyFill="1" applyBorder="1" applyAlignment="1">
      <alignment horizontal="right" vertical="center" indent="1"/>
    </xf>
    <xf numFmtId="3" fontId="117" fillId="0" borderId="35" xfId="638" applyNumberFormat="1" applyFont="1" applyFill="1" applyBorder="1" applyAlignment="1">
      <alignment horizontal="right" vertical="center" indent="1"/>
    </xf>
    <xf numFmtId="3" fontId="117" fillId="0" borderId="40" xfId="638" applyNumberFormat="1" applyFont="1" applyFill="1" applyBorder="1" applyAlignment="1">
      <alignment horizontal="right" vertical="center" indent="1"/>
    </xf>
    <xf numFmtId="3" fontId="117" fillId="0" borderId="35" xfId="635" applyNumberFormat="1" applyFont="1" applyFill="1" applyBorder="1" applyAlignment="1">
      <alignment horizontal="right" vertical="center" indent="1"/>
    </xf>
    <xf numFmtId="3" fontId="117" fillId="0" borderId="40" xfId="635" applyNumberFormat="1" applyFont="1" applyFill="1" applyBorder="1" applyAlignment="1">
      <alignment horizontal="right" vertical="center" indent="1"/>
    </xf>
    <xf numFmtId="0" fontId="117" fillId="0" borderId="26" xfId="638" applyFont="1" applyFill="1" applyBorder="1" applyAlignment="1">
      <alignment horizontal="center" vertical="center"/>
    </xf>
    <xf numFmtId="0" fontId="117" fillId="0" borderId="26" xfId="638" applyFont="1" applyFill="1" applyBorder="1" applyAlignment="1">
      <alignment horizontal="right" vertical="center" indent="1"/>
    </xf>
    <xf numFmtId="0" fontId="117" fillId="0" borderId="36" xfId="638" applyFont="1" applyFill="1" applyBorder="1" applyAlignment="1">
      <alignment horizontal="right" vertical="center" indent="1"/>
    </xf>
    <xf numFmtId="0" fontId="117" fillId="0" borderId="41" xfId="638" applyFont="1" applyFill="1" applyBorder="1" applyAlignment="1">
      <alignment horizontal="right" vertical="center" indent="1"/>
    </xf>
    <xf numFmtId="3" fontId="117" fillId="0" borderId="26" xfId="638" applyNumberFormat="1" applyFont="1" applyFill="1" applyBorder="1" applyAlignment="1">
      <alignment horizontal="right" vertical="center" indent="1"/>
    </xf>
    <xf numFmtId="3" fontId="117" fillId="0" borderId="36" xfId="638" applyNumberFormat="1" applyFont="1" applyFill="1" applyBorder="1" applyAlignment="1">
      <alignment horizontal="right" vertical="center" indent="1"/>
    </xf>
    <xf numFmtId="3" fontId="117" fillId="0" borderId="41" xfId="638" applyNumberFormat="1" applyFont="1" applyFill="1" applyBorder="1" applyAlignment="1">
      <alignment horizontal="right" vertical="center" indent="1"/>
    </xf>
    <xf numFmtId="3" fontId="117" fillId="0" borderId="36" xfId="635" applyNumberFormat="1" applyFont="1" applyFill="1" applyBorder="1" applyAlignment="1">
      <alignment horizontal="right" vertical="center" indent="1"/>
    </xf>
    <xf numFmtId="3" fontId="117" fillId="0" borderId="41" xfId="635" applyNumberFormat="1" applyFont="1" applyFill="1" applyBorder="1" applyAlignment="1">
      <alignment horizontal="right" vertical="center" indent="1"/>
    </xf>
    <xf numFmtId="0" fontId="126" fillId="0" borderId="0" xfId="639" applyFont="1" applyFill="1" applyBorder="1" applyAlignment="1">
      <alignment horizontal="center" vertical="center"/>
    </xf>
    <xf numFmtId="0" fontId="117" fillId="0" borderId="0" xfId="638" applyFont="1"/>
    <xf numFmtId="0" fontId="117" fillId="0" borderId="0" xfId="638" applyFont="1" applyAlignment="1">
      <alignment horizontal="right" indent="1"/>
    </xf>
    <xf numFmtId="0" fontId="33" fillId="0" borderId="0" xfId="635" applyAlignment="1">
      <alignment horizontal="right" indent="1"/>
    </xf>
    <xf numFmtId="0" fontId="117" fillId="0" borderId="30" xfId="638" applyFont="1" applyFill="1" applyBorder="1" applyAlignment="1">
      <alignment horizontal="center" vertical="center"/>
    </xf>
    <xf numFmtId="0" fontId="117" fillId="0" borderId="31" xfId="638" applyFont="1" applyFill="1" applyBorder="1" applyAlignment="1">
      <alignment horizontal="center" vertical="center"/>
    </xf>
    <xf numFmtId="0" fontId="117" fillId="0" borderId="32" xfId="638" applyFont="1" applyFill="1" applyBorder="1" applyAlignment="1">
      <alignment horizontal="center" vertical="center"/>
    </xf>
    <xf numFmtId="3" fontId="117" fillId="0" borderId="29" xfId="638" applyNumberFormat="1" applyFont="1" applyFill="1" applyBorder="1" applyAlignment="1">
      <alignment horizontal="right" vertical="center" indent="1"/>
    </xf>
    <xf numFmtId="3" fontId="117" fillId="0" borderId="39" xfId="638" applyNumberFormat="1" applyFont="1" applyFill="1" applyBorder="1" applyAlignment="1">
      <alignment horizontal="right" vertical="center" indent="1"/>
    </xf>
    <xf numFmtId="3" fontId="117" fillId="0" borderId="44" xfId="638" applyNumberFormat="1" applyFont="1" applyFill="1" applyBorder="1" applyAlignment="1">
      <alignment horizontal="right" vertical="center" indent="1"/>
    </xf>
    <xf numFmtId="3" fontId="117" fillId="0" borderId="39" xfId="635" applyNumberFormat="1" applyFont="1" applyFill="1" applyBorder="1" applyAlignment="1">
      <alignment horizontal="right" vertical="center" indent="1"/>
    </xf>
    <xf numFmtId="3" fontId="117" fillId="0" borderId="44" xfId="635" applyNumberFormat="1" applyFont="1" applyFill="1" applyBorder="1" applyAlignment="1">
      <alignment horizontal="right" vertical="center" indent="1"/>
    </xf>
    <xf numFmtId="0" fontId="116" fillId="23" borderId="18" xfId="638" applyFont="1" applyFill="1" applyBorder="1" applyAlignment="1">
      <alignment horizontal="center" vertical="center"/>
    </xf>
    <xf numFmtId="0" fontId="116" fillId="23" borderId="13" xfId="638" applyFont="1" applyFill="1" applyBorder="1" applyAlignment="1">
      <alignment horizontal="right" vertical="center" indent="1"/>
    </xf>
    <xf numFmtId="0" fontId="116" fillId="23" borderId="14" xfId="638" applyFont="1" applyFill="1" applyBorder="1" applyAlignment="1">
      <alignment horizontal="right" vertical="center" indent="1"/>
    </xf>
    <xf numFmtId="0" fontId="116" fillId="23" borderId="10" xfId="638" applyFont="1" applyFill="1" applyBorder="1" applyAlignment="1">
      <alignment horizontal="right" vertical="center" indent="1"/>
    </xf>
    <xf numFmtId="3" fontId="116" fillId="23" borderId="14" xfId="638" applyNumberFormat="1" applyFont="1" applyFill="1" applyBorder="1" applyAlignment="1">
      <alignment horizontal="right" vertical="center" indent="1"/>
    </xf>
    <xf numFmtId="3" fontId="116" fillId="23" borderId="13" xfId="638" applyNumberFormat="1" applyFont="1" applyFill="1" applyBorder="1" applyAlignment="1">
      <alignment horizontal="right" vertical="center" indent="1"/>
    </xf>
    <xf numFmtId="3" fontId="116" fillId="23" borderId="10" xfId="638" applyNumberFormat="1" applyFont="1" applyFill="1" applyBorder="1" applyAlignment="1">
      <alignment horizontal="right" vertical="center" indent="1"/>
    </xf>
    <xf numFmtId="3" fontId="116" fillId="23" borderId="14" xfId="635" applyNumberFormat="1" applyFont="1" applyFill="1" applyBorder="1" applyAlignment="1">
      <alignment horizontal="right" vertical="center" indent="1"/>
    </xf>
    <xf numFmtId="3" fontId="116" fillId="23" borderId="10" xfId="635" applyNumberFormat="1" applyFont="1" applyFill="1" applyBorder="1" applyAlignment="1">
      <alignment horizontal="right" vertical="center" indent="1"/>
    </xf>
    <xf numFmtId="0" fontId="117" fillId="0" borderId="30" xfId="635" applyFont="1" applyFill="1" applyBorder="1" applyAlignment="1">
      <alignment horizontal="center" vertical="center"/>
    </xf>
    <xf numFmtId="0" fontId="117" fillId="0" borderId="25" xfId="635" applyFont="1" applyFill="1" applyBorder="1" applyAlignment="1">
      <alignment horizontal="right" vertical="center" indent="1"/>
    </xf>
    <xf numFmtId="0" fontId="117" fillId="0" borderId="35" xfId="635" applyFont="1" applyFill="1" applyBorder="1" applyAlignment="1">
      <alignment horizontal="right" vertical="center" indent="1"/>
    </xf>
    <xf numFmtId="0" fontId="117" fillId="0" borderId="40" xfId="635" applyFont="1" applyFill="1" applyBorder="1" applyAlignment="1">
      <alignment horizontal="right" vertical="center" indent="1"/>
    </xf>
    <xf numFmtId="3" fontId="117" fillId="0" borderId="25" xfId="635" applyNumberFormat="1" applyFont="1" applyFill="1" applyBorder="1" applyAlignment="1">
      <alignment horizontal="right" vertical="center" indent="1"/>
    </xf>
    <xf numFmtId="0" fontId="117" fillId="0" borderId="31" xfId="635" applyFont="1" applyFill="1" applyBorder="1" applyAlignment="1">
      <alignment horizontal="center" vertical="center"/>
    </xf>
    <xf numFmtId="0" fontId="117" fillId="0" borderId="26" xfId="635" applyFont="1" applyFill="1" applyBorder="1" applyAlignment="1">
      <alignment horizontal="right" vertical="center" indent="1"/>
    </xf>
    <xf numFmtId="0" fontId="117" fillId="0" borderId="36" xfId="635" applyFont="1" applyFill="1" applyBorder="1" applyAlignment="1">
      <alignment horizontal="right" vertical="center" indent="1"/>
    </xf>
    <xf numFmtId="0" fontId="117" fillId="0" borderId="41" xfId="635" applyFont="1" applyFill="1" applyBorder="1" applyAlignment="1">
      <alignment horizontal="right" vertical="center" indent="1"/>
    </xf>
    <xf numFmtId="3" fontId="117" fillId="0" borderId="26" xfId="635" applyNumberFormat="1" applyFont="1" applyFill="1" applyBorder="1" applyAlignment="1">
      <alignment horizontal="right" vertical="center" indent="1"/>
    </xf>
    <xf numFmtId="0" fontId="186" fillId="0" borderId="16" xfId="639" applyFont="1" applyFill="1" applyBorder="1" applyAlignment="1">
      <alignment horizontal="center" vertical="center"/>
    </xf>
    <xf numFmtId="0" fontId="117" fillId="0" borderId="34" xfId="635" applyFont="1" applyFill="1" applyBorder="1" applyAlignment="1">
      <alignment horizontal="center" vertical="center"/>
    </xf>
    <xf numFmtId="3" fontId="117" fillId="0" borderId="29" xfId="635" applyNumberFormat="1" applyFont="1" applyFill="1" applyBorder="1" applyAlignment="1">
      <alignment horizontal="right" vertical="center" indent="1"/>
    </xf>
    <xf numFmtId="0" fontId="116" fillId="23" borderId="18" xfId="635" applyFont="1" applyFill="1" applyBorder="1" applyAlignment="1">
      <alignment horizontal="center" vertical="center"/>
    </xf>
    <xf numFmtId="0" fontId="116" fillId="23" borderId="13" xfId="635" applyFont="1" applyFill="1" applyBorder="1" applyAlignment="1">
      <alignment horizontal="right" vertical="center" indent="1"/>
    </xf>
    <xf numFmtId="0" fontId="116" fillId="23" borderId="14" xfId="635" applyFont="1" applyFill="1" applyBorder="1" applyAlignment="1">
      <alignment horizontal="right" vertical="center" indent="1"/>
    </xf>
    <xf numFmtId="0" fontId="116" fillId="23" borderId="10" xfId="635" applyFont="1" applyFill="1" applyBorder="1" applyAlignment="1">
      <alignment horizontal="right" vertical="center" indent="1"/>
    </xf>
    <xf numFmtId="3" fontId="116" fillId="23" borderId="13" xfId="635" applyNumberFormat="1" applyFont="1" applyFill="1" applyBorder="1" applyAlignment="1">
      <alignment horizontal="right" vertical="center" indent="1"/>
    </xf>
    <xf numFmtId="0" fontId="33" fillId="0" borderId="0" xfId="635" applyFill="1"/>
    <xf numFmtId="0" fontId="117" fillId="0" borderId="0" xfId="635" applyFont="1" applyAlignment="1">
      <alignment vertical="center"/>
    </xf>
    <xf numFmtId="0" fontId="117" fillId="0" borderId="21" xfId="635" applyFont="1" applyFill="1" applyBorder="1" applyAlignment="1">
      <alignment horizontal="center" vertical="center"/>
    </xf>
    <xf numFmtId="3" fontId="117" fillId="0" borderId="16" xfId="635" applyNumberFormat="1" applyFont="1" applyFill="1" applyBorder="1" applyAlignment="1">
      <alignment horizontal="right" vertical="center" indent="1"/>
    </xf>
    <xf numFmtId="3" fontId="117" fillId="0" borderId="0" xfId="635" applyNumberFormat="1" applyFont="1" applyFill="1" applyBorder="1" applyAlignment="1">
      <alignment horizontal="right" vertical="center" indent="1"/>
    </xf>
    <xf numFmtId="0" fontId="132" fillId="23" borderId="18" xfId="638" applyFont="1" applyFill="1" applyBorder="1" applyAlignment="1">
      <alignment horizontal="center" vertical="center" wrapText="1"/>
    </xf>
    <xf numFmtId="0" fontId="61" fillId="0" borderId="0" xfId="73" applyFont="1" applyAlignment="1">
      <alignment horizontal="left" vertical="center"/>
    </xf>
    <xf numFmtId="0" fontId="116" fillId="23" borderId="10" xfId="0" applyFont="1" applyFill="1" applyBorder="1" applyAlignment="1">
      <alignment horizontal="center" vertical="center" wrapText="1"/>
    </xf>
    <xf numFmtId="0" fontId="116" fillId="23" borderId="18" xfId="48" applyFont="1" applyFill="1" applyBorder="1" applyAlignment="1">
      <alignment horizontal="center" vertical="center" wrapText="1"/>
    </xf>
    <xf numFmtId="3" fontId="116" fillId="0" borderId="37" xfId="66" applyNumberFormat="1" applyFont="1" applyBorder="1" applyAlignment="1">
      <alignment horizontal="right" vertical="center" indent="1"/>
    </xf>
    <xf numFmtId="0" fontId="63" fillId="0" borderId="0" xfId="48" applyFont="1" applyFill="1" applyBorder="1" applyAlignment="1">
      <alignment horizontal="left" vertical="center"/>
    </xf>
    <xf numFmtId="0" fontId="61" fillId="0" borderId="0" xfId="66" applyFont="1" applyFill="1" applyBorder="1" applyAlignment="1">
      <alignment horizontal="center" vertical="center"/>
    </xf>
    <xf numFmtId="0" fontId="58" fillId="0" borderId="0" xfId="0" applyFont="1" applyBorder="1" applyAlignment="1">
      <alignment vertical="center"/>
    </xf>
    <xf numFmtId="0" fontId="157" fillId="0" borderId="21" xfId="66" applyFont="1" applyFill="1" applyBorder="1" applyAlignment="1">
      <alignment horizontal="center" vertical="center"/>
    </xf>
    <xf numFmtId="3" fontId="117" fillId="23" borderId="27" xfId="66" applyNumberFormat="1" applyFont="1" applyFill="1" applyBorder="1" applyAlignment="1">
      <alignment horizontal="center" vertical="center"/>
    </xf>
    <xf numFmtId="3" fontId="117" fillId="23" borderId="37" xfId="66" applyNumberFormat="1" applyFont="1" applyFill="1" applyBorder="1" applyAlignment="1">
      <alignment horizontal="center" vertical="center"/>
    </xf>
    <xf numFmtId="3" fontId="116" fillId="23" borderId="42" xfId="66" applyNumberFormat="1" applyFont="1" applyFill="1" applyBorder="1" applyAlignment="1">
      <alignment horizontal="center" vertical="center"/>
    </xf>
    <xf numFmtId="3" fontId="117" fillId="23" borderId="42" xfId="66" applyNumberFormat="1" applyFont="1" applyFill="1" applyBorder="1" applyAlignment="1">
      <alignment horizontal="center" vertical="center"/>
    </xf>
    <xf numFmtId="3" fontId="117" fillId="0" borderId="38" xfId="66" applyNumberFormat="1" applyFont="1" applyFill="1" applyBorder="1" applyAlignment="1" applyProtection="1">
      <alignment horizontal="center" vertical="center"/>
      <protection locked="0"/>
    </xf>
    <xf numFmtId="3" fontId="117" fillId="0" borderId="36" xfId="66" applyNumberFormat="1" applyFont="1" applyFill="1" applyBorder="1" applyAlignment="1" applyProtection="1">
      <alignment horizontal="center" vertical="center"/>
      <protection locked="0"/>
    </xf>
    <xf numFmtId="3" fontId="117" fillId="0" borderId="26" xfId="66" applyNumberFormat="1" applyFont="1" applyFill="1" applyBorder="1" applyAlignment="1" applyProtection="1">
      <alignment horizontal="center" vertical="center"/>
      <protection locked="0"/>
    </xf>
    <xf numFmtId="3" fontId="117" fillId="0" borderId="29" xfId="66" applyNumberFormat="1" applyFont="1" applyFill="1" applyBorder="1" applyAlignment="1" applyProtection="1">
      <alignment horizontal="center" vertical="center"/>
      <protection locked="0"/>
    </xf>
    <xf numFmtId="3" fontId="117" fillId="0" borderId="39" xfId="66" applyNumberFormat="1" applyFont="1" applyFill="1" applyBorder="1" applyAlignment="1" applyProtection="1">
      <alignment horizontal="center" vertical="center"/>
      <protection locked="0"/>
    </xf>
    <xf numFmtId="3" fontId="117" fillId="0" borderId="25" xfId="66" applyNumberFormat="1" applyFont="1" applyFill="1" applyBorder="1" applyAlignment="1" applyProtection="1">
      <alignment horizontal="center" vertical="center"/>
      <protection locked="0"/>
    </xf>
    <xf numFmtId="3" fontId="117" fillId="0" borderId="35" xfId="66" applyNumberFormat="1" applyFont="1" applyFill="1" applyBorder="1" applyAlignment="1" applyProtection="1">
      <alignment horizontal="center" vertical="center"/>
      <protection locked="0"/>
    </xf>
    <xf numFmtId="3" fontId="117" fillId="0" borderId="36" xfId="66" applyNumberFormat="1" applyFont="1" applyBorder="1" applyAlignment="1">
      <alignment horizontal="center"/>
    </xf>
    <xf numFmtId="3" fontId="117" fillId="0" borderId="36" xfId="66" applyNumberFormat="1" applyFont="1" applyFill="1" applyBorder="1" applyAlignment="1">
      <alignment vertical="center"/>
    </xf>
    <xf numFmtId="3" fontId="117" fillId="0" borderId="36" xfId="66" applyNumberFormat="1" applyFont="1" applyFill="1" applyBorder="1" applyAlignment="1">
      <alignment horizontal="center"/>
    </xf>
    <xf numFmtId="3" fontId="117" fillId="0" borderId="39" xfId="66" applyNumberFormat="1" applyFont="1" applyFill="1" applyBorder="1" applyAlignment="1">
      <alignment horizontal="center"/>
    </xf>
    <xf numFmtId="3" fontId="117" fillId="0" borderId="35" xfId="66" applyNumberFormat="1" applyFont="1" applyFill="1" applyBorder="1" applyAlignment="1">
      <alignment horizontal="center"/>
    </xf>
    <xf numFmtId="3" fontId="117" fillId="0" borderId="25" xfId="66" applyNumberFormat="1" applyFont="1" applyBorder="1" applyAlignment="1">
      <alignment horizontal="center"/>
    </xf>
    <xf numFmtId="3" fontId="117" fillId="0" borderId="35" xfId="66" applyNumberFormat="1" applyFont="1" applyBorder="1" applyAlignment="1">
      <alignment horizontal="center"/>
    </xf>
    <xf numFmtId="3" fontId="117" fillId="0" borderId="29" xfId="66" applyNumberFormat="1" applyFont="1" applyBorder="1" applyAlignment="1">
      <alignment horizontal="center"/>
    </xf>
    <xf numFmtId="3" fontId="117" fillId="0" borderId="39" xfId="66" applyNumberFormat="1" applyFont="1" applyBorder="1" applyAlignment="1">
      <alignment horizontal="center"/>
    </xf>
    <xf numFmtId="3" fontId="117" fillId="0" borderId="28" xfId="66" applyNumberFormat="1" applyFont="1" applyFill="1" applyBorder="1" applyAlignment="1" applyProtection="1">
      <alignment horizontal="center" vertical="center"/>
      <protection locked="0"/>
    </xf>
    <xf numFmtId="3" fontId="40" fillId="0" borderId="36" xfId="66" applyNumberFormat="1" applyFont="1" applyFill="1" applyBorder="1" applyAlignment="1">
      <alignment horizontal="center"/>
    </xf>
    <xf numFmtId="3" fontId="117" fillId="23" borderId="20" xfId="66" applyNumberFormat="1" applyFont="1" applyFill="1" applyBorder="1" applyAlignment="1" applyProtection="1">
      <alignment horizontal="center" vertical="center"/>
      <protection locked="0"/>
    </xf>
    <xf numFmtId="3" fontId="117" fillId="23" borderId="24" xfId="66" applyNumberFormat="1" applyFont="1" applyFill="1" applyBorder="1" applyAlignment="1" applyProtection="1">
      <alignment horizontal="center" vertical="center"/>
      <protection locked="0"/>
    </xf>
    <xf numFmtId="3" fontId="116" fillId="23" borderId="22" xfId="66" applyNumberFormat="1" applyFont="1" applyFill="1" applyBorder="1" applyAlignment="1" applyProtection="1">
      <alignment horizontal="center" vertical="center"/>
    </xf>
    <xf numFmtId="3" fontId="116" fillId="23" borderId="24" xfId="66" applyNumberFormat="1" applyFont="1" applyFill="1" applyBorder="1" applyAlignment="1" applyProtection="1">
      <alignment horizontal="center" vertical="center"/>
    </xf>
    <xf numFmtId="3" fontId="117" fillId="23" borderId="16" xfId="66" applyNumberFormat="1" applyFont="1" applyFill="1" applyBorder="1" applyAlignment="1" applyProtection="1">
      <alignment horizontal="center" vertical="center"/>
      <protection locked="0"/>
    </xf>
    <xf numFmtId="3" fontId="117" fillId="23" borderId="0" xfId="66" applyNumberFormat="1" applyFont="1" applyFill="1" applyBorder="1" applyAlignment="1" applyProtection="1">
      <alignment horizontal="center" vertical="center"/>
      <protection locked="0"/>
    </xf>
    <xf numFmtId="3" fontId="116" fillId="23" borderId="17" xfId="66" applyNumberFormat="1" applyFont="1" applyFill="1" applyBorder="1" applyAlignment="1" applyProtection="1">
      <alignment horizontal="center" vertical="center"/>
    </xf>
    <xf numFmtId="3" fontId="116" fillId="23" borderId="0" xfId="66" applyNumberFormat="1" applyFont="1" applyFill="1" applyBorder="1" applyAlignment="1" applyProtection="1">
      <alignment horizontal="center" vertical="center"/>
    </xf>
    <xf numFmtId="3" fontId="116" fillId="23" borderId="13" xfId="66" applyNumberFormat="1" applyFont="1" applyFill="1" applyBorder="1" applyAlignment="1" applyProtection="1">
      <alignment horizontal="center" vertical="center"/>
      <protection locked="0"/>
    </xf>
    <xf numFmtId="3" fontId="116" fillId="23" borderId="14" xfId="66" applyNumberFormat="1" applyFont="1" applyFill="1" applyBorder="1" applyAlignment="1" applyProtection="1">
      <alignment horizontal="center" vertical="center"/>
      <protection locked="0"/>
    </xf>
    <xf numFmtId="3" fontId="116" fillId="23" borderId="10" xfId="66" applyNumberFormat="1" applyFont="1" applyFill="1" applyBorder="1" applyAlignment="1" applyProtection="1">
      <alignment horizontal="center" vertical="center"/>
    </xf>
    <xf numFmtId="3" fontId="116" fillId="23" borderId="14" xfId="66" applyNumberFormat="1" applyFont="1" applyFill="1" applyBorder="1" applyAlignment="1" applyProtection="1">
      <alignment horizontal="center" vertical="center"/>
    </xf>
    <xf numFmtId="0" fontId="117" fillId="0" borderId="25" xfId="374" applyFont="1" applyBorder="1" applyAlignment="1">
      <alignment vertical="center" wrapText="1"/>
    </xf>
    <xf numFmtId="0" fontId="117" fillId="0" borderId="40" xfId="374" applyFont="1" applyBorder="1" applyAlignment="1">
      <alignment vertical="center" wrapText="1"/>
    </xf>
    <xf numFmtId="0" fontId="116" fillId="23" borderId="10" xfId="0" applyFont="1" applyFill="1" applyBorder="1" applyAlignment="1">
      <alignment horizontal="center" vertical="center" wrapText="1"/>
    </xf>
    <xf numFmtId="0" fontId="120" fillId="23" borderId="13" xfId="464" applyFont="1" applyFill="1" applyBorder="1" applyAlignment="1">
      <alignment horizontal="center" vertical="center"/>
    </xf>
    <xf numFmtId="0" fontId="120" fillId="23" borderId="10" xfId="464" applyFont="1" applyFill="1" applyBorder="1" applyAlignment="1">
      <alignment horizontal="center" vertical="center"/>
    </xf>
    <xf numFmtId="0" fontId="38" fillId="0" borderId="29" xfId="464" applyFont="1" applyBorder="1" applyAlignment="1">
      <alignment horizontal="center" vertical="center"/>
    </xf>
    <xf numFmtId="0" fontId="38" fillId="0" borderId="44" xfId="464" applyFont="1" applyBorder="1" applyAlignment="1">
      <alignment horizontal="center" vertical="center"/>
    </xf>
    <xf numFmtId="3" fontId="116" fillId="0" borderId="44" xfId="66" applyNumberFormat="1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left" vertical="center" wrapText="1"/>
    </xf>
    <xf numFmtId="0" fontId="0" fillId="0" borderId="19" xfId="0" applyBorder="1"/>
    <xf numFmtId="0" fontId="0" fillId="0" borderId="21" xfId="0" applyBorder="1"/>
    <xf numFmtId="3" fontId="40" fillId="23" borderId="37" xfId="0" applyNumberFormat="1" applyFont="1" applyFill="1" applyBorder="1" applyAlignment="1">
      <alignment horizontal="right" vertical="center" wrapText="1" indent="1"/>
    </xf>
    <xf numFmtId="0" fontId="163" fillId="0" borderId="0" xfId="0" applyFont="1" applyFill="1" applyBorder="1" applyAlignment="1">
      <alignment horizontal="center" vertical="center" wrapText="1" readingOrder="1"/>
    </xf>
    <xf numFmtId="1" fontId="117" fillId="0" borderId="40" xfId="66" applyNumberFormat="1" applyFont="1" applyBorder="1" applyAlignment="1">
      <alignment horizontal="right" vertical="center" indent="1"/>
    </xf>
    <xf numFmtId="1" fontId="117" fillId="0" borderId="41" xfId="66" applyNumberFormat="1" applyFont="1" applyBorder="1" applyAlignment="1">
      <alignment horizontal="right" vertical="center" indent="1"/>
    </xf>
    <xf numFmtId="1" fontId="117" fillId="0" borderId="44" xfId="66" applyNumberFormat="1" applyFont="1" applyBorder="1" applyAlignment="1">
      <alignment horizontal="right" vertical="center" indent="1"/>
    </xf>
    <xf numFmtId="3" fontId="117" fillId="0" borderId="11" xfId="0" applyNumberFormat="1" applyFont="1" applyBorder="1" applyAlignment="1">
      <alignment horizontal="right" indent="1"/>
    </xf>
    <xf numFmtId="3" fontId="117" fillId="0" borderId="12" xfId="0" applyNumberFormat="1" applyFont="1" applyBorder="1" applyAlignment="1">
      <alignment horizontal="right" indent="1"/>
    </xf>
    <xf numFmtId="3" fontId="146" fillId="0" borderId="12" xfId="0" applyNumberFormat="1" applyFont="1" applyBorder="1" applyAlignment="1">
      <alignment horizontal="right" indent="1"/>
    </xf>
    <xf numFmtId="3" fontId="117" fillId="0" borderId="15" xfId="0" applyNumberFormat="1" applyFont="1" applyBorder="1" applyAlignment="1">
      <alignment horizontal="right" indent="1"/>
    </xf>
    <xf numFmtId="3" fontId="117" fillId="0" borderId="16" xfId="0" applyNumberFormat="1" applyFont="1" applyBorder="1" applyAlignment="1">
      <alignment horizontal="right" indent="1"/>
    </xf>
    <xf numFmtId="3" fontId="117" fillId="0" borderId="0" xfId="0" applyNumberFormat="1" applyFont="1" applyBorder="1" applyAlignment="1">
      <alignment horizontal="right" indent="1"/>
    </xf>
    <xf numFmtId="3" fontId="146" fillId="0" borderId="0" xfId="0" applyNumberFormat="1" applyFont="1" applyBorder="1" applyAlignment="1">
      <alignment horizontal="right" indent="1"/>
    </xf>
    <xf numFmtId="3" fontId="117" fillId="0" borderId="17" xfId="0" applyNumberFormat="1" applyFont="1" applyBorder="1" applyAlignment="1">
      <alignment horizontal="right" indent="1"/>
    </xf>
    <xf numFmtId="3" fontId="117" fillId="0" borderId="20" xfId="0" applyNumberFormat="1" applyFont="1" applyBorder="1" applyAlignment="1">
      <alignment horizontal="right" indent="1"/>
    </xf>
    <xf numFmtId="3" fontId="117" fillId="0" borderId="24" xfId="0" applyNumberFormat="1" applyFont="1" applyBorder="1" applyAlignment="1">
      <alignment horizontal="right" indent="1"/>
    </xf>
    <xf numFmtId="3" fontId="146" fillId="0" borderId="24" xfId="0" applyNumberFormat="1" applyFont="1" applyBorder="1" applyAlignment="1">
      <alignment horizontal="right" indent="1"/>
    </xf>
    <xf numFmtId="3" fontId="117" fillId="0" borderId="22" xfId="0" applyNumberFormat="1" applyFont="1" applyBorder="1" applyAlignment="1">
      <alignment horizontal="right" indent="1"/>
    </xf>
    <xf numFmtId="0" fontId="167" fillId="0" borderId="0" xfId="0" applyFont="1" applyFill="1" applyBorder="1" applyAlignment="1">
      <alignment horizontal="center" vertical="center"/>
    </xf>
    <xf numFmtId="168" fontId="118" fillId="0" borderId="0" xfId="57" applyNumberFormat="1" applyFont="1" applyBorder="1" applyAlignment="1">
      <alignment vertical="center"/>
    </xf>
    <xf numFmtId="9" fontId="118" fillId="0" borderId="0" xfId="57" applyNumberFormat="1" applyFont="1" applyBorder="1" applyAlignment="1">
      <alignment vertical="center"/>
    </xf>
    <xf numFmtId="9" fontId="39" fillId="0" borderId="0" xfId="57" applyNumberFormat="1" applyFont="1" applyFill="1" applyBorder="1" applyAlignment="1">
      <alignment vertical="center"/>
    </xf>
    <xf numFmtId="168" fontId="175" fillId="0" borderId="0" xfId="57" applyNumberFormat="1" applyFont="1" applyFill="1" applyBorder="1" applyAlignment="1">
      <alignment vertical="center"/>
    </xf>
    <xf numFmtId="4" fontId="120" fillId="23" borderId="18" xfId="0" applyNumberFormat="1" applyFont="1" applyFill="1" applyBorder="1" applyAlignment="1">
      <alignment vertical="center"/>
    </xf>
    <xf numFmtId="4" fontId="120" fillId="23" borderId="14" xfId="0" applyNumberFormat="1" applyFont="1" applyFill="1" applyBorder="1" applyAlignment="1">
      <alignment vertical="center"/>
    </xf>
    <xf numFmtId="4" fontId="120" fillId="23" borderId="10" xfId="0" applyNumberFormat="1" applyFont="1" applyFill="1" applyBorder="1" applyAlignment="1">
      <alignment vertical="center"/>
    </xf>
    <xf numFmtId="0" fontId="116" fillId="23" borderId="13" xfId="66" applyFont="1" applyFill="1" applyBorder="1" applyAlignment="1">
      <alignment horizontal="center" vertical="center"/>
    </xf>
    <xf numFmtId="0" fontId="116" fillId="23" borderId="14" xfId="66" applyFont="1" applyFill="1" applyBorder="1" applyAlignment="1">
      <alignment horizontal="center" vertical="center"/>
    </xf>
    <xf numFmtId="0" fontId="116" fillId="23" borderId="10" xfId="66" applyFont="1" applyFill="1" applyBorder="1" applyAlignment="1">
      <alignment horizontal="center" vertical="center"/>
    </xf>
    <xf numFmtId="0" fontId="61" fillId="23" borderId="13" xfId="66" applyFont="1" applyFill="1" applyBorder="1" applyAlignment="1">
      <alignment horizontal="center" vertical="center"/>
    </xf>
    <xf numFmtId="0" fontId="61" fillId="23" borderId="10" xfId="66" applyFont="1" applyFill="1" applyBorder="1" applyAlignment="1">
      <alignment horizontal="center" vertical="center"/>
    </xf>
    <xf numFmtId="0" fontId="61" fillId="23" borderId="14" xfId="66" applyFont="1" applyFill="1" applyBorder="1" applyAlignment="1">
      <alignment horizontal="center" vertical="center"/>
    </xf>
    <xf numFmtId="0" fontId="31" fillId="0" borderId="0" xfId="640"/>
    <xf numFmtId="1" fontId="132" fillId="23" borderId="10" xfId="50" applyNumberFormat="1" applyFont="1" applyFill="1" applyBorder="1" applyAlignment="1">
      <alignment horizontal="center" vertical="center" wrapText="1"/>
    </xf>
    <xf numFmtId="1" fontId="116" fillId="0" borderId="23" xfId="50" applyNumberFormat="1" applyFont="1" applyFill="1" applyBorder="1" applyAlignment="1">
      <alignment horizontal="center" vertical="center" wrapText="1"/>
    </xf>
    <xf numFmtId="0" fontId="117" fillId="0" borderId="30" xfId="640" applyFont="1" applyFill="1" applyBorder="1" applyAlignment="1">
      <alignment horizontal="center" vertical="center"/>
    </xf>
    <xf numFmtId="3" fontId="117" fillId="0" borderId="35" xfId="640" applyNumberFormat="1" applyFont="1" applyFill="1" applyBorder="1" applyAlignment="1">
      <alignment horizontal="right" vertical="center" indent="1"/>
    </xf>
    <xf numFmtId="3" fontId="117" fillId="0" borderId="25" xfId="640" applyNumberFormat="1" applyFont="1" applyFill="1" applyBorder="1" applyAlignment="1">
      <alignment horizontal="right" vertical="center" indent="1"/>
    </xf>
    <xf numFmtId="3" fontId="117" fillId="0" borderId="40" xfId="640" applyNumberFormat="1" applyFont="1" applyFill="1" applyBorder="1" applyAlignment="1">
      <alignment horizontal="right" vertical="center" indent="1"/>
    </xf>
    <xf numFmtId="3" fontId="31" fillId="0" borderId="25" xfId="640" applyNumberFormat="1" applyFont="1" applyBorder="1" applyAlignment="1">
      <alignment horizontal="right" indent="1"/>
    </xf>
    <xf numFmtId="3" fontId="31" fillId="0" borderId="35" xfId="640" applyNumberFormat="1" applyFont="1" applyBorder="1" applyAlignment="1">
      <alignment horizontal="right" indent="1"/>
    </xf>
    <xf numFmtId="0" fontId="117" fillId="0" borderId="31" xfId="640" applyFont="1" applyFill="1" applyBorder="1" applyAlignment="1">
      <alignment horizontal="center" vertical="center"/>
    </xf>
    <xf numFmtId="3" fontId="117" fillId="0" borderId="36" xfId="640" applyNumberFormat="1" applyFont="1" applyFill="1" applyBorder="1" applyAlignment="1">
      <alignment horizontal="right" vertical="center" indent="1"/>
    </xf>
    <xf numFmtId="3" fontId="117" fillId="0" borderId="26" xfId="640" applyNumberFormat="1" applyFont="1" applyFill="1" applyBorder="1" applyAlignment="1">
      <alignment horizontal="right" vertical="center" indent="1"/>
    </xf>
    <xf numFmtId="3" fontId="117" fillId="0" borderId="41" xfId="640" applyNumberFormat="1" applyFont="1" applyFill="1" applyBorder="1" applyAlignment="1">
      <alignment horizontal="right" vertical="center" indent="1"/>
    </xf>
    <xf numFmtId="3" fontId="31" fillId="0" borderId="28" xfId="640" applyNumberFormat="1" applyFont="1" applyBorder="1" applyAlignment="1">
      <alignment horizontal="right" indent="1"/>
    </xf>
    <xf numFmtId="3" fontId="31" fillId="0" borderId="38" xfId="640" applyNumberFormat="1" applyFont="1" applyBorder="1" applyAlignment="1">
      <alignment horizontal="right" indent="1"/>
    </xf>
    <xf numFmtId="0" fontId="116" fillId="23" borderId="32" xfId="640" applyFont="1" applyFill="1" applyBorder="1" applyAlignment="1">
      <alignment horizontal="center" vertical="center"/>
    </xf>
    <xf numFmtId="3" fontId="116" fillId="23" borderId="37" xfId="640" applyNumberFormat="1" applyFont="1" applyFill="1" applyBorder="1" applyAlignment="1">
      <alignment horizontal="right" vertical="center" indent="1"/>
    </xf>
    <xf numFmtId="3" fontId="116" fillId="23" borderId="27" xfId="640" applyNumberFormat="1" applyFont="1" applyFill="1" applyBorder="1" applyAlignment="1">
      <alignment horizontal="right" vertical="center" indent="1"/>
    </xf>
    <xf numFmtId="3" fontId="116" fillId="23" borderId="42" xfId="640" applyNumberFormat="1" applyFont="1" applyFill="1" applyBorder="1" applyAlignment="1">
      <alignment horizontal="right" vertical="center" indent="1"/>
    </xf>
    <xf numFmtId="3" fontId="120" fillId="23" borderId="27" xfId="640" applyNumberFormat="1" applyFont="1" applyFill="1" applyBorder="1" applyAlignment="1">
      <alignment horizontal="right" indent="1"/>
    </xf>
    <xf numFmtId="3" fontId="120" fillId="23" borderId="37" xfId="640" applyNumberFormat="1" applyFont="1" applyFill="1" applyBorder="1" applyAlignment="1">
      <alignment horizontal="right" indent="1"/>
    </xf>
    <xf numFmtId="0" fontId="127" fillId="0" borderId="0" xfId="640" applyFont="1" applyFill="1" applyBorder="1" applyAlignment="1">
      <alignment horizontal="center" vertical="center"/>
    </xf>
    <xf numFmtId="0" fontId="127" fillId="0" borderId="0" xfId="640" applyFont="1" applyFill="1" applyBorder="1" applyAlignment="1">
      <alignment horizontal="right" vertical="center" indent="1"/>
    </xf>
    <xf numFmtId="0" fontId="117" fillId="0" borderId="33" xfId="640" applyFont="1" applyFill="1" applyBorder="1" applyAlignment="1">
      <alignment horizontal="center" vertical="center"/>
    </xf>
    <xf numFmtId="3" fontId="117" fillId="0" borderId="38" xfId="640" applyNumberFormat="1" applyFont="1" applyFill="1" applyBorder="1" applyAlignment="1">
      <alignment horizontal="right" vertical="center" indent="1"/>
    </xf>
    <xf numFmtId="3" fontId="117" fillId="0" borderId="28" xfId="640" applyNumberFormat="1" applyFont="1" applyFill="1" applyBorder="1" applyAlignment="1">
      <alignment horizontal="right" vertical="center" indent="1"/>
    </xf>
    <xf numFmtId="3" fontId="117" fillId="0" borderId="43" xfId="640" applyNumberFormat="1" applyFont="1" applyFill="1" applyBorder="1" applyAlignment="1">
      <alignment horizontal="right" vertical="center" indent="1"/>
    </xf>
    <xf numFmtId="3" fontId="31" fillId="0" borderId="26" xfId="640" applyNumberFormat="1" applyFont="1" applyBorder="1" applyAlignment="1">
      <alignment horizontal="right" indent="1"/>
    </xf>
    <xf numFmtId="3" fontId="31" fillId="0" borderId="36" xfId="640" applyNumberFormat="1" applyFont="1" applyBorder="1" applyAlignment="1">
      <alignment horizontal="right" indent="1"/>
    </xf>
    <xf numFmtId="0" fontId="31" fillId="0" borderId="0" xfId="640" applyAlignment="1">
      <alignment horizontal="right" indent="1"/>
    </xf>
    <xf numFmtId="0" fontId="186" fillId="0" borderId="0" xfId="640" applyFont="1" applyFill="1" applyBorder="1" applyAlignment="1">
      <alignment horizontal="center" vertical="center"/>
    </xf>
    <xf numFmtId="0" fontId="186" fillId="0" borderId="0" xfId="640" applyFont="1" applyFill="1" applyBorder="1" applyAlignment="1">
      <alignment horizontal="right" vertical="center" indent="1"/>
    </xf>
    <xf numFmtId="3" fontId="31" fillId="0" borderId="40" xfId="640" applyNumberFormat="1" applyFont="1" applyBorder="1" applyAlignment="1">
      <alignment horizontal="right" indent="1"/>
    </xf>
    <xf numFmtId="3" fontId="31" fillId="0" borderId="41" xfId="640" applyNumberFormat="1" applyFont="1" applyBorder="1" applyAlignment="1">
      <alignment horizontal="right" indent="1"/>
    </xf>
    <xf numFmtId="3" fontId="31" fillId="0" borderId="29" xfId="640" applyNumberFormat="1" applyFont="1" applyBorder="1" applyAlignment="1">
      <alignment horizontal="right" indent="1"/>
    </xf>
    <xf numFmtId="3" fontId="31" fillId="0" borderId="39" xfId="640" applyNumberFormat="1" applyFont="1" applyBorder="1" applyAlignment="1">
      <alignment horizontal="right" indent="1"/>
    </xf>
    <xf numFmtId="3" fontId="31" fillId="0" borderId="44" xfId="640" applyNumberFormat="1" applyFont="1" applyBorder="1" applyAlignment="1">
      <alignment horizontal="right" indent="1"/>
    </xf>
    <xf numFmtId="0" fontId="62" fillId="0" borderId="0" xfId="640" applyFont="1" applyFill="1" applyBorder="1" applyAlignment="1">
      <alignment vertical="center"/>
    </xf>
    <xf numFmtId="3" fontId="117" fillId="0" borderId="35" xfId="640" applyNumberFormat="1" applyFont="1" applyBorder="1" applyAlignment="1">
      <alignment horizontal="right" indent="1"/>
    </xf>
    <xf numFmtId="3" fontId="117" fillId="0" borderId="40" xfId="640" applyNumberFormat="1" applyFont="1" applyBorder="1" applyAlignment="1">
      <alignment horizontal="right" indent="1"/>
    </xf>
    <xf numFmtId="3" fontId="117" fillId="0" borderId="36" xfId="640" applyNumberFormat="1" applyFont="1" applyBorder="1" applyAlignment="1">
      <alignment horizontal="right" indent="1"/>
    </xf>
    <xf numFmtId="3" fontId="117" fillId="0" borderId="41" xfId="640" applyNumberFormat="1" applyFont="1" applyBorder="1" applyAlignment="1">
      <alignment horizontal="right" indent="1"/>
    </xf>
    <xf numFmtId="3" fontId="117" fillId="0" borderId="25" xfId="640" applyNumberFormat="1" applyFont="1" applyBorder="1" applyAlignment="1">
      <alignment horizontal="right" indent="1"/>
    </xf>
    <xf numFmtId="3" fontId="117" fillId="0" borderId="26" xfId="640" applyNumberFormat="1" applyFont="1" applyBorder="1" applyAlignment="1">
      <alignment horizontal="right" indent="1"/>
    </xf>
    <xf numFmtId="0" fontId="31" fillId="0" borderId="0" xfId="640" applyAlignment="1">
      <alignment vertical="center"/>
    </xf>
    <xf numFmtId="0" fontId="31" fillId="0" borderId="0" xfId="640" applyAlignment="1">
      <alignment horizontal="right" vertical="center" indent="1"/>
    </xf>
    <xf numFmtId="0" fontId="62" fillId="0" borderId="0" xfId="640" applyFont="1" applyAlignment="1">
      <alignment horizontal="right" vertical="center" indent="1"/>
    </xf>
    <xf numFmtId="0" fontId="117" fillId="0" borderId="34" xfId="640" applyFont="1" applyFill="1" applyBorder="1" applyAlignment="1">
      <alignment horizontal="center" vertical="center"/>
    </xf>
    <xf numFmtId="3" fontId="117" fillId="0" borderId="27" xfId="640" applyNumberFormat="1" applyFont="1" applyFill="1" applyBorder="1" applyAlignment="1">
      <alignment horizontal="right" vertical="center" indent="1"/>
    </xf>
    <xf numFmtId="3" fontId="117" fillId="0" borderId="37" xfId="640" applyNumberFormat="1" applyFont="1" applyFill="1" applyBorder="1" applyAlignment="1">
      <alignment horizontal="right" vertical="center" indent="1"/>
    </xf>
    <xf numFmtId="3" fontId="117" fillId="0" borderId="42" xfId="640" applyNumberFormat="1" applyFont="1" applyFill="1" applyBorder="1" applyAlignment="1">
      <alignment horizontal="right" vertical="center" indent="1"/>
    </xf>
    <xf numFmtId="0" fontId="116" fillId="23" borderId="18" xfId="640" applyFont="1" applyFill="1" applyBorder="1" applyAlignment="1">
      <alignment horizontal="center" vertical="center"/>
    </xf>
    <xf numFmtId="0" fontId="116" fillId="23" borderId="18" xfId="0" applyFont="1" applyFill="1" applyBorder="1" applyAlignment="1">
      <alignment horizontal="center" vertical="center" wrapText="1"/>
    </xf>
    <xf numFmtId="0" fontId="116" fillId="23" borderId="22" xfId="0" applyFont="1" applyFill="1" applyBorder="1" applyAlignment="1">
      <alignment horizontal="center" vertical="center" wrapText="1"/>
    </xf>
    <xf numFmtId="0" fontId="191" fillId="0" borderId="0" xfId="0" applyFont="1" applyAlignment="1">
      <alignment vertical="center"/>
    </xf>
    <xf numFmtId="10" fontId="117" fillId="0" borderId="25" xfId="70" applyNumberFormat="1" applyFont="1" applyBorder="1" applyAlignment="1">
      <alignment horizontal="right" indent="1"/>
    </xf>
    <xf numFmtId="10" fontId="117" fillId="0" borderId="30" xfId="70" applyNumberFormat="1" applyFont="1" applyBorder="1" applyAlignment="1">
      <alignment horizontal="right" indent="1"/>
    </xf>
    <xf numFmtId="10" fontId="117" fillId="0" borderId="35" xfId="70" applyNumberFormat="1" applyFont="1" applyBorder="1" applyAlignment="1">
      <alignment horizontal="right" indent="1"/>
    </xf>
    <xf numFmtId="10" fontId="117" fillId="0" borderId="40" xfId="70" applyNumberFormat="1" applyFont="1" applyBorder="1" applyAlignment="1">
      <alignment horizontal="right" indent="1"/>
    </xf>
    <xf numFmtId="10" fontId="117" fillId="0" borderId="26" xfId="70" applyNumberFormat="1" applyFont="1" applyBorder="1" applyAlignment="1">
      <alignment horizontal="right" indent="1"/>
    </xf>
    <xf numFmtId="10" fontId="117" fillId="0" borderId="31" xfId="70" applyNumberFormat="1" applyFont="1" applyBorder="1" applyAlignment="1">
      <alignment horizontal="right" indent="1"/>
    </xf>
    <xf numFmtId="10" fontId="117" fillId="0" borderId="36" xfId="70" applyNumberFormat="1" applyFont="1" applyBorder="1" applyAlignment="1">
      <alignment horizontal="right" indent="1"/>
    </xf>
    <xf numFmtId="10" fontId="117" fillId="0" borderId="41" xfId="70" applyNumberFormat="1" applyFont="1" applyBorder="1" applyAlignment="1">
      <alignment horizontal="right" indent="1"/>
    </xf>
    <xf numFmtId="10" fontId="116" fillId="23" borderId="27" xfId="70" applyNumberFormat="1" applyFont="1" applyFill="1" applyBorder="1" applyAlignment="1">
      <alignment horizontal="right" indent="1"/>
    </xf>
    <xf numFmtId="10" fontId="116" fillId="23" borderId="32" xfId="70" applyNumberFormat="1" applyFont="1" applyFill="1" applyBorder="1" applyAlignment="1">
      <alignment horizontal="right" indent="1"/>
    </xf>
    <xf numFmtId="10" fontId="116" fillId="23" borderId="37" xfId="70" applyNumberFormat="1" applyFont="1" applyFill="1" applyBorder="1" applyAlignment="1">
      <alignment horizontal="right" indent="1"/>
    </xf>
    <xf numFmtId="10" fontId="116" fillId="23" borderId="42" xfId="70" applyNumberFormat="1" applyFont="1" applyFill="1" applyBorder="1" applyAlignment="1">
      <alignment horizontal="right" indent="1"/>
    </xf>
    <xf numFmtId="0" fontId="116" fillId="0" borderId="0" xfId="0" applyFont="1" applyAlignment="1">
      <alignment vertical="center"/>
    </xf>
    <xf numFmtId="0" fontId="117" fillId="0" borderId="0" xfId="0" applyFont="1" applyAlignment="1">
      <alignment horizontal="right" vertical="center" indent="1"/>
    </xf>
    <xf numFmtId="10" fontId="61" fillId="23" borderId="18" xfId="406" applyNumberFormat="1" applyFont="1" applyFill="1" applyBorder="1" applyAlignment="1">
      <alignment horizontal="center"/>
    </xf>
    <xf numFmtId="0" fontId="133" fillId="0" borderId="0" xfId="0" applyFont="1"/>
    <xf numFmtId="168" fontId="117" fillId="0" borderId="25" xfId="70" applyNumberFormat="1" applyFont="1" applyBorder="1" applyAlignment="1">
      <alignment horizontal="right" indent="1"/>
    </xf>
    <xf numFmtId="168" fontId="117" fillId="0" borderId="30" xfId="70" applyNumberFormat="1" applyFont="1" applyBorder="1" applyAlignment="1">
      <alignment horizontal="right" indent="1"/>
    </xf>
    <xf numFmtId="168" fontId="117" fillId="0" borderId="35" xfId="70" applyNumberFormat="1" applyFont="1" applyBorder="1" applyAlignment="1">
      <alignment horizontal="right" indent="1"/>
    </xf>
    <xf numFmtId="168" fontId="117" fillId="0" borderId="40" xfId="70" applyNumberFormat="1" applyFont="1" applyBorder="1" applyAlignment="1">
      <alignment horizontal="right" indent="1"/>
    </xf>
    <xf numFmtId="168" fontId="117" fillId="0" borderId="26" xfId="70" applyNumberFormat="1" applyFont="1" applyBorder="1" applyAlignment="1">
      <alignment horizontal="right" indent="1"/>
    </xf>
    <xf numFmtId="168" fontId="117" fillId="0" borderId="31" xfId="70" applyNumberFormat="1" applyFont="1" applyBorder="1" applyAlignment="1">
      <alignment horizontal="right" indent="1"/>
    </xf>
    <xf numFmtId="168" fontId="117" fillId="0" borderId="36" xfId="70" applyNumberFormat="1" applyFont="1" applyBorder="1" applyAlignment="1">
      <alignment horizontal="right" indent="1"/>
    </xf>
    <xf numFmtId="168" fontId="117" fillId="0" borderId="41" xfId="70" applyNumberFormat="1" applyFont="1" applyBorder="1" applyAlignment="1">
      <alignment horizontal="right" indent="1"/>
    </xf>
    <xf numFmtId="168" fontId="116" fillId="23" borderId="27" xfId="70" applyNumberFormat="1" applyFont="1" applyFill="1" applyBorder="1" applyAlignment="1">
      <alignment horizontal="right" indent="1"/>
    </xf>
    <xf numFmtId="168" fontId="116" fillId="23" borderId="32" xfId="70" applyNumberFormat="1" applyFont="1" applyFill="1" applyBorder="1" applyAlignment="1">
      <alignment horizontal="right" indent="1"/>
    </xf>
    <xf numFmtId="168" fontId="116" fillId="23" borderId="37" xfId="70" applyNumberFormat="1" applyFont="1" applyFill="1" applyBorder="1" applyAlignment="1">
      <alignment horizontal="right" indent="1"/>
    </xf>
    <xf numFmtId="168" fontId="116" fillId="23" borderId="42" xfId="70" applyNumberFormat="1" applyFont="1" applyFill="1" applyBorder="1" applyAlignment="1">
      <alignment horizontal="right" indent="1"/>
    </xf>
    <xf numFmtId="168" fontId="117" fillId="0" borderId="0" xfId="0" applyNumberFormat="1" applyFont="1" applyAlignment="1">
      <alignment horizontal="right" vertical="center" indent="1"/>
    </xf>
    <xf numFmtId="168" fontId="61" fillId="23" borderId="18" xfId="406" applyNumberFormat="1" applyFont="1" applyFill="1" applyBorder="1" applyAlignment="1">
      <alignment horizontal="center"/>
    </xf>
    <xf numFmtId="0" fontId="60" fillId="0" borderId="0" xfId="66" applyFont="1" applyFill="1" applyBorder="1"/>
    <xf numFmtId="0" fontId="133" fillId="0" borderId="0" xfId="0" applyFont="1" applyFill="1" applyBorder="1" applyAlignment="1">
      <alignment vertical="center"/>
    </xf>
    <xf numFmtId="0" fontId="125" fillId="0" borderId="0" xfId="45" applyFont="1" applyAlignment="1">
      <alignment vertical="center"/>
    </xf>
    <xf numFmtId="0" fontId="125" fillId="0" borderId="21" xfId="45" applyFont="1" applyFill="1" applyBorder="1" applyAlignment="1">
      <alignment horizontal="center" vertical="center"/>
    </xf>
    <xf numFmtId="0" fontId="119" fillId="0" borderId="0" xfId="66" applyFont="1" applyAlignment="1">
      <alignment horizontal="left" vertical="center"/>
    </xf>
    <xf numFmtId="0" fontId="120" fillId="23" borderId="19" xfId="0" applyFont="1" applyFill="1" applyBorder="1" applyAlignment="1">
      <alignment horizontal="center" vertical="center"/>
    </xf>
    <xf numFmtId="0" fontId="118" fillId="0" borderId="0" xfId="0" applyFont="1" applyAlignment="1">
      <alignment horizontal="center" vertical="center"/>
    </xf>
    <xf numFmtId="0" fontId="117" fillId="0" borderId="0" xfId="0" applyFont="1" applyAlignment="1">
      <alignment horizontal="center" vertical="center"/>
    </xf>
    <xf numFmtId="0" fontId="117" fillId="0" borderId="45" xfId="0" applyFont="1" applyBorder="1" applyAlignment="1">
      <alignment horizontal="center" vertical="center"/>
    </xf>
    <xf numFmtId="0" fontId="117" fillId="0" borderId="46" xfId="0" applyFont="1" applyBorder="1" applyAlignment="1">
      <alignment horizontal="center" vertical="center"/>
    </xf>
    <xf numFmtId="0" fontId="117" fillId="0" borderId="48" xfId="0" applyFont="1" applyBorder="1" applyAlignment="1">
      <alignment horizontal="center" vertical="center"/>
    </xf>
    <xf numFmtId="0" fontId="163" fillId="0" borderId="18" xfId="0" applyFont="1" applyFill="1" applyBorder="1" applyAlignment="1">
      <alignment horizontal="center" vertical="center"/>
    </xf>
    <xf numFmtId="0" fontId="167" fillId="0" borderId="18" xfId="0" applyFont="1" applyFill="1" applyBorder="1" applyAlignment="1">
      <alignment horizontal="center" vertical="center"/>
    </xf>
    <xf numFmtId="0" fontId="117" fillId="0" borderId="66" xfId="0" applyFont="1" applyBorder="1" applyAlignment="1">
      <alignment horizontal="center" vertical="center"/>
    </xf>
    <xf numFmtId="0" fontId="117" fillId="0" borderId="67" xfId="0" applyFont="1" applyBorder="1" applyAlignment="1">
      <alignment horizontal="center" vertical="center"/>
    </xf>
    <xf numFmtId="0" fontId="117" fillId="0" borderId="68" xfId="0" applyFont="1" applyBorder="1" applyAlignment="1">
      <alignment horizontal="center" vertical="center"/>
    </xf>
    <xf numFmtId="0" fontId="116" fillId="0" borderId="23" xfId="73" applyFont="1" applyFill="1" applyBorder="1" applyAlignment="1">
      <alignment horizontal="center" vertical="center" wrapText="1"/>
    </xf>
    <xf numFmtId="0" fontId="30" fillId="0" borderId="0" xfId="73" applyFont="1" applyAlignment="1">
      <alignment horizontal="center" vertical="center"/>
    </xf>
    <xf numFmtId="0" fontId="30" fillId="0" borderId="0" xfId="73" applyFont="1" applyAlignment="1">
      <alignment vertical="center"/>
    </xf>
    <xf numFmtId="0" fontId="117" fillId="0" borderId="25" xfId="73" applyFont="1" applyBorder="1" applyAlignment="1">
      <alignment horizontal="right" vertical="center" indent="1"/>
    </xf>
    <xf numFmtId="43" fontId="117" fillId="0" borderId="35" xfId="34" applyFont="1" applyBorder="1" applyAlignment="1">
      <alignment horizontal="right" vertical="center" indent="1"/>
    </xf>
    <xf numFmtId="0" fontId="117" fillId="0" borderId="35" xfId="73" applyFont="1" applyBorder="1" applyAlignment="1">
      <alignment horizontal="right" vertical="center" indent="1"/>
    </xf>
    <xf numFmtId="0" fontId="116" fillId="0" borderId="40" xfId="73" applyFont="1" applyBorder="1" applyAlignment="1">
      <alignment horizontal="right" vertical="center" indent="1"/>
    </xf>
    <xf numFmtId="0" fontId="117" fillId="0" borderId="26" xfId="73" applyFont="1" applyBorder="1" applyAlignment="1">
      <alignment horizontal="right" vertical="center" indent="1"/>
    </xf>
    <xf numFmtId="0" fontId="117" fillId="0" borderId="36" xfId="73" applyFont="1" applyBorder="1" applyAlignment="1">
      <alignment horizontal="right" vertical="center" indent="1"/>
    </xf>
    <xf numFmtId="0" fontId="116" fillId="0" borderId="41" xfId="73" applyFont="1" applyBorder="1" applyAlignment="1">
      <alignment horizontal="right" vertical="center" indent="1"/>
    </xf>
    <xf numFmtId="0" fontId="117" fillId="0" borderId="27" xfId="73" applyFont="1" applyBorder="1" applyAlignment="1">
      <alignment horizontal="right" vertical="center" indent="1"/>
    </xf>
    <xf numFmtId="0" fontId="117" fillId="0" borderId="37" xfId="73" applyFont="1" applyBorder="1" applyAlignment="1">
      <alignment horizontal="right" vertical="center" indent="1"/>
    </xf>
    <xf numFmtId="0" fontId="116" fillId="0" borderId="42" xfId="73" applyFont="1" applyBorder="1" applyAlignment="1">
      <alignment horizontal="right" vertical="center" indent="1"/>
    </xf>
    <xf numFmtId="0" fontId="116" fillId="23" borderId="13" xfId="73" applyFont="1" applyFill="1" applyBorder="1" applyAlignment="1">
      <alignment horizontal="right" vertical="center" indent="1"/>
    </xf>
    <xf numFmtId="0" fontId="116" fillId="23" borderId="14" xfId="73" applyFont="1" applyFill="1" applyBorder="1" applyAlignment="1">
      <alignment horizontal="right" vertical="center" indent="1"/>
    </xf>
    <xf numFmtId="0" fontId="116" fillId="23" borderId="10" xfId="73" applyFont="1" applyFill="1" applyBorder="1" applyAlignment="1">
      <alignment horizontal="right" vertical="center" indent="1"/>
    </xf>
    <xf numFmtId="0" fontId="116" fillId="0" borderId="27" xfId="73" applyFont="1" applyBorder="1" applyAlignment="1">
      <alignment horizontal="right" vertical="center" indent="1"/>
    </xf>
    <xf numFmtId="0" fontId="116" fillId="0" borderId="37" xfId="73" applyFont="1" applyBorder="1" applyAlignment="1">
      <alignment horizontal="right" vertical="center" indent="1"/>
    </xf>
    <xf numFmtId="0" fontId="117" fillId="0" borderId="0" xfId="73" applyFont="1" applyAlignment="1">
      <alignment horizontal="left" vertical="center"/>
    </xf>
    <xf numFmtId="0" fontId="116" fillId="0" borderId="0" xfId="73" applyFont="1" applyFill="1" applyBorder="1" applyAlignment="1">
      <alignment horizontal="right" vertical="center"/>
    </xf>
    <xf numFmtId="0" fontId="117" fillId="0" borderId="0" xfId="73" applyFont="1" applyAlignment="1">
      <alignment vertical="center"/>
    </xf>
    <xf numFmtId="0" fontId="117" fillId="23" borderId="13" xfId="73" applyFont="1" applyFill="1" applyBorder="1" applyAlignment="1">
      <alignment horizontal="center" vertical="center" wrapText="1"/>
    </xf>
    <xf numFmtId="0" fontId="117" fillId="23" borderId="14" xfId="73" applyFont="1" applyFill="1" applyBorder="1" applyAlignment="1">
      <alignment horizontal="center" vertical="center" wrapText="1"/>
    </xf>
    <xf numFmtId="0" fontId="117" fillId="23" borderId="10" xfId="73" applyFont="1" applyFill="1" applyBorder="1" applyAlignment="1">
      <alignment horizontal="center" vertical="center" wrapText="1"/>
    </xf>
    <xf numFmtId="0" fontId="30" fillId="23" borderId="13" xfId="0" applyFont="1" applyFill="1" applyBorder="1" applyAlignment="1">
      <alignment horizontal="center" vertical="center"/>
    </xf>
    <xf numFmtId="4" fontId="30" fillId="23" borderId="18" xfId="0" applyNumberFormat="1" applyFont="1" applyFill="1" applyBorder="1"/>
    <xf numFmtId="0" fontId="30" fillId="23" borderId="19" xfId="0" applyFont="1" applyFill="1" applyBorder="1" applyAlignment="1">
      <alignment horizontal="center" vertical="center"/>
    </xf>
    <xf numFmtId="4" fontId="30" fillId="23" borderId="12" xfId="0" applyNumberFormat="1" applyFont="1" applyFill="1" applyBorder="1"/>
    <xf numFmtId="4" fontId="30" fillId="23" borderId="19" xfId="0" applyNumberFormat="1" applyFont="1" applyFill="1" applyBorder="1"/>
    <xf numFmtId="0" fontId="133" fillId="0" borderId="0" xfId="66" applyFont="1" applyFill="1" applyBorder="1" applyAlignment="1">
      <alignment horizontal="center" vertical="center"/>
    </xf>
    <xf numFmtId="0" fontId="174" fillId="23" borderId="18" xfId="0" applyFont="1" applyFill="1" applyBorder="1" applyAlignment="1">
      <alignment horizontal="center" vertical="center"/>
    </xf>
    <xf numFmtId="4" fontId="118" fillId="0" borderId="17" xfId="0" applyNumberFormat="1" applyFont="1" applyBorder="1" applyAlignment="1">
      <alignment vertical="center"/>
    </xf>
    <xf numFmtId="4" fontId="118" fillId="0" borderId="0" xfId="0" applyNumberFormat="1" applyFont="1" applyBorder="1" applyAlignment="1">
      <alignment vertical="center"/>
    </xf>
    <xf numFmtId="4" fontId="118" fillId="0" borderId="21" xfId="0" applyNumberFormat="1" applyFont="1" applyBorder="1" applyAlignment="1">
      <alignment vertical="center"/>
    </xf>
    <xf numFmtId="4" fontId="118" fillId="0" borderId="22" xfId="0" applyNumberFormat="1" applyFont="1" applyBorder="1" applyAlignment="1">
      <alignment vertical="center"/>
    </xf>
    <xf numFmtId="4" fontId="118" fillId="0" borderId="24" xfId="0" applyNumberFormat="1" applyFont="1" applyBorder="1" applyAlignment="1">
      <alignment vertical="center"/>
    </xf>
    <xf numFmtId="4" fontId="118" fillId="0" borderId="23" xfId="0" applyNumberFormat="1" applyFont="1" applyBorder="1" applyAlignment="1">
      <alignment vertical="center"/>
    </xf>
    <xf numFmtId="4" fontId="118" fillId="0" borderId="21" xfId="0" applyNumberFormat="1" applyFont="1" applyFill="1" applyBorder="1" applyAlignment="1">
      <alignment vertical="center"/>
    </xf>
    <xf numFmtId="4" fontId="118" fillId="0" borderId="23" xfId="0" applyNumberFormat="1" applyFont="1" applyFill="1" applyBorder="1" applyAlignment="1">
      <alignment vertical="center"/>
    </xf>
    <xf numFmtId="0" fontId="118" fillId="0" borderId="21" xfId="0" applyFont="1" applyBorder="1" applyAlignment="1">
      <alignment horizontal="center" vertical="center"/>
    </xf>
    <xf numFmtId="4" fontId="118" fillId="0" borderId="0" xfId="0" applyNumberFormat="1" applyFont="1" applyBorder="1"/>
    <xf numFmtId="4" fontId="118" fillId="0" borderId="21" xfId="0" applyNumberFormat="1" applyFont="1" applyBorder="1"/>
    <xf numFmtId="4" fontId="118" fillId="0" borderId="17" xfId="0" applyNumberFormat="1" applyFont="1" applyBorder="1"/>
    <xf numFmtId="0" fontId="118" fillId="0" borderId="23" xfId="0" applyFont="1" applyBorder="1" applyAlignment="1">
      <alignment horizontal="center" vertical="center"/>
    </xf>
    <xf numFmtId="4" fontId="118" fillId="0" borderId="24" xfId="0" applyNumberFormat="1" applyFont="1" applyBorder="1"/>
    <xf numFmtId="4" fontId="118" fillId="0" borderId="23" xfId="0" applyNumberFormat="1" applyFont="1" applyBorder="1"/>
    <xf numFmtId="4" fontId="118" fillId="0" borderId="22" xfId="0" applyNumberFormat="1" applyFont="1" applyBorder="1"/>
    <xf numFmtId="4" fontId="118" fillId="0" borderId="21" xfId="0" applyNumberFormat="1" applyFont="1" applyFill="1" applyBorder="1"/>
    <xf numFmtId="4" fontId="118" fillId="0" borderId="23" xfId="0" applyNumberFormat="1" applyFont="1" applyFill="1" applyBorder="1"/>
    <xf numFmtId="0" fontId="118" fillId="0" borderId="16" xfId="0" applyFont="1" applyBorder="1" applyAlignment="1">
      <alignment horizontal="center" vertical="center"/>
    </xf>
    <xf numFmtId="0" fontId="118" fillId="0" borderId="20" xfId="0" applyFont="1" applyBorder="1" applyAlignment="1">
      <alignment horizontal="center" vertical="center"/>
    </xf>
    <xf numFmtId="4" fontId="118" fillId="0" borderId="24" xfId="0" applyNumberFormat="1" applyFont="1" applyFill="1" applyBorder="1"/>
    <xf numFmtId="0" fontId="173" fillId="0" borderId="19" xfId="0" applyFont="1" applyBorder="1" applyAlignment="1">
      <alignment horizontal="center"/>
    </xf>
    <xf numFmtId="4" fontId="173" fillId="0" borderId="12" xfId="0" applyNumberFormat="1" applyFont="1" applyBorder="1" applyAlignment="1">
      <alignment horizontal="right" indent="1"/>
    </xf>
    <xf numFmtId="4" fontId="173" fillId="0" borderId="19" xfId="0" applyNumberFormat="1" applyFont="1" applyBorder="1" applyAlignment="1">
      <alignment horizontal="right" indent="1"/>
    </xf>
    <xf numFmtId="0" fontId="173" fillId="0" borderId="21" xfId="0" applyFont="1" applyBorder="1" applyAlignment="1">
      <alignment horizontal="center"/>
    </xf>
    <xf numFmtId="4" fontId="173" fillId="0" borderId="0" xfId="0" applyNumberFormat="1" applyFont="1" applyBorder="1" applyAlignment="1">
      <alignment horizontal="right" indent="1"/>
    </xf>
    <xf numFmtId="4" fontId="173" fillId="0" borderId="21" xfId="0" applyNumberFormat="1" applyFont="1" applyBorder="1" applyAlignment="1">
      <alignment horizontal="right" indent="1"/>
    </xf>
    <xf numFmtId="0" fontId="173" fillId="23" borderId="23" xfId="0" applyFont="1" applyFill="1" applyBorder="1" applyAlignment="1">
      <alignment horizontal="center"/>
    </xf>
    <xf numFmtId="4" fontId="173" fillId="23" borderId="24" xfId="0" applyNumberFormat="1" applyFont="1" applyFill="1" applyBorder="1" applyAlignment="1">
      <alignment horizontal="right" indent="1"/>
    </xf>
    <xf numFmtId="4" fontId="173" fillId="23" borderId="23" xfId="0" applyNumberFormat="1" applyFont="1" applyFill="1" applyBorder="1" applyAlignment="1">
      <alignment horizontal="right" indent="1"/>
    </xf>
    <xf numFmtId="0" fontId="173" fillId="0" borderId="18" xfId="0" applyFont="1" applyBorder="1" applyAlignment="1">
      <alignment horizontal="center"/>
    </xf>
    <xf numFmtId="0" fontId="173" fillId="0" borderId="14" xfId="0" applyFont="1" applyBorder="1" applyAlignment="1">
      <alignment horizontal="center"/>
    </xf>
    <xf numFmtId="4" fontId="173" fillId="0" borderId="18" xfId="0" applyNumberFormat="1" applyFont="1" applyBorder="1" applyAlignment="1">
      <alignment horizontal="right" indent="1"/>
    </xf>
    <xf numFmtId="0" fontId="173" fillId="23" borderId="18" xfId="0" applyFont="1" applyFill="1" applyBorder="1" applyAlignment="1">
      <alignment horizontal="center"/>
    </xf>
    <xf numFmtId="4" fontId="173" fillId="23" borderId="18" xfId="0" applyNumberFormat="1" applyFont="1" applyFill="1" applyBorder="1" applyAlignment="1">
      <alignment horizontal="right" indent="1"/>
    </xf>
    <xf numFmtId="4" fontId="174" fillId="23" borderId="18" xfId="0" applyNumberFormat="1" applyFont="1" applyFill="1" applyBorder="1" applyAlignment="1">
      <alignment horizontal="right" vertical="center" indent="1"/>
    </xf>
    <xf numFmtId="49" fontId="131" fillId="24" borderId="19" xfId="66" applyNumberFormat="1" applyFont="1" applyFill="1" applyBorder="1" applyAlignment="1">
      <alignment horizontal="center" vertical="center" wrapText="1"/>
    </xf>
    <xf numFmtId="49" fontId="131" fillId="24" borderId="11" xfId="66" applyNumberFormat="1" applyFont="1" applyFill="1" applyBorder="1" applyAlignment="1">
      <alignment horizontal="center" vertical="center" wrapText="1"/>
    </xf>
    <xf numFmtId="49" fontId="131" fillId="24" borderId="12" xfId="66" applyNumberFormat="1" applyFont="1" applyFill="1" applyBorder="1" applyAlignment="1">
      <alignment horizontal="center" vertical="center" wrapText="1"/>
    </xf>
    <xf numFmtId="49" fontId="131" fillId="24" borderId="15" xfId="66" applyNumberFormat="1" applyFont="1" applyFill="1" applyBorder="1" applyAlignment="1">
      <alignment horizontal="center" vertical="center" wrapText="1"/>
    </xf>
    <xf numFmtId="49" fontId="131" fillId="24" borderId="18" xfId="66" applyNumberFormat="1" applyFont="1" applyFill="1" applyBorder="1" applyAlignment="1">
      <alignment horizontal="center" vertical="center" wrapText="1"/>
    </xf>
    <xf numFmtId="0" fontId="118" fillId="0" borderId="30" xfId="66" applyFont="1" applyBorder="1" applyAlignment="1">
      <alignment horizontal="center" vertical="center"/>
    </xf>
    <xf numFmtId="4" fontId="118" fillId="0" borderId="35" xfId="66" applyNumberFormat="1" applyFont="1" applyBorder="1" applyAlignment="1">
      <alignment horizontal="right" vertical="center"/>
    </xf>
    <xf numFmtId="4" fontId="131" fillId="0" borderId="33" xfId="191" applyNumberFormat="1" applyFont="1" applyBorder="1" applyAlignment="1">
      <alignment horizontal="right" vertical="center"/>
    </xf>
    <xf numFmtId="0" fontId="118" fillId="0" borderId="31" xfId="66" applyFont="1" applyBorder="1" applyAlignment="1">
      <alignment horizontal="center" vertical="center"/>
    </xf>
    <xf numFmtId="4" fontId="118" fillId="0" borderId="36" xfId="66" applyNumberFormat="1" applyFont="1" applyBorder="1" applyAlignment="1">
      <alignment horizontal="right" vertical="center"/>
    </xf>
    <xf numFmtId="4" fontId="131" fillId="0" borderId="31" xfId="191" applyNumberFormat="1" applyFont="1" applyBorder="1" applyAlignment="1">
      <alignment horizontal="right" vertical="center"/>
    </xf>
    <xf numFmtId="0" fontId="118" fillId="0" borderId="36" xfId="0" applyFont="1" applyBorder="1" applyAlignment="1">
      <alignment vertical="center"/>
    </xf>
    <xf numFmtId="0" fontId="131" fillId="28" borderId="13" xfId="66" applyFont="1" applyFill="1" applyBorder="1" applyAlignment="1">
      <alignment horizontal="center" vertical="center"/>
    </xf>
    <xf numFmtId="4" fontId="131" fillId="28" borderId="13" xfId="191" applyNumberFormat="1" applyFont="1" applyFill="1" applyBorder="1" applyAlignment="1">
      <alignment horizontal="right" vertical="center"/>
    </xf>
    <xf numFmtId="4" fontId="131" fillId="28" borderId="14" xfId="191" applyNumberFormat="1" applyFont="1" applyFill="1" applyBorder="1" applyAlignment="1">
      <alignment horizontal="right" vertical="center"/>
    </xf>
    <xf numFmtId="4" fontId="131" fillId="28" borderId="10" xfId="191" applyNumberFormat="1" applyFont="1" applyFill="1" applyBorder="1" applyAlignment="1">
      <alignment horizontal="right" vertical="center"/>
    </xf>
    <xf numFmtId="4" fontId="118" fillId="0" borderId="26" xfId="66" applyNumberFormat="1" applyFont="1" applyBorder="1" applyAlignment="1">
      <alignment horizontal="right" vertical="center"/>
    </xf>
    <xf numFmtId="4" fontId="118" fillId="0" borderId="36" xfId="191" applyNumberFormat="1" applyFont="1" applyBorder="1" applyAlignment="1">
      <alignment horizontal="right" vertical="center"/>
    </xf>
    <xf numFmtId="4" fontId="118" fillId="0" borderId="41" xfId="66" applyNumberFormat="1" applyFont="1" applyBorder="1" applyAlignment="1">
      <alignment horizontal="right" vertical="center"/>
    </xf>
    <xf numFmtId="4" fontId="118" fillId="0" borderId="26" xfId="191" applyNumberFormat="1" applyFont="1" applyBorder="1" applyAlignment="1">
      <alignment horizontal="right" vertical="center"/>
    </xf>
    <xf numFmtId="4" fontId="118" fillId="0" borderId="41" xfId="191" applyNumberFormat="1" applyFont="1" applyBorder="1" applyAlignment="1">
      <alignment horizontal="right" vertical="center"/>
    </xf>
    <xf numFmtId="4" fontId="118" fillId="0" borderId="36" xfId="191" applyNumberFormat="1" applyFont="1" applyFill="1" applyBorder="1" applyAlignment="1">
      <alignment horizontal="right" vertical="center"/>
    </xf>
    <xf numFmtId="4" fontId="118" fillId="0" borderId="41" xfId="191" applyNumberFormat="1" applyFont="1" applyFill="1" applyBorder="1" applyAlignment="1">
      <alignment horizontal="right" vertical="center"/>
    </xf>
    <xf numFmtId="4" fontId="131" fillId="0" borderId="31" xfId="191" applyNumberFormat="1" applyFont="1" applyFill="1" applyBorder="1" applyAlignment="1">
      <alignment horizontal="right" vertical="center"/>
    </xf>
    <xf numFmtId="0" fontId="118" fillId="0" borderId="34" xfId="66" applyFont="1" applyBorder="1" applyAlignment="1">
      <alignment horizontal="center" vertical="center"/>
    </xf>
    <xf numFmtId="4" fontId="118" fillId="0" borderId="29" xfId="191" applyNumberFormat="1" applyFont="1" applyBorder="1" applyAlignment="1">
      <alignment horizontal="right" vertical="center"/>
    </xf>
    <xf numFmtId="4" fontId="118" fillId="0" borderId="39" xfId="191" applyNumberFormat="1" applyFont="1" applyBorder="1" applyAlignment="1">
      <alignment horizontal="right" vertical="center"/>
    </xf>
    <xf numFmtId="4" fontId="118" fillId="0" borderId="44" xfId="191" applyNumberFormat="1" applyFont="1" applyBorder="1" applyAlignment="1">
      <alignment horizontal="right" vertical="center"/>
    </xf>
    <xf numFmtId="4" fontId="131" fillId="0" borderId="34" xfId="191" applyNumberFormat="1" applyFont="1" applyBorder="1" applyAlignment="1">
      <alignment horizontal="right" vertical="center"/>
    </xf>
    <xf numFmtId="0" fontId="132" fillId="0" borderId="0" xfId="66" applyFont="1" applyFill="1" applyBorder="1" applyAlignment="1">
      <alignment horizontal="left" vertical="center"/>
    </xf>
    <xf numFmtId="4" fontId="131" fillId="0" borderId="0" xfId="191" applyNumberFormat="1" applyFont="1" applyFill="1" applyBorder="1" applyAlignment="1">
      <alignment horizontal="right" vertical="center"/>
    </xf>
    <xf numFmtId="0" fontId="119" fillId="0" borderId="0" xfId="66" applyFont="1" applyBorder="1" applyAlignment="1">
      <alignment horizontal="left" vertical="center"/>
    </xf>
    <xf numFmtId="4" fontId="119" fillId="0" borderId="0" xfId="66" applyNumberFormat="1" applyFont="1" applyBorder="1" applyAlignment="1">
      <alignment horizontal="left" vertical="center"/>
    </xf>
    <xf numFmtId="0" fontId="135" fillId="0" borderId="21" xfId="0" applyFont="1" applyBorder="1" applyAlignment="1">
      <alignment horizontal="center" vertical="center"/>
    </xf>
    <xf numFmtId="0" fontId="135" fillId="0" borderId="23" xfId="0" applyFont="1" applyBorder="1" applyAlignment="1">
      <alignment horizontal="center" vertical="center"/>
    </xf>
    <xf numFmtId="178" fontId="112" fillId="23" borderId="93" xfId="633" applyNumberFormat="1" applyFont="1" applyFill="1" applyBorder="1" applyAlignment="1">
      <alignment horizontal="center" vertical="center"/>
    </xf>
    <xf numFmtId="178" fontId="112" fillId="23" borderId="94" xfId="633" applyNumberFormat="1" applyFont="1" applyFill="1" applyBorder="1" applyAlignment="1">
      <alignment horizontal="center" vertical="center"/>
    </xf>
    <xf numFmtId="178" fontId="112" fillId="23" borderId="95" xfId="633" applyNumberFormat="1" applyFont="1" applyFill="1" applyBorder="1" applyAlignment="1">
      <alignment horizontal="center" vertical="center"/>
    </xf>
    <xf numFmtId="178" fontId="112" fillId="23" borderId="96" xfId="633" applyNumberFormat="1" applyFont="1" applyFill="1" applyBorder="1" applyAlignment="1">
      <alignment horizontal="center" vertical="center"/>
    </xf>
    <xf numFmtId="178" fontId="112" fillId="23" borderId="93" xfId="636" applyNumberFormat="1" applyFont="1" applyFill="1" applyBorder="1" applyAlignment="1">
      <alignment horizontal="center" vertical="center"/>
    </xf>
    <xf numFmtId="178" fontId="112" fillId="23" borderId="94" xfId="636" applyNumberFormat="1" applyFont="1" applyFill="1" applyBorder="1" applyAlignment="1">
      <alignment horizontal="center" vertical="center"/>
    </xf>
    <xf numFmtId="178" fontId="112" fillId="23" borderId="95" xfId="636" applyNumberFormat="1" applyFont="1" applyFill="1" applyBorder="1" applyAlignment="1">
      <alignment horizontal="center" vertical="center"/>
    </xf>
    <xf numFmtId="178" fontId="112" fillId="23" borderId="96" xfId="636" applyNumberFormat="1" applyFont="1" applyFill="1" applyBorder="1" applyAlignment="1">
      <alignment horizontal="center" vertical="center"/>
    </xf>
    <xf numFmtId="0" fontId="117" fillId="0" borderId="19" xfId="374" applyFont="1" applyBorder="1" applyAlignment="1">
      <alignment horizontal="center" vertical="center"/>
    </xf>
    <xf numFmtId="0" fontId="117" fillId="0" borderId="21" xfId="374" applyFont="1" applyBorder="1" applyAlignment="1">
      <alignment horizontal="center" vertical="center"/>
    </xf>
    <xf numFmtId="0" fontId="117" fillId="23" borderId="23" xfId="374" applyFont="1" applyFill="1" applyBorder="1" applyAlignment="1">
      <alignment horizontal="center" vertical="center"/>
    </xf>
    <xf numFmtId="0" fontId="193" fillId="0" borderId="0" xfId="0" applyFont="1"/>
    <xf numFmtId="0" fontId="132" fillId="0" borderId="0" xfId="0" applyFont="1" applyFill="1" applyBorder="1" applyAlignment="1">
      <alignment vertical="center"/>
    </xf>
    <xf numFmtId="3" fontId="117" fillId="0" borderId="110" xfId="374" applyNumberFormat="1" applyFont="1" applyBorder="1" applyAlignment="1">
      <alignment horizontal="center" vertical="center"/>
    </xf>
    <xf numFmtId="3" fontId="116" fillId="0" borderId="13" xfId="374" applyNumberFormat="1" applyFont="1" applyBorder="1" applyAlignment="1">
      <alignment horizontal="center" vertical="center"/>
    </xf>
    <xf numFmtId="0" fontId="117" fillId="0" borderId="24" xfId="374" applyFont="1" applyBorder="1" applyAlignment="1">
      <alignment horizontal="center" vertical="center"/>
    </xf>
    <xf numFmtId="0" fontId="117" fillId="0" borderId="22" xfId="374" applyFont="1" applyBorder="1" applyAlignment="1">
      <alignment horizontal="center" vertical="center"/>
    </xf>
    <xf numFmtId="0" fontId="154" fillId="0" borderId="21" xfId="52" applyFont="1" applyFill="1" applyBorder="1" applyAlignment="1">
      <alignment horizontal="center" vertical="center"/>
    </xf>
    <xf numFmtId="1" fontId="116" fillId="23" borderId="18" xfId="50" applyNumberFormat="1" applyFont="1" applyFill="1" applyBorder="1" applyAlignment="1">
      <alignment horizontal="center" vertical="center" wrapText="1"/>
    </xf>
    <xf numFmtId="0" fontId="61" fillId="23" borderId="13" xfId="66" applyFont="1" applyFill="1" applyBorder="1" applyAlignment="1">
      <alignment horizontal="center" vertical="center"/>
    </xf>
    <xf numFmtId="0" fontId="61" fillId="23" borderId="10" xfId="66" applyFont="1" applyFill="1" applyBorder="1" applyAlignment="1">
      <alignment horizontal="center" vertical="center"/>
    </xf>
    <xf numFmtId="0" fontId="116" fillId="23" borderId="13" xfId="374" applyFont="1" applyFill="1" applyBorder="1" applyAlignment="1">
      <alignment horizontal="center" vertical="center"/>
    </xf>
    <xf numFmtId="0" fontId="61" fillId="23" borderId="14" xfId="66" applyFont="1" applyFill="1" applyBorder="1" applyAlignment="1">
      <alignment horizontal="center" vertical="center"/>
    </xf>
    <xf numFmtId="0" fontId="116" fillId="23" borderId="18" xfId="0" applyFont="1" applyFill="1" applyBorder="1" applyAlignment="1">
      <alignment horizontal="center" vertical="center" wrapText="1"/>
    </xf>
    <xf numFmtId="0" fontId="116" fillId="23" borderId="13" xfId="0" applyFont="1" applyFill="1" applyBorder="1" applyAlignment="1">
      <alignment horizontal="center" vertical="center" wrapText="1"/>
    </xf>
    <xf numFmtId="0" fontId="116" fillId="23" borderId="10" xfId="0" applyFont="1" applyFill="1" applyBorder="1" applyAlignment="1">
      <alignment horizontal="center" vertical="center" wrapText="1"/>
    </xf>
    <xf numFmtId="0" fontId="118" fillId="0" borderId="0" xfId="0" applyFont="1"/>
    <xf numFmtId="0" fontId="135" fillId="0" borderId="77" xfId="0" applyFont="1" applyBorder="1" applyAlignment="1">
      <alignment horizontal="center" vertical="center" wrapText="1" readingOrder="1"/>
    </xf>
    <xf numFmtId="0" fontId="135" fillId="0" borderId="77" xfId="0" applyFont="1" applyBorder="1" applyAlignment="1">
      <alignment horizontal="right" vertical="center" wrapText="1" indent="1" readingOrder="1"/>
    </xf>
    <xf numFmtId="0" fontId="135" fillId="0" borderId="78" xfId="0" applyFont="1" applyBorder="1" applyAlignment="1">
      <alignment horizontal="center" vertical="center" wrapText="1" readingOrder="1"/>
    </xf>
    <xf numFmtId="0" fontId="135" fillId="0" borderId="78" xfId="0" applyFont="1" applyBorder="1" applyAlignment="1">
      <alignment horizontal="right" vertical="center" wrapText="1" indent="1" readingOrder="1"/>
    </xf>
    <xf numFmtId="0" fontId="134" fillId="23" borderId="79" xfId="0" applyFont="1" applyFill="1" applyBorder="1" applyAlignment="1">
      <alignment horizontal="center" vertical="center" wrapText="1" readingOrder="1"/>
    </xf>
    <xf numFmtId="0" fontId="134" fillId="23" borderId="79" xfId="0" applyFont="1" applyFill="1" applyBorder="1" applyAlignment="1">
      <alignment horizontal="right" vertical="center" wrapText="1" indent="1" readingOrder="1"/>
    </xf>
    <xf numFmtId="0" fontId="28" fillId="0" borderId="0" xfId="0" applyFont="1" applyBorder="1" applyAlignment="1">
      <alignment horizontal="center" readingOrder="1"/>
    </xf>
    <xf numFmtId="0" fontId="28" fillId="0" borderId="0" xfId="0" applyFont="1" applyBorder="1" applyAlignment="1">
      <alignment horizontal="right" indent="1"/>
    </xf>
    <xf numFmtId="0" fontId="28" fillId="0" borderId="0" xfId="0" applyFont="1" applyAlignment="1">
      <alignment horizontal="center" readingOrder="1"/>
    </xf>
    <xf numFmtId="0" fontId="28" fillId="0" borderId="0" xfId="0" applyFont="1"/>
    <xf numFmtId="0" fontId="135" fillId="0" borderId="0" xfId="0" applyFont="1" applyBorder="1" applyAlignment="1">
      <alignment horizontal="center" vertical="center" wrapText="1" readingOrder="1"/>
    </xf>
    <xf numFmtId="0" fontId="135" fillId="0" borderId="0" xfId="0" applyFont="1" applyBorder="1" applyAlignment="1">
      <alignment horizontal="right" vertical="center" wrapText="1" indent="1"/>
    </xf>
    <xf numFmtId="3" fontId="135" fillId="0" borderId="77" xfId="0" applyNumberFormat="1" applyFont="1" applyBorder="1" applyAlignment="1">
      <alignment horizontal="center" vertical="center" wrapText="1" readingOrder="1"/>
    </xf>
    <xf numFmtId="3" fontId="135" fillId="0" borderId="77" xfId="0" applyNumberFormat="1" applyFont="1" applyBorder="1" applyAlignment="1">
      <alignment horizontal="right" vertical="center" wrapText="1" indent="1" readingOrder="1"/>
    </xf>
    <xf numFmtId="3" fontId="135" fillId="0" borderId="78" xfId="0" applyNumberFormat="1" applyFont="1" applyBorder="1" applyAlignment="1">
      <alignment horizontal="center" vertical="center" wrapText="1" readingOrder="1"/>
    </xf>
    <xf numFmtId="3" fontId="135" fillId="0" borderId="78" xfId="0" applyNumberFormat="1" applyFont="1" applyBorder="1" applyAlignment="1">
      <alignment horizontal="right" vertical="center" wrapText="1" indent="1" readingOrder="1"/>
    </xf>
    <xf numFmtId="3" fontId="135" fillId="0" borderId="79" xfId="0" applyNumberFormat="1" applyFont="1" applyBorder="1" applyAlignment="1">
      <alignment horizontal="center" vertical="center" wrapText="1" readingOrder="1"/>
    </xf>
    <xf numFmtId="3" fontId="135" fillId="0" borderId="79" xfId="0" applyNumberFormat="1" applyFont="1" applyBorder="1" applyAlignment="1">
      <alignment horizontal="right" vertical="center" wrapText="1" indent="1" readingOrder="1"/>
    </xf>
    <xf numFmtId="3" fontId="134" fillId="23" borderId="79" xfId="0" applyNumberFormat="1" applyFont="1" applyFill="1" applyBorder="1" applyAlignment="1">
      <alignment horizontal="center" vertical="center" wrapText="1" readingOrder="1"/>
    </xf>
    <xf numFmtId="3" fontId="134" fillId="23" borderId="79" xfId="0" applyNumberFormat="1" applyFont="1" applyFill="1" applyBorder="1" applyAlignment="1">
      <alignment horizontal="right" vertical="center" wrapText="1" indent="1" readingOrder="1"/>
    </xf>
    <xf numFmtId="3" fontId="28" fillId="0" borderId="0" xfId="0" applyNumberFormat="1" applyFont="1" applyBorder="1" applyAlignment="1">
      <alignment horizontal="center"/>
    </xf>
    <xf numFmtId="3" fontId="28" fillId="0" borderId="0" xfId="0" applyNumberFormat="1" applyFont="1" applyBorder="1" applyAlignment="1">
      <alignment horizontal="right" indent="1"/>
    </xf>
    <xf numFmtId="0" fontId="28" fillId="0" borderId="0" xfId="0" applyFont="1" applyAlignment="1">
      <alignment horizontal="center"/>
    </xf>
    <xf numFmtId="3" fontId="135" fillId="0" borderId="0" xfId="0" applyNumberFormat="1" applyFont="1" applyBorder="1" applyAlignment="1">
      <alignment horizontal="center" vertical="center" wrapText="1"/>
    </xf>
    <xf numFmtId="3" fontId="135" fillId="0" borderId="0" xfId="0" applyNumberFormat="1" applyFont="1" applyBorder="1" applyAlignment="1">
      <alignment horizontal="right" vertical="center" wrapText="1" indent="1"/>
    </xf>
    <xf numFmtId="3" fontId="125" fillId="0" borderId="25" xfId="53" applyNumberFormat="1" applyFont="1" applyFill="1" applyBorder="1" applyAlignment="1">
      <alignment horizontal="right" vertical="center" indent="1"/>
    </xf>
    <xf numFmtId="3" fontId="125" fillId="0" borderId="30" xfId="53" applyNumberFormat="1" applyFont="1" applyFill="1" applyBorder="1" applyAlignment="1">
      <alignment horizontal="right" vertical="center" indent="1"/>
    </xf>
    <xf numFmtId="3" fontId="125" fillId="0" borderId="26" xfId="53" applyNumberFormat="1" applyFont="1" applyFill="1" applyBorder="1" applyAlignment="1">
      <alignment horizontal="right" vertical="center" indent="1"/>
    </xf>
    <xf numFmtId="3" fontId="125" fillId="0" borderId="31" xfId="53" applyNumberFormat="1" applyFont="1" applyFill="1" applyBorder="1" applyAlignment="1">
      <alignment horizontal="right" vertical="center" indent="1"/>
    </xf>
    <xf numFmtId="3" fontId="125" fillId="0" borderId="29" xfId="53" applyNumberFormat="1" applyFont="1" applyFill="1" applyBorder="1" applyAlignment="1">
      <alignment horizontal="right" vertical="center" indent="1"/>
    </xf>
    <xf numFmtId="3" fontId="125" fillId="0" borderId="34" xfId="53" applyNumberFormat="1" applyFont="1" applyFill="1" applyBorder="1" applyAlignment="1">
      <alignment horizontal="right" vertical="center" indent="1"/>
    </xf>
    <xf numFmtId="3" fontId="125" fillId="23" borderId="16" xfId="53" applyNumberFormat="1" applyFont="1" applyFill="1" applyBorder="1" applyAlignment="1">
      <alignment horizontal="right" vertical="center" indent="1"/>
    </xf>
    <xf numFmtId="3" fontId="125" fillId="23" borderId="20" xfId="53" applyNumberFormat="1" applyFont="1" applyFill="1" applyBorder="1" applyAlignment="1">
      <alignment horizontal="right" vertical="center" indent="1"/>
    </xf>
    <xf numFmtId="3" fontId="125" fillId="0" borderId="28" xfId="53" applyNumberFormat="1" applyFont="1" applyFill="1" applyBorder="1" applyAlignment="1">
      <alignment horizontal="right" vertical="center" indent="1"/>
    </xf>
    <xf numFmtId="3" fontId="125" fillId="0" borderId="33" xfId="53" applyNumberFormat="1" applyFont="1" applyFill="1" applyBorder="1" applyAlignment="1">
      <alignment horizontal="right" vertical="center" indent="1"/>
    </xf>
    <xf numFmtId="3" fontId="138" fillId="0" borderId="13" xfId="53" applyNumberFormat="1" applyFont="1" applyFill="1" applyBorder="1" applyAlignment="1">
      <alignment horizontal="right" vertical="center" indent="1"/>
    </xf>
    <xf numFmtId="3" fontId="138" fillId="0" borderId="14" xfId="53" applyNumberFormat="1" applyFont="1" applyFill="1" applyBorder="1" applyAlignment="1">
      <alignment horizontal="right" vertical="center" indent="1"/>
    </xf>
    <xf numFmtId="3" fontId="138" fillId="0" borderId="10" xfId="53" applyNumberFormat="1" applyFont="1" applyFill="1" applyBorder="1" applyAlignment="1">
      <alignment horizontal="right" vertical="center" indent="1"/>
    </xf>
    <xf numFmtId="3" fontId="117" fillId="0" borderId="18" xfId="53" applyNumberFormat="1" applyFont="1" applyFill="1" applyBorder="1" applyAlignment="1">
      <alignment horizontal="right" vertical="center" indent="1"/>
    </xf>
    <xf numFmtId="3" fontId="138" fillId="0" borderId="28" xfId="53" applyNumberFormat="1" applyFont="1" applyFill="1" applyBorder="1" applyAlignment="1">
      <alignment horizontal="right" vertical="center" indent="1"/>
    </xf>
    <xf numFmtId="3" fontId="138" fillId="0" borderId="38" xfId="53" applyNumberFormat="1" applyFont="1" applyFill="1" applyBorder="1" applyAlignment="1">
      <alignment horizontal="right" vertical="center" indent="1"/>
    </xf>
    <xf numFmtId="3" fontId="138" fillId="0" borderId="43" xfId="53" applyNumberFormat="1" applyFont="1" applyFill="1" applyBorder="1" applyAlignment="1">
      <alignment horizontal="right" vertical="center" indent="1"/>
    </xf>
    <xf numFmtId="3" fontId="117" fillId="0" borderId="33" xfId="53" applyNumberFormat="1" applyFont="1" applyFill="1" applyBorder="1" applyAlignment="1">
      <alignment horizontal="right" vertical="center" indent="1"/>
    </xf>
    <xf numFmtId="3" fontId="138" fillId="0" borderId="29" xfId="53" applyNumberFormat="1" applyFont="1" applyFill="1" applyBorder="1" applyAlignment="1">
      <alignment horizontal="right" vertical="center" indent="1"/>
    </xf>
    <xf numFmtId="3" fontId="138" fillId="0" borderId="39" xfId="53" applyNumberFormat="1" applyFont="1" applyFill="1" applyBorder="1" applyAlignment="1">
      <alignment horizontal="right" vertical="center" indent="1"/>
    </xf>
    <xf numFmtId="3" fontId="138" fillId="0" borderId="44" xfId="53" applyNumberFormat="1" applyFont="1" applyFill="1" applyBorder="1" applyAlignment="1">
      <alignment horizontal="right" vertical="center" indent="1"/>
    </xf>
    <xf numFmtId="3" fontId="117" fillId="0" borderId="34" xfId="53" applyNumberFormat="1" applyFont="1" applyFill="1" applyBorder="1" applyAlignment="1">
      <alignment horizontal="right" vertical="center" indent="1"/>
    </xf>
    <xf numFmtId="3" fontId="125" fillId="23" borderId="24" xfId="53" applyNumberFormat="1" applyFont="1" applyFill="1" applyBorder="1" applyAlignment="1">
      <alignment horizontal="right" vertical="center" indent="1"/>
    </xf>
    <xf numFmtId="3" fontId="138" fillId="0" borderId="20" xfId="53" applyNumberFormat="1" applyFont="1" applyFill="1" applyBorder="1" applyAlignment="1">
      <alignment horizontal="right" vertical="center" indent="1"/>
    </xf>
    <xf numFmtId="3" fontId="138" fillId="0" borderId="24" xfId="53" applyNumberFormat="1" applyFont="1" applyFill="1" applyBorder="1" applyAlignment="1">
      <alignment horizontal="right" vertical="center" indent="1"/>
    </xf>
    <xf numFmtId="3" fontId="138" fillId="0" borderId="22" xfId="53" applyNumberFormat="1" applyFont="1" applyFill="1" applyBorder="1" applyAlignment="1">
      <alignment horizontal="right" vertical="center" indent="1"/>
    </xf>
    <xf numFmtId="3" fontId="117" fillId="0" borderId="23" xfId="53" applyNumberFormat="1" applyFont="1" applyFill="1" applyBorder="1" applyAlignment="1">
      <alignment horizontal="right" vertical="center" indent="1"/>
    </xf>
    <xf numFmtId="3" fontId="117" fillId="0" borderId="32" xfId="53" applyNumberFormat="1" applyFont="1" applyFill="1" applyBorder="1" applyAlignment="1">
      <alignment horizontal="right" vertical="center" indent="1"/>
    </xf>
    <xf numFmtId="0" fontId="116" fillId="0" borderId="0" xfId="66" applyFont="1" applyFill="1" applyBorder="1"/>
    <xf numFmtId="0" fontId="117" fillId="0" borderId="30" xfId="52" applyFont="1" applyFill="1" applyBorder="1" applyAlignment="1">
      <alignment horizontal="left" vertical="center"/>
    </xf>
    <xf numFmtId="0" fontId="117" fillId="0" borderId="31" xfId="52" applyFont="1" applyFill="1" applyBorder="1" applyAlignment="1">
      <alignment horizontal="left" vertical="center"/>
    </xf>
    <xf numFmtId="0" fontId="117" fillId="0" borderId="34" xfId="52" applyFont="1" applyFill="1" applyBorder="1" applyAlignment="1">
      <alignment horizontal="left" vertical="center"/>
    </xf>
    <xf numFmtId="0" fontId="117" fillId="0" borderId="33" xfId="52" applyFont="1" applyFill="1" applyBorder="1" applyAlignment="1">
      <alignment horizontal="left" vertical="center"/>
    </xf>
    <xf numFmtId="0" fontId="117" fillId="0" borderId="18" xfId="52" applyFont="1" applyFill="1" applyBorder="1" applyAlignment="1">
      <alignment horizontal="center" vertical="center"/>
    </xf>
    <xf numFmtId="0" fontId="117" fillId="0" borderId="32" xfId="52" applyFont="1" applyFill="1" applyBorder="1" applyAlignment="1">
      <alignment horizontal="left" vertical="center"/>
    </xf>
    <xf numFmtId="0" fontId="117" fillId="0" borderId="17" xfId="52" applyFont="1" applyFill="1" applyBorder="1" applyAlignment="1">
      <alignment horizontal="center" vertical="center"/>
    </xf>
    <xf numFmtId="0" fontId="116" fillId="23" borderId="13" xfId="374" applyFont="1" applyFill="1" applyBorder="1" applyAlignment="1">
      <alignment horizontal="center" vertical="center" wrapText="1"/>
    </xf>
    <xf numFmtId="0" fontId="116" fillId="23" borderId="18" xfId="374" applyFont="1" applyFill="1" applyBorder="1" applyAlignment="1">
      <alignment horizontal="center" vertical="center"/>
    </xf>
    <xf numFmtId="0" fontId="117" fillId="0" borderId="11" xfId="374" applyFont="1" applyBorder="1" applyAlignment="1">
      <alignment horizontal="left" vertical="center" indent="1"/>
    </xf>
    <xf numFmtId="0" fontId="117" fillId="0" borderId="19" xfId="374" applyFont="1" applyBorder="1" applyAlignment="1">
      <alignment horizontal="left" vertical="center" indent="1"/>
    </xf>
    <xf numFmtId="3" fontId="117" fillId="0" borderId="19" xfId="374" applyNumberFormat="1" applyFont="1" applyBorder="1" applyAlignment="1">
      <alignment horizontal="right" vertical="center" indent="1"/>
    </xf>
    <xf numFmtId="3" fontId="117" fillId="0" borderId="15" xfId="374" applyNumberFormat="1" applyFont="1" applyBorder="1" applyAlignment="1">
      <alignment horizontal="right" vertical="center" indent="1"/>
    </xf>
    <xf numFmtId="0" fontId="117" fillId="0" borderId="16" xfId="374" applyFont="1" applyBorder="1" applyAlignment="1">
      <alignment horizontal="left" vertical="center" indent="1"/>
    </xf>
    <xf numFmtId="0" fontId="117" fillId="0" borderId="21" xfId="374" applyFont="1" applyBorder="1" applyAlignment="1">
      <alignment horizontal="left" vertical="center" indent="1"/>
    </xf>
    <xf numFmtId="3" fontId="117" fillId="0" borderId="21" xfId="374" applyNumberFormat="1" applyFont="1" applyBorder="1" applyAlignment="1">
      <alignment horizontal="right" vertical="center" indent="1"/>
    </xf>
    <xf numFmtId="3" fontId="117" fillId="0" borderId="17" xfId="374" applyNumberFormat="1" applyFont="1" applyBorder="1" applyAlignment="1">
      <alignment horizontal="right" vertical="center" indent="1"/>
    </xf>
    <xf numFmtId="0" fontId="116" fillId="23" borderId="20" xfId="374" applyFont="1" applyFill="1" applyBorder="1" applyAlignment="1">
      <alignment horizontal="center" vertical="center"/>
    </xf>
    <xf numFmtId="0" fontId="117" fillId="23" borderId="23" xfId="374" applyFont="1" applyFill="1" applyBorder="1" applyAlignment="1">
      <alignment horizontal="left" vertical="center" indent="1"/>
    </xf>
    <xf numFmtId="3" fontId="116" fillId="23" borderId="23" xfId="374" applyNumberFormat="1" applyFont="1" applyFill="1" applyBorder="1" applyAlignment="1">
      <alignment horizontal="right" vertical="center" indent="1"/>
    </xf>
    <xf numFmtId="0" fontId="117" fillId="0" borderId="0" xfId="374" applyFont="1" applyBorder="1" applyAlignment="1">
      <alignment horizontal="left" vertical="center" indent="1"/>
    </xf>
    <xf numFmtId="0" fontId="117" fillId="0" borderId="16" xfId="374" applyFont="1" applyFill="1" applyBorder="1" applyAlignment="1">
      <alignment horizontal="left" vertical="center" indent="1"/>
    </xf>
    <xf numFmtId="0" fontId="117" fillId="0" borderId="21" xfId="374" applyFont="1" applyFill="1" applyBorder="1" applyAlignment="1">
      <alignment horizontal="left" vertical="center" indent="1"/>
    </xf>
    <xf numFmtId="0" fontId="117" fillId="0" borderId="12" xfId="374" applyFont="1" applyBorder="1" applyAlignment="1">
      <alignment horizontal="left" vertical="center" indent="1"/>
    </xf>
    <xf numFmtId="0" fontId="117" fillId="0" borderId="0" xfId="374" applyFont="1" applyFill="1" applyBorder="1" applyAlignment="1">
      <alignment horizontal="left" vertical="center" indent="1"/>
    </xf>
    <xf numFmtId="3" fontId="117" fillId="0" borderId="12" xfId="374" applyNumberFormat="1" applyFont="1" applyBorder="1" applyAlignment="1">
      <alignment horizontal="right" vertical="center" indent="1"/>
    </xf>
    <xf numFmtId="3" fontId="117" fillId="0" borderId="0" xfId="374" applyNumberFormat="1" applyFont="1" applyBorder="1" applyAlignment="1">
      <alignment horizontal="right" vertical="center" indent="1"/>
    </xf>
    <xf numFmtId="0" fontId="117" fillId="0" borderId="0" xfId="374" applyFont="1" applyBorder="1" applyAlignment="1">
      <alignment horizontal="center" vertical="center"/>
    </xf>
    <xf numFmtId="3" fontId="117" fillId="0" borderId="0" xfId="374" applyNumberFormat="1" applyFont="1" applyAlignment="1">
      <alignment horizontal="right" vertical="center" indent="1"/>
    </xf>
    <xf numFmtId="0" fontId="120" fillId="23" borderId="10" xfId="374" applyFont="1" applyFill="1" applyBorder="1" applyAlignment="1">
      <alignment horizontal="center" vertical="center"/>
    </xf>
    <xf numFmtId="3" fontId="120" fillId="23" borderId="18" xfId="374" applyNumberFormat="1" applyFont="1" applyFill="1" applyBorder="1" applyAlignment="1">
      <alignment horizontal="right" vertical="center" indent="1"/>
    </xf>
    <xf numFmtId="3" fontId="117" fillId="0" borderId="30" xfId="0" applyNumberFormat="1" applyFont="1" applyFill="1" applyBorder="1" applyAlignment="1">
      <alignment horizontal="right" vertical="center" indent="1"/>
    </xf>
    <xf numFmtId="3" fontId="117" fillId="0" borderId="31" xfId="0" applyNumberFormat="1" applyFont="1" applyFill="1" applyBorder="1" applyAlignment="1">
      <alignment horizontal="right" vertical="center" indent="1"/>
    </xf>
    <xf numFmtId="0" fontId="118" fillId="0" borderId="0" xfId="0" applyFont="1" applyAlignment="1">
      <alignment horizontal="right" indent="1"/>
    </xf>
    <xf numFmtId="0" fontId="117" fillId="0" borderId="25" xfId="0" applyFont="1" applyFill="1" applyBorder="1" applyAlignment="1">
      <alignment horizontal="right" vertical="center" indent="1"/>
    </xf>
    <xf numFmtId="0" fontId="117" fillId="0" borderId="35" xfId="0" applyFont="1" applyFill="1" applyBorder="1" applyAlignment="1">
      <alignment horizontal="right" vertical="center" indent="1"/>
    </xf>
    <xf numFmtId="0" fontId="117" fillId="0" borderId="26" xfId="0" applyFont="1" applyFill="1" applyBorder="1" applyAlignment="1">
      <alignment horizontal="right" vertical="center" indent="1"/>
    </xf>
    <xf numFmtId="0" fontId="117" fillId="0" borderId="36" xfId="0" applyFont="1" applyFill="1" applyBorder="1" applyAlignment="1">
      <alignment horizontal="right" vertical="center" indent="1"/>
    </xf>
    <xf numFmtId="0" fontId="116" fillId="0" borderId="0" xfId="0" applyFont="1" applyFill="1" applyBorder="1" applyAlignment="1">
      <alignment horizontal="right" vertical="center" indent="1"/>
    </xf>
    <xf numFmtId="0" fontId="117" fillId="0" borderId="0" xfId="0" applyFont="1" applyFill="1" applyBorder="1" applyAlignment="1">
      <alignment horizontal="right" vertical="center" indent="1"/>
    </xf>
    <xf numFmtId="3" fontId="117" fillId="0" borderId="32" xfId="0" applyNumberFormat="1" applyFont="1" applyFill="1" applyBorder="1" applyAlignment="1">
      <alignment horizontal="right" vertical="center" indent="1"/>
    </xf>
    <xf numFmtId="3" fontId="116" fillId="23" borderId="18" xfId="0" applyNumberFormat="1" applyFont="1" applyFill="1" applyBorder="1" applyAlignment="1">
      <alignment horizontal="right" vertical="center" indent="1"/>
    </xf>
    <xf numFmtId="4" fontId="138" fillId="23" borderId="13" xfId="53" applyNumberFormat="1" applyFont="1" applyFill="1" applyBorder="1" applyAlignment="1">
      <alignment horizontal="right" vertical="center" indent="1"/>
    </xf>
    <xf numFmtId="4" fontId="138" fillId="23" borderId="18" xfId="53" applyNumberFormat="1" applyFont="1" applyFill="1" applyBorder="1" applyAlignment="1">
      <alignment horizontal="right" vertical="center" indent="1"/>
    </xf>
    <xf numFmtId="4" fontId="138" fillId="23" borderId="10" xfId="53" applyNumberFormat="1" applyFont="1" applyFill="1" applyBorder="1" applyAlignment="1">
      <alignment horizontal="right" vertical="center" indent="1"/>
    </xf>
    <xf numFmtId="4" fontId="116" fillId="23" borderId="18" xfId="0" applyNumberFormat="1" applyFont="1" applyFill="1" applyBorder="1" applyAlignment="1">
      <alignment horizontal="right" indent="1"/>
    </xf>
    <xf numFmtId="0" fontId="116" fillId="23" borderId="13" xfId="66" applyFont="1" applyFill="1" applyBorder="1" applyAlignment="1">
      <alignment horizontal="center" vertical="center"/>
    </xf>
    <xf numFmtId="0" fontId="116" fillId="23" borderId="14" xfId="66" applyFont="1" applyFill="1" applyBorder="1" applyAlignment="1">
      <alignment horizontal="center" vertical="center"/>
    </xf>
    <xf numFmtId="0" fontId="116" fillId="23" borderId="10" xfId="66" applyFont="1" applyFill="1" applyBorder="1" applyAlignment="1">
      <alignment horizontal="center" vertical="center"/>
    </xf>
    <xf numFmtId="1" fontId="116" fillId="23" borderId="18" xfId="50" applyNumberFormat="1" applyFont="1" applyFill="1" applyBorder="1" applyAlignment="1">
      <alignment horizontal="center" vertical="center" wrapText="1"/>
    </xf>
    <xf numFmtId="1" fontId="120" fillId="23" borderId="18" xfId="50" applyNumberFormat="1" applyFont="1" applyFill="1" applyBorder="1" applyAlignment="1">
      <alignment horizontal="center" vertical="center" wrapText="1"/>
    </xf>
    <xf numFmtId="0" fontId="134" fillId="0" borderId="23" xfId="0" applyFont="1" applyFill="1" applyBorder="1" applyAlignment="1">
      <alignment horizontal="center" vertical="center" wrapText="1" readingOrder="1"/>
    </xf>
    <xf numFmtId="0" fontId="194" fillId="0" borderId="0" xfId="0" applyFont="1"/>
    <xf numFmtId="0" fontId="27" fillId="0" borderId="0" xfId="646"/>
    <xf numFmtId="0" fontId="112" fillId="23" borderId="18" xfId="646" applyFont="1" applyFill="1" applyBorder="1" applyAlignment="1">
      <alignment horizontal="center" vertical="center"/>
    </xf>
    <xf numFmtId="0" fontId="197" fillId="23" borderId="18" xfId="646" applyFont="1" applyFill="1" applyBorder="1" applyAlignment="1">
      <alignment horizontal="center" vertical="center"/>
    </xf>
    <xf numFmtId="0" fontId="27" fillId="0" borderId="111" xfId="646" applyFont="1" applyBorder="1" applyAlignment="1">
      <alignment horizontal="center" vertical="center"/>
    </xf>
    <xf numFmtId="9" fontId="27" fillId="0" borderId="112" xfId="647" applyFont="1" applyBorder="1" applyAlignment="1">
      <alignment horizontal="center" vertical="center"/>
    </xf>
    <xf numFmtId="9" fontId="27" fillId="0" borderId="113" xfId="647" applyFont="1" applyBorder="1" applyAlignment="1">
      <alignment horizontal="center" vertical="center"/>
    </xf>
    <xf numFmtId="43" fontId="0" fillId="0" borderId="0" xfId="648" applyFont="1"/>
    <xf numFmtId="179" fontId="175" fillId="0" borderId="111" xfId="648" applyNumberFormat="1" applyFont="1" applyBorder="1" applyAlignment="1">
      <alignment vertical="center"/>
    </xf>
    <xf numFmtId="179" fontId="175" fillId="0" borderId="112" xfId="648" applyNumberFormat="1" applyFont="1" applyBorder="1" applyAlignment="1">
      <alignment vertical="center"/>
    </xf>
    <xf numFmtId="179" fontId="175" fillId="0" borderId="113" xfId="648" applyNumberFormat="1" applyFont="1" applyBorder="1" applyAlignment="1">
      <alignment vertical="center"/>
    </xf>
    <xf numFmtId="0" fontId="120" fillId="0" borderId="114" xfId="646" applyFont="1" applyBorder="1" applyAlignment="1">
      <alignment horizontal="center" vertical="center"/>
    </xf>
    <xf numFmtId="9" fontId="27" fillId="0" borderId="115" xfId="647" applyFont="1" applyBorder="1" applyAlignment="1">
      <alignment horizontal="center" vertical="center"/>
    </xf>
    <xf numFmtId="9" fontId="27" fillId="0" borderId="116" xfId="647" applyFont="1" applyBorder="1" applyAlignment="1">
      <alignment horizontal="center" vertical="center"/>
    </xf>
    <xf numFmtId="179" fontId="175" fillId="0" borderId="114" xfId="648" applyNumberFormat="1" applyFont="1" applyBorder="1" applyAlignment="1">
      <alignment vertical="center"/>
    </xf>
    <xf numFmtId="179" fontId="175" fillId="0" borderId="115" xfId="648" applyNumberFormat="1" applyFont="1" applyBorder="1" applyAlignment="1">
      <alignment vertical="center"/>
    </xf>
    <xf numFmtId="179" fontId="175" fillId="0" borderId="116" xfId="648" applyNumberFormat="1" applyFont="1" applyBorder="1" applyAlignment="1">
      <alignment vertical="center"/>
    </xf>
    <xf numFmtId="179" fontId="198" fillId="0" borderId="114" xfId="648" applyNumberFormat="1" applyFont="1" applyBorder="1" applyAlignment="1">
      <alignment vertical="center"/>
    </xf>
    <xf numFmtId="179" fontId="198" fillId="0" borderId="115" xfId="648" applyNumberFormat="1" applyFont="1" applyBorder="1" applyAlignment="1">
      <alignment vertical="center"/>
    </xf>
    <xf numFmtId="179" fontId="198" fillId="0" borderId="116" xfId="648" applyNumberFormat="1" applyFont="1" applyBorder="1" applyAlignment="1">
      <alignment vertical="center"/>
    </xf>
    <xf numFmtId="0" fontId="117" fillId="0" borderId="114" xfId="646" applyFont="1" applyBorder="1" applyAlignment="1">
      <alignment horizontal="center" vertical="center"/>
    </xf>
    <xf numFmtId="0" fontId="120" fillId="29" borderId="120" xfId="646" applyFont="1" applyFill="1" applyBorder="1" applyAlignment="1">
      <alignment horizontal="center" vertical="center"/>
    </xf>
    <xf numFmtId="9" fontId="120" fillId="29" borderId="121" xfId="647" applyFont="1" applyFill="1" applyBorder="1" applyAlignment="1">
      <alignment horizontal="center" vertical="center"/>
    </xf>
    <xf numFmtId="9" fontId="120" fillId="29" borderId="122" xfId="647" applyFont="1" applyFill="1" applyBorder="1" applyAlignment="1">
      <alignment horizontal="center" vertical="center"/>
    </xf>
    <xf numFmtId="179" fontId="197" fillId="29" borderId="120" xfId="648" applyNumberFormat="1" applyFont="1" applyFill="1" applyBorder="1" applyAlignment="1">
      <alignment vertical="center"/>
    </xf>
    <xf numFmtId="179" fontId="197" fillId="29" borderId="121" xfId="648" applyNumberFormat="1" applyFont="1" applyFill="1" applyBorder="1" applyAlignment="1">
      <alignment vertical="center"/>
    </xf>
    <xf numFmtId="179" fontId="197" fillId="29" borderId="122" xfId="648" applyNumberFormat="1" applyFont="1" applyFill="1" applyBorder="1" applyAlignment="1">
      <alignment vertical="center"/>
    </xf>
    <xf numFmtId="0" fontId="117" fillId="0" borderId="83" xfId="646" applyFont="1" applyBorder="1" applyAlignment="1">
      <alignment horizontal="center" vertical="center"/>
    </xf>
    <xf numFmtId="0" fontId="27" fillId="0" borderId="84" xfId="646" applyFont="1" applyBorder="1" applyAlignment="1">
      <alignment horizontal="center" vertical="center"/>
    </xf>
    <xf numFmtId="9" fontId="0" fillId="0" borderId="84" xfId="647" applyFont="1" applyBorder="1" applyAlignment="1">
      <alignment horizontal="center" vertical="center"/>
    </xf>
    <xf numFmtId="9" fontId="27" fillId="0" borderId="84" xfId="647" applyFont="1" applyBorder="1" applyAlignment="1">
      <alignment horizontal="center" vertical="center"/>
    </xf>
    <xf numFmtId="9" fontId="27" fillId="0" borderId="85" xfId="647" applyFont="1" applyBorder="1" applyAlignment="1">
      <alignment horizontal="center" vertical="center"/>
    </xf>
    <xf numFmtId="0" fontId="175" fillId="0" borderId="83" xfId="646" applyFont="1" applyBorder="1" applyAlignment="1">
      <alignment vertical="center"/>
    </xf>
    <xf numFmtId="179" fontId="175" fillId="0" borderId="84" xfId="648" applyNumberFormat="1" applyFont="1" applyBorder="1" applyAlignment="1">
      <alignment vertical="center"/>
    </xf>
    <xf numFmtId="179" fontId="175" fillId="0" borderId="85" xfId="648" applyNumberFormat="1" applyFont="1" applyBorder="1" applyAlignment="1">
      <alignment vertical="center"/>
    </xf>
    <xf numFmtId="179" fontId="197" fillId="29" borderId="83" xfId="648" applyNumberFormat="1" applyFont="1" applyFill="1" applyBorder="1" applyAlignment="1">
      <alignment vertical="center"/>
    </xf>
    <xf numFmtId="179" fontId="197" fillId="29" borderId="84" xfId="648" applyNumberFormat="1" applyFont="1" applyFill="1" applyBorder="1" applyAlignment="1">
      <alignment vertical="center"/>
    </xf>
    <xf numFmtId="179" fontId="197" fillId="29" borderId="85" xfId="648" applyNumberFormat="1" applyFont="1" applyFill="1" applyBorder="1" applyAlignment="1">
      <alignment vertical="center"/>
    </xf>
    <xf numFmtId="179" fontId="175" fillId="0" borderId="83" xfId="648" applyNumberFormat="1" applyFont="1" applyBorder="1" applyAlignment="1">
      <alignment vertical="center"/>
    </xf>
    <xf numFmtId="9" fontId="27" fillId="0" borderId="87" xfId="647" applyFont="1" applyBorder="1" applyAlignment="1">
      <alignment horizontal="center" vertical="center"/>
    </xf>
    <xf numFmtId="9" fontId="27" fillId="0" borderId="88" xfId="647" applyFont="1" applyBorder="1" applyAlignment="1">
      <alignment horizontal="center" vertical="center"/>
    </xf>
    <xf numFmtId="179" fontId="175" fillId="0" borderId="86" xfId="648" applyNumberFormat="1" applyFont="1" applyBorder="1" applyAlignment="1">
      <alignment vertical="center"/>
    </xf>
    <xf numFmtId="179" fontId="175" fillId="0" borderId="87" xfId="648" applyNumberFormat="1" applyFont="1" applyBorder="1" applyAlignment="1">
      <alignment vertical="center"/>
    </xf>
    <xf numFmtId="179" fontId="175" fillId="0" borderId="88" xfId="648" applyNumberFormat="1" applyFont="1" applyBorder="1" applyAlignment="1">
      <alignment vertical="center"/>
    </xf>
    <xf numFmtId="9" fontId="27" fillId="0" borderId="125" xfId="647" applyFont="1" applyBorder="1" applyAlignment="1">
      <alignment horizontal="center" vertical="center"/>
    </xf>
    <xf numFmtId="9" fontId="27" fillId="0" borderId="126" xfId="647" applyFont="1" applyBorder="1" applyAlignment="1">
      <alignment horizontal="center" vertical="center"/>
    </xf>
    <xf numFmtId="0" fontId="27" fillId="0" borderId="118" xfId="646" applyFont="1" applyBorder="1" applyAlignment="1">
      <alignment horizontal="center" vertical="center"/>
    </xf>
    <xf numFmtId="9" fontId="0" fillId="0" borderId="0" xfId="647" applyFont="1" applyAlignment="1">
      <alignment horizontal="center" vertical="center"/>
    </xf>
    <xf numFmtId="9" fontId="27" fillId="0" borderId="129" xfId="647" applyFont="1" applyBorder="1" applyAlignment="1">
      <alignment horizontal="center" vertical="center"/>
    </xf>
    <xf numFmtId="0" fontId="117" fillId="0" borderId="130" xfId="646" applyFont="1" applyBorder="1" applyAlignment="1">
      <alignment horizontal="center" vertical="center"/>
    </xf>
    <xf numFmtId="9" fontId="27" fillId="0" borderId="81" xfId="647" applyFont="1" applyBorder="1" applyAlignment="1">
      <alignment horizontal="center" vertical="center"/>
    </xf>
    <xf numFmtId="9" fontId="27" fillId="0" borderId="82" xfId="647" applyFont="1" applyBorder="1" applyAlignment="1">
      <alignment horizontal="center" vertical="center"/>
    </xf>
    <xf numFmtId="0" fontId="27" fillId="0" borderId="131" xfId="646" applyFont="1" applyBorder="1" applyAlignment="1">
      <alignment horizontal="center" vertical="center"/>
    </xf>
    <xf numFmtId="0" fontId="27" fillId="0" borderId="132" xfId="646" applyFont="1" applyBorder="1" applyAlignment="1">
      <alignment horizontal="center" vertical="center"/>
    </xf>
    <xf numFmtId="0" fontId="175" fillId="0" borderId="0" xfId="646" applyFont="1"/>
    <xf numFmtId="0" fontId="27" fillId="0" borderId="0" xfId="646" applyAlignment="1">
      <alignment horizontal="center" vertical="center"/>
    </xf>
    <xf numFmtId="9" fontId="0" fillId="0" borderId="0" xfId="647" applyFont="1"/>
    <xf numFmtId="0" fontId="196" fillId="0" borderId="0" xfId="646" applyFont="1" applyAlignment="1"/>
    <xf numFmtId="179" fontId="27" fillId="0" borderId="0" xfId="646" applyNumberFormat="1"/>
    <xf numFmtId="0" fontId="112" fillId="23" borderId="18" xfId="646" applyFont="1" applyFill="1" applyBorder="1" applyAlignment="1">
      <alignment horizontal="center" vertical="center" wrapText="1"/>
    </xf>
    <xf numFmtId="0" fontId="112" fillId="23" borderId="19" xfId="646" applyFont="1" applyFill="1" applyBorder="1" applyAlignment="1">
      <alignment horizontal="center" vertical="center"/>
    </xf>
    <xf numFmtId="0" fontId="197" fillId="23" borderId="19" xfId="646" applyFont="1" applyFill="1" applyBorder="1" applyAlignment="1">
      <alignment horizontal="center" vertical="center"/>
    </xf>
    <xf numFmtId="0" fontId="27" fillId="0" borderId="89" xfId="646" applyFont="1" applyBorder="1" applyAlignment="1">
      <alignment horizontal="center" vertical="center"/>
    </xf>
    <xf numFmtId="9" fontId="27" fillId="0" borderId="80" xfId="647" applyFont="1" applyBorder="1" applyAlignment="1">
      <alignment vertical="center"/>
    </xf>
    <xf numFmtId="9" fontId="27" fillId="0" borderId="133" xfId="647" applyFont="1" applyBorder="1" applyAlignment="1">
      <alignment horizontal="center" vertical="center"/>
    </xf>
    <xf numFmtId="9" fontId="27" fillId="0" borderId="134" xfId="647" applyFont="1" applyBorder="1" applyAlignment="1">
      <alignment horizontal="center" vertical="center"/>
    </xf>
    <xf numFmtId="179" fontId="175" fillId="0" borderId="80" xfId="648" applyNumberFormat="1" applyFont="1" applyFill="1" applyBorder="1" applyAlignment="1">
      <alignment vertical="center"/>
    </xf>
    <xf numFmtId="179" fontId="175" fillId="0" borderId="81" xfId="648" applyNumberFormat="1" applyFont="1" applyFill="1" applyBorder="1" applyAlignment="1">
      <alignment vertical="center"/>
    </xf>
    <xf numFmtId="179" fontId="175" fillId="0" borderId="81" xfId="648" applyNumberFormat="1" applyFont="1" applyBorder="1" applyAlignment="1">
      <alignment vertical="center"/>
    </xf>
    <xf numFmtId="179" fontId="175" fillId="0" borderId="82" xfId="648" applyNumberFormat="1" applyFont="1" applyBorder="1" applyAlignment="1">
      <alignment vertical="center"/>
    </xf>
    <xf numFmtId="0" fontId="116" fillId="0" borderId="90" xfId="646" applyFont="1" applyBorder="1" applyAlignment="1">
      <alignment horizontal="center" vertical="center"/>
    </xf>
    <xf numFmtId="0" fontId="27" fillId="0" borderId="83" xfId="646" applyFont="1" applyBorder="1" applyAlignment="1">
      <alignment vertical="center"/>
    </xf>
    <xf numFmtId="9" fontId="27" fillId="0" borderId="135" xfId="647" applyFont="1" applyBorder="1" applyAlignment="1">
      <alignment horizontal="center" vertical="center"/>
    </xf>
    <xf numFmtId="9" fontId="27" fillId="0" borderId="136" xfId="647" applyFont="1" applyBorder="1" applyAlignment="1">
      <alignment horizontal="center" vertical="center"/>
    </xf>
    <xf numFmtId="0" fontId="132" fillId="0" borderId="90" xfId="646" applyFont="1" applyBorder="1" applyAlignment="1">
      <alignment horizontal="center" vertical="center"/>
    </xf>
    <xf numFmtId="9" fontId="27" fillId="0" borderId="135" xfId="646" applyNumberFormat="1" applyFont="1" applyBorder="1" applyAlignment="1">
      <alignment horizontal="center" vertical="center"/>
    </xf>
    <xf numFmtId="9" fontId="198" fillId="0" borderId="135" xfId="646" applyNumberFormat="1" applyFont="1" applyBorder="1" applyAlignment="1">
      <alignment horizontal="center" vertical="center"/>
    </xf>
    <xf numFmtId="9" fontId="198" fillId="0" borderId="136" xfId="646" applyNumberFormat="1" applyFont="1" applyBorder="1" applyAlignment="1">
      <alignment horizontal="center" vertical="center"/>
    </xf>
    <xf numFmtId="179" fontId="198" fillId="0" borderId="83" xfId="648" applyNumberFormat="1" applyFont="1" applyBorder="1" applyAlignment="1">
      <alignment vertical="center"/>
    </xf>
    <xf numFmtId="179" fontId="198" fillId="0" borderId="84" xfId="648" applyNumberFormat="1" applyFont="1" applyBorder="1" applyAlignment="1">
      <alignment vertical="center"/>
    </xf>
    <xf numFmtId="179" fontId="198" fillId="0" borderId="85" xfId="648" applyNumberFormat="1" applyFont="1" applyBorder="1" applyAlignment="1">
      <alignment vertical="center"/>
    </xf>
    <xf numFmtId="0" fontId="120" fillId="29" borderId="124" xfId="646" applyFont="1" applyFill="1" applyBorder="1" applyAlignment="1">
      <alignment horizontal="center" vertical="center"/>
    </xf>
    <xf numFmtId="9" fontId="120" fillId="29" borderId="137" xfId="647" applyFont="1" applyFill="1" applyBorder="1" applyAlignment="1">
      <alignment vertical="center"/>
    </xf>
    <xf numFmtId="9" fontId="27" fillId="29" borderId="135" xfId="647" applyFont="1" applyFill="1" applyBorder="1" applyAlignment="1">
      <alignment horizontal="center" vertical="center"/>
    </xf>
    <xf numFmtId="9" fontId="27" fillId="29" borderId="136" xfId="647" applyFont="1" applyFill="1" applyBorder="1" applyAlignment="1">
      <alignment horizontal="center" vertical="center"/>
    </xf>
    <xf numFmtId="179" fontId="175" fillId="29" borderId="137" xfId="648" applyNumberFormat="1" applyFont="1" applyFill="1" applyBorder="1" applyAlignment="1">
      <alignment vertical="center"/>
    </xf>
    <xf numFmtId="179" fontId="175" fillId="29" borderId="138" xfId="648" applyNumberFormat="1" applyFont="1" applyFill="1" applyBorder="1" applyAlignment="1">
      <alignment vertical="center"/>
    </xf>
    <xf numFmtId="179" fontId="175" fillId="29" borderId="139" xfId="648" applyNumberFormat="1" applyFont="1" applyFill="1" applyBorder="1" applyAlignment="1">
      <alignment vertical="center"/>
    </xf>
    <xf numFmtId="0" fontId="117" fillId="0" borderId="90" xfId="646" applyFont="1" applyBorder="1" applyAlignment="1">
      <alignment horizontal="center" vertical="center"/>
    </xf>
    <xf numFmtId="0" fontId="120" fillId="29" borderId="90" xfId="646" applyFont="1" applyFill="1" applyBorder="1" applyAlignment="1">
      <alignment horizontal="center" vertical="center"/>
    </xf>
    <xf numFmtId="9" fontId="120" fillId="29" borderId="83" xfId="647" applyFont="1" applyFill="1" applyBorder="1" applyAlignment="1">
      <alignment vertical="center"/>
    </xf>
    <xf numFmtId="179" fontId="175" fillId="29" borderId="83" xfId="648" applyNumberFormat="1" applyFont="1" applyFill="1" applyBorder="1" applyAlignment="1">
      <alignment vertical="center"/>
    </xf>
    <xf numFmtId="179" fontId="175" fillId="29" borderId="84" xfId="648" applyNumberFormat="1" applyFont="1" applyFill="1" applyBorder="1" applyAlignment="1">
      <alignment vertical="center"/>
    </xf>
    <xf numFmtId="179" fontId="175" fillId="29" borderId="85" xfId="648" applyNumberFormat="1" applyFont="1" applyFill="1" applyBorder="1" applyAlignment="1">
      <alignment vertical="center"/>
    </xf>
    <xf numFmtId="9" fontId="27" fillId="0" borderId="83" xfId="647" applyFont="1" applyBorder="1" applyAlignment="1">
      <alignment vertical="center"/>
    </xf>
    <xf numFmtId="0" fontId="117" fillId="0" borderId="91" xfId="646" applyFont="1" applyBorder="1" applyAlignment="1">
      <alignment horizontal="center" vertical="center"/>
    </xf>
    <xf numFmtId="9" fontId="27" fillId="0" borderId="86" xfId="647" applyFont="1" applyBorder="1" applyAlignment="1">
      <alignment vertical="center"/>
    </xf>
    <xf numFmtId="9" fontId="27" fillId="0" borderId="140" xfId="647" applyFont="1" applyBorder="1" applyAlignment="1">
      <alignment horizontal="center" vertical="center"/>
    </xf>
    <xf numFmtId="9" fontId="27" fillId="0" borderId="141" xfId="647" applyFont="1" applyBorder="1" applyAlignment="1">
      <alignment horizontal="center" vertical="center"/>
    </xf>
    <xf numFmtId="9" fontId="27" fillId="0" borderId="142" xfId="647" applyFont="1" applyBorder="1" applyAlignment="1">
      <alignment vertical="center"/>
    </xf>
    <xf numFmtId="9" fontId="27" fillId="0" borderId="143" xfId="647" applyFont="1" applyBorder="1" applyAlignment="1">
      <alignment horizontal="center" vertical="center"/>
    </xf>
    <xf numFmtId="9" fontId="27" fillId="0" borderId="144" xfId="647" applyFont="1" applyBorder="1" applyAlignment="1">
      <alignment horizontal="center" vertical="center"/>
    </xf>
    <xf numFmtId="9" fontId="27" fillId="0" borderId="145" xfId="647" applyFont="1" applyBorder="1" applyAlignment="1">
      <alignment vertical="center"/>
    </xf>
    <xf numFmtId="179" fontId="175" fillId="0" borderId="125" xfId="648" applyNumberFormat="1" applyFont="1" applyBorder="1" applyAlignment="1">
      <alignment vertical="center"/>
    </xf>
    <xf numFmtId="9" fontId="27" fillId="0" borderId="146" xfId="647" applyFont="1" applyBorder="1" applyAlignment="1">
      <alignment vertical="center"/>
    </xf>
    <xf numFmtId="179" fontId="175" fillId="0" borderId="147" xfId="648" applyNumberFormat="1" applyFont="1" applyBorder="1" applyAlignment="1">
      <alignment vertical="center"/>
    </xf>
    <xf numFmtId="179" fontId="175" fillId="0" borderId="148" xfId="648" applyNumberFormat="1" applyFont="1" applyBorder="1" applyAlignment="1">
      <alignment vertical="center"/>
    </xf>
    <xf numFmtId="179" fontId="175" fillId="0" borderId="149" xfId="648" applyNumberFormat="1" applyFont="1" applyBorder="1" applyAlignment="1">
      <alignment vertical="center"/>
    </xf>
    <xf numFmtId="9" fontId="175" fillId="0" borderId="147" xfId="647" applyFont="1" applyBorder="1" applyAlignment="1">
      <alignment vertical="center"/>
    </xf>
    <xf numFmtId="9" fontId="175" fillId="0" borderId="148" xfId="647" applyFont="1" applyBorder="1" applyAlignment="1">
      <alignment vertical="center"/>
    </xf>
    <xf numFmtId="9" fontId="27" fillId="0" borderId="150" xfId="647" applyFont="1" applyBorder="1" applyAlignment="1">
      <alignment vertical="center"/>
    </xf>
    <xf numFmtId="9" fontId="175" fillId="0" borderId="151" xfId="647" applyFont="1" applyBorder="1" applyAlignment="1">
      <alignment vertical="center"/>
    </xf>
    <xf numFmtId="9" fontId="175" fillId="0" borderId="129" xfId="647" applyFont="1" applyBorder="1" applyAlignment="1">
      <alignment vertical="center"/>
    </xf>
    <xf numFmtId="179" fontId="175" fillId="0" borderId="129" xfId="648" applyNumberFormat="1" applyFont="1" applyBorder="1" applyAlignment="1">
      <alignment vertical="center"/>
    </xf>
    <xf numFmtId="179" fontId="175" fillId="0" borderId="152" xfId="648" applyNumberFormat="1" applyFont="1" applyBorder="1" applyAlignment="1">
      <alignment vertical="center"/>
    </xf>
    <xf numFmtId="179" fontId="175" fillId="0" borderId="153" xfId="648" applyNumberFormat="1" applyFont="1" applyBorder="1" applyAlignment="1">
      <alignment vertical="center"/>
    </xf>
    <xf numFmtId="0" fontId="117" fillId="0" borderId="89" xfId="646" applyFont="1" applyBorder="1" applyAlignment="1">
      <alignment horizontal="center" vertical="center"/>
    </xf>
    <xf numFmtId="9" fontId="27" fillId="0" borderId="130" xfId="647" applyFont="1" applyBorder="1" applyAlignment="1">
      <alignment vertical="center"/>
    </xf>
    <xf numFmtId="0" fontId="27" fillId="0" borderId="90" xfId="646" applyFont="1" applyBorder="1" applyAlignment="1">
      <alignment horizontal="center" vertical="center"/>
    </xf>
    <xf numFmtId="9" fontId="27" fillId="0" borderId="131" xfId="647" applyFont="1" applyBorder="1" applyAlignment="1">
      <alignment vertical="center"/>
    </xf>
    <xf numFmtId="0" fontId="27" fillId="0" borderId="91" xfId="646" applyFont="1" applyBorder="1" applyAlignment="1">
      <alignment horizontal="center" vertical="center"/>
    </xf>
    <xf numFmtId="9" fontId="27" fillId="0" borderId="132" xfId="647" applyFont="1" applyBorder="1" applyAlignment="1">
      <alignment vertical="center"/>
    </xf>
    <xf numFmtId="0" fontId="27" fillId="0" borderId="0" xfId="646" applyProtection="1">
      <protection hidden="1"/>
    </xf>
    <xf numFmtId="0" fontId="199" fillId="0" borderId="0" xfId="374" applyFont="1" applyBorder="1" applyAlignment="1">
      <alignment horizontal="center" vertical="center"/>
    </xf>
    <xf numFmtId="0" fontId="199" fillId="0" borderId="0" xfId="374" applyFont="1" applyBorder="1" applyAlignment="1">
      <alignment horizontal="center" vertical="center"/>
    </xf>
    <xf numFmtId="0" fontId="117" fillId="0" borderId="0" xfId="374" applyFont="1" applyBorder="1" applyAlignment="1">
      <alignment vertical="center"/>
    </xf>
    <xf numFmtId="0" fontId="195" fillId="0" borderId="0" xfId="32" applyFont="1" applyAlignment="1" applyProtection="1">
      <alignment horizontal="center" vertical="center"/>
    </xf>
    <xf numFmtId="0" fontId="195" fillId="0" borderId="24" xfId="32" applyFont="1" applyBorder="1" applyAlignment="1" applyProtection="1">
      <alignment horizontal="center" vertical="center"/>
    </xf>
    <xf numFmtId="0" fontId="195" fillId="0" borderId="14" xfId="32" applyFont="1" applyBorder="1" applyAlignment="1" applyProtection="1">
      <alignment horizontal="center" vertical="center"/>
    </xf>
    <xf numFmtId="0" fontId="195" fillId="0" borderId="0" xfId="32" applyFont="1" applyBorder="1" applyAlignment="1" applyProtection="1">
      <alignment horizontal="center" vertical="center"/>
    </xf>
    <xf numFmtId="0" fontId="117" fillId="0" borderId="0" xfId="374" applyFont="1" applyAlignment="1">
      <alignment horizontal="left" vertical="center"/>
    </xf>
    <xf numFmtId="0" fontId="117" fillId="0" borderId="24" xfId="374" applyFont="1" applyBorder="1" applyAlignment="1">
      <alignment horizontal="left" vertical="center"/>
    </xf>
    <xf numFmtId="0" fontId="117" fillId="0" borderId="14" xfId="374" applyFont="1" applyBorder="1" applyAlignment="1">
      <alignment horizontal="left" vertical="center"/>
    </xf>
    <xf numFmtId="0" fontId="117" fillId="0" borderId="110" xfId="374" applyFont="1" applyBorder="1" applyAlignment="1">
      <alignment horizontal="left" vertical="center"/>
    </xf>
    <xf numFmtId="0" fontId="117" fillId="0" borderId="0" xfId="374" applyFont="1" applyBorder="1" applyAlignment="1">
      <alignment horizontal="left" vertical="center"/>
    </xf>
    <xf numFmtId="0" fontId="121" fillId="0" borderId="0" xfId="466" applyFont="1" applyAlignment="1">
      <alignment horizontal="left"/>
    </xf>
    <xf numFmtId="0" fontId="183" fillId="0" borderId="0" xfId="635" applyFont="1" applyAlignment="1">
      <alignment vertical="center"/>
    </xf>
    <xf numFmtId="0" fontId="62" fillId="0" borderId="0" xfId="374" applyFont="1" applyAlignment="1">
      <alignment horizontal="right" vertical="center" indent="1"/>
    </xf>
    <xf numFmtId="0" fontId="62" fillId="0" borderId="0" xfId="374" applyFont="1" applyAlignment="1">
      <alignment horizontal="right" indent="1"/>
    </xf>
    <xf numFmtId="3" fontId="116" fillId="23" borderId="13" xfId="374" applyNumberFormat="1" applyFont="1" applyFill="1" applyBorder="1" applyAlignment="1">
      <alignment horizontal="right" vertical="center" wrapText="1" indent="1"/>
    </xf>
    <xf numFmtId="3" fontId="116" fillId="23" borderId="10" xfId="374" applyNumberFormat="1" applyFont="1" applyFill="1" applyBorder="1" applyAlignment="1">
      <alignment horizontal="right" vertical="center" wrapText="1" indent="1"/>
    </xf>
    <xf numFmtId="0" fontId="200" fillId="0" borderId="0" xfId="374" applyFont="1" applyBorder="1" applyAlignment="1">
      <alignment vertical="center"/>
    </xf>
    <xf numFmtId="0" fontId="112" fillId="23" borderId="13" xfId="374" applyFont="1" applyFill="1" applyBorder="1" applyAlignment="1">
      <alignment horizontal="center" vertical="center" wrapText="1"/>
    </xf>
    <xf numFmtId="0" fontId="112" fillId="23" borderId="18" xfId="374" applyFont="1" applyFill="1" applyBorder="1" applyAlignment="1">
      <alignment horizontal="center" vertical="center" wrapText="1"/>
    </xf>
    <xf numFmtId="0" fontId="135" fillId="0" borderId="25" xfId="374" applyFont="1" applyBorder="1" applyAlignment="1">
      <alignment horizontal="left" vertical="center" readingOrder="1"/>
    </xf>
    <xf numFmtId="180" fontId="117" fillId="0" borderId="30" xfId="374" applyNumberFormat="1" applyFont="1" applyBorder="1" applyAlignment="1">
      <alignment vertical="center"/>
    </xf>
    <xf numFmtId="0" fontId="135" fillId="0" borderId="26" xfId="374" applyFont="1" applyBorder="1" applyAlignment="1">
      <alignment horizontal="left" vertical="center" readingOrder="1"/>
    </xf>
    <xf numFmtId="180" fontId="117" fillId="0" borderId="31" xfId="374" applyNumberFormat="1" applyFont="1" applyBorder="1" applyAlignment="1">
      <alignment vertical="center"/>
    </xf>
    <xf numFmtId="0" fontId="135" fillId="0" borderId="27" xfId="374" applyFont="1" applyBorder="1" applyAlignment="1">
      <alignment horizontal="left" vertical="center" readingOrder="1"/>
    </xf>
    <xf numFmtId="180" fontId="117" fillId="0" borderId="32" xfId="374" applyNumberFormat="1" applyFont="1" applyBorder="1" applyAlignment="1">
      <alignment vertical="center"/>
    </xf>
    <xf numFmtId="0" fontId="124" fillId="0" borderId="12" xfId="374" applyFont="1" applyBorder="1" applyAlignment="1">
      <alignment vertical="center" wrapText="1" readingOrder="1"/>
    </xf>
    <xf numFmtId="0" fontId="195" fillId="0" borderId="110" xfId="32" applyFont="1" applyBorder="1" applyAlignment="1" applyProtection="1">
      <alignment horizontal="center" vertical="center"/>
    </xf>
    <xf numFmtId="0" fontId="183" fillId="0" borderId="0" xfId="632" applyFont="1" applyAlignment="1">
      <alignment vertical="center"/>
    </xf>
    <xf numFmtId="0" fontId="116" fillId="23" borderId="19" xfId="0" applyFont="1" applyFill="1" applyBorder="1" applyAlignment="1">
      <alignment horizontal="center" vertical="center"/>
    </xf>
    <xf numFmtId="3" fontId="117" fillId="23" borderId="57" xfId="0" applyNumberFormat="1" applyFont="1" applyFill="1" applyBorder="1" applyAlignment="1">
      <alignment horizontal="right" indent="1"/>
    </xf>
    <xf numFmtId="3" fontId="117" fillId="23" borderId="47" xfId="0" applyNumberFormat="1" applyFont="1" applyFill="1" applyBorder="1" applyAlignment="1">
      <alignment horizontal="right" indent="1"/>
    </xf>
    <xf numFmtId="3" fontId="73" fillId="0" borderId="53" xfId="50" applyNumberFormat="1" applyFont="1" applyFill="1" applyBorder="1" applyAlignment="1">
      <alignment horizontal="right" vertical="center" wrapText="1" indent="1"/>
    </xf>
    <xf numFmtId="3" fontId="73" fillId="0" borderId="55" xfId="50" applyNumberFormat="1" applyFont="1" applyFill="1" applyBorder="1" applyAlignment="1">
      <alignment horizontal="right" vertical="center" wrapText="1" indent="1"/>
    </xf>
    <xf numFmtId="3" fontId="117" fillId="23" borderId="58" xfId="0" applyNumberFormat="1" applyFont="1" applyFill="1" applyBorder="1" applyAlignment="1">
      <alignment horizontal="right" indent="1"/>
    </xf>
    <xf numFmtId="3" fontId="125" fillId="23" borderId="0" xfId="53" applyNumberFormat="1" applyFont="1" applyFill="1" applyBorder="1" applyAlignment="1">
      <alignment horizontal="right" vertical="center" indent="1"/>
    </xf>
    <xf numFmtId="3" fontId="125" fillId="23" borderId="24" xfId="54" applyNumberFormat="1" applyFont="1" applyFill="1" applyBorder="1" applyAlignment="1">
      <alignment horizontal="right" wrapText="1" indent="1"/>
    </xf>
    <xf numFmtId="3" fontId="125" fillId="23" borderId="0" xfId="54" applyNumberFormat="1" applyFont="1" applyFill="1" applyBorder="1" applyAlignment="1">
      <alignment horizontal="right" wrapText="1" indent="1"/>
    </xf>
    <xf numFmtId="3" fontId="117" fillId="23" borderId="55" xfId="0" applyNumberFormat="1" applyFont="1" applyFill="1" applyBorder="1" applyAlignment="1">
      <alignment horizontal="right" indent="1"/>
    </xf>
    <xf numFmtId="0" fontId="117" fillId="0" borderId="19" xfId="66" applyFont="1" applyFill="1" applyBorder="1" applyAlignment="1">
      <alignment horizontal="center" vertical="center"/>
    </xf>
    <xf numFmtId="0" fontId="117" fillId="0" borderId="18" xfId="52" applyFont="1" applyFill="1" applyBorder="1" applyAlignment="1">
      <alignment horizontal="left" vertical="center"/>
    </xf>
    <xf numFmtId="0" fontId="164" fillId="23" borderId="13" xfId="73" applyFont="1" applyFill="1" applyBorder="1" applyAlignment="1">
      <alignment horizontal="right" vertical="center" indent="1"/>
    </xf>
    <xf numFmtId="0" fontId="164" fillId="23" borderId="14" xfId="73" applyFont="1" applyFill="1" applyBorder="1" applyAlignment="1">
      <alignment horizontal="right" vertical="center" indent="1"/>
    </xf>
    <xf numFmtId="0" fontId="164" fillId="23" borderId="10" xfId="73" applyFont="1" applyFill="1" applyBorder="1" applyAlignment="1">
      <alignment horizontal="right" vertical="center" indent="1"/>
    </xf>
    <xf numFmtId="0" fontId="163" fillId="23" borderId="13" xfId="73" applyFont="1" applyFill="1" applyBorder="1" applyAlignment="1">
      <alignment horizontal="right" vertical="center" indent="1"/>
    </xf>
    <xf numFmtId="0" fontId="163" fillId="23" borderId="14" xfId="73" applyFont="1" applyFill="1" applyBorder="1" applyAlignment="1">
      <alignment horizontal="right" vertical="center" indent="1"/>
    </xf>
    <xf numFmtId="0" fontId="163" fillId="23" borderId="10" xfId="73" applyFont="1" applyFill="1" applyBorder="1" applyAlignment="1">
      <alignment horizontal="right" vertical="center" indent="1"/>
    </xf>
    <xf numFmtId="0" fontId="167" fillId="23" borderId="13" xfId="73" applyFont="1" applyFill="1" applyBorder="1" applyAlignment="1">
      <alignment horizontal="right" vertical="center" indent="1"/>
    </xf>
    <xf numFmtId="0" fontId="167" fillId="23" borderId="14" xfId="73" applyFont="1" applyFill="1" applyBorder="1" applyAlignment="1">
      <alignment horizontal="right" vertical="center" indent="1"/>
    </xf>
    <xf numFmtId="0" fontId="167" fillId="23" borderId="10" xfId="73" applyFont="1" applyFill="1" applyBorder="1" applyAlignment="1">
      <alignment horizontal="right" vertical="center" indent="1"/>
    </xf>
    <xf numFmtId="0" fontId="165" fillId="23" borderId="13" xfId="73" applyFont="1" applyFill="1" applyBorder="1" applyAlignment="1">
      <alignment horizontal="right" vertical="center" indent="1"/>
    </xf>
    <xf numFmtId="0" fontId="165" fillId="23" borderId="14" xfId="73" applyFont="1" applyFill="1" applyBorder="1" applyAlignment="1">
      <alignment horizontal="right" vertical="center" indent="1"/>
    </xf>
    <xf numFmtId="0" fontId="165" fillId="23" borderId="10" xfId="73" applyFont="1" applyFill="1" applyBorder="1" applyAlignment="1">
      <alignment horizontal="right" vertical="center" indent="1"/>
    </xf>
    <xf numFmtId="0" fontId="165" fillId="23" borderId="32" xfId="0" applyFont="1" applyFill="1" applyBorder="1" applyAlignment="1">
      <alignment horizontal="center" vertical="center"/>
    </xf>
    <xf numFmtId="3" fontId="165" fillId="23" borderId="27" xfId="0" applyNumberFormat="1" applyFont="1" applyFill="1" applyBorder="1" applyAlignment="1">
      <alignment horizontal="right" vertical="center" indent="1"/>
    </xf>
    <xf numFmtId="3" fontId="165" fillId="23" borderId="37" xfId="0" applyNumberFormat="1" applyFont="1" applyFill="1" applyBorder="1" applyAlignment="1">
      <alignment horizontal="right" vertical="center" indent="1"/>
    </xf>
    <xf numFmtId="3" fontId="165" fillId="23" borderId="42" xfId="0" applyNumberFormat="1" applyFont="1" applyFill="1" applyBorder="1" applyAlignment="1">
      <alignment horizontal="right" vertical="center" indent="1"/>
    </xf>
    <xf numFmtId="0" fontId="167" fillId="23" borderId="32" xfId="0" applyFont="1" applyFill="1" applyBorder="1" applyAlignment="1">
      <alignment horizontal="center" vertical="center"/>
    </xf>
    <xf numFmtId="3" fontId="167" fillId="23" borderId="27" xfId="0" applyNumberFormat="1" applyFont="1" applyFill="1" applyBorder="1" applyAlignment="1">
      <alignment horizontal="right" vertical="center" indent="1"/>
    </xf>
    <xf numFmtId="3" fontId="167" fillId="23" borderId="37" xfId="0" applyNumberFormat="1" applyFont="1" applyFill="1" applyBorder="1" applyAlignment="1">
      <alignment horizontal="right" vertical="center" indent="1"/>
    </xf>
    <xf numFmtId="3" fontId="167" fillId="23" borderId="42" xfId="0" applyNumberFormat="1" applyFont="1" applyFill="1" applyBorder="1" applyAlignment="1">
      <alignment horizontal="right" vertical="center" indent="1"/>
    </xf>
    <xf numFmtId="0" fontId="163" fillId="23" borderId="32" xfId="0" applyFont="1" applyFill="1" applyBorder="1" applyAlignment="1">
      <alignment horizontal="center" vertical="center"/>
    </xf>
    <xf numFmtId="3" fontId="163" fillId="23" borderId="27" xfId="0" applyNumberFormat="1" applyFont="1" applyFill="1" applyBorder="1" applyAlignment="1">
      <alignment horizontal="right" vertical="center" indent="1"/>
    </xf>
    <xf numFmtId="3" fontId="163" fillId="23" borderId="37" xfId="0" applyNumberFormat="1" applyFont="1" applyFill="1" applyBorder="1" applyAlignment="1">
      <alignment horizontal="right" vertical="center" indent="1"/>
    </xf>
    <xf numFmtId="3" fontId="163" fillId="23" borderId="42" xfId="0" applyNumberFormat="1" applyFont="1" applyFill="1" applyBorder="1" applyAlignment="1">
      <alignment horizontal="right" vertical="center" indent="1"/>
    </xf>
    <xf numFmtId="0" fontId="164" fillId="23" borderId="32" xfId="0" applyFont="1" applyFill="1" applyBorder="1" applyAlignment="1">
      <alignment horizontal="center" vertical="center"/>
    </xf>
    <xf numFmtId="3" fontId="164" fillId="0" borderId="20" xfId="0" applyNumberFormat="1" applyFont="1" applyFill="1" applyBorder="1" applyAlignment="1">
      <alignment horizontal="right" vertical="center" indent="1"/>
    </xf>
    <xf numFmtId="3" fontId="164" fillId="0" borderId="24" xfId="0" applyNumberFormat="1" applyFont="1" applyFill="1" applyBorder="1" applyAlignment="1">
      <alignment horizontal="right" vertical="center" indent="1"/>
    </xf>
    <xf numFmtId="3" fontId="164" fillId="0" borderId="22" xfId="0" applyNumberFormat="1" applyFont="1" applyFill="1" applyBorder="1" applyAlignment="1">
      <alignment horizontal="right" vertical="center" indent="1"/>
    </xf>
    <xf numFmtId="3" fontId="164" fillId="23" borderId="27" xfId="0" applyNumberFormat="1" applyFont="1" applyFill="1" applyBorder="1" applyAlignment="1">
      <alignment horizontal="right" vertical="center" indent="1"/>
    </xf>
    <xf numFmtId="3" fontId="164" fillId="23" borderId="37" xfId="0" applyNumberFormat="1" applyFont="1" applyFill="1" applyBorder="1" applyAlignment="1">
      <alignment horizontal="right" vertical="center" indent="1"/>
    </xf>
    <xf numFmtId="3" fontId="164" fillId="23" borderId="42" xfId="0" applyNumberFormat="1" applyFont="1" applyFill="1" applyBorder="1" applyAlignment="1">
      <alignment horizontal="right" vertical="center" indent="1"/>
    </xf>
    <xf numFmtId="0" fontId="58" fillId="0" borderId="0" xfId="0" applyFont="1" applyAlignment="1">
      <alignment horizontal="left" vertical="center"/>
    </xf>
    <xf numFmtId="0" fontId="69" fillId="0" borderId="0" xfId="0" applyFont="1" applyAlignment="1">
      <alignment horizontal="left" vertical="center"/>
    </xf>
    <xf numFmtId="0" fontId="119" fillId="0" borderId="0" xfId="0" applyFont="1" applyAlignment="1">
      <alignment horizontal="left" vertical="center"/>
    </xf>
    <xf numFmtId="0" fontId="69" fillId="0" borderId="0" xfId="66" applyFont="1" applyAlignment="1">
      <alignment horizontal="left" vertical="center"/>
    </xf>
    <xf numFmtId="0" fontId="60" fillId="0" borderId="0" xfId="0" applyFont="1" applyBorder="1" applyAlignment="1">
      <alignment vertical="center"/>
    </xf>
    <xf numFmtId="0" fontId="201" fillId="0" borderId="0" xfId="73" applyFont="1" applyAlignment="1">
      <alignment vertical="center"/>
    </xf>
    <xf numFmtId="0" fontId="69" fillId="0" borderId="0" xfId="0" applyFont="1" applyAlignment="1">
      <alignment horizontal="left" vertical="center" indent="1"/>
    </xf>
    <xf numFmtId="0" fontId="69" fillId="0" borderId="0" xfId="0" applyFont="1"/>
    <xf numFmtId="0" fontId="204" fillId="0" borderId="0" xfId="0" applyFont="1" applyAlignment="1">
      <alignment horizontal="left" readingOrder="1"/>
    </xf>
    <xf numFmtId="0" fontId="69" fillId="0" borderId="0" xfId="66" applyFont="1" applyFill="1" applyBorder="1" applyAlignment="1">
      <alignment vertical="center"/>
    </xf>
    <xf numFmtId="0" fontId="173" fillId="0" borderId="0" xfId="0" applyFont="1"/>
    <xf numFmtId="3" fontId="173" fillId="0" borderId="0" xfId="0" applyNumberFormat="1" applyFont="1"/>
    <xf numFmtId="0" fontId="205" fillId="0" borderId="0" xfId="0" applyFont="1" applyAlignment="1">
      <alignment horizontal="left" vertical="center" readingOrder="1"/>
    </xf>
    <xf numFmtId="1" fontId="116" fillId="23" borderId="13" xfId="50" applyNumberFormat="1" applyFont="1" applyFill="1" applyBorder="1" applyAlignment="1">
      <alignment horizontal="center" vertical="center" wrapText="1"/>
    </xf>
    <xf numFmtId="0" fontId="117" fillId="0" borderId="19" xfId="66" applyFont="1" applyFill="1" applyBorder="1" applyAlignment="1">
      <alignment horizontal="center" vertical="center"/>
    </xf>
    <xf numFmtId="1" fontId="116" fillId="23" borderId="14" xfId="50" applyNumberFormat="1" applyFont="1" applyFill="1" applyBorder="1" applyAlignment="1">
      <alignment horizontal="center" vertical="center" wrapText="1"/>
    </xf>
    <xf numFmtId="0" fontId="167" fillId="0" borderId="10" xfId="52" applyFont="1" applyFill="1" applyBorder="1" applyAlignment="1">
      <alignment horizontal="center" vertical="center"/>
    </xf>
    <xf numFmtId="3" fontId="167" fillId="0" borderId="13" xfId="53" applyNumberFormat="1" applyFont="1" applyFill="1" applyBorder="1" applyAlignment="1">
      <alignment horizontal="right" vertical="center" indent="1"/>
    </xf>
    <xf numFmtId="3" fontId="167" fillId="0" borderId="18" xfId="53" applyNumberFormat="1" applyFont="1" applyFill="1" applyBorder="1" applyAlignment="1">
      <alignment horizontal="right" vertical="center" indent="1"/>
    </xf>
    <xf numFmtId="0" fontId="166" fillId="0" borderId="10" xfId="52" applyFont="1" applyFill="1" applyBorder="1" applyAlignment="1">
      <alignment horizontal="center" vertical="center"/>
    </xf>
    <xf numFmtId="3" fontId="166" fillId="0" borderId="13" xfId="53" applyNumberFormat="1" applyFont="1" applyFill="1" applyBorder="1" applyAlignment="1">
      <alignment horizontal="right" vertical="center" indent="1"/>
    </xf>
    <xf numFmtId="3" fontId="166" fillId="0" borderId="18" xfId="53" applyNumberFormat="1" applyFont="1" applyFill="1" applyBorder="1" applyAlignment="1">
      <alignment horizontal="right" vertical="center" indent="1"/>
    </xf>
    <xf numFmtId="0" fontId="116" fillId="29" borderId="23" xfId="52" applyFont="1" applyFill="1" applyBorder="1" applyAlignment="1">
      <alignment horizontal="center" vertical="center"/>
    </xf>
    <xf numFmtId="3" fontId="125" fillId="29" borderId="20" xfId="53" applyNumberFormat="1" applyFont="1" applyFill="1" applyBorder="1" applyAlignment="1">
      <alignment horizontal="right" vertical="center" indent="1"/>
    </xf>
    <xf numFmtId="3" fontId="125" fillId="29" borderId="23" xfId="53" applyNumberFormat="1" applyFont="1" applyFill="1" applyBorder="1" applyAlignment="1">
      <alignment horizontal="right" vertical="center" indent="1"/>
    </xf>
    <xf numFmtId="3" fontId="125" fillId="29" borderId="24" xfId="53" applyNumberFormat="1" applyFont="1" applyFill="1" applyBorder="1" applyAlignment="1">
      <alignment horizontal="right" vertical="center" indent="1"/>
    </xf>
    <xf numFmtId="3" fontId="125" fillId="29" borderId="22" xfId="53" applyNumberFormat="1" applyFont="1" applyFill="1" applyBorder="1" applyAlignment="1">
      <alignment horizontal="right" vertical="center" indent="1"/>
    </xf>
    <xf numFmtId="0" fontId="166" fillId="23" borderId="32" xfId="66" applyFont="1" applyFill="1" applyBorder="1" applyAlignment="1">
      <alignment horizontal="center" vertical="center"/>
    </xf>
    <xf numFmtId="3" fontId="166" fillId="23" borderId="27" xfId="66" applyNumberFormat="1" applyFont="1" applyFill="1" applyBorder="1" applyAlignment="1">
      <alignment horizontal="right" vertical="center" indent="1"/>
    </xf>
    <xf numFmtId="0" fontId="167" fillId="23" borderId="32" xfId="66" applyFont="1" applyFill="1" applyBorder="1" applyAlignment="1">
      <alignment horizontal="center" vertical="center"/>
    </xf>
    <xf numFmtId="3" fontId="167" fillId="23" borderId="27" xfId="66" applyNumberFormat="1" applyFont="1" applyFill="1" applyBorder="1" applyAlignment="1">
      <alignment horizontal="right" vertical="center" indent="1"/>
    </xf>
    <xf numFmtId="3" fontId="167" fillId="23" borderId="32" xfId="66" applyNumberFormat="1" applyFont="1" applyFill="1" applyBorder="1" applyAlignment="1">
      <alignment horizontal="right" vertical="center" indent="1"/>
    </xf>
    <xf numFmtId="0" fontId="164" fillId="23" borderId="32" xfId="66" applyFont="1" applyFill="1" applyBorder="1" applyAlignment="1">
      <alignment horizontal="center" vertical="center"/>
    </xf>
    <xf numFmtId="3" fontId="164" fillId="23" borderId="27" xfId="66" applyNumberFormat="1" applyFont="1" applyFill="1" applyBorder="1" applyAlignment="1">
      <alignment horizontal="right" vertical="center" indent="1"/>
    </xf>
    <xf numFmtId="3" fontId="164" fillId="23" borderId="32" xfId="66" applyNumberFormat="1" applyFont="1" applyFill="1" applyBorder="1" applyAlignment="1">
      <alignment horizontal="right" vertical="center" indent="1"/>
    </xf>
    <xf numFmtId="0" fontId="163" fillId="23" borderId="32" xfId="66" applyFont="1" applyFill="1" applyBorder="1" applyAlignment="1">
      <alignment horizontal="center" vertical="center"/>
    </xf>
    <xf numFmtId="3" fontId="163" fillId="23" borderId="27" xfId="66" applyNumberFormat="1" applyFont="1" applyFill="1" applyBorder="1" applyAlignment="1">
      <alignment horizontal="right" vertical="center" indent="1"/>
    </xf>
    <xf numFmtId="3" fontId="163" fillId="23" borderId="32" xfId="66" applyNumberFormat="1" applyFont="1" applyFill="1" applyBorder="1" applyAlignment="1">
      <alignment horizontal="right" vertical="center" indent="1"/>
    </xf>
    <xf numFmtId="3" fontId="166" fillId="23" borderId="42" xfId="66" applyNumberFormat="1" applyFont="1" applyFill="1" applyBorder="1" applyAlignment="1">
      <alignment horizontal="right" vertical="center" indent="1"/>
    </xf>
    <xf numFmtId="0" fontId="165" fillId="23" borderId="32" xfId="66" applyFont="1" applyFill="1" applyBorder="1" applyAlignment="1">
      <alignment horizontal="center" vertical="center"/>
    </xf>
    <xf numFmtId="3" fontId="165" fillId="23" borderId="27" xfId="66" applyNumberFormat="1" applyFont="1" applyFill="1" applyBorder="1" applyAlignment="1">
      <alignment horizontal="right" vertical="center" indent="1"/>
    </xf>
    <xf numFmtId="3" fontId="165" fillId="23" borderId="32" xfId="66" applyNumberFormat="1" applyFont="1" applyFill="1" applyBorder="1" applyAlignment="1">
      <alignment horizontal="right" vertical="center" indent="1"/>
    </xf>
    <xf numFmtId="3" fontId="163" fillId="23" borderId="27" xfId="0" applyNumberFormat="1" applyFont="1" applyFill="1" applyBorder="1" applyAlignment="1">
      <alignment horizontal="right" indent="1"/>
    </xf>
    <xf numFmtId="3" fontId="163" fillId="23" borderId="37" xfId="0" applyNumberFormat="1" applyFont="1" applyFill="1" applyBorder="1" applyAlignment="1">
      <alignment horizontal="right" indent="1"/>
    </xf>
    <xf numFmtId="3" fontId="163" fillId="23" borderId="42" xfId="0" applyNumberFormat="1" applyFont="1" applyFill="1" applyBorder="1" applyAlignment="1">
      <alignment horizontal="right" indent="1"/>
    </xf>
    <xf numFmtId="3" fontId="164" fillId="23" borderId="27" xfId="0" applyNumberFormat="1" applyFont="1" applyFill="1" applyBorder="1" applyAlignment="1">
      <alignment horizontal="right" indent="1"/>
    </xf>
    <xf numFmtId="3" fontId="164" fillId="23" borderId="37" xfId="0" applyNumberFormat="1" applyFont="1" applyFill="1" applyBorder="1" applyAlignment="1">
      <alignment horizontal="right" indent="1"/>
    </xf>
    <xf numFmtId="3" fontId="164" fillId="23" borderId="42" xfId="0" applyNumberFormat="1" applyFont="1" applyFill="1" applyBorder="1" applyAlignment="1">
      <alignment horizontal="right" indent="1"/>
    </xf>
    <xf numFmtId="3" fontId="167" fillId="23" borderId="27" xfId="0" applyNumberFormat="1" applyFont="1" applyFill="1" applyBorder="1" applyAlignment="1">
      <alignment horizontal="right" indent="1"/>
    </xf>
    <xf numFmtId="3" fontId="167" fillId="23" borderId="37" xfId="0" applyNumberFormat="1" applyFont="1" applyFill="1" applyBorder="1" applyAlignment="1">
      <alignment horizontal="right" indent="1"/>
    </xf>
    <xf numFmtId="3" fontId="167" fillId="23" borderId="42" xfId="0" applyNumberFormat="1" applyFont="1" applyFill="1" applyBorder="1" applyAlignment="1">
      <alignment horizontal="right" indent="1"/>
    </xf>
    <xf numFmtId="0" fontId="166" fillId="23" borderId="32" xfId="0" applyFont="1" applyFill="1" applyBorder="1" applyAlignment="1">
      <alignment horizontal="center" vertical="center"/>
    </xf>
    <xf numFmtId="3" fontId="166" fillId="0" borderId="20" xfId="0" applyNumberFormat="1" applyFont="1" applyFill="1" applyBorder="1" applyAlignment="1">
      <alignment horizontal="right" indent="1"/>
    </xf>
    <xf numFmtId="3" fontId="166" fillId="0" borderId="24" xfId="0" applyNumberFormat="1" applyFont="1" applyFill="1" applyBorder="1" applyAlignment="1">
      <alignment horizontal="right" indent="1"/>
    </xf>
    <xf numFmtId="3" fontId="166" fillId="0" borderId="22" xfId="0" applyNumberFormat="1" applyFont="1" applyFill="1" applyBorder="1" applyAlignment="1">
      <alignment horizontal="right" indent="1"/>
    </xf>
    <xf numFmtId="3" fontId="166" fillId="23" borderId="27" xfId="0" applyNumberFormat="1" applyFont="1" applyFill="1" applyBorder="1" applyAlignment="1">
      <alignment horizontal="right" indent="1"/>
    </xf>
    <xf numFmtId="3" fontId="166" fillId="23" borderId="37" xfId="0" applyNumberFormat="1" applyFont="1" applyFill="1" applyBorder="1" applyAlignment="1">
      <alignment horizontal="right" indent="1"/>
    </xf>
    <xf numFmtId="3" fontId="166" fillId="23" borderId="42" xfId="0" applyNumberFormat="1" applyFont="1" applyFill="1" applyBorder="1" applyAlignment="1">
      <alignment horizontal="right" indent="1"/>
    </xf>
    <xf numFmtId="3" fontId="165" fillId="23" borderId="27" xfId="0" applyNumberFormat="1" applyFont="1" applyFill="1" applyBorder="1" applyAlignment="1">
      <alignment horizontal="right" indent="1"/>
    </xf>
    <xf numFmtId="3" fontId="165" fillId="23" borderId="37" xfId="0" applyNumberFormat="1" applyFont="1" applyFill="1" applyBorder="1" applyAlignment="1">
      <alignment horizontal="right" indent="1"/>
    </xf>
    <xf numFmtId="3" fontId="165" fillId="23" borderId="42" xfId="0" applyNumberFormat="1" applyFont="1" applyFill="1" applyBorder="1" applyAlignment="1">
      <alignment horizontal="right" indent="1"/>
    </xf>
    <xf numFmtId="0" fontId="163" fillId="29" borderId="10" xfId="52" applyFont="1" applyFill="1" applyBorder="1" applyAlignment="1">
      <alignment horizontal="center" vertical="center"/>
    </xf>
    <xf numFmtId="3" fontId="163" fillId="29" borderId="13" xfId="54" applyNumberFormat="1" applyFont="1" applyFill="1" applyBorder="1" applyAlignment="1">
      <alignment horizontal="right" wrapText="1" indent="1"/>
    </xf>
    <xf numFmtId="3" fontId="163" fillId="29" borderId="14" xfId="54" applyNumberFormat="1" applyFont="1" applyFill="1" applyBorder="1" applyAlignment="1">
      <alignment horizontal="right" wrapText="1" indent="1"/>
    </xf>
    <xf numFmtId="3" fontId="163" fillId="29" borderId="10" xfId="54" applyNumberFormat="1" applyFont="1" applyFill="1" applyBorder="1" applyAlignment="1">
      <alignment horizontal="right" wrapText="1" indent="1"/>
    </xf>
    <xf numFmtId="0" fontId="164" fillId="29" borderId="13" xfId="52" applyFont="1" applyFill="1" applyBorder="1" applyAlignment="1">
      <alignment vertical="center"/>
    </xf>
    <xf numFmtId="0" fontId="164" fillId="29" borderId="10" xfId="52" applyFont="1" applyFill="1" applyBorder="1" applyAlignment="1">
      <alignment horizontal="center" vertical="center"/>
    </xf>
    <xf numFmtId="3" fontId="164" fillId="29" borderId="13" xfId="54" applyNumberFormat="1" applyFont="1" applyFill="1" applyBorder="1" applyAlignment="1">
      <alignment horizontal="right" wrapText="1" indent="1"/>
    </xf>
    <xf numFmtId="3" fontId="164" fillId="29" borderId="14" xfId="54" applyNumberFormat="1" applyFont="1" applyFill="1" applyBorder="1" applyAlignment="1">
      <alignment horizontal="right" wrapText="1" indent="1"/>
    </xf>
    <xf numFmtId="3" fontId="164" fillId="29" borderId="10" xfId="54" applyNumberFormat="1" applyFont="1" applyFill="1" applyBorder="1" applyAlignment="1">
      <alignment horizontal="right" wrapText="1" indent="1"/>
    </xf>
    <xf numFmtId="0" fontId="167" fillId="29" borderId="10" xfId="52" applyFont="1" applyFill="1" applyBorder="1" applyAlignment="1">
      <alignment horizontal="center" vertical="center"/>
    </xf>
    <xf numFmtId="3" fontId="167" fillId="29" borderId="13" xfId="54" applyNumberFormat="1" applyFont="1" applyFill="1" applyBorder="1" applyAlignment="1">
      <alignment horizontal="right" wrapText="1" indent="1"/>
    </xf>
    <xf numFmtId="3" fontId="167" fillId="29" borderId="14" xfId="54" applyNumberFormat="1" applyFont="1" applyFill="1" applyBorder="1" applyAlignment="1">
      <alignment horizontal="right" wrapText="1" indent="1"/>
    </xf>
    <xf numFmtId="3" fontId="167" fillId="29" borderId="10" xfId="54" applyNumberFormat="1" applyFont="1" applyFill="1" applyBorder="1" applyAlignment="1">
      <alignment horizontal="right" wrapText="1" indent="1"/>
    </xf>
    <xf numFmtId="0" fontId="166" fillId="29" borderId="10" xfId="52" applyFont="1" applyFill="1" applyBorder="1" applyAlignment="1">
      <alignment horizontal="center" vertical="center"/>
    </xf>
    <xf numFmtId="3" fontId="166" fillId="29" borderId="13" xfId="54" applyNumberFormat="1" applyFont="1" applyFill="1" applyBorder="1" applyAlignment="1">
      <alignment horizontal="right" wrapText="1" indent="1"/>
    </xf>
    <xf numFmtId="3" fontId="166" fillId="29" borderId="14" xfId="54" applyNumberFormat="1" applyFont="1" applyFill="1" applyBorder="1" applyAlignment="1">
      <alignment horizontal="right" wrapText="1" indent="1"/>
    </xf>
    <xf numFmtId="3" fontId="166" fillId="29" borderId="10" xfId="54" applyNumberFormat="1" applyFont="1" applyFill="1" applyBorder="1" applyAlignment="1">
      <alignment horizontal="right" wrapText="1" indent="1"/>
    </xf>
    <xf numFmtId="0" fontId="165" fillId="29" borderId="10" xfId="52" applyFont="1" applyFill="1" applyBorder="1" applyAlignment="1">
      <alignment horizontal="center" vertical="center"/>
    </xf>
    <xf numFmtId="3" fontId="165" fillId="29" borderId="13" xfId="54" applyNumberFormat="1" applyFont="1" applyFill="1" applyBorder="1" applyAlignment="1">
      <alignment horizontal="right" wrapText="1" indent="1"/>
    </xf>
    <xf numFmtId="3" fontId="165" fillId="29" borderId="14" xfId="54" applyNumberFormat="1" applyFont="1" applyFill="1" applyBorder="1" applyAlignment="1">
      <alignment horizontal="right" wrapText="1" indent="1"/>
    </xf>
    <xf numFmtId="3" fontId="165" fillId="29" borderId="10" xfId="54" applyNumberFormat="1" applyFont="1" applyFill="1" applyBorder="1" applyAlignment="1">
      <alignment horizontal="right" wrapText="1" indent="1"/>
    </xf>
    <xf numFmtId="0" fontId="164" fillId="23" borderId="23" xfId="66" applyFont="1" applyFill="1" applyBorder="1" applyAlignment="1">
      <alignment horizontal="center" vertical="center"/>
    </xf>
    <xf numFmtId="3" fontId="164" fillId="23" borderId="20" xfId="66" applyNumberFormat="1" applyFont="1" applyFill="1" applyBorder="1" applyAlignment="1">
      <alignment horizontal="right" vertical="center" indent="1"/>
    </xf>
    <xf numFmtId="3" fontId="164" fillId="23" borderId="24" xfId="66" applyNumberFormat="1" applyFont="1" applyFill="1" applyBorder="1" applyAlignment="1">
      <alignment horizontal="right" vertical="center" indent="1"/>
    </xf>
    <xf numFmtId="3" fontId="164" fillId="23" borderId="22" xfId="66" applyNumberFormat="1" applyFont="1" applyFill="1" applyBorder="1" applyAlignment="1">
      <alignment horizontal="right" vertical="center" indent="1"/>
    </xf>
    <xf numFmtId="3" fontId="164" fillId="23" borderId="20" xfId="66" applyNumberFormat="1" applyFont="1" applyFill="1" applyBorder="1" applyAlignment="1">
      <alignment vertical="center"/>
    </xf>
    <xf numFmtId="3" fontId="164" fillId="23" borderId="24" xfId="66" applyNumberFormat="1" applyFont="1" applyFill="1" applyBorder="1" applyAlignment="1">
      <alignment vertical="center"/>
    </xf>
    <xf numFmtId="3" fontId="164" fillId="23" borderId="22" xfId="66" applyNumberFormat="1" applyFont="1" applyFill="1" applyBorder="1" applyAlignment="1">
      <alignment vertical="center"/>
    </xf>
    <xf numFmtId="0" fontId="163" fillId="23" borderId="23" xfId="66" applyFont="1" applyFill="1" applyBorder="1" applyAlignment="1">
      <alignment horizontal="center" vertical="center"/>
    </xf>
    <xf numFmtId="3" fontId="163" fillId="23" borderId="20" xfId="66" applyNumberFormat="1" applyFont="1" applyFill="1" applyBorder="1" applyAlignment="1">
      <alignment horizontal="right" vertical="center" indent="1"/>
    </xf>
    <xf numFmtId="3" fontId="163" fillId="23" borderId="24" xfId="66" applyNumberFormat="1" applyFont="1" applyFill="1" applyBorder="1" applyAlignment="1">
      <alignment horizontal="right" vertical="center" indent="1"/>
    </xf>
    <xf numFmtId="3" fontId="163" fillId="23" borderId="22" xfId="66" applyNumberFormat="1" applyFont="1" applyFill="1" applyBorder="1" applyAlignment="1">
      <alignment horizontal="right" vertical="center" indent="1"/>
    </xf>
    <xf numFmtId="3" fontId="163" fillId="23" borderId="20" xfId="66" applyNumberFormat="1" applyFont="1" applyFill="1" applyBorder="1" applyAlignment="1">
      <alignment vertical="center"/>
    </xf>
    <xf numFmtId="3" fontId="163" fillId="23" borderId="24" xfId="66" applyNumberFormat="1" applyFont="1" applyFill="1" applyBorder="1" applyAlignment="1">
      <alignment vertical="center"/>
    </xf>
    <xf numFmtId="3" fontId="163" fillId="23" borderId="22" xfId="66" applyNumberFormat="1" applyFont="1" applyFill="1" applyBorder="1" applyAlignment="1">
      <alignment vertical="center"/>
    </xf>
    <xf numFmtId="0" fontId="167" fillId="23" borderId="23" xfId="66" applyFont="1" applyFill="1" applyBorder="1" applyAlignment="1">
      <alignment horizontal="center" vertical="center"/>
    </xf>
    <xf numFmtId="3" fontId="167" fillId="23" borderId="20" xfId="66" applyNumberFormat="1" applyFont="1" applyFill="1" applyBorder="1" applyAlignment="1">
      <alignment horizontal="right" vertical="center" indent="1"/>
    </xf>
    <xf numFmtId="3" fontId="167" fillId="23" borderId="24" xfId="66" applyNumberFormat="1" applyFont="1" applyFill="1" applyBorder="1" applyAlignment="1">
      <alignment horizontal="right" vertical="center" indent="1"/>
    </xf>
    <xf numFmtId="3" fontId="167" fillId="23" borderId="22" xfId="66" applyNumberFormat="1" applyFont="1" applyFill="1" applyBorder="1" applyAlignment="1">
      <alignment horizontal="right" vertical="center" indent="1"/>
    </xf>
    <xf numFmtId="3" fontId="167" fillId="23" borderId="20" xfId="66" applyNumberFormat="1" applyFont="1" applyFill="1" applyBorder="1" applyAlignment="1">
      <alignment vertical="center"/>
    </xf>
    <xf numFmtId="3" fontId="167" fillId="23" borderId="24" xfId="66" applyNumberFormat="1" applyFont="1" applyFill="1" applyBorder="1" applyAlignment="1">
      <alignment vertical="center"/>
    </xf>
    <xf numFmtId="3" fontId="167" fillId="23" borderId="22" xfId="66" applyNumberFormat="1" applyFont="1" applyFill="1" applyBorder="1" applyAlignment="1">
      <alignment vertical="center"/>
    </xf>
    <xf numFmtId="3" fontId="165" fillId="23" borderId="20" xfId="66" applyNumberFormat="1" applyFont="1" applyFill="1" applyBorder="1" applyAlignment="1">
      <alignment horizontal="right" vertical="center" indent="1"/>
    </xf>
    <xf numFmtId="3" fontId="165" fillId="23" borderId="24" xfId="66" applyNumberFormat="1" applyFont="1" applyFill="1" applyBorder="1" applyAlignment="1">
      <alignment horizontal="right" vertical="center" indent="1"/>
    </xf>
    <xf numFmtId="3" fontId="165" fillId="23" borderId="22" xfId="66" applyNumberFormat="1" applyFont="1" applyFill="1" applyBorder="1" applyAlignment="1">
      <alignment horizontal="right" vertical="center" indent="1"/>
    </xf>
    <xf numFmtId="3" fontId="166" fillId="0" borderId="20" xfId="66" applyNumberFormat="1" applyFont="1" applyFill="1" applyBorder="1" applyAlignment="1">
      <alignment horizontal="right" vertical="center" indent="1"/>
    </xf>
    <xf numFmtId="3" fontId="166" fillId="0" borderId="24" xfId="66" applyNumberFormat="1" applyFont="1" applyFill="1" applyBorder="1" applyAlignment="1">
      <alignment horizontal="right" vertical="center" indent="1"/>
    </xf>
    <xf numFmtId="3" fontId="166" fillId="0" borderId="22" xfId="66" applyNumberFormat="1" applyFont="1" applyFill="1" applyBorder="1" applyAlignment="1">
      <alignment horizontal="right" vertical="center" indent="1"/>
    </xf>
    <xf numFmtId="3" fontId="166" fillId="23" borderId="20" xfId="66" applyNumberFormat="1" applyFont="1" applyFill="1" applyBorder="1" applyAlignment="1">
      <alignment horizontal="right" vertical="center" indent="1"/>
    </xf>
    <xf numFmtId="3" fontId="166" fillId="23" borderId="24" xfId="66" applyNumberFormat="1" applyFont="1" applyFill="1" applyBorder="1" applyAlignment="1">
      <alignment horizontal="right" vertical="center" indent="1"/>
    </xf>
    <xf numFmtId="3" fontId="166" fillId="23" borderId="22" xfId="66" applyNumberFormat="1" applyFont="1" applyFill="1" applyBorder="1" applyAlignment="1">
      <alignment horizontal="right" vertical="center" indent="1"/>
    </xf>
    <xf numFmtId="0" fontId="165" fillId="23" borderId="23" xfId="66" applyFont="1" applyFill="1" applyBorder="1" applyAlignment="1">
      <alignment horizontal="center" vertical="center"/>
    </xf>
    <xf numFmtId="3" fontId="165" fillId="23" borderId="20" xfId="66" applyNumberFormat="1" applyFont="1" applyFill="1" applyBorder="1" applyAlignment="1">
      <alignment vertical="center"/>
    </xf>
    <xf numFmtId="3" fontId="165" fillId="23" borderId="24" xfId="66" applyNumberFormat="1" applyFont="1" applyFill="1" applyBorder="1" applyAlignment="1">
      <alignment vertical="center"/>
    </xf>
    <xf numFmtId="3" fontId="165" fillId="23" borderId="22" xfId="66" applyNumberFormat="1" applyFont="1" applyFill="1" applyBorder="1" applyAlignment="1">
      <alignment vertical="center"/>
    </xf>
    <xf numFmtId="3" fontId="165" fillId="23" borderId="37" xfId="66" applyNumberFormat="1" applyFont="1" applyFill="1" applyBorder="1" applyAlignment="1">
      <alignment horizontal="right" vertical="center" indent="1"/>
    </xf>
    <xf numFmtId="3" fontId="165" fillId="23" borderId="42" xfId="66" applyNumberFormat="1" applyFont="1" applyFill="1" applyBorder="1" applyAlignment="1">
      <alignment horizontal="right" vertical="center" indent="1"/>
    </xf>
    <xf numFmtId="3" fontId="167" fillId="23" borderId="37" xfId="66" applyNumberFormat="1" applyFont="1" applyFill="1" applyBorder="1" applyAlignment="1">
      <alignment horizontal="right" vertical="center" indent="1"/>
    </xf>
    <xf numFmtId="3" fontId="167" fillId="23" borderId="42" xfId="66" applyNumberFormat="1" applyFont="1" applyFill="1" applyBorder="1" applyAlignment="1">
      <alignment horizontal="right" vertical="center" indent="1"/>
    </xf>
    <xf numFmtId="3" fontId="163" fillId="23" borderId="37" xfId="66" applyNumberFormat="1" applyFont="1" applyFill="1" applyBorder="1" applyAlignment="1">
      <alignment horizontal="right" vertical="center" indent="1"/>
    </xf>
    <xf numFmtId="3" fontId="163" fillId="23" borderId="42" xfId="66" applyNumberFormat="1" applyFont="1" applyFill="1" applyBorder="1" applyAlignment="1">
      <alignment horizontal="right" vertical="center" indent="1"/>
    </xf>
    <xf numFmtId="3" fontId="164" fillId="23" borderId="37" xfId="66" applyNumberFormat="1" applyFont="1" applyFill="1" applyBorder="1" applyAlignment="1">
      <alignment horizontal="right" vertical="center" indent="1"/>
    </xf>
    <xf numFmtId="3" fontId="164" fillId="23" borderId="42" xfId="66" applyNumberFormat="1" applyFont="1" applyFill="1" applyBorder="1" applyAlignment="1">
      <alignment horizontal="right" vertical="center" indent="1"/>
    </xf>
    <xf numFmtId="3" fontId="166" fillId="23" borderId="37" xfId="66" applyNumberFormat="1" applyFont="1" applyFill="1" applyBorder="1" applyAlignment="1">
      <alignment horizontal="right" vertical="center" indent="1"/>
    </xf>
    <xf numFmtId="0" fontId="167" fillId="23" borderId="32" xfId="640" applyFont="1" applyFill="1" applyBorder="1" applyAlignment="1">
      <alignment horizontal="center" vertical="center"/>
    </xf>
    <xf numFmtId="3" fontId="167" fillId="23" borderId="27" xfId="640" applyNumberFormat="1" applyFont="1" applyFill="1" applyBorder="1" applyAlignment="1">
      <alignment horizontal="right" vertical="center" indent="1"/>
    </xf>
    <xf numFmtId="3" fontId="167" fillId="23" borderId="37" xfId="640" applyNumberFormat="1" applyFont="1" applyFill="1" applyBorder="1" applyAlignment="1">
      <alignment horizontal="right" vertical="center" indent="1"/>
    </xf>
    <xf numFmtId="3" fontId="167" fillId="23" borderId="42" xfId="640" applyNumberFormat="1" applyFont="1" applyFill="1" applyBorder="1" applyAlignment="1">
      <alignment horizontal="right" vertical="center" indent="1"/>
    </xf>
    <xf numFmtId="0" fontId="163" fillId="23" borderId="32" xfId="640" applyFont="1" applyFill="1" applyBorder="1" applyAlignment="1">
      <alignment horizontal="center" vertical="center"/>
    </xf>
    <xf numFmtId="3" fontId="163" fillId="23" borderId="27" xfId="640" applyNumberFormat="1" applyFont="1" applyFill="1" applyBorder="1" applyAlignment="1">
      <alignment horizontal="right" vertical="center" indent="1"/>
    </xf>
    <xf numFmtId="3" fontId="163" fillId="23" borderId="37" xfId="640" applyNumberFormat="1" applyFont="1" applyFill="1" applyBorder="1" applyAlignment="1">
      <alignment horizontal="right" vertical="center" indent="1"/>
    </xf>
    <xf numFmtId="3" fontId="163" fillId="23" borderId="42" xfId="640" applyNumberFormat="1" applyFont="1" applyFill="1" applyBorder="1" applyAlignment="1">
      <alignment horizontal="right" vertical="center" indent="1"/>
    </xf>
    <xf numFmtId="0" fontId="165" fillId="23" borderId="32" xfId="640" applyFont="1" applyFill="1" applyBorder="1" applyAlignment="1">
      <alignment horizontal="center" vertical="center"/>
    </xf>
    <xf numFmtId="3" fontId="165" fillId="23" borderId="27" xfId="640" applyNumberFormat="1" applyFont="1" applyFill="1" applyBorder="1" applyAlignment="1">
      <alignment horizontal="right" vertical="center" indent="1"/>
    </xf>
    <xf numFmtId="3" fontId="165" fillId="23" borderId="37" xfId="640" applyNumberFormat="1" applyFont="1" applyFill="1" applyBorder="1" applyAlignment="1">
      <alignment horizontal="right" vertical="center" indent="1"/>
    </xf>
    <xf numFmtId="3" fontId="165" fillId="23" borderId="42" xfId="640" applyNumberFormat="1" applyFont="1" applyFill="1" applyBorder="1" applyAlignment="1">
      <alignment horizontal="right" vertical="center" indent="1"/>
    </xf>
    <xf numFmtId="0" fontId="164" fillId="23" borderId="32" xfId="640" applyFont="1" applyFill="1" applyBorder="1" applyAlignment="1">
      <alignment horizontal="center" vertical="center"/>
    </xf>
    <xf numFmtId="3" fontId="164" fillId="23" borderId="27" xfId="640" applyNumberFormat="1" applyFont="1" applyFill="1" applyBorder="1" applyAlignment="1">
      <alignment horizontal="right" vertical="center" indent="1"/>
    </xf>
    <xf numFmtId="3" fontId="164" fillId="23" borderId="37" xfId="640" applyNumberFormat="1" applyFont="1" applyFill="1" applyBorder="1" applyAlignment="1">
      <alignment horizontal="right" vertical="center" indent="1"/>
    </xf>
    <xf numFmtId="3" fontId="164" fillId="23" borderId="42" xfId="640" applyNumberFormat="1" applyFont="1" applyFill="1" applyBorder="1" applyAlignment="1">
      <alignment horizontal="right" vertical="center" indent="1"/>
    </xf>
    <xf numFmtId="0" fontId="117" fillId="0" borderId="51" xfId="52" applyFont="1" applyFill="1" applyBorder="1" applyAlignment="1">
      <alignment horizontal="left" vertical="center"/>
    </xf>
    <xf numFmtId="3" fontId="125" fillId="0" borderId="45" xfId="53" applyNumberFormat="1" applyFont="1" applyFill="1" applyBorder="1" applyAlignment="1">
      <alignment horizontal="right" vertical="center" indent="1"/>
    </xf>
    <xf numFmtId="3" fontId="117" fillId="0" borderId="45" xfId="48" applyNumberFormat="1" applyFont="1" applyFill="1" applyBorder="1" applyAlignment="1">
      <alignment horizontal="right" vertical="center" indent="1"/>
    </xf>
    <xf numFmtId="3" fontId="117" fillId="0" borderId="52" xfId="48" applyNumberFormat="1" applyFont="1" applyFill="1" applyBorder="1" applyAlignment="1">
      <alignment horizontal="right" vertical="center" indent="1"/>
    </xf>
    <xf numFmtId="3" fontId="117" fillId="0" borderId="53" xfId="48" applyNumberFormat="1" applyFont="1" applyFill="1" applyBorder="1" applyAlignment="1">
      <alignment horizontal="right" vertical="center" indent="1"/>
    </xf>
    <xf numFmtId="3" fontId="117" fillId="0" borderId="51" xfId="48" applyNumberFormat="1" applyFont="1" applyFill="1" applyBorder="1" applyAlignment="1">
      <alignment horizontal="right" vertical="center" indent="1"/>
    </xf>
    <xf numFmtId="0" fontId="117" fillId="0" borderId="54" xfId="52" applyFont="1" applyFill="1" applyBorder="1" applyAlignment="1">
      <alignment horizontal="left" vertical="center"/>
    </xf>
    <xf numFmtId="3" fontId="125" fillId="0" borderId="46" xfId="53" applyNumberFormat="1" applyFont="1" applyFill="1" applyBorder="1" applyAlignment="1">
      <alignment horizontal="right" vertical="center" indent="1"/>
    </xf>
    <xf numFmtId="3" fontId="117" fillId="0" borderId="46" xfId="48" applyNumberFormat="1" applyFont="1" applyFill="1" applyBorder="1" applyAlignment="1">
      <alignment horizontal="right" vertical="center" indent="1"/>
    </xf>
    <xf numFmtId="3" fontId="117" fillId="0" borderId="47" xfId="48" applyNumberFormat="1" applyFont="1" applyFill="1" applyBorder="1" applyAlignment="1">
      <alignment horizontal="right" vertical="center" indent="1"/>
    </xf>
    <xf numFmtId="3" fontId="117" fillId="0" borderId="55" xfId="48" applyNumberFormat="1" applyFont="1" applyFill="1" applyBorder="1" applyAlignment="1">
      <alignment horizontal="right" vertical="center" indent="1"/>
    </xf>
    <xf numFmtId="3" fontId="117" fillId="0" borderId="54" xfId="48" applyNumberFormat="1" applyFont="1" applyFill="1" applyBorder="1" applyAlignment="1">
      <alignment horizontal="right" vertical="center" indent="1"/>
    </xf>
    <xf numFmtId="0" fontId="116" fillId="23" borderId="46" xfId="52" applyFont="1" applyFill="1" applyBorder="1" applyAlignment="1">
      <alignment horizontal="center" vertical="center"/>
    </xf>
    <xf numFmtId="3" fontId="116" fillId="23" borderId="47" xfId="48" applyNumberFormat="1" applyFont="1" applyFill="1" applyBorder="1" applyAlignment="1">
      <alignment horizontal="right" vertical="center" indent="1"/>
    </xf>
    <xf numFmtId="3" fontId="116" fillId="23" borderId="46" xfId="48" applyNumberFormat="1" applyFont="1" applyFill="1" applyBorder="1" applyAlignment="1">
      <alignment horizontal="right" vertical="center" indent="1"/>
    </xf>
    <xf numFmtId="3" fontId="116" fillId="23" borderId="55" xfId="48" applyNumberFormat="1" applyFont="1" applyFill="1" applyBorder="1" applyAlignment="1">
      <alignment horizontal="right" vertical="center" indent="1"/>
    </xf>
    <xf numFmtId="3" fontId="116" fillId="23" borderId="54" xfId="48" applyNumberFormat="1" applyFont="1" applyFill="1" applyBorder="1" applyAlignment="1">
      <alignment horizontal="right" vertical="center" indent="1"/>
    </xf>
    <xf numFmtId="3" fontId="117" fillId="0" borderId="46" xfId="0" applyNumberFormat="1" applyFont="1" applyBorder="1"/>
    <xf numFmtId="3" fontId="117" fillId="0" borderId="54" xfId="0" applyNumberFormat="1" applyFont="1" applyBorder="1"/>
    <xf numFmtId="0" fontId="191" fillId="0" borderId="54" xfId="52" applyFont="1" applyFill="1" applyBorder="1" applyAlignment="1">
      <alignment horizontal="left" vertical="center"/>
    </xf>
    <xf numFmtId="3" fontId="117" fillId="0" borderId="69" xfId="0" applyNumberFormat="1" applyFont="1" applyBorder="1"/>
    <xf numFmtId="3" fontId="117" fillId="0" borderId="69" xfId="48" applyNumberFormat="1" applyFont="1" applyFill="1" applyBorder="1" applyAlignment="1">
      <alignment horizontal="right" vertical="center" indent="1"/>
    </xf>
    <xf numFmtId="3" fontId="117" fillId="0" borderId="70" xfId="48" applyNumberFormat="1" applyFont="1" applyFill="1" applyBorder="1" applyAlignment="1">
      <alignment horizontal="right" vertical="center" indent="1"/>
    </xf>
    <xf numFmtId="3" fontId="117" fillId="0" borderId="71" xfId="48" applyNumberFormat="1" applyFont="1" applyFill="1" applyBorder="1" applyAlignment="1">
      <alignment horizontal="right" vertical="center" indent="1"/>
    </xf>
    <xf numFmtId="3" fontId="117" fillId="0" borderId="72" xfId="48" applyNumberFormat="1" applyFont="1" applyFill="1" applyBorder="1" applyAlignment="1">
      <alignment horizontal="right" vertical="center" indent="1"/>
    </xf>
    <xf numFmtId="3" fontId="125" fillId="0" borderId="69" xfId="53" applyNumberFormat="1" applyFont="1" applyFill="1" applyBorder="1" applyAlignment="1">
      <alignment horizontal="right" vertical="center" indent="1"/>
    </xf>
    <xf numFmtId="0" fontId="117" fillId="0" borderId="72" xfId="52" applyFont="1" applyFill="1" applyBorder="1" applyAlignment="1">
      <alignment horizontal="left" vertical="center"/>
    </xf>
    <xf numFmtId="0" fontId="163" fillId="23" borderId="23" xfId="48" applyFont="1" applyFill="1" applyBorder="1" applyAlignment="1">
      <alignment horizontal="center" vertical="center"/>
    </xf>
    <xf numFmtId="3" fontId="163" fillId="23" borderId="23" xfId="48" applyNumberFormat="1" applyFont="1" applyFill="1" applyBorder="1" applyAlignment="1">
      <alignment horizontal="right" vertical="center" indent="1"/>
    </xf>
    <xf numFmtId="3" fontId="163" fillId="23" borderId="20" xfId="48" applyNumberFormat="1" applyFont="1" applyFill="1" applyBorder="1" applyAlignment="1">
      <alignment horizontal="right" vertical="center" indent="1"/>
    </xf>
    <xf numFmtId="3" fontId="163" fillId="23" borderId="24" xfId="48" applyNumberFormat="1" applyFont="1" applyFill="1" applyBorder="1" applyAlignment="1">
      <alignment horizontal="right" vertical="center" indent="1"/>
    </xf>
    <xf numFmtId="3" fontId="163" fillId="23" borderId="22" xfId="48" applyNumberFormat="1" applyFont="1" applyFill="1" applyBorder="1" applyAlignment="1">
      <alignment horizontal="right" vertical="center" indent="1"/>
    </xf>
    <xf numFmtId="0" fontId="167" fillId="23" borderId="23" xfId="48" applyFont="1" applyFill="1" applyBorder="1" applyAlignment="1">
      <alignment horizontal="center" vertical="center"/>
    </xf>
    <xf numFmtId="3" fontId="167" fillId="23" borderId="23" xfId="48" applyNumberFormat="1" applyFont="1" applyFill="1" applyBorder="1" applyAlignment="1">
      <alignment horizontal="right" vertical="center" indent="1"/>
    </xf>
    <xf numFmtId="3" fontId="167" fillId="23" borderId="20" xfId="48" applyNumberFormat="1" applyFont="1" applyFill="1" applyBorder="1" applyAlignment="1">
      <alignment horizontal="right" vertical="center" indent="1"/>
    </xf>
    <xf numFmtId="3" fontId="167" fillId="23" borderId="24" xfId="48" applyNumberFormat="1" applyFont="1" applyFill="1" applyBorder="1" applyAlignment="1">
      <alignment horizontal="right" vertical="center" indent="1"/>
    </xf>
    <xf numFmtId="3" fontId="167" fillId="23" borderId="22" xfId="48" applyNumberFormat="1" applyFont="1" applyFill="1" applyBorder="1" applyAlignment="1">
      <alignment horizontal="right" vertical="center" indent="1"/>
    </xf>
    <xf numFmtId="0" fontId="164" fillId="23" borderId="23" xfId="48" applyFont="1" applyFill="1" applyBorder="1" applyAlignment="1">
      <alignment horizontal="center" vertical="center"/>
    </xf>
    <xf numFmtId="3" fontId="164" fillId="23" borderId="23" xfId="48" applyNumberFormat="1" applyFont="1" applyFill="1" applyBorder="1" applyAlignment="1">
      <alignment horizontal="right" vertical="center" indent="1"/>
    </xf>
    <xf numFmtId="3" fontId="164" fillId="23" borderId="20" xfId="48" applyNumberFormat="1" applyFont="1" applyFill="1" applyBorder="1" applyAlignment="1">
      <alignment horizontal="right" vertical="center" indent="1"/>
    </xf>
    <xf numFmtId="3" fontId="164" fillId="23" borderId="24" xfId="48" applyNumberFormat="1" applyFont="1" applyFill="1" applyBorder="1" applyAlignment="1">
      <alignment horizontal="right" vertical="center" indent="1"/>
    </xf>
    <xf numFmtId="3" fontId="164" fillId="23" borderId="22" xfId="48" applyNumberFormat="1" applyFont="1" applyFill="1" applyBorder="1" applyAlignment="1">
      <alignment horizontal="right" vertical="center" indent="1"/>
    </xf>
    <xf numFmtId="0" fontId="165" fillId="23" borderId="23" xfId="48" applyFont="1" applyFill="1" applyBorder="1" applyAlignment="1">
      <alignment horizontal="center" vertical="center"/>
    </xf>
    <xf numFmtId="3" fontId="165" fillId="23" borderId="23" xfId="48" applyNumberFormat="1" applyFont="1" applyFill="1" applyBorder="1" applyAlignment="1">
      <alignment horizontal="right" vertical="center" indent="1"/>
    </xf>
    <xf numFmtId="3" fontId="165" fillId="23" borderId="20" xfId="48" applyNumberFormat="1" applyFont="1" applyFill="1" applyBorder="1" applyAlignment="1">
      <alignment horizontal="right" vertical="center" indent="1"/>
    </xf>
    <xf numFmtId="3" fontId="165" fillId="23" borderId="24" xfId="48" applyNumberFormat="1" applyFont="1" applyFill="1" applyBorder="1" applyAlignment="1">
      <alignment horizontal="right" vertical="center" indent="1"/>
    </xf>
    <xf numFmtId="3" fontId="165" fillId="23" borderId="22" xfId="48" applyNumberFormat="1" applyFont="1" applyFill="1" applyBorder="1" applyAlignment="1">
      <alignment horizontal="right" vertical="center" indent="1"/>
    </xf>
    <xf numFmtId="0" fontId="163" fillId="29" borderId="13" xfId="374" applyFont="1" applyFill="1" applyBorder="1" applyAlignment="1">
      <alignment vertical="center"/>
    </xf>
    <xf numFmtId="0" fontId="163" fillId="29" borderId="10" xfId="374" applyFont="1" applyFill="1" applyBorder="1" applyAlignment="1">
      <alignment horizontal="center" vertical="center"/>
    </xf>
    <xf numFmtId="0" fontId="154" fillId="29" borderId="23" xfId="374" applyFont="1" applyFill="1" applyBorder="1" applyAlignment="1">
      <alignment horizontal="left" vertical="center" indent="1"/>
    </xf>
    <xf numFmtId="3" fontId="163" fillId="29" borderId="23" xfId="374" applyNumberFormat="1" applyFont="1" applyFill="1" applyBorder="1" applyAlignment="1">
      <alignment horizontal="right" vertical="center" indent="1"/>
    </xf>
    <xf numFmtId="0" fontId="167" fillId="29" borderId="13" xfId="374" applyFont="1" applyFill="1" applyBorder="1" applyAlignment="1">
      <alignment vertical="center"/>
    </xf>
    <xf numFmtId="0" fontId="167" fillId="29" borderId="10" xfId="374" applyFont="1" applyFill="1" applyBorder="1" applyAlignment="1">
      <alignment horizontal="center" vertical="center"/>
    </xf>
    <xf numFmtId="0" fontId="156" fillId="29" borderId="21" xfId="374" applyFont="1" applyFill="1" applyBorder="1" applyAlignment="1">
      <alignment horizontal="left" vertical="center" indent="1"/>
    </xf>
    <xf numFmtId="3" fontId="167" fillId="29" borderId="21" xfId="374" applyNumberFormat="1" applyFont="1" applyFill="1" applyBorder="1" applyAlignment="1">
      <alignment horizontal="right" vertical="center" indent="1"/>
    </xf>
    <xf numFmtId="0" fontId="165" fillId="29" borderId="13" xfId="374" applyFont="1" applyFill="1" applyBorder="1" applyAlignment="1">
      <alignment vertical="center"/>
    </xf>
    <xf numFmtId="0" fontId="165" fillId="29" borderId="10" xfId="374" applyFont="1" applyFill="1" applyBorder="1" applyAlignment="1">
      <alignment horizontal="center" vertical="center"/>
    </xf>
    <xf numFmtId="0" fontId="157" fillId="29" borderId="21" xfId="374" applyFont="1" applyFill="1" applyBorder="1" applyAlignment="1">
      <alignment horizontal="left" vertical="center" indent="1"/>
    </xf>
    <xf numFmtId="3" fontId="165" fillId="29" borderId="21" xfId="374" applyNumberFormat="1" applyFont="1" applyFill="1" applyBorder="1" applyAlignment="1">
      <alignment horizontal="right" vertical="center" indent="1"/>
    </xf>
    <xf numFmtId="0" fontId="164" fillId="29" borderId="13" xfId="374" applyFont="1" applyFill="1" applyBorder="1" applyAlignment="1">
      <alignment vertical="center"/>
    </xf>
    <xf numFmtId="0" fontId="164" fillId="29" borderId="10" xfId="374" applyFont="1" applyFill="1" applyBorder="1" applyAlignment="1">
      <alignment horizontal="center" vertical="center"/>
    </xf>
    <xf numFmtId="0" fontId="155" fillId="29" borderId="14" xfId="374" applyFont="1" applyFill="1" applyBorder="1" applyAlignment="1">
      <alignment horizontal="left" vertical="center" indent="1"/>
    </xf>
    <xf numFmtId="3" fontId="164" fillId="29" borderId="18" xfId="374" applyNumberFormat="1" applyFont="1" applyFill="1" applyBorder="1" applyAlignment="1">
      <alignment horizontal="right" vertical="center" indent="1"/>
    </xf>
    <xf numFmtId="0" fontId="165" fillId="23" borderId="27" xfId="0" applyFont="1" applyFill="1" applyBorder="1" applyAlignment="1">
      <alignment horizontal="center" vertical="center"/>
    </xf>
    <xf numFmtId="3" fontId="165" fillId="23" borderId="32" xfId="0" applyNumberFormat="1" applyFont="1" applyFill="1" applyBorder="1" applyAlignment="1">
      <alignment horizontal="right" vertical="center" indent="1"/>
    </xf>
    <xf numFmtId="0" fontId="167" fillId="23" borderId="27" xfId="0" applyFont="1" applyFill="1" applyBorder="1" applyAlignment="1">
      <alignment horizontal="center" vertical="center"/>
    </xf>
    <xf numFmtId="3" fontId="167" fillId="23" borderId="32" xfId="0" applyNumberFormat="1" applyFont="1" applyFill="1" applyBorder="1" applyAlignment="1">
      <alignment horizontal="right" vertical="center" indent="1"/>
    </xf>
    <xf numFmtId="0" fontId="163" fillId="23" borderId="27" xfId="0" applyFont="1" applyFill="1" applyBorder="1" applyAlignment="1">
      <alignment horizontal="center" vertical="center"/>
    </xf>
    <xf numFmtId="3" fontId="163" fillId="23" borderId="32" xfId="0" applyNumberFormat="1" applyFont="1" applyFill="1" applyBorder="1" applyAlignment="1">
      <alignment horizontal="right" vertical="center" indent="1"/>
    </xf>
    <xf numFmtId="0" fontId="164" fillId="23" borderId="27" xfId="0" applyFont="1" applyFill="1" applyBorder="1" applyAlignment="1">
      <alignment horizontal="center" vertical="center"/>
    </xf>
    <xf numFmtId="0" fontId="164" fillId="23" borderId="27" xfId="0" applyFont="1" applyFill="1" applyBorder="1" applyAlignment="1">
      <alignment horizontal="right" vertical="center" indent="1"/>
    </xf>
    <xf numFmtId="0" fontId="164" fillId="23" borderId="37" xfId="0" applyFont="1" applyFill="1" applyBorder="1" applyAlignment="1">
      <alignment horizontal="right" vertical="center" indent="1"/>
    </xf>
    <xf numFmtId="3" fontId="164" fillId="23" borderId="32" xfId="0" applyNumberFormat="1" applyFont="1" applyFill="1" applyBorder="1" applyAlignment="1">
      <alignment horizontal="right" vertical="center" indent="1"/>
    </xf>
    <xf numFmtId="0" fontId="163" fillId="23" borderId="32" xfId="631" applyFont="1" applyFill="1" applyBorder="1" applyAlignment="1">
      <alignment horizontal="center" vertical="center"/>
    </xf>
    <xf numFmtId="177" fontId="163" fillId="23" borderId="27" xfId="631" applyNumberFormat="1" applyFont="1" applyFill="1" applyBorder="1" applyAlignment="1">
      <alignment horizontal="right" vertical="center" indent="1"/>
    </xf>
    <xf numFmtId="177" fontId="163" fillId="23" borderId="32" xfId="631" applyNumberFormat="1" applyFont="1" applyFill="1" applyBorder="1" applyAlignment="1">
      <alignment horizontal="right" vertical="center" indent="1"/>
    </xf>
    <xf numFmtId="0" fontId="164" fillId="23" borderId="32" xfId="631" applyFont="1" applyFill="1" applyBorder="1" applyAlignment="1">
      <alignment horizontal="center" vertical="center"/>
    </xf>
    <xf numFmtId="177" fontId="164" fillId="23" borderId="27" xfId="631" applyNumberFormat="1" applyFont="1" applyFill="1" applyBorder="1" applyAlignment="1">
      <alignment horizontal="right" vertical="center" indent="1"/>
    </xf>
    <xf numFmtId="177" fontId="164" fillId="23" borderId="37" xfId="631" applyNumberFormat="1" applyFont="1" applyFill="1" applyBorder="1" applyAlignment="1">
      <alignment horizontal="right" vertical="center" indent="1"/>
    </xf>
    <xf numFmtId="177" fontId="164" fillId="23" borderId="42" xfId="631" applyNumberFormat="1" applyFont="1" applyFill="1" applyBorder="1" applyAlignment="1">
      <alignment horizontal="right" vertical="center" indent="1"/>
    </xf>
    <xf numFmtId="177" fontId="164" fillId="23" borderId="32" xfId="631" applyNumberFormat="1" applyFont="1" applyFill="1" applyBorder="1" applyAlignment="1">
      <alignment horizontal="right" vertical="center" indent="1"/>
    </xf>
    <xf numFmtId="0" fontId="167" fillId="23" borderId="32" xfId="631" applyFont="1" applyFill="1" applyBorder="1" applyAlignment="1">
      <alignment horizontal="center" vertical="center"/>
    </xf>
    <xf numFmtId="177" fontId="167" fillId="23" borderId="27" xfId="631" applyNumberFormat="1" applyFont="1" applyFill="1" applyBorder="1" applyAlignment="1">
      <alignment horizontal="right" vertical="center" indent="1"/>
    </xf>
    <xf numFmtId="177" fontId="167" fillId="23" borderId="32" xfId="631" applyNumberFormat="1" applyFont="1" applyFill="1" applyBorder="1" applyAlignment="1">
      <alignment horizontal="right" vertical="center" indent="1"/>
    </xf>
    <xf numFmtId="0" fontId="165" fillId="23" borderId="32" xfId="631" applyFont="1" applyFill="1" applyBorder="1" applyAlignment="1">
      <alignment horizontal="center" vertical="center"/>
    </xf>
    <xf numFmtId="177" fontId="165" fillId="23" borderId="27" xfId="631" applyNumberFormat="1" applyFont="1" applyFill="1" applyBorder="1" applyAlignment="1">
      <alignment horizontal="right" vertical="center" indent="1"/>
    </xf>
    <xf numFmtId="177" fontId="165" fillId="23" borderId="32" xfId="631" applyNumberFormat="1" applyFont="1" applyFill="1" applyBorder="1" applyAlignment="1">
      <alignment horizontal="right" vertical="center" indent="1"/>
    </xf>
    <xf numFmtId="3" fontId="164" fillId="29" borderId="14" xfId="66" applyNumberFormat="1" applyFont="1" applyFill="1" applyBorder="1" applyAlignment="1">
      <alignment horizontal="center" vertical="center"/>
    </xf>
    <xf numFmtId="3" fontId="164" fillId="29" borderId="10" xfId="66" applyNumberFormat="1" applyFont="1" applyFill="1" applyBorder="1" applyAlignment="1">
      <alignment horizontal="center" vertical="center"/>
    </xf>
    <xf numFmtId="3" fontId="163" fillId="29" borderId="13" xfId="66" applyNumberFormat="1" applyFont="1" applyFill="1" applyBorder="1" applyAlignment="1">
      <alignment horizontal="center" vertical="center"/>
    </xf>
    <xf numFmtId="3" fontId="163" fillId="29" borderId="14" xfId="66" applyNumberFormat="1" applyFont="1" applyFill="1" applyBorder="1" applyAlignment="1">
      <alignment horizontal="center" vertical="center"/>
    </xf>
    <xf numFmtId="3" fontId="163" fillId="29" borderId="10" xfId="66" applyNumberFormat="1" applyFont="1" applyFill="1" applyBorder="1" applyAlignment="1">
      <alignment horizontal="center" vertical="center"/>
    </xf>
    <xf numFmtId="3" fontId="167" fillId="29" borderId="13" xfId="66" applyNumberFormat="1" applyFont="1" applyFill="1" applyBorder="1" applyAlignment="1">
      <alignment horizontal="center" vertical="center"/>
    </xf>
    <xf numFmtId="3" fontId="167" fillId="29" borderId="14" xfId="66" applyNumberFormat="1" applyFont="1" applyFill="1" applyBorder="1" applyAlignment="1">
      <alignment horizontal="center" vertical="center"/>
    </xf>
    <xf numFmtId="3" fontId="167" fillId="29" borderId="10" xfId="66" applyNumberFormat="1" applyFont="1" applyFill="1" applyBorder="1" applyAlignment="1">
      <alignment horizontal="center" vertical="center"/>
    </xf>
    <xf numFmtId="3" fontId="165" fillId="29" borderId="13" xfId="66" applyNumberFormat="1" applyFont="1" applyFill="1" applyBorder="1" applyAlignment="1">
      <alignment horizontal="center" vertical="center"/>
    </xf>
    <xf numFmtId="3" fontId="165" fillId="29" borderId="14" xfId="66" applyNumberFormat="1" applyFont="1" applyFill="1" applyBorder="1" applyAlignment="1">
      <alignment horizontal="center" vertical="center"/>
    </xf>
    <xf numFmtId="3" fontId="165" fillId="29" borderId="10" xfId="66" applyNumberFormat="1" applyFont="1" applyFill="1" applyBorder="1" applyAlignment="1">
      <alignment horizontal="center" vertical="center"/>
    </xf>
    <xf numFmtId="0" fontId="155" fillId="29" borderId="13" xfId="66" applyFont="1" applyFill="1" applyBorder="1" applyAlignment="1">
      <alignment horizontal="center" vertical="center"/>
    </xf>
    <xf numFmtId="0" fontId="154" fillId="29" borderId="13" xfId="66" applyFont="1" applyFill="1" applyBorder="1" applyAlignment="1">
      <alignment horizontal="center" vertical="center"/>
    </xf>
    <xf numFmtId="0" fontId="163" fillId="29" borderId="18" xfId="66" applyFont="1" applyFill="1" applyBorder="1" applyAlignment="1">
      <alignment horizontal="center" vertical="center"/>
    </xf>
    <xf numFmtId="3" fontId="163" fillId="29" borderId="13" xfId="66" applyNumberFormat="1" applyFont="1" applyFill="1" applyBorder="1" applyAlignment="1">
      <alignment horizontal="right" vertical="center" indent="1"/>
    </xf>
    <xf numFmtId="3" fontId="163" fillId="29" borderId="14" xfId="66" applyNumberFormat="1" applyFont="1" applyFill="1" applyBorder="1" applyAlignment="1">
      <alignment horizontal="right" vertical="center" indent="1"/>
    </xf>
    <xf numFmtId="3" fontId="163" fillId="29" borderId="10" xfId="66" applyNumberFormat="1" applyFont="1" applyFill="1" applyBorder="1" applyAlignment="1">
      <alignment horizontal="right" vertical="center" indent="1"/>
    </xf>
    <xf numFmtId="0" fontId="164" fillId="29" borderId="18" xfId="66" applyFont="1" applyFill="1" applyBorder="1" applyAlignment="1">
      <alignment horizontal="center" vertical="center"/>
    </xf>
    <xf numFmtId="3" fontId="164" fillId="29" borderId="13" xfId="66" applyNumberFormat="1" applyFont="1" applyFill="1" applyBorder="1" applyAlignment="1">
      <alignment horizontal="right" vertical="center" indent="1"/>
    </xf>
    <xf numFmtId="3" fontId="164" fillId="29" borderId="14" xfId="66" applyNumberFormat="1" applyFont="1" applyFill="1" applyBorder="1" applyAlignment="1">
      <alignment horizontal="right" vertical="center" indent="1"/>
    </xf>
    <xf numFmtId="3" fontId="164" fillId="29" borderId="10" xfId="66" applyNumberFormat="1" applyFont="1" applyFill="1" applyBorder="1" applyAlignment="1">
      <alignment horizontal="right" vertical="center" indent="1"/>
    </xf>
    <xf numFmtId="0" fontId="167" fillId="29" borderId="18" xfId="66" applyFont="1" applyFill="1" applyBorder="1" applyAlignment="1">
      <alignment horizontal="center" vertical="center"/>
    </xf>
    <xf numFmtId="3" fontId="167" fillId="29" borderId="13" xfId="66" applyNumberFormat="1" applyFont="1" applyFill="1" applyBorder="1" applyAlignment="1">
      <alignment horizontal="right" vertical="center" indent="1"/>
    </xf>
    <xf numFmtId="3" fontId="167" fillId="29" borderId="14" xfId="66" applyNumberFormat="1" applyFont="1" applyFill="1" applyBorder="1" applyAlignment="1">
      <alignment horizontal="right" vertical="center" indent="1"/>
    </xf>
    <xf numFmtId="3" fontId="167" fillId="29" borderId="10" xfId="66" applyNumberFormat="1" applyFont="1" applyFill="1" applyBorder="1" applyAlignment="1">
      <alignment horizontal="right" vertical="center" indent="1"/>
    </xf>
    <xf numFmtId="0" fontId="165" fillId="29" borderId="18" xfId="66" applyFont="1" applyFill="1" applyBorder="1" applyAlignment="1">
      <alignment horizontal="center" vertical="center"/>
    </xf>
    <xf numFmtId="3" fontId="165" fillId="29" borderId="13" xfId="66" applyNumberFormat="1" applyFont="1" applyFill="1" applyBorder="1" applyAlignment="1">
      <alignment horizontal="right" vertical="center" indent="1"/>
    </xf>
    <xf numFmtId="3" fontId="165" fillId="29" borderId="14" xfId="66" applyNumberFormat="1" applyFont="1" applyFill="1" applyBorder="1" applyAlignment="1">
      <alignment horizontal="right" vertical="center" indent="1"/>
    </xf>
    <xf numFmtId="3" fontId="165" fillId="29" borderId="10" xfId="66" applyNumberFormat="1" applyFont="1" applyFill="1" applyBorder="1" applyAlignment="1">
      <alignment horizontal="right" vertical="center" indent="1"/>
    </xf>
    <xf numFmtId="1" fontId="163" fillId="29" borderId="27" xfId="66" applyNumberFormat="1" applyFont="1" applyFill="1" applyBorder="1" applyAlignment="1">
      <alignment horizontal="right" vertical="center" indent="1"/>
    </xf>
    <xf numFmtId="1" fontId="163" fillId="29" borderId="37" xfId="66" applyNumberFormat="1" applyFont="1" applyFill="1" applyBorder="1" applyAlignment="1">
      <alignment horizontal="right" vertical="center" indent="1"/>
    </xf>
    <xf numFmtId="1" fontId="163" fillId="29" borderId="42" xfId="66" applyNumberFormat="1" applyFont="1" applyFill="1" applyBorder="1" applyAlignment="1">
      <alignment horizontal="right" vertical="center" indent="1"/>
    </xf>
    <xf numFmtId="1" fontId="164" fillId="29" borderId="27" xfId="66" applyNumberFormat="1" applyFont="1" applyFill="1" applyBorder="1" applyAlignment="1">
      <alignment horizontal="right" vertical="center" indent="1"/>
    </xf>
    <xf numFmtId="1" fontId="164" fillId="29" borderId="37" xfId="66" applyNumberFormat="1" applyFont="1" applyFill="1" applyBorder="1" applyAlignment="1">
      <alignment horizontal="right" vertical="center" indent="1"/>
    </xf>
    <xf numFmtId="1" fontId="164" fillId="29" borderId="42" xfId="66" applyNumberFormat="1" applyFont="1" applyFill="1" applyBorder="1" applyAlignment="1">
      <alignment horizontal="right" vertical="center" indent="1"/>
    </xf>
    <xf numFmtId="1" fontId="167" fillId="29" borderId="27" xfId="66" applyNumberFormat="1" applyFont="1" applyFill="1" applyBorder="1" applyAlignment="1">
      <alignment horizontal="right" vertical="center" indent="1"/>
    </xf>
    <xf numFmtId="1" fontId="167" fillId="29" borderId="37" xfId="66" applyNumberFormat="1" applyFont="1" applyFill="1" applyBorder="1" applyAlignment="1">
      <alignment horizontal="right" vertical="center" indent="1"/>
    </xf>
    <xf numFmtId="1" fontId="167" fillId="29" borderId="42" xfId="66" applyNumberFormat="1" applyFont="1" applyFill="1" applyBorder="1" applyAlignment="1">
      <alignment horizontal="right" vertical="center" indent="1"/>
    </xf>
    <xf numFmtId="1" fontId="165" fillId="29" borderId="27" xfId="66" applyNumberFormat="1" applyFont="1" applyFill="1" applyBorder="1" applyAlignment="1">
      <alignment horizontal="right" vertical="center" indent="1"/>
    </xf>
    <xf numFmtId="1" fontId="165" fillId="29" borderId="37" xfId="66" applyNumberFormat="1" applyFont="1" applyFill="1" applyBorder="1" applyAlignment="1">
      <alignment horizontal="right" vertical="center" indent="1"/>
    </xf>
    <xf numFmtId="1" fontId="165" fillId="29" borderId="42" xfId="66" applyNumberFormat="1" applyFont="1" applyFill="1" applyBorder="1" applyAlignment="1">
      <alignment horizontal="right" vertical="center" indent="1"/>
    </xf>
    <xf numFmtId="0" fontId="157" fillId="29" borderId="13" xfId="66" applyFont="1" applyFill="1" applyBorder="1" applyAlignment="1">
      <alignment horizontal="center" vertical="center"/>
    </xf>
    <xf numFmtId="0" fontId="157" fillId="29" borderId="14" xfId="66" applyFont="1" applyFill="1" applyBorder="1" applyAlignment="1">
      <alignment horizontal="center" vertical="center"/>
    </xf>
    <xf numFmtId="0" fontId="165" fillId="29" borderId="10" xfId="66" applyFont="1" applyFill="1" applyBorder="1" applyAlignment="1">
      <alignment horizontal="center" vertical="center" wrapText="1"/>
    </xf>
    <xf numFmtId="0" fontId="156" fillId="29" borderId="13" xfId="66" applyFont="1" applyFill="1" applyBorder="1" applyAlignment="1">
      <alignment horizontal="center" vertical="center"/>
    </xf>
    <xf numFmtId="0" fontId="156" fillId="29" borderId="14" xfId="66" applyFont="1" applyFill="1" applyBorder="1" applyAlignment="1">
      <alignment horizontal="center" vertical="center"/>
    </xf>
    <xf numFmtId="0" fontId="167" fillId="29" borderId="10" xfId="66" applyFont="1" applyFill="1" applyBorder="1" applyAlignment="1">
      <alignment horizontal="center" vertical="center" wrapText="1"/>
    </xf>
    <xf numFmtId="0" fontId="155" fillId="29" borderId="14" xfId="66" applyFont="1" applyFill="1" applyBorder="1" applyAlignment="1">
      <alignment horizontal="center" vertical="center"/>
    </xf>
    <xf numFmtId="0" fontId="164" fillId="29" borderId="10" xfId="66" applyFont="1" applyFill="1" applyBorder="1" applyAlignment="1">
      <alignment horizontal="center" vertical="center" wrapText="1"/>
    </xf>
    <xf numFmtId="0" fontId="154" fillId="29" borderId="14" xfId="66" applyFont="1" applyFill="1" applyBorder="1" applyAlignment="1">
      <alignment horizontal="center" vertical="center"/>
    </xf>
    <xf numFmtId="0" fontId="163" fillId="29" borderId="10" xfId="66" applyFont="1" applyFill="1" applyBorder="1" applyAlignment="1">
      <alignment horizontal="center" vertical="center" wrapText="1"/>
    </xf>
    <xf numFmtId="1" fontId="165" fillId="29" borderId="13" xfId="66" applyNumberFormat="1" applyFont="1" applyFill="1" applyBorder="1" applyAlignment="1">
      <alignment horizontal="right" vertical="center" indent="1"/>
    </xf>
    <xf numFmtId="1" fontId="165" fillId="29" borderId="14" xfId="66" applyNumberFormat="1" applyFont="1" applyFill="1" applyBorder="1" applyAlignment="1">
      <alignment horizontal="right" vertical="center" indent="1"/>
    </xf>
    <xf numFmtId="1" fontId="165" fillId="29" borderId="10" xfId="66" applyNumberFormat="1" applyFont="1" applyFill="1" applyBorder="1" applyAlignment="1">
      <alignment horizontal="right" vertical="center" indent="1"/>
    </xf>
    <xf numFmtId="1" fontId="167" fillId="29" borderId="13" xfId="66" applyNumberFormat="1" applyFont="1" applyFill="1" applyBorder="1" applyAlignment="1">
      <alignment horizontal="right" vertical="center" indent="1"/>
    </xf>
    <xf numFmtId="1" fontId="167" fillId="29" borderId="14" xfId="66" applyNumberFormat="1" applyFont="1" applyFill="1" applyBorder="1" applyAlignment="1">
      <alignment horizontal="right" vertical="center" indent="1"/>
    </xf>
    <xf numFmtId="1" fontId="167" fillId="29" borderId="10" xfId="66" applyNumberFormat="1" applyFont="1" applyFill="1" applyBorder="1" applyAlignment="1">
      <alignment horizontal="right" vertical="center" indent="1"/>
    </xf>
    <xf numFmtId="1" fontId="163" fillId="29" borderId="13" xfId="66" applyNumberFormat="1" applyFont="1" applyFill="1" applyBorder="1" applyAlignment="1">
      <alignment horizontal="right" vertical="center" indent="1"/>
    </xf>
    <xf numFmtId="1" fontId="163" fillId="29" borderId="14" xfId="66" applyNumberFormat="1" applyFont="1" applyFill="1" applyBorder="1" applyAlignment="1">
      <alignment horizontal="right" vertical="center" indent="1"/>
    </xf>
    <xf numFmtId="1" fontId="163" fillId="29" borderId="10" xfId="66" applyNumberFormat="1" applyFont="1" applyFill="1" applyBorder="1" applyAlignment="1">
      <alignment horizontal="right" vertical="center" indent="1"/>
    </xf>
    <xf numFmtId="3" fontId="155" fillId="29" borderId="13" xfId="66" applyNumberFormat="1" applyFont="1" applyFill="1" applyBorder="1" applyAlignment="1">
      <alignment horizontal="center" vertical="center"/>
    </xf>
    <xf numFmtId="3" fontId="155" fillId="29" borderId="14" xfId="66" applyNumberFormat="1" applyFont="1" applyFill="1" applyBorder="1" applyAlignment="1">
      <alignment horizontal="center" vertical="center"/>
    </xf>
    <xf numFmtId="3" fontId="155" fillId="29" borderId="10" xfId="66" applyNumberFormat="1" applyFont="1" applyFill="1" applyBorder="1" applyAlignment="1">
      <alignment horizontal="center" vertical="center"/>
    </xf>
    <xf numFmtId="0" fontId="154" fillId="29" borderId="24" xfId="66" applyFont="1" applyFill="1" applyBorder="1" applyAlignment="1">
      <alignment horizontal="center" vertical="center"/>
    </xf>
    <xf numFmtId="0" fontId="165" fillId="29" borderId="10" xfId="465" applyFont="1" applyFill="1" applyBorder="1" applyAlignment="1">
      <alignment horizontal="center" vertical="center"/>
    </xf>
    <xf numFmtId="0" fontId="167" fillId="29" borderId="10" xfId="465" applyFont="1" applyFill="1" applyBorder="1" applyAlignment="1">
      <alignment horizontal="center" vertical="center"/>
    </xf>
    <xf numFmtId="0" fontId="164" fillId="29" borderId="10" xfId="465" applyFont="1" applyFill="1" applyBorder="1" applyAlignment="1">
      <alignment horizontal="center" vertical="center"/>
    </xf>
    <xf numFmtId="0" fontId="163" fillId="29" borderId="10" xfId="465" applyFont="1" applyFill="1" applyBorder="1" applyAlignment="1">
      <alignment horizontal="center" vertical="center"/>
    </xf>
    <xf numFmtId="0" fontId="165" fillId="29" borderId="13" xfId="66" applyFont="1" applyFill="1" applyBorder="1" applyAlignment="1">
      <alignment horizontal="center" vertical="center"/>
    </xf>
    <xf numFmtId="0" fontId="164" fillId="29" borderId="13" xfId="66" applyFont="1" applyFill="1" applyBorder="1" applyAlignment="1">
      <alignment horizontal="center" vertical="center"/>
    </xf>
    <xf numFmtId="0" fontId="167" fillId="29" borderId="13" xfId="66" applyFont="1" applyFill="1" applyBorder="1" applyAlignment="1">
      <alignment horizontal="center" vertical="center"/>
    </xf>
    <xf numFmtId="0" fontId="163" fillId="29" borderId="13" xfId="66" applyFont="1" applyFill="1" applyBorder="1" applyAlignment="1">
      <alignment horizontal="center" vertical="center"/>
    </xf>
    <xf numFmtId="3" fontId="163" fillId="29" borderId="17" xfId="66" applyNumberFormat="1" applyFont="1" applyFill="1" applyBorder="1" applyAlignment="1">
      <alignment horizontal="center" vertical="center"/>
    </xf>
    <xf numFmtId="0" fontId="154" fillId="29" borderId="20" xfId="66" applyFont="1" applyFill="1" applyBorder="1" applyAlignment="1">
      <alignment horizontal="center" vertical="center"/>
    </xf>
    <xf numFmtId="3" fontId="167" fillId="29" borderId="17" xfId="66" applyNumberFormat="1" applyFont="1" applyFill="1" applyBorder="1" applyAlignment="1">
      <alignment horizontal="center" vertical="center"/>
    </xf>
    <xf numFmtId="3" fontId="165" fillId="29" borderId="43" xfId="66" applyNumberFormat="1" applyFont="1" applyFill="1" applyBorder="1" applyAlignment="1">
      <alignment horizontal="center" vertical="center"/>
    </xf>
    <xf numFmtId="0" fontId="155" fillId="29" borderId="13" xfId="66" applyFont="1" applyFill="1" applyBorder="1" applyAlignment="1">
      <alignment vertical="center"/>
    </xf>
    <xf numFmtId="0" fontId="155" fillId="29" borderId="14" xfId="66" applyFont="1" applyFill="1" applyBorder="1" applyAlignment="1">
      <alignment vertical="center"/>
    </xf>
    <xf numFmtId="0" fontId="164" fillId="29" borderId="10" xfId="66" applyFont="1" applyFill="1" applyBorder="1" applyAlignment="1">
      <alignment horizontal="center" vertical="center"/>
    </xf>
    <xf numFmtId="0" fontId="165" fillId="29" borderId="10" xfId="0" applyFont="1" applyFill="1" applyBorder="1" applyAlignment="1">
      <alignment horizontal="center" vertical="center" wrapText="1"/>
    </xf>
    <xf numFmtId="0" fontId="167" fillId="29" borderId="10" xfId="0" applyFont="1" applyFill="1" applyBorder="1" applyAlignment="1">
      <alignment horizontal="center" vertical="center" wrapText="1"/>
    </xf>
    <xf numFmtId="0" fontId="163" fillId="29" borderId="22" xfId="0" applyFont="1" applyFill="1" applyBorder="1" applyAlignment="1">
      <alignment horizontal="center" vertical="center" wrapText="1"/>
    </xf>
    <xf numFmtId="3" fontId="164" fillId="29" borderId="18" xfId="66" applyNumberFormat="1" applyFont="1" applyFill="1" applyBorder="1" applyAlignment="1">
      <alignment horizontal="right" vertical="center" indent="1"/>
    </xf>
    <xf numFmtId="3" fontId="165" fillId="29" borderId="18" xfId="66" applyNumberFormat="1" applyFont="1" applyFill="1" applyBorder="1" applyAlignment="1">
      <alignment horizontal="right" vertical="center" indent="1"/>
    </xf>
    <xf numFmtId="3" fontId="167" fillId="29" borderId="18" xfId="66" applyNumberFormat="1" applyFont="1" applyFill="1" applyBorder="1" applyAlignment="1">
      <alignment horizontal="right" vertical="center" indent="1"/>
    </xf>
    <xf numFmtId="3" fontId="163" fillId="29" borderId="18" xfId="66" applyNumberFormat="1" applyFont="1" applyFill="1" applyBorder="1" applyAlignment="1">
      <alignment horizontal="right" vertical="center" indent="1"/>
    </xf>
    <xf numFmtId="0" fontId="163" fillId="29" borderId="20" xfId="374" applyFont="1" applyFill="1" applyBorder="1" applyAlignment="1">
      <alignment horizontal="right" vertical="center" indent="1"/>
    </xf>
    <xf numFmtId="0" fontId="163" fillId="29" borderId="24" xfId="374" applyFont="1" applyFill="1" applyBorder="1" applyAlignment="1">
      <alignment horizontal="right" vertical="center" indent="1"/>
    </xf>
    <xf numFmtId="0" fontId="163" fillId="29" borderId="22" xfId="374" applyFont="1" applyFill="1" applyBorder="1" applyAlignment="1">
      <alignment horizontal="right" vertical="center" indent="1"/>
    </xf>
    <xf numFmtId="0" fontId="167" fillId="29" borderId="20" xfId="374" applyFont="1" applyFill="1" applyBorder="1" applyAlignment="1">
      <alignment horizontal="right" vertical="center" indent="1"/>
    </xf>
    <xf numFmtId="0" fontId="167" fillId="29" borderId="24" xfId="374" applyFont="1" applyFill="1" applyBorder="1" applyAlignment="1">
      <alignment horizontal="right" vertical="center" indent="1"/>
    </xf>
    <xf numFmtId="0" fontId="167" fillId="29" borderId="22" xfId="374" applyFont="1" applyFill="1" applyBorder="1" applyAlignment="1">
      <alignment horizontal="right" vertical="center" indent="1"/>
    </xf>
    <xf numFmtId="0" fontId="165" fillId="29" borderId="13" xfId="374" applyFont="1" applyFill="1" applyBorder="1" applyAlignment="1">
      <alignment horizontal="center" vertical="center"/>
    </xf>
    <xf numFmtId="0" fontId="164" fillId="29" borderId="24" xfId="374" applyFont="1" applyFill="1" applyBorder="1" applyAlignment="1">
      <alignment horizontal="right" vertical="center" indent="1"/>
    </xf>
    <xf numFmtId="0" fontId="164" fillId="29" borderId="22" xfId="374" applyFont="1" applyFill="1" applyBorder="1" applyAlignment="1">
      <alignment horizontal="right" vertical="center" indent="1"/>
    </xf>
    <xf numFmtId="0" fontId="165" fillId="29" borderId="20" xfId="374" applyFont="1" applyFill="1" applyBorder="1" applyAlignment="1">
      <alignment horizontal="right" vertical="center" indent="1"/>
    </xf>
    <xf numFmtId="0" fontId="165" fillId="29" borderId="24" xfId="374" applyFont="1" applyFill="1" applyBorder="1" applyAlignment="1">
      <alignment horizontal="right" vertical="center" indent="1"/>
    </xf>
    <xf numFmtId="0" fontId="165" fillId="29" borderId="22" xfId="374" applyFont="1" applyFill="1" applyBorder="1" applyAlignment="1">
      <alignment horizontal="right" vertical="center" indent="1"/>
    </xf>
    <xf numFmtId="0" fontId="163" fillId="29" borderId="13" xfId="374" applyFont="1" applyFill="1" applyBorder="1" applyAlignment="1">
      <alignment horizontal="center" vertical="center"/>
    </xf>
    <xf numFmtId="0" fontId="155" fillId="29" borderId="0" xfId="374" applyFont="1" applyFill="1" applyAlignment="1">
      <alignment vertical="center"/>
    </xf>
    <xf numFmtId="0" fontId="164" fillId="29" borderId="0" xfId="374" applyFont="1" applyFill="1" applyAlignment="1">
      <alignment horizontal="center" vertical="center"/>
    </xf>
    <xf numFmtId="0" fontId="157" fillId="29" borderId="14" xfId="374" applyFont="1" applyFill="1" applyBorder="1" applyAlignment="1">
      <alignment horizontal="center" vertical="center"/>
    </xf>
    <xf numFmtId="0" fontId="165" fillId="29" borderId="10" xfId="374" applyFont="1" applyFill="1" applyBorder="1" applyAlignment="1">
      <alignment horizontal="center" vertical="center" wrapText="1"/>
    </xf>
    <xf numFmtId="0" fontId="167" fillId="29" borderId="13" xfId="374" applyFont="1" applyFill="1" applyBorder="1" applyAlignment="1">
      <alignment horizontal="center" vertical="center"/>
    </xf>
    <xf numFmtId="0" fontId="156" fillId="29" borderId="14" xfId="374" applyFont="1" applyFill="1" applyBorder="1" applyAlignment="1">
      <alignment horizontal="center" vertical="center"/>
    </xf>
    <xf numFmtId="0" fontId="167" fillId="29" borderId="10" xfId="374" applyFont="1" applyFill="1" applyBorder="1" applyAlignment="1">
      <alignment horizontal="center" vertical="center" wrapText="1"/>
    </xf>
    <xf numFmtId="0" fontId="154" fillId="29" borderId="14" xfId="374" applyFont="1" applyFill="1" applyBorder="1" applyAlignment="1">
      <alignment horizontal="center" vertical="center"/>
    </xf>
    <xf numFmtId="0" fontId="163" fillId="29" borderId="10" xfId="374" applyFont="1" applyFill="1" applyBorder="1" applyAlignment="1">
      <alignment horizontal="center" vertical="center" wrapText="1"/>
    </xf>
    <xf numFmtId="1" fontId="164" fillId="29" borderId="13" xfId="66" applyNumberFormat="1" applyFont="1" applyFill="1" applyBorder="1" applyAlignment="1">
      <alignment horizontal="right" vertical="center" indent="1"/>
    </xf>
    <xf numFmtId="1" fontId="164" fillId="29" borderId="14" xfId="66" applyNumberFormat="1" applyFont="1" applyFill="1" applyBorder="1" applyAlignment="1">
      <alignment horizontal="right" vertical="center" indent="1"/>
    </xf>
    <xf numFmtId="1" fontId="164" fillId="29" borderId="10" xfId="66" applyNumberFormat="1" applyFont="1" applyFill="1" applyBorder="1" applyAlignment="1">
      <alignment horizontal="right" vertical="center" indent="1"/>
    </xf>
    <xf numFmtId="3" fontId="163" fillId="29" borderId="18" xfId="0" applyNumberFormat="1" applyFont="1" applyFill="1" applyBorder="1" applyAlignment="1">
      <alignment horizontal="right" vertical="center" wrapText="1" indent="1"/>
    </xf>
    <xf numFmtId="3" fontId="167" fillId="29" borderId="18" xfId="0" applyNumberFormat="1" applyFont="1" applyFill="1" applyBorder="1" applyAlignment="1">
      <alignment horizontal="right" vertical="center" wrapText="1" indent="1"/>
    </xf>
    <xf numFmtId="3" fontId="165" fillId="29" borderId="18" xfId="0" applyNumberFormat="1" applyFont="1" applyFill="1" applyBorder="1" applyAlignment="1">
      <alignment horizontal="right" vertical="center" wrapText="1" indent="1"/>
    </xf>
    <xf numFmtId="3" fontId="164" fillId="29" borderId="18" xfId="0" applyNumberFormat="1" applyFont="1" applyFill="1" applyBorder="1" applyAlignment="1">
      <alignment horizontal="right" vertical="center" wrapText="1" indent="1"/>
    </xf>
    <xf numFmtId="3" fontId="164" fillId="29" borderId="14" xfId="0" applyNumberFormat="1" applyFont="1" applyFill="1" applyBorder="1" applyAlignment="1">
      <alignment horizontal="right" vertical="center" wrapText="1" indent="1"/>
    </xf>
    <xf numFmtId="0" fontId="155" fillId="29" borderId="13" xfId="0" applyFont="1" applyFill="1" applyBorder="1" applyAlignment="1">
      <alignment horizontal="center" vertical="center" wrapText="1"/>
    </xf>
    <xf numFmtId="0" fontId="155" fillId="29" borderId="14" xfId="0" applyFont="1" applyFill="1" applyBorder="1" applyAlignment="1">
      <alignment horizontal="center" vertical="center" wrapText="1"/>
    </xf>
    <xf numFmtId="0" fontId="164" fillId="29" borderId="10" xfId="0" applyFont="1" applyFill="1" applyBorder="1" applyAlignment="1">
      <alignment horizontal="center" vertical="center" wrapText="1"/>
    </xf>
    <xf numFmtId="0" fontId="157" fillId="29" borderId="13" xfId="0" applyFont="1" applyFill="1" applyBorder="1" applyAlignment="1">
      <alignment horizontal="center" vertical="center" wrapText="1"/>
    </xf>
    <xf numFmtId="0" fontId="157" fillId="29" borderId="14" xfId="0" applyFont="1" applyFill="1" applyBorder="1" applyAlignment="1">
      <alignment horizontal="center" vertical="center" wrapText="1"/>
    </xf>
    <xf numFmtId="0" fontId="156" fillId="29" borderId="13" xfId="0" applyFont="1" applyFill="1" applyBorder="1" applyAlignment="1">
      <alignment horizontal="center" vertical="center" wrapText="1"/>
    </xf>
    <xf numFmtId="0" fontId="156" fillId="29" borderId="14" xfId="0" applyFont="1" applyFill="1" applyBorder="1" applyAlignment="1">
      <alignment horizontal="center" vertical="center" wrapText="1"/>
    </xf>
    <xf numFmtId="0" fontId="154" fillId="29" borderId="13" xfId="0" applyFont="1" applyFill="1" applyBorder="1" applyAlignment="1">
      <alignment horizontal="center" vertical="center" wrapText="1"/>
    </xf>
    <xf numFmtId="0" fontId="154" fillId="29" borderId="14" xfId="0" applyFont="1" applyFill="1" applyBorder="1" applyAlignment="1">
      <alignment horizontal="center" vertical="center" wrapText="1"/>
    </xf>
    <xf numFmtId="0" fontId="163" fillId="29" borderId="10" xfId="0" applyFont="1" applyFill="1" applyBorder="1" applyAlignment="1">
      <alignment horizontal="center" vertical="center" wrapText="1"/>
    </xf>
    <xf numFmtId="0" fontId="167" fillId="29" borderId="50" xfId="0" applyFont="1" applyFill="1" applyBorder="1" applyAlignment="1">
      <alignment horizontal="center" vertical="center" wrapText="1" readingOrder="1"/>
    </xf>
    <xf numFmtId="3" fontId="167" fillId="29" borderId="27" xfId="0" applyNumberFormat="1" applyFont="1" applyFill="1" applyBorder="1" applyAlignment="1">
      <alignment horizontal="right" vertical="center" wrapText="1" indent="1"/>
    </xf>
    <xf numFmtId="3" fontId="167" fillId="29" borderId="37" xfId="0" applyNumberFormat="1" applyFont="1" applyFill="1" applyBorder="1" applyAlignment="1">
      <alignment horizontal="right" vertical="center" wrapText="1" indent="1"/>
    </xf>
    <xf numFmtId="3" fontId="167" fillId="29" borderId="42" xfId="0" applyNumberFormat="1" applyFont="1" applyFill="1" applyBorder="1" applyAlignment="1">
      <alignment horizontal="right" vertical="center" wrapText="1" indent="1"/>
    </xf>
    <xf numFmtId="0" fontId="163" fillId="29" borderId="50" xfId="0" applyFont="1" applyFill="1" applyBorder="1" applyAlignment="1">
      <alignment horizontal="center" vertical="center" wrapText="1" readingOrder="1"/>
    </xf>
    <xf numFmtId="3" fontId="163" fillId="29" borderId="27" xfId="0" applyNumberFormat="1" applyFont="1" applyFill="1" applyBorder="1" applyAlignment="1">
      <alignment horizontal="right" vertical="center" wrapText="1" indent="1"/>
    </xf>
    <xf numFmtId="3" fontId="163" fillId="29" borderId="37" xfId="0" applyNumberFormat="1" applyFont="1" applyFill="1" applyBorder="1" applyAlignment="1">
      <alignment horizontal="right" vertical="center" wrapText="1" indent="1"/>
    </xf>
    <xf numFmtId="3" fontId="163" fillId="29" borderId="42" xfId="0" applyNumberFormat="1" applyFont="1" applyFill="1" applyBorder="1" applyAlignment="1">
      <alignment horizontal="right" vertical="center" wrapText="1" indent="1"/>
    </xf>
    <xf numFmtId="0" fontId="164" fillId="29" borderId="50" xfId="0" applyFont="1" applyFill="1" applyBorder="1" applyAlignment="1">
      <alignment horizontal="center" vertical="center" wrapText="1" readingOrder="1"/>
    </xf>
    <xf numFmtId="3" fontId="164" fillId="29" borderId="27" xfId="0" applyNumberFormat="1" applyFont="1" applyFill="1" applyBorder="1" applyAlignment="1">
      <alignment horizontal="right" vertical="center" wrapText="1" indent="1"/>
    </xf>
    <xf numFmtId="3" fontId="164" fillId="29" borderId="37" xfId="0" applyNumberFormat="1" applyFont="1" applyFill="1" applyBorder="1" applyAlignment="1">
      <alignment horizontal="right" vertical="center" wrapText="1" indent="1"/>
    </xf>
    <xf numFmtId="3" fontId="164" fillId="29" borderId="42" xfId="0" applyNumberFormat="1" applyFont="1" applyFill="1" applyBorder="1" applyAlignment="1">
      <alignment horizontal="right" vertical="center" wrapText="1" indent="1"/>
    </xf>
    <xf numFmtId="0" fontId="165" fillId="23" borderId="50" xfId="0" applyFont="1" applyFill="1" applyBorder="1" applyAlignment="1">
      <alignment horizontal="center" vertical="center" wrapText="1" readingOrder="1"/>
    </xf>
    <xf numFmtId="3" fontId="165" fillId="23" borderId="27" xfId="0" applyNumberFormat="1" applyFont="1" applyFill="1" applyBorder="1" applyAlignment="1">
      <alignment horizontal="right" vertical="center" wrapText="1" indent="1"/>
    </xf>
    <xf numFmtId="3" fontId="165" fillId="23" borderId="37" xfId="0" applyNumberFormat="1" applyFont="1" applyFill="1" applyBorder="1" applyAlignment="1">
      <alignment horizontal="right" vertical="center" wrapText="1" indent="1"/>
    </xf>
    <xf numFmtId="3" fontId="165" fillId="23" borderId="42" xfId="0" applyNumberFormat="1" applyFont="1" applyFill="1" applyBorder="1" applyAlignment="1">
      <alignment horizontal="right" vertical="center" wrapText="1" indent="1"/>
    </xf>
    <xf numFmtId="0" fontId="165" fillId="23" borderId="32" xfId="464" applyFont="1" applyFill="1" applyBorder="1" applyAlignment="1">
      <alignment horizontal="center" vertical="center"/>
    </xf>
    <xf numFmtId="0" fontId="165" fillId="23" borderId="27" xfId="464" applyFont="1" applyFill="1" applyBorder="1" applyAlignment="1">
      <alignment horizontal="center" vertical="center"/>
    </xf>
    <xf numFmtId="0" fontId="165" fillId="23" borderId="42" xfId="464" applyFont="1" applyFill="1" applyBorder="1" applyAlignment="1">
      <alignment horizontal="center" vertical="center"/>
    </xf>
    <xf numFmtId="0" fontId="167" fillId="23" borderId="32" xfId="464" applyFont="1" applyFill="1" applyBorder="1" applyAlignment="1">
      <alignment horizontal="center" vertical="center"/>
    </xf>
    <xf numFmtId="0" fontId="167" fillId="23" borderId="27" xfId="464" applyFont="1" applyFill="1" applyBorder="1" applyAlignment="1">
      <alignment horizontal="center" vertical="center"/>
    </xf>
    <xf numFmtId="0" fontId="167" fillId="23" borderId="42" xfId="464" applyFont="1" applyFill="1" applyBorder="1" applyAlignment="1">
      <alignment horizontal="center" vertical="center"/>
    </xf>
    <xf numFmtId="0" fontId="164" fillId="23" borderId="32" xfId="464" applyFont="1" applyFill="1" applyBorder="1" applyAlignment="1">
      <alignment horizontal="center" vertical="center"/>
    </xf>
    <xf numFmtId="0" fontId="164" fillId="23" borderId="27" xfId="464" applyFont="1" applyFill="1" applyBorder="1" applyAlignment="1">
      <alignment horizontal="center" vertical="center"/>
    </xf>
    <xf numFmtId="0" fontId="164" fillId="23" borderId="42" xfId="464" applyFont="1" applyFill="1" applyBorder="1" applyAlignment="1">
      <alignment horizontal="center" vertical="center"/>
    </xf>
    <xf numFmtId="0" fontId="163" fillId="23" borderId="32" xfId="464" applyFont="1" applyFill="1" applyBorder="1" applyAlignment="1">
      <alignment horizontal="center" vertical="center"/>
    </xf>
    <xf numFmtId="0" fontId="163" fillId="23" borderId="27" xfId="464" applyFont="1" applyFill="1" applyBorder="1" applyAlignment="1">
      <alignment horizontal="center" vertical="center"/>
    </xf>
    <xf numFmtId="0" fontId="163" fillId="23" borderId="42" xfId="464" applyFont="1" applyFill="1" applyBorder="1" applyAlignment="1">
      <alignment horizontal="center" vertical="center"/>
    </xf>
    <xf numFmtId="0" fontId="163" fillId="23" borderId="27" xfId="638" applyFont="1" applyFill="1" applyBorder="1" applyAlignment="1">
      <alignment horizontal="center" vertical="center"/>
    </xf>
    <xf numFmtId="0" fontId="163" fillId="23" borderId="27" xfId="638" applyFont="1" applyFill="1" applyBorder="1" applyAlignment="1">
      <alignment horizontal="right" vertical="center" indent="1"/>
    </xf>
    <xf numFmtId="0" fontId="163" fillId="23" borderId="37" xfId="638" applyFont="1" applyFill="1" applyBorder="1" applyAlignment="1">
      <alignment horizontal="right" vertical="center" indent="1"/>
    </xf>
    <xf numFmtId="0" fontId="163" fillId="23" borderId="42" xfId="638" applyFont="1" applyFill="1" applyBorder="1" applyAlignment="1">
      <alignment horizontal="right" vertical="center" indent="1"/>
    </xf>
    <xf numFmtId="3" fontId="163" fillId="23" borderId="27" xfId="638" applyNumberFormat="1" applyFont="1" applyFill="1" applyBorder="1" applyAlignment="1">
      <alignment horizontal="right" vertical="center" indent="1"/>
    </xf>
    <xf numFmtId="3" fontId="163" fillId="23" borderId="37" xfId="638" applyNumberFormat="1" applyFont="1" applyFill="1" applyBorder="1" applyAlignment="1">
      <alignment horizontal="right" vertical="center" indent="1"/>
    </xf>
    <xf numFmtId="3" fontId="163" fillId="23" borderId="42" xfId="638" applyNumberFormat="1" applyFont="1" applyFill="1" applyBorder="1" applyAlignment="1">
      <alignment horizontal="right" vertical="center" indent="1"/>
    </xf>
    <xf numFmtId="3" fontId="163" fillId="23" borderId="37" xfId="635" applyNumberFormat="1" applyFont="1" applyFill="1" applyBorder="1" applyAlignment="1">
      <alignment horizontal="right" vertical="center" indent="1"/>
    </xf>
    <xf numFmtId="3" fontId="163" fillId="23" borderId="42" xfId="635" applyNumberFormat="1" applyFont="1" applyFill="1" applyBorder="1" applyAlignment="1">
      <alignment horizontal="right" vertical="center" indent="1"/>
    </xf>
    <xf numFmtId="0" fontId="164" fillId="23" borderId="27" xfId="638" applyFont="1" applyFill="1" applyBorder="1" applyAlignment="1">
      <alignment horizontal="center" vertical="center"/>
    </xf>
    <xf numFmtId="0" fontId="164" fillId="23" borderId="27" xfId="638" applyFont="1" applyFill="1" applyBorder="1" applyAlignment="1">
      <alignment horizontal="right" vertical="center" indent="1"/>
    </xf>
    <xf numFmtId="0" fontId="164" fillId="23" borderId="37" xfId="638" applyFont="1" applyFill="1" applyBorder="1" applyAlignment="1">
      <alignment horizontal="right" vertical="center" indent="1"/>
    </xf>
    <xf numFmtId="0" fontId="164" fillId="23" borderId="42" xfId="638" applyFont="1" applyFill="1" applyBorder="1" applyAlignment="1">
      <alignment horizontal="right" vertical="center" indent="1"/>
    </xf>
    <xf numFmtId="3" fontId="164" fillId="23" borderId="27" xfId="638" applyNumberFormat="1" applyFont="1" applyFill="1" applyBorder="1" applyAlignment="1">
      <alignment horizontal="right" vertical="center" indent="1"/>
    </xf>
    <xf numFmtId="3" fontId="164" fillId="23" borderId="37" xfId="638" applyNumberFormat="1" applyFont="1" applyFill="1" applyBorder="1" applyAlignment="1">
      <alignment horizontal="right" vertical="center" indent="1"/>
    </xf>
    <xf numFmtId="3" fontId="164" fillId="23" borderId="42" xfId="638" applyNumberFormat="1" applyFont="1" applyFill="1" applyBorder="1" applyAlignment="1">
      <alignment horizontal="right" vertical="center" indent="1"/>
    </xf>
    <xf numFmtId="3" fontId="164" fillId="23" borderId="37" xfId="635" applyNumberFormat="1" applyFont="1" applyFill="1" applyBorder="1" applyAlignment="1">
      <alignment horizontal="right" vertical="center" indent="1"/>
    </xf>
    <xf numFmtId="3" fontId="164" fillId="23" borderId="42" xfId="635" applyNumberFormat="1" applyFont="1" applyFill="1" applyBorder="1" applyAlignment="1">
      <alignment horizontal="right" vertical="center" indent="1"/>
    </xf>
    <xf numFmtId="0" fontId="167" fillId="23" borderId="27" xfId="638" applyFont="1" applyFill="1" applyBorder="1" applyAlignment="1">
      <alignment horizontal="center" vertical="center"/>
    </xf>
    <xf numFmtId="0" fontId="167" fillId="23" borderId="27" xfId="638" applyFont="1" applyFill="1" applyBorder="1" applyAlignment="1">
      <alignment horizontal="right" vertical="center" indent="1"/>
    </xf>
    <xf numFmtId="0" fontId="167" fillId="23" borderId="37" xfId="638" applyFont="1" applyFill="1" applyBorder="1" applyAlignment="1">
      <alignment horizontal="right" vertical="center" indent="1"/>
    </xf>
    <xf numFmtId="0" fontId="167" fillId="23" borderId="42" xfId="638" applyFont="1" applyFill="1" applyBorder="1" applyAlignment="1">
      <alignment horizontal="right" vertical="center" indent="1"/>
    </xf>
    <xf numFmtId="3" fontId="167" fillId="23" borderId="27" xfId="638" applyNumberFormat="1" applyFont="1" applyFill="1" applyBorder="1" applyAlignment="1">
      <alignment horizontal="right" vertical="center" indent="1"/>
    </xf>
    <xf numFmtId="3" fontId="167" fillId="23" borderId="37" xfId="638" applyNumberFormat="1" applyFont="1" applyFill="1" applyBorder="1" applyAlignment="1">
      <alignment horizontal="right" vertical="center" indent="1"/>
    </xf>
    <xf numFmtId="3" fontId="167" fillId="23" borderId="42" xfId="638" applyNumberFormat="1" applyFont="1" applyFill="1" applyBorder="1" applyAlignment="1">
      <alignment horizontal="right" vertical="center" indent="1"/>
    </xf>
    <xf numFmtId="3" fontId="167" fillId="23" borderId="37" xfId="635" applyNumberFormat="1" applyFont="1" applyFill="1" applyBorder="1" applyAlignment="1">
      <alignment horizontal="right" vertical="center" indent="1"/>
    </xf>
    <xf numFmtId="3" fontId="167" fillId="23" borderId="42" xfId="635" applyNumberFormat="1" applyFont="1" applyFill="1" applyBorder="1" applyAlignment="1">
      <alignment horizontal="right" vertical="center" indent="1"/>
    </xf>
    <xf numFmtId="0" fontId="166" fillId="23" borderId="27" xfId="638" applyFont="1" applyFill="1" applyBorder="1" applyAlignment="1">
      <alignment horizontal="center" vertical="center"/>
    </xf>
    <xf numFmtId="0" fontId="166" fillId="23" borderId="27" xfId="638" applyFont="1" applyFill="1" applyBorder="1" applyAlignment="1">
      <alignment horizontal="right" vertical="center" indent="1"/>
    </xf>
    <xf numFmtId="0" fontId="166" fillId="23" borderId="37" xfId="638" applyFont="1" applyFill="1" applyBorder="1" applyAlignment="1">
      <alignment horizontal="right" vertical="center" indent="1"/>
    </xf>
    <xf numFmtId="0" fontId="166" fillId="23" borderId="42" xfId="638" applyFont="1" applyFill="1" applyBorder="1" applyAlignment="1">
      <alignment horizontal="right" vertical="center" indent="1"/>
    </xf>
    <xf numFmtId="3" fontId="166" fillId="23" borderId="27" xfId="638" applyNumberFormat="1" applyFont="1" applyFill="1" applyBorder="1" applyAlignment="1">
      <alignment horizontal="right" vertical="center" indent="1"/>
    </xf>
    <xf numFmtId="3" fontId="166" fillId="23" borderId="37" xfId="638" applyNumberFormat="1" applyFont="1" applyFill="1" applyBorder="1" applyAlignment="1">
      <alignment horizontal="right" vertical="center" indent="1"/>
    </xf>
    <xf numFmtId="3" fontId="166" fillId="23" borderId="42" xfId="638" applyNumberFormat="1" applyFont="1" applyFill="1" applyBorder="1" applyAlignment="1">
      <alignment horizontal="right" vertical="center" indent="1"/>
    </xf>
    <xf numFmtId="3" fontId="166" fillId="23" borderId="37" xfId="635" applyNumberFormat="1" applyFont="1" applyFill="1" applyBorder="1" applyAlignment="1">
      <alignment horizontal="right" vertical="center" indent="1"/>
    </xf>
    <xf numFmtId="3" fontId="166" fillId="23" borderId="42" xfId="635" applyNumberFormat="1" applyFont="1" applyFill="1" applyBorder="1" applyAlignment="1">
      <alignment horizontal="right" vertical="center" indent="1"/>
    </xf>
    <xf numFmtId="0" fontId="165" fillId="23" borderId="27" xfId="638" applyFont="1" applyFill="1" applyBorder="1" applyAlignment="1">
      <alignment horizontal="center" vertical="center"/>
    </xf>
    <xf numFmtId="0" fontId="165" fillId="23" borderId="27" xfId="638" applyFont="1" applyFill="1" applyBorder="1" applyAlignment="1">
      <alignment horizontal="right" vertical="center" indent="1"/>
    </xf>
    <xf numFmtId="0" fontId="165" fillId="23" borderId="37" xfId="638" applyFont="1" applyFill="1" applyBorder="1" applyAlignment="1">
      <alignment horizontal="right" vertical="center" indent="1"/>
    </xf>
    <xf numFmtId="0" fontId="165" fillId="23" borderId="42" xfId="638" applyFont="1" applyFill="1" applyBorder="1" applyAlignment="1">
      <alignment horizontal="right" vertical="center" indent="1"/>
    </xf>
    <xf numFmtId="3" fontId="165" fillId="23" borderId="27" xfId="638" applyNumberFormat="1" applyFont="1" applyFill="1" applyBorder="1" applyAlignment="1">
      <alignment horizontal="right" vertical="center" indent="1"/>
    </xf>
    <xf numFmtId="3" fontId="165" fillId="23" borderId="37" xfId="638" applyNumberFormat="1" applyFont="1" applyFill="1" applyBorder="1" applyAlignment="1">
      <alignment horizontal="right" vertical="center" indent="1"/>
    </xf>
    <xf numFmtId="3" fontId="165" fillId="23" borderId="42" xfId="638" applyNumberFormat="1" applyFont="1" applyFill="1" applyBorder="1" applyAlignment="1">
      <alignment horizontal="right" vertical="center" indent="1"/>
    </xf>
    <xf numFmtId="3" fontId="165" fillId="23" borderId="37" xfId="635" applyNumberFormat="1" applyFont="1" applyFill="1" applyBorder="1" applyAlignment="1">
      <alignment horizontal="right" vertical="center" indent="1"/>
    </xf>
    <xf numFmtId="3" fontId="165" fillId="23" borderId="42" xfId="635" applyNumberFormat="1" applyFont="1" applyFill="1" applyBorder="1" applyAlignment="1">
      <alignment horizontal="right" vertical="center" indent="1"/>
    </xf>
    <xf numFmtId="0" fontId="167" fillId="23" borderId="32" xfId="635" applyFont="1" applyFill="1" applyBorder="1" applyAlignment="1">
      <alignment horizontal="center" vertical="center"/>
    </xf>
    <xf numFmtId="0" fontId="167" fillId="23" borderId="27" xfId="635" applyFont="1" applyFill="1" applyBorder="1" applyAlignment="1">
      <alignment horizontal="right" vertical="center" indent="1"/>
    </xf>
    <xf numFmtId="0" fontId="167" fillId="23" borderId="37" xfId="635" applyFont="1" applyFill="1" applyBorder="1" applyAlignment="1">
      <alignment horizontal="right" vertical="center" indent="1"/>
    </xf>
    <xf numFmtId="0" fontId="167" fillId="23" borderId="42" xfId="635" applyFont="1" applyFill="1" applyBorder="1" applyAlignment="1">
      <alignment horizontal="right" vertical="center" indent="1"/>
    </xf>
    <xf numFmtId="3" fontId="167" fillId="23" borderId="27" xfId="635" applyNumberFormat="1" applyFont="1" applyFill="1" applyBorder="1" applyAlignment="1">
      <alignment horizontal="right" vertical="center" indent="1"/>
    </xf>
    <xf numFmtId="3" fontId="166" fillId="23" borderId="27" xfId="635" applyNumberFormat="1" applyFont="1" applyFill="1" applyBorder="1" applyAlignment="1">
      <alignment horizontal="right" vertical="center" indent="1"/>
    </xf>
    <xf numFmtId="0" fontId="165" fillId="23" borderId="32" xfId="635" applyFont="1" applyFill="1" applyBorder="1" applyAlignment="1">
      <alignment horizontal="center" vertical="center"/>
    </xf>
    <xf numFmtId="0" fontId="165" fillId="23" borderId="27" xfId="635" applyFont="1" applyFill="1" applyBorder="1" applyAlignment="1">
      <alignment horizontal="right" vertical="center" indent="1"/>
    </xf>
    <xf numFmtId="0" fontId="165" fillId="23" borderId="37" xfId="635" applyFont="1" applyFill="1" applyBorder="1" applyAlignment="1">
      <alignment horizontal="right" vertical="center" indent="1"/>
    </xf>
    <xf numFmtId="0" fontId="165" fillId="23" borderId="42" xfId="635" applyFont="1" applyFill="1" applyBorder="1" applyAlignment="1">
      <alignment horizontal="right" vertical="center" indent="1"/>
    </xf>
    <xf numFmtId="3" fontId="165" fillId="23" borderId="27" xfId="635" applyNumberFormat="1" applyFont="1" applyFill="1" applyBorder="1" applyAlignment="1">
      <alignment horizontal="right" vertical="center" indent="1"/>
    </xf>
    <xf numFmtId="0" fontId="164" fillId="23" borderId="32" xfId="635" applyFont="1" applyFill="1" applyBorder="1" applyAlignment="1">
      <alignment horizontal="center" vertical="center"/>
    </xf>
    <xf numFmtId="0" fontId="164" fillId="23" borderId="27" xfId="635" applyFont="1" applyFill="1" applyBorder="1" applyAlignment="1">
      <alignment horizontal="right" vertical="center" indent="1"/>
    </xf>
    <xf numFmtId="0" fontId="164" fillId="23" borderId="37" xfId="635" applyFont="1" applyFill="1" applyBorder="1" applyAlignment="1">
      <alignment horizontal="right" vertical="center" indent="1"/>
    </xf>
    <xf numFmtId="0" fontId="164" fillId="23" borderId="42" xfId="635" applyFont="1" applyFill="1" applyBorder="1" applyAlignment="1">
      <alignment horizontal="right" vertical="center" indent="1"/>
    </xf>
    <xf numFmtId="3" fontId="164" fillId="23" borderId="27" xfId="635" applyNumberFormat="1" applyFont="1" applyFill="1" applyBorder="1" applyAlignment="1">
      <alignment horizontal="right" vertical="center" indent="1"/>
    </xf>
    <xf numFmtId="0" fontId="163" fillId="23" borderId="32" xfId="635" applyFont="1" applyFill="1" applyBorder="1" applyAlignment="1">
      <alignment horizontal="center" vertical="center"/>
    </xf>
    <xf numFmtId="0" fontId="163" fillId="23" borderId="27" xfId="635" applyFont="1" applyFill="1" applyBorder="1" applyAlignment="1">
      <alignment horizontal="right" vertical="center" indent="1"/>
    </xf>
    <xf numFmtId="0" fontId="163" fillId="23" borderId="37" xfId="635" applyFont="1" applyFill="1" applyBorder="1" applyAlignment="1">
      <alignment horizontal="right" vertical="center" indent="1"/>
    </xf>
    <xf numFmtId="0" fontId="163" fillId="23" borderId="42" xfId="635" applyFont="1" applyFill="1" applyBorder="1" applyAlignment="1">
      <alignment horizontal="right" vertical="center" indent="1"/>
    </xf>
    <xf numFmtId="3" fontId="163" fillId="23" borderId="27" xfId="635" applyNumberFormat="1" applyFont="1" applyFill="1" applyBorder="1" applyAlignment="1">
      <alignment horizontal="right" vertical="center" indent="1"/>
    </xf>
    <xf numFmtId="0" fontId="165" fillId="23" borderId="10" xfId="0" applyFont="1" applyFill="1" applyBorder="1" applyAlignment="1">
      <alignment horizontal="center"/>
    </xf>
    <xf numFmtId="3" fontId="165" fillId="23" borderId="18" xfId="0" applyNumberFormat="1" applyFont="1" applyFill="1" applyBorder="1" applyAlignment="1">
      <alignment horizontal="right" indent="1"/>
    </xf>
    <xf numFmtId="0" fontId="166" fillId="23" borderId="10" xfId="0" applyFont="1" applyFill="1" applyBorder="1" applyAlignment="1">
      <alignment horizontal="center"/>
    </xf>
    <xf numFmtId="3" fontId="166" fillId="23" borderId="13" xfId="0" applyNumberFormat="1" applyFont="1" applyFill="1" applyBorder="1" applyAlignment="1">
      <alignment horizontal="right" indent="1"/>
    </xf>
    <xf numFmtId="3" fontId="166" fillId="23" borderId="14" xfId="0" applyNumberFormat="1" applyFont="1" applyFill="1" applyBorder="1" applyAlignment="1">
      <alignment horizontal="right" indent="1"/>
    </xf>
    <xf numFmtId="3" fontId="166" fillId="23" borderId="10" xfId="0" applyNumberFormat="1" applyFont="1" applyFill="1" applyBorder="1" applyAlignment="1">
      <alignment horizontal="right" indent="1"/>
    </xf>
    <xf numFmtId="3" fontId="166" fillId="23" borderId="18" xfId="0" applyNumberFormat="1" applyFont="1" applyFill="1" applyBorder="1" applyAlignment="1">
      <alignment horizontal="right" indent="1"/>
    </xf>
    <xf numFmtId="0" fontId="167" fillId="23" borderId="10" xfId="0" applyFont="1" applyFill="1" applyBorder="1" applyAlignment="1">
      <alignment horizontal="center"/>
    </xf>
    <xf numFmtId="3" fontId="167" fillId="23" borderId="18" xfId="0" applyNumberFormat="1" applyFont="1" applyFill="1" applyBorder="1" applyAlignment="1">
      <alignment horizontal="right" indent="1"/>
    </xf>
    <xf numFmtId="0" fontId="164" fillId="23" borderId="10" xfId="0" applyFont="1" applyFill="1" applyBorder="1" applyAlignment="1">
      <alignment horizontal="center"/>
    </xf>
    <xf numFmtId="3" fontId="164" fillId="23" borderId="18" xfId="0" applyNumberFormat="1" applyFont="1" applyFill="1" applyBorder="1" applyAlignment="1">
      <alignment horizontal="right" indent="1"/>
    </xf>
    <xf numFmtId="0" fontId="163" fillId="23" borderId="10" xfId="0" applyFont="1" applyFill="1" applyBorder="1" applyAlignment="1">
      <alignment horizontal="center"/>
    </xf>
    <xf numFmtId="3" fontId="163" fillId="23" borderId="18" xfId="0" applyNumberFormat="1" applyFont="1" applyFill="1" applyBorder="1" applyAlignment="1">
      <alignment horizontal="right" indent="1"/>
    </xf>
    <xf numFmtId="0" fontId="62" fillId="0" borderId="0" xfId="0" applyFont="1" applyAlignment="1">
      <alignment horizontal="justify" vertical="center"/>
    </xf>
    <xf numFmtId="0" fontId="69" fillId="0" borderId="0" xfId="0" applyFont="1" applyAlignment="1"/>
    <xf numFmtId="0" fontId="121" fillId="0" borderId="0" xfId="635" applyFont="1" applyAlignment="1">
      <alignment horizontal="right" vertical="center"/>
    </xf>
    <xf numFmtId="0" fontId="206" fillId="23" borderId="32" xfId="635" applyFont="1" applyFill="1" applyBorder="1" applyAlignment="1">
      <alignment horizontal="center" vertical="center"/>
    </xf>
    <xf numFmtId="0" fontId="206" fillId="23" borderId="27" xfId="635" applyFont="1" applyFill="1" applyBorder="1" applyAlignment="1">
      <alignment horizontal="right" vertical="center" indent="1"/>
    </xf>
    <xf numFmtId="0" fontId="206" fillId="23" borderId="37" xfId="635" applyFont="1" applyFill="1" applyBorder="1" applyAlignment="1">
      <alignment horizontal="right" vertical="center" indent="1"/>
    </xf>
    <xf numFmtId="0" fontId="206" fillId="23" borderId="42" xfId="635" applyFont="1" applyFill="1" applyBorder="1" applyAlignment="1">
      <alignment horizontal="right" vertical="center" indent="1"/>
    </xf>
    <xf numFmtId="3" fontId="206" fillId="23" borderId="27" xfId="635" applyNumberFormat="1" applyFont="1" applyFill="1" applyBorder="1" applyAlignment="1">
      <alignment horizontal="right" vertical="center" indent="1"/>
    </xf>
    <xf numFmtId="3" fontId="206" fillId="23" borderId="37" xfId="635" applyNumberFormat="1" applyFont="1" applyFill="1" applyBorder="1" applyAlignment="1">
      <alignment horizontal="right" vertical="center" indent="1"/>
    </xf>
    <xf numFmtId="3" fontId="206" fillId="23" borderId="42" xfId="635" applyNumberFormat="1" applyFont="1" applyFill="1" applyBorder="1" applyAlignment="1">
      <alignment horizontal="right" vertical="center" indent="1"/>
    </xf>
    <xf numFmtId="181" fontId="112" fillId="23" borderId="96" xfId="34" applyNumberFormat="1" applyFont="1" applyFill="1" applyBorder="1" applyAlignment="1">
      <alignment horizontal="center" vertical="center"/>
    </xf>
    <xf numFmtId="0" fontId="61" fillId="23" borderId="13" xfId="0" applyFont="1" applyFill="1" applyBorder="1" applyAlignment="1">
      <alignment horizontal="center" vertical="center"/>
    </xf>
    <xf numFmtId="0" fontId="165" fillId="0" borderId="21" xfId="0" applyFont="1" applyBorder="1" applyAlignment="1">
      <alignment horizontal="center" vertical="center"/>
    </xf>
    <xf numFmtId="0" fontId="163" fillId="0" borderId="19" xfId="0" applyFont="1" applyBorder="1" applyAlignment="1">
      <alignment horizontal="center" vertical="center"/>
    </xf>
    <xf numFmtId="0" fontId="167" fillId="0" borderId="21" xfId="0" applyFont="1" applyBorder="1" applyAlignment="1">
      <alignment horizontal="center" vertical="center"/>
    </xf>
    <xf numFmtId="0" fontId="164" fillId="0" borderId="19" xfId="0" applyFont="1" applyBorder="1" applyAlignment="1">
      <alignment horizontal="center" vertical="center"/>
    </xf>
    <xf numFmtId="0" fontId="166" fillId="0" borderId="19" xfId="0" applyFont="1" applyBorder="1" applyAlignment="1">
      <alignment horizontal="center" vertical="center"/>
    </xf>
    <xf numFmtId="0" fontId="132" fillId="0" borderId="110" xfId="66" applyFont="1" applyBorder="1" applyAlignment="1"/>
    <xf numFmtId="3" fontId="61" fillId="23" borderId="18" xfId="0" applyNumberFormat="1" applyFont="1" applyFill="1" applyBorder="1" applyAlignment="1">
      <alignment horizontal="right" vertical="center" indent="1"/>
    </xf>
    <xf numFmtId="0" fontId="210" fillId="0" borderId="25" xfId="0" applyFont="1" applyBorder="1" applyAlignment="1">
      <alignment horizontal="center" vertical="center"/>
    </xf>
    <xf numFmtId="3" fontId="211" fillId="0" borderId="30" xfId="0" applyNumberFormat="1" applyFont="1" applyBorder="1" applyAlignment="1">
      <alignment horizontal="right" vertical="center" indent="1"/>
    </xf>
    <xf numFmtId="0" fontId="212" fillId="0" borderId="26" xfId="0" applyFont="1" applyBorder="1" applyAlignment="1">
      <alignment horizontal="center" vertical="center"/>
    </xf>
    <xf numFmtId="3" fontId="213" fillId="0" borderId="31" xfId="0" applyNumberFormat="1" applyFont="1" applyBorder="1" applyAlignment="1">
      <alignment horizontal="right" vertical="center" indent="1"/>
    </xf>
    <xf numFmtId="0" fontId="208" fillId="0" borderId="26" xfId="0" applyFont="1" applyBorder="1" applyAlignment="1">
      <alignment horizontal="center" vertical="center"/>
    </xf>
    <xf numFmtId="3" fontId="209" fillId="0" borderId="31" xfId="0" applyNumberFormat="1" applyFont="1" applyBorder="1" applyAlignment="1">
      <alignment horizontal="right" vertical="center" indent="1"/>
    </xf>
    <xf numFmtId="0" fontId="216" fillId="0" borderId="26" xfId="0" applyFont="1" applyBorder="1" applyAlignment="1">
      <alignment horizontal="center" vertical="center"/>
    </xf>
    <xf numFmtId="3" fontId="217" fillId="0" borderId="31" xfId="0" applyNumberFormat="1" applyFont="1" applyBorder="1" applyAlignment="1">
      <alignment horizontal="right" vertical="center" indent="1"/>
    </xf>
    <xf numFmtId="0" fontId="214" fillId="0" borderId="27" xfId="0" applyFont="1" applyBorder="1" applyAlignment="1">
      <alignment horizontal="center" vertical="center"/>
    </xf>
    <xf numFmtId="3" fontId="215" fillId="0" borderId="32" xfId="0" applyNumberFormat="1" applyFont="1" applyBorder="1" applyAlignment="1">
      <alignment horizontal="right" vertical="center" indent="1"/>
    </xf>
    <xf numFmtId="0" fontId="214" fillId="0" borderId="29" xfId="0" applyFont="1" applyBorder="1" applyAlignment="1">
      <alignment horizontal="center" vertical="center"/>
    </xf>
    <xf numFmtId="3" fontId="215" fillId="0" borderId="34" xfId="0" applyNumberFormat="1" applyFont="1" applyBorder="1" applyAlignment="1">
      <alignment horizontal="right" vertical="center" indent="1"/>
    </xf>
    <xf numFmtId="3" fontId="58" fillId="0" borderId="27" xfId="0" applyNumberFormat="1" applyFont="1" applyBorder="1" applyAlignment="1">
      <alignment horizontal="right" vertical="center" indent="1"/>
    </xf>
    <xf numFmtId="3" fontId="58" fillId="0" borderId="37" xfId="0" applyNumberFormat="1" applyFont="1" applyBorder="1" applyAlignment="1">
      <alignment horizontal="right" vertical="center" indent="1"/>
    </xf>
    <xf numFmtId="0" fontId="69" fillId="23" borderId="18" xfId="0" applyFont="1" applyFill="1" applyBorder="1" applyAlignment="1">
      <alignment horizontal="center" vertical="center" wrapText="1"/>
    </xf>
    <xf numFmtId="4" fontId="163" fillId="0" borderId="15" xfId="0" applyNumberFormat="1" applyFont="1" applyBorder="1" applyAlignment="1">
      <alignment vertical="center"/>
    </xf>
    <xf numFmtId="4" fontId="163" fillId="0" borderId="110" xfId="0" applyNumberFormat="1" applyFont="1" applyBorder="1" applyAlignment="1">
      <alignment vertical="center"/>
    </xf>
    <xf numFmtId="4" fontId="163" fillId="0" borderId="19" xfId="0" applyNumberFormat="1" applyFont="1" applyBorder="1" applyAlignment="1">
      <alignment vertical="center"/>
    </xf>
    <xf numFmtId="4" fontId="164" fillId="0" borderId="15" xfId="0" applyNumberFormat="1" applyFont="1" applyBorder="1" applyAlignment="1">
      <alignment vertical="center"/>
    </xf>
    <xf numFmtId="4" fontId="164" fillId="0" borderId="110" xfId="0" applyNumberFormat="1" applyFont="1" applyBorder="1" applyAlignment="1">
      <alignment vertical="center"/>
    </xf>
    <xf numFmtId="4" fontId="164" fillId="0" borderId="19" xfId="0" applyNumberFormat="1" applyFont="1" applyBorder="1" applyAlignment="1">
      <alignment vertical="center"/>
    </xf>
    <xf numFmtId="4" fontId="165" fillId="0" borderId="15" xfId="0" applyNumberFormat="1" applyFont="1" applyBorder="1" applyAlignment="1">
      <alignment vertical="center"/>
    </xf>
    <xf numFmtId="4" fontId="165" fillId="0" borderId="110" xfId="0" applyNumberFormat="1" applyFont="1" applyBorder="1" applyAlignment="1">
      <alignment vertical="center"/>
    </xf>
    <xf numFmtId="4" fontId="165" fillId="0" borderId="19" xfId="0" applyNumberFormat="1" applyFont="1" applyBorder="1" applyAlignment="1">
      <alignment vertical="center"/>
    </xf>
    <xf numFmtId="4" fontId="167" fillId="0" borderId="15" xfId="0" applyNumberFormat="1" applyFont="1" applyBorder="1" applyAlignment="1">
      <alignment vertical="center"/>
    </xf>
    <xf numFmtId="4" fontId="167" fillId="0" borderId="110" xfId="0" applyNumberFormat="1" applyFont="1" applyBorder="1" applyAlignment="1">
      <alignment vertical="center"/>
    </xf>
    <xf numFmtId="4" fontId="167" fillId="0" borderId="19" xfId="0" applyNumberFormat="1" applyFont="1" applyBorder="1" applyAlignment="1">
      <alignment vertical="center"/>
    </xf>
    <xf numFmtId="4" fontId="166" fillId="0" borderId="15" xfId="0" applyNumberFormat="1" applyFont="1" applyBorder="1" applyAlignment="1">
      <alignment vertical="center"/>
    </xf>
    <xf numFmtId="4" fontId="166" fillId="0" borderId="110" xfId="0" applyNumberFormat="1" applyFont="1" applyBorder="1" applyAlignment="1">
      <alignment vertical="center"/>
    </xf>
    <xf numFmtId="4" fontId="166" fillId="0" borderId="19" xfId="0" applyNumberFormat="1" applyFont="1" applyBorder="1" applyAlignment="1">
      <alignment vertical="center"/>
    </xf>
    <xf numFmtId="0" fontId="218" fillId="0" borderId="13" xfId="0" applyFont="1" applyBorder="1" applyAlignment="1">
      <alignment horizontal="center" vertical="center"/>
    </xf>
    <xf numFmtId="0" fontId="218" fillId="0" borderId="23" xfId="0" applyFont="1" applyBorder="1" applyAlignment="1">
      <alignment horizontal="center" vertical="center"/>
    </xf>
    <xf numFmtId="4" fontId="218" fillId="0" borderId="18" xfId="0" applyNumberFormat="1" applyFont="1" applyBorder="1" applyAlignment="1">
      <alignment vertical="center"/>
    </xf>
    <xf numFmtId="4" fontId="218" fillId="0" borderId="14" xfId="0" applyNumberFormat="1" applyFont="1" applyBorder="1" applyAlignment="1">
      <alignment vertical="center"/>
    </xf>
    <xf numFmtId="4" fontId="218" fillId="0" borderId="10" xfId="0" applyNumberFormat="1" applyFont="1" applyBorder="1" applyAlignment="1">
      <alignment vertical="center"/>
    </xf>
    <xf numFmtId="0" fontId="118" fillId="0" borderId="33" xfId="66" applyFont="1" applyBorder="1" applyAlignment="1">
      <alignment horizontal="center" vertical="center"/>
    </xf>
    <xf numFmtId="4" fontId="118" fillId="0" borderId="28" xfId="66" applyNumberFormat="1" applyFont="1" applyBorder="1" applyAlignment="1">
      <alignment horizontal="right" vertical="center"/>
    </xf>
    <xf numFmtId="4" fontId="118" fillId="0" borderId="38" xfId="66" applyNumberFormat="1" applyFont="1" applyBorder="1" applyAlignment="1">
      <alignment horizontal="right" vertical="center"/>
    </xf>
    <xf numFmtId="4" fontId="118" fillId="0" borderId="38" xfId="191" applyNumberFormat="1" applyFont="1" applyBorder="1" applyAlignment="1">
      <alignment horizontal="right" vertical="center"/>
    </xf>
    <xf numFmtId="4" fontId="118" fillId="0" borderId="43" xfId="66" applyNumberFormat="1" applyFont="1" applyBorder="1" applyAlignment="1">
      <alignment horizontal="right" vertical="center"/>
    </xf>
    <xf numFmtId="49" fontId="131" fillId="24" borderId="13" xfId="66" applyNumberFormat="1" applyFont="1" applyFill="1" applyBorder="1" applyAlignment="1">
      <alignment horizontal="center" vertical="center" wrapText="1"/>
    </xf>
    <xf numFmtId="49" fontId="131" fillId="24" borderId="14" xfId="66" applyNumberFormat="1" applyFont="1" applyFill="1" applyBorder="1" applyAlignment="1">
      <alignment horizontal="center" vertical="center" wrapText="1"/>
    </xf>
    <xf numFmtId="49" fontId="131" fillId="24" borderId="10" xfId="66" applyNumberFormat="1" applyFont="1" applyFill="1" applyBorder="1" applyAlignment="1">
      <alignment horizontal="center" vertical="center" wrapText="1"/>
    </xf>
    <xf numFmtId="0" fontId="133" fillId="0" borderId="0" xfId="66" applyFont="1" applyFill="1" applyBorder="1" applyAlignment="1">
      <alignment vertical="center"/>
    </xf>
    <xf numFmtId="0" fontId="148" fillId="0" borderId="0" xfId="66" applyFont="1" applyFill="1" applyBorder="1" applyAlignment="1">
      <alignment vertical="center"/>
    </xf>
    <xf numFmtId="0" fontId="119" fillId="0" borderId="110" xfId="66" applyFont="1" applyBorder="1" applyAlignment="1">
      <alignment horizontal="right" indent="1"/>
    </xf>
    <xf numFmtId="0" fontId="69" fillId="0" borderId="0" xfId="66" applyFont="1" applyAlignment="1">
      <alignment horizontal="right" indent="1"/>
    </xf>
    <xf numFmtId="0" fontId="69" fillId="0" borderId="0" xfId="66" applyFont="1" applyFill="1" applyBorder="1" applyAlignment="1">
      <alignment horizontal="right" indent="1"/>
    </xf>
    <xf numFmtId="3" fontId="207" fillId="0" borderId="0" xfId="66" applyNumberFormat="1" applyFont="1" applyAlignment="1">
      <alignment horizontal="right" vertical="center" indent="1"/>
    </xf>
    <xf numFmtId="0" fontId="163" fillId="23" borderId="23" xfId="0" applyFont="1" applyFill="1" applyBorder="1" applyAlignment="1">
      <alignment horizontal="center" vertical="center"/>
    </xf>
    <xf numFmtId="0" fontId="164" fillId="23" borderId="23" xfId="0" applyFont="1" applyFill="1" applyBorder="1" applyAlignment="1">
      <alignment horizontal="center" vertical="center"/>
    </xf>
    <xf numFmtId="0" fontId="167" fillId="23" borderId="23" xfId="0" applyFont="1" applyFill="1" applyBorder="1" applyAlignment="1">
      <alignment horizontal="center" vertical="center"/>
    </xf>
    <xf numFmtId="0" fontId="166" fillId="23" borderId="23" xfId="0" applyFont="1" applyFill="1" applyBorder="1" applyAlignment="1">
      <alignment horizontal="center" vertical="center"/>
    </xf>
    <xf numFmtId="0" fontId="165" fillId="23" borderId="23" xfId="0" applyFont="1" applyFill="1" applyBorder="1" applyAlignment="1">
      <alignment horizontal="center" vertical="center"/>
    </xf>
    <xf numFmtId="0" fontId="116" fillId="23" borderId="23" xfId="0" applyFont="1" applyFill="1" applyBorder="1" applyAlignment="1">
      <alignment horizontal="center" vertical="center"/>
    </xf>
    <xf numFmtId="167" fontId="197" fillId="23" borderId="13" xfId="67" applyNumberFormat="1" applyFont="1" applyFill="1" applyBorder="1" applyAlignment="1">
      <alignment horizontal="center" vertical="center"/>
    </xf>
    <xf numFmtId="167" fontId="197" fillId="23" borderId="14" xfId="67" applyNumberFormat="1" applyFont="1" applyFill="1" applyBorder="1" applyAlignment="1">
      <alignment horizontal="center" vertical="center"/>
    </xf>
    <xf numFmtId="167" fontId="197" fillId="23" borderId="10" xfId="67" applyNumberFormat="1" applyFont="1" applyFill="1" applyBorder="1" applyAlignment="1">
      <alignment horizontal="center" vertical="center"/>
    </xf>
    <xf numFmtId="9" fontId="175" fillId="0" borderId="17" xfId="57" applyNumberFormat="1" applyFont="1" applyFill="1" applyBorder="1" applyAlignment="1">
      <alignment vertical="center"/>
    </xf>
    <xf numFmtId="9" fontId="175" fillId="0" borderId="0" xfId="57" applyNumberFormat="1" applyFont="1" applyFill="1" applyBorder="1" applyAlignment="1">
      <alignment vertical="center"/>
    </xf>
    <xf numFmtId="168" fontId="175" fillId="0" borderId="16" xfId="57" applyNumberFormat="1" applyFont="1" applyFill="1" applyBorder="1" applyAlignment="1">
      <alignment vertical="center"/>
    </xf>
    <xf numFmtId="165" fontId="39" fillId="0" borderId="154" xfId="67" applyNumberFormat="1" applyFont="1" applyFill="1" applyBorder="1" applyAlignment="1">
      <alignment vertical="center"/>
    </xf>
    <xf numFmtId="165" fontId="120" fillId="0" borderId="155" xfId="67" applyNumberFormat="1" applyFont="1" applyFill="1" applyBorder="1" applyAlignment="1">
      <alignment vertical="center"/>
    </xf>
    <xf numFmtId="165" fontId="39" fillId="0" borderId="154" xfId="78" applyNumberFormat="1" applyFont="1" applyFill="1" applyBorder="1" applyAlignment="1">
      <alignment vertical="center"/>
    </xf>
    <xf numFmtId="165" fontId="120" fillId="0" borderId="155" xfId="78" applyNumberFormat="1" applyFont="1" applyFill="1" applyBorder="1" applyAlignment="1">
      <alignment vertical="center"/>
    </xf>
    <xf numFmtId="165" fontId="39" fillId="0" borderId="156" xfId="78" applyNumberFormat="1" applyFont="1" applyFill="1" applyBorder="1" applyAlignment="1">
      <alignment vertical="center"/>
    </xf>
    <xf numFmtId="168" fontId="175" fillId="0" borderId="157" xfId="57" applyNumberFormat="1" applyFont="1" applyFill="1" applyBorder="1" applyAlignment="1">
      <alignment vertical="center"/>
    </xf>
    <xf numFmtId="9" fontId="175" fillId="0" borderId="158" xfId="57" applyNumberFormat="1" applyFont="1" applyFill="1" applyBorder="1" applyAlignment="1">
      <alignment vertical="center"/>
    </xf>
    <xf numFmtId="9" fontId="175" fillId="0" borderId="157" xfId="57" applyNumberFormat="1" applyFont="1" applyFill="1" applyBorder="1" applyAlignment="1">
      <alignment vertical="center"/>
    </xf>
    <xf numFmtId="168" fontId="175" fillId="0" borderId="159" xfId="57" applyNumberFormat="1" applyFont="1" applyFill="1" applyBorder="1" applyAlignment="1">
      <alignment vertical="center"/>
    </xf>
    <xf numFmtId="165" fontId="120" fillId="23" borderId="11" xfId="67" applyNumberFormat="1" applyFont="1" applyFill="1" applyBorder="1" applyAlignment="1">
      <alignment vertical="center"/>
    </xf>
    <xf numFmtId="165" fontId="120" fillId="23" borderId="12" xfId="67" applyNumberFormat="1" applyFont="1" applyFill="1" applyBorder="1" applyAlignment="1">
      <alignment vertical="center"/>
    </xf>
    <xf numFmtId="165" fontId="120" fillId="23" borderId="11" xfId="78" applyNumberFormat="1" applyFont="1" applyFill="1" applyBorder="1" applyAlignment="1">
      <alignment vertical="center"/>
    </xf>
    <xf numFmtId="165" fontId="120" fillId="23" borderId="12" xfId="78" applyNumberFormat="1" applyFont="1" applyFill="1" applyBorder="1" applyAlignment="1">
      <alignment vertical="center"/>
    </xf>
    <xf numFmtId="165" fontId="120" fillId="23" borderId="15" xfId="78" applyNumberFormat="1" applyFont="1" applyFill="1" applyBorder="1" applyAlignment="1">
      <alignment vertical="center"/>
    </xf>
    <xf numFmtId="168" fontId="118" fillId="0" borderId="20" xfId="57" applyNumberFormat="1" applyFont="1" applyBorder="1" applyAlignment="1">
      <alignment vertical="center"/>
    </xf>
    <xf numFmtId="168" fontId="118" fillId="0" borderId="24" xfId="57" applyNumberFormat="1" applyFont="1" applyBorder="1" applyAlignment="1">
      <alignment vertical="center"/>
    </xf>
    <xf numFmtId="9" fontId="118" fillId="0" borderId="22" xfId="57" applyNumberFormat="1" applyFont="1" applyBorder="1" applyAlignment="1">
      <alignment vertical="center"/>
    </xf>
    <xf numFmtId="168" fontId="175" fillId="0" borderId="22" xfId="57" applyNumberFormat="1" applyFont="1" applyFill="1" applyBorder="1" applyAlignment="1">
      <alignment vertical="center"/>
    </xf>
    <xf numFmtId="165" fontId="120" fillId="23" borderId="16" xfId="67" applyNumberFormat="1" applyFont="1" applyFill="1" applyBorder="1" applyAlignment="1">
      <alignment vertical="center"/>
    </xf>
    <xf numFmtId="165" fontId="120" fillId="23" borderId="0" xfId="67" applyNumberFormat="1" applyFont="1" applyFill="1" applyBorder="1" applyAlignment="1">
      <alignment vertical="center"/>
    </xf>
    <xf numFmtId="165" fontId="120" fillId="23" borderId="16" xfId="78" applyNumberFormat="1" applyFont="1" applyFill="1" applyBorder="1" applyAlignment="1">
      <alignment vertical="center"/>
    </xf>
    <xf numFmtId="165" fontId="120" fillId="23" borderId="0" xfId="78" applyNumberFormat="1" applyFont="1" applyFill="1" applyBorder="1" applyAlignment="1">
      <alignment vertical="center"/>
    </xf>
    <xf numFmtId="165" fontId="120" fillId="23" borderId="17" xfId="78" applyNumberFormat="1" applyFont="1" applyFill="1" applyBorder="1" applyAlignment="1">
      <alignment vertical="center"/>
    </xf>
    <xf numFmtId="9" fontId="39" fillId="0" borderId="22" xfId="57" applyNumberFormat="1" applyFont="1" applyFill="1" applyBorder="1" applyAlignment="1">
      <alignment vertical="center"/>
    </xf>
    <xf numFmtId="165" fontId="163" fillId="23" borderId="20" xfId="67" applyNumberFormat="1" applyFont="1" applyFill="1" applyBorder="1" applyAlignment="1">
      <alignment vertical="center"/>
    </xf>
    <xf numFmtId="165" fontId="163" fillId="23" borderId="24" xfId="67" applyNumberFormat="1" applyFont="1" applyFill="1" applyBorder="1" applyAlignment="1">
      <alignment vertical="center"/>
    </xf>
    <xf numFmtId="165" fontId="163" fillId="23" borderId="20" xfId="68" applyNumberFormat="1" applyFont="1" applyFill="1" applyBorder="1" applyAlignment="1">
      <alignment vertical="center"/>
    </xf>
    <xf numFmtId="165" fontId="163" fillId="23" borderId="24" xfId="68" applyNumberFormat="1" applyFont="1" applyFill="1" applyBorder="1" applyAlignment="1">
      <alignment vertical="center"/>
    </xf>
    <xf numFmtId="165" fontId="163" fillId="23" borderId="22" xfId="68" applyNumberFormat="1" applyFont="1" applyFill="1" applyBorder="1" applyAlignment="1">
      <alignment vertical="center"/>
    </xf>
    <xf numFmtId="165" fontId="163" fillId="23" borderId="20" xfId="78" applyNumberFormat="1" applyFont="1" applyFill="1" applyBorder="1" applyAlignment="1">
      <alignment vertical="center"/>
    </xf>
    <xf numFmtId="165" fontId="163" fillId="23" borderId="24" xfId="78" applyNumberFormat="1" applyFont="1" applyFill="1" applyBorder="1" applyAlignment="1">
      <alignment vertical="center"/>
    </xf>
    <xf numFmtId="165" fontId="163" fillId="23" borderId="22" xfId="78" applyNumberFormat="1" applyFont="1" applyFill="1" applyBorder="1" applyAlignment="1">
      <alignment vertical="center"/>
    </xf>
    <xf numFmtId="165" fontId="165" fillId="23" borderId="20" xfId="67" applyNumberFormat="1" applyFont="1" applyFill="1" applyBorder="1" applyAlignment="1">
      <alignment vertical="center"/>
    </xf>
    <xf numFmtId="165" fontId="165" fillId="23" borderId="24" xfId="67" applyNumberFormat="1" applyFont="1" applyFill="1" applyBorder="1" applyAlignment="1">
      <alignment vertical="center"/>
    </xf>
    <xf numFmtId="165" fontId="165" fillId="23" borderId="20" xfId="68" applyNumberFormat="1" applyFont="1" applyFill="1" applyBorder="1" applyAlignment="1">
      <alignment vertical="center"/>
    </xf>
    <xf numFmtId="165" fontId="165" fillId="23" borderId="24" xfId="68" applyNumberFormat="1" applyFont="1" applyFill="1" applyBorder="1" applyAlignment="1">
      <alignment vertical="center"/>
    </xf>
    <xf numFmtId="165" fontId="165" fillId="23" borderId="22" xfId="68" applyNumberFormat="1" applyFont="1" applyFill="1" applyBorder="1" applyAlignment="1">
      <alignment vertical="center"/>
    </xf>
    <xf numFmtId="165" fontId="165" fillId="23" borderId="20" xfId="78" applyNumberFormat="1" applyFont="1" applyFill="1" applyBorder="1" applyAlignment="1">
      <alignment vertical="center"/>
    </xf>
    <xf numFmtId="165" fontId="165" fillId="23" borderId="24" xfId="78" applyNumberFormat="1" applyFont="1" applyFill="1" applyBorder="1" applyAlignment="1">
      <alignment vertical="center"/>
    </xf>
    <xf numFmtId="165" fontId="165" fillId="23" borderId="22" xfId="78" applyNumberFormat="1" applyFont="1" applyFill="1" applyBorder="1" applyAlignment="1">
      <alignment vertical="center"/>
    </xf>
    <xf numFmtId="165" fontId="166" fillId="23" borderId="20" xfId="67" applyNumberFormat="1" applyFont="1" applyFill="1" applyBorder="1" applyAlignment="1">
      <alignment vertical="center"/>
    </xf>
    <xf numFmtId="165" fontId="166" fillId="23" borderId="24" xfId="67" applyNumberFormat="1" applyFont="1" applyFill="1" applyBorder="1" applyAlignment="1">
      <alignment vertical="center"/>
    </xf>
    <xf numFmtId="165" fontId="166" fillId="23" borderId="20" xfId="68" applyNumberFormat="1" applyFont="1" applyFill="1" applyBorder="1" applyAlignment="1">
      <alignment vertical="center"/>
    </xf>
    <xf numFmtId="165" fontId="166" fillId="23" borderId="24" xfId="68" applyNumberFormat="1" applyFont="1" applyFill="1" applyBorder="1" applyAlignment="1">
      <alignment vertical="center"/>
    </xf>
    <xf numFmtId="165" fontId="166" fillId="23" borderId="22" xfId="68" applyNumberFormat="1" applyFont="1" applyFill="1" applyBorder="1" applyAlignment="1">
      <alignment vertical="center"/>
    </xf>
    <xf numFmtId="165" fontId="166" fillId="23" borderId="20" xfId="78" applyNumberFormat="1" applyFont="1" applyFill="1" applyBorder="1" applyAlignment="1">
      <alignment vertical="center"/>
    </xf>
    <xf numFmtId="165" fontId="166" fillId="23" borderId="24" xfId="78" applyNumberFormat="1" applyFont="1" applyFill="1" applyBorder="1" applyAlignment="1">
      <alignment vertical="center"/>
    </xf>
    <xf numFmtId="165" fontId="166" fillId="23" borderId="22" xfId="78" applyNumberFormat="1" applyFont="1" applyFill="1" applyBorder="1" applyAlignment="1">
      <alignment vertical="center"/>
    </xf>
    <xf numFmtId="165" fontId="167" fillId="23" borderId="20" xfId="67" applyNumberFormat="1" applyFont="1" applyFill="1" applyBorder="1" applyAlignment="1">
      <alignment vertical="center"/>
    </xf>
    <xf numFmtId="165" fontId="167" fillId="23" borderId="24" xfId="67" applyNumberFormat="1" applyFont="1" applyFill="1" applyBorder="1" applyAlignment="1">
      <alignment vertical="center"/>
    </xf>
    <xf numFmtId="165" fontId="167" fillId="23" borderId="20" xfId="68" applyNumberFormat="1" applyFont="1" applyFill="1" applyBorder="1" applyAlignment="1">
      <alignment vertical="center"/>
    </xf>
    <xf numFmtId="165" fontId="167" fillId="23" borderId="24" xfId="68" applyNumberFormat="1" applyFont="1" applyFill="1" applyBorder="1" applyAlignment="1">
      <alignment vertical="center"/>
    </xf>
    <xf numFmtId="165" fontId="167" fillId="23" borderId="22" xfId="68" applyNumberFormat="1" applyFont="1" applyFill="1" applyBorder="1" applyAlignment="1">
      <alignment vertical="center"/>
    </xf>
    <xf numFmtId="165" fontId="167" fillId="23" borderId="20" xfId="78" applyNumberFormat="1" applyFont="1" applyFill="1" applyBorder="1" applyAlignment="1">
      <alignment vertical="center"/>
    </xf>
    <xf numFmtId="165" fontId="167" fillId="23" borderId="24" xfId="78" applyNumberFormat="1" applyFont="1" applyFill="1" applyBorder="1" applyAlignment="1">
      <alignment vertical="center"/>
    </xf>
    <xf numFmtId="165" fontId="167" fillId="23" borderId="22" xfId="78" applyNumberFormat="1" applyFont="1" applyFill="1" applyBorder="1" applyAlignment="1">
      <alignment vertical="center"/>
    </xf>
    <xf numFmtId="165" fontId="164" fillId="23" borderId="20" xfId="67" applyNumberFormat="1" applyFont="1" applyFill="1" applyBorder="1" applyAlignment="1">
      <alignment vertical="center"/>
    </xf>
    <xf numFmtId="165" fontId="164" fillId="23" borderId="24" xfId="67" applyNumberFormat="1" applyFont="1" applyFill="1" applyBorder="1" applyAlignment="1">
      <alignment vertical="center"/>
    </xf>
    <xf numFmtId="165" fontId="164" fillId="23" borderId="20" xfId="68" applyNumberFormat="1" applyFont="1" applyFill="1" applyBorder="1" applyAlignment="1">
      <alignment vertical="center"/>
    </xf>
    <xf numFmtId="165" fontId="164" fillId="23" borderId="24" xfId="68" applyNumberFormat="1" applyFont="1" applyFill="1" applyBorder="1" applyAlignment="1">
      <alignment vertical="center"/>
    </xf>
    <xf numFmtId="165" fontId="164" fillId="23" borderId="22" xfId="68" applyNumberFormat="1" applyFont="1" applyFill="1" applyBorder="1" applyAlignment="1">
      <alignment vertical="center"/>
    </xf>
    <xf numFmtId="165" fontId="164" fillId="23" borderId="20" xfId="78" applyNumberFormat="1" applyFont="1" applyFill="1" applyBorder="1" applyAlignment="1">
      <alignment vertical="center"/>
    </xf>
    <xf numFmtId="165" fontId="164" fillId="23" borderId="24" xfId="78" applyNumberFormat="1" applyFont="1" applyFill="1" applyBorder="1" applyAlignment="1">
      <alignment vertical="center"/>
    </xf>
    <xf numFmtId="165" fontId="164" fillId="23" borderId="22" xfId="78" applyNumberFormat="1" applyFont="1" applyFill="1" applyBorder="1" applyAlignment="1">
      <alignment vertical="center"/>
    </xf>
    <xf numFmtId="0" fontId="116" fillId="23" borderId="18" xfId="0" applyFont="1" applyFill="1" applyBorder="1" applyAlignment="1">
      <alignment horizontal="center" vertical="center"/>
    </xf>
    <xf numFmtId="0" fontId="219" fillId="23" borderId="18" xfId="0" applyFont="1" applyFill="1" applyBorder="1" applyAlignment="1">
      <alignment horizontal="center" vertical="center"/>
    </xf>
    <xf numFmtId="0" fontId="124" fillId="0" borderId="0" xfId="374" applyFont="1" applyBorder="1" applyAlignment="1">
      <alignment horizontal="left" vertical="center" readingOrder="1"/>
    </xf>
    <xf numFmtId="0" fontId="117" fillId="0" borderId="117" xfId="646" applyFont="1" applyBorder="1" applyAlignment="1">
      <alignment horizontal="center" vertical="center"/>
    </xf>
    <xf numFmtId="0" fontId="120" fillId="29" borderId="151" xfId="646" applyFont="1" applyFill="1" applyBorder="1" applyAlignment="1">
      <alignment horizontal="center" vertical="center"/>
    </xf>
    <xf numFmtId="9" fontId="120" fillId="29" borderId="129" xfId="647" applyFont="1" applyFill="1" applyBorder="1" applyAlignment="1">
      <alignment horizontal="center" vertical="center"/>
    </xf>
    <xf numFmtId="9" fontId="120" fillId="29" borderId="153" xfId="647" applyFont="1" applyFill="1" applyBorder="1" applyAlignment="1">
      <alignment horizontal="center" vertical="center"/>
    </xf>
    <xf numFmtId="0" fontId="198" fillId="29" borderId="114" xfId="646" applyFont="1" applyFill="1" applyBorder="1" applyAlignment="1">
      <alignment horizontal="center" vertical="center"/>
    </xf>
    <xf numFmtId="9" fontId="198" fillId="29" borderId="115" xfId="647" applyFont="1" applyFill="1" applyBorder="1" applyAlignment="1">
      <alignment horizontal="center" vertical="center"/>
    </xf>
    <xf numFmtId="9" fontId="198" fillId="29" borderId="116" xfId="647" applyFont="1" applyFill="1" applyBorder="1" applyAlignment="1">
      <alignment horizontal="center" vertical="center"/>
    </xf>
    <xf numFmtId="0" fontId="116" fillId="23" borderId="10" xfId="66" applyFont="1" applyFill="1" applyBorder="1" applyAlignment="1">
      <alignment horizontal="center" vertical="center"/>
    </xf>
    <xf numFmtId="1" fontId="116" fillId="23" borderId="18" xfId="50" applyNumberFormat="1" applyFont="1" applyFill="1" applyBorder="1" applyAlignment="1">
      <alignment horizontal="center" vertical="center" wrapText="1"/>
    </xf>
    <xf numFmtId="0" fontId="117" fillId="0" borderId="19" xfId="0" applyFont="1" applyBorder="1" applyAlignment="1">
      <alignment horizontal="center" vertical="center"/>
    </xf>
    <xf numFmtId="0" fontId="40" fillId="0" borderId="19" xfId="0" applyFont="1" applyBorder="1" applyAlignment="1">
      <alignment horizontal="center" vertical="center" wrapText="1"/>
    </xf>
    <xf numFmtId="177" fontId="117" fillId="0" borderId="25" xfId="0" applyNumberFormat="1" applyFont="1" applyFill="1" applyBorder="1" applyAlignment="1">
      <alignment horizontal="right" vertical="center" indent="1"/>
    </xf>
    <xf numFmtId="177" fontId="117" fillId="0" borderId="30" xfId="0" applyNumberFormat="1" applyFont="1" applyFill="1" applyBorder="1" applyAlignment="1">
      <alignment horizontal="right" vertical="center" indent="1"/>
    </xf>
    <xf numFmtId="177" fontId="117" fillId="0" borderId="40" xfId="0" applyNumberFormat="1" applyFont="1" applyFill="1" applyBorder="1" applyAlignment="1">
      <alignment horizontal="right" vertical="center" indent="1"/>
    </xf>
    <xf numFmtId="177" fontId="117" fillId="0" borderId="26" xfId="0" applyNumberFormat="1" applyFont="1" applyFill="1" applyBorder="1" applyAlignment="1">
      <alignment horizontal="right" vertical="center" indent="1"/>
    </xf>
    <xf numFmtId="177" fontId="117" fillId="0" borderId="31" xfId="0" applyNumberFormat="1" applyFont="1" applyFill="1" applyBorder="1" applyAlignment="1">
      <alignment horizontal="right" vertical="center" indent="1"/>
    </xf>
    <xf numFmtId="177" fontId="117" fillId="0" borderId="41" xfId="0" applyNumberFormat="1" applyFont="1" applyFill="1" applyBorder="1" applyAlignment="1">
      <alignment horizontal="right" vertical="center" indent="1"/>
    </xf>
    <xf numFmtId="177" fontId="163" fillId="23" borderId="27" xfId="0" applyNumberFormat="1" applyFont="1" applyFill="1" applyBorder="1" applyAlignment="1">
      <alignment horizontal="right" vertical="center" indent="1"/>
    </xf>
    <xf numFmtId="177" fontId="163" fillId="23" borderId="32" xfId="0" applyNumberFormat="1" applyFont="1" applyFill="1" applyBorder="1" applyAlignment="1">
      <alignment horizontal="right" vertical="center" indent="1"/>
    </xf>
    <xf numFmtId="177" fontId="163" fillId="23" borderId="42" xfId="0" applyNumberFormat="1" applyFont="1" applyFill="1" applyBorder="1" applyAlignment="1">
      <alignment horizontal="right" vertical="center" indent="1"/>
    </xf>
    <xf numFmtId="177" fontId="0" fillId="0" borderId="0" xfId="0" applyNumberFormat="1" applyAlignment="1">
      <alignment vertical="center"/>
    </xf>
    <xf numFmtId="177" fontId="164" fillId="23" borderId="42" xfId="0" applyNumberFormat="1" applyFont="1" applyFill="1" applyBorder="1" applyAlignment="1">
      <alignment horizontal="right" vertical="center" indent="1"/>
    </xf>
    <xf numFmtId="177" fontId="164" fillId="23" borderId="32" xfId="0" applyNumberFormat="1" applyFont="1" applyFill="1" applyBorder="1" applyAlignment="1">
      <alignment horizontal="right" vertical="center" indent="1"/>
    </xf>
    <xf numFmtId="177" fontId="0" fillId="0" borderId="0" xfId="0" applyNumberFormat="1"/>
    <xf numFmtId="177" fontId="167" fillId="23" borderId="27" xfId="0" applyNumberFormat="1" applyFont="1" applyFill="1" applyBorder="1" applyAlignment="1">
      <alignment horizontal="right" vertical="center" indent="1"/>
    </xf>
    <xf numFmtId="177" fontId="167" fillId="23" borderId="32" xfId="0" applyNumberFormat="1" applyFont="1" applyFill="1" applyBorder="1" applyAlignment="1">
      <alignment horizontal="right" vertical="center" indent="1"/>
    </xf>
    <xf numFmtId="177" fontId="167" fillId="23" borderId="42" xfId="0" applyNumberFormat="1" applyFont="1" applyFill="1" applyBorder="1" applyAlignment="1">
      <alignment horizontal="right" vertical="center" indent="1"/>
    </xf>
    <xf numFmtId="177" fontId="165" fillId="23" borderId="27" xfId="0" applyNumberFormat="1" applyFont="1" applyFill="1" applyBorder="1" applyAlignment="1">
      <alignment horizontal="right" vertical="center" indent="1"/>
    </xf>
    <xf numFmtId="177" fontId="165" fillId="23" borderId="32" xfId="0" applyNumberFormat="1" applyFont="1" applyFill="1" applyBorder="1" applyAlignment="1">
      <alignment horizontal="right" vertical="center" indent="1"/>
    </xf>
    <xf numFmtId="177" fontId="165" fillId="23" borderId="42" xfId="0" applyNumberFormat="1" applyFont="1" applyFill="1" applyBorder="1" applyAlignment="1">
      <alignment horizontal="right" vertical="center" indent="1"/>
    </xf>
    <xf numFmtId="177" fontId="117" fillId="0" borderId="27" xfId="0" applyNumberFormat="1" applyFont="1" applyFill="1" applyBorder="1" applyAlignment="1">
      <alignment horizontal="right" vertical="center" indent="1"/>
    </xf>
    <xf numFmtId="177" fontId="117" fillId="0" borderId="32" xfId="0" applyNumberFormat="1" applyFont="1" applyFill="1" applyBorder="1" applyAlignment="1">
      <alignment horizontal="right" vertical="center" indent="1"/>
    </xf>
    <xf numFmtId="177" fontId="117" fillId="0" borderId="42" xfId="0" applyNumberFormat="1" applyFont="1" applyFill="1" applyBorder="1" applyAlignment="1">
      <alignment horizontal="right" vertical="center" indent="1"/>
    </xf>
    <xf numFmtId="177" fontId="116" fillId="23" borderId="27" xfId="0" applyNumberFormat="1" applyFont="1" applyFill="1" applyBorder="1" applyAlignment="1">
      <alignment horizontal="right" vertical="center" indent="1"/>
    </xf>
    <xf numFmtId="177" fontId="116" fillId="23" borderId="32" xfId="0" applyNumberFormat="1" applyFont="1" applyFill="1" applyBorder="1" applyAlignment="1">
      <alignment horizontal="right" vertical="center" indent="1"/>
    </xf>
    <xf numFmtId="177" fontId="116" fillId="23" borderId="42" xfId="0" applyNumberFormat="1" applyFont="1" applyFill="1" applyBorder="1" applyAlignment="1">
      <alignment horizontal="right" vertical="center" indent="1"/>
    </xf>
    <xf numFmtId="177" fontId="116" fillId="23" borderId="18" xfId="0" applyNumberFormat="1" applyFont="1" applyFill="1" applyBorder="1" applyAlignment="1">
      <alignment horizontal="right" vertical="center" indent="1"/>
    </xf>
    <xf numFmtId="182" fontId="35" fillId="0" borderId="0" xfId="631" applyNumberFormat="1"/>
    <xf numFmtId="0" fontId="163" fillId="23" borderId="23" xfId="45" applyFont="1" applyFill="1" applyBorder="1" applyAlignment="1">
      <alignment horizontal="centerContinuous" vertical="center"/>
    </xf>
    <xf numFmtId="0" fontId="165" fillId="23" borderId="23" xfId="45" applyFont="1" applyFill="1" applyBorder="1" applyAlignment="1">
      <alignment horizontal="centerContinuous" vertical="center"/>
    </xf>
    <xf numFmtId="0" fontId="167" fillId="23" borderId="23" xfId="45" applyFont="1" applyFill="1" applyBorder="1" applyAlignment="1">
      <alignment horizontal="centerContinuous" vertical="center"/>
    </xf>
    <xf numFmtId="0" fontId="164" fillId="23" borderId="23" xfId="45" applyFont="1" applyFill="1" applyBorder="1" applyAlignment="1">
      <alignment horizontal="centerContinuous" vertical="center"/>
    </xf>
    <xf numFmtId="0" fontId="166" fillId="23" borderId="23" xfId="45" applyFont="1" applyFill="1" applyBorder="1" applyAlignment="1">
      <alignment horizontal="centerContinuous" vertical="center"/>
    </xf>
    <xf numFmtId="182" fontId="116" fillId="23" borderId="18" xfId="0" applyNumberFormat="1" applyFont="1" applyFill="1" applyBorder="1" applyAlignment="1">
      <alignment horizontal="right" vertical="center" indent="1"/>
    </xf>
    <xf numFmtId="0" fontId="221" fillId="0" borderId="0" xfId="66" applyFont="1" applyAlignment="1">
      <alignment vertical="center"/>
    </xf>
    <xf numFmtId="0" fontId="25" fillId="0" borderId="31" xfId="0" applyFont="1" applyBorder="1" applyAlignment="1">
      <alignment vertical="center" wrapText="1"/>
    </xf>
    <xf numFmtId="3" fontId="40" fillId="0" borderId="21" xfId="0" applyNumberFormat="1" applyFont="1" applyBorder="1" applyAlignment="1">
      <alignment horizontal="right" vertical="center" wrapText="1" indent="1"/>
    </xf>
    <xf numFmtId="0" fontId="117" fillId="0" borderId="19" xfId="0" applyFont="1" applyBorder="1" applyAlignment="1">
      <alignment vertical="center"/>
    </xf>
    <xf numFmtId="0" fontId="117" fillId="23" borderId="23" xfId="0" applyFont="1" applyFill="1" applyBorder="1" applyAlignment="1">
      <alignment vertical="center"/>
    </xf>
    <xf numFmtId="0" fontId="40" fillId="23" borderId="24" xfId="0" applyFont="1" applyFill="1" applyBorder="1" applyAlignment="1">
      <alignment horizontal="center" vertical="center" wrapText="1"/>
    </xf>
    <xf numFmtId="3" fontId="40" fillId="23" borderId="23" xfId="0" applyNumberFormat="1" applyFont="1" applyFill="1" applyBorder="1" applyAlignment="1">
      <alignment horizontal="right" vertical="center" wrapText="1" indent="1"/>
    </xf>
    <xf numFmtId="3" fontId="40" fillId="23" borderId="24" xfId="0" applyNumberFormat="1" applyFont="1" applyFill="1" applyBorder="1" applyAlignment="1">
      <alignment horizontal="right" vertical="center" wrapText="1" indent="1"/>
    </xf>
    <xf numFmtId="0" fontId="25" fillId="0" borderId="0" xfId="0" applyFont="1" applyFill="1" applyBorder="1" applyAlignment="1">
      <alignment horizontal="left" vertical="center" wrapText="1"/>
    </xf>
    <xf numFmtId="0" fontId="116" fillId="23" borderId="18" xfId="0" applyFont="1" applyFill="1" applyBorder="1" applyAlignment="1">
      <alignment horizontal="center" vertical="center"/>
    </xf>
    <xf numFmtId="0" fontId="116" fillId="0" borderId="13" xfId="66" applyFont="1" applyFill="1" applyBorder="1" applyAlignment="1">
      <alignment horizontal="center" vertical="center"/>
    </xf>
    <xf numFmtId="0" fontId="116" fillId="0" borderId="14" xfId="66" applyFont="1" applyFill="1" applyBorder="1" applyAlignment="1">
      <alignment horizontal="center" vertical="center"/>
    </xf>
    <xf numFmtId="0" fontId="116" fillId="0" borderId="10" xfId="66" applyFont="1" applyFill="1" applyBorder="1" applyAlignment="1">
      <alignment horizontal="center" vertical="center"/>
    </xf>
    <xf numFmtId="0" fontId="223" fillId="0" borderId="0" xfId="66" applyFont="1"/>
    <xf numFmtId="1" fontId="223" fillId="0" borderId="0" xfId="66" applyNumberFormat="1" applyFont="1"/>
    <xf numFmtId="0" fontId="117" fillId="0" borderId="36" xfId="66" applyFont="1" applyBorder="1" applyAlignment="1">
      <alignment vertical="center"/>
    </xf>
    <xf numFmtId="0" fontId="117" fillId="23" borderId="36" xfId="66" applyFont="1" applyFill="1" applyBorder="1" applyAlignment="1">
      <alignment horizontal="center" vertical="center"/>
    </xf>
    <xf numFmtId="3" fontId="117" fillId="23" borderId="31" xfId="66" applyNumberFormat="1" applyFont="1" applyFill="1" applyBorder="1" applyAlignment="1">
      <alignment horizontal="center" vertical="center"/>
    </xf>
    <xf numFmtId="0" fontId="117" fillId="23" borderId="39" xfId="66" applyFont="1" applyFill="1" applyBorder="1" applyAlignment="1">
      <alignment horizontal="center" vertical="center"/>
    </xf>
    <xf numFmtId="3" fontId="117" fillId="23" borderId="34" xfId="66" applyNumberFormat="1" applyFont="1" applyFill="1" applyBorder="1" applyAlignment="1">
      <alignment horizontal="center" vertical="center"/>
    </xf>
    <xf numFmtId="0" fontId="163" fillId="0" borderId="13" xfId="66" applyFont="1" applyFill="1" applyBorder="1" applyAlignment="1">
      <alignment horizontal="center" vertical="center"/>
    </xf>
    <xf numFmtId="0" fontId="163" fillId="0" borderId="10" xfId="66" applyFont="1" applyFill="1" applyBorder="1" applyAlignment="1">
      <alignment horizontal="center" vertical="center"/>
    </xf>
    <xf numFmtId="3" fontId="163" fillId="0" borderId="18" xfId="66" applyNumberFormat="1" applyFont="1" applyFill="1" applyBorder="1" applyAlignment="1">
      <alignment horizontal="center" vertical="center"/>
    </xf>
    <xf numFmtId="3" fontId="117" fillId="0" borderId="33" xfId="66" applyNumberFormat="1" applyFont="1" applyBorder="1" applyAlignment="1">
      <alignment horizontal="center" vertical="center"/>
    </xf>
    <xf numFmtId="0" fontId="165" fillId="0" borderId="14" xfId="66" applyFont="1" applyFill="1" applyBorder="1" applyAlignment="1">
      <alignment horizontal="center" vertical="center"/>
    </xf>
    <xf numFmtId="0" fontId="165" fillId="0" borderId="10" xfId="66" applyFont="1" applyFill="1" applyBorder="1" applyAlignment="1">
      <alignment horizontal="center" vertical="center"/>
    </xf>
    <xf numFmtId="3" fontId="165" fillId="0" borderId="18" xfId="66" applyNumberFormat="1" applyFont="1" applyFill="1" applyBorder="1" applyAlignment="1">
      <alignment horizontal="center" vertical="center"/>
    </xf>
    <xf numFmtId="10" fontId="117" fillId="0" borderId="36" xfId="66" applyNumberFormat="1" applyFont="1" applyBorder="1" applyAlignment="1">
      <alignment vertical="center"/>
    </xf>
    <xf numFmtId="10" fontId="117" fillId="0" borderId="38" xfId="66" applyNumberFormat="1" applyFont="1" applyBorder="1" applyAlignment="1">
      <alignment vertical="center"/>
    </xf>
    <xf numFmtId="0" fontId="164" fillId="0" borderId="14" xfId="66" applyFont="1" applyFill="1" applyBorder="1" applyAlignment="1">
      <alignment horizontal="center" vertical="center"/>
    </xf>
    <xf numFmtId="0" fontId="164" fillId="0" borderId="10" xfId="66" applyFont="1" applyFill="1" applyBorder="1" applyAlignment="1">
      <alignment horizontal="center" vertical="center"/>
    </xf>
    <xf numFmtId="3" fontId="164" fillId="0" borderId="18" xfId="66" applyNumberFormat="1" applyFont="1" applyFill="1" applyBorder="1" applyAlignment="1">
      <alignment horizontal="center" vertical="center"/>
    </xf>
    <xf numFmtId="3" fontId="166" fillId="0" borderId="18" xfId="66" applyNumberFormat="1" applyFont="1" applyFill="1" applyBorder="1" applyAlignment="1">
      <alignment horizontal="center" vertical="center"/>
    </xf>
    <xf numFmtId="1" fontId="117" fillId="0" borderId="30" xfId="66" applyNumberFormat="1" applyFont="1" applyBorder="1" applyAlignment="1">
      <alignment horizontal="center" vertical="center"/>
    </xf>
    <xf numFmtId="0" fontId="117" fillId="0" borderId="26" xfId="66" applyFont="1" applyBorder="1" applyAlignment="1">
      <alignment vertical="center"/>
    </xf>
    <xf numFmtId="1" fontId="117" fillId="0" borderId="31" xfId="66" applyNumberFormat="1" applyFont="1" applyBorder="1" applyAlignment="1">
      <alignment horizontal="center" vertical="center"/>
    </xf>
    <xf numFmtId="0" fontId="117" fillId="23" borderId="26" xfId="66" applyFont="1" applyFill="1" applyBorder="1" applyAlignment="1">
      <alignment horizontal="center" vertical="center"/>
    </xf>
    <xf numFmtId="1" fontId="117" fillId="23" borderId="31" xfId="66" applyNumberFormat="1" applyFont="1" applyFill="1" applyBorder="1" applyAlignment="1">
      <alignment horizontal="center" vertical="center"/>
    </xf>
    <xf numFmtId="0" fontId="117" fillId="23" borderId="29" xfId="66" applyFont="1" applyFill="1" applyBorder="1" applyAlignment="1">
      <alignment horizontal="center" vertical="center"/>
    </xf>
    <xf numFmtId="1" fontId="117" fillId="23" borderId="34" xfId="66" applyNumberFormat="1" applyFont="1" applyFill="1" applyBorder="1" applyAlignment="1">
      <alignment horizontal="center" vertical="center"/>
    </xf>
    <xf numFmtId="0" fontId="163" fillId="0" borderId="14" xfId="66" applyFont="1" applyFill="1" applyBorder="1" applyAlignment="1">
      <alignment horizontal="center" vertical="center"/>
    </xf>
    <xf numFmtId="1" fontId="117" fillId="0" borderId="33" xfId="66" applyNumberFormat="1" applyFont="1" applyFill="1" applyBorder="1" applyAlignment="1">
      <alignment horizontal="center" vertical="center"/>
    </xf>
    <xf numFmtId="1" fontId="117" fillId="0" borderId="31" xfId="66" applyNumberFormat="1" applyFont="1" applyFill="1" applyBorder="1" applyAlignment="1">
      <alignment horizontal="center" vertical="center"/>
    </xf>
    <xf numFmtId="10" fontId="117" fillId="0" borderId="26" xfId="66" applyNumberFormat="1" applyFont="1" applyBorder="1" applyAlignment="1">
      <alignment vertical="center"/>
    </xf>
    <xf numFmtId="10" fontId="117" fillId="0" borderId="28" xfId="66" applyNumberFormat="1" applyFont="1" applyBorder="1" applyAlignment="1">
      <alignment vertical="center"/>
    </xf>
    <xf numFmtId="1" fontId="117" fillId="0" borderId="33" xfId="66" applyNumberFormat="1" applyFont="1" applyBorder="1" applyAlignment="1">
      <alignment horizontal="center" vertical="center"/>
    </xf>
    <xf numFmtId="0" fontId="24" fillId="0" borderId="0" xfId="655"/>
    <xf numFmtId="0" fontId="175" fillId="23" borderId="18" xfId="655" applyFont="1" applyFill="1" applyBorder="1" applyAlignment="1">
      <alignment vertical="center"/>
    </xf>
    <xf numFmtId="0" fontId="135" fillId="0" borderId="30" xfId="655" applyFont="1" applyBorder="1" applyAlignment="1">
      <alignment vertical="center"/>
    </xf>
    <xf numFmtId="0" fontId="135" fillId="0" borderId="30" xfId="655" applyFont="1" applyBorder="1" applyAlignment="1">
      <alignment horizontal="center" vertical="center"/>
    </xf>
    <xf numFmtId="0" fontId="134" fillId="0" borderId="30" xfId="655" applyFont="1" applyBorder="1" applyAlignment="1">
      <alignment horizontal="center" vertical="center"/>
    </xf>
    <xf numFmtId="0" fontId="135" fillId="0" borderId="31" xfId="655" applyFont="1" applyBorder="1" applyAlignment="1">
      <alignment vertical="center"/>
    </xf>
    <xf numFmtId="0" fontId="135" fillId="0" borderId="31" xfId="655" applyFont="1" applyBorder="1" applyAlignment="1">
      <alignment horizontal="center" vertical="center"/>
    </xf>
    <xf numFmtId="0" fontId="134" fillId="0" borderId="31" xfId="655" applyFont="1" applyBorder="1" applyAlignment="1">
      <alignment horizontal="center" vertical="center"/>
    </xf>
    <xf numFmtId="0" fontId="135" fillId="0" borderId="18" xfId="655" applyFont="1" applyBorder="1" applyAlignment="1">
      <alignment horizontal="center" vertical="center" wrapText="1"/>
    </xf>
    <xf numFmtId="0" fontId="135" fillId="0" borderId="32" xfId="655" applyFont="1" applyBorder="1" applyAlignment="1">
      <alignment vertical="center"/>
    </xf>
    <xf numFmtId="0" fontId="135" fillId="0" borderId="32" xfId="655" applyFont="1" applyBorder="1" applyAlignment="1">
      <alignment horizontal="center" vertical="center"/>
    </xf>
    <xf numFmtId="0" fontId="134" fillId="0" borderId="32" xfId="655" applyFont="1" applyBorder="1" applyAlignment="1">
      <alignment horizontal="center" vertical="center"/>
    </xf>
    <xf numFmtId="0" fontId="163" fillId="0" borderId="18" xfId="655" applyFont="1" applyFill="1" applyBorder="1" applyAlignment="1">
      <alignment horizontal="center" vertical="center"/>
    </xf>
    <xf numFmtId="0" fontId="164" fillId="0" borderId="18" xfId="655" applyFont="1" applyFill="1" applyBorder="1" applyAlignment="1">
      <alignment horizontal="center" vertical="center"/>
    </xf>
    <xf numFmtId="0" fontId="24" fillId="0" borderId="31" xfId="655" applyFont="1" applyBorder="1" applyAlignment="1">
      <alignment vertical="center"/>
    </xf>
    <xf numFmtId="0" fontId="24" fillId="0" borderId="32" xfId="655" applyFont="1" applyBorder="1" applyAlignment="1">
      <alignment vertical="center"/>
    </xf>
    <xf numFmtId="0" fontId="167" fillId="0" borderId="18" xfId="655" applyFont="1" applyFill="1" applyBorder="1" applyAlignment="1">
      <alignment horizontal="center" vertical="center"/>
    </xf>
    <xf numFmtId="0" fontId="165" fillId="0" borderId="18" xfId="655" applyFont="1" applyFill="1" applyBorder="1" applyAlignment="1">
      <alignment horizontal="center" vertical="center" wrapText="1"/>
    </xf>
    <xf numFmtId="0" fontId="120" fillId="23" borderId="18" xfId="655" applyFont="1" applyFill="1" applyBorder="1" applyAlignment="1">
      <alignment horizontal="center" vertical="center"/>
    </xf>
    <xf numFmtId="3" fontId="117" fillId="0" borderId="29" xfId="66" applyNumberFormat="1" applyFont="1" applyFill="1" applyBorder="1" applyAlignment="1">
      <alignment horizontal="right" vertical="center" indent="1"/>
    </xf>
    <xf numFmtId="3" fontId="117" fillId="0" borderId="39" xfId="66" applyNumberFormat="1" applyFont="1" applyFill="1" applyBorder="1" applyAlignment="1">
      <alignment horizontal="right" vertical="center" indent="1"/>
    </xf>
    <xf numFmtId="3" fontId="117" fillId="0" borderId="44" xfId="66" applyNumberFormat="1" applyFont="1" applyFill="1" applyBorder="1" applyAlignment="1">
      <alignment horizontal="right" vertical="center" indent="1"/>
    </xf>
    <xf numFmtId="0" fontId="175" fillId="23" borderId="18" xfId="655" applyFont="1" applyFill="1" applyBorder="1" applyAlignment="1">
      <alignment horizontal="center" vertical="center"/>
    </xf>
    <xf numFmtId="0" fontId="121" fillId="0" borderId="24" xfId="655" applyFont="1" applyFill="1" applyBorder="1" applyAlignment="1">
      <alignment vertical="center"/>
    </xf>
    <xf numFmtId="0" fontId="117" fillId="0" borderId="24" xfId="374" applyFont="1" applyBorder="1" applyAlignment="1">
      <alignment vertical="center"/>
    </xf>
    <xf numFmtId="0" fontId="37" fillId="0" borderId="0" xfId="466" applyAlignment="1">
      <alignment horizontal="center"/>
    </xf>
    <xf numFmtId="0" fontId="93" fillId="0" borderId="24" xfId="32" applyBorder="1" applyAlignment="1" applyProtection="1">
      <alignment horizontal="center" vertical="center"/>
    </xf>
    <xf numFmtId="0" fontId="135" fillId="0" borderId="30" xfId="0" applyFont="1" applyBorder="1" applyAlignment="1">
      <alignment vertical="center"/>
    </xf>
    <xf numFmtId="0" fontId="135" fillId="0" borderId="30" xfId="0" applyFont="1" applyBorder="1" applyAlignment="1">
      <alignment horizontal="center" vertical="center"/>
    </xf>
    <xf numFmtId="0" fontId="134" fillId="0" borderId="30" xfId="0" applyFont="1" applyBorder="1" applyAlignment="1">
      <alignment horizontal="center" vertical="center"/>
    </xf>
    <xf numFmtId="0" fontId="135" fillId="0" borderId="31" xfId="0" applyFont="1" applyBorder="1" applyAlignment="1">
      <alignment vertical="center"/>
    </xf>
    <xf numFmtId="0" fontId="135" fillId="0" borderId="31" xfId="0" applyFont="1" applyBorder="1" applyAlignment="1">
      <alignment horizontal="center" vertical="center"/>
    </xf>
    <xf numFmtId="0" fontId="134" fillId="0" borderId="31" xfId="0" applyFont="1" applyBorder="1" applyAlignment="1">
      <alignment horizontal="center" vertical="center"/>
    </xf>
    <xf numFmtId="0" fontId="135" fillId="0" borderId="18" xfId="0" applyFont="1" applyBorder="1" applyAlignment="1">
      <alignment horizontal="center" vertical="center" wrapText="1"/>
    </xf>
    <xf numFmtId="0" fontId="135" fillId="0" borderId="32" xfId="0" applyFont="1" applyBorder="1" applyAlignment="1">
      <alignment vertical="center"/>
    </xf>
    <xf numFmtId="0" fontId="135" fillId="0" borderId="32" xfId="0" applyFont="1" applyBorder="1" applyAlignment="1">
      <alignment horizontal="center" vertical="center"/>
    </xf>
    <xf numFmtId="0" fontId="134" fillId="0" borderId="32" xfId="0" applyFont="1" applyBorder="1" applyAlignment="1">
      <alignment horizontal="center" vertical="center"/>
    </xf>
    <xf numFmtId="0" fontId="0" fillId="0" borderId="32" xfId="0" applyFont="1" applyBorder="1" applyAlignment="1">
      <alignment vertical="center"/>
    </xf>
    <xf numFmtId="0" fontId="165" fillId="0" borderId="18" xfId="0" applyFont="1" applyFill="1" applyBorder="1" applyAlignment="1">
      <alignment horizontal="center" vertical="center" wrapText="1"/>
    </xf>
    <xf numFmtId="0" fontId="120" fillId="0" borderId="0" xfId="0" applyFont="1"/>
    <xf numFmtId="1" fontId="118" fillId="23" borderId="18" xfId="66" applyNumberFormat="1" applyFont="1" applyFill="1" applyBorder="1" applyAlignment="1">
      <alignment horizontal="center" vertical="center" wrapText="1"/>
    </xf>
    <xf numFmtId="0" fontId="135" fillId="0" borderId="18" xfId="66" applyFont="1" applyBorder="1" applyAlignment="1">
      <alignment vertical="center"/>
    </xf>
    <xf numFmtId="0" fontId="117" fillId="0" borderId="13" xfId="66" applyFont="1" applyBorder="1" applyAlignment="1">
      <alignment horizontal="center" vertical="center"/>
    </xf>
    <xf numFmtId="0" fontId="117" fillId="0" borderId="14" xfId="66" applyFont="1" applyBorder="1" applyAlignment="1">
      <alignment horizontal="center" vertical="center"/>
    </xf>
    <xf numFmtId="0" fontId="117" fillId="0" borderId="10" xfId="66" applyFont="1" applyBorder="1" applyAlignment="1">
      <alignment horizontal="center" vertical="center"/>
    </xf>
    <xf numFmtId="0" fontId="134" fillId="23" borderId="13" xfId="66" applyFont="1" applyFill="1" applyBorder="1" applyAlignment="1">
      <alignment horizontal="center" vertical="center"/>
    </xf>
    <xf numFmtId="0" fontId="134" fillId="23" borderId="14" xfId="66" applyFont="1" applyFill="1" applyBorder="1" applyAlignment="1">
      <alignment horizontal="center" vertical="center"/>
    </xf>
    <xf numFmtId="0" fontId="134" fillId="23" borderId="10" xfId="66" applyFont="1" applyFill="1" applyBorder="1" applyAlignment="1">
      <alignment horizontal="center" vertical="center"/>
    </xf>
    <xf numFmtId="0" fontId="164" fillId="0" borderId="13" xfId="66" applyFont="1" applyFill="1" applyBorder="1" applyAlignment="1">
      <alignment horizontal="center" vertical="center"/>
    </xf>
    <xf numFmtId="0" fontId="165" fillId="0" borderId="13" xfId="66" applyFont="1" applyFill="1" applyBorder="1" applyAlignment="1">
      <alignment horizontal="center" vertical="center"/>
    </xf>
    <xf numFmtId="0" fontId="23" fillId="23" borderId="18" xfId="0" applyFont="1" applyFill="1" applyBorder="1" applyAlignment="1">
      <alignment horizontal="center" vertical="center" wrapText="1"/>
    </xf>
    <xf numFmtId="0" fontId="38" fillId="0" borderId="35" xfId="464" applyFont="1" applyBorder="1" applyAlignment="1">
      <alignment horizontal="center" vertical="center"/>
    </xf>
    <xf numFmtId="0" fontId="38" fillId="0" borderId="36" xfId="464" applyFont="1" applyBorder="1" applyAlignment="1">
      <alignment horizontal="center" vertical="center"/>
    </xf>
    <xf numFmtId="0" fontId="163" fillId="23" borderId="37" xfId="464" applyFont="1" applyFill="1" applyBorder="1" applyAlignment="1">
      <alignment horizontal="center" vertical="center"/>
    </xf>
    <xf numFmtId="0" fontId="164" fillId="23" borderId="37" xfId="464" applyFont="1" applyFill="1" applyBorder="1" applyAlignment="1">
      <alignment horizontal="center" vertical="center"/>
    </xf>
    <xf numFmtId="0" fontId="167" fillId="23" borderId="37" xfId="464" applyFont="1" applyFill="1" applyBorder="1" applyAlignment="1">
      <alignment horizontal="center" vertical="center"/>
    </xf>
    <xf numFmtId="0" fontId="165" fillId="23" borderId="37" xfId="464" applyFont="1" applyFill="1" applyBorder="1" applyAlignment="1">
      <alignment horizontal="center" vertical="center"/>
    </xf>
    <xf numFmtId="0" fontId="38" fillId="0" borderId="39" xfId="464" applyFont="1" applyBorder="1" applyAlignment="1">
      <alignment horizontal="center" vertical="center"/>
    </xf>
    <xf numFmtId="0" fontId="120" fillId="23" borderId="14" xfId="464" applyFont="1" applyFill="1" applyBorder="1" applyAlignment="1">
      <alignment horizontal="center" vertical="center"/>
    </xf>
    <xf numFmtId="0" fontId="135" fillId="29" borderId="18" xfId="66" applyFont="1" applyFill="1" applyBorder="1" applyAlignment="1">
      <alignment horizontal="center" vertical="center"/>
    </xf>
    <xf numFmtId="0" fontId="117" fillId="29" borderId="13" xfId="66" applyFont="1" applyFill="1" applyBorder="1" applyAlignment="1">
      <alignment horizontal="center" vertical="center"/>
    </xf>
    <xf numFmtId="0" fontId="117" fillId="29" borderId="14" xfId="66" applyFont="1" applyFill="1" applyBorder="1" applyAlignment="1">
      <alignment horizontal="center" vertical="center"/>
    </xf>
    <xf numFmtId="0" fontId="117" fillId="29" borderId="10" xfId="66" applyFont="1" applyFill="1" applyBorder="1" applyAlignment="1">
      <alignment horizontal="center" vertical="center"/>
    </xf>
    <xf numFmtId="0" fontId="117" fillId="0" borderId="18" xfId="66" applyFont="1" applyBorder="1" applyAlignment="1">
      <alignment horizontal="center" vertical="center"/>
    </xf>
    <xf numFmtId="3" fontId="62" fillId="0" borderId="0" xfId="48" applyNumberFormat="1" applyFont="1" applyFill="1" applyBorder="1" applyAlignment="1">
      <alignment vertical="center"/>
    </xf>
    <xf numFmtId="0" fontId="118" fillId="0" borderId="0" xfId="66" applyFont="1" applyBorder="1"/>
    <xf numFmtId="0" fontId="112" fillId="0" borderId="0" xfId="635" applyFont="1"/>
    <xf numFmtId="0" fontId="22" fillId="0" borderId="0" xfId="635" applyFont="1"/>
    <xf numFmtId="0" fontId="177" fillId="0" borderId="0" xfId="635" applyFont="1"/>
    <xf numFmtId="0" fontId="227" fillId="0" borderId="0" xfId="635" applyFont="1"/>
    <xf numFmtId="0" fontId="224" fillId="0" borderId="0" xfId="635" applyFont="1"/>
    <xf numFmtId="0" fontId="224" fillId="0" borderId="0" xfId="635" applyFont="1" applyAlignment="1">
      <alignment wrapText="1"/>
    </xf>
    <xf numFmtId="0" fontId="201" fillId="0" borderId="0" xfId="635" applyFont="1" applyAlignment="1">
      <alignment horizontal="center" vertical="center"/>
    </xf>
    <xf numFmtId="0" fontId="33" fillId="0" borderId="0" xfId="635" applyAlignment="1">
      <alignment wrapText="1"/>
    </xf>
    <xf numFmtId="0" fontId="22" fillId="0" borderId="0" xfId="635" applyFont="1" applyAlignment="1">
      <alignment wrapText="1"/>
    </xf>
    <xf numFmtId="0" fontId="178" fillId="0" borderId="0" xfId="635" applyFont="1" applyAlignment="1">
      <alignment wrapText="1"/>
    </xf>
    <xf numFmtId="0" fontId="201" fillId="0" borderId="0" xfId="635" applyFont="1"/>
    <xf numFmtId="0" fontId="33" fillId="23" borderId="0" xfId="635" applyFill="1"/>
    <xf numFmtId="0" fontId="133" fillId="23" borderId="0" xfId="635" applyFont="1" applyFill="1"/>
    <xf numFmtId="0" fontId="22" fillId="0" borderId="18" xfId="635" applyFont="1" applyBorder="1" applyAlignment="1">
      <alignment horizontal="center"/>
    </xf>
    <xf numFmtId="0" fontId="22" fillId="0" borderId="18" xfId="635" applyFont="1" applyBorder="1"/>
    <xf numFmtId="0" fontId="22" fillId="0" borderId="0" xfId="635" applyFont="1" applyAlignment="1">
      <alignment horizontal="center"/>
    </xf>
    <xf numFmtId="0" fontId="22" fillId="0" borderId="0" xfId="635" applyFont="1" applyAlignment="1">
      <alignment horizontal="center" vertical="center"/>
    </xf>
    <xf numFmtId="0" fontId="22" fillId="0" borderId="0" xfId="635" applyFont="1" applyAlignment="1">
      <alignment horizontal="center" vertical="center" wrapText="1"/>
    </xf>
    <xf numFmtId="0" fontId="22" fillId="0" borderId="18" xfId="635" applyFont="1" applyBorder="1" applyAlignment="1">
      <alignment horizontal="center" vertical="center"/>
    </xf>
    <xf numFmtId="0" fontId="22" fillId="23" borderId="0" xfId="635" applyFont="1" applyFill="1"/>
    <xf numFmtId="0" fontId="22" fillId="0" borderId="0" xfId="635" applyFont="1" applyFill="1"/>
    <xf numFmtId="0" fontId="22" fillId="23" borderId="0" xfId="635" applyFont="1" applyFill="1" applyAlignment="1">
      <alignment horizontal="center" wrapText="1"/>
    </xf>
    <xf numFmtId="0" fontId="133" fillId="23" borderId="0" xfId="635" applyFont="1" applyFill="1" applyAlignment="1">
      <alignment horizontal="center" wrapText="1"/>
    </xf>
    <xf numFmtId="0" fontId="173" fillId="0" borderId="0" xfId="466" applyFont="1" applyAlignment="1">
      <alignment vertical="center"/>
    </xf>
    <xf numFmtId="176" fontId="118" fillId="0" borderId="19" xfId="0" applyNumberFormat="1" applyFont="1" applyBorder="1" applyAlignment="1">
      <alignment horizontal="center" vertical="center"/>
    </xf>
    <xf numFmtId="0" fontId="118" fillId="0" borderId="19" xfId="66" applyFont="1" applyBorder="1" applyAlignment="1">
      <alignment horizontal="center" vertical="center"/>
    </xf>
    <xf numFmtId="0" fontId="131" fillId="23" borderId="19" xfId="66" applyFont="1" applyFill="1" applyBorder="1" applyAlignment="1">
      <alignment horizontal="center" vertical="center"/>
    </xf>
    <xf numFmtId="3" fontId="118" fillId="0" borderId="31" xfId="0" applyNumberFormat="1" applyFont="1" applyBorder="1" applyAlignment="1">
      <alignment horizontal="center"/>
    </xf>
    <xf numFmtId="176" fontId="118" fillId="0" borderId="30" xfId="0" applyNumberFormat="1" applyFont="1" applyBorder="1" applyAlignment="1">
      <alignment horizontal="left"/>
    </xf>
    <xf numFmtId="0" fontId="118" fillId="0" borderId="166" xfId="0" applyFont="1" applyBorder="1" applyAlignment="1">
      <alignment horizontal="center"/>
    </xf>
    <xf numFmtId="176" fontId="118" fillId="0" borderId="30" xfId="0" applyNumberFormat="1" applyFont="1" applyBorder="1" applyAlignment="1">
      <alignment horizontal="center" vertical="center"/>
    </xf>
    <xf numFmtId="0" fontId="118" fillId="0" borderId="18" xfId="66" applyFont="1" applyBorder="1" applyAlignment="1">
      <alignment horizontal="center"/>
    </xf>
    <xf numFmtId="0" fontId="118" fillId="23" borderId="18" xfId="0" applyFont="1" applyFill="1" applyBorder="1" applyAlignment="1">
      <alignment horizontal="center"/>
    </xf>
    <xf numFmtId="3" fontId="118" fillId="0" borderId="0" xfId="0" applyNumberFormat="1" applyFont="1"/>
    <xf numFmtId="0" fontId="118" fillId="0" borderId="0" xfId="0" applyFont="1" applyAlignment="1"/>
    <xf numFmtId="0" fontId="173" fillId="0" borderId="0" xfId="0" applyFont="1" applyAlignment="1"/>
    <xf numFmtId="3" fontId="131" fillId="23" borderId="18" xfId="377" applyNumberFormat="1" applyFont="1" applyFill="1" applyBorder="1" applyAlignment="1">
      <alignment horizontal="center" vertical="center"/>
    </xf>
    <xf numFmtId="176" fontId="118" fillId="0" borderId="18" xfId="0" applyNumberFormat="1" applyFont="1" applyBorder="1" applyAlignment="1">
      <alignment horizontal="center" vertical="center" wrapText="1"/>
    </xf>
    <xf numFmtId="0" fontId="173" fillId="0" borderId="0" xfId="0" applyFont="1" applyAlignment="1">
      <alignment horizontal="center"/>
    </xf>
    <xf numFmtId="176" fontId="118" fillId="0" borderId="18" xfId="0" applyNumberFormat="1" applyFont="1" applyBorder="1" applyAlignment="1">
      <alignment horizontal="left"/>
    </xf>
    <xf numFmtId="176" fontId="118" fillId="0" borderId="18" xfId="66" applyNumberFormat="1" applyFont="1" applyBorder="1" applyAlignment="1">
      <alignment horizontal="left" vertical="center"/>
    </xf>
    <xf numFmtId="3" fontId="118" fillId="0" borderId="18" xfId="66" applyNumberFormat="1" applyFont="1" applyBorder="1" applyAlignment="1">
      <alignment horizontal="center" vertical="center"/>
    </xf>
    <xf numFmtId="176" fontId="131" fillId="0" borderId="11" xfId="0" applyNumberFormat="1" applyFont="1" applyBorder="1" applyAlignment="1">
      <alignment vertical="center"/>
    </xf>
    <xf numFmtId="176" fontId="118" fillId="0" borderId="31" xfId="0" applyNumberFormat="1" applyFont="1" applyBorder="1" applyAlignment="1">
      <alignment horizontal="left"/>
    </xf>
    <xf numFmtId="3" fontId="118" fillId="0" borderId="161" xfId="0" applyNumberFormat="1" applyFont="1" applyBorder="1" applyAlignment="1">
      <alignment horizontal="center" vertical="center"/>
    </xf>
    <xf numFmtId="0" fontId="118" fillId="0" borderId="32" xfId="0" applyFont="1" applyBorder="1" applyAlignment="1">
      <alignment horizontal="center" vertical="center"/>
    </xf>
    <xf numFmtId="176" fontId="118" fillId="0" borderId="160" xfId="0" applyNumberFormat="1" applyFont="1" applyBorder="1" applyAlignment="1">
      <alignment horizontal="center" vertical="center"/>
    </xf>
    <xf numFmtId="0" fontId="131" fillId="23" borderId="19" xfId="66" applyFont="1" applyFill="1" applyBorder="1" applyAlignment="1">
      <alignment horizontal="center" vertical="center" wrapText="1"/>
    </xf>
    <xf numFmtId="3" fontId="118" fillId="0" borderId="32" xfId="0" applyNumberFormat="1" applyFont="1" applyBorder="1" applyAlignment="1">
      <alignment horizontal="center"/>
    </xf>
    <xf numFmtId="176" fontId="118" fillId="0" borderId="32" xfId="0" applyNumberFormat="1" applyFont="1" applyBorder="1" applyAlignment="1"/>
    <xf numFmtId="0" fontId="118" fillId="0" borderId="165" xfId="0" applyFont="1" applyBorder="1" applyAlignment="1">
      <alignment horizontal="center" vertical="center"/>
    </xf>
    <xf numFmtId="3" fontId="118" fillId="0" borderId="164" xfId="0" applyNumberFormat="1" applyFont="1" applyBorder="1" applyAlignment="1">
      <alignment horizontal="center" vertical="center"/>
    </xf>
    <xf numFmtId="176" fontId="118" fillId="0" borderId="163" xfId="0" applyNumberFormat="1" applyFont="1" applyBorder="1" applyAlignment="1">
      <alignment horizontal="center" vertical="center"/>
    </xf>
    <xf numFmtId="0" fontId="118" fillId="0" borderId="162" xfId="0" applyFont="1" applyBorder="1" applyAlignment="1">
      <alignment horizontal="center" vertical="center"/>
    </xf>
    <xf numFmtId="3" fontId="118" fillId="0" borderId="31" xfId="0" applyNumberFormat="1" applyFont="1" applyBorder="1" applyAlignment="1">
      <alignment horizontal="center" vertical="center"/>
    </xf>
    <xf numFmtId="176" fontId="118" fillId="0" borderId="31" xfId="0" applyNumberFormat="1" applyFont="1" applyBorder="1" applyAlignment="1">
      <alignment horizontal="center" vertical="center"/>
    </xf>
    <xf numFmtId="0" fontId="118" fillId="0" borderId="30" xfId="0" applyFont="1" applyBorder="1" applyAlignment="1">
      <alignment horizontal="center" vertical="center"/>
    </xf>
    <xf numFmtId="3" fontId="118" fillId="0" borderId="48" xfId="66" applyNumberFormat="1" applyFont="1" applyFill="1" applyBorder="1" applyAlignment="1">
      <alignment horizontal="center" vertical="center"/>
    </xf>
    <xf numFmtId="0" fontId="118" fillId="0" borderId="48" xfId="66" applyFont="1" applyBorder="1" applyAlignment="1">
      <alignment horizontal="center" vertical="center"/>
    </xf>
    <xf numFmtId="176" fontId="118" fillId="0" borderId="48" xfId="66" applyNumberFormat="1" applyFont="1" applyBorder="1" applyAlignment="1">
      <alignment horizontal="center" vertical="center"/>
    </xf>
    <xf numFmtId="176" fontId="118" fillId="0" borderId="47" xfId="66" applyNumberFormat="1" applyFont="1" applyFill="1" applyBorder="1" applyAlignment="1">
      <alignment horizontal="center" vertical="center"/>
    </xf>
    <xf numFmtId="3" fontId="118" fillId="0" borderId="46" xfId="66" applyNumberFormat="1" applyFont="1" applyFill="1" applyBorder="1" applyAlignment="1">
      <alignment horizontal="center" vertical="center"/>
    </xf>
    <xf numFmtId="0" fontId="118" fillId="0" borderId="46" xfId="66" applyFont="1" applyBorder="1" applyAlignment="1">
      <alignment horizontal="center" vertical="center"/>
    </xf>
    <xf numFmtId="3" fontId="118" fillId="0" borderId="45" xfId="66" applyNumberFormat="1" applyFont="1" applyFill="1" applyBorder="1" applyAlignment="1">
      <alignment horizontal="center" vertical="center"/>
    </xf>
    <xf numFmtId="0" fontId="118" fillId="0" borderId="45" xfId="66" applyFont="1" applyBorder="1" applyAlignment="1">
      <alignment horizontal="center" vertical="center"/>
    </xf>
    <xf numFmtId="0" fontId="131" fillId="23" borderId="18" xfId="66" applyFont="1" applyFill="1" applyBorder="1" applyAlignment="1">
      <alignment horizontal="center" vertical="center" wrapText="1"/>
    </xf>
    <xf numFmtId="176" fontId="118" fillId="0" borderId="18" xfId="66" applyNumberFormat="1" applyFont="1" applyBorder="1" applyAlignment="1">
      <alignment horizontal="center" vertical="center"/>
    </xf>
    <xf numFmtId="0" fontId="174" fillId="0" borderId="18" xfId="0" applyFont="1" applyFill="1" applyBorder="1" applyAlignment="1">
      <alignment horizontal="center" vertical="center"/>
    </xf>
    <xf numFmtId="0" fontId="131" fillId="0" borderId="23" xfId="66" applyFont="1" applyFill="1" applyBorder="1" applyAlignment="1">
      <alignment horizontal="center" vertical="center"/>
    </xf>
    <xf numFmtId="176" fontId="118" fillId="0" borderId="12" xfId="0" applyNumberFormat="1" applyFont="1" applyBorder="1" applyAlignment="1">
      <alignment wrapText="1"/>
    </xf>
    <xf numFmtId="176" fontId="131" fillId="0" borderId="19" xfId="0" applyNumberFormat="1" applyFont="1" applyBorder="1" applyAlignment="1">
      <alignment vertical="center"/>
    </xf>
    <xf numFmtId="0" fontId="131" fillId="23" borderId="23" xfId="66" applyFont="1" applyFill="1" applyBorder="1" applyAlignment="1">
      <alignment horizontal="center" vertical="center"/>
    </xf>
    <xf numFmtId="0" fontId="173" fillId="0" borderId="0" xfId="0" applyFont="1" applyAlignment="1">
      <alignment horizontal="left"/>
    </xf>
    <xf numFmtId="0" fontId="173" fillId="0" borderId="18" xfId="0" applyFont="1" applyBorder="1"/>
    <xf numFmtId="0" fontId="118" fillId="0" borderId="18" xfId="66" applyFont="1" applyBorder="1" applyAlignment="1">
      <alignment horizontal="center" vertical="center"/>
    </xf>
    <xf numFmtId="3" fontId="131" fillId="23" borderId="19" xfId="66" applyNumberFormat="1" applyFont="1" applyFill="1" applyBorder="1" applyAlignment="1">
      <alignment horizontal="center" vertical="center"/>
    </xf>
    <xf numFmtId="176" fontId="118" fillId="0" borderId="45" xfId="66" applyNumberFormat="1" applyFont="1" applyBorder="1" applyAlignment="1">
      <alignment horizontal="center" vertical="center"/>
    </xf>
    <xf numFmtId="0" fontId="229" fillId="0" borderId="0" xfId="466" applyFont="1" applyAlignment="1">
      <alignment horizontal="center"/>
    </xf>
    <xf numFmtId="176" fontId="118" fillId="0" borderId="18" xfId="66" applyNumberFormat="1" applyFont="1" applyBorder="1" applyAlignment="1">
      <alignment vertical="center"/>
    </xf>
    <xf numFmtId="0" fontId="118" fillId="23" borderId="23" xfId="66" applyFont="1" applyFill="1" applyBorder="1" applyAlignment="1">
      <alignment horizontal="center" vertical="center"/>
    </xf>
    <xf numFmtId="3" fontId="118" fillId="0" borderId="32" xfId="0" applyNumberFormat="1" applyFont="1" applyBorder="1" applyAlignment="1">
      <alignment horizontal="center" vertical="center"/>
    </xf>
    <xf numFmtId="0" fontId="118" fillId="0" borderId="21" xfId="66" applyFont="1" applyBorder="1" applyAlignment="1">
      <alignment horizontal="center" vertical="center"/>
    </xf>
    <xf numFmtId="176" fontId="118" fillId="0" borderId="21" xfId="66" applyNumberFormat="1" applyFont="1" applyBorder="1" applyAlignment="1">
      <alignment horizontal="center" vertical="center"/>
    </xf>
    <xf numFmtId="3" fontId="118" fillId="0" borderId="19" xfId="66" applyNumberFormat="1" applyFont="1" applyFill="1" applyBorder="1" applyAlignment="1">
      <alignment horizontal="center" vertical="center"/>
    </xf>
    <xf numFmtId="176" fontId="118" fillId="0" borderId="19" xfId="66" applyNumberFormat="1" applyFont="1" applyBorder="1" applyAlignment="1">
      <alignment horizontal="center" vertical="center"/>
    </xf>
    <xf numFmtId="3" fontId="118" fillId="0" borderId="30" xfId="0" applyNumberFormat="1" applyFont="1" applyBorder="1" applyAlignment="1">
      <alignment horizontal="center"/>
    </xf>
    <xf numFmtId="0" fontId="118" fillId="0" borderId="167" xfId="0" applyFont="1" applyBorder="1" applyAlignment="1">
      <alignment horizontal="center"/>
    </xf>
    <xf numFmtId="0" fontId="118" fillId="0" borderId="31" xfId="0" applyFont="1" applyBorder="1" applyAlignment="1">
      <alignment horizontal="center" vertical="center"/>
    </xf>
    <xf numFmtId="0" fontId="118" fillId="0" borderId="0" xfId="0" applyFont="1" applyAlignment="1">
      <alignment vertical="center" wrapText="1"/>
    </xf>
    <xf numFmtId="3" fontId="118" fillId="0" borderId="0" xfId="66" applyNumberFormat="1" applyFont="1" applyAlignment="1">
      <alignment vertical="center"/>
    </xf>
    <xf numFmtId="0" fontId="118" fillId="0" borderId="18" xfId="66" applyFont="1" applyBorder="1" applyAlignment="1">
      <alignment vertical="center"/>
    </xf>
    <xf numFmtId="3" fontId="118" fillId="0" borderId="18" xfId="66" applyNumberFormat="1" applyFont="1" applyBorder="1" applyAlignment="1">
      <alignment horizontal="center"/>
    </xf>
    <xf numFmtId="176" fontId="131" fillId="0" borderId="19" xfId="66" applyNumberFormat="1" applyFont="1" applyBorder="1" applyAlignment="1">
      <alignment horizontal="center" vertical="center"/>
    </xf>
    <xf numFmtId="0" fontId="173" fillId="0" borderId="18" xfId="0" applyFont="1" applyBorder="1" applyAlignment="1">
      <alignment horizontal="center" vertical="center"/>
    </xf>
    <xf numFmtId="0" fontId="118" fillId="0" borderId="168" xfId="0" applyFont="1" applyBorder="1" applyAlignment="1">
      <alignment horizontal="center" vertical="center"/>
    </xf>
    <xf numFmtId="176" fontId="118" fillId="0" borderId="32" xfId="0" applyNumberFormat="1" applyFont="1" applyBorder="1" applyAlignment="1">
      <alignment horizontal="center" vertical="center"/>
    </xf>
    <xf numFmtId="3" fontId="118" fillId="0" borderId="30" xfId="0" applyNumberFormat="1" applyFont="1" applyBorder="1" applyAlignment="1">
      <alignment horizontal="center" vertical="center"/>
    </xf>
    <xf numFmtId="176" fontId="118" fillId="0" borderId="46" xfId="66" applyNumberFormat="1" applyFont="1" applyBorder="1" applyAlignment="1">
      <alignment horizontal="center" vertical="center"/>
    </xf>
    <xf numFmtId="3" fontId="118" fillId="0" borderId="18" xfId="0" applyNumberFormat="1" applyFont="1" applyBorder="1" applyAlignment="1">
      <alignment horizontal="center" vertical="center" wrapText="1"/>
    </xf>
    <xf numFmtId="0" fontId="173" fillId="0" borderId="0" xfId="0" applyFont="1" applyAlignment="1">
      <alignment vertical="center"/>
    </xf>
    <xf numFmtId="176" fontId="118" fillId="0" borderId="18" xfId="0" applyNumberFormat="1" applyFont="1" applyBorder="1" applyAlignment="1">
      <alignment vertical="center" wrapText="1"/>
    </xf>
    <xf numFmtId="176" fontId="118" fillId="0" borderId="18" xfId="0" applyNumberFormat="1" applyFont="1" applyBorder="1" applyAlignment="1">
      <alignment horizontal="left" vertical="center" wrapText="1"/>
    </xf>
    <xf numFmtId="0" fontId="118" fillId="0" borderId="18" xfId="0" applyFont="1" applyBorder="1" applyAlignment="1">
      <alignment horizontal="left" indent="2"/>
    </xf>
    <xf numFmtId="3" fontId="118" fillId="0" borderId="18" xfId="377" applyNumberFormat="1" applyFont="1" applyBorder="1" applyAlignment="1">
      <alignment horizontal="center"/>
    </xf>
    <xf numFmtId="0" fontId="118" fillId="0" borderId="18" xfId="377" applyFont="1" applyBorder="1" applyAlignment="1">
      <alignment horizontal="center" vertical="center"/>
    </xf>
    <xf numFmtId="3" fontId="131" fillId="0" borderId="0" xfId="66" applyNumberFormat="1" applyFont="1" applyFill="1" applyBorder="1" applyAlignment="1">
      <alignment horizontal="center" vertical="center"/>
    </xf>
    <xf numFmtId="176" fontId="118" fillId="0" borderId="16" xfId="0" applyNumberFormat="1" applyFont="1" applyBorder="1" applyAlignment="1">
      <alignment horizontal="center" vertical="center"/>
    </xf>
    <xf numFmtId="176" fontId="118" fillId="0" borderId="16" xfId="0" applyNumberFormat="1" applyFont="1" applyBorder="1" applyAlignment="1">
      <alignment vertical="center" wrapText="1"/>
    </xf>
    <xf numFmtId="0" fontId="118" fillId="0" borderId="18" xfId="377" applyFont="1" applyBorder="1" applyAlignment="1">
      <alignment horizontal="center"/>
    </xf>
    <xf numFmtId="176" fontId="118" fillId="0" borderId="18" xfId="377" applyNumberFormat="1" applyFont="1" applyBorder="1" applyAlignment="1">
      <alignment horizontal="center" vertical="center"/>
    </xf>
    <xf numFmtId="3" fontId="118" fillId="0" borderId="0" xfId="66" applyNumberFormat="1" applyFont="1"/>
    <xf numFmtId="0" fontId="131" fillId="23" borderId="18" xfId="377" applyFont="1" applyFill="1" applyBorder="1" applyAlignment="1">
      <alignment horizontal="center" vertical="center"/>
    </xf>
    <xf numFmtId="0" fontId="173" fillId="0" borderId="18" xfId="466" applyFont="1" applyBorder="1" applyAlignment="1">
      <alignment horizontal="center" wrapText="1"/>
    </xf>
    <xf numFmtId="0" fontId="173" fillId="0" borderId="19" xfId="0" applyFont="1" applyBorder="1" applyAlignment="1">
      <alignment horizontal="center" vertical="center" wrapText="1"/>
    </xf>
    <xf numFmtId="0" fontId="173" fillId="0" borderId="18" xfId="0" applyFont="1" applyBorder="1" applyAlignment="1">
      <alignment horizontal="center" vertical="center" wrapText="1"/>
    </xf>
    <xf numFmtId="0" fontId="118" fillId="0" borderId="23" xfId="66" applyFont="1" applyBorder="1" applyAlignment="1">
      <alignment horizontal="center" vertical="center"/>
    </xf>
    <xf numFmtId="176" fontId="118" fillId="0" borderId="16" xfId="66" applyNumberFormat="1" applyFont="1" applyBorder="1" applyAlignment="1">
      <alignment horizontal="center" vertical="center"/>
    </xf>
    <xf numFmtId="3" fontId="118" fillId="0" borderId="23" xfId="0" applyNumberFormat="1" applyFont="1" applyBorder="1" applyAlignment="1">
      <alignment horizontal="center" vertical="center"/>
    </xf>
    <xf numFmtId="176" fontId="118" fillId="0" borderId="23" xfId="0" applyNumberFormat="1" applyFont="1" applyBorder="1" applyAlignment="1">
      <alignment horizontal="center" vertical="center"/>
    </xf>
    <xf numFmtId="3" fontId="118" fillId="0" borderId="21" xfId="0" applyNumberFormat="1" applyFont="1" applyBorder="1" applyAlignment="1">
      <alignment horizontal="center" vertical="center"/>
    </xf>
    <xf numFmtId="176" fontId="118" fillId="0" borderId="21" xfId="0" applyNumberFormat="1" applyFont="1" applyBorder="1" applyAlignment="1">
      <alignment horizontal="center" vertical="center"/>
    </xf>
    <xf numFmtId="0" fontId="118" fillId="0" borderId="19" xfId="0" applyFont="1" applyBorder="1" applyAlignment="1">
      <alignment horizontal="center" vertical="center"/>
    </xf>
    <xf numFmtId="3" fontId="118" fillId="0" borderId="19" xfId="0" applyNumberFormat="1" applyFont="1" applyBorder="1" applyAlignment="1">
      <alignment horizontal="center" vertical="center"/>
    </xf>
    <xf numFmtId="3" fontId="118" fillId="0" borderId="21" xfId="66" applyNumberFormat="1" applyFont="1" applyFill="1" applyBorder="1" applyAlignment="1">
      <alignment horizontal="center" vertical="center"/>
    </xf>
    <xf numFmtId="176" fontId="118" fillId="0" borderId="31" xfId="0" applyNumberFormat="1" applyFont="1" applyBorder="1" applyAlignment="1"/>
    <xf numFmtId="176" fontId="131" fillId="0" borderId="18" xfId="377" applyNumberFormat="1" applyFont="1" applyBorder="1" applyAlignment="1">
      <alignment horizontal="center" vertical="center"/>
    </xf>
    <xf numFmtId="176" fontId="118" fillId="0" borderId="18" xfId="0" applyNumberFormat="1" applyFont="1" applyBorder="1" applyAlignment="1">
      <alignment horizontal="center" vertical="center"/>
    </xf>
    <xf numFmtId="3" fontId="173" fillId="0" borderId="18" xfId="0" applyNumberFormat="1" applyFont="1" applyBorder="1" applyAlignment="1">
      <alignment horizontal="center" vertical="center"/>
    </xf>
    <xf numFmtId="3" fontId="118" fillId="0" borderId="18" xfId="377" applyNumberFormat="1" applyFont="1" applyBorder="1" applyAlignment="1">
      <alignment horizontal="center" vertical="center"/>
    </xf>
    <xf numFmtId="0" fontId="131" fillId="0" borderId="18" xfId="377" applyFont="1" applyFill="1" applyBorder="1" applyAlignment="1">
      <alignment horizontal="center" vertical="center"/>
    </xf>
    <xf numFmtId="0" fontId="118" fillId="0" borderId="0" xfId="0" applyFont="1" applyAlignment="1">
      <alignment horizontal="center"/>
    </xf>
    <xf numFmtId="0" fontId="131" fillId="23" borderId="23" xfId="377" applyFont="1" applyFill="1" applyBorder="1" applyAlignment="1">
      <alignment horizontal="center" vertical="center"/>
    </xf>
    <xf numFmtId="0" fontId="174" fillId="0" borderId="0" xfId="0" applyFont="1" applyAlignment="1"/>
    <xf numFmtId="3" fontId="118" fillId="0" borderId="11" xfId="0" applyNumberFormat="1" applyFont="1" applyBorder="1" applyAlignment="1">
      <alignment horizontal="center" vertical="center" wrapText="1"/>
    </xf>
    <xf numFmtId="3" fontId="131" fillId="23" borderId="23" xfId="66" applyNumberFormat="1" applyFont="1" applyFill="1" applyBorder="1" applyAlignment="1">
      <alignment horizontal="center" vertical="center"/>
    </xf>
    <xf numFmtId="0" fontId="173" fillId="0" borderId="18" xfId="466" applyFont="1" applyBorder="1" applyAlignment="1">
      <alignment horizontal="center" vertical="center"/>
    </xf>
    <xf numFmtId="3" fontId="118" fillId="0" borderId="11" xfId="0" applyNumberFormat="1" applyFont="1" applyBorder="1" applyAlignment="1">
      <alignment horizontal="center" vertical="center"/>
    </xf>
    <xf numFmtId="3" fontId="118" fillId="0" borderId="13" xfId="0" applyNumberFormat="1" applyFont="1" applyBorder="1" applyAlignment="1">
      <alignment horizontal="center" vertical="center" wrapText="1"/>
    </xf>
    <xf numFmtId="3" fontId="118" fillId="0" borderId="19" xfId="66" applyNumberFormat="1" applyFont="1" applyBorder="1" applyAlignment="1">
      <alignment horizontal="center" vertical="center"/>
    </xf>
    <xf numFmtId="0" fontId="118" fillId="0" borderId="18" xfId="66" applyFont="1" applyBorder="1" applyAlignment="1">
      <alignment horizontal="left" indent="2"/>
    </xf>
    <xf numFmtId="176" fontId="118" fillId="0" borderId="18" xfId="0" applyNumberFormat="1" applyFont="1" applyBorder="1" applyAlignment="1">
      <alignment horizontal="center" wrapText="1"/>
    </xf>
    <xf numFmtId="3" fontId="131" fillId="23" borderId="18" xfId="66" applyNumberFormat="1" applyFont="1" applyFill="1" applyBorder="1" applyAlignment="1">
      <alignment horizontal="center" vertical="center"/>
    </xf>
    <xf numFmtId="0" fontId="131" fillId="23" borderId="18" xfId="66" applyFont="1" applyFill="1" applyBorder="1" applyAlignment="1">
      <alignment horizontal="center" vertical="center"/>
    </xf>
    <xf numFmtId="3" fontId="118" fillId="0" borderId="19" xfId="0" applyNumberFormat="1" applyFont="1" applyBorder="1" applyAlignment="1">
      <alignment horizontal="center"/>
    </xf>
    <xf numFmtId="176" fontId="118" fillId="0" borderId="19" xfId="0" applyNumberFormat="1" applyFont="1" applyBorder="1" applyAlignment="1"/>
    <xf numFmtId="176" fontId="118" fillId="0" borderId="20" xfId="0" applyNumberFormat="1" applyFont="1" applyBorder="1" applyAlignment="1">
      <alignment vertical="center" wrapText="1"/>
    </xf>
    <xf numFmtId="176" fontId="118" fillId="0" borderId="18" xfId="0" applyNumberFormat="1" applyFont="1" applyBorder="1" applyAlignment="1">
      <alignment vertical="center"/>
    </xf>
    <xf numFmtId="176" fontId="118" fillId="0" borderId="18" xfId="0" applyNumberFormat="1" applyFont="1" applyBorder="1" applyAlignment="1"/>
    <xf numFmtId="3" fontId="118" fillId="0" borderId="18" xfId="0" applyNumberFormat="1" applyFont="1" applyBorder="1" applyAlignment="1">
      <alignment horizontal="center" vertical="center"/>
    </xf>
    <xf numFmtId="176" fontId="118" fillId="0" borderId="18" xfId="0" applyNumberFormat="1" applyFont="1" applyBorder="1" applyAlignment="1">
      <alignment horizontal="left" vertical="center"/>
    </xf>
    <xf numFmtId="0" fontId="173" fillId="0" borderId="18" xfId="0" applyFont="1" applyBorder="1" applyAlignment="1">
      <alignment vertical="center"/>
    </xf>
    <xf numFmtId="3" fontId="173" fillId="0" borderId="18" xfId="0" applyNumberFormat="1" applyFont="1" applyBorder="1" applyAlignment="1">
      <alignment horizontal="center"/>
    </xf>
    <xf numFmtId="0" fontId="173" fillId="0" borderId="18" xfId="0" applyFont="1" applyBorder="1" applyAlignment="1">
      <alignment horizontal="left" indent="2"/>
    </xf>
    <xf numFmtId="3" fontId="118" fillId="0" borderId="18" xfId="0" applyNumberFormat="1" applyFont="1" applyBorder="1" applyAlignment="1">
      <alignment horizontal="center"/>
    </xf>
    <xf numFmtId="0" fontId="173" fillId="0" borderId="0" xfId="466" applyFont="1"/>
    <xf numFmtId="0" fontId="174" fillId="0" borderId="18" xfId="0" applyFont="1" applyFill="1" applyBorder="1" applyAlignment="1">
      <alignment horizontal="center"/>
    </xf>
    <xf numFmtId="0" fontId="174" fillId="23" borderId="18" xfId="0" applyFont="1" applyFill="1" applyBorder="1" applyAlignment="1">
      <alignment horizontal="center"/>
    </xf>
    <xf numFmtId="0" fontId="178" fillId="0" borderId="0" xfId="466" applyFont="1" applyAlignment="1">
      <alignment vertical="center"/>
    </xf>
    <xf numFmtId="0" fontId="118" fillId="0" borderId="0" xfId="0" applyFont="1" applyAlignment="1">
      <alignment vertical="center"/>
    </xf>
    <xf numFmtId="0" fontId="118" fillId="0" borderId="0" xfId="66" applyFont="1"/>
    <xf numFmtId="0" fontId="118" fillId="0" borderId="0" xfId="66" applyFont="1" applyBorder="1" applyAlignment="1">
      <alignment vertical="center"/>
    </xf>
    <xf numFmtId="0" fontId="118" fillId="0" borderId="0" xfId="66" applyFont="1" applyAlignment="1">
      <alignment vertical="center"/>
    </xf>
    <xf numFmtId="0" fontId="118" fillId="0" borderId="0" xfId="0" applyFont="1"/>
    <xf numFmtId="176" fontId="61" fillId="0" borderId="18" xfId="797" applyNumberFormat="1" applyFont="1" applyBorder="1" applyAlignment="1">
      <alignment horizontal="center" vertical="center"/>
    </xf>
    <xf numFmtId="3" fontId="58" fillId="0" borderId="18" xfId="797" applyNumberFormat="1" applyFont="1" applyBorder="1" applyAlignment="1">
      <alignment horizontal="center" vertical="center" wrapText="1"/>
    </xf>
    <xf numFmtId="176" fontId="61" fillId="0" borderId="18" xfId="377" applyNumberFormat="1" applyFont="1" applyBorder="1" applyAlignment="1">
      <alignment horizontal="center" vertical="center"/>
    </xf>
    <xf numFmtId="176" fontId="61" fillId="0" borderId="18" xfId="797" applyNumberFormat="1" applyFont="1" applyBorder="1" applyAlignment="1">
      <alignment horizontal="center" vertical="center" wrapText="1"/>
    </xf>
    <xf numFmtId="3" fontId="61" fillId="23" borderId="18" xfId="377" applyNumberFormat="1" applyFont="1" applyFill="1" applyBorder="1" applyAlignment="1">
      <alignment horizontal="center" vertical="center"/>
    </xf>
    <xf numFmtId="0" fontId="118" fillId="0" borderId="0" xfId="0" applyFont="1" applyAlignment="1">
      <alignment horizontal="center" vertical="center"/>
    </xf>
    <xf numFmtId="0" fontId="174" fillId="23" borderId="18" xfId="0" applyFont="1" applyFill="1" applyBorder="1" applyAlignment="1">
      <alignment horizontal="center" vertical="center"/>
    </xf>
    <xf numFmtId="0" fontId="118" fillId="0" borderId="21" xfId="0" applyFont="1" applyBorder="1" applyAlignment="1">
      <alignment horizontal="center" vertical="center"/>
    </xf>
    <xf numFmtId="0" fontId="118" fillId="0" borderId="23" xfId="0" applyFont="1" applyBorder="1" applyAlignment="1">
      <alignment horizontal="center" vertical="center"/>
    </xf>
    <xf numFmtId="0" fontId="173" fillId="0" borderId="18" xfId="0" applyFont="1" applyBorder="1" applyAlignment="1">
      <alignment horizontal="center"/>
    </xf>
    <xf numFmtId="0" fontId="69" fillId="23" borderId="18" xfId="377" applyFont="1" applyFill="1" applyBorder="1" applyAlignment="1">
      <alignment horizontal="center" vertical="center"/>
    </xf>
    <xf numFmtId="0" fontId="201" fillId="23" borderId="18" xfId="797" applyFont="1" applyFill="1" applyBorder="1" applyAlignment="1">
      <alignment horizontal="center" vertical="center"/>
    </xf>
    <xf numFmtId="0" fontId="173" fillId="0" borderId="0" xfId="0" applyFont="1"/>
    <xf numFmtId="0" fontId="117" fillId="23" borderId="27" xfId="0" applyFont="1" applyFill="1" applyBorder="1" applyAlignment="1">
      <alignment horizontal="center" vertical="center"/>
    </xf>
    <xf numFmtId="168" fontId="116" fillId="23" borderId="13" xfId="70" applyNumberFormat="1" applyFont="1" applyFill="1" applyBorder="1" applyAlignment="1">
      <alignment horizontal="right" vertical="center" indent="1"/>
    </xf>
    <xf numFmtId="168" fontId="116" fillId="23" borderId="18" xfId="70" applyNumberFormat="1" applyFont="1" applyFill="1" applyBorder="1" applyAlignment="1">
      <alignment horizontal="right" vertical="center" indent="1"/>
    </xf>
    <xf numFmtId="0" fontId="53" fillId="0" borderId="0" xfId="76" applyAlignment="1">
      <alignment horizontal="center"/>
    </xf>
    <xf numFmtId="0" fontId="89" fillId="0" borderId="0" xfId="76" applyFont="1"/>
    <xf numFmtId="0" fontId="92" fillId="0" borderId="0" xfId="76" applyFont="1"/>
    <xf numFmtId="0" fontId="89" fillId="0" borderId="25" xfId="76" applyFont="1" applyBorder="1" applyAlignment="1">
      <alignment horizontal="center"/>
    </xf>
    <xf numFmtId="0" fontId="89" fillId="0" borderId="30" xfId="76" applyFont="1" applyBorder="1" applyAlignment="1">
      <alignment horizontal="center"/>
    </xf>
    <xf numFmtId="0" fontId="89" fillId="0" borderId="35" xfId="76" applyFont="1" applyBorder="1" applyAlignment="1">
      <alignment horizontal="center"/>
    </xf>
    <xf numFmtId="168" fontId="89" fillId="0" borderId="40" xfId="213" applyNumberFormat="1" applyFont="1" applyBorder="1" applyAlignment="1">
      <alignment horizontal="center"/>
    </xf>
    <xf numFmtId="168" fontId="92" fillId="0" borderId="40" xfId="213" applyNumberFormat="1" applyFont="1" applyBorder="1" applyAlignment="1">
      <alignment horizontal="center"/>
    </xf>
    <xf numFmtId="0" fontId="89" fillId="0" borderId="26" xfId="76" applyFont="1" applyBorder="1" applyAlignment="1">
      <alignment horizontal="center"/>
    </xf>
    <xf numFmtId="0" fontId="89" fillId="0" borderId="31" xfId="76" applyFont="1" applyBorder="1" applyAlignment="1">
      <alignment horizontal="center"/>
    </xf>
    <xf numFmtId="0" fontId="89" fillId="0" borderId="36" xfId="76" applyFont="1" applyBorder="1" applyAlignment="1">
      <alignment horizontal="center"/>
    </xf>
    <xf numFmtId="168" fontId="89" fillId="0" borderId="41" xfId="213" applyNumberFormat="1" applyFont="1" applyBorder="1" applyAlignment="1">
      <alignment horizontal="center"/>
    </xf>
    <xf numFmtId="168" fontId="92" fillId="0" borderId="41" xfId="213" applyNumberFormat="1" applyFont="1" applyBorder="1" applyAlignment="1">
      <alignment horizontal="center"/>
    </xf>
    <xf numFmtId="0" fontId="89" fillId="0" borderId="27" xfId="76" applyFont="1" applyBorder="1" applyAlignment="1">
      <alignment horizontal="center"/>
    </xf>
    <xf numFmtId="0" fontId="89" fillId="0" borderId="32" xfId="76" applyFont="1" applyBorder="1" applyAlignment="1">
      <alignment horizontal="center"/>
    </xf>
    <xf numFmtId="0" fontId="89" fillId="0" borderId="37" xfId="76" applyFont="1" applyBorder="1" applyAlignment="1">
      <alignment horizontal="center"/>
    </xf>
    <xf numFmtId="168" fontId="89" fillId="0" borderId="42" xfId="213" applyNumberFormat="1" applyFont="1" applyBorder="1" applyAlignment="1">
      <alignment horizontal="center"/>
    </xf>
    <xf numFmtId="168" fontId="92" fillId="0" borderId="42" xfId="213" applyNumberFormat="1" applyFont="1" applyBorder="1" applyAlignment="1">
      <alignment horizontal="center"/>
    </xf>
    <xf numFmtId="0" fontId="90" fillId="23" borderId="13" xfId="76" applyFont="1" applyFill="1" applyBorder="1" applyAlignment="1">
      <alignment horizontal="center"/>
    </xf>
    <xf numFmtId="0" fontId="90" fillId="23" borderId="18" xfId="76" applyFont="1" applyFill="1" applyBorder="1" applyAlignment="1">
      <alignment horizontal="center"/>
    </xf>
    <xf numFmtId="0" fontId="90" fillId="23" borderId="14" xfId="76" applyFont="1" applyFill="1" applyBorder="1" applyAlignment="1">
      <alignment horizontal="center"/>
    </xf>
    <xf numFmtId="168" fontId="90" fillId="23" borderId="10" xfId="213" applyNumberFormat="1" applyFont="1" applyFill="1" applyBorder="1" applyAlignment="1">
      <alignment horizontal="center"/>
    </xf>
    <xf numFmtId="168" fontId="238" fillId="23" borderId="10" xfId="213" applyNumberFormat="1" applyFont="1" applyFill="1" applyBorder="1" applyAlignment="1">
      <alignment horizontal="center"/>
    </xf>
    <xf numFmtId="168" fontId="53" fillId="0" borderId="0" xfId="76" applyNumberFormat="1"/>
    <xf numFmtId="0" fontId="90" fillId="0" borderId="0" xfId="76" applyFont="1" applyAlignment="1">
      <alignment horizontal="center"/>
    </xf>
    <xf numFmtId="0" fontId="89" fillId="0" borderId="0" xfId="76" applyFont="1" applyAlignment="1">
      <alignment horizontal="center"/>
    </xf>
    <xf numFmtId="3" fontId="90" fillId="0" borderId="0" xfId="76" applyNumberFormat="1" applyFont="1" applyAlignment="1">
      <alignment horizontal="center"/>
    </xf>
    <xf numFmtId="3" fontId="89" fillId="0" borderId="0" xfId="76" applyNumberFormat="1" applyFont="1" applyAlignment="1">
      <alignment horizontal="center"/>
    </xf>
    <xf numFmtId="0" fontId="239" fillId="0" borderId="0" xfId="76" applyFont="1"/>
    <xf numFmtId="0" fontId="53" fillId="0" borderId="0" xfId="76"/>
    <xf numFmtId="0" fontId="175" fillId="0" borderId="0" xfId="76" applyFont="1"/>
    <xf numFmtId="0" fontId="20" fillId="0" borderId="0" xfId="76" applyFont="1" applyAlignment="1">
      <alignment horizontal="center"/>
    </xf>
    <xf numFmtId="168" fontId="20" fillId="0" borderId="0" xfId="76" applyNumberFormat="1" applyFont="1"/>
    <xf numFmtId="168" fontId="20" fillId="0" borderId="0" xfId="76" applyNumberFormat="1" applyFont="1" applyBorder="1"/>
    <xf numFmtId="0" fontId="20" fillId="0" borderId="0" xfId="76" applyFont="1" applyBorder="1"/>
    <xf numFmtId="0" fontId="20" fillId="0" borderId="0" xfId="76" applyFont="1"/>
    <xf numFmtId="0" fontId="138" fillId="0" borderId="0" xfId="76" applyFont="1" applyBorder="1" applyAlignment="1">
      <alignment horizontal="center"/>
    </xf>
    <xf numFmtId="0" fontId="138" fillId="0" borderId="18" xfId="76" applyFont="1" applyFill="1" applyBorder="1" applyAlignment="1">
      <alignment horizontal="center" vertical="center" wrapText="1"/>
    </xf>
    <xf numFmtId="0" fontId="125" fillId="0" borderId="0" xfId="76" applyFont="1"/>
    <xf numFmtId="0" fontId="125" fillId="0" borderId="25" xfId="76" applyFont="1" applyBorder="1" applyAlignment="1">
      <alignment horizontal="center"/>
    </xf>
    <xf numFmtId="0" fontId="125" fillId="0" borderId="30" xfId="76" applyFont="1" applyBorder="1" applyAlignment="1">
      <alignment horizontal="center"/>
    </xf>
    <xf numFmtId="0" fontId="125" fillId="0" borderId="35" xfId="76" applyFont="1" applyBorder="1" applyAlignment="1">
      <alignment horizontal="center"/>
    </xf>
    <xf numFmtId="168" fontId="125" fillId="0" borderId="40" xfId="213" applyNumberFormat="1" applyFont="1" applyBorder="1" applyAlignment="1">
      <alignment horizontal="center"/>
    </xf>
    <xf numFmtId="0" fontId="125" fillId="0" borderId="26" xfId="76" applyFont="1" applyBorder="1" applyAlignment="1">
      <alignment horizontal="center"/>
    </xf>
    <xf numFmtId="0" fontId="125" fillId="0" borderId="31" xfId="76" applyFont="1" applyBorder="1" applyAlignment="1">
      <alignment horizontal="center"/>
    </xf>
    <xf numFmtId="0" fontId="125" fillId="0" borderId="36" xfId="76" applyFont="1" applyBorder="1" applyAlignment="1">
      <alignment horizontal="center"/>
    </xf>
    <xf numFmtId="168" fontId="125" fillId="0" borderId="41" xfId="213" applyNumberFormat="1" applyFont="1" applyBorder="1" applyAlignment="1">
      <alignment horizontal="center"/>
    </xf>
    <xf numFmtId="0" fontId="125" fillId="0" borderId="27" xfId="76" applyFont="1" applyBorder="1" applyAlignment="1">
      <alignment horizontal="center"/>
    </xf>
    <xf numFmtId="0" fontId="125" fillId="0" borderId="32" xfId="76" applyFont="1" applyBorder="1" applyAlignment="1">
      <alignment horizontal="center"/>
    </xf>
    <xf numFmtId="0" fontId="125" fillId="0" borderId="37" xfId="76" applyFont="1" applyBorder="1" applyAlignment="1">
      <alignment horizontal="center"/>
    </xf>
    <xf numFmtId="168" fontId="125" fillId="0" borderId="42" xfId="213" applyNumberFormat="1" applyFont="1" applyBorder="1" applyAlignment="1">
      <alignment horizontal="center"/>
    </xf>
    <xf numFmtId="0" fontId="138" fillId="23" borderId="13" xfId="76" applyFont="1" applyFill="1" applyBorder="1" applyAlignment="1">
      <alignment horizontal="center"/>
    </xf>
    <xf numFmtId="0" fontId="138" fillId="23" borderId="18" xfId="76" applyFont="1" applyFill="1" applyBorder="1" applyAlignment="1">
      <alignment horizontal="center"/>
    </xf>
    <xf numFmtId="0" fontId="138" fillId="23" borderId="14" xfId="76" applyFont="1" applyFill="1" applyBorder="1" applyAlignment="1">
      <alignment horizontal="center"/>
    </xf>
    <xf numFmtId="168" fontId="138" fillId="23" borderId="10" xfId="213" applyNumberFormat="1" applyFont="1" applyFill="1" applyBorder="1" applyAlignment="1">
      <alignment horizontal="center"/>
    </xf>
    <xf numFmtId="0" fontId="138" fillId="0" borderId="0" xfId="76" applyFont="1" applyAlignment="1">
      <alignment horizontal="center"/>
    </xf>
    <xf numFmtId="0" fontId="125" fillId="0" borderId="0" xfId="76" applyFont="1" applyAlignment="1">
      <alignment horizontal="center"/>
    </xf>
    <xf numFmtId="0" fontId="125" fillId="0" borderId="0" xfId="76" applyFont="1" applyBorder="1" applyAlignment="1">
      <alignment horizontal="center"/>
    </xf>
    <xf numFmtId="3" fontId="138" fillId="0" borderId="0" xfId="76" applyNumberFormat="1" applyFont="1" applyAlignment="1">
      <alignment horizontal="center"/>
    </xf>
    <xf numFmtId="3" fontId="125" fillId="0" borderId="0" xfId="76" applyNumberFormat="1" applyFont="1" applyAlignment="1">
      <alignment horizontal="center"/>
    </xf>
    <xf numFmtId="0" fontId="120" fillId="0" borderId="0" xfId="76" applyFont="1"/>
    <xf numFmtId="0" fontId="92" fillId="0" borderId="18" xfId="76" applyFont="1" applyFill="1" applyBorder="1" applyAlignment="1">
      <alignment horizontal="center" vertical="center" wrapText="1"/>
    </xf>
    <xf numFmtId="0" fontId="90" fillId="23" borderId="18" xfId="76" applyFont="1" applyFill="1" applyBorder="1" applyAlignment="1">
      <alignment horizontal="center" vertical="center"/>
    </xf>
    <xf numFmtId="0" fontId="90" fillId="0" borderId="0" xfId="76" applyFont="1" applyBorder="1" applyAlignment="1">
      <alignment horizontal="center" vertical="center"/>
    </xf>
    <xf numFmtId="0" fontId="90" fillId="23" borderId="18" xfId="0" applyFont="1" applyFill="1" applyBorder="1" applyAlignment="1">
      <alignment horizontal="center" vertical="center" wrapText="1"/>
    </xf>
    <xf numFmtId="0" fontId="89" fillId="0" borderId="0" xfId="0" applyFont="1"/>
    <xf numFmtId="0" fontId="89" fillId="0" borderId="19" xfId="0" applyFont="1" applyBorder="1" applyAlignment="1">
      <alignment horizontal="center"/>
    </xf>
    <xf numFmtId="0" fontId="89" fillId="0" borderId="12" xfId="0" applyFont="1" applyBorder="1" applyAlignment="1">
      <alignment horizontal="center"/>
    </xf>
    <xf numFmtId="168" fontId="89" fillId="0" borderId="19" xfId="57" applyNumberFormat="1" applyFont="1" applyBorder="1" applyAlignment="1">
      <alignment horizontal="center"/>
    </xf>
    <xf numFmtId="0" fontId="89" fillId="0" borderId="21" xfId="0" applyFont="1" applyBorder="1" applyAlignment="1">
      <alignment horizontal="center"/>
    </xf>
    <xf numFmtId="0" fontId="89" fillId="0" borderId="0" xfId="0" applyFont="1" applyBorder="1" applyAlignment="1">
      <alignment horizontal="center"/>
    </xf>
    <xf numFmtId="168" fontId="89" fillId="0" borderId="21" xfId="57" applyNumberFormat="1" applyFont="1" applyBorder="1" applyAlignment="1">
      <alignment horizontal="center"/>
    </xf>
    <xf numFmtId="0" fontId="89" fillId="0" borderId="23" xfId="0" applyFont="1" applyBorder="1" applyAlignment="1">
      <alignment horizontal="center"/>
    </xf>
    <xf numFmtId="0" fontId="89" fillId="0" borderId="24" xfId="0" applyFont="1" applyBorder="1" applyAlignment="1">
      <alignment horizontal="center"/>
    </xf>
    <xf numFmtId="168" fontId="89" fillId="0" borderId="23" xfId="57" applyNumberFormat="1" applyFont="1" applyBorder="1" applyAlignment="1">
      <alignment horizontal="center"/>
    </xf>
    <xf numFmtId="0" fontId="90" fillId="23" borderId="18" xfId="0" applyFont="1" applyFill="1" applyBorder="1" applyAlignment="1">
      <alignment horizontal="center"/>
    </xf>
    <xf numFmtId="0" fontId="90" fillId="23" borderId="14" xfId="0" applyFont="1" applyFill="1" applyBorder="1" applyAlignment="1">
      <alignment horizontal="center"/>
    </xf>
    <xf numFmtId="0" fontId="90" fillId="23" borderId="10" xfId="0" applyFont="1" applyFill="1" applyBorder="1" applyAlignment="1">
      <alignment horizontal="center"/>
    </xf>
    <xf numFmtId="168" fontId="90" fillId="23" borderId="18" xfId="57" applyNumberFormat="1" applyFont="1" applyFill="1" applyBorder="1" applyAlignment="1">
      <alignment horizontal="center"/>
    </xf>
    <xf numFmtId="0" fontId="89" fillId="0" borderId="0" xfId="0" applyFont="1" applyAlignment="1">
      <alignment horizontal="center"/>
    </xf>
    <xf numFmtId="3" fontId="89" fillId="0" borderId="0" xfId="0" applyNumberFormat="1" applyFont="1" applyAlignment="1">
      <alignment horizontal="center"/>
    </xf>
    <xf numFmtId="0" fontId="240" fillId="23" borderId="18" xfId="0" applyFont="1" applyFill="1" applyBorder="1" applyAlignment="1">
      <alignment horizontal="center" vertical="center" wrapText="1"/>
    </xf>
    <xf numFmtId="0" fontId="117" fillId="0" borderId="30" xfId="0" applyFont="1" applyFill="1" applyBorder="1" applyAlignment="1">
      <alignment horizontal="left" vertical="center" indent="1"/>
    </xf>
    <xf numFmtId="0" fontId="125" fillId="0" borderId="35" xfId="0" applyFont="1" applyFill="1" applyBorder="1" applyAlignment="1">
      <alignment horizontal="center" vertical="center"/>
    </xf>
    <xf numFmtId="0" fontId="125" fillId="0" borderId="30" xfId="0" applyFont="1" applyFill="1" applyBorder="1" applyAlignment="1">
      <alignment horizontal="center" vertical="center"/>
    </xf>
    <xf numFmtId="183" fontId="125" fillId="0" borderId="35" xfId="0" applyNumberFormat="1" applyFont="1" applyFill="1" applyBorder="1" applyAlignment="1">
      <alignment horizontal="center" vertical="center"/>
    </xf>
    <xf numFmtId="183" fontId="125" fillId="0" borderId="30" xfId="0" applyNumberFormat="1" applyFont="1" applyFill="1" applyBorder="1" applyAlignment="1">
      <alignment horizontal="center" vertical="center"/>
    </xf>
    <xf numFmtId="183" fontId="117" fillId="0" borderId="40" xfId="0" applyNumberFormat="1" applyFont="1" applyFill="1" applyBorder="1" applyAlignment="1">
      <alignment horizontal="center" vertical="center"/>
    </xf>
    <xf numFmtId="0" fontId="117" fillId="0" borderId="31" xfId="0" applyFont="1" applyFill="1" applyBorder="1" applyAlignment="1">
      <alignment horizontal="left" vertical="center" indent="1"/>
    </xf>
    <xf numFmtId="0" fontId="125" fillId="0" borderId="36" xfId="0" applyFont="1" applyFill="1" applyBorder="1" applyAlignment="1">
      <alignment horizontal="center" vertical="center"/>
    </xf>
    <xf numFmtId="0" fontId="125" fillId="0" borderId="31" xfId="0" applyFont="1" applyFill="1" applyBorder="1" applyAlignment="1">
      <alignment horizontal="center" vertical="center"/>
    </xf>
    <xf numFmtId="183" fontId="125" fillId="0" borderId="36" xfId="0" applyNumberFormat="1" applyFont="1" applyFill="1" applyBorder="1" applyAlignment="1">
      <alignment horizontal="center" vertical="center"/>
    </xf>
    <xf numFmtId="183" fontId="117" fillId="0" borderId="41" xfId="0" applyNumberFormat="1" applyFont="1" applyFill="1" applyBorder="1" applyAlignment="1">
      <alignment horizontal="center" vertical="center"/>
    </xf>
    <xf numFmtId="183" fontId="125" fillId="0" borderId="31" xfId="0" applyNumberFormat="1" applyFont="1" applyFill="1" applyBorder="1" applyAlignment="1">
      <alignment horizontal="center" vertical="center"/>
    </xf>
    <xf numFmtId="0" fontId="117" fillId="20" borderId="32" xfId="0" applyFont="1" applyFill="1" applyBorder="1" applyAlignment="1">
      <alignment horizontal="left" vertical="center" indent="1"/>
    </xf>
    <xf numFmtId="0" fontId="117" fillId="20" borderId="37" xfId="0" applyFont="1" applyFill="1" applyBorder="1" applyAlignment="1">
      <alignment horizontal="center" vertical="center"/>
    </xf>
    <xf numFmtId="0" fontId="125" fillId="20" borderId="32" xfId="0" applyFont="1" applyFill="1" applyBorder="1" applyAlignment="1">
      <alignment horizontal="center" vertical="center"/>
    </xf>
    <xf numFmtId="183" fontId="117" fillId="20" borderId="37" xfId="0" applyNumberFormat="1" applyFont="1" applyFill="1" applyBorder="1" applyAlignment="1">
      <alignment horizontal="center" vertical="center"/>
    </xf>
    <xf numFmtId="183" fontId="117" fillId="20" borderId="42" xfId="0" applyNumberFormat="1" applyFont="1" applyFill="1" applyBorder="1" applyAlignment="1">
      <alignment horizontal="center" vertical="center"/>
    </xf>
    <xf numFmtId="0" fontId="117" fillId="20" borderId="30" xfId="0" applyFont="1" applyFill="1" applyBorder="1" applyAlignment="1">
      <alignment horizontal="left" vertical="center" indent="1"/>
    </xf>
    <xf numFmtId="0" fontId="117" fillId="20" borderId="35" xfId="0" applyFont="1" applyFill="1" applyBorder="1" applyAlignment="1">
      <alignment horizontal="center" vertical="center"/>
    </xf>
    <xf numFmtId="0" fontId="117" fillId="20" borderId="30" xfId="0" applyFont="1" applyFill="1" applyBorder="1" applyAlignment="1">
      <alignment horizontal="center" vertical="center"/>
    </xf>
    <xf numFmtId="183" fontId="117" fillId="20" borderId="35" xfId="0" applyNumberFormat="1" applyFont="1" applyFill="1" applyBorder="1" applyAlignment="1">
      <alignment horizontal="center" vertical="center"/>
    </xf>
    <xf numFmtId="183" fontId="117" fillId="20" borderId="30" xfId="0" applyNumberFormat="1" applyFont="1" applyFill="1" applyBorder="1" applyAlignment="1">
      <alignment horizontal="center" vertical="center"/>
    </xf>
    <xf numFmtId="183" fontId="117" fillId="20" borderId="40" xfId="0" applyNumberFormat="1" applyFont="1" applyFill="1" applyBorder="1" applyAlignment="1">
      <alignment horizontal="center" vertical="center"/>
    </xf>
    <xf numFmtId="0" fontId="117" fillId="20" borderId="31" xfId="0" applyFont="1" applyFill="1" applyBorder="1" applyAlignment="1">
      <alignment horizontal="left" vertical="center" indent="1"/>
    </xf>
    <xf numFmtId="0" fontId="117" fillId="20" borderId="36" xfId="0" applyFont="1" applyFill="1" applyBorder="1" applyAlignment="1">
      <alignment horizontal="center" vertical="center"/>
    </xf>
    <xf numFmtId="0" fontId="117" fillId="20" borderId="31" xfId="0" applyFont="1" applyFill="1" applyBorder="1" applyAlignment="1">
      <alignment horizontal="center" vertical="center"/>
    </xf>
    <xf numFmtId="183" fontId="125" fillId="20" borderId="36" xfId="0" applyNumberFormat="1" applyFont="1" applyFill="1" applyBorder="1" applyAlignment="1">
      <alignment horizontal="center" vertical="center"/>
    </xf>
    <xf numFmtId="183" fontId="117" fillId="20" borderId="31" xfId="0" applyNumberFormat="1" applyFont="1" applyFill="1" applyBorder="1" applyAlignment="1">
      <alignment horizontal="center" vertical="center"/>
    </xf>
    <xf numFmtId="183" fontId="117" fillId="20" borderId="41" xfId="0" applyNumberFormat="1" applyFont="1" applyFill="1" applyBorder="1" applyAlignment="1">
      <alignment horizontal="center" vertical="center"/>
    </xf>
    <xf numFmtId="0" fontId="117" fillId="0" borderId="36" xfId="0" applyFont="1" applyFill="1" applyBorder="1" applyAlignment="1">
      <alignment horizontal="center" vertical="center"/>
    </xf>
    <xf numFmtId="0" fontId="117" fillId="0" borderId="32" xfId="0" applyFont="1" applyFill="1" applyBorder="1" applyAlignment="1">
      <alignment horizontal="left" vertical="center" indent="1"/>
    </xf>
    <xf numFmtId="0" fontId="117" fillId="0" borderId="37" xfId="0" applyFont="1" applyFill="1" applyBorder="1" applyAlignment="1">
      <alignment horizontal="center" vertical="center"/>
    </xf>
    <xf numFmtId="183" fontId="125" fillId="0" borderId="37" xfId="0" applyNumberFormat="1" applyFont="1" applyFill="1" applyBorder="1" applyAlignment="1">
      <alignment horizontal="center" vertical="center"/>
    </xf>
    <xf numFmtId="183" fontId="125" fillId="0" borderId="32" xfId="0" applyNumberFormat="1" applyFont="1" applyFill="1" applyBorder="1" applyAlignment="1">
      <alignment horizontal="center" vertical="center"/>
    </xf>
    <xf numFmtId="183" fontId="117" fillId="0" borderId="42" xfId="0" applyNumberFormat="1" applyFont="1" applyFill="1" applyBorder="1" applyAlignment="1">
      <alignment horizontal="center" vertical="center"/>
    </xf>
    <xf numFmtId="0" fontId="117" fillId="0" borderId="33" xfId="0" applyFont="1" applyFill="1" applyBorder="1" applyAlignment="1">
      <alignment horizontal="left" vertical="center" indent="1"/>
    </xf>
    <xf numFmtId="0" fontId="117" fillId="0" borderId="38" xfId="0" applyFont="1" applyFill="1" applyBorder="1" applyAlignment="1">
      <alignment horizontal="center" vertical="center"/>
    </xf>
    <xf numFmtId="0" fontId="117" fillId="0" borderId="33" xfId="0" applyFont="1" applyFill="1" applyBorder="1" applyAlignment="1">
      <alignment horizontal="center" vertical="center"/>
    </xf>
    <xf numFmtId="183" fontId="125" fillId="0" borderId="38" xfId="0" applyNumberFormat="1" applyFont="1" applyFill="1" applyBorder="1" applyAlignment="1">
      <alignment horizontal="center" vertical="center"/>
    </xf>
    <xf numFmtId="183" fontId="125" fillId="0" borderId="33" xfId="0" applyNumberFormat="1" applyFont="1" applyFill="1" applyBorder="1" applyAlignment="1">
      <alignment horizontal="center" vertical="center"/>
    </xf>
    <xf numFmtId="183" fontId="117" fillId="0" borderId="34" xfId="0" applyNumberFormat="1" applyFont="1" applyFill="1" applyBorder="1" applyAlignment="1">
      <alignment horizontal="center" vertical="center"/>
    </xf>
    <xf numFmtId="0" fontId="117" fillId="0" borderId="34" xfId="0" applyFont="1" applyFill="1" applyBorder="1" applyAlignment="1">
      <alignment horizontal="left" vertical="center" indent="1"/>
    </xf>
    <xf numFmtId="0" fontId="117" fillId="0" borderId="39" xfId="0" applyFont="1" applyFill="1" applyBorder="1" applyAlignment="1">
      <alignment horizontal="center" vertical="center"/>
    </xf>
    <xf numFmtId="183" fontId="125" fillId="0" borderId="39" xfId="0" applyNumberFormat="1" applyFont="1" applyFill="1" applyBorder="1" applyAlignment="1">
      <alignment horizontal="center" vertical="center"/>
    </xf>
    <xf numFmtId="0" fontId="132" fillId="0" borderId="0" xfId="0" applyFont="1" applyBorder="1" applyAlignment="1">
      <alignment vertical="center"/>
    </xf>
    <xf numFmtId="0" fontId="117" fillId="0" borderId="30" xfId="0" applyFont="1" applyBorder="1" applyAlignment="1">
      <alignment horizontal="left" vertical="center" indent="1"/>
    </xf>
    <xf numFmtId="0" fontId="117" fillId="0" borderId="30" xfId="0" applyFont="1" applyBorder="1" applyAlignment="1">
      <alignment horizontal="center"/>
    </xf>
    <xf numFmtId="183" fontId="246" fillId="0" borderId="35" xfId="0" applyNumberFormat="1" applyFont="1" applyBorder="1" applyAlignment="1">
      <alignment horizontal="center" vertical="center"/>
    </xf>
    <xf numFmtId="183" fontId="117" fillId="0" borderId="30" xfId="0" applyNumberFormat="1" applyFont="1" applyBorder="1" applyAlignment="1">
      <alignment horizontal="center"/>
    </xf>
    <xf numFmtId="183" fontId="125" fillId="0" borderId="30" xfId="0" applyNumberFormat="1" applyFont="1" applyBorder="1" applyAlignment="1">
      <alignment horizontal="center" vertical="center"/>
    </xf>
    <xf numFmtId="0" fontId="117" fillId="0" borderId="31" xfId="0" applyFont="1" applyBorder="1" applyAlignment="1">
      <alignment horizontal="left" vertical="center" indent="1"/>
    </xf>
    <xf numFmtId="0" fontId="117" fillId="0" borderId="36" xfId="0" applyFont="1" applyBorder="1" applyAlignment="1">
      <alignment horizontal="center"/>
    </xf>
    <xf numFmtId="0" fontId="117" fillId="0" borderId="31" xfId="0" applyFont="1" applyBorder="1" applyAlignment="1">
      <alignment horizontal="center"/>
    </xf>
    <xf numFmtId="183" fontId="117" fillId="0" borderId="36" xfId="0" applyNumberFormat="1" applyFont="1" applyBorder="1" applyAlignment="1">
      <alignment horizontal="center" vertical="center"/>
    </xf>
    <xf numFmtId="183" fontId="117" fillId="0" borderId="31" xfId="0" applyNumberFormat="1" applyFont="1" applyBorder="1" applyAlignment="1">
      <alignment horizontal="center"/>
    </xf>
    <xf numFmtId="183" fontId="125" fillId="0" borderId="41" xfId="0" applyNumberFormat="1" applyFont="1" applyBorder="1" applyAlignment="1">
      <alignment horizontal="center" vertical="center"/>
    </xf>
    <xf numFmtId="0" fontId="117" fillId="0" borderId="32" xfId="0" applyFont="1" applyBorder="1" applyAlignment="1">
      <alignment horizontal="left" vertical="center" indent="1"/>
    </xf>
    <xf numFmtId="0" fontId="117" fillId="0" borderId="37" xfId="0" applyFont="1" applyBorder="1" applyAlignment="1">
      <alignment horizontal="center"/>
    </xf>
    <xf numFmtId="0" fontId="117" fillId="0" borderId="32" xfId="0" applyFont="1" applyBorder="1" applyAlignment="1">
      <alignment horizontal="center"/>
    </xf>
    <xf numFmtId="183" fontId="125" fillId="0" borderId="37" xfId="0" applyNumberFormat="1" applyFont="1" applyBorder="1" applyAlignment="1">
      <alignment horizontal="center"/>
    </xf>
    <xf numFmtId="183" fontId="117" fillId="0" borderId="32" xfId="0" applyNumberFormat="1" applyFont="1" applyBorder="1" applyAlignment="1">
      <alignment horizontal="center"/>
    </xf>
    <xf numFmtId="183" fontId="117" fillId="0" borderId="42" xfId="0" applyNumberFormat="1" applyFont="1" applyBorder="1" applyAlignment="1">
      <alignment horizontal="center" vertical="center"/>
    </xf>
    <xf numFmtId="0" fontId="117" fillId="0" borderId="35" xfId="0" applyFont="1" applyBorder="1" applyAlignment="1">
      <alignment horizontal="center"/>
    </xf>
    <xf numFmtId="183" fontId="117" fillId="0" borderId="35" xfId="0" applyNumberFormat="1" applyFont="1" applyBorder="1" applyAlignment="1">
      <alignment horizontal="center" vertical="center"/>
    </xf>
    <xf numFmtId="183" fontId="125" fillId="0" borderId="40" xfId="0" applyNumberFormat="1" applyFont="1" applyBorder="1" applyAlignment="1">
      <alignment horizontal="center" vertical="center"/>
    </xf>
    <xf numFmtId="0" fontId="117" fillId="0" borderId="33" xfId="0" applyFont="1" applyBorder="1" applyAlignment="1">
      <alignment horizontal="center"/>
    </xf>
    <xf numFmtId="183" fontId="246" fillId="0" borderId="38" xfId="0" applyNumberFormat="1" applyFont="1" applyBorder="1" applyAlignment="1">
      <alignment horizontal="center" vertical="center"/>
    </xf>
    <xf numFmtId="0" fontId="117" fillId="0" borderId="39" xfId="0" applyFont="1" applyBorder="1" applyAlignment="1">
      <alignment horizontal="center"/>
    </xf>
    <xf numFmtId="0" fontId="117" fillId="0" borderId="34" xfId="0" applyFont="1" applyBorder="1" applyAlignment="1">
      <alignment horizontal="center"/>
    </xf>
    <xf numFmtId="183" fontId="117" fillId="0" borderId="39" xfId="0" applyNumberFormat="1" applyFont="1" applyBorder="1" applyAlignment="1">
      <alignment horizontal="center" vertical="center"/>
    </xf>
    <xf numFmtId="183" fontId="117" fillId="0" borderId="34" xfId="0" applyNumberFormat="1" applyFont="1" applyBorder="1" applyAlignment="1">
      <alignment horizontal="center"/>
    </xf>
    <xf numFmtId="183" fontId="125" fillId="0" borderId="44" xfId="0" applyNumberFormat="1" applyFont="1" applyBorder="1" applyAlignment="1">
      <alignment horizontal="center" vertical="center"/>
    </xf>
    <xf numFmtId="183" fontId="125" fillId="0" borderId="42" xfId="0" applyNumberFormat="1" applyFont="1" applyBorder="1" applyAlignment="1">
      <alignment horizontal="center" vertical="center"/>
    </xf>
    <xf numFmtId="0" fontId="65" fillId="0" borderId="0" xfId="0" applyFont="1" applyAlignment="1">
      <alignment horizontal="left" vertical="center"/>
    </xf>
    <xf numFmtId="183" fontId="117" fillId="0" borderId="36" xfId="0" applyNumberFormat="1" applyFont="1" applyFill="1" applyBorder="1" applyAlignment="1">
      <alignment horizontal="center" vertical="center"/>
    </xf>
    <xf numFmtId="183" fontId="117" fillId="0" borderId="31" xfId="0" applyNumberFormat="1" applyFont="1" applyFill="1" applyBorder="1" applyAlignment="1">
      <alignment horizontal="center" vertical="center"/>
    </xf>
    <xf numFmtId="183" fontId="247" fillId="0" borderId="32" xfId="0" applyNumberFormat="1" applyFont="1" applyFill="1" applyBorder="1" applyAlignment="1">
      <alignment horizontal="center" vertical="center"/>
    </xf>
    <xf numFmtId="183" fontId="117" fillId="0" borderId="38" xfId="0" applyNumberFormat="1" applyFont="1" applyFill="1" applyBorder="1" applyAlignment="1">
      <alignment horizontal="center" vertical="center"/>
    </xf>
    <xf numFmtId="0" fontId="247" fillId="0" borderId="31" xfId="0" applyFont="1" applyFill="1" applyBorder="1" applyAlignment="1">
      <alignment horizontal="center" vertical="center"/>
    </xf>
    <xf numFmtId="183" fontId="247" fillId="0" borderId="36" xfId="0" applyNumberFormat="1" applyFont="1" applyFill="1" applyBorder="1" applyAlignment="1">
      <alignment horizontal="center" vertical="center"/>
    </xf>
    <xf numFmtId="183" fontId="117" fillId="0" borderId="37" xfId="0" applyNumberFormat="1" applyFont="1" applyFill="1" applyBorder="1" applyAlignment="1">
      <alignment horizontal="center" vertical="center"/>
    </xf>
    <xf numFmtId="183" fontId="117" fillId="0" borderId="32" xfId="0" applyNumberFormat="1" applyFont="1" applyFill="1" applyBorder="1" applyAlignment="1">
      <alignment horizontal="center" vertical="center"/>
    </xf>
    <xf numFmtId="183" fontId="117" fillId="0" borderId="30" xfId="0" applyNumberFormat="1" applyFont="1" applyFill="1" applyBorder="1" applyAlignment="1">
      <alignment horizontal="center" vertical="center"/>
    </xf>
    <xf numFmtId="0" fontId="69" fillId="0" borderId="31" xfId="0" applyFont="1" applyFill="1" applyBorder="1" applyAlignment="1">
      <alignment horizontal="center" vertical="center"/>
    </xf>
    <xf numFmtId="0" fontId="69" fillId="0" borderId="32" xfId="0" applyFont="1" applyFill="1" applyBorder="1" applyAlignment="1">
      <alignment horizontal="center" vertical="center"/>
    </xf>
    <xf numFmtId="0" fontId="65" fillId="0" borderId="0" xfId="0" applyFont="1" applyAlignment="1">
      <alignment vertical="center"/>
    </xf>
    <xf numFmtId="0" fontId="249" fillId="0" borderId="0" xfId="0" applyFont="1" applyFill="1" applyBorder="1" applyAlignment="1">
      <alignment horizontal="left" vertical="center"/>
    </xf>
    <xf numFmtId="0" fontId="135" fillId="0" borderId="169" xfId="0" applyFont="1" applyBorder="1" applyAlignment="1">
      <alignment horizontal="left" vertical="center" wrapText="1" indent="1"/>
    </xf>
    <xf numFmtId="0" fontId="117" fillId="0" borderId="35" xfId="0" applyFont="1" applyFill="1" applyBorder="1" applyAlignment="1">
      <alignment horizontal="left" vertical="center"/>
    </xf>
    <xf numFmtId="0" fontId="117" fillId="0" borderId="30" xfId="0" applyFont="1" applyFill="1" applyBorder="1" applyAlignment="1">
      <alignment horizontal="left" vertical="center"/>
    </xf>
    <xf numFmtId="183" fontId="117" fillId="0" borderId="35" xfId="0" applyNumberFormat="1" applyFont="1" applyFill="1" applyBorder="1" applyAlignment="1">
      <alignment horizontal="left" vertical="center"/>
    </xf>
    <xf numFmtId="183" fontId="117" fillId="0" borderId="30" xfId="0" applyNumberFormat="1" applyFont="1" applyFill="1" applyBorder="1" applyAlignment="1">
      <alignment horizontal="left" vertical="center"/>
    </xf>
    <xf numFmtId="0" fontId="117" fillId="0" borderId="37" xfId="0" applyFont="1" applyFill="1" applyBorder="1" applyAlignment="1">
      <alignment horizontal="left" vertical="center"/>
    </xf>
    <xf numFmtId="0" fontId="117" fillId="0" borderId="32" xfId="0" applyFont="1" applyFill="1" applyBorder="1" applyAlignment="1">
      <alignment horizontal="left" vertical="center"/>
    </xf>
    <xf numFmtId="183" fontId="117" fillId="0" borderId="37" xfId="0" applyNumberFormat="1" applyFont="1" applyFill="1" applyBorder="1" applyAlignment="1">
      <alignment horizontal="left" vertical="center"/>
    </xf>
    <xf numFmtId="183" fontId="117" fillId="0" borderId="32" xfId="0" applyNumberFormat="1" applyFont="1" applyFill="1" applyBorder="1" applyAlignment="1">
      <alignment horizontal="left" vertical="center"/>
    </xf>
    <xf numFmtId="0" fontId="135" fillId="0" borderId="170" xfId="0" applyFont="1" applyBorder="1" applyAlignment="1">
      <alignment horizontal="left" vertical="center" wrapText="1" indent="1"/>
    </xf>
    <xf numFmtId="0" fontId="117" fillId="0" borderId="23" xfId="0" applyFont="1" applyFill="1" applyBorder="1" applyAlignment="1">
      <alignment horizontal="center" vertical="center"/>
    </xf>
    <xf numFmtId="183" fontId="117" fillId="0" borderId="23" xfId="0" applyNumberFormat="1" applyFont="1" applyFill="1" applyBorder="1" applyAlignment="1">
      <alignment horizontal="center" vertical="center"/>
    </xf>
    <xf numFmtId="0" fontId="117" fillId="0" borderId="35" xfId="0" applyFont="1" applyFill="1" applyBorder="1" applyAlignment="1">
      <alignment horizontal="center" vertical="center"/>
    </xf>
    <xf numFmtId="183" fontId="117" fillId="0" borderId="35" xfId="0" applyNumberFormat="1" applyFont="1" applyFill="1" applyBorder="1" applyAlignment="1">
      <alignment horizontal="center" vertical="center"/>
    </xf>
    <xf numFmtId="183" fontId="117" fillId="0" borderId="39" xfId="0" applyNumberFormat="1" applyFont="1" applyFill="1" applyBorder="1" applyAlignment="1">
      <alignment horizontal="center" vertical="center"/>
    </xf>
    <xf numFmtId="183" fontId="180" fillId="0" borderId="34" xfId="0" applyNumberFormat="1" applyFont="1" applyFill="1" applyBorder="1" applyAlignment="1">
      <alignment horizontal="center" vertical="center"/>
    </xf>
    <xf numFmtId="183" fontId="250" fillId="0" borderId="41" xfId="0" applyNumberFormat="1" applyFont="1" applyFill="1" applyBorder="1" applyAlignment="1">
      <alignment horizontal="center" vertical="center"/>
    </xf>
    <xf numFmtId="168" fontId="90" fillId="23" borderId="10" xfId="213" applyNumberFormat="1" applyFont="1" applyFill="1" applyBorder="1" applyAlignment="1">
      <alignment horizontal="center" vertical="center"/>
    </xf>
    <xf numFmtId="168" fontId="238" fillId="23" borderId="10" xfId="213" applyNumberFormat="1" applyFont="1" applyFill="1" applyBorder="1" applyAlignment="1">
      <alignment horizontal="center" vertical="center"/>
    </xf>
    <xf numFmtId="0" fontId="90" fillId="23" borderId="13" xfId="76" applyFont="1" applyFill="1" applyBorder="1" applyAlignment="1">
      <alignment horizontal="center" vertical="center"/>
    </xf>
    <xf numFmtId="0" fontId="90" fillId="23" borderId="14" xfId="76" applyFont="1" applyFill="1" applyBorder="1" applyAlignment="1">
      <alignment horizontal="center" vertical="center"/>
    </xf>
    <xf numFmtId="0" fontId="89" fillId="0" borderId="30" xfId="76" applyFont="1" applyBorder="1" applyAlignment="1">
      <alignment horizontal="center" vertical="center"/>
    </xf>
    <xf numFmtId="0" fontId="89" fillId="0" borderId="35" xfId="76" applyFont="1" applyBorder="1" applyAlignment="1">
      <alignment horizontal="center" vertical="center"/>
    </xf>
    <xf numFmtId="168" fontId="89" fillId="0" borderId="40" xfId="213" applyNumberFormat="1" applyFont="1" applyBorder="1" applyAlignment="1">
      <alignment horizontal="center" vertical="center"/>
    </xf>
    <xf numFmtId="0" fontId="132" fillId="0" borderId="30" xfId="826" applyFont="1" applyFill="1" applyBorder="1" applyAlignment="1">
      <alignment horizontal="left" vertical="center"/>
    </xf>
    <xf numFmtId="0" fontId="117" fillId="0" borderId="30" xfId="826" applyFont="1" applyFill="1" applyBorder="1" applyAlignment="1">
      <alignment horizontal="left" vertical="center" indent="1"/>
    </xf>
    <xf numFmtId="0" fontId="117" fillId="0" borderId="40" xfId="826" applyFont="1" applyFill="1" applyBorder="1" applyAlignment="1">
      <alignment horizontal="center" vertical="center"/>
    </xf>
    <xf numFmtId="0" fontId="117" fillId="0" borderId="41" xfId="826" applyFont="1" applyFill="1" applyBorder="1" applyAlignment="1">
      <alignment horizontal="left" vertical="center" indent="1"/>
    </xf>
    <xf numFmtId="0" fontId="132" fillId="0" borderId="31" xfId="826" applyFont="1" applyFill="1" applyBorder="1" applyAlignment="1">
      <alignment horizontal="left" vertical="center"/>
    </xf>
    <xf numFmtId="0" fontId="117" fillId="0" borderId="31" xfId="826" applyFont="1" applyFill="1" applyBorder="1" applyAlignment="1">
      <alignment horizontal="center" vertical="center"/>
    </xf>
    <xf numFmtId="0" fontId="117" fillId="0" borderId="41" xfId="826" applyFont="1" applyFill="1" applyBorder="1" applyAlignment="1">
      <alignment horizontal="center" vertical="center"/>
    </xf>
    <xf numFmtId="0" fontId="132" fillId="0" borderId="34" xfId="826" applyFont="1" applyFill="1" applyBorder="1" applyAlignment="1">
      <alignment horizontal="left" vertical="center"/>
    </xf>
    <xf numFmtId="0" fontId="117" fillId="0" borderId="34" xfId="826" applyFont="1" applyFill="1" applyBorder="1" applyAlignment="1">
      <alignment horizontal="center" vertical="center"/>
    </xf>
    <xf numFmtId="0" fontId="117" fillId="0" borderId="44" xfId="826" applyFont="1" applyFill="1" applyBorder="1" applyAlignment="1">
      <alignment horizontal="center" vertical="center" wrapText="1"/>
    </xf>
    <xf numFmtId="0" fontId="117" fillId="0" borderId="44" xfId="826" applyFont="1" applyFill="1" applyBorder="1" applyAlignment="1">
      <alignment horizontal="center" vertical="center"/>
    </xf>
    <xf numFmtId="0" fontId="117" fillId="0" borderId="41" xfId="826" applyFont="1" applyFill="1" applyBorder="1" applyAlignment="1">
      <alignment horizontal="center" vertical="center" wrapText="1"/>
    </xf>
    <xf numFmtId="0" fontId="117" fillId="0" borderId="42" xfId="826" applyFont="1" applyFill="1" applyBorder="1" applyAlignment="1">
      <alignment horizontal="left" vertical="center" indent="1"/>
    </xf>
    <xf numFmtId="0" fontId="132" fillId="0" borderId="32" xfId="826" applyFont="1" applyFill="1" applyBorder="1" applyAlignment="1">
      <alignment horizontal="left" vertical="center"/>
    </xf>
    <xf numFmtId="0" fontId="117" fillId="0" borderId="32" xfId="826" applyFont="1" applyFill="1" applyBorder="1" applyAlignment="1">
      <alignment horizontal="center" vertical="center"/>
    </xf>
    <xf numFmtId="0" fontId="117" fillId="0" borderId="42" xfId="826" applyFont="1" applyFill="1" applyBorder="1" applyAlignment="1">
      <alignment horizontal="center" vertical="center"/>
    </xf>
    <xf numFmtId="0" fontId="117" fillId="0" borderId="30" xfId="826" applyFont="1" applyFill="1" applyBorder="1" applyAlignment="1">
      <alignment horizontal="center" vertical="center"/>
    </xf>
    <xf numFmtId="0" fontId="117" fillId="0" borderId="33" xfId="826" applyFont="1" applyFill="1" applyBorder="1" applyAlignment="1">
      <alignment horizontal="center" vertical="center"/>
    </xf>
    <xf numFmtId="0" fontId="132" fillId="0" borderId="33" xfId="826" applyFont="1" applyFill="1" applyBorder="1" applyAlignment="1">
      <alignment horizontal="left" vertical="center"/>
    </xf>
    <xf numFmtId="0" fontId="117" fillId="0" borderId="43" xfId="826" applyFont="1" applyFill="1" applyBorder="1" applyAlignment="1">
      <alignment horizontal="center" vertical="center"/>
    </xf>
    <xf numFmtId="0" fontId="117" fillId="0" borderId="34" xfId="826" applyFont="1" applyFill="1" applyBorder="1" applyAlignment="1">
      <alignment horizontal="left" vertical="center"/>
    </xf>
    <xf numFmtId="0" fontId="117" fillId="0" borderId="32" xfId="826" applyFont="1" applyFill="1" applyBorder="1" applyAlignment="1">
      <alignment horizontal="left" vertical="center"/>
    </xf>
    <xf numFmtId="0" fontId="132" fillId="0" borderId="0" xfId="826" applyFont="1" applyBorder="1" applyAlignment="1">
      <alignment vertical="center"/>
    </xf>
    <xf numFmtId="0" fontId="132" fillId="0" borderId="0" xfId="826" applyFont="1" applyAlignment="1">
      <alignment vertical="center"/>
    </xf>
    <xf numFmtId="0" fontId="89" fillId="0" borderId="19" xfId="0" applyFont="1" applyBorder="1" applyAlignment="1">
      <alignment horizontal="center" vertical="center"/>
    </xf>
    <xf numFmtId="0" fontId="89" fillId="0" borderId="21" xfId="0" applyFont="1" applyBorder="1" applyAlignment="1">
      <alignment horizontal="center" vertical="center"/>
    </xf>
    <xf numFmtId="0" fontId="89" fillId="0" borderId="23" xfId="0" applyFont="1" applyBorder="1" applyAlignment="1">
      <alignment horizontal="center" vertical="center"/>
    </xf>
    <xf numFmtId="0" fontId="138" fillId="23" borderId="18" xfId="76" applyFont="1" applyFill="1" applyBorder="1" applyAlignment="1">
      <alignment horizontal="center" vertical="center" wrapText="1"/>
    </xf>
    <xf numFmtId="0" fontId="58" fillId="0" borderId="0" xfId="76" applyFont="1" applyFill="1" applyBorder="1" applyAlignment="1">
      <alignment horizontal="center" vertical="top"/>
    </xf>
    <xf numFmtId="14" fontId="117" fillId="0" borderId="40" xfId="826" applyNumberFormat="1" applyFont="1" applyFill="1" applyBorder="1" applyAlignment="1">
      <alignment horizontal="center" vertical="center"/>
    </xf>
    <xf numFmtId="183" fontId="117" fillId="0" borderId="41" xfId="826" applyNumberFormat="1" applyFont="1" applyFill="1" applyBorder="1" applyAlignment="1">
      <alignment horizontal="center" vertical="center"/>
    </xf>
    <xf numFmtId="183" fontId="117" fillId="0" borderId="32" xfId="826" applyNumberFormat="1" applyFont="1" applyFill="1" applyBorder="1" applyAlignment="1">
      <alignment horizontal="center" vertical="center"/>
    </xf>
    <xf numFmtId="183" fontId="117" fillId="0" borderId="43" xfId="826" applyNumberFormat="1" applyFont="1" applyFill="1" applyBorder="1" applyAlignment="1">
      <alignment horizontal="center" vertical="center"/>
    </xf>
    <xf numFmtId="0" fontId="138" fillId="0" borderId="0" xfId="827" applyFont="1" applyAlignment="1">
      <alignment horizontal="center"/>
    </xf>
    <xf numFmtId="0" fontId="19" fillId="0" borderId="0" xfId="827"/>
    <xf numFmtId="0" fontId="19" fillId="0" borderId="0" xfId="827" applyFont="1"/>
    <xf numFmtId="0" fontId="138" fillId="23" borderId="23" xfId="827" applyFont="1" applyFill="1" applyBorder="1" applyAlignment="1">
      <alignment horizontal="center" vertical="center" wrapText="1"/>
    </xf>
    <xf numFmtId="0" fontId="138" fillId="0" borderId="23" xfId="827" applyFont="1" applyFill="1" applyBorder="1" applyAlignment="1">
      <alignment horizontal="center" vertical="center" wrapText="1"/>
    </xf>
    <xf numFmtId="0" fontId="138" fillId="23" borderId="18" xfId="827" applyFont="1" applyFill="1" applyBorder="1" applyAlignment="1">
      <alignment horizontal="center" vertical="center" wrapText="1"/>
    </xf>
    <xf numFmtId="0" fontId="138" fillId="0" borderId="18" xfId="827" applyFont="1" applyFill="1" applyBorder="1" applyAlignment="1">
      <alignment horizontal="center" vertical="center" wrapText="1"/>
    </xf>
    <xf numFmtId="0" fontId="170" fillId="0" borderId="18" xfId="827" applyFont="1" applyBorder="1" applyAlignment="1">
      <alignment horizontal="center" vertical="center" wrapText="1"/>
    </xf>
    <xf numFmtId="0" fontId="125" fillId="0" borderId="0" xfId="827" applyFont="1"/>
    <xf numFmtId="0" fontId="170" fillId="0" borderId="0" xfId="827" applyFont="1" applyAlignment="1">
      <alignment horizontal="center"/>
    </xf>
    <xf numFmtId="0" fontId="125" fillId="0" borderId="30" xfId="827" applyFont="1" applyBorder="1" applyAlignment="1">
      <alignment horizontal="center"/>
    </xf>
    <xf numFmtId="0" fontId="19" fillId="0" borderId="25" xfId="827" applyFont="1" applyBorder="1" applyAlignment="1">
      <alignment horizontal="center"/>
    </xf>
    <xf numFmtId="0" fontId="19" fillId="0" borderId="30" xfId="827" applyFont="1" applyBorder="1" applyAlignment="1">
      <alignment horizontal="center"/>
    </xf>
    <xf numFmtId="0" fontId="138" fillId="0" borderId="30" xfId="827" applyFont="1" applyBorder="1" applyAlignment="1">
      <alignment horizontal="center" vertical="center"/>
    </xf>
    <xf numFmtId="0" fontId="125" fillId="0" borderId="30" xfId="827" applyFont="1" applyBorder="1" applyAlignment="1">
      <alignment horizontal="center" vertical="center"/>
    </xf>
    <xf numFmtId="0" fontId="125" fillId="0" borderId="25" xfId="827" applyFont="1" applyBorder="1" applyAlignment="1">
      <alignment horizontal="center" vertical="center"/>
    </xf>
    <xf numFmtId="0" fontId="154" fillId="0" borderId="35" xfId="827" applyFont="1" applyBorder="1" applyAlignment="1">
      <alignment horizontal="center" vertical="center"/>
    </xf>
    <xf numFmtId="168" fontId="125" fillId="0" borderId="40" xfId="213" applyNumberFormat="1" applyFont="1" applyBorder="1" applyAlignment="1">
      <alignment horizontal="right" vertical="center" indent="1"/>
    </xf>
    <xf numFmtId="168" fontId="170" fillId="0" borderId="40" xfId="213" applyNumberFormat="1" applyFont="1" applyBorder="1" applyAlignment="1">
      <alignment horizontal="right" vertical="center" indent="1"/>
    </xf>
    <xf numFmtId="0" fontId="125" fillId="0" borderId="31" xfId="827" applyFont="1" applyBorder="1" applyAlignment="1">
      <alignment horizontal="center"/>
    </xf>
    <xf numFmtId="0" fontId="19" fillId="0" borderId="26" xfId="827" applyFont="1" applyBorder="1" applyAlignment="1">
      <alignment horizontal="center"/>
    </xf>
    <xf numFmtId="0" fontId="19" fillId="0" borderId="31" xfId="827" applyFont="1" applyBorder="1" applyAlignment="1">
      <alignment horizontal="center"/>
    </xf>
    <xf numFmtId="0" fontId="138" fillId="0" borderId="31" xfId="827" applyFont="1" applyBorder="1" applyAlignment="1">
      <alignment horizontal="center" vertical="center"/>
    </xf>
    <xf numFmtId="0" fontId="125" fillId="0" borderId="31" xfId="827" applyFont="1" applyBorder="1" applyAlignment="1">
      <alignment horizontal="center" vertical="center"/>
    </xf>
    <xf numFmtId="0" fontId="125" fillId="0" borderId="26" xfId="827" applyFont="1" applyBorder="1" applyAlignment="1">
      <alignment horizontal="center" vertical="center"/>
    </xf>
    <xf numFmtId="0" fontId="154" fillId="0" borderId="31" xfId="827" applyFont="1" applyBorder="1" applyAlignment="1">
      <alignment horizontal="center" vertical="center"/>
    </xf>
    <xf numFmtId="0" fontId="125" fillId="0" borderId="36" xfId="827" applyFont="1" applyBorder="1" applyAlignment="1">
      <alignment horizontal="center" vertical="center"/>
    </xf>
    <xf numFmtId="168" fontId="125" fillId="0" borderId="41" xfId="213" applyNumberFormat="1" applyFont="1" applyBorder="1" applyAlignment="1">
      <alignment horizontal="right" vertical="center" indent="1"/>
    </xf>
    <xf numFmtId="168" fontId="170" fillId="0" borderId="41" xfId="213" applyNumberFormat="1" applyFont="1" applyBorder="1" applyAlignment="1">
      <alignment horizontal="right" vertical="center" indent="1"/>
    </xf>
    <xf numFmtId="0" fontId="125" fillId="0" borderId="32" xfId="827" applyFont="1" applyBorder="1" applyAlignment="1">
      <alignment horizontal="center"/>
    </xf>
    <xf numFmtId="0" fontId="19" fillId="0" borderId="27" xfId="827" applyFont="1" applyBorder="1" applyAlignment="1">
      <alignment horizontal="center"/>
    </xf>
    <xf numFmtId="0" fontId="19" fillId="0" borderId="32" xfId="827" applyFont="1" applyBorder="1" applyAlignment="1">
      <alignment horizontal="center"/>
    </xf>
    <xf numFmtId="0" fontId="138" fillId="0" borderId="32" xfId="827" applyFont="1" applyBorder="1" applyAlignment="1">
      <alignment horizontal="center" vertical="center"/>
    </xf>
    <xf numFmtId="0" fontId="125" fillId="0" borderId="32" xfId="827" applyFont="1" applyBorder="1" applyAlignment="1">
      <alignment horizontal="center" vertical="center"/>
    </xf>
    <xf numFmtId="0" fontId="125" fillId="0" borderId="27" xfId="827" applyFont="1" applyBorder="1" applyAlignment="1">
      <alignment horizontal="center" vertical="center"/>
    </xf>
    <xf numFmtId="0" fontId="125" fillId="0" borderId="37" xfId="827" applyFont="1" applyBorder="1" applyAlignment="1">
      <alignment horizontal="center" vertical="center"/>
    </xf>
    <xf numFmtId="168" fontId="125" fillId="0" borderId="42" xfId="213" applyNumberFormat="1" applyFont="1" applyBorder="1" applyAlignment="1">
      <alignment horizontal="right" vertical="center" indent="1"/>
    </xf>
    <xf numFmtId="168" fontId="170" fillId="0" borderId="42" xfId="213" applyNumberFormat="1" applyFont="1" applyBorder="1" applyAlignment="1">
      <alignment horizontal="right" vertical="center" indent="1"/>
    </xf>
    <xf numFmtId="0" fontId="138" fillId="23" borderId="18" xfId="827" applyFont="1" applyFill="1" applyBorder="1" applyAlignment="1">
      <alignment horizontal="center"/>
    </xf>
    <xf numFmtId="0" fontId="138" fillId="23" borderId="18" xfId="827" applyFont="1" applyFill="1" applyBorder="1" applyAlignment="1">
      <alignment horizontal="center" vertical="center"/>
    </xf>
    <xf numFmtId="0" fontId="138" fillId="23" borderId="13" xfId="827" applyFont="1" applyFill="1" applyBorder="1" applyAlignment="1">
      <alignment horizontal="center" vertical="center"/>
    </xf>
    <xf numFmtId="0" fontId="138" fillId="23" borderId="10" xfId="827" applyFont="1" applyFill="1" applyBorder="1" applyAlignment="1">
      <alignment horizontal="center" vertical="center"/>
    </xf>
    <xf numFmtId="168" fontId="138" fillId="23" borderId="18" xfId="213" applyNumberFormat="1" applyFont="1" applyFill="1" applyBorder="1" applyAlignment="1">
      <alignment horizontal="right" vertical="center" indent="1"/>
    </xf>
    <xf numFmtId="168" fontId="254" fillId="23" borderId="18" xfId="213" applyNumberFormat="1" applyFont="1" applyFill="1" applyBorder="1" applyAlignment="1">
      <alignment horizontal="right" vertical="center" indent="1"/>
    </xf>
    <xf numFmtId="0" fontId="127" fillId="0" borderId="0" xfId="827" applyFont="1" applyBorder="1" applyAlignment="1">
      <alignment horizontal="center" vertical="center"/>
    </xf>
    <xf numFmtId="0" fontId="125" fillId="0" borderId="35" xfId="827" applyFont="1" applyBorder="1" applyAlignment="1">
      <alignment horizontal="center" vertical="center"/>
    </xf>
    <xf numFmtId="0" fontId="138" fillId="0" borderId="0" xfId="827" applyFont="1"/>
    <xf numFmtId="0" fontId="120" fillId="0" borderId="0" xfId="827" applyFont="1"/>
    <xf numFmtId="0" fontId="169" fillId="0" borderId="0" xfId="827" applyFont="1" applyAlignment="1">
      <alignment horizontal="right" indent="1"/>
    </xf>
    <xf numFmtId="0" fontId="117" fillId="0" borderId="25" xfId="827" applyFont="1" applyBorder="1" applyAlignment="1">
      <alignment horizontal="center" vertical="center"/>
    </xf>
    <xf numFmtId="3" fontId="138" fillId="0" borderId="0" xfId="827" applyNumberFormat="1" applyFont="1" applyAlignment="1">
      <alignment horizontal="center"/>
    </xf>
    <xf numFmtId="3" fontId="125" fillId="0" borderId="0" xfId="827" applyNumberFormat="1" applyFont="1" applyAlignment="1">
      <alignment horizontal="center"/>
    </xf>
    <xf numFmtId="0" fontId="19" fillId="0" borderId="0" xfId="827" applyFont="1" applyAlignment="1">
      <alignment horizontal="center"/>
    </xf>
    <xf numFmtId="0" fontId="138" fillId="0" borderId="0" xfId="827" applyFont="1" applyAlignment="1">
      <alignment horizontal="center" vertical="center"/>
    </xf>
    <xf numFmtId="0" fontId="125" fillId="0" borderId="0" xfId="827" applyFont="1" applyAlignment="1">
      <alignment horizontal="center" vertical="center"/>
    </xf>
    <xf numFmtId="168" fontId="125" fillId="0" borderId="0" xfId="213" applyNumberFormat="1" applyFont="1" applyAlignment="1">
      <alignment horizontal="center" vertical="center"/>
    </xf>
    <xf numFmtId="168" fontId="138" fillId="0" borderId="0" xfId="213" applyNumberFormat="1" applyFont="1" applyAlignment="1">
      <alignment horizontal="center" vertical="center"/>
    </xf>
    <xf numFmtId="168" fontId="125" fillId="0" borderId="0" xfId="213" applyNumberFormat="1" applyFont="1" applyAlignment="1">
      <alignment horizontal="right" vertical="center" indent="1"/>
    </xf>
    <xf numFmtId="168" fontId="170" fillId="0" borderId="0" xfId="213" applyNumberFormat="1" applyFont="1" applyAlignment="1">
      <alignment horizontal="right" vertical="center" indent="1"/>
    </xf>
    <xf numFmtId="0" fontId="252" fillId="0" borderId="0" xfId="827" applyFont="1" applyBorder="1" applyAlignment="1">
      <alignment horizontal="center" vertical="center"/>
    </xf>
    <xf numFmtId="0" fontId="255" fillId="0" borderId="0" xfId="827" applyFont="1" applyBorder="1" applyAlignment="1">
      <alignment horizontal="right" vertical="center" indent="1"/>
    </xf>
    <xf numFmtId="0" fontId="256" fillId="0" borderId="0" xfId="827" applyFont="1" applyBorder="1" applyAlignment="1">
      <alignment horizontal="center" vertical="center"/>
    </xf>
    <xf numFmtId="168" fontId="125" fillId="0" borderId="0" xfId="827" applyNumberFormat="1" applyFont="1" applyAlignment="1">
      <alignment horizontal="center"/>
    </xf>
    <xf numFmtId="0" fontId="19" fillId="0" borderId="10" xfId="827" applyBorder="1" applyAlignment="1">
      <alignment horizontal="center" vertical="center"/>
    </xf>
    <xf numFmtId="0" fontId="19" fillId="0" borderId="18" xfId="827" applyBorder="1" applyAlignment="1">
      <alignment horizontal="center" vertical="center"/>
    </xf>
    <xf numFmtId="0" fontId="120" fillId="23" borderId="18" xfId="827" applyFont="1" applyFill="1" applyBorder="1" applyAlignment="1">
      <alignment horizontal="center" vertical="center"/>
    </xf>
    <xf numFmtId="0" fontId="116" fillId="23" borderId="171" xfId="827" applyFont="1" applyFill="1" applyBorder="1" applyAlignment="1">
      <alignment horizontal="center"/>
    </xf>
    <xf numFmtId="0" fontId="89" fillId="0" borderId="0" xfId="827" applyFont="1" applyAlignment="1">
      <alignment horizontal="center"/>
    </xf>
    <xf numFmtId="0" fontId="19" fillId="0" borderId="27" xfId="827" applyFont="1" applyBorder="1" applyAlignment="1">
      <alignment horizontal="center" vertical="center"/>
    </xf>
    <xf numFmtId="0" fontId="19" fillId="0" borderId="32" xfId="827" applyFont="1" applyBorder="1" applyAlignment="1">
      <alignment horizontal="center" vertical="center"/>
    </xf>
    <xf numFmtId="0" fontId="19" fillId="0" borderId="0" xfId="827" applyFont="1" applyAlignment="1">
      <alignment vertical="center"/>
    </xf>
    <xf numFmtId="168" fontId="125" fillId="0" borderId="42" xfId="213" applyNumberFormat="1" applyFont="1" applyBorder="1" applyAlignment="1">
      <alignment horizontal="right" vertical="center"/>
    </xf>
    <xf numFmtId="168" fontId="170" fillId="0" borderId="42" xfId="213" applyNumberFormat="1" applyFont="1" applyBorder="1" applyAlignment="1">
      <alignment horizontal="right" vertical="center"/>
    </xf>
    <xf numFmtId="168" fontId="138" fillId="23" borderId="18" xfId="213" applyNumberFormat="1" applyFont="1" applyFill="1" applyBorder="1" applyAlignment="1">
      <alignment horizontal="right" vertical="center"/>
    </xf>
    <xf numFmtId="168" fontId="254" fillId="23" borderId="18" xfId="213" applyNumberFormat="1" applyFont="1" applyFill="1" applyBorder="1" applyAlignment="1">
      <alignment horizontal="right" vertical="center"/>
    </xf>
    <xf numFmtId="0" fontId="19" fillId="0" borderId="25" xfId="827" applyFont="1" applyBorder="1" applyAlignment="1">
      <alignment horizontal="center" vertical="center"/>
    </xf>
    <xf numFmtId="0" fontId="19" fillId="0" borderId="30" xfId="827" applyFont="1" applyBorder="1" applyAlignment="1">
      <alignment horizontal="center" vertical="center"/>
    </xf>
    <xf numFmtId="168" fontId="125" fillId="0" borderId="40" xfId="213" applyNumberFormat="1" applyFont="1" applyBorder="1" applyAlignment="1">
      <alignment horizontal="right" vertical="center"/>
    </xf>
    <xf numFmtId="168" fontId="170" fillId="0" borderId="40" xfId="213" applyNumberFormat="1" applyFont="1" applyBorder="1" applyAlignment="1">
      <alignment horizontal="right" vertical="center"/>
    </xf>
    <xf numFmtId="0" fontId="19" fillId="0" borderId="26" xfId="827" applyFont="1" applyBorder="1" applyAlignment="1">
      <alignment horizontal="center" vertical="center"/>
    </xf>
    <xf numFmtId="0" fontId="19" fillId="0" borderId="31" xfId="827" applyFont="1" applyBorder="1" applyAlignment="1">
      <alignment horizontal="center" vertical="center"/>
    </xf>
    <xf numFmtId="168" fontId="125" fillId="0" borderId="41" xfId="213" applyNumberFormat="1" applyFont="1" applyBorder="1" applyAlignment="1">
      <alignment horizontal="right" vertical="center"/>
    </xf>
    <xf numFmtId="168" fontId="170" fillId="0" borderId="41" xfId="213" applyNumberFormat="1" applyFont="1" applyBorder="1" applyAlignment="1">
      <alignment horizontal="right" vertical="center"/>
    </xf>
    <xf numFmtId="0" fontId="117" fillId="0" borderId="23" xfId="826" applyFont="1" applyFill="1" applyBorder="1" applyAlignment="1">
      <alignment horizontal="center" vertical="center"/>
    </xf>
    <xf numFmtId="0" fontId="117" fillId="0" borderId="22" xfId="826" applyFont="1" applyFill="1" applyBorder="1" applyAlignment="1">
      <alignment horizontal="center" vertical="center" wrapText="1"/>
    </xf>
    <xf numFmtId="0" fontId="125" fillId="0" borderId="41" xfId="826" applyFont="1" applyFill="1" applyBorder="1" applyAlignment="1">
      <alignment horizontal="left" vertical="center" indent="1"/>
    </xf>
    <xf numFmtId="0" fontId="117" fillId="0" borderId="43" xfId="826" applyFont="1" applyFill="1" applyBorder="1" applyAlignment="1">
      <alignment horizontal="center" vertical="center" wrapText="1"/>
    </xf>
    <xf numFmtId="0" fontId="257" fillId="0" borderId="41" xfId="826" applyFont="1" applyFill="1" applyBorder="1" applyAlignment="1">
      <alignment horizontal="center" vertical="center" wrapText="1"/>
    </xf>
    <xf numFmtId="0" fontId="191" fillId="0" borderId="41" xfId="826" applyFont="1" applyFill="1" applyBorder="1" applyAlignment="1">
      <alignment horizontal="center" vertical="center"/>
    </xf>
    <xf numFmtId="0" fontId="247" fillId="0" borderId="41" xfId="826" applyFont="1" applyFill="1" applyBorder="1" applyAlignment="1">
      <alignment horizontal="center" vertical="center"/>
    </xf>
    <xf numFmtId="0" fontId="117" fillId="0" borderId="32" xfId="826" applyFont="1" applyFill="1" applyBorder="1" applyAlignment="1">
      <alignment horizontal="center" vertical="center" wrapText="1"/>
    </xf>
    <xf numFmtId="0" fontId="117" fillId="0" borderId="42" xfId="826" applyFont="1" applyFill="1" applyBorder="1" applyAlignment="1">
      <alignment horizontal="center" vertical="center" wrapText="1"/>
    </xf>
    <xf numFmtId="0" fontId="117" fillId="0" borderId="38" xfId="826" applyFont="1" applyFill="1" applyBorder="1" applyAlignment="1">
      <alignment horizontal="left" vertical="center" indent="1"/>
    </xf>
    <xf numFmtId="0" fontId="117" fillId="0" borderId="36" xfId="826" applyFont="1" applyFill="1" applyBorder="1" applyAlignment="1">
      <alignment horizontal="left" vertical="center" indent="1"/>
    </xf>
    <xf numFmtId="0" fontId="257" fillId="0" borderId="31" xfId="826" applyFont="1" applyFill="1" applyBorder="1" applyAlignment="1">
      <alignment horizontal="center" vertical="center"/>
    </xf>
    <xf numFmtId="0" fontId="117" fillId="0" borderId="32" xfId="826" applyFont="1" applyFill="1" applyBorder="1" applyAlignment="1">
      <alignment horizontal="left" vertical="center" indent="1"/>
    </xf>
    <xf numFmtId="0" fontId="258" fillId="0" borderId="41" xfId="826" applyFont="1" applyFill="1" applyBorder="1" applyAlignment="1">
      <alignment horizontal="center" vertical="center" wrapText="1"/>
    </xf>
    <xf numFmtId="0" fontId="117" fillId="0" borderId="40" xfId="826" applyFont="1" applyFill="1" applyBorder="1" applyAlignment="1">
      <alignment horizontal="left" vertical="center" wrapText="1" indent="1"/>
    </xf>
    <xf numFmtId="0" fontId="117" fillId="0" borderId="30" xfId="826" applyFont="1" applyFill="1" applyBorder="1" applyAlignment="1">
      <alignment horizontal="left" vertical="center" wrapText="1" indent="1"/>
    </xf>
    <xf numFmtId="0" fontId="117" fillId="0" borderId="41" xfId="826" applyFont="1" applyFill="1" applyBorder="1" applyAlignment="1">
      <alignment horizontal="left" vertical="center" wrapText="1" indent="1"/>
    </xf>
    <xf numFmtId="0" fontId="258" fillId="0" borderId="41" xfId="826" applyFont="1" applyFill="1" applyBorder="1" applyAlignment="1">
      <alignment horizontal="center" vertical="center"/>
    </xf>
    <xf numFmtId="0" fontId="117" fillId="0" borderId="40" xfId="826" applyFont="1" applyFill="1" applyBorder="1" applyAlignment="1">
      <alignment horizontal="center" vertical="center" wrapText="1"/>
    </xf>
    <xf numFmtId="0" fontId="180" fillId="0" borderId="0" xfId="827" applyFont="1"/>
    <xf numFmtId="168" fontId="90" fillId="23" borderId="18" xfId="57" applyNumberFormat="1" applyFont="1" applyFill="1" applyBorder="1" applyAlignment="1">
      <alignment horizontal="right" vertical="center" indent="1"/>
    </xf>
    <xf numFmtId="168" fontId="89" fillId="0" borderId="0" xfId="57" applyNumberFormat="1" applyFont="1" applyAlignment="1">
      <alignment horizontal="right" vertical="center" indent="1"/>
    </xf>
    <xf numFmtId="168" fontId="89" fillId="0" borderId="0" xfId="57" applyNumberFormat="1" applyFont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8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90" fillId="23" borderId="10" xfId="0" applyFont="1" applyFill="1" applyBorder="1" applyAlignment="1">
      <alignment horizontal="center" vertical="center"/>
    </xf>
    <xf numFmtId="0" fontId="90" fillId="23" borderId="13" xfId="0" applyFont="1" applyFill="1" applyBorder="1" applyAlignment="1">
      <alignment horizontal="center" vertical="center"/>
    </xf>
    <xf numFmtId="0" fontId="0" fillId="0" borderId="0" xfId="0" applyAlignment="1">
      <alignment horizontal="right" indent="1"/>
    </xf>
    <xf numFmtId="0" fontId="238" fillId="23" borderId="18" xfId="0" applyFont="1" applyFill="1" applyBorder="1" applyAlignment="1">
      <alignment horizontal="center" vertical="center" wrapText="1"/>
    </xf>
    <xf numFmtId="0" fontId="90" fillId="0" borderId="23" xfId="827" applyFont="1" applyFill="1" applyBorder="1" applyAlignment="1">
      <alignment horizontal="center" vertical="center" wrapText="1"/>
    </xf>
    <xf numFmtId="0" fontId="238" fillId="23" borderId="23" xfId="827" applyFont="1" applyFill="1" applyBorder="1" applyAlignment="1">
      <alignment horizontal="center" vertical="center" wrapText="1"/>
    </xf>
    <xf numFmtId="0" fontId="90" fillId="23" borderId="18" xfId="0" applyFont="1" applyFill="1" applyBorder="1" applyAlignment="1">
      <alignment horizontal="center" vertical="center"/>
    </xf>
    <xf numFmtId="0" fontId="92" fillId="0" borderId="0" xfId="827" applyFont="1"/>
    <xf numFmtId="168" fontId="90" fillId="23" borderId="18" xfId="213" applyNumberFormat="1" applyFont="1" applyFill="1" applyBorder="1" applyAlignment="1">
      <alignment horizontal="right" vertical="center" indent="1"/>
    </xf>
    <xf numFmtId="0" fontId="90" fillId="23" borderId="18" xfId="827" applyFont="1" applyFill="1" applyBorder="1" applyAlignment="1">
      <alignment horizontal="center"/>
    </xf>
    <xf numFmtId="168" fontId="89" fillId="0" borderId="0" xfId="213" applyNumberFormat="1" applyFont="1" applyAlignment="1">
      <alignment horizontal="right" vertical="center" indent="1"/>
    </xf>
    <xf numFmtId="168" fontId="90" fillId="0" borderId="0" xfId="213" applyNumberFormat="1" applyFont="1" applyAlignment="1">
      <alignment horizontal="center" vertical="center"/>
    </xf>
    <xf numFmtId="168" fontId="89" fillId="0" borderId="0" xfId="213" applyNumberFormat="1" applyFont="1" applyAlignment="1">
      <alignment horizontal="center" vertical="center"/>
    </xf>
    <xf numFmtId="0" fontId="89" fillId="0" borderId="0" xfId="827" applyFont="1" applyAlignment="1">
      <alignment horizontal="center" vertical="center"/>
    </xf>
    <xf numFmtId="0" fontId="90" fillId="0" borderId="0" xfId="827" applyFont="1" applyAlignment="1">
      <alignment horizontal="center" vertical="center"/>
    </xf>
    <xf numFmtId="0" fontId="260" fillId="0" borderId="0" xfId="827" applyFont="1" applyAlignment="1">
      <alignment horizontal="center"/>
    </xf>
    <xf numFmtId="3" fontId="89" fillId="0" borderId="0" xfId="827" applyNumberFormat="1" applyFont="1" applyAlignment="1">
      <alignment horizontal="center"/>
    </xf>
    <xf numFmtId="0" fontId="90" fillId="23" borderId="13" xfId="827" applyFont="1" applyFill="1" applyBorder="1" applyAlignment="1">
      <alignment horizontal="center" vertical="center"/>
    </xf>
    <xf numFmtId="168" fontId="89" fillId="0" borderId="42" xfId="213" applyNumberFormat="1" applyFont="1" applyBorder="1" applyAlignment="1">
      <alignment horizontal="right" vertical="center" indent="1"/>
    </xf>
    <xf numFmtId="0" fontId="90" fillId="0" borderId="32" xfId="827" applyFont="1" applyBorder="1" applyAlignment="1">
      <alignment horizontal="center" vertical="center"/>
    </xf>
    <xf numFmtId="0" fontId="89" fillId="0" borderId="37" xfId="827" applyFont="1" applyBorder="1" applyAlignment="1">
      <alignment horizontal="center" vertical="center"/>
    </xf>
    <xf numFmtId="0" fontId="89" fillId="0" borderId="32" xfId="827" applyFont="1" applyBorder="1" applyAlignment="1">
      <alignment horizontal="center" vertical="center"/>
    </xf>
    <xf numFmtId="0" fontId="89" fillId="0" borderId="27" xfId="827" applyFont="1" applyBorder="1" applyAlignment="1">
      <alignment horizontal="center" vertical="center"/>
    </xf>
    <xf numFmtId="0" fontId="260" fillId="0" borderId="32" xfId="827" applyFont="1" applyBorder="1" applyAlignment="1">
      <alignment horizontal="center"/>
    </xf>
    <xf numFmtId="0" fontId="260" fillId="0" borderId="27" xfId="827" applyFont="1" applyBorder="1" applyAlignment="1">
      <alignment horizontal="center"/>
    </xf>
    <xf numFmtId="0" fontId="89" fillId="0" borderId="32" xfId="827" applyFont="1" applyBorder="1" applyAlignment="1">
      <alignment horizontal="center"/>
    </xf>
    <xf numFmtId="168" fontId="89" fillId="0" borderId="41" xfId="213" applyNumberFormat="1" applyFont="1" applyBorder="1" applyAlignment="1">
      <alignment horizontal="right" vertical="center" indent="1"/>
    </xf>
    <xf numFmtId="0" fontId="90" fillId="0" borderId="31" xfId="827" applyFont="1" applyBorder="1" applyAlignment="1">
      <alignment horizontal="center" vertical="center"/>
    </xf>
    <xf numFmtId="0" fontId="89" fillId="0" borderId="36" xfId="827" applyFont="1" applyBorder="1" applyAlignment="1">
      <alignment horizontal="center" vertical="center"/>
    </xf>
    <xf numFmtId="0" fontId="89" fillId="0" borderId="31" xfId="827" applyFont="1" applyBorder="1" applyAlignment="1">
      <alignment horizontal="center" vertical="center"/>
    </xf>
    <xf numFmtId="0" fontId="89" fillId="0" borderId="26" xfId="827" applyFont="1" applyBorder="1" applyAlignment="1">
      <alignment horizontal="center" vertical="center"/>
    </xf>
    <xf numFmtId="0" fontId="260" fillId="0" borderId="31" xfId="827" applyFont="1" applyBorder="1" applyAlignment="1">
      <alignment horizontal="center"/>
    </xf>
    <xf numFmtId="0" fontId="260" fillId="0" borderId="26" xfId="827" applyFont="1" applyBorder="1" applyAlignment="1">
      <alignment horizontal="center"/>
    </xf>
    <xf numFmtId="0" fontId="89" fillId="0" borderId="31" xfId="827" applyFont="1" applyBorder="1" applyAlignment="1">
      <alignment horizontal="center"/>
    </xf>
    <xf numFmtId="168" fontId="89" fillId="0" borderId="40" xfId="213" applyNumberFormat="1" applyFont="1" applyBorder="1" applyAlignment="1">
      <alignment horizontal="right" vertical="center" indent="1"/>
    </xf>
    <xf numFmtId="0" fontId="90" fillId="0" borderId="30" xfId="827" applyFont="1" applyBorder="1" applyAlignment="1">
      <alignment horizontal="center" vertical="center"/>
    </xf>
    <xf numFmtId="0" fontId="89" fillId="0" borderId="35" xfId="827" applyFont="1" applyBorder="1" applyAlignment="1">
      <alignment horizontal="center" vertical="center"/>
    </xf>
    <xf numFmtId="0" fontId="89" fillId="0" borderId="30" xfId="827" applyFont="1" applyBorder="1" applyAlignment="1">
      <alignment horizontal="center" vertical="center"/>
    </xf>
    <xf numFmtId="0" fontId="89" fillId="0" borderId="25" xfId="827" applyFont="1" applyBorder="1" applyAlignment="1">
      <alignment horizontal="center" vertical="center"/>
    </xf>
    <xf numFmtId="0" fontId="260" fillId="0" borderId="30" xfId="827" applyFont="1" applyBorder="1" applyAlignment="1">
      <alignment horizontal="center"/>
    </xf>
    <xf numFmtId="0" fontId="260" fillId="0" borderId="25" xfId="827" applyFont="1" applyBorder="1" applyAlignment="1">
      <alignment horizontal="center"/>
    </xf>
    <xf numFmtId="0" fontId="89" fillId="0" borderId="30" xfId="827" applyFont="1" applyBorder="1" applyAlignment="1">
      <alignment horizontal="center"/>
    </xf>
    <xf numFmtId="0" fontId="90" fillId="0" borderId="0" xfId="827" applyFont="1"/>
    <xf numFmtId="3" fontId="90" fillId="0" borderId="0" xfId="827" applyNumberFormat="1" applyFont="1" applyAlignment="1">
      <alignment horizontal="center"/>
    </xf>
    <xf numFmtId="0" fontId="90" fillId="23" borderId="10" xfId="827" applyFont="1" applyFill="1" applyBorder="1" applyAlignment="1">
      <alignment horizontal="center" vertical="center"/>
    </xf>
    <xf numFmtId="0" fontId="89" fillId="0" borderId="0" xfId="827" applyFont="1"/>
    <xf numFmtId="0" fontId="90" fillId="23" borderId="18" xfId="827" applyFont="1" applyFill="1" applyBorder="1" applyAlignment="1">
      <alignment horizontal="center" vertical="center" wrapText="1"/>
    </xf>
    <xf numFmtId="0" fontId="90" fillId="0" borderId="18" xfId="827" applyFont="1" applyFill="1" applyBorder="1" applyAlignment="1">
      <alignment horizontal="center" vertical="center" wrapText="1"/>
    </xf>
    <xf numFmtId="0" fontId="238" fillId="23" borderId="18" xfId="827" applyFont="1" applyFill="1" applyBorder="1" applyAlignment="1">
      <alignment horizontal="center" vertical="center" wrapText="1"/>
    </xf>
    <xf numFmtId="0" fontId="90" fillId="23" borderId="18" xfId="827" applyFont="1" applyFill="1" applyBorder="1" applyAlignment="1">
      <alignment horizontal="center" vertical="center"/>
    </xf>
    <xf numFmtId="0" fontId="138" fillId="0" borderId="0" xfId="827" applyFont="1" applyAlignment="1">
      <alignment vertical="center"/>
    </xf>
    <xf numFmtId="0" fontId="120" fillId="0" borderId="0" xfId="827" applyFont="1" applyAlignment="1">
      <alignment vertical="center"/>
    </xf>
    <xf numFmtId="0" fontId="260" fillId="0" borderId="25" xfId="827" applyFont="1" applyBorder="1" applyAlignment="1">
      <alignment horizontal="center" vertical="center"/>
    </xf>
    <xf numFmtId="0" fontId="260" fillId="0" borderId="30" xfId="827" applyFont="1" applyBorder="1" applyAlignment="1">
      <alignment horizontal="center" vertical="center"/>
    </xf>
    <xf numFmtId="0" fontId="19" fillId="0" borderId="0" xfId="827" applyAlignment="1">
      <alignment vertical="center"/>
    </xf>
    <xf numFmtId="0" fontId="260" fillId="0" borderId="26" xfId="827" applyFont="1" applyBorder="1" applyAlignment="1">
      <alignment horizontal="center" vertical="center"/>
    </xf>
    <xf numFmtId="0" fontId="260" fillId="0" borderId="31" xfId="827" applyFont="1" applyBorder="1" applyAlignment="1">
      <alignment horizontal="center" vertical="center"/>
    </xf>
    <xf numFmtId="0" fontId="260" fillId="0" borderId="27" xfId="827" applyFont="1" applyBorder="1" applyAlignment="1">
      <alignment horizontal="center" vertical="center"/>
    </xf>
    <xf numFmtId="0" fontId="260" fillId="0" borderId="32" xfId="827" applyFont="1" applyBorder="1" applyAlignment="1">
      <alignment horizontal="center" vertical="center"/>
    </xf>
    <xf numFmtId="0" fontId="88" fillId="23" borderId="18" xfId="0" applyFont="1" applyFill="1" applyBorder="1" applyAlignment="1">
      <alignment horizontal="center" vertical="center"/>
    </xf>
    <xf numFmtId="0" fontId="88" fillId="0" borderId="0" xfId="0" applyFont="1" applyAlignment="1">
      <alignment horizontal="center" vertical="center"/>
    </xf>
    <xf numFmtId="3" fontId="89" fillId="0" borderId="0" xfId="0" applyNumberFormat="1" applyFont="1" applyAlignment="1">
      <alignment horizontal="center" vertical="center"/>
    </xf>
    <xf numFmtId="0" fontId="89" fillId="0" borderId="172" xfId="0" applyFont="1" applyBorder="1" applyAlignment="1">
      <alignment horizontal="center" vertical="center"/>
    </xf>
    <xf numFmtId="0" fontId="0" fillId="0" borderId="173" xfId="0" applyBorder="1" applyAlignment="1">
      <alignment horizontal="center" vertical="center"/>
    </xf>
    <xf numFmtId="0" fontId="0" fillId="0" borderId="172" xfId="0" applyBorder="1" applyAlignment="1">
      <alignment horizontal="center" vertical="center"/>
    </xf>
    <xf numFmtId="0" fontId="0" fillId="0" borderId="174" xfId="0" applyBorder="1" applyAlignment="1">
      <alignment horizontal="center" vertical="center"/>
    </xf>
    <xf numFmtId="0" fontId="88" fillId="0" borderId="172" xfId="0" applyFont="1" applyBorder="1" applyAlignment="1">
      <alignment horizontal="center" vertical="center"/>
    </xf>
    <xf numFmtId="0" fontId="89" fillId="0" borderId="173" xfId="0" applyFont="1" applyBorder="1" applyAlignment="1">
      <alignment horizontal="center" vertical="center"/>
    </xf>
    <xf numFmtId="0" fontId="89" fillId="0" borderId="174" xfId="0" applyFont="1" applyBorder="1" applyAlignment="1">
      <alignment horizontal="center" vertical="center"/>
    </xf>
    <xf numFmtId="168" fontId="89" fillId="0" borderId="175" xfId="57" applyNumberFormat="1" applyFont="1" applyBorder="1" applyAlignment="1">
      <alignment horizontal="right" vertical="center" indent="1"/>
    </xf>
    <xf numFmtId="0" fontId="89" fillId="0" borderId="176" xfId="0" applyFont="1" applyBorder="1" applyAlignment="1">
      <alignment horizontal="center" vertical="center"/>
    </xf>
    <xf numFmtId="0" fontId="0" fillId="0" borderId="177" xfId="0" applyBorder="1" applyAlignment="1">
      <alignment horizontal="center" vertical="center"/>
    </xf>
    <xf numFmtId="0" fontId="0" fillId="0" borderId="176" xfId="0" applyBorder="1" applyAlignment="1">
      <alignment horizontal="center" vertical="center"/>
    </xf>
    <xf numFmtId="0" fontId="0" fillId="0" borderId="178" xfId="0" applyBorder="1" applyAlignment="1">
      <alignment horizontal="center" vertical="center"/>
    </xf>
    <xf numFmtId="0" fontId="88" fillId="0" borderId="176" xfId="0" applyFont="1" applyBorder="1" applyAlignment="1">
      <alignment horizontal="center" vertical="center"/>
    </xf>
    <xf numFmtId="0" fontId="89" fillId="0" borderId="177" xfId="0" applyFont="1" applyBorder="1" applyAlignment="1">
      <alignment horizontal="center" vertical="center"/>
    </xf>
    <xf numFmtId="0" fontId="89" fillId="0" borderId="178" xfId="0" applyFont="1" applyBorder="1" applyAlignment="1">
      <alignment horizontal="center" vertical="center"/>
    </xf>
    <xf numFmtId="168" fontId="89" fillId="0" borderId="179" xfId="57" applyNumberFormat="1" applyFont="1" applyBorder="1" applyAlignment="1">
      <alignment horizontal="right" vertical="center" indent="1"/>
    </xf>
    <xf numFmtId="0" fontId="89" fillId="0" borderId="180" xfId="0" applyFont="1" applyBorder="1" applyAlignment="1">
      <alignment horizontal="center" vertical="center"/>
    </xf>
    <xf numFmtId="0" fontId="0" fillId="0" borderId="181" xfId="0" applyBorder="1" applyAlignment="1">
      <alignment horizontal="center" vertical="center"/>
    </xf>
    <xf numFmtId="0" fontId="0" fillId="0" borderId="180" xfId="0" applyBorder="1" applyAlignment="1">
      <alignment horizontal="center" vertical="center"/>
    </xf>
    <xf numFmtId="0" fontId="0" fillId="0" borderId="182" xfId="0" applyBorder="1" applyAlignment="1">
      <alignment horizontal="center" vertical="center"/>
    </xf>
    <xf numFmtId="0" fontId="88" fillId="0" borderId="180" xfId="0" applyFont="1" applyBorder="1" applyAlignment="1">
      <alignment horizontal="center" vertical="center"/>
    </xf>
    <xf numFmtId="0" fontId="89" fillId="0" borderId="181" xfId="0" applyFont="1" applyBorder="1" applyAlignment="1">
      <alignment horizontal="center" vertical="center"/>
    </xf>
    <xf numFmtId="0" fontId="89" fillId="0" borderId="182" xfId="0" applyFont="1" applyBorder="1" applyAlignment="1">
      <alignment horizontal="center" vertical="center"/>
    </xf>
    <xf numFmtId="168" fontId="89" fillId="0" borderId="183" xfId="57" applyNumberFormat="1" applyFont="1" applyBorder="1" applyAlignment="1">
      <alignment horizontal="right" vertical="center" indent="1"/>
    </xf>
    <xf numFmtId="168" fontId="90" fillId="23" borderId="18" xfId="57" applyNumberFormat="1" applyFont="1" applyFill="1" applyBorder="1" applyAlignment="1">
      <alignment horizontal="right" vertical="center"/>
    </xf>
    <xf numFmtId="0" fontId="117" fillId="0" borderId="30" xfId="374" applyFont="1" applyBorder="1" applyAlignment="1">
      <alignment horizontal="left" vertical="center" wrapText="1"/>
    </xf>
    <xf numFmtId="3" fontId="117" fillId="0" borderId="25" xfId="374" applyNumberFormat="1" applyFont="1" applyBorder="1" applyAlignment="1">
      <alignment horizontal="right" vertical="center" wrapText="1" indent="1"/>
    </xf>
    <xf numFmtId="3" fontId="117" fillId="0" borderId="40" xfId="374" applyNumberFormat="1" applyFont="1" applyBorder="1" applyAlignment="1">
      <alignment horizontal="right" vertical="center" wrapText="1" indent="1"/>
    </xf>
    <xf numFmtId="0" fontId="117" fillId="0" borderId="31" xfId="374" applyFont="1" applyBorder="1" applyAlignment="1">
      <alignment horizontal="left" vertical="center" wrapText="1"/>
    </xf>
    <xf numFmtId="3" fontId="117" fillId="0" borderId="26" xfId="374" applyNumberFormat="1" applyFont="1" applyBorder="1" applyAlignment="1">
      <alignment horizontal="right" vertical="center" wrapText="1" indent="1"/>
    </xf>
    <xf numFmtId="3" fontId="117" fillId="0" borderId="41" xfId="374" applyNumberFormat="1" applyFont="1" applyBorder="1" applyAlignment="1">
      <alignment horizontal="right" vertical="center" wrapText="1" indent="1"/>
    </xf>
    <xf numFmtId="0" fontId="117" fillId="0" borderId="31" xfId="374" applyFont="1" applyBorder="1" applyAlignment="1">
      <alignment horizontal="left" vertical="center"/>
    </xf>
    <xf numFmtId="3" fontId="117" fillId="0" borderId="26" xfId="374" applyNumberFormat="1" applyFont="1" applyBorder="1" applyAlignment="1">
      <alignment horizontal="right" vertical="center" indent="1"/>
    </xf>
    <xf numFmtId="3" fontId="117" fillId="0" borderId="41" xfId="374" applyNumberFormat="1" applyFont="1" applyBorder="1" applyAlignment="1">
      <alignment horizontal="right" vertical="center" indent="1"/>
    </xf>
    <xf numFmtId="0" fontId="116" fillId="23" borderId="31" xfId="374" applyFont="1" applyFill="1" applyBorder="1" applyAlignment="1">
      <alignment horizontal="center" vertical="center" wrapText="1"/>
    </xf>
    <xf numFmtId="3" fontId="117" fillId="23" borderId="26" xfId="374" applyNumberFormat="1" applyFont="1" applyFill="1" applyBorder="1" applyAlignment="1">
      <alignment horizontal="right" vertical="center" wrapText="1" indent="1"/>
    </xf>
    <xf numFmtId="3" fontId="117" fillId="23" borderId="41" xfId="374" applyNumberFormat="1" applyFont="1" applyFill="1" applyBorder="1" applyAlignment="1">
      <alignment horizontal="right" vertical="center" wrapText="1" indent="1"/>
    </xf>
    <xf numFmtId="0" fontId="116" fillId="23" borderId="34" xfId="374" applyFont="1" applyFill="1" applyBorder="1" applyAlignment="1">
      <alignment horizontal="center" vertical="center" wrapText="1"/>
    </xf>
    <xf numFmtId="3" fontId="117" fillId="23" borderId="29" xfId="374" applyNumberFormat="1" applyFont="1" applyFill="1" applyBorder="1" applyAlignment="1">
      <alignment horizontal="right" vertical="center" wrapText="1" indent="1"/>
    </xf>
    <xf numFmtId="3" fontId="117" fillId="23" borderId="44" xfId="374" applyNumberFormat="1" applyFont="1" applyFill="1" applyBorder="1" applyAlignment="1">
      <alignment horizontal="right" vertical="center" wrapText="1" indent="1"/>
    </xf>
    <xf numFmtId="0" fontId="117" fillId="0" borderId="33" xfId="374" applyFont="1" applyBorder="1" applyAlignment="1">
      <alignment horizontal="left" vertical="center"/>
    </xf>
    <xf numFmtId="3" fontId="117" fillId="0" borderId="28" xfId="374" applyNumberFormat="1" applyFont="1" applyBorder="1" applyAlignment="1">
      <alignment horizontal="right" vertical="center" indent="1"/>
    </xf>
    <xf numFmtId="3" fontId="117" fillId="0" borderId="43" xfId="374" applyNumberFormat="1" applyFont="1" applyBorder="1" applyAlignment="1">
      <alignment horizontal="right" vertical="center" indent="1"/>
    </xf>
    <xf numFmtId="0" fontId="117" fillId="0" borderId="33" xfId="374" applyFont="1" applyBorder="1" applyAlignment="1">
      <alignment horizontal="left" vertical="center" wrapText="1"/>
    </xf>
    <xf numFmtId="3" fontId="117" fillId="0" borderId="28" xfId="374" applyNumberFormat="1" applyFont="1" applyBorder="1" applyAlignment="1">
      <alignment horizontal="right" vertical="center" wrapText="1" indent="1"/>
    </xf>
    <xf numFmtId="3" fontId="117" fillId="0" borderId="43" xfId="374" applyNumberFormat="1" applyFont="1" applyBorder="1" applyAlignment="1">
      <alignment horizontal="right" vertical="center" wrapText="1" indent="1"/>
    </xf>
    <xf numFmtId="0" fontId="181" fillId="0" borderId="14" xfId="374" applyFont="1" applyFill="1" applyBorder="1" applyAlignment="1">
      <alignment horizontal="center" vertical="center"/>
    </xf>
    <xf numFmtId="0" fontId="166" fillId="0" borderId="10" xfId="374" applyFont="1" applyFill="1" applyBorder="1" applyAlignment="1">
      <alignment horizontal="center" vertical="center"/>
    </xf>
    <xf numFmtId="3" fontId="181" fillId="0" borderId="13" xfId="374" applyNumberFormat="1" applyFont="1" applyFill="1" applyBorder="1" applyAlignment="1">
      <alignment horizontal="right" vertical="center" indent="1"/>
    </xf>
    <xf numFmtId="3" fontId="181" fillId="0" borderId="10" xfId="374" applyNumberFormat="1" applyFont="1" applyFill="1" applyBorder="1" applyAlignment="1">
      <alignment horizontal="right" vertical="center" indent="1"/>
    </xf>
    <xf numFmtId="3" fontId="166" fillId="0" borderId="13" xfId="374" applyNumberFormat="1" applyFont="1" applyFill="1" applyBorder="1" applyAlignment="1">
      <alignment horizontal="right" vertical="center" wrapText="1" indent="1"/>
    </xf>
    <xf numFmtId="3" fontId="166" fillId="0" borderId="10" xfId="374" applyNumberFormat="1" applyFont="1" applyFill="1" applyBorder="1" applyAlignment="1">
      <alignment horizontal="right" vertical="center" wrapText="1" indent="1"/>
    </xf>
    <xf numFmtId="0" fontId="164" fillId="0" borderId="10" xfId="374" applyFont="1" applyFill="1" applyBorder="1" applyAlignment="1">
      <alignment horizontal="center" vertical="center" wrapText="1"/>
    </xf>
    <xf numFmtId="3" fontId="155" fillId="0" borderId="13" xfId="374" applyNumberFormat="1" applyFont="1" applyFill="1" applyBorder="1" applyAlignment="1">
      <alignment horizontal="right" vertical="center" wrapText="1" indent="1"/>
    </xf>
    <xf numFmtId="3" fontId="155" fillId="0" borderId="10" xfId="374" applyNumberFormat="1" applyFont="1" applyFill="1" applyBorder="1" applyAlignment="1">
      <alignment horizontal="right" vertical="center" wrapText="1" indent="1"/>
    </xf>
    <xf numFmtId="3" fontId="164" fillId="0" borderId="13" xfId="374" applyNumberFormat="1" applyFont="1" applyFill="1" applyBorder="1" applyAlignment="1">
      <alignment horizontal="right" vertical="center" wrapText="1" indent="1"/>
    </xf>
    <xf numFmtId="3" fontId="164" fillId="0" borderId="10" xfId="374" applyNumberFormat="1" applyFont="1" applyFill="1" applyBorder="1" applyAlignment="1">
      <alignment horizontal="right" vertical="center" wrapText="1" indent="1"/>
    </xf>
    <xf numFmtId="0" fontId="155" fillId="0" borderId="14" xfId="374" applyFont="1" applyFill="1" applyBorder="1" applyAlignment="1">
      <alignment horizontal="center" vertical="center" wrapText="1"/>
    </xf>
    <xf numFmtId="0" fontId="165" fillId="0" borderId="10" xfId="374" applyFont="1" applyFill="1" applyBorder="1" applyAlignment="1">
      <alignment horizontal="center" vertical="center" wrapText="1"/>
    </xf>
    <xf numFmtId="3" fontId="165" fillId="0" borderId="13" xfId="374" applyNumberFormat="1" applyFont="1" applyFill="1" applyBorder="1" applyAlignment="1">
      <alignment horizontal="right" vertical="center" wrapText="1" indent="1"/>
    </xf>
    <xf numFmtId="3" fontId="165" fillId="0" borderId="10" xfId="374" applyNumberFormat="1" applyFont="1" applyFill="1" applyBorder="1" applyAlignment="1">
      <alignment horizontal="right" vertical="center" wrapText="1" indent="1"/>
    </xf>
    <xf numFmtId="0" fontId="157" fillId="0" borderId="14" xfId="374" applyFont="1" applyFill="1" applyBorder="1" applyAlignment="1">
      <alignment horizontal="center" vertical="center" wrapText="1"/>
    </xf>
    <xf numFmtId="0" fontId="156" fillId="0" borderId="14" xfId="374" applyFont="1" applyFill="1" applyBorder="1" applyAlignment="1">
      <alignment horizontal="center" vertical="center" wrapText="1"/>
    </xf>
    <xf numFmtId="0" fontId="167" fillId="0" borderId="10" xfId="374" applyFont="1" applyFill="1" applyBorder="1" applyAlignment="1">
      <alignment horizontal="center" vertical="center" wrapText="1"/>
    </xf>
    <xf numFmtId="3" fontId="167" fillId="0" borderId="13" xfId="374" applyNumberFormat="1" applyFont="1" applyFill="1" applyBorder="1" applyAlignment="1">
      <alignment horizontal="right" vertical="center" wrapText="1" indent="1"/>
    </xf>
    <xf numFmtId="3" fontId="167" fillId="0" borderId="10" xfId="374" applyNumberFormat="1" applyFont="1" applyFill="1" applyBorder="1" applyAlignment="1">
      <alignment horizontal="right" vertical="center" wrapText="1" indent="1"/>
    </xf>
    <xf numFmtId="0" fontId="154" fillId="0" borderId="14" xfId="374" applyFont="1" applyFill="1" applyBorder="1" applyAlignment="1">
      <alignment horizontal="center" vertical="center" wrapText="1"/>
    </xf>
    <xf numFmtId="0" fontId="163" fillId="0" borderId="10" xfId="374" applyFont="1" applyFill="1" applyBorder="1" applyAlignment="1">
      <alignment horizontal="center" vertical="center" wrapText="1"/>
    </xf>
    <xf numFmtId="3" fontId="163" fillId="0" borderId="13" xfId="374" applyNumberFormat="1" applyFont="1" applyFill="1" applyBorder="1" applyAlignment="1">
      <alignment horizontal="right" vertical="center" wrapText="1" indent="1"/>
    </xf>
    <xf numFmtId="3" fontId="163" fillId="0" borderId="10" xfId="374" applyNumberFormat="1" applyFont="1" applyFill="1" applyBorder="1" applyAlignment="1">
      <alignment horizontal="right" vertical="center" wrapText="1" indent="1"/>
    </xf>
    <xf numFmtId="0" fontId="117" fillId="0" borderId="12" xfId="374" applyFont="1" applyBorder="1" applyAlignment="1">
      <alignment horizontal="left" vertical="center"/>
    </xf>
    <xf numFmtId="0" fontId="195" fillId="0" borderId="12" xfId="32" applyFont="1" applyBorder="1" applyAlignment="1" applyProtection="1">
      <alignment horizontal="center" vertical="center"/>
    </xf>
    <xf numFmtId="1" fontId="116" fillId="23" borderId="18" xfId="50" applyNumberFormat="1" applyFont="1" applyFill="1" applyBorder="1" applyAlignment="1">
      <alignment horizontal="center" vertical="center" wrapText="1"/>
    </xf>
    <xf numFmtId="0" fontId="27" fillId="0" borderId="118" xfId="646" applyFont="1" applyBorder="1" applyAlignment="1">
      <alignment horizontal="center" vertical="center"/>
    </xf>
    <xf numFmtId="0" fontId="61" fillId="23" borderId="18" xfId="377" applyFont="1" applyFill="1" applyBorder="1" applyAlignment="1">
      <alignment horizontal="center" vertical="center"/>
    </xf>
    <xf numFmtId="0" fontId="37" fillId="0" borderId="0" xfId="466" applyAlignment="1">
      <alignment horizontal="center"/>
    </xf>
    <xf numFmtId="0" fontId="116" fillId="23" borderId="18" xfId="66" applyFont="1" applyFill="1" applyBorder="1" applyAlignment="1">
      <alignment horizontal="center" vertical="center"/>
    </xf>
    <xf numFmtId="0" fontId="18" fillId="0" borderId="0" xfId="828"/>
    <xf numFmtId="0" fontId="18" fillId="0" borderId="0" xfId="828" applyAlignment="1">
      <alignment vertical="center"/>
    </xf>
    <xf numFmtId="0" fontId="18" fillId="0" borderId="0" xfId="828" applyAlignment="1">
      <alignment wrapText="1"/>
    </xf>
    <xf numFmtId="0" fontId="117" fillId="0" borderId="14" xfId="374" applyFont="1" applyBorder="1" applyAlignment="1">
      <alignment vertical="center"/>
    </xf>
    <xf numFmtId="0" fontId="18" fillId="0" borderId="127" xfId="646" applyFont="1" applyBorder="1" applyAlignment="1">
      <alignment horizontal="center" vertical="center"/>
    </xf>
    <xf numFmtId="0" fontId="18" fillId="0" borderId="31" xfId="0" applyFont="1" applyBorder="1" applyAlignment="1">
      <alignment vertical="center" wrapText="1"/>
    </xf>
    <xf numFmtId="0" fontId="262" fillId="0" borderId="0" xfId="0" applyFont="1" applyAlignment="1">
      <alignment wrapText="1"/>
    </xf>
    <xf numFmtId="0" fontId="18" fillId="0" borderId="118" xfId="646" applyFont="1" applyBorder="1" applyAlignment="1">
      <alignment horizontal="center" vertical="center"/>
    </xf>
    <xf numFmtId="9" fontId="27" fillId="0" borderId="0" xfId="57" applyFont="1" applyAlignment="1">
      <alignment horizontal="center" vertical="center"/>
    </xf>
    <xf numFmtId="0" fontId="117" fillId="0" borderId="30" xfId="827" applyFont="1" applyBorder="1" applyAlignment="1">
      <alignment horizontal="center" vertical="center"/>
    </xf>
    <xf numFmtId="0" fontId="116" fillId="0" borderId="24" xfId="0" applyFont="1" applyBorder="1" applyAlignment="1">
      <alignment horizontal="center" vertical="center"/>
    </xf>
    <xf numFmtId="0" fontId="117" fillId="0" borderId="0" xfId="0" applyFont="1" applyBorder="1" applyAlignment="1">
      <alignment horizontal="center"/>
    </xf>
    <xf numFmtId="0" fontId="116" fillId="0" borderId="18" xfId="0" applyFont="1" applyBorder="1" applyAlignment="1">
      <alignment horizontal="center"/>
    </xf>
    <xf numFmtId="3" fontId="117" fillId="0" borderId="18" xfId="0" applyNumberFormat="1" applyFont="1" applyBorder="1" applyAlignment="1">
      <alignment horizontal="right" vertical="center" indent="1"/>
    </xf>
    <xf numFmtId="0" fontId="167" fillId="0" borderId="0" xfId="0" applyFont="1" applyBorder="1" applyAlignment="1">
      <alignment horizontal="center" vertical="center"/>
    </xf>
    <xf numFmtId="0" fontId="117" fillId="0" borderId="0" xfId="0" applyFont="1" applyBorder="1"/>
    <xf numFmtId="0" fontId="165" fillId="0" borderId="21" xfId="0" applyFont="1" applyBorder="1" applyAlignment="1">
      <alignment horizontal="center" vertical="center"/>
    </xf>
    <xf numFmtId="0" fontId="163" fillId="0" borderId="19" xfId="0" applyFont="1" applyBorder="1" applyAlignment="1">
      <alignment horizontal="center" vertical="center"/>
    </xf>
    <xf numFmtId="0" fontId="167" fillId="0" borderId="21" xfId="0" applyFont="1" applyBorder="1" applyAlignment="1">
      <alignment horizontal="center" vertical="center"/>
    </xf>
    <xf numFmtId="0" fontId="120" fillId="23" borderId="18" xfId="0" applyFont="1" applyFill="1" applyBorder="1" applyAlignment="1">
      <alignment horizontal="center" vertical="center"/>
    </xf>
    <xf numFmtId="0" fontId="120" fillId="23" borderId="19" xfId="0" applyFont="1" applyFill="1" applyBorder="1" applyAlignment="1">
      <alignment horizontal="center" vertical="center"/>
    </xf>
    <xf numFmtId="0" fontId="164" fillId="0" borderId="19" xfId="0" applyFont="1" applyBorder="1" applyAlignment="1">
      <alignment horizontal="center" vertical="center"/>
    </xf>
    <xf numFmtId="0" fontId="166" fillId="0" borderId="19" xfId="0" applyFont="1" applyBorder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265" fillId="23" borderId="18" xfId="0" applyFont="1" applyFill="1" applyBorder="1" applyAlignment="1">
      <alignment horizontal="center" vertical="center" wrapText="1" readingOrder="1"/>
    </xf>
    <xf numFmtId="0" fontId="173" fillId="23" borderId="18" xfId="0" applyFont="1" applyFill="1" applyBorder="1" applyAlignment="1">
      <alignment horizontal="center" vertical="center" wrapText="1" readingOrder="1"/>
    </xf>
    <xf numFmtId="0" fontId="224" fillId="23" borderId="18" xfId="0" applyFont="1" applyFill="1" applyBorder="1" applyAlignment="1">
      <alignment horizontal="center" vertical="center" wrapText="1" readingOrder="1"/>
    </xf>
    <xf numFmtId="0" fontId="120" fillId="23" borderId="18" xfId="0" applyFont="1" applyFill="1" applyBorder="1" applyAlignment="1">
      <alignment horizontal="center" vertical="center" wrapText="1" readingOrder="1"/>
    </xf>
    <xf numFmtId="0" fontId="135" fillId="0" borderId="25" xfId="829" applyFont="1" applyBorder="1" applyAlignment="1">
      <alignment horizontal="center" vertical="center" wrapText="1" readingOrder="1"/>
    </xf>
    <xf numFmtId="0" fontId="135" fillId="0" borderId="35" xfId="829" applyFont="1" applyBorder="1" applyAlignment="1">
      <alignment horizontal="center" vertical="center" wrapText="1"/>
    </xf>
    <xf numFmtId="0" fontId="134" fillId="0" borderId="40" xfId="829" applyFont="1" applyBorder="1" applyAlignment="1">
      <alignment horizontal="center" vertical="center" wrapText="1" readingOrder="1"/>
    </xf>
    <xf numFmtId="0" fontId="134" fillId="0" borderId="40" xfId="0" applyFont="1" applyBorder="1" applyAlignment="1">
      <alignment horizontal="center" vertical="center" wrapText="1" readingOrder="1"/>
    </xf>
    <xf numFmtId="0" fontId="135" fillId="0" borderId="26" xfId="829" applyFont="1" applyBorder="1" applyAlignment="1">
      <alignment horizontal="center" vertical="center" wrapText="1" readingOrder="1"/>
    </xf>
    <xf numFmtId="0" fontId="135" fillId="0" borderId="36" xfId="829" applyFont="1" applyBorder="1" applyAlignment="1">
      <alignment horizontal="center" vertical="center" wrapText="1"/>
    </xf>
    <xf numFmtId="0" fontId="134" fillId="0" borderId="41" xfId="829" applyFont="1" applyBorder="1" applyAlignment="1">
      <alignment horizontal="center" vertical="center" wrapText="1" readingOrder="1"/>
    </xf>
    <xf numFmtId="0" fontId="134" fillId="0" borderId="41" xfId="0" applyFont="1" applyBorder="1" applyAlignment="1">
      <alignment horizontal="center" vertical="center" wrapText="1" readingOrder="1"/>
    </xf>
    <xf numFmtId="0" fontId="135" fillId="0" borderId="36" xfId="829" applyFont="1" applyBorder="1" applyAlignment="1">
      <alignment horizontal="center" vertical="center" wrapText="1" readingOrder="1"/>
    </xf>
    <xf numFmtId="0" fontId="135" fillId="0" borderId="27" xfId="829" applyFont="1" applyBorder="1" applyAlignment="1">
      <alignment horizontal="center" vertical="center" wrapText="1" readingOrder="1"/>
    </xf>
    <xf numFmtId="0" fontId="135" fillId="0" borderId="37" xfId="829" applyFont="1" applyBorder="1" applyAlignment="1">
      <alignment horizontal="center" vertical="center" wrapText="1" readingOrder="1"/>
    </xf>
    <xf numFmtId="0" fontId="134" fillId="0" borderId="42" xfId="829" applyFont="1" applyBorder="1" applyAlignment="1">
      <alignment horizontal="center" vertical="center" wrapText="1" readingOrder="1"/>
    </xf>
    <xf numFmtId="0" fontId="134" fillId="0" borderId="42" xfId="0" applyFont="1" applyBorder="1" applyAlignment="1">
      <alignment horizontal="center" vertical="center" wrapText="1" readingOrder="1"/>
    </xf>
    <xf numFmtId="0" fontId="134" fillId="23" borderId="10" xfId="0" applyFont="1" applyFill="1" applyBorder="1" applyAlignment="1">
      <alignment horizontal="center" vertical="center" wrapText="1" readingOrder="1"/>
    </xf>
    <xf numFmtId="0" fontId="17" fillId="0" borderId="23" xfId="0" applyFont="1" applyFill="1" applyBorder="1" applyAlignment="1">
      <alignment horizontal="center" vertical="center" wrapText="1" readingOrder="1"/>
    </xf>
    <xf numFmtId="0" fontId="154" fillId="0" borderId="30" xfId="0" applyFont="1" applyFill="1" applyBorder="1" applyAlignment="1">
      <alignment horizontal="center" vertical="center"/>
    </xf>
    <xf numFmtId="0" fontId="155" fillId="0" borderId="31" xfId="0" applyFont="1" applyBorder="1" applyAlignment="1">
      <alignment horizontal="center" vertical="center"/>
    </xf>
    <xf numFmtId="0" fontId="156" fillId="0" borderId="31" xfId="0" applyFont="1" applyBorder="1" applyAlignment="1">
      <alignment horizontal="center" vertical="center"/>
    </xf>
    <xf numFmtId="0" fontId="181" fillId="0" borderId="31" xfId="0" applyFont="1" applyBorder="1" applyAlignment="1">
      <alignment horizontal="center" vertical="center"/>
    </xf>
    <xf numFmtId="0" fontId="157" fillId="0" borderId="31" xfId="0" applyFont="1" applyBorder="1" applyAlignment="1">
      <alignment horizontal="center" vertical="center"/>
    </xf>
    <xf numFmtId="0" fontId="264" fillId="0" borderId="18" xfId="0" applyFont="1" applyBorder="1" applyAlignment="1">
      <alignment horizontal="center" vertical="center" wrapText="1" readingOrder="1"/>
    </xf>
    <xf numFmtId="0" fontId="264" fillId="0" borderId="18" xfId="0" applyFont="1" applyBorder="1" applyAlignment="1">
      <alignment horizontal="center" vertical="center" wrapText="1"/>
    </xf>
    <xf numFmtId="0" fontId="265" fillId="0" borderId="18" xfId="0" applyFont="1" applyBorder="1" applyAlignment="1">
      <alignment horizontal="center" vertical="center" wrapText="1" readingOrder="1"/>
    </xf>
    <xf numFmtId="0" fontId="265" fillId="0" borderId="18" xfId="0" applyFont="1" applyBorder="1" applyAlignment="1">
      <alignment horizontal="center" vertical="center" wrapText="1"/>
    </xf>
    <xf numFmtId="0" fontId="266" fillId="0" borderId="18" xfId="0" applyFont="1" applyBorder="1" applyAlignment="1">
      <alignment horizontal="center" vertical="center" wrapText="1" readingOrder="1"/>
    </xf>
    <xf numFmtId="0" fontId="267" fillId="0" borderId="18" xfId="0" applyFont="1" applyBorder="1" applyAlignment="1">
      <alignment horizontal="center" vertical="center" wrapText="1" readingOrder="1"/>
    </xf>
    <xf numFmtId="0" fontId="268" fillId="0" borderId="18" xfId="0" applyFont="1" applyBorder="1" applyAlignment="1">
      <alignment horizontal="center" vertical="center" wrapText="1" readingOrder="1"/>
    </xf>
    <xf numFmtId="0" fontId="269" fillId="0" borderId="18" xfId="0" applyFont="1" applyBorder="1" applyAlignment="1">
      <alignment horizontal="center" vertical="center" wrapText="1" readingOrder="1"/>
    </xf>
    <xf numFmtId="0" fontId="270" fillId="0" borderId="18" xfId="0" applyFont="1" applyBorder="1" applyAlignment="1">
      <alignment horizontal="center" vertical="center" wrapText="1" readingOrder="1"/>
    </xf>
    <xf numFmtId="0" fontId="264" fillId="23" borderId="18" xfId="0" applyFont="1" applyFill="1" applyBorder="1" applyAlignment="1">
      <alignment horizontal="center" vertical="center" wrapText="1" readingOrder="1"/>
    </xf>
    <xf numFmtId="0" fontId="116" fillId="0" borderId="18" xfId="66" applyFont="1" applyFill="1" applyBorder="1" applyAlignment="1">
      <alignment horizontal="center" vertical="center"/>
    </xf>
    <xf numFmtId="0" fontId="116" fillId="0" borderId="23" xfId="0" applyFont="1" applyBorder="1" applyAlignment="1">
      <alignment horizontal="center" vertical="center"/>
    </xf>
    <xf numFmtId="4" fontId="163" fillId="0" borderId="15" xfId="759" applyNumberFormat="1" applyFont="1" applyBorder="1" applyAlignment="1">
      <alignment vertical="center"/>
    </xf>
    <xf numFmtId="4" fontId="163" fillId="0" borderId="12" xfId="759" applyNumberFormat="1" applyFont="1" applyBorder="1" applyAlignment="1">
      <alignment vertical="center"/>
    </xf>
    <xf numFmtId="4" fontId="163" fillId="0" borderId="19" xfId="759" applyNumberFormat="1" applyFont="1" applyBorder="1" applyAlignment="1">
      <alignment vertical="center"/>
    </xf>
    <xf numFmtId="4" fontId="118" fillId="0" borderId="17" xfId="759" applyNumberFormat="1" applyFont="1" applyBorder="1" applyAlignment="1">
      <alignment vertical="center"/>
    </xf>
    <xf numFmtId="4" fontId="118" fillId="0" borderId="0" xfId="759" applyNumberFormat="1" applyFont="1" applyBorder="1" applyAlignment="1">
      <alignment vertical="center"/>
    </xf>
    <xf numFmtId="4" fontId="118" fillId="0" borderId="21" xfId="759" applyNumberFormat="1" applyFont="1" applyBorder="1" applyAlignment="1">
      <alignment vertical="center"/>
    </xf>
    <xf numFmtId="4" fontId="118" fillId="0" borderId="22" xfId="759" applyNumberFormat="1" applyFont="1" applyBorder="1" applyAlignment="1">
      <alignment vertical="center"/>
    </xf>
    <xf numFmtId="4" fontId="118" fillId="0" borderId="24" xfId="759" applyNumberFormat="1" applyFont="1" applyBorder="1" applyAlignment="1">
      <alignment vertical="center"/>
    </xf>
    <xf numFmtId="4" fontId="118" fillId="0" borderId="23" xfId="759" applyNumberFormat="1" applyFont="1" applyBorder="1" applyAlignment="1">
      <alignment vertical="center"/>
    </xf>
    <xf numFmtId="4" fontId="164" fillId="0" borderId="15" xfId="759" applyNumberFormat="1" applyFont="1" applyBorder="1" applyAlignment="1">
      <alignment vertical="center"/>
    </xf>
    <xf numFmtId="4" fontId="164" fillId="0" borderId="12" xfId="759" applyNumberFormat="1" applyFont="1" applyBorder="1" applyAlignment="1">
      <alignment vertical="center"/>
    </xf>
    <xf numFmtId="4" fontId="164" fillId="0" borderId="19" xfId="759" applyNumberFormat="1" applyFont="1" applyBorder="1" applyAlignment="1">
      <alignment vertical="center"/>
    </xf>
    <xf numFmtId="4" fontId="167" fillId="0" borderId="15" xfId="759" applyNumberFormat="1" applyFont="1" applyBorder="1" applyAlignment="1">
      <alignment vertical="center"/>
    </xf>
    <xf numFmtId="4" fontId="167" fillId="0" borderId="12" xfId="759" applyNumberFormat="1" applyFont="1" applyBorder="1" applyAlignment="1">
      <alignment vertical="center"/>
    </xf>
    <xf numFmtId="4" fontId="167" fillId="0" borderId="19" xfId="759" applyNumberFormat="1" applyFont="1" applyBorder="1" applyAlignment="1">
      <alignment vertical="center"/>
    </xf>
    <xf numFmtId="4" fontId="166" fillId="0" borderId="15" xfId="759" applyNumberFormat="1" applyFont="1" applyBorder="1" applyAlignment="1">
      <alignment vertical="center"/>
    </xf>
    <xf numFmtId="4" fontId="118" fillId="0" borderId="21" xfId="759" applyNumberFormat="1" applyFont="1" applyFill="1" applyBorder="1" applyAlignment="1">
      <alignment vertical="center"/>
    </xf>
    <xf numFmtId="4" fontId="118" fillId="0" borderId="23" xfId="759" applyNumberFormat="1" applyFont="1" applyFill="1" applyBorder="1" applyAlignment="1">
      <alignment vertical="center"/>
    </xf>
    <xf numFmtId="4" fontId="165" fillId="0" borderId="15" xfId="759" applyNumberFormat="1" applyFont="1" applyBorder="1" applyAlignment="1">
      <alignment vertical="center"/>
    </xf>
    <xf numFmtId="4" fontId="165" fillId="0" borderId="12" xfId="759" applyNumberFormat="1" applyFont="1" applyBorder="1" applyAlignment="1">
      <alignment vertical="center"/>
    </xf>
    <xf numFmtId="4" fontId="165" fillId="0" borderId="19" xfId="759" applyNumberFormat="1" applyFont="1" applyBorder="1" applyAlignment="1">
      <alignment vertical="center"/>
    </xf>
    <xf numFmtId="4" fontId="116" fillId="0" borderId="10" xfId="0" applyNumberFormat="1" applyFont="1" applyBorder="1" applyAlignment="1">
      <alignment vertical="center"/>
    </xf>
    <xf numFmtId="0" fontId="117" fillId="0" borderId="18" xfId="0" applyFont="1" applyFill="1" applyBorder="1" applyAlignment="1">
      <alignment horizontal="center" vertical="center"/>
    </xf>
    <xf numFmtId="0" fontId="117" fillId="0" borderId="19" xfId="66" applyFont="1" applyFill="1" applyBorder="1" applyAlignment="1">
      <alignment horizontal="center" vertical="center"/>
    </xf>
    <xf numFmtId="0" fontId="117" fillId="0" borderId="21" xfId="66" applyFont="1" applyFill="1" applyBorder="1" applyAlignment="1">
      <alignment horizontal="center" vertical="center"/>
    </xf>
    <xf numFmtId="0" fontId="117" fillId="0" borderId="23" xfId="66" applyFont="1" applyFill="1" applyBorder="1" applyAlignment="1">
      <alignment horizontal="center" vertical="center"/>
    </xf>
    <xf numFmtId="0" fontId="271" fillId="0" borderId="0" xfId="0" applyFont="1"/>
    <xf numFmtId="0" fontId="16" fillId="0" borderId="127" xfId="646" applyFont="1" applyBorder="1" applyAlignment="1">
      <alignment horizontal="center" vertical="center"/>
    </xf>
    <xf numFmtId="0" fontId="16" fillId="0" borderId="128" xfId="646" applyFont="1" applyBorder="1" applyAlignment="1">
      <alignment horizontal="center" vertical="center"/>
    </xf>
    <xf numFmtId="0" fontId="132" fillId="0" borderId="12" xfId="0" applyFont="1" applyBorder="1" applyAlignment="1">
      <alignment horizontal="left" vertical="center"/>
    </xf>
    <xf numFmtId="3" fontId="120" fillId="23" borderId="13" xfId="640" applyNumberFormat="1" applyFont="1" applyFill="1" applyBorder="1" applyAlignment="1">
      <alignment horizontal="right" indent="1"/>
    </xf>
    <xf numFmtId="3" fontId="120" fillId="23" borderId="14" xfId="640" applyNumberFormat="1" applyFont="1" applyFill="1" applyBorder="1" applyAlignment="1">
      <alignment horizontal="right" indent="1"/>
    </xf>
    <xf numFmtId="3" fontId="116" fillId="23" borderId="10" xfId="640" applyNumberFormat="1" applyFont="1" applyFill="1" applyBorder="1" applyAlignment="1">
      <alignment horizontal="right" vertical="center" indent="1"/>
    </xf>
    <xf numFmtId="4" fontId="218" fillId="0" borderId="18" xfId="759" applyNumberFormat="1" applyFont="1" applyBorder="1" applyAlignment="1">
      <alignment vertical="center"/>
    </xf>
    <xf numFmtId="4" fontId="218" fillId="0" borderId="14" xfId="759" applyNumberFormat="1" applyFont="1" applyBorder="1" applyAlignment="1">
      <alignment vertical="center"/>
    </xf>
    <xf numFmtId="0" fontId="112" fillId="33" borderId="18" xfId="0" applyFont="1" applyFill="1" applyBorder="1" applyAlignment="1">
      <alignment horizontal="center" vertical="center"/>
    </xf>
    <xf numFmtId="0" fontId="112" fillId="33" borderId="18" xfId="0" applyFont="1" applyFill="1" applyBorder="1" applyAlignment="1">
      <alignment horizontal="center"/>
    </xf>
    <xf numFmtId="49" fontId="133" fillId="33" borderId="18" xfId="66" applyNumberFormat="1" applyFont="1" applyFill="1" applyBorder="1" applyAlignment="1">
      <alignment horizontal="center" vertical="center" wrapText="1"/>
    </xf>
    <xf numFmtId="0" fontId="15" fillId="0" borderId="19" xfId="0" applyFont="1" applyBorder="1" applyAlignment="1">
      <alignment vertical="center" wrapText="1"/>
    </xf>
    <xf numFmtId="3" fontId="117" fillId="0" borderId="69" xfId="374" applyNumberFormat="1" applyFont="1" applyBorder="1"/>
    <xf numFmtId="0" fontId="117" fillId="0" borderId="71" xfId="374" applyFont="1" applyBorder="1" applyAlignment="1">
      <alignment horizontal="right" vertical="center" indent="1"/>
    </xf>
    <xf numFmtId="0" fontId="117" fillId="0" borderId="72" xfId="374" applyFont="1" applyBorder="1" applyAlignment="1">
      <alignment horizontal="right" vertical="center" indent="1"/>
    </xf>
    <xf numFmtId="3" fontId="117" fillId="0" borderId="70" xfId="374" applyNumberFormat="1" applyFont="1" applyBorder="1" applyAlignment="1">
      <alignment horizontal="right" indent="1"/>
    </xf>
    <xf numFmtId="3" fontId="117" fillId="0" borderId="71" xfId="374" applyNumberFormat="1" applyFont="1" applyBorder="1" applyAlignment="1">
      <alignment horizontal="right" indent="1"/>
    </xf>
    <xf numFmtId="3" fontId="117" fillId="0" borderId="72" xfId="374" applyNumberFormat="1" applyFont="1" applyBorder="1" applyAlignment="1">
      <alignment horizontal="right" indent="1"/>
    </xf>
    <xf numFmtId="3" fontId="116" fillId="0" borderId="72" xfId="374" applyNumberFormat="1" applyFont="1" applyBorder="1" applyAlignment="1">
      <alignment horizontal="right" indent="1"/>
    </xf>
    <xf numFmtId="3" fontId="117" fillId="0" borderId="18" xfId="0" applyNumberFormat="1" applyFont="1" applyBorder="1" applyAlignment="1">
      <alignment horizontal="center" vertical="center"/>
    </xf>
    <xf numFmtId="0" fontId="14" fillId="0" borderId="0" xfId="830" applyFont="1"/>
    <xf numFmtId="0" fontId="14" fillId="0" borderId="0" xfId="464" applyFont="1" applyAlignment="1">
      <alignment vertical="center"/>
    </xf>
    <xf numFmtId="0" fontId="14" fillId="0" borderId="30" xfId="464" applyFont="1" applyBorder="1" applyAlignment="1">
      <alignment horizontal="center" vertical="center"/>
    </xf>
    <xf numFmtId="0" fontId="14" fillId="0" borderId="25" xfId="464" applyFont="1" applyBorder="1" applyAlignment="1">
      <alignment horizontal="center" vertical="center"/>
    </xf>
    <xf numFmtId="0" fontId="14" fillId="0" borderId="40" xfId="464" applyFont="1" applyBorder="1" applyAlignment="1">
      <alignment horizontal="center" vertical="center"/>
    </xf>
    <xf numFmtId="0" fontId="14" fillId="0" borderId="31" xfId="464" applyFont="1" applyBorder="1" applyAlignment="1">
      <alignment horizontal="center" vertical="center"/>
    </xf>
    <xf numFmtId="0" fontId="14" fillId="0" borderId="26" xfId="464" applyFont="1" applyBorder="1" applyAlignment="1">
      <alignment horizontal="center" vertical="center"/>
    </xf>
    <xf numFmtId="0" fontId="14" fillId="0" borderId="41" xfId="464" applyFont="1" applyBorder="1" applyAlignment="1">
      <alignment horizontal="center" vertical="center"/>
    </xf>
    <xf numFmtId="0" fontId="14" fillId="0" borderId="0" xfId="464" applyFont="1" applyBorder="1" applyAlignment="1">
      <alignment horizontal="center" vertical="center"/>
    </xf>
    <xf numFmtId="0" fontId="14" fillId="0" borderId="0" xfId="464" applyFont="1" applyBorder="1" applyAlignment="1">
      <alignment vertical="center"/>
    </xf>
    <xf numFmtId="0" fontId="14" fillId="0" borderId="27" xfId="464" applyFont="1" applyBorder="1" applyAlignment="1">
      <alignment horizontal="center" vertical="center"/>
    </xf>
    <xf numFmtId="0" fontId="14" fillId="0" borderId="42" xfId="464" applyFont="1" applyBorder="1" applyAlignment="1">
      <alignment horizontal="center" vertical="center"/>
    </xf>
    <xf numFmtId="0" fontId="14" fillId="23" borderId="18" xfId="655" applyFont="1" applyFill="1" applyBorder="1" applyAlignment="1">
      <alignment horizontal="center" vertical="center"/>
    </xf>
    <xf numFmtId="0" fontId="14" fillId="0" borderId="32" xfId="464" applyFont="1" applyBorder="1" applyAlignment="1">
      <alignment horizontal="center" vertical="center"/>
    </xf>
    <xf numFmtId="0" fontId="120" fillId="23" borderId="18" xfId="464" applyFont="1" applyFill="1" applyBorder="1" applyAlignment="1">
      <alignment horizontal="center" vertical="center"/>
    </xf>
    <xf numFmtId="0" fontId="14" fillId="0" borderId="23" xfId="655" applyFont="1" applyFill="1" applyBorder="1" applyAlignment="1">
      <alignment horizontal="center" vertical="center"/>
    </xf>
    <xf numFmtId="0" fontId="120" fillId="0" borderId="23" xfId="655" applyFont="1" applyFill="1" applyBorder="1" applyAlignment="1">
      <alignment horizontal="center" vertical="center" wrapText="1"/>
    </xf>
    <xf numFmtId="0" fontId="166" fillId="23" borderId="32" xfId="464" applyFont="1" applyFill="1" applyBorder="1" applyAlignment="1">
      <alignment horizontal="center" vertical="center"/>
    </xf>
    <xf numFmtId="0" fontId="166" fillId="23" borderId="27" xfId="464" applyFont="1" applyFill="1" applyBorder="1" applyAlignment="1">
      <alignment horizontal="center" vertical="center"/>
    </xf>
    <xf numFmtId="0" fontId="166" fillId="23" borderId="42" xfId="464" applyFont="1" applyFill="1" applyBorder="1" applyAlignment="1">
      <alignment horizontal="center" vertical="center"/>
    </xf>
    <xf numFmtId="0" fontId="14" fillId="0" borderId="18" xfId="830" applyFont="1" applyBorder="1"/>
    <xf numFmtId="0" fontId="14" fillId="0" borderId="18" xfId="830" applyFont="1" applyBorder="1" applyAlignment="1">
      <alignment horizontal="center" vertical="center"/>
    </xf>
    <xf numFmtId="0" fontId="14" fillId="23" borderId="18" xfId="830" applyFont="1" applyFill="1" applyBorder="1" applyAlignment="1">
      <alignment horizontal="center" vertical="center"/>
    </xf>
    <xf numFmtId="0" fontId="14" fillId="0" borderId="0" xfId="830" applyFont="1" applyAlignment="1">
      <alignment horizontal="center" vertical="center"/>
    </xf>
    <xf numFmtId="0" fontId="14" fillId="0" borderId="23" xfId="830" applyFont="1" applyBorder="1" applyAlignment="1">
      <alignment horizontal="center" vertical="center"/>
    </xf>
    <xf numFmtId="0" fontId="120" fillId="0" borderId="0" xfId="830" applyFont="1" applyAlignment="1">
      <alignment horizontal="center" vertical="center"/>
    </xf>
    <xf numFmtId="0" fontId="120" fillId="0" borderId="23" xfId="830" applyFont="1" applyBorder="1" applyAlignment="1">
      <alignment horizontal="center" vertical="center"/>
    </xf>
    <xf numFmtId="0" fontId="120" fillId="23" borderId="18" xfId="830" applyFont="1" applyFill="1" applyBorder="1" applyAlignment="1">
      <alignment horizontal="center" vertical="center"/>
    </xf>
    <xf numFmtId="0" fontId="14" fillId="0" borderId="0" xfId="830" applyFont="1" applyAlignment="1">
      <alignment horizontal="left" vertical="center"/>
    </xf>
    <xf numFmtId="0" fontId="120" fillId="0" borderId="23" xfId="830" applyFont="1" applyFill="1" applyBorder="1" applyAlignment="1">
      <alignment horizontal="center" vertical="center"/>
    </xf>
    <xf numFmtId="0" fontId="163" fillId="0" borderId="18" xfId="830" applyFont="1" applyFill="1" applyBorder="1" applyAlignment="1">
      <alignment horizontal="center" vertical="center"/>
    </xf>
    <xf numFmtId="0" fontId="14" fillId="0" borderId="28" xfId="830" applyFont="1" applyBorder="1" applyAlignment="1">
      <alignment horizontal="center" vertical="center"/>
    </xf>
    <xf numFmtId="0" fontId="14" fillId="0" borderId="38" xfId="830" applyFont="1" applyBorder="1" applyAlignment="1">
      <alignment horizontal="center" vertical="center"/>
    </xf>
    <xf numFmtId="0" fontId="120" fillId="0" borderId="33" xfId="830" applyFont="1" applyBorder="1" applyAlignment="1">
      <alignment horizontal="center" vertical="center"/>
    </xf>
    <xf numFmtId="0" fontId="14" fillId="0" borderId="43" xfId="830" applyFont="1" applyBorder="1" applyAlignment="1">
      <alignment horizontal="center" vertical="center"/>
    </xf>
    <xf numFmtId="0" fontId="14" fillId="0" borderId="26" xfId="830" applyFont="1" applyBorder="1" applyAlignment="1">
      <alignment horizontal="left" vertical="center"/>
    </xf>
    <xf numFmtId="0" fontId="14" fillId="0" borderId="26" xfId="830" applyFont="1" applyBorder="1" applyAlignment="1">
      <alignment horizontal="center" vertical="center"/>
    </xf>
    <xf numFmtId="0" fontId="14" fillId="0" borderId="36" xfId="830" applyFont="1" applyBorder="1" applyAlignment="1">
      <alignment horizontal="center" vertical="center"/>
    </xf>
    <xf numFmtId="0" fontId="120" fillId="0" borderId="31" xfId="830" applyFont="1" applyBorder="1" applyAlignment="1">
      <alignment horizontal="center" vertical="center"/>
    </xf>
    <xf numFmtId="0" fontId="14" fillId="0" borderId="36" xfId="830" applyFont="1" applyFill="1" applyBorder="1" applyAlignment="1">
      <alignment horizontal="center" vertical="center"/>
    </xf>
    <xf numFmtId="0" fontId="14" fillId="0" borderId="41" xfId="830" applyFont="1" applyBorder="1" applyAlignment="1">
      <alignment horizontal="center" vertical="center"/>
    </xf>
    <xf numFmtId="0" fontId="14" fillId="0" borderId="41" xfId="830" applyFont="1" applyFill="1" applyBorder="1" applyAlignment="1">
      <alignment horizontal="center" vertical="center"/>
    </xf>
    <xf numFmtId="0" fontId="120" fillId="23" borderId="31" xfId="830" applyFont="1" applyFill="1" applyBorder="1" applyAlignment="1">
      <alignment horizontal="center" vertical="center"/>
    </xf>
    <xf numFmtId="0" fontId="120" fillId="23" borderId="32" xfId="830" applyFont="1" applyFill="1" applyBorder="1" applyAlignment="1">
      <alignment horizontal="center" vertical="center"/>
    </xf>
    <xf numFmtId="0" fontId="120" fillId="23" borderId="26" xfId="830" applyFont="1" applyFill="1" applyBorder="1" applyAlignment="1">
      <alignment horizontal="center" vertical="center"/>
    </xf>
    <xf numFmtId="0" fontId="120" fillId="23" borderId="41" xfId="830" applyFont="1" applyFill="1" applyBorder="1" applyAlignment="1">
      <alignment horizontal="center" vertical="center"/>
    </xf>
    <xf numFmtId="0" fontId="120" fillId="23" borderId="27" xfId="830" applyFont="1" applyFill="1" applyBorder="1" applyAlignment="1">
      <alignment horizontal="center" vertical="center"/>
    </xf>
    <xf numFmtId="0" fontId="120" fillId="23" borderId="42" xfId="830" applyFont="1" applyFill="1" applyBorder="1" applyAlignment="1">
      <alignment horizontal="center" vertical="center"/>
    </xf>
    <xf numFmtId="0" fontId="163" fillId="0" borderId="13" xfId="830" applyFont="1" applyFill="1" applyBorder="1" applyAlignment="1">
      <alignment horizontal="center" vertical="center"/>
    </xf>
    <xf numFmtId="0" fontId="163" fillId="0" borderId="10" xfId="830" applyFont="1" applyFill="1" applyBorder="1" applyAlignment="1">
      <alignment horizontal="center" vertical="center"/>
    </xf>
    <xf numFmtId="0" fontId="167" fillId="0" borderId="18" xfId="830" applyFont="1" applyFill="1" applyBorder="1" applyAlignment="1">
      <alignment horizontal="center" vertical="center"/>
    </xf>
    <xf numFmtId="0" fontId="164" fillId="0" borderId="18" xfId="830" applyFont="1" applyFill="1" applyBorder="1" applyAlignment="1">
      <alignment horizontal="center" vertical="center"/>
    </xf>
    <xf numFmtId="0" fontId="14" fillId="0" borderId="25" xfId="830" applyFont="1" applyBorder="1" applyAlignment="1">
      <alignment horizontal="center" vertical="center"/>
    </xf>
    <xf numFmtId="0" fontId="120" fillId="0" borderId="30" xfId="830" applyFont="1" applyBorder="1" applyAlignment="1">
      <alignment horizontal="center" vertical="center"/>
    </xf>
    <xf numFmtId="0" fontId="14" fillId="0" borderId="40" xfId="830" applyFont="1" applyBorder="1" applyAlignment="1">
      <alignment horizontal="center" vertical="center"/>
    </xf>
    <xf numFmtId="0" fontId="164" fillId="0" borderId="13" xfId="830" applyFont="1" applyFill="1" applyBorder="1" applyAlignment="1">
      <alignment horizontal="center" vertical="center"/>
    </xf>
    <xf numFmtId="0" fontId="164" fillId="0" borderId="10" xfId="830" applyFont="1" applyFill="1" applyBorder="1" applyAlignment="1">
      <alignment horizontal="center" vertical="center"/>
    </xf>
    <xf numFmtId="0" fontId="120" fillId="23" borderId="13" xfId="830" applyFont="1" applyFill="1" applyBorder="1" applyAlignment="1">
      <alignment horizontal="center" vertical="center"/>
    </xf>
    <xf numFmtId="0" fontId="120" fillId="23" borderId="10" xfId="830" applyFont="1" applyFill="1" applyBorder="1" applyAlignment="1">
      <alignment horizontal="center" vertical="center"/>
    </xf>
    <xf numFmtId="0" fontId="167" fillId="0" borderId="13" xfId="830" applyFont="1" applyFill="1" applyBorder="1" applyAlignment="1">
      <alignment horizontal="center" vertical="center"/>
    </xf>
    <xf numFmtId="0" fontId="167" fillId="0" borderId="10" xfId="830" applyFont="1" applyFill="1" applyBorder="1" applyAlignment="1">
      <alignment horizontal="center" vertical="center"/>
    </xf>
    <xf numFmtId="0" fontId="166" fillId="0" borderId="13" xfId="830" applyFont="1" applyFill="1" applyBorder="1" applyAlignment="1">
      <alignment horizontal="center" vertical="center"/>
    </xf>
    <xf numFmtId="0" fontId="166" fillId="0" borderId="10" xfId="830" applyFont="1" applyFill="1" applyBorder="1" applyAlignment="1">
      <alignment horizontal="center" vertical="center"/>
    </xf>
    <xf numFmtId="0" fontId="166" fillId="0" borderId="18" xfId="830" applyFont="1" applyFill="1" applyBorder="1" applyAlignment="1">
      <alignment horizontal="center" vertical="center"/>
    </xf>
    <xf numFmtId="0" fontId="165" fillId="0" borderId="13" xfId="830" applyFont="1" applyFill="1" applyBorder="1" applyAlignment="1">
      <alignment horizontal="center" vertical="center"/>
    </xf>
    <xf numFmtId="0" fontId="165" fillId="0" borderId="10" xfId="830" applyFont="1" applyFill="1" applyBorder="1" applyAlignment="1">
      <alignment horizontal="center" vertical="center"/>
    </xf>
    <xf numFmtId="0" fontId="165" fillId="0" borderId="18" xfId="830" applyFont="1" applyFill="1" applyBorder="1" applyAlignment="1">
      <alignment horizontal="center" vertical="center"/>
    </xf>
    <xf numFmtId="0" fontId="120" fillId="23" borderId="29" xfId="830" applyFont="1" applyFill="1" applyBorder="1" applyAlignment="1">
      <alignment horizontal="center" vertical="center"/>
    </xf>
    <xf numFmtId="0" fontId="120" fillId="23" borderId="44" xfId="830" applyFont="1" applyFill="1" applyBorder="1" applyAlignment="1">
      <alignment horizontal="center" vertical="center"/>
    </xf>
    <xf numFmtId="0" fontId="120" fillId="23" borderId="34" xfId="830" applyFont="1" applyFill="1" applyBorder="1" applyAlignment="1">
      <alignment horizontal="center" vertical="center"/>
    </xf>
    <xf numFmtId="0" fontId="14" fillId="23" borderId="23" xfId="830" applyFont="1" applyFill="1" applyBorder="1" applyAlignment="1">
      <alignment horizontal="center"/>
    </xf>
    <xf numFmtId="0" fontId="120" fillId="0" borderId="23" xfId="830" applyFont="1" applyBorder="1" applyAlignment="1">
      <alignment horizontal="center"/>
    </xf>
    <xf numFmtId="0" fontId="14" fillId="0" borderId="30" xfId="830" applyFont="1" applyBorder="1" applyAlignment="1">
      <alignment horizontal="center" vertical="center"/>
    </xf>
    <xf numFmtId="0" fontId="14" fillId="0" borderId="30" xfId="830" applyFont="1" applyBorder="1"/>
    <xf numFmtId="0" fontId="14" fillId="0" borderId="32" xfId="830" applyFont="1" applyBorder="1" applyAlignment="1">
      <alignment horizontal="center" vertical="center"/>
    </xf>
    <xf numFmtId="0" fontId="14" fillId="0" borderId="32" xfId="830" applyFont="1" applyBorder="1"/>
    <xf numFmtId="0" fontId="14" fillId="0" borderId="18" xfId="830" applyFont="1" applyBorder="1" applyAlignment="1">
      <alignment horizontal="left" vertical="center"/>
    </xf>
    <xf numFmtId="0" fontId="154" fillId="0" borderId="18" xfId="830" applyFont="1" applyBorder="1" applyAlignment="1">
      <alignment horizontal="center" vertical="center"/>
    </xf>
    <xf numFmtId="0" fontId="156" fillId="0" borderId="18" xfId="830" applyFont="1" applyBorder="1" applyAlignment="1">
      <alignment horizontal="center" vertical="center"/>
    </xf>
    <xf numFmtId="0" fontId="157" fillId="0" borderId="18" xfId="830" applyFont="1" applyBorder="1" applyAlignment="1">
      <alignment horizontal="center" vertical="center"/>
    </xf>
    <xf numFmtId="0" fontId="112" fillId="0" borderId="0" xfId="830" applyFont="1" applyBorder="1" applyAlignment="1">
      <alignment vertical="center"/>
    </xf>
    <xf numFmtId="0" fontId="272" fillId="0" borderId="0" xfId="0" applyFont="1" applyAlignment="1">
      <alignment horizontal="center"/>
    </xf>
    <xf numFmtId="0" fontId="121" fillId="0" borderId="0" xfId="0" applyFont="1" applyAlignment="1">
      <alignment horizontal="center" vertical="center"/>
    </xf>
    <xf numFmtId="0" fontId="117" fillId="23" borderId="18" xfId="0" applyFont="1" applyFill="1" applyBorder="1" applyAlignment="1">
      <alignment horizontal="center" vertical="center" wrapText="1"/>
    </xf>
    <xf numFmtId="0" fontId="261" fillId="0" borderId="0" xfId="374" applyFont="1" applyBorder="1" applyAlignment="1">
      <alignment horizontal="center" vertical="center"/>
    </xf>
    <xf numFmtId="0" fontId="261" fillId="0" borderId="0" xfId="374" applyFont="1" applyBorder="1" applyAlignment="1">
      <alignment vertical="center"/>
    </xf>
    <xf numFmtId="0" fontId="163" fillId="29" borderId="14" xfId="52" applyFont="1" applyFill="1" applyBorder="1" applyAlignment="1">
      <alignment vertical="center"/>
    </xf>
    <xf numFmtId="0" fontId="167" fillId="29" borderId="14" xfId="52" applyFont="1" applyFill="1" applyBorder="1" applyAlignment="1">
      <alignment vertical="center"/>
    </xf>
    <xf numFmtId="0" fontId="165" fillId="29" borderId="14" xfId="52" applyFont="1" applyFill="1" applyBorder="1" applyAlignment="1">
      <alignment vertical="center"/>
    </xf>
    <xf numFmtId="0" fontId="166" fillId="29" borderId="14" xfId="52" applyFont="1" applyFill="1" applyBorder="1" applyAlignment="1">
      <alignment vertical="center"/>
    </xf>
    <xf numFmtId="0" fontId="164" fillId="29" borderId="14" xfId="52" applyFont="1" applyFill="1" applyBorder="1" applyAlignment="1">
      <alignment vertical="center"/>
    </xf>
    <xf numFmtId="0" fontId="273" fillId="0" borderId="0" xfId="66" applyFont="1" applyAlignment="1">
      <alignment vertical="center"/>
    </xf>
    <xf numFmtId="0" fontId="165" fillId="0" borderId="10" xfId="66" applyFont="1" applyFill="1" applyBorder="1" applyAlignment="1">
      <alignment horizontal="center" vertical="center" wrapText="1"/>
    </xf>
    <xf numFmtId="0" fontId="164" fillId="0" borderId="10" xfId="66" applyFont="1" applyFill="1" applyBorder="1" applyAlignment="1">
      <alignment horizontal="center" vertical="center" wrapText="1"/>
    </xf>
    <xf numFmtId="0" fontId="167" fillId="0" borderId="10" xfId="66" applyFont="1" applyFill="1" applyBorder="1" applyAlignment="1">
      <alignment horizontal="center" vertical="center" wrapText="1"/>
    </xf>
    <xf numFmtId="0" fontId="163" fillId="0" borderId="10" xfId="66" applyFont="1" applyFill="1" applyBorder="1" applyAlignment="1">
      <alignment horizontal="center" vertical="center" wrapText="1"/>
    </xf>
    <xf numFmtId="0" fontId="98" fillId="0" borderId="0" xfId="66" applyFont="1" applyBorder="1" applyAlignment="1">
      <alignment horizontal="left" vertical="center" wrapText="1"/>
    </xf>
    <xf numFmtId="0" fontId="163" fillId="0" borderId="14" xfId="52" applyFont="1" applyFill="1" applyBorder="1" applyAlignment="1">
      <alignment vertical="center"/>
    </xf>
    <xf numFmtId="0" fontId="163" fillId="0" borderId="10" xfId="52" applyFont="1" applyFill="1" applyBorder="1" applyAlignment="1">
      <alignment horizontal="center" vertical="center"/>
    </xf>
    <xf numFmtId="3" fontId="163" fillId="0" borderId="13" xfId="54" applyNumberFormat="1" applyFont="1" applyFill="1" applyBorder="1" applyAlignment="1">
      <alignment horizontal="right" wrapText="1" indent="1"/>
    </xf>
    <xf numFmtId="3" fontId="163" fillId="0" borderId="14" xfId="54" applyNumberFormat="1" applyFont="1" applyFill="1" applyBorder="1" applyAlignment="1">
      <alignment horizontal="right" wrapText="1" indent="1"/>
    </xf>
    <xf numFmtId="3" fontId="163" fillId="0" borderId="10" xfId="54" applyNumberFormat="1" applyFont="1" applyFill="1" applyBorder="1" applyAlignment="1">
      <alignment horizontal="right" wrapText="1" indent="1"/>
    </xf>
    <xf numFmtId="0" fontId="164" fillId="0" borderId="14" xfId="52" applyFont="1" applyFill="1" applyBorder="1" applyAlignment="1">
      <alignment vertical="center"/>
    </xf>
    <xf numFmtId="0" fontId="164" fillId="0" borderId="10" xfId="52" applyFont="1" applyFill="1" applyBorder="1" applyAlignment="1">
      <alignment horizontal="center" vertical="center"/>
    </xf>
    <xf numFmtId="3" fontId="164" fillId="0" borderId="13" xfId="54" applyNumberFormat="1" applyFont="1" applyFill="1" applyBorder="1" applyAlignment="1">
      <alignment horizontal="right" wrapText="1" indent="1"/>
    </xf>
    <xf numFmtId="3" fontId="164" fillId="0" borderId="14" xfId="54" applyNumberFormat="1" applyFont="1" applyFill="1" applyBorder="1" applyAlignment="1">
      <alignment horizontal="right" wrapText="1" indent="1"/>
    </xf>
    <xf numFmtId="3" fontId="164" fillId="0" borderId="10" xfId="54" applyNumberFormat="1" applyFont="1" applyFill="1" applyBorder="1" applyAlignment="1">
      <alignment horizontal="right" wrapText="1" indent="1"/>
    </xf>
    <xf numFmtId="0" fontId="167" fillId="0" borderId="14" xfId="52" applyFont="1" applyFill="1" applyBorder="1" applyAlignment="1">
      <alignment vertical="center"/>
    </xf>
    <xf numFmtId="3" fontId="167" fillId="0" borderId="13" xfId="54" applyNumberFormat="1" applyFont="1" applyFill="1" applyBorder="1" applyAlignment="1">
      <alignment horizontal="right" wrapText="1" indent="1"/>
    </xf>
    <xf numFmtId="3" fontId="167" fillId="0" borderId="14" xfId="54" applyNumberFormat="1" applyFont="1" applyFill="1" applyBorder="1" applyAlignment="1">
      <alignment horizontal="right" wrapText="1" indent="1"/>
    </xf>
    <xf numFmtId="3" fontId="167" fillId="0" borderId="10" xfId="54" applyNumberFormat="1" applyFont="1" applyFill="1" applyBorder="1" applyAlignment="1">
      <alignment horizontal="right" wrapText="1" indent="1"/>
    </xf>
    <xf numFmtId="0" fontId="166" fillId="0" borderId="14" xfId="52" applyFont="1" applyFill="1" applyBorder="1" applyAlignment="1">
      <alignment vertical="center"/>
    </xf>
    <xf numFmtId="3" fontId="166" fillId="0" borderId="13" xfId="54" applyNumberFormat="1" applyFont="1" applyFill="1" applyBorder="1" applyAlignment="1">
      <alignment horizontal="right" wrapText="1" indent="1"/>
    </xf>
    <xf numFmtId="3" fontId="166" fillId="0" borderId="14" xfId="54" applyNumberFormat="1" applyFont="1" applyFill="1" applyBorder="1" applyAlignment="1">
      <alignment horizontal="right" wrapText="1" indent="1"/>
    </xf>
    <xf numFmtId="3" fontId="166" fillId="0" borderId="10" xfId="54" applyNumberFormat="1" applyFont="1" applyFill="1" applyBorder="1" applyAlignment="1">
      <alignment horizontal="right" wrapText="1" indent="1"/>
    </xf>
    <xf numFmtId="0" fontId="165" fillId="0" borderId="14" xfId="52" applyFont="1" applyFill="1" applyBorder="1" applyAlignment="1">
      <alignment vertical="center"/>
    </xf>
    <xf numFmtId="0" fontId="165" fillId="0" borderId="10" xfId="52" applyFont="1" applyFill="1" applyBorder="1" applyAlignment="1">
      <alignment horizontal="center" vertical="center"/>
    </xf>
    <xf numFmtId="3" fontId="165" fillId="0" borderId="13" xfId="54" applyNumberFormat="1" applyFont="1" applyFill="1" applyBorder="1" applyAlignment="1">
      <alignment horizontal="right" wrapText="1" indent="1"/>
    </xf>
    <xf numFmtId="3" fontId="165" fillId="0" borderId="14" xfId="54" applyNumberFormat="1" applyFont="1" applyFill="1" applyBorder="1" applyAlignment="1">
      <alignment horizontal="right" wrapText="1" indent="1"/>
    </xf>
    <xf numFmtId="3" fontId="165" fillId="0" borderId="10" xfId="54" applyNumberFormat="1" applyFont="1" applyFill="1" applyBorder="1" applyAlignment="1">
      <alignment horizontal="right" wrapText="1" indent="1"/>
    </xf>
    <xf numFmtId="0" fontId="163" fillId="0" borderId="14" xfId="463" applyFont="1" applyFill="1" applyBorder="1" applyAlignment="1">
      <alignment vertical="center"/>
    </xf>
    <xf numFmtId="0" fontId="163" fillId="0" borderId="10" xfId="463" applyFont="1" applyFill="1" applyBorder="1" applyAlignment="1">
      <alignment horizontal="center" vertical="center"/>
    </xf>
    <xf numFmtId="3" fontId="163" fillId="0" borderId="13" xfId="374" applyNumberFormat="1" applyFont="1" applyFill="1" applyBorder="1" applyAlignment="1">
      <alignment horizontal="right" indent="1"/>
    </xf>
    <xf numFmtId="3" fontId="163" fillId="0" borderId="14" xfId="374" applyNumberFormat="1" applyFont="1" applyFill="1" applyBorder="1" applyAlignment="1">
      <alignment horizontal="right" indent="1"/>
    </xf>
    <xf numFmtId="3" fontId="163" fillId="0" borderId="10" xfId="374" applyNumberFormat="1" applyFont="1" applyFill="1" applyBorder="1" applyAlignment="1">
      <alignment horizontal="right" indent="1"/>
    </xf>
    <xf numFmtId="3" fontId="164" fillId="0" borderId="10" xfId="374" applyNumberFormat="1" applyFont="1" applyFill="1" applyBorder="1" applyAlignment="1">
      <alignment horizontal="center" vertical="center"/>
    </xf>
    <xf numFmtId="3" fontId="164" fillId="0" borderId="13" xfId="374" applyNumberFormat="1" applyFont="1" applyFill="1" applyBorder="1" applyAlignment="1">
      <alignment horizontal="right" indent="1"/>
    </xf>
    <xf numFmtId="3" fontId="164" fillId="0" borderId="14" xfId="374" applyNumberFormat="1" applyFont="1" applyFill="1" applyBorder="1" applyAlignment="1">
      <alignment horizontal="right" indent="1"/>
    </xf>
    <xf numFmtId="3" fontId="164" fillId="0" borderId="10" xfId="374" applyNumberFormat="1" applyFont="1" applyFill="1" applyBorder="1" applyAlignment="1">
      <alignment horizontal="right" indent="1"/>
    </xf>
    <xf numFmtId="3" fontId="164" fillId="0" borderId="14" xfId="374" applyNumberFormat="1" applyFont="1" applyFill="1" applyBorder="1" applyAlignment="1"/>
    <xf numFmtId="3" fontId="167" fillId="0" borderId="10" xfId="374" applyNumberFormat="1" applyFont="1" applyFill="1" applyBorder="1" applyAlignment="1">
      <alignment horizontal="center" vertical="center"/>
    </xf>
    <xf numFmtId="3" fontId="167" fillId="0" borderId="13" xfId="374" applyNumberFormat="1" applyFont="1" applyFill="1" applyBorder="1" applyAlignment="1">
      <alignment horizontal="right" indent="1"/>
    </xf>
    <xf numFmtId="3" fontId="167" fillId="0" borderId="14" xfId="374" applyNumberFormat="1" applyFont="1" applyFill="1" applyBorder="1" applyAlignment="1">
      <alignment horizontal="right" indent="1"/>
    </xf>
    <xf numFmtId="3" fontId="167" fillId="0" borderId="10" xfId="374" applyNumberFormat="1" applyFont="1" applyFill="1" applyBorder="1" applyAlignment="1">
      <alignment horizontal="right" indent="1"/>
    </xf>
    <xf numFmtId="3" fontId="167" fillId="0" borderId="14" xfId="374" applyNumberFormat="1" applyFont="1" applyFill="1" applyBorder="1" applyAlignment="1"/>
    <xf numFmtId="3" fontId="165" fillId="0" borderId="10" xfId="374" applyNumberFormat="1" applyFont="1" applyFill="1" applyBorder="1" applyAlignment="1">
      <alignment horizontal="center" vertical="center"/>
    </xf>
    <xf numFmtId="3" fontId="165" fillId="0" borderId="13" xfId="374" applyNumberFormat="1" applyFont="1" applyFill="1" applyBorder="1" applyAlignment="1">
      <alignment horizontal="right" indent="1"/>
    </xf>
    <xf numFmtId="3" fontId="165" fillId="0" borderId="14" xfId="374" applyNumberFormat="1" applyFont="1" applyFill="1" applyBorder="1" applyAlignment="1">
      <alignment horizontal="right" indent="1"/>
    </xf>
    <xf numFmtId="3" fontId="165" fillId="0" borderId="10" xfId="374" applyNumberFormat="1" applyFont="1" applyFill="1" applyBorder="1" applyAlignment="1">
      <alignment horizontal="right" indent="1"/>
    </xf>
    <xf numFmtId="3" fontId="165" fillId="0" borderId="14" xfId="374" applyNumberFormat="1" applyFont="1" applyFill="1" applyBorder="1" applyAlignment="1"/>
    <xf numFmtId="0" fontId="13" fillId="0" borderId="0" xfId="640" applyFont="1"/>
    <xf numFmtId="0" fontId="167" fillId="0" borderId="22" xfId="52" applyFont="1" applyFill="1" applyBorder="1" applyAlignment="1">
      <alignment horizontal="center" vertical="center"/>
    </xf>
    <xf numFmtId="3" fontId="167" fillId="0" borderId="20" xfId="48" applyNumberFormat="1" applyFont="1" applyFill="1" applyBorder="1" applyAlignment="1">
      <alignment horizontal="right" vertical="center" indent="1"/>
    </xf>
    <xf numFmtId="3" fontId="167" fillId="0" borderId="23" xfId="48" applyNumberFormat="1" applyFont="1" applyFill="1" applyBorder="1" applyAlignment="1">
      <alignment horizontal="right" vertical="center" indent="1"/>
    </xf>
    <xf numFmtId="3" fontId="167" fillId="0" borderId="24" xfId="48" applyNumberFormat="1" applyFont="1" applyFill="1" applyBorder="1" applyAlignment="1">
      <alignment horizontal="right" vertical="center" indent="1"/>
    </xf>
    <xf numFmtId="3" fontId="167" fillId="0" borderId="22" xfId="48" applyNumberFormat="1" applyFont="1" applyFill="1" applyBorder="1" applyAlignment="1">
      <alignment horizontal="right" vertical="center" indent="1"/>
    </xf>
    <xf numFmtId="3" fontId="116" fillId="23" borderId="57" xfId="48" applyNumberFormat="1" applyFont="1" applyFill="1" applyBorder="1" applyAlignment="1">
      <alignment horizontal="right" vertical="center" indent="1"/>
    </xf>
    <xf numFmtId="3" fontId="116" fillId="23" borderId="48" xfId="48" applyNumberFormat="1" applyFont="1" applyFill="1" applyBorder="1" applyAlignment="1">
      <alignment horizontal="right" vertical="center" indent="1"/>
    </xf>
    <xf numFmtId="3" fontId="116" fillId="23" borderId="58" xfId="48" applyNumberFormat="1" applyFont="1" applyFill="1" applyBorder="1" applyAlignment="1">
      <alignment horizontal="right" vertical="center" indent="1"/>
    </xf>
    <xf numFmtId="3" fontId="116" fillId="23" borderId="56" xfId="48" applyNumberFormat="1" applyFont="1" applyFill="1" applyBorder="1" applyAlignment="1">
      <alignment horizontal="right" vertical="center" indent="1"/>
    </xf>
    <xf numFmtId="3" fontId="165" fillId="0" borderId="13" xfId="48" applyNumberFormat="1" applyFont="1" applyFill="1" applyBorder="1" applyAlignment="1">
      <alignment horizontal="right" vertical="center" indent="1"/>
    </xf>
    <xf numFmtId="3" fontId="165" fillId="0" borderId="18" xfId="48" applyNumberFormat="1" applyFont="1" applyFill="1" applyBorder="1" applyAlignment="1">
      <alignment horizontal="right" vertical="center" indent="1"/>
    </xf>
    <xf numFmtId="3" fontId="165" fillId="0" borderId="14" xfId="48" applyNumberFormat="1" applyFont="1" applyFill="1" applyBorder="1" applyAlignment="1">
      <alignment horizontal="right" vertical="center" indent="1"/>
    </xf>
    <xf numFmtId="3" fontId="165" fillId="0" borderId="10" xfId="48" applyNumberFormat="1" applyFont="1" applyFill="1" applyBorder="1" applyAlignment="1">
      <alignment horizontal="right" vertical="center" indent="1"/>
    </xf>
    <xf numFmtId="0" fontId="164" fillId="0" borderId="22" xfId="52" applyFont="1" applyFill="1" applyBorder="1" applyAlignment="1">
      <alignment horizontal="center" vertical="center"/>
    </xf>
    <xf numFmtId="3" fontId="164" fillId="0" borderId="20" xfId="48" applyNumberFormat="1" applyFont="1" applyFill="1" applyBorder="1" applyAlignment="1">
      <alignment horizontal="right" vertical="center" indent="1"/>
    </xf>
    <xf numFmtId="3" fontId="164" fillId="0" borderId="23" xfId="48" applyNumberFormat="1" applyFont="1" applyFill="1" applyBorder="1" applyAlignment="1">
      <alignment horizontal="right" vertical="center" indent="1"/>
    </xf>
    <xf numFmtId="3" fontId="164" fillId="0" borderId="24" xfId="48" applyNumberFormat="1" applyFont="1" applyFill="1" applyBorder="1" applyAlignment="1">
      <alignment horizontal="right" vertical="center" indent="1"/>
    </xf>
    <xf numFmtId="3" fontId="164" fillId="0" borderId="22" xfId="48" applyNumberFormat="1" applyFont="1" applyFill="1" applyBorder="1" applyAlignment="1">
      <alignment horizontal="right" vertical="center" indent="1"/>
    </xf>
    <xf numFmtId="0" fontId="163" fillId="0" borderId="22" xfId="52" applyFont="1" applyFill="1" applyBorder="1" applyAlignment="1">
      <alignment horizontal="center" vertical="center"/>
    </xf>
    <xf numFmtId="3" fontId="163" fillId="0" borderId="20" xfId="48" applyNumberFormat="1" applyFont="1" applyFill="1" applyBorder="1" applyAlignment="1">
      <alignment horizontal="right" vertical="center" indent="1"/>
    </xf>
    <xf numFmtId="3" fontId="163" fillId="0" borderId="23" xfId="48" applyNumberFormat="1" applyFont="1" applyFill="1" applyBorder="1" applyAlignment="1">
      <alignment horizontal="right" vertical="center" indent="1"/>
    </xf>
    <xf numFmtId="3" fontId="163" fillId="0" borderId="24" xfId="48" applyNumberFormat="1" applyFont="1" applyFill="1" applyBorder="1" applyAlignment="1">
      <alignment horizontal="right" vertical="center" indent="1"/>
    </xf>
    <xf numFmtId="3" fontId="163" fillId="0" borderId="22" xfId="48" applyNumberFormat="1" applyFont="1" applyFill="1" applyBorder="1" applyAlignment="1">
      <alignment horizontal="right" vertical="center" indent="1"/>
    </xf>
    <xf numFmtId="3" fontId="163" fillId="0" borderId="13" xfId="53" applyNumberFormat="1" applyFont="1" applyFill="1" applyBorder="1" applyAlignment="1">
      <alignment horizontal="right" vertical="center" indent="1"/>
    </xf>
    <xf numFmtId="3" fontId="163" fillId="0" borderId="18" xfId="53" applyNumberFormat="1" applyFont="1" applyFill="1" applyBorder="1" applyAlignment="1">
      <alignment horizontal="right" vertical="center" indent="1"/>
    </xf>
    <xf numFmtId="3" fontId="155" fillId="0" borderId="13" xfId="53" applyNumberFormat="1" applyFont="1" applyFill="1" applyBorder="1" applyAlignment="1">
      <alignment horizontal="right" vertical="center" indent="1"/>
    </xf>
    <xf numFmtId="3" fontId="164" fillId="0" borderId="13" xfId="53" applyNumberFormat="1" applyFont="1" applyFill="1" applyBorder="1" applyAlignment="1">
      <alignment horizontal="right" vertical="center" indent="1"/>
    </xf>
    <xf numFmtId="3" fontId="164" fillId="0" borderId="18" xfId="53" applyNumberFormat="1" applyFont="1" applyFill="1" applyBorder="1" applyAlignment="1">
      <alignment horizontal="right" vertical="center" indent="1"/>
    </xf>
    <xf numFmtId="3" fontId="165" fillId="0" borderId="13" xfId="53" applyNumberFormat="1" applyFont="1" applyFill="1" applyBorder="1" applyAlignment="1">
      <alignment horizontal="right" vertical="center" indent="1"/>
    </xf>
    <xf numFmtId="3" fontId="165" fillId="0" borderId="18" xfId="53" applyNumberFormat="1" applyFont="1" applyFill="1" applyBorder="1" applyAlignment="1">
      <alignment horizontal="right" vertical="center" indent="1"/>
    </xf>
    <xf numFmtId="3" fontId="125" fillId="29" borderId="16" xfId="53" applyNumberFormat="1" applyFont="1" applyFill="1" applyBorder="1" applyAlignment="1">
      <alignment horizontal="right" vertical="center" indent="1"/>
    </xf>
    <xf numFmtId="3" fontId="125" fillId="29" borderId="21" xfId="53" applyNumberFormat="1" applyFont="1" applyFill="1" applyBorder="1" applyAlignment="1">
      <alignment horizontal="right" vertical="center" indent="1"/>
    </xf>
    <xf numFmtId="0" fontId="117" fillId="0" borderId="25" xfId="52" applyFont="1" applyFill="1" applyBorder="1" applyAlignment="1">
      <alignment horizontal="center" vertical="center"/>
    </xf>
    <xf numFmtId="0" fontId="117" fillId="0" borderId="40" xfId="52" applyFont="1" applyFill="1" applyBorder="1" applyAlignment="1">
      <alignment horizontal="left" vertical="center"/>
    </xf>
    <xf numFmtId="4" fontId="125" fillId="0" borderId="25" xfId="53" applyNumberFormat="1" applyFont="1" applyFill="1" applyBorder="1" applyAlignment="1">
      <alignment horizontal="right" vertical="center" indent="1"/>
    </xf>
    <xf numFmtId="4" fontId="117" fillId="0" borderId="30" xfId="66" applyNumberFormat="1" applyFont="1" applyFill="1" applyBorder="1" applyAlignment="1">
      <alignment horizontal="right" vertical="center" indent="1"/>
    </xf>
    <xf numFmtId="4" fontId="125" fillId="0" borderId="40" xfId="53" applyNumberFormat="1" applyFont="1" applyFill="1" applyBorder="1" applyAlignment="1">
      <alignment horizontal="right" vertical="center" indent="1"/>
    </xf>
    <xf numFmtId="4" fontId="117" fillId="0" borderId="30" xfId="0" applyNumberFormat="1" applyFont="1" applyBorder="1" applyAlignment="1">
      <alignment horizontal="right" indent="1"/>
    </xf>
    <xf numFmtId="0" fontId="117" fillId="0" borderId="26" xfId="52" applyFont="1" applyFill="1" applyBorder="1" applyAlignment="1">
      <alignment horizontal="center" vertical="center"/>
    </xf>
    <xf numFmtId="0" fontId="117" fillId="0" borderId="41" xfId="52" applyFont="1" applyFill="1" applyBorder="1" applyAlignment="1">
      <alignment horizontal="left" vertical="center"/>
    </xf>
    <xf numFmtId="4" fontId="125" fillId="0" borderId="26" xfId="53" applyNumberFormat="1" applyFont="1" applyFill="1" applyBorder="1" applyAlignment="1">
      <alignment horizontal="right" vertical="center" indent="1"/>
    </xf>
    <xf numFmtId="4" fontId="117" fillId="0" borderId="31" xfId="66" applyNumberFormat="1" applyFont="1" applyFill="1" applyBorder="1" applyAlignment="1">
      <alignment horizontal="right" vertical="center" indent="1"/>
    </xf>
    <xf numFmtId="4" fontId="125" fillId="0" borderId="41" xfId="53" applyNumberFormat="1" applyFont="1" applyFill="1" applyBorder="1" applyAlignment="1">
      <alignment horizontal="right" vertical="center" indent="1"/>
    </xf>
    <xf numFmtId="4" fontId="117" fillId="0" borderId="31" xfId="0" applyNumberFormat="1" applyFont="1" applyBorder="1" applyAlignment="1">
      <alignment horizontal="right" indent="1"/>
    </xf>
    <xf numFmtId="4" fontId="117" fillId="0" borderId="26" xfId="66" applyNumberFormat="1" applyFont="1" applyFill="1" applyBorder="1" applyAlignment="1">
      <alignment horizontal="right" vertical="center" indent="1"/>
    </xf>
    <xf numFmtId="4" fontId="117" fillId="0" borderId="41" xfId="66" applyNumberFormat="1" applyFont="1" applyFill="1" applyBorder="1" applyAlignment="1">
      <alignment horizontal="right" vertical="center" indent="1"/>
    </xf>
    <xf numFmtId="0" fontId="117" fillId="0" borderId="27" xfId="52" applyFont="1" applyFill="1" applyBorder="1" applyAlignment="1">
      <alignment horizontal="center" vertical="center"/>
    </xf>
    <xf numFmtId="0" fontId="117" fillId="0" borderId="42" xfId="52" applyFont="1" applyFill="1" applyBorder="1" applyAlignment="1">
      <alignment horizontal="left" vertical="center"/>
    </xf>
    <xf numFmtId="4" fontId="117" fillId="0" borderId="27" xfId="66" applyNumberFormat="1" applyFont="1" applyFill="1" applyBorder="1" applyAlignment="1">
      <alignment horizontal="right" vertical="center" indent="1"/>
    </xf>
    <xf numFmtId="4" fontId="117" fillId="0" borderId="32" xfId="66" applyNumberFormat="1" applyFont="1" applyFill="1" applyBorder="1" applyAlignment="1">
      <alignment horizontal="right" vertical="center" indent="1"/>
    </xf>
    <xf numFmtId="4" fontId="117" fillId="0" borderId="42" xfId="66" applyNumberFormat="1" applyFont="1" applyFill="1" applyBorder="1" applyAlignment="1">
      <alignment horizontal="right" vertical="center" indent="1"/>
    </xf>
    <xf numFmtId="0" fontId="117" fillId="0" borderId="28" xfId="52" applyFont="1" applyFill="1" applyBorder="1" applyAlignment="1">
      <alignment horizontal="center" vertical="center"/>
    </xf>
    <xf numFmtId="0" fontId="117" fillId="0" borderId="43" xfId="52" applyFont="1" applyFill="1" applyBorder="1" applyAlignment="1">
      <alignment horizontal="left" vertical="center"/>
    </xf>
    <xf numFmtId="4" fontId="125" fillId="0" borderId="28" xfId="53" applyNumberFormat="1" applyFont="1" applyFill="1" applyBorder="1" applyAlignment="1">
      <alignment horizontal="right" vertical="center" indent="1"/>
    </xf>
    <xf numFmtId="4" fontId="117" fillId="0" borderId="33" xfId="66" applyNumberFormat="1" applyFont="1" applyFill="1" applyBorder="1" applyAlignment="1">
      <alignment horizontal="right" vertical="center" indent="1"/>
    </xf>
    <xf numFmtId="4" fontId="125" fillId="0" borderId="43" xfId="53" applyNumberFormat="1" applyFont="1" applyFill="1" applyBorder="1" applyAlignment="1">
      <alignment horizontal="right" vertical="center" indent="1"/>
    </xf>
    <xf numFmtId="4" fontId="117" fillId="0" borderId="33" xfId="0" applyNumberFormat="1" applyFont="1" applyBorder="1" applyAlignment="1">
      <alignment horizontal="right" indent="1"/>
    </xf>
    <xf numFmtId="4" fontId="125" fillId="0" borderId="27" xfId="53" applyNumberFormat="1" applyFont="1" applyFill="1" applyBorder="1" applyAlignment="1">
      <alignment horizontal="right" vertical="center" indent="1"/>
    </xf>
    <xf numFmtId="4" fontId="125" fillId="0" borderId="42" xfId="53" applyNumberFormat="1" applyFont="1" applyFill="1" applyBorder="1" applyAlignment="1">
      <alignment horizontal="right" vertical="center" indent="1"/>
    </xf>
    <xf numFmtId="4" fontId="117" fillId="0" borderId="32" xfId="0" applyNumberFormat="1" applyFont="1" applyBorder="1" applyAlignment="1">
      <alignment horizontal="right" indent="1"/>
    </xf>
    <xf numFmtId="4" fontId="117" fillId="0" borderId="28" xfId="66" applyNumberFormat="1" applyFont="1" applyFill="1" applyBorder="1" applyAlignment="1">
      <alignment horizontal="right" vertical="center" indent="1"/>
    </xf>
    <xf numFmtId="4" fontId="117" fillId="0" borderId="43" xfId="66" applyNumberFormat="1" applyFont="1" applyFill="1" applyBorder="1" applyAlignment="1">
      <alignment horizontal="right" vertical="center" indent="1"/>
    </xf>
    <xf numFmtId="0" fontId="117" fillId="0" borderId="52" xfId="374" applyFont="1" applyBorder="1" applyAlignment="1">
      <alignment horizontal="right" vertical="center" indent="1"/>
    </xf>
    <xf numFmtId="0" fontId="117" fillId="0" borderId="70" xfId="374" applyFont="1" applyBorder="1" applyAlignment="1">
      <alignment horizontal="right" vertical="center" indent="1"/>
    </xf>
    <xf numFmtId="0" fontId="117" fillId="0" borderId="47" xfId="374" applyFont="1" applyBorder="1" applyAlignment="1">
      <alignment horizontal="right" vertical="center" indent="1"/>
    </xf>
    <xf numFmtId="0" fontId="116" fillId="23" borderId="18" xfId="0" applyFont="1" applyFill="1" applyBorder="1" applyAlignment="1">
      <alignment horizontal="center" vertical="center"/>
    </xf>
    <xf numFmtId="0" fontId="138" fillId="23" borderId="18" xfId="827" applyFont="1" applyFill="1" applyBorder="1" applyAlignment="1">
      <alignment horizontal="center" vertical="center"/>
    </xf>
    <xf numFmtId="0" fontId="90" fillId="23" borderId="18" xfId="827" applyFont="1" applyFill="1" applyBorder="1" applyAlignment="1">
      <alignment horizontal="center" vertical="center"/>
    </xf>
    <xf numFmtId="3" fontId="163" fillId="0" borderId="16" xfId="66" applyNumberFormat="1" applyFont="1" applyFill="1" applyBorder="1" applyAlignment="1" applyProtection="1">
      <alignment horizontal="center" vertical="center"/>
      <protection locked="0"/>
    </xf>
    <xf numFmtId="3" fontId="163" fillId="0" borderId="0" xfId="66" applyNumberFormat="1" applyFont="1" applyFill="1" applyBorder="1" applyAlignment="1" applyProtection="1">
      <alignment horizontal="center" vertical="center"/>
      <protection locked="0"/>
    </xf>
    <xf numFmtId="3" fontId="163" fillId="0" borderId="17" xfId="66" applyNumberFormat="1" applyFont="1" applyFill="1" applyBorder="1" applyAlignment="1" applyProtection="1">
      <alignment horizontal="center" vertical="center"/>
    </xf>
    <xf numFmtId="3" fontId="163" fillId="0" borderId="13" xfId="66" applyNumberFormat="1" applyFont="1" applyFill="1" applyBorder="1" applyAlignment="1">
      <alignment horizontal="center" vertical="center"/>
    </xf>
    <xf numFmtId="3" fontId="163" fillId="0" borderId="14" xfId="66" applyNumberFormat="1" applyFont="1" applyFill="1" applyBorder="1" applyAlignment="1">
      <alignment horizontal="center" vertical="center"/>
    </xf>
    <xf numFmtId="3" fontId="163" fillId="0" borderId="10" xfId="66" applyNumberFormat="1" applyFont="1" applyFill="1" applyBorder="1" applyAlignment="1">
      <alignment horizontal="center" vertical="center"/>
    </xf>
    <xf numFmtId="3" fontId="163" fillId="0" borderId="37" xfId="66" applyNumberFormat="1" applyFont="1" applyFill="1" applyBorder="1" applyAlignment="1">
      <alignment horizontal="center" vertical="center"/>
    </xf>
    <xf numFmtId="3" fontId="167" fillId="0" borderId="16" xfId="66" applyNumberFormat="1" applyFont="1" applyFill="1" applyBorder="1" applyAlignment="1" applyProtection="1">
      <alignment horizontal="center" vertical="center"/>
      <protection locked="0"/>
    </xf>
    <xf numFmtId="3" fontId="167" fillId="0" borderId="0" xfId="66" applyNumberFormat="1" applyFont="1" applyFill="1" applyBorder="1" applyAlignment="1" applyProtection="1">
      <alignment horizontal="center" vertical="center"/>
      <protection locked="0"/>
    </xf>
    <xf numFmtId="3" fontId="167" fillId="0" borderId="17" xfId="66" applyNumberFormat="1" applyFont="1" applyFill="1" applyBorder="1" applyAlignment="1" applyProtection="1">
      <alignment horizontal="center" vertical="center"/>
    </xf>
    <xf numFmtId="3" fontId="167" fillId="0" borderId="13" xfId="66" applyNumberFormat="1" applyFont="1" applyFill="1" applyBorder="1" applyAlignment="1">
      <alignment horizontal="center" vertical="center"/>
    </xf>
    <xf numFmtId="3" fontId="167" fillId="0" borderId="14" xfId="66" applyNumberFormat="1" applyFont="1" applyFill="1" applyBorder="1" applyAlignment="1">
      <alignment horizontal="center" vertical="center"/>
    </xf>
    <xf numFmtId="3" fontId="167" fillId="0" borderId="10" xfId="66" applyNumberFormat="1" applyFont="1" applyFill="1" applyBorder="1" applyAlignment="1">
      <alignment horizontal="center" vertical="center"/>
    </xf>
    <xf numFmtId="3" fontId="167" fillId="0" borderId="37" xfId="66" applyNumberFormat="1" applyFont="1" applyFill="1" applyBorder="1" applyAlignment="1">
      <alignment horizontal="center" vertical="center"/>
    </xf>
    <xf numFmtId="3" fontId="165" fillId="0" borderId="16" xfId="66" applyNumberFormat="1" applyFont="1" applyFill="1" applyBorder="1" applyAlignment="1" applyProtection="1">
      <alignment horizontal="center" vertical="center"/>
      <protection locked="0"/>
    </xf>
    <xf numFmtId="3" fontId="165" fillId="0" borderId="0" xfId="66" applyNumberFormat="1" applyFont="1" applyFill="1" applyBorder="1" applyAlignment="1" applyProtection="1">
      <alignment horizontal="center" vertical="center"/>
      <protection locked="0"/>
    </xf>
    <xf numFmtId="3" fontId="165" fillId="0" borderId="17" xfId="66" applyNumberFormat="1" applyFont="1" applyFill="1" applyBorder="1" applyAlignment="1" applyProtection="1">
      <alignment horizontal="center" vertical="center"/>
    </xf>
    <xf numFmtId="3" fontId="165" fillId="0" borderId="13" xfId="66" applyNumberFormat="1" applyFont="1" applyFill="1" applyBorder="1" applyAlignment="1">
      <alignment horizontal="center" vertical="center"/>
    </xf>
    <xf numFmtId="3" fontId="165" fillId="0" borderId="14" xfId="66" applyNumberFormat="1" applyFont="1" applyFill="1" applyBorder="1" applyAlignment="1">
      <alignment horizontal="center" vertical="center"/>
    </xf>
    <xf numFmtId="3" fontId="165" fillId="0" borderId="10" xfId="66" applyNumberFormat="1" applyFont="1" applyFill="1" applyBorder="1" applyAlignment="1">
      <alignment horizontal="center" vertical="center"/>
    </xf>
    <xf numFmtId="3" fontId="165" fillId="0" borderId="37" xfId="66" applyNumberFormat="1" applyFont="1" applyFill="1" applyBorder="1" applyAlignment="1">
      <alignment horizontal="center" vertical="center"/>
    </xf>
    <xf numFmtId="3" fontId="164" fillId="0" borderId="13" xfId="66" applyNumberFormat="1" applyFont="1" applyFill="1" applyBorder="1" applyAlignment="1" applyProtection="1">
      <alignment horizontal="center" vertical="center"/>
      <protection locked="0"/>
    </xf>
    <xf numFmtId="3" fontId="164" fillId="0" borderId="14" xfId="66" applyNumberFormat="1" applyFont="1" applyFill="1" applyBorder="1" applyAlignment="1" applyProtection="1">
      <alignment horizontal="center" vertical="center"/>
      <protection locked="0"/>
    </xf>
    <xf numFmtId="3" fontId="164" fillId="0" borderId="10" xfId="66" applyNumberFormat="1" applyFont="1" applyFill="1" applyBorder="1" applyAlignment="1" applyProtection="1">
      <alignment horizontal="center" vertical="center"/>
    </xf>
    <xf numFmtId="3" fontId="164" fillId="0" borderId="14" xfId="66" applyNumberFormat="1" applyFont="1" applyFill="1" applyBorder="1" applyAlignment="1" applyProtection="1">
      <alignment horizontal="center" vertical="center"/>
    </xf>
    <xf numFmtId="0" fontId="163" fillId="0" borderId="14" xfId="66" applyFont="1" applyFill="1" applyBorder="1" applyAlignment="1">
      <alignment vertical="center" wrapText="1"/>
    </xf>
    <xf numFmtId="0" fontId="156" fillId="0" borderId="14" xfId="66" applyFont="1" applyFill="1" applyBorder="1" applyAlignment="1">
      <alignment horizontal="center" vertical="center"/>
    </xf>
    <xf numFmtId="0" fontId="157" fillId="0" borderId="14" xfId="66" applyFont="1" applyFill="1" applyBorder="1" applyAlignment="1">
      <alignment horizontal="center" vertical="center"/>
    </xf>
    <xf numFmtId="0" fontId="155" fillId="0" borderId="14" xfId="66" applyFont="1" applyFill="1" applyBorder="1" applyAlignment="1">
      <alignment horizontal="center" vertical="center"/>
    </xf>
    <xf numFmtId="0" fontId="273" fillId="0" borderId="0" xfId="66" applyFont="1" applyAlignment="1">
      <alignment horizontal="center" vertical="center"/>
    </xf>
    <xf numFmtId="0" fontId="60" fillId="0" borderId="0" xfId="66" applyFont="1" applyAlignment="1">
      <alignment vertical="center" wrapText="1"/>
    </xf>
    <xf numFmtId="3" fontId="118" fillId="0" borderId="19" xfId="0" applyNumberFormat="1" applyFont="1" applyBorder="1" applyAlignment="1">
      <alignment horizontal="center" vertical="center"/>
    </xf>
    <xf numFmtId="3" fontId="118" fillId="0" borderId="23" xfId="0" applyNumberFormat="1" applyFont="1" applyBorder="1" applyAlignment="1">
      <alignment horizontal="center" vertical="center"/>
    </xf>
    <xf numFmtId="3" fontId="118" fillId="0" borderId="21" xfId="0" applyNumberFormat="1" applyFont="1" applyBorder="1" applyAlignment="1">
      <alignment horizontal="center" vertical="center"/>
    </xf>
    <xf numFmtId="0" fontId="274" fillId="0" borderId="0" xfId="66" applyFont="1" applyAlignment="1">
      <alignment vertical="center"/>
    </xf>
    <xf numFmtId="0" fontId="121" fillId="0" borderId="0" xfId="655" applyFont="1" applyFill="1" applyBorder="1" applyAlignment="1">
      <alignment vertical="center"/>
    </xf>
    <xf numFmtId="1" fontId="223" fillId="0" borderId="0" xfId="66" applyNumberFormat="1" applyFont="1" applyBorder="1"/>
    <xf numFmtId="0" fontId="223" fillId="0" borderId="0" xfId="66" applyFont="1" applyBorder="1"/>
    <xf numFmtId="0" fontId="275" fillId="0" borderId="0" xfId="464" applyFont="1" applyAlignment="1">
      <alignment horizontal="center" vertical="center"/>
    </xf>
    <xf numFmtId="0" fontId="275" fillId="0" borderId="0" xfId="464" applyFont="1" applyFill="1" applyBorder="1" applyAlignment="1">
      <alignment horizontal="center" vertical="center"/>
    </xf>
    <xf numFmtId="0" fontId="121" fillId="0" borderId="0" xfId="830" applyFont="1" applyAlignment="1">
      <alignment horizontal="left" vertical="center"/>
    </xf>
    <xf numFmtId="0" fontId="148" fillId="0" borderId="0" xfId="0" applyFont="1"/>
    <xf numFmtId="0" fontId="121" fillId="0" borderId="0" xfId="830" applyFont="1" applyBorder="1" applyAlignment="1">
      <alignment vertical="center"/>
    </xf>
    <xf numFmtId="0" fontId="120" fillId="0" borderId="0" xfId="830" applyFont="1" applyBorder="1" applyAlignment="1">
      <alignment vertical="center" wrapText="1"/>
    </xf>
    <xf numFmtId="0" fontId="121" fillId="0" borderId="0" xfId="830" applyFont="1"/>
    <xf numFmtId="0" fontId="125" fillId="0" borderId="184" xfId="45" applyFont="1" applyFill="1" applyBorder="1" applyAlignment="1">
      <alignment horizontal="center" vertical="center"/>
    </xf>
    <xf numFmtId="0" fontId="138" fillId="23" borderId="187" xfId="45" applyFont="1" applyFill="1" applyBorder="1" applyAlignment="1">
      <alignment horizontal="centerContinuous" vertical="center"/>
    </xf>
    <xf numFmtId="0" fontId="138" fillId="23" borderId="189" xfId="45" applyFont="1" applyFill="1" applyBorder="1" applyAlignment="1">
      <alignment horizontal="centerContinuous" vertical="center"/>
    </xf>
    <xf numFmtId="0" fontId="276" fillId="23" borderId="19" xfId="632" applyFont="1" applyFill="1" applyBorder="1" applyAlignment="1">
      <alignment horizontal="center" vertical="center" wrapText="1"/>
    </xf>
    <xf numFmtId="0" fontId="224" fillId="0" borderId="0" xfId="632" applyFont="1" applyAlignment="1">
      <alignment horizontal="centerContinuous" vertical="center"/>
    </xf>
    <xf numFmtId="0" fontId="276" fillId="23" borderId="19" xfId="632" applyFont="1" applyFill="1" applyBorder="1" applyAlignment="1">
      <alignment horizontal="center" vertical="center"/>
    </xf>
    <xf numFmtId="0" fontId="224" fillId="20" borderId="19" xfId="632" applyFont="1" applyFill="1" applyBorder="1" applyAlignment="1">
      <alignment horizontal="center" vertical="center"/>
    </xf>
    <xf numFmtId="0" fontId="224" fillId="0" borderId="0" xfId="632" applyFont="1"/>
    <xf numFmtId="3" fontId="224" fillId="20" borderId="19" xfId="632" applyNumberFormat="1" applyFont="1" applyFill="1" applyBorder="1" applyAlignment="1">
      <alignment horizontal="right" vertical="center" indent="1"/>
    </xf>
    <xf numFmtId="0" fontId="224" fillId="20" borderId="21" xfId="632" applyFont="1" applyFill="1" applyBorder="1" applyAlignment="1">
      <alignment horizontal="center" vertical="center"/>
    </xf>
    <xf numFmtId="3" fontId="224" fillId="20" borderId="21" xfId="632" applyNumberFormat="1" applyFont="1" applyFill="1" applyBorder="1" applyAlignment="1">
      <alignment horizontal="right" vertical="center" indent="1"/>
    </xf>
    <xf numFmtId="0" fontId="224" fillId="20" borderId="23" xfId="632" applyFont="1" applyFill="1" applyBorder="1" applyAlignment="1">
      <alignment horizontal="center" vertical="center"/>
    </xf>
    <xf numFmtId="3" fontId="224" fillId="20" borderId="23" xfId="632" applyNumberFormat="1" applyFont="1" applyFill="1" applyBorder="1" applyAlignment="1">
      <alignment horizontal="right" vertical="center" indent="1"/>
    </xf>
    <xf numFmtId="0" fontId="276" fillId="23" borderId="23" xfId="632" applyFont="1" applyFill="1" applyBorder="1" applyAlignment="1">
      <alignment horizontal="center" vertical="center"/>
    </xf>
    <xf numFmtId="3" fontId="224" fillId="23" borderId="18" xfId="632" applyNumberFormat="1" applyFont="1" applyFill="1" applyBorder="1" applyAlignment="1">
      <alignment horizontal="right" vertical="center" indent="1"/>
    </xf>
    <xf numFmtId="0" fontId="276" fillId="23" borderId="18" xfId="632" applyFont="1" applyFill="1" applyBorder="1" applyAlignment="1">
      <alignment horizontal="center" vertical="center"/>
    </xf>
    <xf numFmtId="168" fontId="119" fillId="20" borderId="19" xfId="634" applyNumberFormat="1" applyFont="1" applyFill="1" applyBorder="1" applyAlignment="1">
      <alignment horizontal="center" vertical="center"/>
    </xf>
    <xf numFmtId="168" fontId="119" fillId="20" borderId="21" xfId="634" applyNumberFormat="1" applyFont="1" applyFill="1" applyBorder="1" applyAlignment="1">
      <alignment horizontal="center" vertical="center"/>
    </xf>
    <xf numFmtId="168" fontId="119" fillId="20" borderId="23" xfId="634" applyNumberFormat="1" applyFont="1" applyFill="1" applyBorder="1" applyAlignment="1">
      <alignment horizontal="center" vertical="center"/>
    </xf>
    <xf numFmtId="9" fontId="119" fillId="23" borderId="18" xfId="634" applyNumberFormat="1" applyFont="1" applyFill="1" applyBorder="1" applyAlignment="1">
      <alignment horizontal="center" vertical="center"/>
    </xf>
    <xf numFmtId="0" fontId="276" fillId="23" borderId="18" xfId="632" applyFont="1" applyFill="1" applyBorder="1" applyAlignment="1">
      <alignment horizontal="center" vertical="center" wrapText="1"/>
    </xf>
    <xf numFmtId="168" fontId="119" fillId="23" borderId="18" xfId="634" applyNumberFormat="1" applyFont="1" applyFill="1" applyBorder="1" applyAlignment="1">
      <alignment horizontal="center" vertical="center"/>
    </xf>
    <xf numFmtId="0" fontId="116" fillId="23" borderId="187" xfId="66" applyFont="1" applyFill="1" applyBorder="1" applyAlignment="1">
      <alignment horizontal="center" vertical="center" wrapText="1"/>
    </xf>
    <xf numFmtId="0" fontId="116" fillId="23" borderId="189" xfId="66" applyFont="1" applyFill="1" applyBorder="1" applyAlignment="1">
      <alignment horizontal="center" vertical="center" wrapText="1"/>
    </xf>
    <xf numFmtId="182" fontId="116" fillId="23" borderId="187" xfId="0" applyNumberFormat="1" applyFont="1" applyFill="1" applyBorder="1" applyAlignment="1">
      <alignment horizontal="right" vertical="center" indent="1"/>
    </xf>
    <xf numFmtId="168" fontId="119" fillId="0" borderId="0" xfId="374" applyNumberFormat="1" applyFont="1"/>
    <xf numFmtId="165" fontId="119" fillId="0" borderId="0" xfId="374" applyNumberFormat="1" applyFont="1"/>
    <xf numFmtId="0" fontId="119" fillId="0" borderId="0" xfId="374" applyFont="1"/>
    <xf numFmtId="9" fontId="119" fillId="0" borderId="0" xfId="57" applyFont="1"/>
    <xf numFmtId="0" fontId="140" fillId="0" borderId="0" xfId="374" applyFont="1" applyAlignment="1">
      <alignment horizontal="center"/>
    </xf>
    <xf numFmtId="0" fontId="136" fillId="0" borderId="110" xfId="32" applyFont="1" applyBorder="1" applyAlignment="1" applyProtection="1"/>
    <xf numFmtId="0" fontId="60" fillId="0" borderId="0" xfId="0" applyFont="1" applyBorder="1" applyAlignment="1">
      <alignment horizontal="left" vertical="center" wrapText="1"/>
    </xf>
    <xf numFmtId="0" fontId="275" fillId="0" borderId="0" xfId="73" applyFont="1" applyAlignment="1">
      <alignment vertical="center"/>
    </xf>
    <xf numFmtId="0" fontId="277" fillId="0" borderId="0" xfId="0" applyFont="1" applyAlignment="1">
      <alignment vertical="center"/>
    </xf>
    <xf numFmtId="0" fontId="273" fillId="0" borderId="0" xfId="0" applyFont="1" applyAlignment="1">
      <alignment vertical="center"/>
    </xf>
    <xf numFmtId="0" fontId="163" fillId="23" borderId="18" xfId="0" applyFont="1" applyFill="1" applyBorder="1" applyAlignment="1">
      <alignment horizontal="center" vertical="center"/>
    </xf>
    <xf numFmtId="0" fontId="164" fillId="23" borderId="18" xfId="0" applyFont="1" applyFill="1" applyBorder="1" applyAlignment="1">
      <alignment horizontal="center" vertical="center"/>
    </xf>
    <xf numFmtId="0" fontId="167" fillId="23" borderId="18" xfId="0" applyFont="1" applyFill="1" applyBorder="1" applyAlignment="1">
      <alignment horizontal="center" vertical="center"/>
    </xf>
    <xf numFmtId="0" fontId="165" fillId="23" borderId="18" xfId="0" applyFont="1" applyFill="1" applyBorder="1" applyAlignment="1">
      <alignment horizontal="center" vertical="center"/>
    </xf>
    <xf numFmtId="0" fontId="64" fillId="0" borderId="0" xfId="73" applyFont="1" applyBorder="1" applyAlignment="1">
      <alignment vertical="center" wrapText="1"/>
    </xf>
    <xf numFmtId="0" fontId="133" fillId="0" borderId="0" xfId="0" applyFont="1" applyAlignment="1"/>
    <xf numFmtId="0" fontId="119" fillId="0" borderId="0" xfId="0" applyFont="1"/>
    <xf numFmtId="0" fontId="148" fillId="0" borderId="0" xfId="0" applyFont="1" applyAlignment="1">
      <alignment vertical="center"/>
    </xf>
    <xf numFmtId="0" fontId="273" fillId="0" borderId="0" xfId="0" applyFont="1"/>
    <xf numFmtId="0" fontId="276" fillId="23" borderId="18" xfId="635" applyFont="1" applyFill="1" applyBorder="1" applyAlignment="1">
      <alignment horizontal="center" vertical="center" wrapText="1"/>
    </xf>
    <xf numFmtId="0" fontId="276" fillId="23" borderId="18" xfId="635" applyFont="1" applyFill="1" applyBorder="1" applyAlignment="1">
      <alignment horizontal="center" vertical="center"/>
    </xf>
    <xf numFmtId="0" fontId="224" fillId="20" borderId="19" xfId="635" applyFont="1" applyFill="1" applyBorder="1" applyAlignment="1">
      <alignment horizontal="center" vertical="center"/>
    </xf>
    <xf numFmtId="0" fontId="224" fillId="20" borderId="11" xfId="635" applyFont="1" applyFill="1" applyBorder="1" applyAlignment="1">
      <alignment horizontal="center" vertical="center"/>
    </xf>
    <xf numFmtId="0" fontId="224" fillId="20" borderId="21" xfId="635" applyFont="1" applyFill="1" applyBorder="1" applyAlignment="1">
      <alignment horizontal="center" vertical="center"/>
    </xf>
    <xf numFmtId="0" fontId="224" fillId="20" borderId="23" xfId="635" applyFont="1" applyFill="1" applyBorder="1" applyAlignment="1">
      <alignment horizontal="center" vertical="center"/>
    </xf>
    <xf numFmtId="0" fontId="224" fillId="20" borderId="20" xfId="635" applyFont="1" applyFill="1" applyBorder="1" applyAlignment="1">
      <alignment horizontal="center" vertical="center"/>
    </xf>
    <xf numFmtId="165" fontId="119" fillId="23" borderId="18" xfId="636" applyNumberFormat="1" applyFont="1" applyFill="1" applyBorder="1" applyAlignment="1">
      <alignment horizontal="center" vertical="center"/>
    </xf>
    <xf numFmtId="168" fontId="119" fillId="20" borderId="19" xfId="637" applyNumberFormat="1" applyFont="1" applyFill="1" applyBorder="1" applyAlignment="1">
      <alignment horizontal="center" vertical="center"/>
    </xf>
    <xf numFmtId="168" fontId="119" fillId="20" borderId="21" xfId="637" applyNumberFormat="1" applyFont="1" applyFill="1" applyBorder="1" applyAlignment="1">
      <alignment horizontal="center" vertical="center"/>
    </xf>
    <xf numFmtId="168" fontId="119" fillId="20" borderId="23" xfId="637" applyNumberFormat="1" applyFont="1" applyFill="1" applyBorder="1" applyAlignment="1">
      <alignment horizontal="center" vertical="center"/>
    </xf>
    <xf numFmtId="168" fontId="119" fillId="23" borderId="18" xfId="637" applyNumberFormat="1" applyFont="1" applyFill="1" applyBorder="1" applyAlignment="1">
      <alignment horizontal="center" vertical="center"/>
    </xf>
    <xf numFmtId="0" fontId="276" fillId="23" borderId="19" xfId="635" applyFont="1" applyFill="1" applyBorder="1" applyAlignment="1">
      <alignment horizontal="center" vertical="center" wrapText="1"/>
    </xf>
    <xf numFmtId="0" fontId="276" fillId="23" borderId="23" xfId="635" applyFont="1" applyFill="1" applyBorder="1" applyAlignment="1">
      <alignment horizontal="center" vertical="center"/>
    </xf>
    <xf numFmtId="9" fontId="119" fillId="23" borderId="18" xfId="637" applyFont="1" applyFill="1" applyBorder="1" applyAlignment="1">
      <alignment horizontal="center" vertical="center"/>
    </xf>
    <xf numFmtId="3" fontId="163" fillId="29" borderId="187" xfId="374" applyNumberFormat="1" applyFont="1" applyFill="1" applyBorder="1" applyAlignment="1">
      <alignment horizontal="right" indent="1"/>
    </xf>
    <xf numFmtId="3" fontId="163" fillId="29" borderId="188" xfId="374" applyNumberFormat="1" applyFont="1" applyFill="1" applyBorder="1" applyAlignment="1">
      <alignment horizontal="right" indent="1"/>
    </xf>
    <xf numFmtId="3" fontId="163" fillId="29" borderId="189" xfId="374" applyNumberFormat="1" applyFont="1" applyFill="1" applyBorder="1" applyAlignment="1">
      <alignment horizontal="right" indent="1"/>
    </xf>
    <xf numFmtId="3" fontId="164" fillId="29" borderId="187" xfId="374" applyNumberFormat="1" applyFont="1" applyFill="1" applyBorder="1" applyAlignment="1">
      <alignment horizontal="right" indent="1"/>
    </xf>
    <xf numFmtId="3" fontId="164" fillId="29" borderId="188" xfId="374" applyNumberFormat="1" applyFont="1" applyFill="1" applyBorder="1" applyAlignment="1">
      <alignment horizontal="right" indent="1"/>
    </xf>
    <xf numFmtId="3" fontId="164" fillId="29" borderId="189" xfId="374" applyNumberFormat="1" applyFont="1" applyFill="1" applyBorder="1" applyAlignment="1">
      <alignment horizontal="right" indent="1"/>
    </xf>
    <xf numFmtId="3" fontId="167" fillId="29" borderId="187" xfId="374" applyNumberFormat="1" applyFont="1" applyFill="1" applyBorder="1" applyAlignment="1">
      <alignment horizontal="right" indent="1"/>
    </xf>
    <xf numFmtId="3" fontId="167" fillId="29" borderId="188" xfId="374" applyNumberFormat="1" applyFont="1" applyFill="1" applyBorder="1" applyAlignment="1">
      <alignment horizontal="right" indent="1"/>
    </xf>
    <xf numFmtId="3" fontId="167" fillId="29" borderId="189" xfId="374" applyNumberFormat="1" applyFont="1" applyFill="1" applyBorder="1" applyAlignment="1">
      <alignment horizontal="right" indent="1"/>
    </xf>
    <xf numFmtId="3" fontId="165" fillId="29" borderId="187" xfId="374" applyNumberFormat="1" applyFont="1" applyFill="1" applyBorder="1" applyAlignment="1">
      <alignment horizontal="right" indent="1"/>
    </xf>
    <xf numFmtId="3" fontId="165" fillId="29" borderId="188" xfId="374" applyNumberFormat="1" applyFont="1" applyFill="1" applyBorder="1" applyAlignment="1">
      <alignment horizontal="right" indent="1"/>
    </xf>
    <xf numFmtId="3" fontId="165" fillId="29" borderId="189" xfId="374" applyNumberFormat="1" applyFont="1" applyFill="1" applyBorder="1" applyAlignment="1">
      <alignment horizontal="right" indent="1"/>
    </xf>
    <xf numFmtId="0" fontId="116" fillId="23" borderId="188" xfId="0" applyFont="1" applyFill="1" applyBorder="1" applyAlignment="1">
      <alignment horizontal="center" vertical="center" wrapText="1"/>
    </xf>
    <xf numFmtId="0" fontId="116" fillId="23" borderId="187" xfId="0" applyFont="1" applyFill="1" applyBorder="1" applyAlignment="1">
      <alignment horizontal="center" vertical="center" wrapText="1"/>
    </xf>
    <xf numFmtId="0" fontId="116" fillId="23" borderId="189" xfId="0" applyFont="1" applyFill="1" applyBorder="1" applyAlignment="1">
      <alignment horizontal="center" vertical="center" wrapText="1"/>
    </xf>
    <xf numFmtId="3" fontId="116" fillId="0" borderId="51" xfId="0" applyNumberFormat="1" applyFont="1" applyBorder="1" applyAlignment="1">
      <alignment horizontal="right" vertical="center" indent="1"/>
    </xf>
    <xf numFmtId="3" fontId="116" fillId="0" borderId="54" xfId="0" applyNumberFormat="1" applyFont="1" applyBorder="1" applyAlignment="1">
      <alignment horizontal="right" vertical="center" indent="1"/>
    </xf>
    <xf numFmtId="3" fontId="117" fillId="0" borderId="61" xfId="0" applyNumberFormat="1" applyFont="1" applyBorder="1" applyAlignment="1">
      <alignment horizontal="right" vertical="center" indent="1"/>
    </xf>
    <xf numFmtId="3" fontId="116" fillId="0" borderId="59" xfId="0" applyNumberFormat="1" applyFont="1" applyBorder="1" applyAlignment="1">
      <alignment horizontal="right" vertical="center" indent="1"/>
    </xf>
    <xf numFmtId="3" fontId="163" fillId="23" borderId="24" xfId="0" applyNumberFormat="1" applyFont="1" applyFill="1" applyBorder="1" applyAlignment="1">
      <alignment horizontal="right" vertical="center" indent="1"/>
    </xf>
    <xf numFmtId="3" fontId="163" fillId="23" borderId="22" xfId="0" applyNumberFormat="1" applyFont="1" applyFill="1" applyBorder="1" applyAlignment="1">
      <alignment horizontal="right" vertical="center" indent="1"/>
    </xf>
    <xf numFmtId="3" fontId="117" fillId="0" borderId="0" xfId="0" applyNumberFormat="1" applyFont="1" applyBorder="1" applyAlignment="1">
      <alignment vertical="center"/>
    </xf>
    <xf numFmtId="3" fontId="117" fillId="0" borderId="0" xfId="0" applyNumberFormat="1" applyFont="1" applyAlignment="1">
      <alignment vertical="center"/>
    </xf>
    <xf numFmtId="3" fontId="164" fillId="23" borderId="24" xfId="0" applyNumberFormat="1" applyFont="1" applyFill="1" applyBorder="1" applyAlignment="1">
      <alignment horizontal="right" vertical="center" indent="1"/>
    </xf>
    <xf numFmtId="3" fontId="167" fillId="23" borderId="24" xfId="0" applyNumberFormat="1" applyFont="1" applyFill="1" applyBorder="1" applyAlignment="1">
      <alignment horizontal="right" vertical="center" indent="1"/>
    </xf>
    <xf numFmtId="3" fontId="167" fillId="23" borderId="22" xfId="0" applyNumberFormat="1" applyFont="1" applyFill="1" applyBorder="1" applyAlignment="1">
      <alignment horizontal="right" vertical="center" indent="1"/>
    </xf>
    <xf numFmtId="3" fontId="166" fillId="23" borderId="24" xfId="0" applyNumberFormat="1" applyFont="1" applyFill="1" applyBorder="1" applyAlignment="1">
      <alignment horizontal="right" vertical="center" indent="1"/>
    </xf>
    <xf numFmtId="3" fontId="165" fillId="23" borderId="24" xfId="0" applyNumberFormat="1" applyFont="1" applyFill="1" applyBorder="1" applyAlignment="1">
      <alignment horizontal="right" vertical="center" indent="1"/>
    </xf>
    <xf numFmtId="3" fontId="165" fillId="23" borderId="22" xfId="0" applyNumberFormat="1" applyFont="1" applyFill="1" applyBorder="1" applyAlignment="1">
      <alignment horizontal="right" vertical="center" indent="1"/>
    </xf>
    <xf numFmtId="3" fontId="117" fillId="0" borderId="60" xfId="0" applyNumberFormat="1" applyFont="1" applyBorder="1" applyAlignment="1">
      <alignment horizontal="right" vertical="center" indent="1"/>
    </xf>
    <xf numFmtId="3" fontId="117" fillId="0" borderId="62" xfId="0" applyNumberFormat="1" applyFont="1" applyBorder="1" applyAlignment="1">
      <alignment horizontal="right" vertical="center" indent="1"/>
    </xf>
    <xf numFmtId="3" fontId="117" fillId="0" borderId="63" xfId="0" applyNumberFormat="1" applyFont="1" applyBorder="1" applyAlignment="1">
      <alignment horizontal="right" vertical="center" indent="1"/>
    </xf>
    <xf numFmtId="3" fontId="117" fillId="0" borderId="64" xfId="0" applyNumberFormat="1" applyFont="1" applyBorder="1" applyAlignment="1">
      <alignment horizontal="right" vertical="center" indent="1"/>
    </xf>
    <xf numFmtId="3" fontId="117" fillId="0" borderId="65" xfId="0" applyNumberFormat="1" applyFont="1" applyBorder="1" applyAlignment="1">
      <alignment horizontal="right" vertical="center" indent="1"/>
    </xf>
    <xf numFmtId="3" fontId="163" fillId="23" borderId="20" xfId="0" applyNumberFormat="1" applyFont="1" applyFill="1" applyBorder="1" applyAlignment="1">
      <alignment horizontal="right" vertical="center" indent="1"/>
    </xf>
    <xf numFmtId="3" fontId="164" fillId="23" borderId="20" xfId="0" applyNumberFormat="1" applyFont="1" applyFill="1" applyBorder="1" applyAlignment="1">
      <alignment horizontal="right" vertical="center" indent="1"/>
    </xf>
    <xf numFmtId="3" fontId="164" fillId="23" borderId="22" xfId="0" applyNumberFormat="1" applyFont="1" applyFill="1" applyBorder="1" applyAlignment="1">
      <alignment horizontal="right" vertical="center" indent="1"/>
    </xf>
    <xf numFmtId="3" fontId="167" fillId="23" borderId="20" xfId="0" applyNumberFormat="1" applyFont="1" applyFill="1" applyBorder="1" applyAlignment="1">
      <alignment horizontal="right" vertical="center" indent="1"/>
    </xf>
    <xf numFmtId="3" fontId="166" fillId="23" borderId="20" xfId="0" applyNumberFormat="1" applyFont="1" applyFill="1" applyBorder="1" applyAlignment="1">
      <alignment horizontal="right" vertical="center" indent="1"/>
    </xf>
    <xf numFmtId="3" fontId="166" fillId="23" borderId="22" xfId="0" applyNumberFormat="1" applyFont="1" applyFill="1" applyBorder="1" applyAlignment="1">
      <alignment horizontal="right" vertical="center" indent="1"/>
    </xf>
    <xf numFmtId="3" fontId="165" fillId="23" borderId="20" xfId="0" applyNumberFormat="1" applyFont="1" applyFill="1" applyBorder="1" applyAlignment="1">
      <alignment horizontal="right" vertical="center" indent="1"/>
    </xf>
    <xf numFmtId="3" fontId="117" fillId="0" borderId="186" xfId="0" applyNumberFormat="1" applyFont="1" applyBorder="1" applyAlignment="1">
      <alignment horizontal="right" vertical="center" indent="1"/>
    </xf>
    <xf numFmtId="0" fontId="73" fillId="0" borderId="0" xfId="45" applyAlignment="1">
      <alignment vertical="center"/>
    </xf>
    <xf numFmtId="0" fontId="278" fillId="0" borderId="0" xfId="45" applyFont="1" applyFill="1" applyBorder="1" applyAlignment="1">
      <alignment vertical="center"/>
    </xf>
    <xf numFmtId="0" fontId="100" fillId="0" borderId="0" xfId="45" applyFont="1" applyFill="1" applyBorder="1" applyAlignment="1">
      <alignment vertical="center"/>
    </xf>
    <xf numFmtId="0" fontId="73" fillId="0" borderId="0" xfId="45" applyFill="1" applyBorder="1" applyAlignment="1">
      <alignment vertical="center"/>
    </xf>
    <xf numFmtId="167" fontId="185" fillId="23" borderId="187" xfId="831" applyNumberFormat="1" applyFont="1" applyFill="1" applyBorder="1" applyAlignment="1">
      <alignment horizontal="center" vertical="center"/>
    </xf>
    <xf numFmtId="167" fontId="185" fillId="23" borderId="188" xfId="831" applyNumberFormat="1" applyFont="1" applyFill="1" applyBorder="1" applyAlignment="1">
      <alignment horizontal="center" vertical="center"/>
    </xf>
    <xf numFmtId="167" fontId="185" fillId="23" borderId="189" xfId="831" applyNumberFormat="1" applyFont="1" applyFill="1" applyBorder="1" applyAlignment="1">
      <alignment horizontal="center" vertical="center"/>
    </xf>
    <xf numFmtId="167" fontId="138" fillId="0" borderId="22" xfId="831" applyNumberFormat="1" applyFont="1" applyFill="1" applyBorder="1" applyAlignment="1">
      <alignment horizontal="center" vertical="center"/>
    </xf>
    <xf numFmtId="165" fontId="125" fillId="0" borderId="185" xfId="831" applyNumberFormat="1" applyFont="1" applyFill="1" applyBorder="1" applyAlignment="1">
      <alignment vertical="center"/>
    </xf>
    <xf numFmtId="165" fontId="125" fillId="0" borderId="110" xfId="831" applyNumberFormat="1" applyFont="1" applyFill="1" applyBorder="1" applyAlignment="1">
      <alignment vertical="center"/>
    </xf>
    <xf numFmtId="165" fontId="138" fillId="0" borderId="186" xfId="831" applyNumberFormat="1" applyFont="1" applyFill="1" applyBorder="1" applyAlignment="1">
      <alignment vertical="center"/>
    </xf>
    <xf numFmtId="165" fontId="138" fillId="0" borderId="110" xfId="831" applyNumberFormat="1" applyFont="1" applyFill="1" applyBorder="1" applyAlignment="1">
      <alignment vertical="center"/>
    </xf>
    <xf numFmtId="165" fontId="125" fillId="0" borderId="16" xfId="831" applyNumberFormat="1" applyFont="1" applyFill="1" applyBorder="1" applyAlignment="1">
      <alignment vertical="center"/>
    </xf>
    <xf numFmtId="165" fontId="125" fillId="0" borderId="0" xfId="831" applyNumberFormat="1" applyFont="1" applyFill="1" applyBorder="1" applyAlignment="1">
      <alignment vertical="center"/>
    </xf>
    <xf numFmtId="165" fontId="138" fillId="0" borderId="17" xfId="831" applyNumberFormat="1" applyFont="1" applyFill="1" applyBorder="1" applyAlignment="1">
      <alignment vertical="center"/>
    </xf>
    <xf numFmtId="165" fontId="138" fillId="0" borderId="0" xfId="831" applyNumberFormat="1" applyFont="1" applyFill="1" applyBorder="1" applyAlignment="1">
      <alignment vertical="center"/>
    </xf>
    <xf numFmtId="0" fontId="125" fillId="0" borderId="23" xfId="45" applyFont="1" applyFill="1" applyBorder="1" applyAlignment="1">
      <alignment horizontal="center" vertical="center"/>
    </xf>
    <xf numFmtId="165" fontId="125" fillId="0" borderId="24" xfId="831" applyNumberFormat="1" applyFont="1" applyFill="1" applyBorder="1" applyAlignment="1">
      <alignment vertical="center"/>
    </xf>
    <xf numFmtId="165" fontId="138" fillId="0" borderId="22" xfId="831" applyNumberFormat="1" applyFont="1" applyFill="1" applyBorder="1" applyAlignment="1">
      <alignment vertical="center"/>
    </xf>
    <xf numFmtId="0" fontId="163" fillId="23" borderId="189" xfId="45" applyFont="1" applyFill="1" applyBorder="1" applyAlignment="1">
      <alignment horizontal="centerContinuous" vertical="center"/>
    </xf>
    <xf numFmtId="165" fontId="163" fillId="23" borderId="187" xfId="831" applyNumberFormat="1" applyFont="1" applyFill="1" applyBorder="1" applyAlignment="1">
      <alignment vertical="center"/>
    </xf>
    <xf numFmtId="165" fontId="163" fillId="23" borderId="188" xfId="831" applyNumberFormat="1" applyFont="1" applyFill="1" applyBorder="1" applyAlignment="1">
      <alignment vertical="center"/>
    </xf>
    <xf numFmtId="165" fontId="163" fillId="23" borderId="189" xfId="831" applyNumberFormat="1" applyFont="1" applyFill="1" applyBorder="1" applyAlignment="1">
      <alignment vertical="center"/>
    </xf>
    <xf numFmtId="3" fontId="125" fillId="0" borderId="185" xfId="831" applyNumberFormat="1" applyFont="1" applyFill="1" applyBorder="1" applyAlignment="1">
      <alignment vertical="center"/>
    </xf>
    <xf numFmtId="3" fontId="125" fillId="0" borderId="110" xfId="831" applyNumberFormat="1" applyFont="1" applyFill="1" applyBorder="1" applyAlignment="1">
      <alignment vertical="center"/>
    </xf>
    <xf numFmtId="3" fontId="138" fillId="0" borderId="186" xfId="831" applyNumberFormat="1" applyFont="1" applyFill="1" applyBorder="1" applyAlignment="1">
      <alignment vertical="center"/>
    </xf>
    <xf numFmtId="3" fontId="125" fillId="0" borderId="16" xfId="831" applyNumberFormat="1" applyFont="1" applyFill="1" applyBorder="1" applyAlignment="1">
      <alignment vertical="center"/>
    </xf>
    <xf numFmtId="3" fontId="125" fillId="0" borderId="0" xfId="831" applyNumberFormat="1" applyFont="1" applyFill="1" applyBorder="1" applyAlignment="1">
      <alignment vertical="center"/>
    </xf>
    <xf numFmtId="3" fontId="138" fillId="0" borderId="17" xfId="831" applyNumberFormat="1" applyFont="1" applyFill="1" applyBorder="1" applyAlignment="1">
      <alignment vertical="center"/>
    </xf>
    <xf numFmtId="0" fontId="164" fillId="23" borderId="189" xfId="45" applyFont="1" applyFill="1" applyBorder="1" applyAlignment="1">
      <alignment horizontal="centerContinuous" vertical="center"/>
    </xf>
    <xf numFmtId="3" fontId="164" fillId="23" borderId="187" xfId="831" applyNumberFormat="1" applyFont="1" applyFill="1" applyBorder="1" applyAlignment="1">
      <alignment vertical="center"/>
    </xf>
    <xf numFmtId="3" fontId="164" fillId="23" borderId="188" xfId="831" applyNumberFormat="1" applyFont="1" applyFill="1" applyBorder="1" applyAlignment="1">
      <alignment vertical="center"/>
    </xf>
    <xf numFmtId="3" fontId="164" fillId="23" borderId="189" xfId="831" applyNumberFormat="1" applyFont="1" applyFill="1" applyBorder="1" applyAlignment="1">
      <alignment vertical="center"/>
    </xf>
    <xf numFmtId="165" fontId="164" fillId="23" borderId="188" xfId="831" applyNumberFormat="1" applyFont="1" applyFill="1" applyBorder="1" applyAlignment="1">
      <alignment vertical="center"/>
    </xf>
    <xf numFmtId="165" fontId="164" fillId="23" borderId="189" xfId="831" applyNumberFormat="1" applyFont="1" applyFill="1" applyBorder="1" applyAlignment="1">
      <alignment vertical="center"/>
    </xf>
    <xf numFmtId="165" fontId="164" fillId="23" borderId="187" xfId="831" applyNumberFormat="1" applyFont="1" applyFill="1" applyBorder="1" applyAlignment="1">
      <alignment vertical="center"/>
    </xf>
    <xf numFmtId="0" fontId="167" fillId="23" borderId="189" xfId="45" applyFont="1" applyFill="1" applyBorder="1" applyAlignment="1">
      <alignment horizontal="centerContinuous" vertical="center"/>
    </xf>
    <xf numFmtId="165" fontId="167" fillId="23" borderId="187" xfId="831" applyNumberFormat="1" applyFont="1" applyFill="1" applyBorder="1" applyAlignment="1">
      <alignment vertical="center"/>
    </xf>
    <xf numFmtId="165" fontId="167" fillId="23" borderId="188" xfId="831" applyNumberFormat="1" applyFont="1" applyFill="1" applyBorder="1" applyAlignment="1">
      <alignment vertical="center"/>
    </xf>
    <xf numFmtId="165" fontId="167" fillId="23" borderId="189" xfId="831" applyNumberFormat="1" applyFont="1" applyFill="1" applyBorder="1" applyAlignment="1">
      <alignment vertical="center"/>
    </xf>
    <xf numFmtId="3" fontId="125" fillId="0" borderId="20" xfId="831" applyNumberFormat="1" applyFont="1" applyFill="1" applyBorder="1" applyAlignment="1">
      <alignment vertical="center"/>
    </xf>
    <xf numFmtId="3" fontId="125" fillId="0" borderId="24" xfId="831" applyNumberFormat="1" applyFont="1" applyFill="1" applyBorder="1" applyAlignment="1">
      <alignment vertical="center"/>
    </xf>
    <xf numFmtId="3" fontId="138" fillId="0" borderId="22" xfId="831" applyNumberFormat="1" applyFont="1" applyFill="1" applyBorder="1" applyAlignment="1">
      <alignment vertical="center"/>
    </xf>
    <xf numFmtId="165" fontId="125" fillId="0" borderId="20" xfId="831" applyNumberFormat="1" applyFont="1" applyFill="1" applyBorder="1" applyAlignment="1">
      <alignment vertical="center"/>
    </xf>
    <xf numFmtId="0" fontId="166" fillId="23" borderId="189" xfId="45" applyFont="1" applyFill="1" applyBorder="1" applyAlignment="1">
      <alignment horizontal="centerContinuous" vertical="center"/>
    </xf>
    <xf numFmtId="3" fontId="166" fillId="23" borderId="187" xfId="831" applyNumberFormat="1" applyFont="1" applyFill="1" applyBorder="1" applyAlignment="1">
      <alignment vertical="center"/>
    </xf>
    <xf numFmtId="3" fontId="166" fillId="23" borderId="188" xfId="831" applyNumberFormat="1" applyFont="1" applyFill="1" applyBorder="1" applyAlignment="1">
      <alignment vertical="center"/>
    </xf>
    <xf numFmtId="3" fontId="166" fillId="23" borderId="189" xfId="831" applyNumberFormat="1" applyFont="1" applyFill="1" applyBorder="1" applyAlignment="1">
      <alignment vertical="center"/>
    </xf>
    <xf numFmtId="165" fontId="166" fillId="23" borderId="188" xfId="831" applyNumberFormat="1" applyFont="1" applyFill="1" applyBorder="1" applyAlignment="1">
      <alignment vertical="center"/>
    </xf>
    <xf numFmtId="165" fontId="166" fillId="23" borderId="189" xfId="831" applyNumberFormat="1" applyFont="1" applyFill="1" applyBorder="1" applyAlignment="1">
      <alignment vertical="center"/>
    </xf>
    <xf numFmtId="165" fontId="166" fillId="23" borderId="187" xfId="831" applyNumberFormat="1" applyFont="1" applyFill="1" applyBorder="1" applyAlignment="1">
      <alignment vertical="center"/>
    </xf>
    <xf numFmtId="0" fontId="165" fillId="23" borderId="189" xfId="45" applyFont="1" applyFill="1" applyBorder="1" applyAlignment="1">
      <alignment horizontal="centerContinuous" vertical="center"/>
    </xf>
    <xf numFmtId="165" fontId="165" fillId="23" borderId="187" xfId="831" applyNumberFormat="1" applyFont="1" applyFill="1" applyBorder="1" applyAlignment="1">
      <alignment vertical="center"/>
    </xf>
    <xf numFmtId="165" fontId="165" fillId="23" borderId="188" xfId="831" applyNumberFormat="1" applyFont="1" applyFill="1" applyBorder="1" applyAlignment="1">
      <alignment vertical="center"/>
    </xf>
    <xf numFmtId="165" fontId="165" fillId="23" borderId="189" xfId="831" applyNumberFormat="1" applyFont="1" applyFill="1" applyBorder="1" applyAlignment="1">
      <alignment vertical="center"/>
    </xf>
    <xf numFmtId="165" fontId="138" fillId="23" borderId="187" xfId="831" applyNumberFormat="1" applyFont="1" applyFill="1" applyBorder="1" applyAlignment="1">
      <alignment vertical="center"/>
    </xf>
    <xf numFmtId="165" fontId="138" fillId="23" borderId="188" xfId="831" applyNumberFormat="1" applyFont="1" applyFill="1" applyBorder="1" applyAlignment="1">
      <alignment vertical="center"/>
    </xf>
    <xf numFmtId="165" fontId="138" fillId="23" borderId="189" xfId="831" applyNumberFormat="1" applyFont="1" applyFill="1" applyBorder="1" applyAlignment="1">
      <alignment vertical="center"/>
    </xf>
    <xf numFmtId="0" fontId="135" fillId="0" borderId="0" xfId="0" applyFont="1" applyAlignment="1">
      <alignment horizontal="left" readingOrder="1"/>
    </xf>
    <xf numFmtId="0" fontId="125" fillId="0" borderId="0" xfId="45" applyFont="1" applyFill="1" applyBorder="1" applyAlignment="1">
      <alignment vertical="center"/>
    </xf>
    <xf numFmtId="0" fontId="117" fillId="0" borderId="0" xfId="45" applyFont="1" applyFill="1" applyBorder="1" applyAlignment="1">
      <alignment vertical="center"/>
    </xf>
    <xf numFmtId="0" fontId="138" fillId="0" borderId="0" xfId="45" applyFont="1" applyFill="1" applyBorder="1" applyAlignment="1">
      <alignment vertical="center"/>
    </xf>
    <xf numFmtId="0" fontId="278" fillId="0" borderId="0" xfId="45" applyFont="1" applyFill="1" applyBorder="1" applyAlignment="1">
      <alignment horizontal="right" vertical="center"/>
    </xf>
    <xf numFmtId="165" fontId="138" fillId="0" borderId="24" xfId="831" applyNumberFormat="1" applyFont="1" applyFill="1" applyBorder="1" applyAlignment="1">
      <alignment vertical="center"/>
    </xf>
    <xf numFmtId="3" fontId="167" fillId="23" borderId="188" xfId="831" applyNumberFormat="1" applyFont="1" applyFill="1" applyBorder="1" applyAlignment="1">
      <alignment vertical="center"/>
    </xf>
    <xf numFmtId="37" fontId="125" fillId="0" borderId="110" xfId="34" applyNumberFormat="1" applyFont="1" applyFill="1" applyBorder="1" applyAlignment="1">
      <alignment vertical="center"/>
    </xf>
    <xf numFmtId="37" fontId="138" fillId="0" borderId="186" xfId="34" applyNumberFormat="1" applyFont="1" applyFill="1" applyBorder="1" applyAlignment="1">
      <alignment vertical="center"/>
    </xf>
    <xf numFmtId="37" fontId="125" fillId="0" borderId="0" xfId="34" applyNumberFormat="1" applyFont="1" applyFill="1" applyBorder="1" applyAlignment="1">
      <alignment vertical="center"/>
    </xf>
    <xf numFmtId="37" fontId="138" fillId="0" borderId="17" xfId="34" applyNumberFormat="1" applyFont="1" applyFill="1" applyBorder="1" applyAlignment="1">
      <alignment vertical="center"/>
    </xf>
    <xf numFmtId="37" fontId="125" fillId="0" borderId="24" xfId="34" applyNumberFormat="1" applyFont="1" applyFill="1" applyBorder="1" applyAlignment="1">
      <alignment vertical="center"/>
    </xf>
    <xf numFmtId="37" fontId="138" fillId="0" borderId="22" xfId="34" applyNumberFormat="1" applyFont="1" applyFill="1" applyBorder="1" applyAlignment="1">
      <alignment vertical="center"/>
    </xf>
    <xf numFmtId="37" fontId="166" fillId="23" borderId="188" xfId="34" applyNumberFormat="1" applyFont="1" applyFill="1" applyBorder="1" applyAlignment="1">
      <alignment vertical="center"/>
    </xf>
    <xf numFmtId="37" fontId="166" fillId="23" borderId="189" xfId="34" applyNumberFormat="1" applyFont="1" applyFill="1" applyBorder="1" applyAlignment="1">
      <alignment vertical="center"/>
    </xf>
    <xf numFmtId="0" fontId="126" fillId="0" borderId="0" xfId="45" applyFont="1" applyFill="1" applyBorder="1" applyAlignment="1">
      <alignment horizontal="center" vertical="center"/>
    </xf>
    <xf numFmtId="0" fontId="125" fillId="0" borderId="17" xfId="45" applyFont="1" applyFill="1" applyBorder="1" applyAlignment="1">
      <alignment vertical="center"/>
    </xf>
    <xf numFmtId="3" fontId="138" fillId="0" borderId="110" xfId="831" applyNumberFormat="1" applyFont="1" applyFill="1" applyBorder="1" applyAlignment="1">
      <alignment vertical="center"/>
    </xf>
    <xf numFmtId="3" fontId="138" fillId="0" borderId="0" xfId="831" applyNumberFormat="1" applyFont="1" applyFill="1" applyBorder="1" applyAlignment="1">
      <alignment vertical="center"/>
    </xf>
    <xf numFmtId="1" fontId="125" fillId="0" borderId="110" xfId="831" applyNumberFormat="1" applyFont="1" applyFill="1" applyBorder="1" applyAlignment="1">
      <alignment vertical="center"/>
    </xf>
    <xf numFmtId="1" fontId="125" fillId="0" borderId="0" xfId="831" applyNumberFormat="1" applyFont="1" applyFill="1" applyBorder="1" applyAlignment="1">
      <alignment vertical="center"/>
    </xf>
    <xf numFmtId="1" fontId="166" fillId="23" borderId="187" xfId="831" applyNumberFormat="1" applyFont="1" applyFill="1" applyBorder="1" applyAlignment="1">
      <alignment vertical="center"/>
    </xf>
    <xf numFmtId="1" fontId="125" fillId="0" borderId="0" xfId="45" applyNumberFormat="1" applyFont="1" applyAlignment="1">
      <alignment vertical="center"/>
    </xf>
    <xf numFmtId="3" fontId="165" fillId="23" borderId="187" xfId="831" applyNumberFormat="1" applyFont="1" applyFill="1" applyBorder="1" applyAlignment="1">
      <alignment vertical="center"/>
    </xf>
    <xf numFmtId="0" fontId="279" fillId="0" borderId="0" xfId="0" applyFont="1" applyAlignment="1">
      <alignment horizontal="left" readingOrder="1"/>
    </xf>
    <xf numFmtId="0" fontId="94" fillId="0" borderId="0" xfId="45" applyFont="1" applyFill="1" applyBorder="1" applyAlignment="1">
      <alignment vertical="center"/>
    </xf>
    <xf numFmtId="0" fontId="124" fillId="0" borderId="0" xfId="0" applyFont="1" applyAlignment="1">
      <alignment horizontal="left" readingOrder="1"/>
    </xf>
    <xf numFmtId="0" fontId="73" fillId="0" borderId="0" xfId="45" applyFill="1" applyBorder="1" applyAlignment="1">
      <alignment horizontal="left" vertical="center"/>
    </xf>
    <xf numFmtId="0" fontId="284" fillId="0" borderId="0" xfId="45" applyFont="1" applyAlignment="1">
      <alignment horizontal="right" vertical="center"/>
    </xf>
    <xf numFmtId="0" fontId="166" fillId="23" borderId="32" xfId="640" applyFont="1" applyFill="1" applyBorder="1" applyAlignment="1">
      <alignment horizontal="center" vertical="center"/>
    </xf>
    <xf numFmtId="3" fontId="166" fillId="23" borderId="37" xfId="640" applyNumberFormat="1" applyFont="1" applyFill="1" applyBorder="1" applyAlignment="1">
      <alignment horizontal="right" vertical="center" indent="1"/>
    </xf>
    <xf numFmtId="3" fontId="166" fillId="23" borderId="27" xfId="640" applyNumberFormat="1" applyFont="1" applyFill="1" applyBorder="1" applyAlignment="1">
      <alignment horizontal="right" vertical="center" indent="1"/>
    </xf>
    <xf numFmtId="3" fontId="166" fillId="23" borderId="42" xfId="640" applyNumberFormat="1" applyFont="1" applyFill="1" applyBorder="1" applyAlignment="1">
      <alignment horizontal="right" vertical="center" indent="1"/>
    </xf>
    <xf numFmtId="3" fontId="166" fillId="23" borderId="27" xfId="640" applyNumberFormat="1" applyFont="1" applyFill="1" applyBorder="1" applyAlignment="1">
      <alignment horizontal="right" indent="1"/>
    </xf>
    <xf numFmtId="3" fontId="166" fillId="23" borderId="37" xfId="640" applyNumberFormat="1" applyFont="1" applyFill="1" applyBorder="1" applyAlignment="1">
      <alignment horizontal="right" indent="1"/>
    </xf>
    <xf numFmtId="3" fontId="163" fillId="23" borderId="27" xfId="640" applyNumberFormat="1" applyFont="1" applyFill="1" applyBorder="1" applyAlignment="1">
      <alignment horizontal="right" indent="1"/>
    </xf>
    <xf numFmtId="3" fontId="163" fillId="23" borderId="37" xfId="640" applyNumberFormat="1" applyFont="1" applyFill="1" applyBorder="1" applyAlignment="1">
      <alignment horizontal="right" indent="1"/>
    </xf>
    <xf numFmtId="3" fontId="164" fillId="23" borderId="27" xfId="640" applyNumberFormat="1" applyFont="1" applyFill="1" applyBorder="1" applyAlignment="1">
      <alignment horizontal="right" indent="1"/>
    </xf>
    <xf numFmtId="3" fontId="164" fillId="23" borderId="37" xfId="640" applyNumberFormat="1" applyFont="1" applyFill="1" applyBorder="1" applyAlignment="1">
      <alignment horizontal="right" indent="1"/>
    </xf>
    <xf numFmtId="3" fontId="165" fillId="23" borderId="27" xfId="640" applyNumberFormat="1" applyFont="1" applyFill="1" applyBorder="1" applyAlignment="1">
      <alignment horizontal="right" indent="1"/>
    </xf>
    <xf numFmtId="3" fontId="165" fillId="23" borderId="37" xfId="640" applyNumberFormat="1" applyFont="1" applyFill="1" applyBorder="1" applyAlignment="1">
      <alignment horizontal="right" indent="1"/>
    </xf>
    <xf numFmtId="3" fontId="167" fillId="23" borderId="27" xfId="640" applyNumberFormat="1" applyFont="1" applyFill="1" applyBorder="1" applyAlignment="1">
      <alignment horizontal="right" indent="1"/>
    </xf>
    <xf numFmtId="3" fontId="167" fillId="23" borderId="37" xfId="640" applyNumberFormat="1" applyFont="1" applyFill="1" applyBorder="1" applyAlignment="1">
      <alignment horizontal="right" indent="1"/>
    </xf>
    <xf numFmtId="0" fontId="285" fillId="0" borderId="0" xfId="640" applyFont="1"/>
    <xf numFmtId="3" fontId="164" fillId="23" borderId="42" xfId="640" applyNumberFormat="1" applyFont="1" applyFill="1" applyBorder="1" applyAlignment="1">
      <alignment horizontal="right" indent="1"/>
    </xf>
    <xf numFmtId="3" fontId="163" fillId="23" borderId="42" xfId="640" applyNumberFormat="1" applyFont="1" applyFill="1" applyBorder="1" applyAlignment="1">
      <alignment horizontal="right" indent="1"/>
    </xf>
    <xf numFmtId="3" fontId="166" fillId="23" borderId="42" xfId="640" applyNumberFormat="1" applyFont="1" applyFill="1" applyBorder="1" applyAlignment="1">
      <alignment horizontal="right" indent="1"/>
    </xf>
    <xf numFmtId="3" fontId="165" fillId="23" borderId="42" xfId="640" applyNumberFormat="1" applyFont="1" applyFill="1" applyBorder="1" applyAlignment="1">
      <alignment horizontal="right" indent="1"/>
    </xf>
    <xf numFmtId="3" fontId="167" fillId="23" borderId="42" xfId="640" applyNumberFormat="1" applyFont="1" applyFill="1" applyBorder="1" applyAlignment="1">
      <alignment horizontal="right" indent="1"/>
    </xf>
    <xf numFmtId="0" fontId="286" fillId="0" borderId="0" xfId="0" applyFont="1"/>
    <xf numFmtId="9" fontId="12" fillId="0" borderId="116" xfId="647" applyFont="1" applyBorder="1" applyAlignment="1">
      <alignment horizontal="center" vertical="center"/>
    </xf>
    <xf numFmtId="0" fontId="287" fillId="0" borderId="0" xfId="66" applyFont="1" applyAlignment="1">
      <alignment vertical="center"/>
    </xf>
    <xf numFmtId="3" fontId="286" fillId="0" borderId="0" xfId="0" applyNumberFormat="1" applyFont="1"/>
    <xf numFmtId="0" fontId="116" fillId="23" borderId="13" xfId="66" applyFont="1" applyFill="1" applyBorder="1" applyAlignment="1">
      <alignment horizontal="center" vertical="center"/>
    </xf>
    <xf numFmtId="0" fontId="116" fillId="23" borderId="14" xfId="66" applyFont="1" applyFill="1" applyBorder="1" applyAlignment="1">
      <alignment horizontal="center" vertical="center"/>
    </xf>
    <xf numFmtId="0" fontId="116" fillId="23" borderId="10" xfId="66" applyFont="1" applyFill="1" applyBorder="1" applyAlignment="1">
      <alignment horizontal="center" vertical="center"/>
    </xf>
    <xf numFmtId="0" fontId="116" fillId="23" borderId="13" xfId="66" applyFont="1" applyFill="1" applyBorder="1" applyAlignment="1">
      <alignment horizontal="center" vertical="center"/>
    </xf>
    <xf numFmtId="0" fontId="116" fillId="23" borderId="14" xfId="66" applyFont="1" applyFill="1" applyBorder="1" applyAlignment="1">
      <alignment horizontal="center" vertical="center"/>
    </xf>
    <xf numFmtId="0" fontId="116" fillId="23" borderId="10" xfId="66" applyFont="1" applyFill="1" applyBorder="1" applyAlignment="1">
      <alignment horizontal="center" vertical="center"/>
    </xf>
    <xf numFmtId="0" fontId="287" fillId="0" borderId="0" xfId="66" applyFont="1" applyAlignment="1">
      <alignment horizontal="center" vertical="center"/>
    </xf>
    <xf numFmtId="0" fontId="116" fillId="23" borderId="13" xfId="66" applyFont="1" applyFill="1" applyBorder="1" applyAlignment="1">
      <alignment horizontal="center" vertical="center"/>
    </xf>
    <xf numFmtId="0" fontId="116" fillId="23" borderId="14" xfId="66" applyFont="1" applyFill="1" applyBorder="1" applyAlignment="1">
      <alignment horizontal="center" vertical="center"/>
    </xf>
    <xf numFmtId="0" fontId="116" fillId="23" borderId="10" xfId="66" applyFont="1" applyFill="1" applyBorder="1" applyAlignment="1">
      <alignment horizontal="center" vertical="center"/>
    </xf>
    <xf numFmtId="0" fontId="288" fillId="0" borderId="0" xfId="45" applyFont="1" applyAlignment="1">
      <alignment vertical="center"/>
    </xf>
    <xf numFmtId="165" fontId="33" fillId="0" borderId="0" xfId="635" applyNumberFormat="1"/>
    <xf numFmtId="1" fontId="116" fillId="23" borderId="18" xfId="50" applyNumberFormat="1" applyFont="1" applyFill="1" applyBorder="1" applyAlignment="1">
      <alignment horizontal="center" vertical="center" wrapText="1"/>
    </xf>
    <xf numFmtId="0" fontId="286" fillId="0" borderId="0" xfId="66" applyFont="1" applyAlignment="1">
      <alignment horizontal="center" vertical="center"/>
    </xf>
    <xf numFmtId="3" fontId="125" fillId="0" borderId="17" xfId="66" applyNumberFormat="1" applyFont="1" applyFill="1" applyBorder="1" applyAlignment="1">
      <alignment horizontal="center" vertical="center"/>
    </xf>
    <xf numFmtId="3" fontId="125" fillId="0" borderId="21" xfId="66" applyNumberFormat="1" applyFont="1" applyFill="1" applyBorder="1" applyAlignment="1">
      <alignment horizontal="center" vertical="center"/>
    </xf>
    <xf numFmtId="0" fontId="154" fillId="0" borderId="21" xfId="66" applyFont="1" applyFill="1" applyBorder="1" applyAlignment="1">
      <alignment horizontal="center" vertical="center"/>
    </xf>
    <xf numFmtId="0" fontId="172" fillId="0" borderId="30" xfId="66" applyFont="1" applyBorder="1" applyAlignment="1">
      <alignment wrapText="1"/>
    </xf>
    <xf numFmtId="0" fontId="286" fillId="0" borderId="0" xfId="66" applyFont="1" applyAlignment="1">
      <alignment vertical="center"/>
    </xf>
    <xf numFmtId="3" fontId="166" fillId="23" borderId="24" xfId="78" applyNumberFormat="1" applyFont="1" applyFill="1" applyBorder="1" applyAlignment="1">
      <alignment vertical="center"/>
    </xf>
    <xf numFmtId="0" fontId="286" fillId="0" borderId="0" xfId="374" applyFont="1"/>
    <xf numFmtId="0" fontId="117" fillId="0" borderId="33" xfId="465" applyFont="1" applyBorder="1" applyAlignment="1"/>
    <xf numFmtId="3" fontId="117" fillId="23" borderId="187" xfId="66" applyNumberFormat="1" applyFont="1" applyFill="1" applyBorder="1" applyAlignment="1">
      <alignment horizontal="center" vertical="center"/>
    </xf>
    <xf numFmtId="3" fontId="117" fillId="23" borderId="188" xfId="66" applyNumberFormat="1" applyFont="1" applyFill="1" applyBorder="1" applyAlignment="1">
      <alignment horizontal="center" vertical="center"/>
    </xf>
    <xf numFmtId="3" fontId="117" fillId="23" borderId="189" xfId="66" applyNumberFormat="1" applyFont="1" applyFill="1" applyBorder="1" applyAlignment="1">
      <alignment horizontal="center" vertical="center"/>
    </xf>
    <xf numFmtId="0" fontId="117" fillId="0" borderId="41" xfId="66" applyFont="1" applyBorder="1" applyAlignment="1">
      <alignment vertical="center"/>
    </xf>
    <xf numFmtId="0" fontId="117" fillId="0" borderId="41" xfId="66" applyFont="1" applyBorder="1" applyAlignment="1">
      <alignment vertical="center" wrapText="1"/>
    </xf>
    <xf numFmtId="0" fontId="118" fillId="0" borderId="0" xfId="0" applyFont="1"/>
    <xf numFmtId="0" fontId="289" fillId="0" borderId="0" xfId="66" applyFont="1" applyAlignment="1">
      <alignment horizontal="center" vertical="center"/>
    </xf>
    <xf numFmtId="0" fontId="289" fillId="0" borderId="0" xfId="66" applyFont="1" applyAlignment="1">
      <alignment vertical="center"/>
    </xf>
    <xf numFmtId="0" fontId="287" fillId="0" borderId="0" xfId="0" applyFont="1"/>
    <xf numFmtId="0" fontId="0" fillId="0" borderId="0" xfId="0" applyBorder="1"/>
    <xf numFmtId="182" fontId="117" fillId="0" borderId="184" xfId="0" applyNumberFormat="1" applyFont="1" applyBorder="1" applyAlignment="1">
      <alignment horizontal="right" vertical="center" indent="1"/>
    </xf>
    <xf numFmtId="182" fontId="117" fillId="0" borderId="21" xfId="0" applyNumberFormat="1" applyFont="1" applyBorder="1" applyAlignment="1">
      <alignment horizontal="right" vertical="center" indent="1"/>
    </xf>
    <xf numFmtId="182" fontId="163" fillId="23" borderId="23" xfId="0" applyNumberFormat="1" applyFont="1" applyFill="1" applyBorder="1" applyAlignment="1">
      <alignment horizontal="right" vertical="center" indent="1"/>
    </xf>
    <xf numFmtId="182" fontId="164" fillId="23" borderId="23" xfId="0" applyNumberFormat="1" applyFont="1" applyFill="1" applyBorder="1" applyAlignment="1">
      <alignment horizontal="right" vertical="center" indent="1"/>
    </xf>
    <xf numFmtId="182" fontId="167" fillId="23" borderId="23" xfId="0" applyNumberFormat="1" applyFont="1" applyFill="1" applyBorder="1" applyAlignment="1">
      <alignment horizontal="right" vertical="center" indent="1"/>
    </xf>
    <xf numFmtId="182" fontId="166" fillId="23" borderId="23" xfId="0" applyNumberFormat="1" applyFont="1" applyFill="1" applyBorder="1" applyAlignment="1">
      <alignment horizontal="right" vertical="center" indent="1"/>
    </xf>
    <xf numFmtId="182" fontId="165" fillId="23" borderId="23" xfId="0" applyNumberFormat="1" applyFont="1" applyFill="1" applyBorder="1" applyAlignment="1">
      <alignment horizontal="right" vertical="center" indent="1"/>
    </xf>
    <xf numFmtId="0" fontId="132" fillId="0" borderId="0" xfId="0" applyFont="1" applyAlignment="1">
      <alignment horizontal="right" vertical="center"/>
    </xf>
    <xf numFmtId="0" fontId="248" fillId="0" borderId="0" xfId="0" applyFont="1" applyAlignment="1">
      <alignment horizontal="right" vertical="center"/>
    </xf>
    <xf numFmtId="0" fontId="132" fillId="0" borderId="0" xfId="0" applyFont="1"/>
    <xf numFmtId="0" fontId="248" fillId="0" borderId="0" xfId="0" applyFont="1"/>
    <xf numFmtId="182" fontId="132" fillId="0" borderId="0" xfId="0" applyNumberFormat="1" applyFont="1"/>
    <xf numFmtId="182" fontId="248" fillId="0" borderId="0" xfId="0" applyNumberFormat="1" applyFont="1"/>
    <xf numFmtId="182" fontId="116" fillId="23" borderId="190" xfId="0" applyNumberFormat="1" applyFont="1" applyFill="1" applyBorder="1" applyAlignment="1">
      <alignment horizontal="right" vertical="center" indent="1"/>
    </xf>
    <xf numFmtId="0" fontId="116" fillId="23" borderId="10" xfId="0" applyFont="1" applyFill="1" applyBorder="1" applyAlignment="1">
      <alignment horizontal="center" vertical="center" wrapText="1"/>
    </xf>
    <xf numFmtId="0" fontId="34" fillId="0" borderId="17" xfId="632" applyBorder="1"/>
    <xf numFmtId="0" fontId="34" fillId="0" borderId="21" xfId="632" applyBorder="1"/>
    <xf numFmtId="0" fontId="34" fillId="0" borderId="16" xfId="632" applyBorder="1"/>
    <xf numFmtId="181" fontId="112" fillId="23" borderId="94" xfId="34" applyNumberFormat="1" applyFont="1" applyFill="1" applyBorder="1" applyAlignment="1">
      <alignment horizontal="center" vertical="center"/>
    </xf>
    <xf numFmtId="0" fontId="60" fillId="0" borderId="0" xfId="76" applyFont="1" applyAlignment="1">
      <alignment horizontal="center"/>
    </xf>
    <xf numFmtId="0" fontId="132" fillId="0" borderId="0" xfId="826" applyFont="1" applyBorder="1" applyAlignment="1">
      <alignment horizontal="right" vertical="center"/>
    </xf>
    <xf numFmtId="0" fontId="117" fillId="0" borderId="23" xfId="826" applyFont="1" applyBorder="1" applyAlignment="1">
      <alignment horizontal="center" vertical="center" wrapText="1"/>
    </xf>
    <xf numFmtId="0" fontId="117" fillId="0" borderId="44" xfId="826" applyFont="1" applyFill="1" applyBorder="1" applyAlignment="1">
      <alignment horizontal="left" vertical="center" indent="1"/>
    </xf>
    <xf numFmtId="0" fontId="117" fillId="0" borderId="43" xfId="826" applyFont="1" applyFill="1" applyBorder="1" applyAlignment="1">
      <alignment horizontal="left" vertical="center" indent="1"/>
    </xf>
    <xf numFmtId="0" fontId="117" fillId="0" borderId="33" xfId="826" applyFont="1" applyFill="1" applyBorder="1" applyAlignment="1">
      <alignment horizontal="left" vertical="center" indent="1"/>
    </xf>
    <xf numFmtId="0" fontId="148" fillId="0" borderId="0" xfId="827" applyFont="1" applyAlignment="1">
      <alignment horizontal="center"/>
    </xf>
    <xf numFmtId="0" fontId="60" fillId="0" borderId="0" xfId="0" applyFont="1" applyAlignment="1">
      <alignment horizontal="center" vertical="center"/>
    </xf>
    <xf numFmtId="0" fontId="116" fillId="23" borderId="190" xfId="0" applyFont="1" applyFill="1" applyBorder="1" applyAlignment="1">
      <alignment horizontal="center" vertical="center" wrapText="1"/>
    </xf>
    <xf numFmtId="0" fontId="116" fillId="23" borderId="190" xfId="0" applyFont="1" applyFill="1" applyBorder="1" applyAlignment="1">
      <alignment horizontal="center" vertical="center"/>
    </xf>
    <xf numFmtId="183" fontId="9" fillId="0" borderId="31" xfId="0" applyNumberFormat="1" applyFont="1" applyFill="1" applyBorder="1" applyAlignment="1">
      <alignment horizontal="center" vertical="center"/>
    </xf>
    <xf numFmtId="183" fontId="291" fillId="0" borderId="41" xfId="0" applyNumberFormat="1" applyFont="1" applyFill="1" applyBorder="1" applyAlignment="1">
      <alignment horizontal="center" vertical="center"/>
    </xf>
    <xf numFmtId="183" fontId="292" fillId="0" borderId="43" xfId="0" applyNumberFormat="1" applyFont="1" applyFill="1" applyBorder="1" applyAlignment="1">
      <alignment horizontal="center" vertical="center"/>
    </xf>
    <xf numFmtId="0" fontId="132" fillId="0" borderId="110" xfId="0" applyFont="1" applyBorder="1" applyAlignment="1">
      <alignment vertical="center"/>
    </xf>
    <xf numFmtId="0" fontId="9" fillId="0" borderId="34" xfId="0" applyFont="1" applyFill="1" applyBorder="1" applyAlignment="1">
      <alignment horizontal="left" vertical="center" indent="1"/>
    </xf>
    <xf numFmtId="183" fontId="293" fillId="0" borderId="41" xfId="0" applyNumberFormat="1" applyFont="1" applyFill="1" applyBorder="1" applyAlignment="1">
      <alignment horizontal="center" vertical="center"/>
    </xf>
    <xf numFmtId="183" fontId="294" fillId="0" borderId="41" xfId="0" applyNumberFormat="1" applyFont="1" applyFill="1" applyBorder="1" applyAlignment="1">
      <alignment horizontal="center" vertical="center"/>
    </xf>
    <xf numFmtId="183" fontId="295" fillId="0" borderId="41" xfId="0" applyNumberFormat="1" applyFont="1" applyFill="1" applyBorder="1" applyAlignment="1">
      <alignment horizontal="center" vertical="center"/>
    </xf>
    <xf numFmtId="183" fontId="9" fillId="0" borderId="32" xfId="0" applyNumberFormat="1" applyFont="1" applyFill="1" applyBorder="1" applyAlignment="1">
      <alignment horizontal="center" vertical="center"/>
    </xf>
    <xf numFmtId="183" fontId="9" fillId="0" borderId="33" xfId="0" applyNumberFormat="1" applyFont="1" applyFill="1" applyBorder="1" applyAlignment="1">
      <alignment horizontal="center" vertical="center"/>
    </xf>
    <xf numFmtId="0" fontId="117" fillId="37" borderId="190" xfId="0" applyFont="1" applyFill="1" applyBorder="1" applyAlignment="1">
      <alignment horizontal="center" vertical="center" wrapText="1"/>
    </xf>
    <xf numFmtId="0" fontId="117" fillId="0" borderId="184" xfId="0" applyFont="1" applyFill="1" applyBorder="1" applyAlignment="1">
      <alignment horizontal="center" vertical="center"/>
    </xf>
    <xf numFmtId="183" fontId="117" fillId="0" borderId="184" xfId="0" applyNumberFormat="1" applyFont="1" applyFill="1" applyBorder="1" applyAlignment="1">
      <alignment horizontal="center" vertical="center"/>
    </xf>
    <xf numFmtId="183" fontId="9" fillId="0" borderId="30" xfId="0" applyNumberFormat="1" applyFont="1" applyFill="1" applyBorder="1" applyAlignment="1">
      <alignment horizontal="center" vertical="center"/>
    </xf>
    <xf numFmtId="183" fontId="9" fillId="0" borderId="41" xfId="0" applyNumberFormat="1" applyFont="1" applyFill="1" applyBorder="1" applyAlignment="1">
      <alignment horizontal="center" vertical="center"/>
    </xf>
    <xf numFmtId="183" fontId="296" fillId="0" borderId="41" xfId="0" applyNumberFormat="1" applyFont="1" applyFill="1" applyBorder="1" applyAlignment="1">
      <alignment horizontal="center" vertical="center"/>
    </xf>
    <xf numFmtId="0" fontId="285" fillId="0" borderId="36" xfId="0" applyFont="1" applyFill="1" applyBorder="1" applyAlignment="1">
      <alignment horizontal="center" vertical="center"/>
    </xf>
    <xf numFmtId="0" fontId="285" fillId="0" borderId="31" xfId="0" applyFont="1" applyFill="1" applyBorder="1" applyAlignment="1">
      <alignment horizontal="center" vertical="center"/>
    </xf>
    <xf numFmtId="183" fontId="285" fillId="0" borderId="36" xfId="0" applyNumberFormat="1" applyFont="1" applyFill="1" applyBorder="1" applyAlignment="1">
      <alignment horizontal="center" vertical="center"/>
    </xf>
    <xf numFmtId="183" fontId="285" fillId="0" borderId="31" xfId="0" applyNumberFormat="1" applyFont="1" applyFill="1" applyBorder="1" applyAlignment="1">
      <alignment horizontal="center" vertical="center"/>
    </xf>
    <xf numFmtId="183" fontId="165" fillId="0" borderId="41" xfId="0" applyNumberFormat="1" applyFont="1" applyFill="1" applyBorder="1" applyAlignment="1">
      <alignment horizontal="center" vertical="center"/>
    </xf>
    <xf numFmtId="0" fontId="238" fillId="23" borderId="190" xfId="76" applyFont="1" applyFill="1" applyBorder="1" applyAlignment="1">
      <alignment horizontal="center" vertical="center" wrapText="1"/>
    </xf>
    <xf numFmtId="0" fontId="90" fillId="23" borderId="190" xfId="76" applyFont="1" applyFill="1" applyBorder="1" applyAlignment="1">
      <alignment horizontal="center" vertical="center" wrapText="1"/>
    </xf>
    <xf numFmtId="0" fontId="90" fillId="0" borderId="190" xfId="76" applyFont="1" applyFill="1" applyBorder="1" applyAlignment="1">
      <alignment horizontal="center" vertical="center" wrapText="1"/>
    </xf>
    <xf numFmtId="0" fontId="90" fillId="0" borderId="0" xfId="76" applyFont="1" applyAlignment="1">
      <alignment horizontal="center" vertical="center"/>
    </xf>
    <xf numFmtId="3" fontId="90" fillId="0" borderId="0" xfId="76" applyNumberFormat="1" applyFont="1" applyAlignment="1">
      <alignment horizontal="center" vertical="center"/>
    </xf>
    <xf numFmtId="0" fontId="239" fillId="0" borderId="0" xfId="76" applyFont="1" applyAlignment="1">
      <alignment vertical="center"/>
    </xf>
    <xf numFmtId="0" fontId="58" fillId="0" borderId="0" xfId="76" applyFont="1" applyFill="1" applyBorder="1" applyAlignment="1">
      <alignment horizontal="center" vertical="center"/>
    </xf>
    <xf numFmtId="0" fontId="53" fillId="0" borderId="0" xfId="76" applyAlignment="1">
      <alignment vertical="center"/>
    </xf>
    <xf numFmtId="0" fontId="89" fillId="0" borderId="0" xfId="76" applyFont="1" applyAlignment="1">
      <alignment vertical="center"/>
    </xf>
    <xf numFmtId="0" fontId="92" fillId="0" borderId="0" xfId="76" applyFont="1" applyAlignment="1">
      <alignment vertical="center"/>
    </xf>
    <xf numFmtId="0" fontId="89" fillId="0" borderId="25" xfId="76" applyFont="1" applyBorder="1" applyAlignment="1">
      <alignment horizontal="center" vertical="center"/>
    </xf>
    <xf numFmtId="168" fontId="89" fillId="0" borderId="30" xfId="213" applyNumberFormat="1" applyFont="1" applyBorder="1" applyAlignment="1">
      <alignment horizontal="center" vertical="center"/>
    </xf>
    <xf numFmtId="168" fontId="92" fillId="0" borderId="40" xfId="213" applyNumberFormat="1" applyFont="1" applyBorder="1" applyAlignment="1">
      <alignment horizontal="center" vertical="center"/>
    </xf>
    <xf numFmtId="0" fontId="89" fillId="0" borderId="26" xfId="76" applyFont="1" applyBorder="1" applyAlignment="1">
      <alignment horizontal="center" vertical="center"/>
    </xf>
    <xf numFmtId="0" fontId="89" fillId="0" borderId="31" xfId="76" applyFont="1" applyBorder="1" applyAlignment="1">
      <alignment horizontal="center" vertical="center"/>
    </xf>
    <xf numFmtId="0" fontId="89" fillId="0" borderId="36" xfId="76" applyFont="1" applyBorder="1" applyAlignment="1">
      <alignment horizontal="center" vertical="center"/>
    </xf>
    <xf numFmtId="168" fontId="89" fillId="0" borderId="31" xfId="213" applyNumberFormat="1" applyFont="1" applyBorder="1" applyAlignment="1">
      <alignment horizontal="center" vertical="center"/>
    </xf>
    <xf numFmtId="168" fontId="92" fillId="0" borderId="41" xfId="213" applyNumberFormat="1" applyFont="1" applyBorder="1" applyAlignment="1">
      <alignment horizontal="center" vertical="center"/>
    </xf>
    <xf numFmtId="0" fontId="89" fillId="0" borderId="27" xfId="76" applyFont="1" applyBorder="1" applyAlignment="1">
      <alignment horizontal="center" vertical="center"/>
    </xf>
    <xf numFmtId="0" fontId="89" fillId="0" borderId="32" xfId="76" applyFont="1" applyBorder="1" applyAlignment="1">
      <alignment horizontal="center" vertical="center"/>
    </xf>
    <xf numFmtId="0" fontId="89" fillId="0" borderId="37" xfId="76" applyFont="1" applyBorder="1" applyAlignment="1">
      <alignment horizontal="center" vertical="center"/>
    </xf>
    <xf numFmtId="168" fontId="89" fillId="0" borderId="32" xfId="213" applyNumberFormat="1" applyFont="1" applyBorder="1" applyAlignment="1">
      <alignment horizontal="center" vertical="center"/>
    </xf>
    <xf numFmtId="168" fontId="92" fillId="0" borderId="42" xfId="213" applyNumberFormat="1" applyFont="1" applyBorder="1" applyAlignment="1">
      <alignment horizontal="center" vertical="center"/>
    </xf>
    <xf numFmtId="0" fontId="90" fillId="23" borderId="187" xfId="76" applyFont="1" applyFill="1" applyBorder="1" applyAlignment="1">
      <alignment horizontal="center" vertical="center"/>
    </xf>
    <xf numFmtId="0" fontId="90" fillId="23" borderId="190" xfId="76" applyFont="1" applyFill="1" applyBorder="1" applyAlignment="1">
      <alignment horizontal="center" vertical="center"/>
    </xf>
    <xf numFmtId="0" fontId="90" fillId="23" borderId="188" xfId="76" applyFont="1" applyFill="1" applyBorder="1" applyAlignment="1">
      <alignment horizontal="center" vertical="center"/>
    </xf>
    <xf numFmtId="168" fontId="90" fillId="23" borderId="190" xfId="213" applyNumberFormat="1" applyFont="1" applyFill="1" applyBorder="1" applyAlignment="1">
      <alignment horizontal="center" vertical="center"/>
    </xf>
    <xf numFmtId="168" fontId="238" fillId="23" borderId="189" xfId="213" applyNumberFormat="1" applyFont="1" applyFill="1" applyBorder="1" applyAlignment="1">
      <alignment horizontal="center" vertical="center"/>
    </xf>
    <xf numFmtId="168" fontId="53" fillId="0" borderId="0" xfId="76" applyNumberFormat="1" applyAlignment="1">
      <alignment vertical="center"/>
    </xf>
    <xf numFmtId="168" fontId="53" fillId="0" borderId="0" xfId="76" applyNumberFormat="1" applyBorder="1" applyAlignment="1">
      <alignment vertical="center"/>
    </xf>
    <xf numFmtId="0" fontId="89" fillId="0" borderId="0" xfId="76" applyFont="1" applyAlignment="1">
      <alignment horizontal="center" vertical="center"/>
    </xf>
    <xf numFmtId="0" fontId="89" fillId="0" borderId="0" xfId="76" applyFont="1" applyBorder="1" applyAlignment="1">
      <alignment horizontal="center" vertical="center"/>
    </xf>
    <xf numFmtId="0" fontId="53" fillId="0" borderId="0" xfId="76" applyBorder="1" applyAlignment="1">
      <alignment vertical="center"/>
    </xf>
    <xf numFmtId="0" fontId="175" fillId="0" borderId="0" xfId="76" applyFont="1" applyBorder="1" applyAlignment="1">
      <alignment vertical="center"/>
    </xf>
    <xf numFmtId="3" fontId="89" fillId="0" borderId="0" xfId="76" applyNumberFormat="1" applyFont="1" applyAlignment="1">
      <alignment horizontal="center" vertical="center"/>
    </xf>
    <xf numFmtId="0" fontId="90" fillId="33" borderId="190" xfId="76" applyFont="1" applyFill="1" applyBorder="1" applyAlignment="1">
      <alignment horizontal="center" vertical="center"/>
    </xf>
    <xf numFmtId="168" fontId="90" fillId="33" borderId="190" xfId="213" applyNumberFormat="1" applyFont="1" applyFill="1" applyBorder="1" applyAlignment="1">
      <alignment horizontal="center" vertical="center"/>
    </xf>
    <xf numFmtId="0" fontId="117" fillId="0" borderId="23" xfId="826" applyFont="1" applyBorder="1" applyAlignment="1">
      <alignment vertical="center" wrapText="1"/>
    </xf>
    <xf numFmtId="0" fontId="132" fillId="0" borderId="110" xfId="826" applyFont="1" applyBorder="1" applyAlignment="1">
      <alignment vertical="center"/>
    </xf>
    <xf numFmtId="0" fontId="116" fillId="23" borderId="189" xfId="826" applyFont="1" applyFill="1" applyBorder="1" applyAlignment="1">
      <alignment horizontal="center" vertical="center"/>
    </xf>
    <xf numFmtId="0" fontId="116" fillId="23" borderId="190" xfId="826" applyFont="1" applyFill="1" applyBorder="1" applyAlignment="1">
      <alignment horizontal="center" vertical="center" wrapText="1"/>
    </xf>
    <xf numFmtId="183" fontId="117" fillId="0" borderId="42" xfId="826" applyNumberFormat="1" applyFont="1" applyFill="1" applyBorder="1" applyAlignment="1">
      <alignment horizontal="center" vertical="center"/>
    </xf>
    <xf numFmtId="0" fontId="132" fillId="0" borderId="21" xfId="826" applyFont="1" applyFill="1" applyBorder="1" applyAlignment="1">
      <alignment horizontal="left" vertical="center"/>
    </xf>
    <xf numFmtId="0" fontId="117" fillId="0" borderId="17" xfId="826" applyFont="1" applyFill="1" applyBorder="1" applyAlignment="1">
      <alignment horizontal="center" vertical="center" wrapText="1"/>
    </xf>
    <xf numFmtId="0" fontId="251" fillId="0" borderId="42" xfId="826" applyFont="1" applyFill="1" applyBorder="1" applyAlignment="1">
      <alignment horizontal="center" vertical="center"/>
    </xf>
    <xf numFmtId="183" fontId="117" fillId="0" borderId="36" xfId="826" applyNumberFormat="1" applyFont="1" applyFill="1" applyBorder="1" applyAlignment="1">
      <alignment horizontal="center" vertical="center"/>
    </xf>
    <xf numFmtId="0" fontId="117" fillId="0" borderId="30" xfId="826" applyFont="1" applyFill="1" applyBorder="1" applyAlignment="1">
      <alignment horizontal="center" vertical="center" wrapText="1"/>
    </xf>
    <xf numFmtId="183" fontId="117" fillId="0" borderId="38" xfId="826" applyNumberFormat="1" applyFont="1" applyFill="1" applyBorder="1" applyAlignment="1">
      <alignment horizontal="center" vertical="center"/>
    </xf>
    <xf numFmtId="0" fontId="117" fillId="0" borderId="33" xfId="826" applyFont="1" applyFill="1" applyBorder="1" applyAlignment="1">
      <alignment horizontal="center" vertical="center" wrapText="1"/>
    </xf>
    <xf numFmtId="0" fontId="117" fillId="0" borderId="190" xfId="826" applyFont="1" applyFill="1" applyBorder="1" applyAlignment="1">
      <alignment horizontal="center" vertical="center"/>
    </xf>
    <xf numFmtId="183" fontId="117" fillId="0" borderId="189" xfId="826" applyNumberFormat="1" applyFont="1" applyFill="1" applyBorder="1" applyAlignment="1">
      <alignment horizontal="center" vertical="center"/>
    </xf>
    <xf numFmtId="0" fontId="117" fillId="0" borderId="189" xfId="826" applyFont="1" applyFill="1" applyBorder="1" applyAlignment="1">
      <alignment horizontal="center" vertical="center"/>
    </xf>
    <xf numFmtId="183" fontId="117" fillId="0" borderId="17" xfId="826" applyNumberFormat="1" applyFont="1" applyFill="1" applyBorder="1" applyAlignment="1">
      <alignment horizontal="center" vertical="center"/>
    </xf>
    <xf numFmtId="0" fontId="117" fillId="0" borderId="17" xfId="826" applyFont="1" applyFill="1" applyBorder="1" applyAlignment="1">
      <alignment horizontal="center" vertical="center"/>
    </xf>
    <xf numFmtId="183" fontId="117" fillId="0" borderId="44" xfId="826" applyNumberFormat="1" applyFont="1" applyFill="1" applyBorder="1" applyAlignment="1">
      <alignment horizontal="center" vertical="center"/>
    </xf>
    <xf numFmtId="0" fontId="117" fillId="0" borderId="191" xfId="826" applyFont="1" applyFill="1" applyBorder="1" applyAlignment="1">
      <alignment horizontal="center" vertical="center"/>
    </xf>
    <xf numFmtId="0" fontId="117" fillId="0" borderId="176" xfId="826" applyFont="1" applyFill="1" applyBorder="1" applyAlignment="1">
      <alignment horizontal="left" vertical="center"/>
    </xf>
    <xf numFmtId="0" fontId="117" fillId="0" borderId="180" xfId="826" applyFont="1" applyFill="1" applyBorder="1" applyAlignment="1">
      <alignment horizontal="left" vertical="center"/>
    </xf>
    <xf numFmtId="0" fontId="117" fillId="0" borderId="23" xfId="66" applyFont="1" applyBorder="1" applyAlignment="1">
      <alignment wrapText="1"/>
    </xf>
    <xf numFmtId="0" fontId="117" fillId="0" borderId="23" xfId="826" applyFont="1" applyFill="1" applyBorder="1" applyAlignment="1">
      <alignment horizontal="left" vertical="center"/>
    </xf>
    <xf numFmtId="183" fontId="117" fillId="0" borderId="23" xfId="826" applyNumberFormat="1" applyFont="1" applyFill="1" applyBorder="1" applyAlignment="1">
      <alignment horizontal="center" vertical="center"/>
    </xf>
    <xf numFmtId="0" fontId="117" fillId="0" borderId="40" xfId="826" applyFont="1" applyFill="1" applyBorder="1" applyAlignment="1">
      <alignment horizontal="left" vertical="center"/>
    </xf>
    <xf numFmtId="0" fontId="117" fillId="0" borderId="30" xfId="826" applyFont="1" applyFill="1" applyBorder="1" applyAlignment="1">
      <alignment horizontal="left" vertical="center"/>
    </xf>
    <xf numFmtId="0" fontId="117" fillId="0" borderId="41" xfId="826" applyFont="1" applyFill="1" applyBorder="1" applyAlignment="1">
      <alignment horizontal="left" vertical="center"/>
    </xf>
    <xf numFmtId="0" fontId="117" fillId="0" borderId="44" xfId="826" applyFont="1" applyFill="1" applyBorder="1" applyAlignment="1">
      <alignment horizontal="left" vertical="center"/>
    </xf>
    <xf numFmtId="0" fontId="117" fillId="0" borderId="43" xfId="826" applyFont="1" applyFill="1" applyBorder="1" applyAlignment="1">
      <alignment horizontal="left" vertical="center"/>
    </xf>
    <xf numFmtId="0" fontId="117" fillId="0" borderId="190" xfId="66" applyFont="1" applyBorder="1" applyAlignment="1">
      <alignment vertical="center" wrapText="1"/>
    </xf>
    <xf numFmtId="0" fontId="117" fillId="0" borderId="33" xfId="66" applyFont="1" applyBorder="1" applyAlignment="1">
      <alignment vertical="center" wrapText="1"/>
    </xf>
    <xf numFmtId="0" fontId="117" fillId="0" borderId="31" xfId="66" applyFont="1" applyBorder="1" applyAlignment="1">
      <alignment vertical="center" wrapText="1"/>
    </xf>
    <xf numFmtId="0" fontId="117" fillId="0" borderId="32" xfId="66" applyFont="1" applyBorder="1" applyAlignment="1">
      <alignment vertical="center" wrapText="1"/>
    </xf>
    <xf numFmtId="0" fontId="117" fillId="0" borderId="190" xfId="826" applyFont="1" applyFill="1" applyBorder="1" applyAlignment="1">
      <alignment horizontal="left" vertical="center" indent="1"/>
    </xf>
    <xf numFmtId="0" fontId="132" fillId="0" borderId="189" xfId="826" applyFont="1" applyFill="1" applyBorder="1" applyAlignment="1">
      <alignment horizontal="center" vertical="center"/>
    </xf>
    <xf numFmtId="0" fontId="132" fillId="0" borderId="43" xfId="826" applyFont="1" applyFill="1" applyBorder="1" applyAlignment="1">
      <alignment horizontal="center" vertical="center"/>
    </xf>
    <xf numFmtId="0" fontId="155" fillId="0" borderId="190" xfId="826" applyFont="1" applyBorder="1" applyAlignment="1">
      <alignment horizontal="center" vertical="center" wrapText="1"/>
    </xf>
    <xf numFmtId="0" fontId="117" fillId="0" borderId="189" xfId="826" applyFont="1" applyFill="1" applyBorder="1" applyAlignment="1">
      <alignment horizontal="left" vertical="center" indent="1"/>
    </xf>
    <xf numFmtId="183" fontId="117" fillId="0" borderId="190" xfId="826" applyNumberFormat="1" applyFont="1" applyFill="1" applyBorder="1" applyAlignment="1">
      <alignment horizontal="center" vertical="center"/>
    </xf>
    <xf numFmtId="0" fontId="125" fillId="0" borderId="32" xfId="826" applyFont="1" applyFill="1" applyBorder="1" applyAlignment="1">
      <alignment horizontal="left" vertical="center" indent="1"/>
    </xf>
    <xf numFmtId="0" fontId="191" fillId="0" borderId="41" xfId="826" applyFont="1" applyFill="1" applyBorder="1" applyAlignment="1">
      <alignment horizontal="center" vertical="center" wrapText="1"/>
    </xf>
    <xf numFmtId="0" fontId="117" fillId="0" borderId="27" xfId="826" applyFont="1" applyFill="1" applyBorder="1" applyAlignment="1">
      <alignment horizontal="left" vertical="center" indent="1"/>
    </xf>
    <xf numFmtId="0" fontId="116" fillId="23" borderId="190" xfId="826" applyFont="1" applyFill="1" applyBorder="1" applyAlignment="1">
      <alignment horizontal="center" vertical="center"/>
    </xf>
    <xf numFmtId="14" fontId="117" fillId="0" borderId="189" xfId="826" applyNumberFormat="1" applyFont="1" applyFill="1" applyBorder="1" applyAlignment="1">
      <alignment horizontal="left" vertical="center" indent="1"/>
    </xf>
    <xf numFmtId="0" fontId="117" fillId="0" borderId="17" xfId="826" applyFont="1" applyFill="1" applyBorder="1" applyAlignment="1">
      <alignment horizontal="left" vertical="center" indent="1"/>
    </xf>
    <xf numFmtId="0" fontId="257" fillId="0" borderId="42" xfId="826" applyFont="1" applyFill="1" applyBorder="1" applyAlignment="1">
      <alignment horizontal="center" vertical="center" wrapText="1"/>
    </xf>
    <xf numFmtId="0" fontId="157" fillId="0" borderId="33" xfId="826" applyFont="1" applyFill="1" applyBorder="1" applyAlignment="1">
      <alignment horizontal="center" vertical="center"/>
    </xf>
    <xf numFmtId="0" fontId="257" fillId="0" borderId="43" xfId="826" applyFont="1" applyFill="1" applyBorder="1" applyAlignment="1">
      <alignment horizontal="center" vertical="center" wrapText="1"/>
    </xf>
    <xf numFmtId="0" fontId="9" fillId="0" borderId="32" xfId="826" applyFont="1" applyFill="1" applyBorder="1" applyAlignment="1">
      <alignment horizontal="left" vertical="center" indent="1"/>
    </xf>
    <xf numFmtId="15" fontId="258" fillId="0" borderId="42" xfId="826" applyNumberFormat="1" applyFont="1" applyFill="1" applyBorder="1" applyAlignment="1">
      <alignment horizontal="center" vertical="center"/>
    </xf>
    <xf numFmtId="15" fontId="258" fillId="0" borderId="43" xfId="826" applyNumberFormat="1" applyFont="1" applyFill="1" applyBorder="1" applyAlignment="1">
      <alignment horizontal="center" vertical="center"/>
    </xf>
    <xf numFmtId="0" fontId="117" fillId="0" borderId="22" xfId="826" applyFont="1" applyFill="1" applyBorder="1" applyAlignment="1">
      <alignment horizontal="left" vertical="center" indent="1"/>
    </xf>
    <xf numFmtId="0" fontId="117" fillId="0" borderId="22" xfId="826" applyFont="1" applyFill="1" applyBorder="1" applyAlignment="1">
      <alignment horizontal="center" vertical="center"/>
    </xf>
    <xf numFmtId="0" fontId="138" fillId="0" borderId="186" xfId="76" applyFont="1" applyFill="1" applyBorder="1" applyAlignment="1">
      <alignment vertical="center"/>
    </xf>
    <xf numFmtId="0" fontId="9" fillId="0" borderId="0" xfId="76" applyFont="1"/>
    <xf numFmtId="0" fontId="138" fillId="23" borderId="190" xfId="76" applyFont="1" applyFill="1" applyBorder="1" applyAlignment="1">
      <alignment horizontal="center" vertical="center" wrapText="1"/>
    </xf>
    <xf numFmtId="0" fontId="138" fillId="0" borderId="23" xfId="76" applyFont="1" applyFill="1" applyBorder="1" applyAlignment="1">
      <alignment horizontal="center" vertical="center" wrapText="1"/>
    </xf>
    <xf numFmtId="0" fontId="138" fillId="0" borderId="190" xfId="76" applyFont="1" applyFill="1" applyBorder="1" applyAlignment="1">
      <alignment horizontal="center" vertical="center" wrapText="1"/>
    </xf>
    <xf numFmtId="0" fontId="170" fillId="0" borderId="190" xfId="76" applyFont="1" applyBorder="1" applyAlignment="1">
      <alignment horizontal="center" vertical="center" wrapText="1"/>
    </xf>
    <xf numFmtId="0" fontId="170" fillId="0" borderId="0" xfId="76" applyFont="1" applyAlignment="1">
      <alignment horizontal="center"/>
    </xf>
    <xf numFmtId="0" fontId="9" fillId="0" borderId="25" xfId="76" applyFont="1" applyBorder="1" applyAlignment="1">
      <alignment horizontal="center"/>
    </xf>
    <xf numFmtId="0" fontId="9" fillId="0" borderId="30" xfId="76" applyFont="1" applyBorder="1" applyAlignment="1">
      <alignment horizontal="center"/>
    </xf>
    <xf numFmtId="0" fontId="138" fillId="0" borderId="30" xfId="76" applyFont="1" applyBorder="1" applyAlignment="1">
      <alignment horizontal="center" vertical="center"/>
    </xf>
    <xf numFmtId="0" fontId="125" fillId="0" borderId="30" xfId="76" applyFont="1" applyBorder="1" applyAlignment="1">
      <alignment horizontal="center" vertical="center"/>
    </xf>
    <xf numFmtId="0" fontId="125" fillId="0" borderId="25" xfId="76" applyFont="1" applyBorder="1" applyAlignment="1">
      <alignment horizontal="center" vertical="center"/>
    </xf>
    <xf numFmtId="0" fontId="117" fillId="0" borderId="35" xfId="76" applyFont="1" applyBorder="1" applyAlignment="1">
      <alignment horizontal="center" vertical="center"/>
    </xf>
    <xf numFmtId="0" fontId="9" fillId="0" borderId="26" xfId="76" applyFont="1" applyBorder="1" applyAlignment="1">
      <alignment horizontal="center"/>
    </xf>
    <xf numFmtId="0" fontId="9" fillId="0" borderId="31" xfId="76" applyFont="1" applyBorder="1" applyAlignment="1">
      <alignment horizontal="center"/>
    </xf>
    <xf numFmtId="0" fontId="138" fillId="0" borderId="31" xfId="76" applyFont="1" applyBorder="1" applyAlignment="1">
      <alignment horizontal="center" vertical="center"/>
    </xf>
    <xf numFmtId="0" fontId="125" fillId="0" borderId="31" xfId="76" applyFont="1" applyBorder="1" applyAlignment="1">
      <alignment horizontal="center" vertical="center"/>
    </xf>
    <xf numFmtId="0" fontId="125" fillId="0" borderId="26" xfId="76" applyFont="1" applyBorder="1" applyAlignment="1">
      <alignment horizontal="center" vertical="center"/>
    </xf>
    <xf numFmtId="0" fontId="117" fillId="0" borderId="31" xfId="76" applyFont="1" applyBorder="1" applyAlignment="1">
      <alignment horizontal="center" vertical="center"/>
    </xf>
    <xf numFmtId="0" fontId="125" fillId="0" borderId="36" xfId="76" applyFont="1" applyBorder="1" applyAlignment="1">
      <alignment horizontal="center" vertical="center"/>
    </xf>
    <xf numFmtId="0" fontId="9" fillId="0" borderId="27" xfId="76" applyFont="1" applyBorder="1" applyAlignment="1">
      <alignment horizontal="center"/>
    </xf>
    <xf numFmtId="0" fontId="9" fillId="0" borderId="32" xfId="76" applyFont="1" applyBorder="1" applyAlignment="1">
      <alignment horizontal="center"/>
    </xf>
    <xf numFmtId="0" fontId="138" fillId="0" borderId="32" xfId="76" applyFont="1" applyBorder="1" applyAlignment="1">
      <alignment horizontal="center" vertical="center"/>
    </xf>
    <xf numFmtId="0" fontId="125" fillId="0" borderId="32" xfId="76" applyFont="1" applyBorder="1" applyAlignment="1">
      <alignment horizontal="center" vertical="center"/>
    </xf>
    <xf numFmtId="0" fontId="125" fillId="0" borderId="27" xfId="76" applyFont="1" applyBorder="1" applyAlignment="1">
      <alignment horizontal="center" vertical="center"/>
    </xf>
    <xf numFmtId="0" fontId="125" fillId="0" borderId="37" xfId="76" applyFont="1" applyBorder="1" applyAlignment="1">
      <alignment horizontal="center" vertical="center"/>
    </xf>
    <xf numFmtId="0" fontId="138" fillId="23" borderId="190" xfId="76" applyFont="1" applyFill="1" applyBorder="1" applyAlignment="1">
      <alignment horizontal="center"/>
    </xf>
    <xf numFmtId="0" fontId="138" fillId="23" borderId="190" xfId="76" applyFont="1" applyFill="1" applyBorder="1" applyAlignment="1">
      <alignment horizontal="center" vertical="center"/>
    </xf>
    <xf numFmtId="0" fontId="138" fillId="23" borderId="187" xfId="76" applyFont="1" applyFill="1" applyBorder="1" applyAlignment="1">
      <alignment horizontal="center" vertical="center"/>
    </xf>
    <xf numFmtId="168" fontId="138" fillId="23" borderId="190" xfId="213" applyNumberFormat="1" applyFont="1" applyFill="1" applyBorder="1" applyAlignment="1">
      <alignment horizontal="right" vertical="center" indent="1"/>
    </xf>
    <xf numFmtId="168" fontId="254" fillId="23" borderId="190" xfId="213" applyNumberFormat="1" applyFont="1" applyFill="1" applyBorder="1" applyAlignment="1">
      <alignment horizontal="right" vertical="center" indent="1"/>
    </xf>
    <xf numFmtId="0" fontId="127" fillId="0" borderId="0" xfId="76" applyFont="1" applyBorder="1" applyAlignment="1">
      <alignment horizontal="center" vertical="center"/>
    </xf>
    <xf numFmtId="0" fontId="125" fillId="0" borderId="35" xfId="76" applyFont="1" applyBorder="1" applyAlignment="1">
      <alignment horizontal="center" vertical="center"/>
    </xf>
    <xf numFmtId="0" fontId="138" fillId="0" borderId="0" xfId="76" applyFont="1"/>
    <xf numFmtId="0" fontId="169" fillId="0" borderId="0" xfId="76" applyFont="1" applyAlignment="1">
      <alignment horizontal="right" indent="1"/>
    </xf>
    <xf numFmtId="0" fontId="117" fillId="0" borderId="25" xfId="76" applyFont="1" applyBorder="1" applyAlignment="1">
      <alignment horizontal="center" vertical="center"/>
    </xf>
    <xf numFmtId="0" fontId="117" fillId="0" borderId="30" xfId="76" applyFont="1" applyBorder="1" applyAlignment="1">
      <alignment horizontal="center" vertical="center"/>
    </xf>
    <xf numFmtId="0" fontId="9" fillId="0" borderId="0" xfId="76" applyFont="1" applyAlignment="1">
      <alignment horizontal="center"/>
    </xf>
    <xf numFmtId="0" fontId="138" fillId="0" borderId="0" xfId="76" applyFont="1" applyAlignment="1">
      <alignment horizontal="center" vertical="center"/>
    </xf>
    <xf numFmtId="0" fontId="125" fillId="0" borderId="0" xfId="76" applyFont="1" applyAlignment="1">
      <alignment horizontal="center" vertical="center"/>
    </xf>
    <xf numFmtId="0" fontId="252" fillId="0" borderId="0" xfId="76" applyFont="1" applyBorder="1" applyAlignment="1">
      <alignment horizontal="center" vertical="center"/>
    </xf>
    <xf numFmtId="0" fontId="255" fillId="0" borderId="0" xfId="76" applyFont="1" applyBorder="1" applyAlignment="1">
      <alignment horizontal="right" vertical="center" indent="1"/>
    </xf>
    <xf numFmtId="168" fontId="138" fillId="33" borderId="190" xfId="213" applyNumberFormat="1" applyFont="1" applyFill="1" applyBorder="1" applyAlignment="1">
      <alignment horizontal="right" vertical="center" indent="1"/>
    </xf>
    <xf numFmtId="168" fontId="125" fillId="0" borderId="0" xfId="76" applyNumberFormat="1" applyFont="1" applyAlignment="1">
      <alignment horizontal="center"/>
    </xf>
    <xf numFmtId="0" fontId="53" fillId="0" borderId="189" xfId="76" applyBorder="1" applyAlignment="1">
      <alignment horizontal="center" vertical="center"/>
    </xf>
    <xf numFmtId="0" fontId="53" fillId="0" borderId="190" xfId="76" applyBorder="1" applyAlignment="1">
      <alignment horizontal="center" vertical="center"/>
    </xf>
    <xf numFmtId="0" fontId="120" fillId="23" borderId="190" xfId="76" applyFont="1" applyFill="1" applyBorder="1" applyAlignment="1">
      <alignment horizontal="center" vertical="center"/>
    </xf>
    <xf numFmtId="0" fontId="116" fillId="23" borderId="171" xfId="76" applyFont="1" applyFill="1" applyBorder="1" applyAlignment="1">
      <alignment horizontal="center"/>
    </xf>
    <xf numFmtId="0" fontId="297" fillId="0" borderId="0" xfId="0" applyFont="1"/>
    <xf numFmtId="0" fontId="298" fillId="0" borderId="0" xfId="0" applyFont="1"/>
    <xf numFmtId="0" fontId="299" fillId="0" borderId="0" xfId="0" applyFont="1"/>
    <xf numFmtId="0" fontId="300" fillId="0" borderId="0" xfId="0" applyFont="1"/>
    <xf numFmtId="0" fontId="301" fillId="0" borderId="0" xfId="0" applyFont="1"/>
    <xf numFmtId="0" fontId="302" fillId="0" borderId="0" xfId="0" applyFont="1"/>
    <xf numFmtId="182" fontId="120" fillId="23" borderId="190" xfId="0" applyNumberFormat="1" applyFont="1" applyFill="1" applyBorder="1" applyAlignment="1">
      <alignment horizontal="right" vertical="center" indent="1"/>
    </xf>
    <xf numFmtId="182" fontId="0" fillId="0" borderId="0" xfId="0" applyNumberFormat="1"/>
    <xf numFmtId="0" fontId="154" fillId="0" borderId="0" xfId="374" applyFont="1" applyAlignment="1">
      <alignment vertical="center"/>
    </xf>
    <xf numFmtId="3" fontId="116" fillId="0" borderId="43" xfId="66" applyNumberFormat="1" applyFont="1" applyFill="1" applyBorder="1" applyAlignment="1">
      <alignment horizontal="center" vertical="center"/>
    </xf>
    <xf numFmtId="3" fontId="117" fillId="0" borderId="190" xfId="0" applyNumberFormat="1" applyFont="1" applyBorder="1" applyAlignment="1">
      <alignment horizontal="center" vertical="center"/>
    </xf>
    <xf numFmtId="0" fontId="73" fillId="0" borderId="74" xfId="52" applyFont="1" applyFill="1" applyBorder="1" applyAlignment="1">
      <alignment wrapText="1"/>
    </xf>
    <xf numFmtId="0" fontId="166" fillId="0" borderId="14" xfId="66" applyFont="1" applyFill="1" applyBorder="1" applyAlignment="1">
      <alignment horizontal="center" vertical="center"/>
    </xf>
    <xf numFmtId="1" fontId="166" fillId="0" borderId="10" xfId="66" applyNumberFormat="1" applyFont="1" applyFill="1" applyBorder="1" applyAlignment="1">
      <alignment horizontal="center" vertical="center"/>
    </xf>
    <xf numFmtId="0" fontId="117" fillId="0" borderId="34" xfId="66" applyFont="1" applyFill="1" applyBorder="1" applyAlignment="1">
      <alignment horizontal="center" vertical="center"/>
    </xf>
    <xf numFmtId="0" fontId="8" fillId="0" borderId="30" xfId="464" applyFont="1" applyBorder="1" applyAlignment="1">
      <alignment horizontal="center" vertical="center"/>
    </xf>
    <xf numFmtId="0" fontId="8" fillId="0" borderId="31" xfId="464" applyFont="1" applyBorder="1" applyAlignment="1">
      <alignment horizontal="center" vertical="center"/>
    </xf>
    <xf numFmtId="0" fontId="116" fillId="0" borderId="23" xfId="0" applyFont="1" applyFill="1" applyBorder="1" applyAlignment="1">
      <alignment horizontal="center" vertical="center"/>
    </xf>
    <xf numFmtId="0" fontId="116" fillId="23" borderId="18" xfId="0" applyFont="1" applyFill="1" applyBorder="1" applyAlignment="1">
      <alignment horizontal="center" vertical="center"/>
    </xf>
    <xf numFmtId="0" fontId="167" fillId="0" borderId="14" xfId="66" applyFont="1" applyFill="1" applyBorder="1" applyAlignment="1">
      <alignment horizontal="center" vertical="center"/>
    </xf>
    <xf numFmtId="0" fontId="120" fillId="23" borderId="18" xfId="655" applyFont="1" applyFill="1" applyBorder="1" applyAlignment="1">
      <alignment horizontal="center" vertical="center"/>
    </xf>
    <xf numFmtId="0" fontId="165" fillId="0" borderId="18" xfId="655" applyFont="1" applyFill="1" applyBorder="1" applyAlignment="1">
      <alignment horizontal="center" vertical="center" wrapText="1"/>
    </xf>
    <xf numFmtId="0" fontId="120" fillId="23" borderId="18" xfId="655" applyFont="1" applyFill="1" applyBorder="1" applyAlignment="1">
      <alignment horizontal="center" vertical="center"/>
    </xf>
    <xf numFmtId="0" fontId="285" fillId="0" borderId="0" xfId="73" applyFont="1" applyAlignment="1">
      <alignment vertical="center"/>
    </xf>
    <xf numFmtId="0" fontId="156" fillId="0" borderId="0" xfId="374" applyFont="1" applyAlignment="1">
      <alignment vertical="center"/>
    </xf>
    <xf numFmtId="3" fontId="118" fillId="23" borderId="197" xfId="50" applyNumberFormat="1" applyFont="1" applyFill="1" applyBorder="1" applyAlignment="1">
      <alignment horizontal="center" vertical="center" wrapText="1"/>
    </xf>
    <xf numFmtId="3" fontId="118" fillId="23" borderId="190" xfId="50" applyNumberFormat="1" applyFont="1" applyFill="1" applyBorder="1" applyAlignment="1">
      <alignment horizontal="center" vertical="center" wrapText="1"/>
    </xf>
    <xf numFmtId="0" fontId="117" fillId="0" borderId="35" xfId="66" applyFont="1" applyBorder="1" applyAlignment="1">
      <alignment vertical="center"/>
    </xf>
    <xf numFmtId="3" fontId="117" fillId="0" borderId="30" xfId="66" applyNumberFormat="1" applyFont="1" applyBorder="1" applyAlignment="1">
      <alignment horizontal="center" vertical="center"/>
    </xf>
    <xf numFmtId="3" fontId="163" fillId="0" borderId="190" xfId="66" applyNumberFormat="1" applyFont="1" applyFill="1" applyBorder="1" applyAlignment="1">
      <alignment horizontal="center" vertical="center"/>
    </xf>
    <xf numFmtId="3" fontId="167" fillId="0" borderId="190" xfId="66" applyNumberFormat="1" applyFont="1" applyFill="1" applyBorder="1" applyAlignment="1">
      <alignment horizontal="center" vertical="center"/>
    </xf>
    <xf numFmtId="3" fontId="165" fillId="0" borderId="190" xfId="66" applyNumberFormat="1" applyFont="1" applyFill="1" applyBorder="1" applyAlignment="1">
      <alignment horizontal="center" vertical="center"/>
    </xf>
    <xf numFmtId="3" fontId="164" fillId="0" borderId="190" xfId="66" applyNumberFormat="1" applyFont="1" applyFill="1" applyBorder="1" applyAlignment="1">
      <alignment horizontal="center" vertical="center"/>
    </xf>
    <xf numFmtId="3" fontId="166" fillId="0" borderId="190" xfId="66" applyNumberFormat="1" applyFont="1" applyFill="1" applyBorder="1" applyAlignment="1">
      <alignment horizontal="center" vertical="center"/>
    </xf>
    <xf numFmtId="3" fontId="116" fillId="23" borderId="190" xfId="66" applyNumberFormat="1" applyFont="1" applyFill="1" applyBorder="1" applyAlignment="1">
      <alignment horizontal="center" vertical="center"/>
    </xf>
    <xf numFmtId="1" fontId="116" fillId="23" borderId="190" xfId="66" applyNumberFormat="1" applyFont="1" applyFill="1" applyBorder="1" applyAlignment="1">
      <alignment horizontal="center" vertical="center" wrapText="1"/>
    </xf>
    <xf numFmtId="0" fontId="117" fillId="0" borderId="25" xfId="66" applyFont="1" applyBorder="1" applyAlignment="1">
      <alignment vertical="center"/>
    </xf>
    <xf numFmtId="1" fontId="163" fillId="0" borderId="190" xfId="66" applyNumberFormat="1" applyFont="1" applyFill="1" applyBorder="1" applyAlignment="1">
      <alignment horizontal="center" vertical="center"/>
    </xf>
    <xf numFmtId="1" fontId="167" fillId="0" borderId="190" xfId="66" applyNumberFormat="1" applyFont="1" applyFill="1" applyBorder="1" applyAlignment="1">
      <alignment horizontal="center" vertical="center"/>
    </xf>
    <xf numFmtId="1" fontId="165" fillId="0" borderId="190" xfId="66" applyNumberFormat="1" applyFont="1" applyFill="1" applyBorder="1" applyAlignment="1">
      <alignment horizontal="center" vertical="center"/>
    </xf>
    <xf numFmtId="1" fontId="164" fillId="0" borderId="190" xfId="66" applyNumberFormat="1" applyFont="1" applyFill="1" applyBorder="1" applyAlignment="1">
      <alignment horizontal="center" vertical="center"/>
    </xf>
    <xf numFmtId="1" fontId="116" fillId="23" borderId="190" xfId="66" applyNumberFormat="1" applyFont="1" applyFill="1" applyBorder="1" applyAlignment="1">
      <alignment horizontal="center" vertical="center"/>
    </xf>
    <xf numFmtId="1" fontId="117" fillId="0" borderId="25" xfId="66" applyNumberFormat="1" applyFont="1" applyBorder="1" applyAlignment="1">
      <alignment horizontal="center" vertical="center"/>
    </xf>
    <xf numFmtId="1" fontId="117" fillId="0" borderId="40" xfId="66" applyNumberFormat="1" applyFont="1" applyBorder="1" applyAlignment="1">
      <alignment horizontal="center" vertical="center"/>
    </xf>
    <xf numFmtId="1" fontId="117" fillId="0" borderId="28" xfId="66" applyNumberFormat="1" applyFont="1" applyBorder="1" applyAlignment="1">
      <alignment horizontal="center" vertical="center"/>
    </xf>
    <xf numFmtId="1" fontId="117" fillId="0" borderId="43" xfId="66" applyNumberFormat="1" applyFont="1" applyBorder="1" applyAlignment="1">
      <alignment horizontal="center" vertical="center"/>
    </xf>
    <xf numFmtId="1" fontId="117" fillId="0" borderId="26" xfId="66" applyNumberFormat="1" applyFont="1" applyBorder="1" applyAlignment="1">
      <alignment horizontal="center" vertical="center"/>
    </xf>
    <xf numFmtId="1" fontId="117" fillId="0" borderId="41" xfId="66" applyNumberFormat="1" applyFont="1" applyBorder="1" applyAlignment="1">
      <alignment horizontal="center" vertical="center"/>
    </xf>
    <xf numFmtId="1" fontId="117" fillId="23" borderId="26" xfId="66" applyNumberFormat="1" applyFont="1" applyFill="1" applyBorder="1" applyAlignment="1">
      <alignment horizontal="center" vertical="center"/>
    </xf>
    <xf numFmtId="1" fontId="117" fillId="23" borderId="41" xfId="66" applyNumberFormat="1" applyFont="1" applyFill="1" applyBorder="1" applyAlignment="1">
      <alignment horizontal="center" vertical="center"/>
    </xf>
    <xf numFmtId="1" fontId="117" fillId="23" borderId="29" xfId="66" applyNumberFormat="1" applyFont="1" applyFill="1" applyBorder="1" applyAlignment="1">
      <alignment horizontal="center" vertical="center"/>
    </xf>
    <xf numFmtId="1" fontId="117" fillId="23" borderId="44" xfId="66" applyNumberFormat="1" applyFont="1" applyFill="1" applyBorder="1" applyAlignment="1">
      <alignment horizontal="center" vertical="center"/>
    </xf>
    <xf numFmtId="1" fontId="163" fillId="0" borderId="197" xfId="66" applyNumberFormat="1" applyFont="1" applyFill="1" applyBorder="1" applyAlignment="1">
      <alignment horizontal="center" vertical="center"/>
    </xf>
    <xf numFmtId="1" fontId="163" fillId="0" borderId="200" xfId="66" applyNumberFormat="1" applyFont="1" applyFill="1" applyBorder="1" applyAlignment="1">
      <alignment horizontal="center" vertical="center"/>
    </xf>
    <xf numFmtId="1" fontId="117" fillId="0" borderId="28" xfId="66" applyNumberFormat="1" applyFont="1" applyFill="1" applyBorder="1" applyAlignment="1">
      <alignment horizontal="center" vertical="center"/>
    </xf>
    <xf numFmtId="1" fontId="117" fillId="0" borderId="43" xfId="66" applyNumberFormat="1" applyFont="1" applyFill="1" applyBorder="1" applyAlignment="1">
      <alignment horizontal="center" vertical="center"/>
    </xf>
    <xf numFmtId="1" fontId="117" fillId="0" borderId="26" xfId="66" applyNumberFormat="1" applyFont="1" applyFill="1" applyBorder="1" applyAlignment="1">
      <alignment horizontal="center" vertical="center"/>
    </xf>
    <xf numFmtId="1" fontId="117" fillId="0" borderId="41" xfId="66" applyNumberFormat="1" applyFont="1" applyFill="1" applyBorder="1" applyAlignment="1">
      <alignment horizontal="center" vertical="center"/>
    </xf>
    <xf numFmtId="1" fontId="167" fillId="0" borderId="197" xfId="66" applyNumberFormat="1" applyFont="1" applyFill="1" applyBorder="1" applyAlignment="1">
      <alignment horizontal="center" vertical="center"/>
    </xf>
    <xf numFmtId="1" fontId="167" fillId="0" borderId="200" xfId="66" applyNumberFormat="1" applyFont="1" applyFill="1" applyBorder="1" applyAlignment="1">
      <alignment horizontal="center" vertical="center"/>
    </xf>
    <xf numFmtId="1" fontId="117" fillId="0" borderId="29" xfId="66" applyNumberFormat="1" applyFont="1" applyFill="1" applyBorder="1" applyAlignment="1">
      <alignment horizontal="center" vertical="center"/>
    </xf>
    <xf numFmtId="1" fontId="165" fillId="0" borderId="197" xfId="66" applyNumberFormat="1" applyFont="1" applyFill="1" applyBorder="1" applyAlignment="1">
      <alignment horizontal="center" vertical="center"/>
    </xf>
    <xf numFmtId="1" fontId="165" fillId="0" borderId="200" xfId="66" applyNumberFormat="1" applyFont="1" applyFill="1" applyBorder="1" applyAlignment="1">
      <alignment horizontal="center" vertical="center"/>
    </xf>
    <xf numFmtId="1" fontId="164" fillId="0" borderId="197" xfId="66" applyNumberFormat="1" applyFont="1" applyFill="1" applyBorder="1" applyAlignment="1">
      <alignment horizontal="center" vertical="center"/>
    </xf>
    <xf numFmtId="1" fontId="164" fillId="0" borderId="200" xfId="66" applyNumberFormat="1" applyFont="1" applyFill="1" applyBorder="1" applyAlignment="1">
      <alignment horizontal="center" vertical="center"/>
    </xf>
    <xf numFmtId="1" fontId="166" fillId="0" borderId="199" xfId="66" applyNumberFormat="1" applyFont="1" applyFill="1" applyBorder="1" applyAlignment="1">
      <alignment horizontal="center" vertical="center"/>
    </xf>
    <xf numFmtId="1" fontId="166" fillId="0" borderId="200" xfId="66" applyNumberFormat="1" applyFont="1" applyFill="1" applyBorder="1" applyAlignment="1">
      <alignment horizontal="center" vertical="center"/>
    </xf>
    <xf numFmtId="1" fontId="116" fillId="23" borderId="197" xfId="66" applyNumberFormat="1" applyFont="1" applyFill="1" applyBorder="1" applyAlignment="1">
      <alignment horizontal="center" vertical="center"/>
    </xf>
    <xf numFmtId="1" fontId="116" fillId="23" borderId="200" xfId="66" applyNumberFormat="1" applyFont="1" applyFill="1" applyBorder="1" applyAlignment="1">
      <alignment horizontal="center" vertical="center"/>
    </xf>
    <xf numFmtId="1" fontId="116" fillId="23" borderId="197" xfId="66" applyNumberFormat="1" applyFont="1" applyFill="1" applyBorder="1" applyAlignment="1">
      <alignment horizontal="center" vertical="center" wrapText="1"/>
    </xf>
    <xf numFmtId="1" fontId="116" fillId="23" borderId="200" xfId="66" applyNumberFormat="1" applyFont="1" applyFill="1" applyBorder="1" applyAlignment="1">
      <alignment horizontal="center" vertical="center" wrapText="1"/>
    </xf>
    <xf numFmtId="1" fontId="117" fillId="0" borderId="44" xfId="66" applyNumberFormat="1" applyFont="1" applyFill="1" applyBorder="1" applyAlignment="1">
      <alignment horizontal="center" vertical="center"/>
    </xf>
    <xf numFmtId="1" fontId="166" fillId="0" borderId="197" xfId="66" applyNumberFormat="1" applyFont="1" applyFill="1" applyBorder="1" applyAlignment="1">
      <alignment horizontal="center" vertical="center"/>
    </xf>
    <xf numFmtId="0" fontId="7" fillId="23" borderId="190" xfId="830" applyFont="1" applyFill="1" applyBorder="1" applyAlignment="1">
      <alignment horizontal="center" vertical="center"/>
    </xf>
    <xf numFmtId="0" fontId="7" fillId="0" borderId="28" xfId="830" applyFont="1" applyBorder="1" applyAlignment="1">
      <alignment horizontal="left" vertical="center"/>
    </xf>
    <xf numFmtId="0" fontId="7" fillId="0" borderId="28" xfId="830" applyFont="1" applyBorder="1" applyAlignment="1">
      <alignment horizontal="center" vertical="center"/>
    </xf>
    <xf numFmtId="0" fontId="7" fillId="0" borderId="38" xfId="830" applyFont="1" applyBorder="1" applyAlignment="1">
      <alignment horizontal="center" vertical="center"/>
    </xf>
    <xf numFmtId="0" fontId="7" fillId="0" borderId="26" xfId="830" applyFont="1" applyBorder="1" applyAlignment="1">
      <alignment horizontal="left" vertical="center"/>
    </xf>
    <xf numFmtId="0" fontId="7" fillId="0" borderId="26" xfId="830" applyFont="1" applyBorder="1" applyAlignment="1">
      <alignment horizontal="center" vertical="center"/>
    </xf>
    <xf numFmtId="0" fontId="7" fillId="0" borderId="36" xfId="830" applyFont="1" applyBorder="1" applyAlignment="1">
      <alignment horizontal="center" vertical="center"/>
    </xf>
    <xf numFmtId="0" fontId="7" fillId="0" borderId="36" xfId="830" applyFont="1" applyFill="1" applyBorder="1" applyAlignment="1">
      <alignment horizontal="center" vertical="center"/>
    </xf>
    <xf numFmtId="0" fontId="7" fillId="23" borderId="26" xfId="830" applyFont="1" applyFill="1" applyBorder="1" applyAlignment="1">
      <alignment horizontal="center" vertical="center"/>
    </xf>
    <xf numFmtId="0" fontId="7" fillId="0" borderId="41" xfId="830" applyFont="1" applyBorder="1" applyAlignment="1">
      <alignment horizontal="center" vertical="center"/>
    </xf>
    <xf numFmtId="0" fontId="163" fillId="0" borderId="197" xfId="830" applyFont="1" applyFill="1" applyBorder="1" applyAlignment="1">
      <alignment horizontal="center" vertical="center"/>
    </xf>
    <xf numFmtId="0" fontId="163" fillId="0" borderId="200" xfId="830" applyFont="1" applyFill="1" applyBorder="1" applyAlignment="1">
      <alignment horizontal="center" vertical="center"/>
    </xf>
    <xf numFmtId="0" fontId="163" fillId="0" borderId="190" xfId="830" applyFont="1" applyFill="1" applyBorder="1" applyAlignment="1">
      <alignment horizontal="center" vertical="center"/>
    </xf>
    <xf numFmtId="0" fontId="7" fillId="0" borderId="25" xfId="830" applyFont="1" applyBorder="1" applyAlignment="1">
      <alignment horizontal="left" vertical="center"/>
    </xf>
    <xf numFmtId="0" fontId="7" fillId="0" borderId="25" xfId="830" applyFont="1" applyBorder="1" applyAlignment="1">
      <alignment horizontal="center" vertical="center"/>
    </xf>
    <xf numFmtId="0" fontId="7" fillId="0" borderId="40" xfId="830" applyFont="1" applyBorder="1" applyAlignment="1">
      <alignment horizontal="center" vertical="center"/>
    </xf>
    <xf numFmtId="0" fontId="7" fillId="0" borderId="41" xfId="830" applyFont="1" applyFill="1" applyBorder="1" applyAlignment="1">
      <alignment horizontal="center" vertical="center"/>
    </xf>
    <xf numFmtId="0" fontId="164" fillId="0" borderId="197" xfId="830" applyFont="1" applyFill="1" applyBorder="1" applyAlignment="1">
      <alignment horizontal="center" vertical="center"/>
    </xf>
    <xf numFmtId="0" fontId="164" fillId="0" borderId="200" xfId="830" applyFont="1" applyFill="1" applyBorder="1" applyAlignment="1">
      <alignment horizontal="center" vertical="center"/>
    </xf>
    <xf numFmtId="0" fontId="164" fillId="0" borderId="190" xfId="830" applyFont="1" applyFill="1" applyBorder="1" applyAlignment="1">
      <alignment horizontal="center" vertical="center"/>
    </xf>
    <xf numFmtId="0" fontId="7" fillId="23" borderId="27" xfId="830" applyFont="1" applyFill="1" applyBorder="1" applyAlignment="1">
      <alignment horizontal="center" vertical="center"/>
    </xf>
    <xf numFmtId="0" fontId="167" fillId="0" borderId="197" xfId="830" applyFont="1" applyFill="1" applyBorder="1" applyAlignment="1">
      <alignment horizontal="center" vertical="center"/>
    </xf>
    <xf numFmtId="0" fontId="167" fillId="0" borderId="200" xfId="830" applyFont="1" applyFill="1" applyBorder="1" applyAlignment="1">
      <alignment horizontal="center" vertical="center"/>
    </xf>
    <xf numFmtId="0" fontId="167" fillId="0" borderId="190" xfId="830" applyFont="1" applyFill="1" applyBorder="1" applyAlignment="1">
      <alignment horizontal="center" vertical="center"/>
    </xf>
    <xf numFmtId="0" fontId="166" fillId="0" borderId="197" xfId="830" applyFont="1" applyFill="1" applyBorder="1" applyAlignment="1">
      <alignment horizontal="center" vertical="center"/>
    </xf>
    <xf numFmtId="0" fontId="166" fillId="0" borderId="200" xfId="830" applyFont="1" applyFill="1" applyBorder="1" applyAlignment="1">
      <alignment horizontal="center" vertical="center"/>
    </xf>
    <xf numFmtId="0" fontId="166" fillId="0" borderId="190" xfId="830" applyFont="1" applyFill="1" applyBorder="1" applyAlignment="1">
      <alignment horizontal="center" vertical="center"/>
    </xf>
    <xf numFmtId="0" fontId="7" fillId="0" borderId="43" xfId="830" applyFont="1" applyBorder="1" applyAlignment="1">
      <alignment horizontal="center" vertical="center"/>
    </xf>
    <xf numFmtId="0" fontId="165" fillId="0" borderId="197" xfId="830" applyFont="1" applyFill="1" applyBorder="1" applyAlignment="1">
      <alignment horizontal="center" vertical="center"/>
    </xf>
    <xf numFmtId="0" fontId="165" fillId="0" borderId="200" xfId="830" applyFont="1" applyFill="1" applyBorder="1" applyAlignment="1">
      <alignment horizontal="center" vertical="center"/>
    </xf>
    <xf numFmtId="0" fontId="165" fillId="0" borderId="190" xfId="830" applyFont="1" applyFill="1" applyBorder="1" applyAlignment="1">
      <alignment horizontal="center" vertical="center"/>
    </xf>
    <xf numFmtId="0" fontId="120" fillId="23" borderId="197" xfId="830" applyFont="1" applyFill="1" applyBorder="1" applyAlignment="1">
      <alignment horizontal="center" vertical="center"/>
    </xf>
    <xf numFmtId="0" fontId="120" fillId="23" borderId="200" xfId="830" applyFont="1" applyFill="1" applyBorder="1" applyAlignment="1">
      <alignment horizontal="center" vertical="center"/>
    </xf>
    <xf numFmtId="0" fontId="120" fillId="23" borderId="190" xfId="830" applyFont="1" applyFill="1" applyBorder="1" applyAlignment="1">
      <alignment horizontal="center" vertical="center"/>
    </xf>
    <xf numFmtId="0" fontId="7" fillId="0" borderId="23" xfId="830" applyFont="1" applyBorder="1" applyAlignment="1">
      <alignment horizontal="center" vertical="center"/>
    </xf>
    <xf numFmtId="1" fontId="116" fillId="0" borderId="23" xfId="66" applyNumberFormat="1" applyFont="1" applyFill="1" applyBorder="1" applyAlignment="1">
      <alignment horizontal="center" vertical="center" wrapText="1"/>
    </xf>
    <xf numFmtId="3" fontId="118" fillId="0" borderId="23" xfId="50" applyNumberFormat="1" applyFont="1" applyFill="1" applyBorder="1" applyAlignment="1">
      <alignment horizontal="center" vertical="center" wrapText="1"/>
    </xf>
    <xf numFmtId="0" fontId="7" fillId="0" borderId="0" xfId="830" applyFont="1" applyAlignment="1">
      <alignment horizontal="center" vertical="center"/>
    </xf>
    <xf numFmtId="0" fontId="7" fillId="0" borderId="0" xfId="830" applyFont="1" applyAlignment="1">
      <alignment horizontal="left" vertical="center"/>
    </xf>
    <xf numFmtId="0" fontId="135" fillId="0" borderId="34" xfId="655" applyFont="1" applyBorder="1" applyAlignment="1">
      <alignment vertical="center"/>
    </xf>
    <xf numFmtId="0" fontId="135" fillId="0" borderId="34" xfId="655" applyFont="1" applyBorder="1" applyAlignment="1">
      <alignment horizontal="center" vertical="center"/>
    </xf>
    <xf numFmtId="0" fontId="134" fillId="0" borderId="34" xfId="655" applyFont="1" applyBorder="1" applyAlignment="1">
      <alignment horizontal="center" vertical="center"/>
    </xf>
    <xf numFmtId="0" fontId="73" fillId="0" borderId="74" xfId="835" applyFont="1" applyFill="1" applyBorder="1" applyAlignment="1">
      <alignment wrapText="1"/>
    </xf>
    <xf numFmtId="0" fontId="135" fillId="0" borderId="21" xfId="655" applyFont="1" applyBorder="1" applyAlignment="1">
      <alignment horizontal="center" vertical="center"/>
    </xf>
    <xf numFmtId="0" fontId="135" fillId="0" borderId="10" xfId="655" applyFont="1" applyBorder="1" applyAlignment="1">
      <alignment horizontal="center" vertical="center" wrapText="1"/>
    </xf>
    <xf numFmtId="0" fontId="7" fillId="0" borderId="31" xfId="655" applyFont="1" applyBorder="1" applyAlignment="1">
      <alignment vertical="center"/>
    </xf>
    <xf numFmtId="0" fontId="148" fillId="0" borderId="0" xfId="0" applyFont="1" applyAlignment="1">
      <alignment horizontal="left" vertical="center"/>
    </xf>
    <xf numFmtId="0" fontId="7" fillId="0" borderId="13" xfId="0" applyFont="1" applyBorder="1" applyAlignment="1">
      <alignment horizontal="center" vertical="center"/>
    </xf>
    <xf numFmtId="0" fontId="7" fillId="0" borderId="13" xfId="0" applyFont="1" applyFill="1" applyBorder="1" applyAlignment="1">
      <alignment horizontal="center" vertical="center"/>
    </xf>
    <xf numFmtId="0" fontId="7" fillId="0" borderId="18" xfId="0" applyFont="1" applyFill="1" applyBorder="1" applyAlignment="1">
      <alignment horizontal="center" vertical="center"/>
    </xf>
    <xf numFmtId="0" fontId="7" fillId="0" borderId="13" xfId="0" applyFont="1" applyBorder="1" applyAlignment="1">
      <alignment horizontal="left" vertical="center"/>
    </xf>
    <xf numFmtId="0" fontId="7" fillId="0" borderId="16" xfId="0" applyFont="1" applyBorder="1" applyAlignment="1">
      <alignment horizontal="center" vertical="center"/>
    </xf>
    <xf numFmtId="0" fontId="7" fillId="0" borderId="18" xfId="0" applyFont="1" applyBorder="1" applyAlignment="1">
      <alignment horizontal="left" vertical="center"/>
    </xf>
    <xf numFmtId="0" fontId="7" fillId="0" borderId="18" xfId="0" applyFont="1" applyFill="1" applyBorder="1" applyAlignment="1">
      <alignment horizontal="left" vertical="center"/>
    </xf>
    <xf numFmtId="0" fontId="7" fillId="20" borderId="18" xfId="0" applyFont="1" applyFill="1" applyBorder="1" applyAlignment="1">
      <alignment horizontal="left" vertical="center"/>
    </xf>
    <xf numFmtId="0" fontId="7" fillId="20" borderId="13" xfId="0" applyFont="1" applyFill="1" applyBorder="1" applyAlignment="1">
      <alignment horizontal="left" vertical="center"/>
    </xf>
    <xf numFmtId="0" fontId="7" fillId="0" borderId="16" xfId="0" applyFont="1" applyFill="1" applyBorder="1" applyAlignment="1">
      <alignment horizontal="left" vertical="center"/>
    </xf>
    <xf numFmtId="0" fontId="7" fillId="0" borderId="13" xfId="0" applyFont="1" applyFill="1" applyBorder="1" applyAlignment="1">
      <alignment horizontal="left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7" fillId="0" borderId="19" xfId="0" applyFont="1" applyBorder="1" applyAlignment="1">
      <alignment horizontal="center" vertical="center"/>
    </xf>
    <xf numFmtId="0" fontId="7" fillId="0" borderId="12" xfId="0" applyFont="1" applyBorder="1" applyAlignment="1">
      <alignment horizontal="left" vertical="center"/>
    </xf>
    <xf numFmtId="0" fontId="154" fillId="23" borderId="18" xfId="0" applyFont="1" applyFill="1" applyBorder="1" applyAlignment="1">
      <alignment horizontal="center" vertical="center"/>
    </xf>
    <xf numFmtId="0" fontId="155" fillId="23" borderId="18" xfId="0" applyFont="1" applyFill="1" applyBorder="1" applyAlignment="1">
      <alignment horizontal="center" vertical="center"/>
    </xf>
    <xf numFmtId="0" fontId="156" fillId="23" borderId="18" xfId="0" applyFont="1" applyFill="1" applyBorder="1" applyAlignment="1">
      <alignment horizontal="center" vertical="center"/>
    </xf>
    <xf numFmtId="0" fontId="157" fillId="23" borderId="18" xfId="0" applyFont="1" applyFill="1" applyBorder="1" applyAlignment="1">
      <alignment horizontal="center" vertical="center"/>
    </xf>
    <xf numFmtId="0" fontId="117" fillId="0" borderId="192" xfId="0" applyFont="1" applyFill="1" applyBorder="1" applyAlignment="1">
      <alignment horizontal="center" vertical="center"/>
    </xf>
    <xf numFmtId="0" fontId="117" fillId="0" borderId="18" xfId="0" applyFont="1" applyBorder="1" applyAlignment="1">
      <alignment vertical="center" wrapText="1"/>
    </xf>
    <xf numFmtId="0" fontId="117" fillId="0" borderId="18" xfId="0" applyFont="1" applyFill="1" applyBorder="1" applyAlignment="1">
      <alignment vertical="center" wrapText="1"/>
    </xf>
    <xf numFmtId="0" fontId="117" fillId="0" borderId="193" xfId="0" applyFont="1" applyFill="1" applyBorder="1" applyAlignment="1">
      <alignment horizontal="center" vertical="center"/>
    </xf>
    <xf numFmtId="0" fontId="117" fillId="0" borderId="184" xfId="0" applyFont="1" applyFill="1" applyBorder="1" applyAlignment="1">
      <alignment vertical="center" wrapText="1"/>
    </xf>
    <xf numFmtId="3" fontId="7" fillId="23" borderId="18" xfId="828" applyNumberFormat="1" applyFont="1" applyFill="1" applyBorder="1" applyAlignment="1">
      <alignment horizontal="center" vertical="center" wrapText="1"/>
    </xf>
    <xf numFmtId="0" fontId="73" fillId="0" borderId="194" xfId="834" applyFont="1" applyFill="1" applyBorder="1" applyAlignment="1">
      <alignment horizontal="center" wrapText="1"/>
    </xf>
    <xf numFmtId="0" fontId="73" fillId="0" borderId="195" xfId="834" applyFont="1" applyFill="1" applyBorder="1" applyAlignment="1">
      <alignment horizontal="center" wrapText="1"/>
    </xf>
    <xf numFmtId="0" fontId="73" fillId="0" borderId="196" xfId="834" applyFont="1" applyFill="1" applyBorder="1" applyAlignment="1">
      <alignment horizontal="center" wrapText="1"/>
    </xf>
    <xf numFmtId="3" fontId="117" fillId="0" borderId="30" xfId="66" applyNumberFormat="1" applyFont="1" applyBorder="1" applyAlignment="1">
      <alignment horizontal="center"/>
    </xf>
    <xf numFmtId="3" fontId="117" fillId="0" borderId="31" xfId="66" applyNumberFormat="1" applyFont="1" applyBorder="1" applyAlignment="1">
      <alignment horizontal="center"/>
    </xf>
    <xf numFmtId="1" fontId="116" fillId="0" borderId="23" xfId="0" applyNumberFormat="1" applyFont="1" applyFill="1" applyBorder="1" applyAlignment="1">
      <alignment horizontal="center" wrapText="1"/>
    </xf>
    <xf numFmtId="1" fontId="118" fillId="23" borderId="190" xfId="0" applyNumberFormat="1" applyFont="1" applyFill="1" applyBorder="1" applyAlignment="1">
      <alignment horizontal="center" wrapText="1"/>
    </xf>
    <xf numFmtId="3" fontId="117" fillId="0" borderId="34" xfId="66" applyNumberFormat="1" applyFont="1" applyFill="1" applyBorder="1" applyAlignment="1">
      <alignment horizontal="right" vertical="center" indent="1"/>
    </xf>
    <xf numFmtId="3" fontId="163" fillId="23" borderId="23" xfId="66" applyNumberFormat="1" applyFont="1" applyFill="1" applyBorder="1" applyAlignment="1">
      <alignment horizontal="right" vertical="center" indent="1"/>
    </xf>
    <xf numFmtId="3" fontId="164" fillId="23" borderId="23" xfId="66" applyNumberFormat="1" applyFont="1" applyFill="1" applyBorder="1" applyAlignment="1">
      <alignment horizontal="right" vertical="center" indent="1"/>
    </xf>
    <xf numFmtId="3" fontId="116" fillId="23" borderId="190" xfId="66" applyNumberFormat="1" applyFont="1" applyFill="1" applyBorder="1" applyAlignment="1">
      <alignment horizontal="right" vertical="center" indent="1"/>
    </xf>
    <xf numFmtId="3" fontId="167" fillId="23" borderId="23" xfId="66" applyNumberFormat="1" applyFont="1" applyFill="1" applyBorder="1" applyAlignment="1">
      <alignment horizontal="right" vertical="center" indent="1"/>
    </xf>
    <xf numFmtId="3" fontId="165" fillId="23" borderId="23" xfId="66" applyNumberFormat="1" applyFont="1" applyFill="1" applyBorder="1" applyAlignment="1">
      <alignment horizontal="right" vertical="center" indent="1"/>
    </xf>
    <xf numFmtId="3" fontId="166" fillId="23" borderId="23" xfId="66" applyNumberFormat="1" applyFont="1" applyFill="1" applyBorder="1" applyAlignment="1">
      <alignment horizontal="right" vertical="center" indent="1"/>
    </xf>
    <xf numFmtId="3" fontId="116" fillId="23" borderId="200" xfId="66" applyNumberFormat="1" applyFont="1" applyFill="1" applyBorder="1" applyAlignment="1">
      <alignment horizontal="right" vertical="center" indent="1"/>
    </xf>
    <xf numFmtId="3" fontId="116" fillId="23" borderId="197" xfId="66" applyNumberFormat="1" applyFont="1" applyFill="1" applyBorder="1" applyAlignment="1">
      <alignment horizontal="right" vertical="center" indent="1"/>
    </xf>
    <xf numFmtId="0" fontId="172" fillId="0" borderId="190" xfId="0" applyFont="1" applyBorder="1" applyAlignment="1">
      <alignment horizontal="center" wrapText="1"/>
    </xf>
    <xf numFmtId="0" fontId="135" fillId="0" borderId="31" xfId="0" applyFont="1" applyBorder="1"/>
    <xf numFmtId="0" fontId="6" fillId="0" borderId="31" xfId="0" applyFont="1" applyBorder="1"/>
    <xf numFmtId="0" fontId="132" fillId="23" borderId="18" xfId="0" applyFont="1" applyFill="1" applyBorder="1" applyAlignment="1">
      <alignment horizontal="center" vertical="center"/>
    </xf>
    <xf numFmtId="0" fontId="116" fillId="0" borderId="31" xfId="0" applyFont="1" applyBorder="1" applyAlignment="1">
      <alignment horizontal="center"/>
    </xf>
    <xf numFmtId="0" fontId="116" fillId="0" borderId="190" xfId="0" applyFont="1" applyFill="1" applyBorder="1" applyAlignment="1">
      <alignment horizontal="center"/>
    </xf>
    <xf numFmtId="0" fontId="116" fillId="0" borderId="34" xfId="0" applyFont="1" applyBorder="1" applyAlignment="1">
      <alignment horizontal="center"/>
    </xf>
    <xf numFmtId="0" fontId="116" fillId="0" borderId="33" xfId="0" applyFont="1" applyBorder="1" applyAlignment="1">
      <alignment horizontal="center"/>
    </xf>
    <xf numFmtId="0" fontId="116" fillId="0" borderId="190" xfId="0" applyFont="1" applyFill="1" applyBorder="1" applyAlignment="1">
      <alignment horizontal="center" wrapText="1"/>
    </xf>
    <xf numFmtId="0" fontId="116" fillId="23" borderId="190" xfId="0" applyFont="1" applyFill="1" applyBorder="1" applyAlignment="1">
      <alignment horizontal="center"/>
    </xf>
    <xf numFmtId="0" fontId="167" fillId="0" borderId="21" xfId="631" applyFont="1" applyFill="1" applyBorder="1" applyAlignment="1">
      <alignment horizontal="center" vertical="center"/>
    </xf>
    <xf numFmtId="0" fontId="116" fillId="23" borderId="10" xfId="0" applyFont="1" applyFill="1" applyBorder="1" applyAlignment="1">
      <alignment horizontal="center" vertical="center" wrapText="1"/>
    </xf>
    <xf numFmtId="3" fontId="167" fillId="0" borderId="201" xfId="374" applyNumberFormat="1" applyFont="1" applyFill="1" applyBorder="1" applyAlignment="1">
      <alignment horizontal="right" indent="1"/>
    </xf>
    <xf numFmtId="3" fontId="167" fillId="0" borderId="202" xfId="374" applyNumberFormat="1" applyFont="1" applyFill="1" applyBorder="1" applyAlignment="1">
      <alignment horizontal="right" indent="1"/>
    </xf>
    <xf numFmtId="3" fontId="167" fillId="0" borderId="203" xfId="374" applyNumberFormat="1" applyFont="1" applyFill="1" applyBorder="1" applyAlignment="1">
      <alignment horizontal="right" indent="1"/>
    </xf>
    <xf numFmtId="3" fontId="167" fillId="29" borderId="202" xfId="374" applyNumberFormat="1" applyFont="1" applyFill="1" applyBorder="1" applyAlignment="1">
      <alignment horizontal="right" indent="1"/>
    </xf>
    <xf numFmtId="3" fontId="167" fillId="29" borderId="203" xfId="374" applyNumberFormat="1" applyFont="1" applyFill="1" applyBorder="1" applyAlignment="1">
      <alignment horizontal="right" indent="1"/>
    </xf>
    <xf numFmtId="0" fontId="117" fillId="0" borderId="198" xfId="52" applyFont="1" applyFill="1" applyBorder="1" applyAlignment="1">
      <alignment horizontal="center" vertical="center"/>
    </xf>
    <xf numFmtId="3" fontId="117" fillId="0" borderId="201" xfId="374" applyNumberFormat="1" applyFont="1" applyFill="1" applyBorder="1" applyAlignment="1">
      <alignment horizontal="right" indent="1"/>
    </xf>
    <xf numFmtId="3" fontId="117" fillId="0" borderId="202" xfId="374" applyNumberFormat="1" applyFont="1" applyFill="1" applyBorder="1" applyAlignment="1">
      <alignment horizontal="right" indent="1"/>
    </xf>
    <xf numFmtId="3" fontId="116" fillId="0" borderId="203" xfId="374" applyNumberFormat="1" applyFont="1" applyFill="1" applyBorder="1" applyAlignment="1">
      <alignment horizontal="right" indent="1"/>
    </xf>
    <xf numFmtId="3" fontId="166" fillId="0" borderId="13" xfId="374" applyNumberFormat="1" applyFont="1" applyFill="1" applyBorder="1" applyAlignment="1">
      <alignment horizontal="right" indent="1"/>
    </xf>
    <xf numFmtId="3" fontId="166" fillId="0" borderId="14" xfId="374" applyNumberFormat="1" applyFont="1" applyFill="1" applyBorder="1" applyAlignment="1">
      <alignment horizontal="right" indent="1"/>
    </xf>
    <xf numFmtId="3" fontId="166" fillId="0" borderId="10" xfId="374" applyNumberFormat="1" applyFont="1" applyFill="1" applyBorder="1" applyAlignment="1">
      <alignment horizontal="right" indent="1"/>
    </xf>
    <xf numFmtId="3" fontId="166" fillId="23" borderId="27" xfId="0" applyNumberFormat="1" applyFont="1" applyFill="1" applyBorder="1" applyAlignment="1">
      <alignment horizontal="right" vertical="center" indent="1"/>
    </xf>
    <xf numFmtId="3" fontId="166" fillId="23" borderId="37" xfId="0" applyNumberFormat="1" applyFont="1" applyFill="1" applyBorder="1" applyAlignment="1">
      <alignment horizontal="right" vertical="center" indent="1"/>
    </xf>
    <xf numFmtId="3" fontId="166" fillId="23" borderId="42" xfId="0" applyNumberFormat="1" applyFont="1" applyFill="1" applyBorder="1" applyAlignment="1">
      <alignment horizontal="right" vertical="center" indent="1"/>
    </xf>
    <xf numFmtId="0" fontId="167" fillId="0" borderId="0" xfId="641" applyFont="1" applyFill="1" applyBorder="1" applyAlignment="1">
      <alignment horizontal="center" vertical="center"/>
    </xf>
    <xf numFmtId="0" fontId="167" fillId="23" borderId="0" xfId="640" applyFont="1" applyFill="1" applyBorder="1" applyAlignment="1">
      <alignment horizontal="center" vertical="center"/>
    </xf>
    <xf numFmtId="3" fontId="167" fillId="23" borderId="0" xfId="640" applyNumberFormat="1" applyFont="1" applyFill="1" applyBorder="1" applyAlignment="1">
      <alignment horizontal="right" vertical="center" indent="1"/>
    </xf>
    <xf numFmtId="0" fontId="303" fillId="0" borderId="0" xfId="640" applyFont="1"/>
    <xf numFmtId="0" fontId="117" fillId="0" borderId="46" xfId="463" applyFont="1" applyFill="1" applyBorder="1" applyAlignment="1">
      <alignment horizontal="left" vertical="center"/>
    </xf>
    <xf numFmtId="0" fontId="117" fillId="0" borderId="198" xfId="463" applyFont="1" applyFill="1" applyBorder="1" applyAlignment="1">
      <alignment horizontal="right" vertical="center" indent="1"/>
    </xf>
    <xf numFmtId="0" fontId="116" fillId="23" borderId="48" xfId="463" applyFont="1" applyFill="1" applyBorder="1" applyAlignment="1">
      <alignment horizontal="right" vertical="center" indent="1"/>
    </xf>
    <xf numFmtId="0" fontId="117" fillId="0" borderId="46" xfId="463" applyFont="1" applyFill="1" applyBorder="1" applyAlignment="1">
      <alignment horizontal="right" vertical="center" indent="1"/>
    </xf>
    <xf numFmtId="0" fontId="117" fillId="0" borderId="66" xfId="463" applyFont="1" applyFill="1" applyBorder="1" applyAlignment="1">
      <alignment horizontal="right" vertical="center" indent="1"/>
    </xf>
    <xf numFmtId="0" fontId="166" fillId="0" borderId="48" xfId="463" applyFont="1" applyFill="1" applyBorder="1" applyAlignment="1">
      <alignment horizontal="right" vertical="center" indent="1"/>
    </xf>
    <xf numFmtId="3" fontId="166" fillId="23" borderId="23" xfId="48" applyNumberFormat="1" applyFont="1" applyFill="1" applyBorder="1" applyAlignment="1">
      <alignment horizontal="right" vertical="center" indent="1"/>
    </xf>
    <xf numFmtId="3" fontId="166" fillId="23" borderId="20" xfId="48" applyNumberFormat="1" applyFont="1" applyFill="1" applyBorder="1" applyAlignment="1">
      <alignment horizontal="right" vertical="center" indent="1"/>
    </xf>
    <xf numFmtId="3" fontId="166" fillId="23" borderId="24" xfId="48" applyNumberFormat="1" applyFont="1" applyFill="1" applyBorder="1" applyAlignment="1">
      <alignment horizontal="right" vertical="center" indent="1"/>
    </xf>
    <xf numFmtId="3" fontId="166" fillId="23" borderId="22" xfId="48" applyNumberFormat="1" applyFont="1" applyFill="1" applyBorder="1" applyAlignment="1">
      <alignment horizontal="right" vertical="center" indent="1"/>
    </xf>
    <xf numFmtId="0" fontId="166" fillId="23" borderId="23" xfId="48" applyFont="1" applyFill="1" applyBorder="1" applyAlignment="1">
      <alignment horizontal="center" vertical="center"/>
    </xf>
    <xf numFmtId="0" fontId="286" fillId="0" borderId="0" xfId="0" applyFont="1" applyAlignment="1">
      <alignment vertical="center"/>
    </xf>
    <xf numFmtId="0" fontId="155" fillId="29" borderId="0" xfId="374" applyFont="1" applyFill="1" applyBorder="1" applyAlignment="1">
      <alignment horizontal="left" vertical="center" indent="1"/>
    </xf>
    <xf numFmtId="3" fontId="166" fillId="29" borderId="18" xfId="374" applyNumberFormat="1" applyFont="1" applyFill="1" applyBorder="1" applyAlignment="1">
      <alignment horizontal="right" vertical="center" indent="1"/>
    </xf>
    <xf numFmtId="0" fontId="166" fillId="23" borderId="27" xfId="0" applyFont="1" applyFill="1" applyBorder="1" applyAlignment="1">
      <alignment horizontal="center" vertical="center"/>
    </xf>
    <xf numFmtId="3" fontId="166" fillId="23" borderId="32" xfId="0" applyNumberFormat="1" applyFont="1" applyFill="1" applyBorder="1" applyAlignment="1">
      <alignment horizontal="right" vertical="center" indent="1"/>
    </xf>
    <xf numFmtId="0" fontId="164" fillId="0" borderId="0" xfId="52" applyFont="1" applyFill="1" applyBorder="1" applyAlignment="1">
      <alignment horizontal="center" vertical="center"/>
    </xf>
    <xf numFmtId="0" fontId="155" fillId="0" borderId="0" xfId="52" applyFont="1" applyFill="1" applyBorder="1" applyAlignment="1">
      <alignment horizontal="center" vertical="center"/>
    </xf>
    <xf numFmtId="0" fontId="117" fillId="0" borderId="0" xfId="52" applyFont="1" applyFill="1" applyBorder="1" applyAlignment="1">
      <alignment horizontal="center" vertical="center"/>
    </xf>
    <xf numFmtId="4" fontId="117" fillId="0" borderId="0" xfId="66" applyNumberFormat="1" applyFont="1" applyFill="1" applyBorder="1" applyAlignment="1">
      <alignment horizontal="right" vertical="center" indent="1"/>
    </xf>
    <xf numFmtId="0" fontId="117" fillId="0" borderId="190" xfId="52" applyFont="1" applyFill="1" applyBorder="1" applyAlignment="1">
      <alignment horizontal="center" vertical="center"/>
    </xf>
    <xf numFmtId="177" fontId="166" fillId="23" borderId="27" xfId="0" applyNumberFormat="1" applyFont="1" applyFill="1" applyBorder="1" applyAlignment="1">
      <alignment horizontal="right" vertical="center" indent="1"/>
    </xf>
    <xf numFmtId="177" fontId="166" fillId="23" borderId="32" xfId="0" applyNumberFormat="1" applyFont="1" applyFill="1" applyBorder="1" applyAlignment="1">
      <alignment horizontal="right" vertical="center" indent="1"/>
    </xf>
    <xf numFmtId="177" fontId="166" fillId="23" borderId="42" xfId="0" applyNumberFormat="1" applyFont="1" applyFill="1" applyBorder="1" applyAlignment="1">
      <alignment horizontal="right" vertical="center" indent="1"/>
    </xf>
    <xf numFmtId="0" fontId="166" fillId="23" borderId="32" xfId="631" applyFont="1" applyFill="1" applyBorder="1" applyAlignment="1">
      <alignment horizontal="center" vertical="center"/>
    </xf>
    <xf numFmtId="177" fontId="166" fillId="23" borderId="27" xfId="631" applyNumberFormat="1" applyFont="1" applyFill="1" applyBorder="1" applyAlignment="1">
      <alignment horizontal="right" vertical="center" indent="1"/>
    </xf>
    <xf numFmtId="177" fontId="166" fillId="23" borderId="32" xfId="631" applyNumberFormat="1" applyFont="1" applyFill="1" applyBorder="1" applyAlignment="1">
      <alignment horizontal="right" vertical="center" indent="1"/>
    </xf>
    <xf numFmtId="0" fontId="116" fillId="23" borderId="18" xfId="0" applyFont="1" applyFill="1" applyBorder="1" applyAlignment="1">
      <alignment horizontal="center" vertical="center"/>
    </xf>
    <xf numFmtId="0" fontId="165" fillId="0" borderId="18" xfId="0" applyFont="1" applyFill="1" applyBorder="1" applyAlignment="1">
      <alignment horizontal="center" vertical="center" wrapText="1"/>
    </xf>
    <xf numFmtId="0" fontId="163" fillId="0" borderId="190" xfId="0" applyFont="1" applyFill="1" applyBorder="1" applyAlignment="1">
      <alignment horizontal="center" vertical="center"/>
    </xf>
    <xf numFmtId="0" fontId="116" fillId="23" borderId="13" xfId="66" applyFont="1" applyFill="1" applyBorder="1" applyAlignment="1">
      <alignment horizontal="center" vertical="center"/>
    </xf>
    <xf numFmtId="0" fontId="116" fillId="23" borderId="14" xfId="66" applyFont="1" applyFill="1" applyBorder="1" applyAlignment="1">
      <alignment horizontal="center" vertical="center"/>
    </xf>
    <xf numFmtId="0" fontId="116" fillId="23" borderId="10" xfId="66" applyFont="1" applyFill="1" applyBorder="1" applyAlignment="1">
      <alignment horizontal="center" vertical="center"/>
    </xf>
    <xf numFmtId="0" fontId="116" fillId="23" borderId="18" xfId="0" applyFont="1" applyFill="1" applyBorder="1" applyAlignment="1">
      <alignment horizontal="center" vertical="center"/>
    </xf>
    <xf numFmtId="0" fontId="134" fillId="0" borderId="23" xfId="0" applyFont="1" applyFill="1" applyBorder="1" applyAlignment="1">
      <alignment horizontal="center" vertical="center" wrapText="1" readingOrder="1"/>
    </xf>
    <xf numFmtId="0" fontId="116" fillId="29" borderId="200" xfId="0" applyFont="1" applyFill="1" applyBorder="1" applyAlignment="1">
      <alignment horizontal="center" vertical="center" wrapText="1"/>
    </xf>
    <xf numFmtId="0" fontId="164" fillId="0" borderId="190" xfId="0" applyFont="1" applyFill="1" applyBorder="1" applyAlignment="1">
      <alignment horizontal="center" vertical="center"/>
    </xf>
    <xf numFmtId="0" fontId="167" fillId="0" borderId="190" xfId="0" applyFont="1" applyFill="1" applyBorder="1" applyAlignment="1">
      <alignment horizontal="center" vertical="center"/>
    </xf>
    <xf numFmtId="0" fontId="117" fillId="0" borderId="45" xfId="0" applyFont="1" applyBorder="1" applyAlignment="1">
      <alignment horizontal="center" vertical="center" wrapText="1"/>
    </xf>
    <xf numFmtId="0" fontId="117" fillId="0" borderId="46" xfId="0" applyFont="1" applyBorder="1" applyAlignment="1">
      <alignment horizontal="center" vertical="center" wrapText="1"/>
    </xf>
    <xf numFmtId="0" fontId="163" fillId="0" borderId="46" xfId="0" applyFont="1" applyFill="1" applyBorder="1" applyAlignment="1">
      <alignment horizontal="center" vertical="center"/>
    </xf>
    <xf numFmtId="0" fontId="117" fillId="0" borderId="46" xfId="0" applyFont="1" applyFill="1" applyBorder="1" applyAlignment="1">
      <alignment horizontal="center" vertical="center"/>
    </xf>
    <xf numFmtId="0" fontId="164" fillId="0" borderId="46" xfId="0" applyFont="1" applyFill="1" applyBorder="1" applyAlignment="1">
      <alignment horizontal="center" vertical="center"/>
    </xf>
    <xf numFmtId="0" fontId="135" fillId="0" borderId="46" xfId="0" applyFont="1" applyFill="1" applyBorder="1" applyAlignment="1">
      <alignment horizontal="center" vertical="center"/>
    </xf>
    <xf numFmtId="0" fontId="117" fillId="20" borderId="46" xfId="0" applyFont="1" applyFill="1" applyBorder="1" applyAlignment="1">
      <alignment horizontal="center"/>
    </xf>
    <xf numFmtId="0" fontId="116" fillId="29" borderId="46" xfId="0" applyFont="1" applyFill="1" applyBorder="1" applyAlignment="1">
      <alignment horizontal="center" vertical="center" wrapText="1"/>
    </xf>
    <xf numFmtId="0" fontId="117" fillId="0" borderId="45" xfId="0" applyFont="1" applyBorder="1" applyAlignment="1">
      <alignment vertical="center"/>
    </xf>
    <xf numFmtId="0" fontId="135" fillId="0" borderId="46" xfId="0" applyFont="1" applyFill="1" applyBorder="1" applyAlignment="1">
      <alignment vertical="center"/>
    </xf>
    <xf numFmtId="0" fontId="117" fillId="20" borderId="46" xfId="0" applyFont="1" applyFill="1" applyBorder="1"/>
    <xf numFmtId="0" fontId="117" fillId="0" borderId="46" xfId="0" applyFont="1" applyBorder="1" applyAlignment="1">
      <alignment vertical="center"/>
    </xf>
    <xf numFmtId="0" fontId="117" fillId="0" borderId="48" xfId="0" applyFont="1" applyBorder="1" applyAlignment="1">
      <alignment vertical="center"/>
    </xf>
    <xf numFmtId="0" fontId="135" fillId="0" borderId="66" xfId="0" applyFont="1" applyFill="1" applyBorder="1" applyAlignment="1">
      <alignment vertical="center"/>
    </xf>
    <xf numFmtId="0" fontId="117" fillId="20" borderId="69" xfId="0" applyFont="1" applyFill="1" applyBorder="1"/>
    <xf numFmtId="0" fontId="117" fillId="0" borderId="45" xfId="0" applyFont="1" applyFill="1" applyBorder="1" applyAlignment="1">
      <alignment horizontal="left" vertical="center" wrapText="1"/>
    </xf>
    <xf numFmtId="0" fontId="117" fillId="0" borderId="46" xfId="0" applyFont="1" applyFill="1" applyBorder="1" applyAlignment="1">
      <alignment horizontal="left" vertical="center" wrapText="1"/>
    </xf>
    <xf numFmtId="0" fontId="117" fillId="0" borderId="48" xfId="0" applyFont="1" applyFill="1" applyBorder="1" applyAlignment="1">
      <alignment horizontal="left" vertical="center" wrapText="1"/>
    </xf>
    <xf numFmtId="0" fontId="23" fillId="0" borderId="45" xfId="0" applyFont="1" applyFill="1" applyBorder="1" applyAlignment="1">
      <alignment vertical="center"/>
    </xf>
    <xf numFmtId="0" fontId="117" fillId="0" borderId="51" xfId="0" applyFont="1" applyBorder="1" applyAlignment="1">
      <alignment vertical="center"/>
    </xf>
    <xf numFmtId="0" fontId="117" fillId="0" borderId="54" xfId="0" applyFont="1" applyBorder="1" applyAlignment="1">
      <alignment vertical="center"/>
    </xf>
    <xf numFmtId="0" fontId="117" fillId="20" borderId="48" xfId="0" applyFont="1" applyFill="1" applyBorder="1"/>
    <xf numFmtId="0" fontId="116" fillId="29" borderId="66" xfId="0" applyFont="1" applyFill="1" applyBorder="1" applyAlignment="1">
      <alignment horizontal="center" vertical="center" wrapText="1"/>
    </xf>
    <xf numFmtId="0" fontId="117" fillId="0" borderId="69" xfId="0" applyFont="1" applyBorder="1" applyAlignment="1">
      <alignment horizontal="center" vertical="center"/>
    </xf>
    <xf numFmtId="0" fontId="163" fillId="0" borderId="69" xfId="0" applyFont="1" applyFill="1" applyBorder="1" applyAlignment="1">
      <alignment horizontal="center" vertical="center"/>
    </xf>
    <xf numFmtId="0" fontId="164" fillId="0" borderId="69" xfId="0" applyFont="1" applyFill="1" applyBorder="1" applyAlignment="1">
      <alignment horizontal="center" vertical="center"/>
    </xf>
    <xf numFmtId="0" fontId="117" fillId="0" borderId="69" xfId="0" applyFont="1" applyFill="1" applyBorder="1" applyAlignment="1">
      <alignment horizontal="center" vertical="center"/>
    </xf>
    <xf numFmtId="0" fontId="116" fillId="23" borderId="18" xfId="0" applyFont="1" applyFill="1" applyBorder="1" applyAlignment="1">
      <alignment horizontal="center" vertical="center"/>
    </xf>
    <xf numFmtId="0" fontId="116" fillId="0" borderId="18" xfId="66" applyFont="1" applyFill="1" applyBorder="1" applyAlignment="1">
      <alignment horizontal="center" vertical="center"/>
    </xf>
    <xf numFmtId="0" fontId="117" fillId="0" borderId="23" xfId="0" applyFont="1" applyBorder="1" applyAlignment="1">
      <alignment vertical="center"/>
    </xf>
    <xf numFmtId="0" fontId="125" fillId="0" borderId="29" xfId="374" applyFont="1" applyFill="1" applyBorder="1" applyAlignment="1">
      <alignment vertical="center" wrapText="1"/>
    </xf>
    <xf numFmtId="0" fontId="117" fillId="0" borderId="12" xfId="374" applyFont="1" applyFill="1" applyBorder="1" applyAlignment="1">
      <alignment horizontal="right" vertical="center" indent="1"/>
    </xf>
    <xf numFmtId="0" fontId="117" fillId="0" borderId="0" xfId="374" applyFont="1" applyFill="1" applyBorder="1" applyAlignment="1">
      <alignment horizontal="right" vertical="center" indent="1"/>
    </xf>
    <xf numFmtId="0" fontId="117" fillId="0" borderId="0" xfId="374" applyFont="1" applyBorder="1" applyAlignment="1">
      <alignment vertical="center" wrapText="1"/>
    </xf>
    <xf numFmtId="0" fontId="117" fillId="0" borderId="16" xfId="374" applyFont="1" applyBorder="1" applyAlignment="1">
      <alignment vertical="center" wrapText="1"/>
    </xf>
    <xf numFmtId="0" fontId="117" fillId="0" borderId="17" xfId="374" applyFont="1" applyBorder="1" applyAlignment="1">
      <alignment vertical="center" wrapText="1"/>
    </xf>
    <xf numFmtId="0" fontId="40" fillId="0" borderId="34" xfId="0" applyFont="1" applyBorder="1" applyAlignment="1">
      <alignment vertical="center" wrapText="1"/>
    </xf>
    <xf numFmtId="3" fontId="40" fillId="0" borderId="34" xfId="0" applyNumberFormat="1" applyFont="1" applyBorder="1" applyAlignment="1">
      <alignment horizontal="right" vertical="center" wrapText="1" indent="1"/>
    </xf>
    <xf numFmtId="0" fontId="5" fillId="0" borderId="31" xfId="0" applyFont="1" applyBorder="1" applyAlignment="1">
      <alignment vertical="center" wrapText="1"/>
    </xf>
    <xf numFmtId="0" fontId="61" fillId="23" borderId="18" xfId="0" applyFont="1" applyFill="1" applyBorder="1" applyAlignment="1">
      <alignment horizontal="center" vertical="center" wrapText="1" readingOrder="1"/>
    </xf>
    <xf numFmtId="1" fontId="116" fillId="23" borderId="18" xfId="50" applyNumberFormat="1" applyFont="1" applyFill="1" applyBorder="1" applyAlignment="1">
      <alignment horizontal="center" vertical="center" wrapText="1"/>
    </xf>
    <xf numFmtId="0" fontId="61" fillId="23" borderId="13" xfId="0" applyFont="1" applyFill="1" applyBorder="1" applyAlignment="1">
      <alignment horizontal="center" vertical="center"/>
    </xf>
    <xf numFmtId="0" fontId="163" fillId="0" borderId="18" xfId="0" applyFont="1" applyFill="1" applyBorder="1" applyAlignment="1">
      <alignment horizontal="center" vertical="center"/>
    </xf>
    <xf numFmtId="0" fontId="165" fillId="0" borderId="18" xfId="0" applyFont="1" applyFill="1" applyBorder="1" applyAlignment="1">
      <alignment horizontal="center" vertical="center" wrapText="1"/>
    </xf>
    <xf numFmtId="0" fontId="120" fillId="23" borderId="18" xfId="0" applyFont="1" applyFill="1" applyBorder="1" applyAlignment="1">
      <alignment horizontal="center" vertical="center"/>
    </xf>
    <xf numFmtId="0" fontId="116" fillId="23" borderId="32" xfId="374" applyFont="1" applyFill="1" applyBorder="1" applyAlignment="1">
      <alignment horizontal="center" vertical="center" wrapText="1"/>
    </xf>
    <xf numFmtId="3" fontId="117" fillId="23" borderId="27" xfId="374" applyNumberFormat="1" applyFont="1" applyFill="1" applyBorder="1" applyAlignment="1">
      <alignment horizontal="right" vertical="center" wrapText="1" indent="1"/>
    </xf>
    <xf numFmtId="3" fontId="117" fillId="23" borderId="42" xfId="374" applyNumberFormat="1" applyFont="1" applyFill="1" applyBorder="1" applyAlignment="1">
      <alignment horizontal="right" vertical="center" wrapText="1" indent="1"/>
    </xf>
    <xf numFmtId="0" fontId="175" fillId="23" borderId="190" xfId="830" applyFont="1" applyFill="1" applyBorder="1" applyAlignment="1">
      <alignment horizontal="center" vertical="center"/>
    </xf>
    <xf numFmtId="0" fontId="175" fillId="23" borderId="18" xfId="830" applyFont="1" applyFill="1" applyBorder="1" applyAlignment="1">
      <alignment horizontal="center" vertical="center"/>
    </xf>
    <xf numFmtId="0" fontId="117" fillId="20" borderId="30" xfId="0" applyFont="1" applyFill="1" applyBorder="1" applyAlignment="1">
      <alignment horizontal="center"/>
    </xf>
    <xf numFmtId="0" fontId="117" fillId="20" borderId="31" xfId="0" applyFont="1" applyFill="1" applyBorder="1" applyAlignment="1">
      <alignment horizontal="center"/>
    </xf>
    <xf numFmtId="0" fontId="117" fillId="23" borderId="32" xfId="0" applyFont="1" applyFill="1" applyBorder="1" applyAlignment="1">
      <alignment horizontal="center"/>
    </xf>
    <xf numFmtId="0" fontId="117" fillId="23" borderId="32" xfId="0" applyFont="1" applyFill="1" applyBorder="1" applyAlignment="1">
      <alignment horizontal="center" vertical="center"/>
    </xf>
    <xf numFmtId="0" fontId="116" fillId="0" borderId="200" xfId="0" applyFont="1" applyBorder="1" applyAlignment="1">
      <alignment horizontal="center"/>
    </xf>
    <xf numFmtId="3" fontId="117" fillId="0" borderId="190" xfId="0" applyNumberFormat="1" applyFont="1" applyBorder="1" applyAlignment="1">
      <alignment horizontal="right" vertical="center" indent="1"/>
    </xf>
    <xf numFmtId="3" fontId="116" fillId="0" borderId="18" xfId="0" applyNumberFormat="1" applyFont="1" applyBorder="1" applyAlignment="1">
      <alignment horizontal="right" vertical="center" indent="1"/>
    </xf>
    <xf numFmtId="0" fontId="118" fillId="0" borderId="0" xfId="0" applyFont="1"/>
    <xf numFmtId="3" fontId="118" fillId="0" borderId="18" xfId="0" applyNumberFormat="1" applyFont="1" applyBorder="1" applyAlignment="1">
      <alignment horizontal="center" vertical="center"/>
    </xf>
    <xf numFmtId="0" fontId="131" fillId="23" borderId="23" xfId="377" applyFont="1" applyFill="1" applyBorder="1" applyAlignment="1">
      <alignment horizontal="center" vertical="center"/>
    </xf>
    <xf numFmtId="0" fontId="37" fillId="0" borderId="0" xfId="466" applyAlignment="1">
      <alignment horizontal="center"/>
    </xf>
    <xf numFmtId="0" fontId="117" fillId="0" borderId="199" xfId="374" applyFont="1" applyBorder="1" applyAlignment="1">
      <alignment vertical="center"/>
    </xf>
    <xf numFmtId="0" fontId="3" fillId="0" borderId="0" xfId="836"/>
    <xf numFmtId="0" fontId="305" fillId="0" borderId="0" xfId="836" applyFont="1" applyAlignment="1">
      <alignment vertical="center"/>
    </xf>
    <xf numFmtId="0" fontId="177" fillId="0" borderId="0" xfId="836" applyFont="1" applyAlignment="1">
      <alignment horizontal="center" vertical="center"/>
    </xf>
    <xf numFmtId="182" fontId="180" fillId="0" borderId="0" xfId="836" applyNumberFormat="1" applyFont="1" applyAlignment="1">
      <alignment vertical="center"/>
    </xf>
    <xf numFmtId="0" fontId="3" fillId="0" borderId="0" xfId="836" applyFont="1"/>
    <xf numFmtId="0" fontId="134" fillId="0" borderId="22" xfId="836" applyFont="1" applyBorder="1" applyAlignment="1">
      <alignment horizontal="center" vertical="center"/>
    </xf>
    <xf numFmtId="0" fontId="116" fillId="23" borderId="190" xfId="836" applyFont="1" applyFill="1" applyBorder="1" applyAlignment="1">
      <alignment horizontal="center" vertical="center"/>
    </xf>
    <xf numFmtId="0" fontId="116" fillId="23" borderId="190" xfId="836" applyFont="1" applyFill="1" applyBorder="1" applyAlignment="1">
      <alignment horizontal="center" vertical="center" wrapText="1"/>
    </xf>
    <xf numFmtId="10" fontId="116" fillId="23" borderId="190" xfId="836" applyNumberFormat="1" applyFont="1" applyFill="1" applyBorder="1" applyAlignment="1">
      <alignment horizontal="center" vertical="center"/>
    </xf>
    <xf numFmtId="10" fontId="116" fillId="23" borderId="190" xfId="836" applyNumberFormat="1" applyFont="1" applyFill="1" applyBorder="1" applyAlignment="1">
      <alignment horizontal="center" vertical="center" wrapText="1"/>
    </xf>
    <xf numFmtId="0" fontId="116" fillId="23" borderId="23" xfId="836" applyFont="1" applyFill="1" applyBorder="1" applyAlignment="1">
      <alignment horizontal="center" vertical="center" wrapText="1"/>
    </xf>
    <xf numFmtId="10" fontId="116" fillId="23" borderId="23" xfId="836" applyNumberFormat="1" applyFont="1" applyFill="1" applyBorder="1" applyAlignment="1">
      <alignment horizontal="center" vertical="center"/>
    </xf>
    <xf numFmtId="0" fontId="3" fillId="0" borderId="190" xfId="836" applyFont="1" applyBorder="1" applyAlignment="1">
      <alignment horizontal="center" vertical="center"/>
    </xf>
    <xf numFmtId="0" fontId="117" fillId="0" borderId="190" xfId="836" applyFont="1" applyBorder="1" applyAlignment="1">
      <alignment horizontal="left" vertical="center" wrapText="1"/>
    </xf>
    <xf numFmtId="3" fontId="3" fillId="0" borderId="197" xfId="836" applyNumberFormat="1" applyFont="1" applyFill="1" applyBorder="1" applyAlignment="1">
      <alignment horizontal="center" vertical="center"/>
    </xf>
    <xf numFmtId="9" fontId="0" fillId="0" borderId="200" xfId="837" applyFont="1" applyFill="1" applyBorder="1" applyAlignment="1">
      <alignment horizontal="center" vertical="center"/>
    </xf>
    <xf numFmtId="3" fontId="135" fillId="0" borderId="197" xfId="836" applyNumberFormat="1" applyFont="1" applyFill="1" applyBorder="1" applyAlignment="1">
      <alignment horizontal="center" vertical="center" wrapText="1" readingOrder="1"/>
    </xf>
    <xf numFmtId="182" fontId="135" fillId="0" borderId="199" xfId="836" applyNumberFormat="1" applyFont="1" applyFill="1" applyBorder="1" applyAlignment="1">
      <alignment horizontal="center" vertical="center" wrapText="1" readingOrder="1"/>
    </xf>
    <xf numFmtId="168" fontId="0" fillId="0" borderId="200" xfId="837" applyNumberFormat="1" applyFont="1" applyFill="1" applyBorder="1" applyAlignment="1">
      <alignment vertical="center"/>
    </xf>
    <xf numFmtId="3" fontId="117" fillId="0" borderId="197" xfId="836" applyNumberFormat="1" applyFont="1" applyFill="1" applyBorder="1" applyAlignment="1">
      <alignment horizontal="center" vertical="center"/>
    </xf>
    <xf numFmtId="182" fontId="117" fillId="0" borderId="199" xfId="836" applyNumberFormat="1" applyFont="1" applyFill="1" applyBorder="1" applyAlignment="1">
      <alignment horizontal="center" vertical="center"/>
    </xf>
    <xf numFmtId="0" fontId="229" fillId="0" borderId="190" xfId="836" applyFont="1" applyBorder="1" applyAlignment="1">
      <alignment horizontal="left" vertical="center" wrapText="1"/>
    </xf>
    <xf numFmtId="0" fontId="117" fillId="0" borderId="197" xfId="836" applyFont="1" applyFill="1" applyBorder="1" applyAlignment="1">
      <alignment horizontal="left" vertical="center"/>
    </xf>
    <xf numFmtId="0" fontId="117" fillId="0" borderId="200" xfId="836" applyFont="1" applyFill="1" applyBorder="1" applyAlignment="1">
      <alignment horizontal="left" vertical="center"/>
    </xf>
    <xf numFmtId="9" fontId="0" fillId="0" borderId="200" xfId="837" applyNumberFormat="1" applyFont="1" applyBorder="1" applyAlignment="1">
      <alignment horizontal="center" vertical="center"/>
    </xf>
    <xf numFmtId="0" fontId="3" fillId="0" borderId="197" xfId="836" applyFont="1" applyBorder="1"/>
    <xf numFmtId="0" fontId="3" fillId="0" borderId="17" xfId="836" applyFont="1" applyBorder="1"/>
    <xf numFmtId="0" fontId="117" fillId="0" borderId="200" xfId="836" applyFont="1" applyBorder="1" applyAlignment="1">
      <alignment horizontal="left" vertical="center" wrapText="1"/>
    </xf>
    <xf numFmtId="3" fontId="3" fillId="0" borderId="16" xfId="836" applyNumberFormat="1" applyFont="1" applyFill="1" applyBorder="1" applyAlignment="1">
      <alignment horizontal="center" vertical="center"/>
    </xf>
    <xf numFmtId="3" fontId="116" fillId="23" borderId="190" xfId="836" applyNumberFormat="1" applyFont="1" applyFill="1" applyBorder="1" applyAlignment="1">
      <alignment horizontal="center" vertical="center"/>
    </xf>
    <xf numFmtId="9" fontId="116" fillId="23" borderId="190" xfId="837" applyFont="1" applyFill="1" applyBorder="1" applyAlignment="1">
      <alignment horizontal="center" vertical="center"/>
    </xf>
    <xf numFmtId="3" fontId="134" fillId="23" borderId="190" xfId="836" applyNumberFormat="1" applyFont="1" applyFill="1" applyBorder="1" applyAlignment="1">
      <alignment horizontal="center" vertical="center" wrapText="1" readingOrder="1"/>
    </xf>
    <xf numFmtId="0" fontId="134" fillId="23" borderId="190" xfId="836" applyFont="1" applyFill="1" applyBorder="1" applyAlignment="1">
      <alignment horizontal="center" vertical="center" wrapText="1" readingOrder="1"/>
    </xf>
    <xf numFmtId="168" fontId="120" fillId="23" borderId="190" xfId="837" applyNumberFormat="1" applyFont="1" applyFill="1" applyBorder="1" applyAlignment="1">
      <alignment vertical="center"/>
    </xf>
    <xf numFmtId="182" fontId="116" fillId="23" borderId="190" xfId="836" applyNumberFormat="1" applyFont="1" applyFill="1" applyBorder="1" applyAlignment="1">
      <alignment horizontal="center" vertical="center"/>
    </xf>
    <xf numFmtId="168" fontId="120" fillId="33" borderId="190" xfId="837" applyNumberFormat="1" applyFont="1" applyFill="1" applyBorder="1" applyAlignment="1">
      <alignment vertical="center"/>
    </xf>
    <xf numFmtId="0" fontId="119" fillId="0" borderId="0" xfId="836" applyFont="1" applyFill="1" applyBorder="1" applyAlignment="1">
      <alignment vertical="center"/>
    </xf>
    <xf numFmtId="0" fontId="117" fillId="20" borderId="0" xfId="836" applyFont="1" applyFill="1" applyBorder="1" applyAlignment="1">
      <alignment vertical="center"/>
    </xf>
    <xf numFmtId="0" fontId="117" fillId="20" borderId="0" xfId="836" applyFont="1" applyFill="1" applyBorder="1"/>
    <xf numFmtId="10" fontId="117" fillId="20" borderId="0" xfId="836" applyNumberFormat="1" applyFont="1" applyFill="1" applyBorder="1"/>
    <xf numFmtId="176" fontId="118" fillId="0" borderId="190" xfId="377" applyNumberFormat="1" applyFont="1" applyBorder="1" applyAlignment="1">
      <alignment horizontal="center" vertical="center"/>
    </xf>
    <xf numFmtId="0" fontId="118" fillId="0" borderId="190" xfId="377" applyFont="1" applyBorder="1" applyAlignment="1">
      <alignment horizontal="center" vertical="center"/>
    </xf>
    <xf numFmtId="3" fontId="118" fillId="0" borderId="190" xfId="377" applyNumberFormat="1" applyFont="1" applyBorder="1" applyAlignment="1">
      <alignment horizontal="center" vertical="center"/>
    </xf>
    <xf numFmtId="0" fontId="173" fillId="0" borderId="190" xfId="0" applyFont="1" applyBorder="1" applyAlignment="1">
      <alignment horizontal="center" vertical="center"/>
    </xf>
    <xf numFmtId="3" fontId="173" fillId="0" borderId="190" xfId="0" applyNumberFormat="1" applyFont="1" applyBorder="1" applyAlignment="1">
      <alignment horizontal="center" vertical="center"/>
    </xf>
    <xf numFmtId="176" fontId="118" fillId="0" borderId="190" xfId="0" applyNumberFormat="1" applyFont="1" applyBorder="1" applyAlignment="1">
      <alignment horizontal="center" vertical="center"/>
    </xf>
    <xf numFmtId="3" fontId="118" fillId="0" borderId="190" xfId="0" applyNumberFormat="1" applyFont="1" applyBorder="1" applyAlignment="1">
      <alignment horizontal="center" vertical="center"/>
    </xf>
    <xf numFmtId="0" fontId="118" fillId="0" borderId="190" xfId="0" applyFont="1" applyBorder="1" applyAlignment="1">
      <alignment horizontal="center"/>
    </xf>
    <xf numFmtId="176" fontId="118" fillId="0" borderId="190" xfId="0" applyNumberFormat="1" applyFont="1" applyBorder="1" applyAlignment="1">
      <alignment horizontal="center" vertical="center" wrapText="1"/>
    </xf>
    <xf numFmtId="0" fontId="131" fillId="23" borderId="190" xfId="377" applyFont="1" applyFill="1" applyBorder="1" applyAlignment="1">
      <alignment horizontal="center" vertical="center"/>
    </xf>
    <xf numFmtId="3" fontId="131" fillId="41" borderId="190" xfId="377" applyNumberFormat="1" applyFont="1" applyFill="1" applyBorder="1" applyAlignment="1">
      <alignment horizontal="center" vertical="center"/>
    </xf>
    <xf numFmtId="3" fontId="131" fillId="23" borderId="190" xfId="377" applyNumberFormat="1" applyFont="1" applyFill="1" applyBorder="1" applyAlignment="1">
      <alignment horizontal="center" vertical="center"/>
    </xf>
    <xf numFmtId="0" fontId="118" fillId="0" borderId="0" xfId="0" applyFont="1" applyAlignment="1">
      <alignment wrapText="1"/>
    </xf>
    <xf numFmtId="0" fontId="173" fillId="0" borderId="0" xfId="0" applyFont="1" applyAlignment="1">
      <alignment wrapText="1"/>
    </xf>
    <xf numFmtId="0" fontId="118" fillId="0" borderId="190" xfId="377" applyFont="1" applyBorder="1" applyAlignment="1">
      <alignment horizontal="center"/>
    </xf>
    <xf numFmtId="3" fontId="118" fillId="0" borderId="190" xfId="377" applyNumberFormat="1" applyFont="1" applyBorder="1" applyAlignment="1">
      <alignment horizontal="center"/>
    </xf>
    <xf numFmtId="3" fontId="118" fillId="0" borderId="198" xfId="0" applyNumberFormat="1" applyFont="1" applyBorder="1" applyAlignment="1">
      <alignment horizontal="center"/>
    </xf>
    <xf numFmtId="176" fontId="131" fillId="0" borderId="190" xfId="377" applyNumberFormat="1" applyFont="1" applyBorder="1" applyAlignment="1">
      <alignment horizontal="center" vertical="center"/>
    </xf>
    <xf numFmtId="0" fontId="174" fillId="23" borderId="190" xfId="0" applyFont="1" applyFill="1" applyBorder="1" applyAlignment="1">
      <alignment horizontal="center"/>
    </xf>
    <xf numFmtId="0" fontId="167" fillId="0" borderId="21" xfId="66" applyFont="1" applyBorder="1" applyAlignment="1">
      <alignment horizontal="center" vertical="center"/>
    </xf>
    <xf numFmtId="0" fontId="165" fillId="0" borderId="21" xfId="66" applyFont="1" applyBorder="1" applyAlignment="1">
      <alignment horizontal="center" vertical="center"/>
    </xf>
    <xf numFmtId="0" fontId="164" fillId="0" borderId="198" xfId="66" applyFont="1" applyBorder="1" applyAlignment="1">
      <alignment horizontal="center" vertical="center"/>
    </xf>
    <xf numFmtId="0" fontId="120" fillId="23" borderId="190" xfId="66" applyFont="1" applyFill="1" applyBorder="1" applyAlignment="1">
      <alignment horizontal="center" vertical="center"/>
    </xf>
    <xf numFmtId="0" fontId="120" fillId="23" borderId="198" xfId="66" applyFont="1" applyFill="1" applyBorder="1" applyAlignment="1">
      <alignment horizontal="center" vertical="center"/>
    </xf>
    <xf numFmtId="0" fontId="112" fillId="33" borderId="190" xfId="66" applyFont="1" applyFill="1" applyBorder="1" applyAlignment="1">
      <alignment horizontal="center" vertical="center"/>
    </xf>
    <xf numFmtId="0" fontId="163" fillId="0" borderId="198" xfId="66" applyFont="1" applyBorder="1" applyAlignment="1">
      <alignment horizontal="center" vertical="center"/>
    </xf>
    <xf numFmtId="4" fontId="163" fillId="0" borderId="203" xfId="759" applyNumberFormat="1" applyFont="1" applyBorder="1" applyAlignment="1">
      <alignment vertical="center"/>
    </xf>
    <xf numFmtId="4" fontId="163" fillId="0" borderId="203" xfId="66" applyNumberFormat="1" applyFont="1" applyBorder="1" applyAlignment="1">
      <alignment vertical="center"/>
    </xf>
    <xf numFmtId="0" fontId="135" fillId="0" borderId="21" xfId="66" applyFont="1" applyBorder="1" applyAlignment="1">
      <alignment horizontal="center" vertical="center"/>
    </xf>
    <xf numFmtId="4" fontId="118" fillId="0" borderId="17" xfId="66" applyNumberFormat="1" applyFont="1" applyBorder="1" applyAlignment="1">
      <alignment vertical="center"/>
    </xf>
    <xf numFmtId="4" fontId="118" fillId="0" borderId="22" xfId="66" applyNumberFormat="1" applyFont="1" applyBorder="1" applyAlignment="1">
      <alignment vertical="center"/>
    </xf>
    <xf numFmtId="4" fontId="164" fillId="0" borderId="203" xfId="759" applyNumberFormat="1" applyFont="1" applyBorder="1" applyAlignment="1">
      <alignment vertical="center"/>
    </xf>
    <xf numFmtId="4" fontId="164" fillId="0" borderId="203" xfId="66" applyNumberFormat="1" applyFont="1" applyBorder="1" applyAlignment="1">
      <alignment vertical="center"/>
    </xf>
    <xf numFmtId="0" fontId="135" fillId="0" borderId="23" xfId="66" applyFont="1" applyBorder="1" applyAlignment="1">
      <alignment horizontal="center" vertical="center"/>
    </xf>
    <xf numFmtId="4" fontId="167" fillId="0" borderId="203" xfId="759" applyNumberFormat="1" applyFont="1" applyBorder="1" applyAlignment="1">
      <alignment vertical="center"/>
    </xf>
    <xf numFmtId="4" fontId="167" fillId="0" borderId="203" xfId="66" applyNumberFormat="1" applyFont="1" applyBorder="1" applyAlignment="1">
      <alignment vertical="center"/>
    </xf>
    <xf numFmtId="0" fontId="166" fillId="0" borderId="198" xfId="66" applyFont="1" applyBorder="1" applyAlignment="1">
      <alignment horizontal="center" vertical="center"/>
    </xf>
    <xf numFmtId="4" fontId="166" fillId="0" borderId="203" xfId="759" applyNumberFormat="1" applyFont="1" applyBorder="1" applyAlignment="1">
      <alignment vertical="center"/>
    </xf>
    <xf numFmtId="4" fontId="166" fillId="0" borderId="203" xfId="66" applyNumberFormat="1" applyFont="1" applyBorder="1" applyAlignment="1">
      <alignment vertical="center"/>
    </xf>
    <xf numFmtId="4" fontId="165" fillId="0" borderId="203" xfId="759" applyNumberFormat="1" applyFont="1" applyBorder="1" applyAlignment="1">
      <alignment vertical="center"/>
    </xf>
    <xf numFmtId="4" fontId="165" fillId="0" borderId="203" xfId="66" applyNumberFormat="1" applyFont="1" applyBorder="1" applyAlignment="1">
      <alignment vertical="center"/>
    </xf>
    <xf numFmtId="0" fontId="116" fillId="0" borderId="23" xfId="66" applyFont="1" applyBorder="1" applyAlignment="1">
      <alignment horizontal="center" vertical="center"/>
    </xf>
    <xf numFmtId="4" fontId="120" fillId="23" borderId="190" xfId="66" applyNumberFormat="1" applyFont="1" applyFill="1" applyBorder="1" applyAlignment="1">
      <alignment vertical="center"/>
    </xf>
    <xf numFmtId="0" fontId="58" fillId="0" borderId="0" xfId="66" applyAlignment="1">
      <alignment horizontal="left" vertical="center"/>
    </xf>
    <xf numFmtId="43" fontId="58" fillId="0" borderId="0" xfId="66" applyNumberFormat="1" applyAlignment="1">
      <alignment vertical="center"/>
    </xf>
    <xf numFmtId="4" fontId="312" fillId="0" borderId="190" xfId="759" applyNumberFormat="1" applyFont="1" applyBorder="1" applyAlignment="1">
      <alignment vertical="center"/>
    </xf>
    <xf numFmtId="4" fontId="312" fillId="0" borderId="199" xfId="759" applyNumberFormat="1" applyFont="1" applyBorder="1" applyAlignment="1">
      <alignment vertical="center"/>
    </xf>
    <xf numFmtId="4" fontId="312" fillId="0" borderId="200" xfId="66" applyNumberFormat="1" applyFont="1" applyBorder="1" applyAlignment="1">
      <alignment vertical="center"/>
    </xf>
    <xf numFmtId="0" fontId="312" fillId="0" borderId="197" xfId="66" applyFont="1" applyBorder="1" applyAlignment="1">
      <alignment horizontal="center" vertical="center"/>
    </xf>
    <xf numFmtId="0" fontId="120" fillId="23" borderId="201" xfId="0" applyFont="1" applyFill="1" applyBorder="1" applyAlignment="1">
      <alignment horizontal="center" vertical="center"/>
    </xf>
    <xf numFmtId="0" fontId="30" fillId="23" borderId="198" xfId="0" applyFont="1" applyFill="1" applyBorder="1" applyAlignment="1">
      <alignment horizontal="center" vertical="center"/>
    </xf>
    <xf numFmtId="4" fontId="30" fillId="23" borderId="202" xfId="0" applyNumberFormat="1" applyFont="1" applyFill="1" applyBorder="1"/>
    <xf numFmtId="4" fontId="30" fillId="23" borderId="198" xfId="0" applyNumberFormat="1" applyFont="1" applyFill="1" applyBorder="1"/>
    <xf numFmtId="4" fontId="120" fillId="0" borderId="190" xfId="0" applyNumberFormat="1" applyFont="1" applyBorder="1"/>
    <xf numFmtId="4" fontId="120" fillId="0" borderId="199" xfId="0" applyNumberFormat="1" applyFont="1" applyBorder="1"/>
    <xf numFmtId="0" fontId="313" fillId="0" borderId="0" xfId="374" applyFont="1" applyAlignment="1">
      <alignment vertical="center"/>
    </xf>
    <xf numFmtId="0" fontId="167" fillId="0" borderId="200" xfId="830" applyFont="1" applyFill="1" applyBorder="1" applyAlignment="1">
      <alignment horizontal="center" vertical="center"/>
    </xf>
    <xf numFmtId="0" fontId="165" fillId="0" borderId="200" xfId="830" applyFont="1" applyFill="1" applyBorder="1" applyAlignment="1">
      <alignment horizontal="center" vertical="center"/>
    </xf>
    <xf numFmtId="0" fontId="166" fillId="0" borderId="200" xfId="830" applyFont="1" applyFill="1" applyBorder="1" applyAlignment="1">
      <alignment horizontal="center" vertical="center"/>
    </xf>
    <xf numFmtId="0" fontId="120" fillId="23" borderId="190" xfId="830" applyFont="1" applyFill="1" applyBorder="1" applyAlignment="1">
      <alignment horizontal="center" vertical="center"/>
    </xf>
    <xf numFmtId="0" fontId="120" fillId="23" borderId="197" xfId="830" applyFont="1" applyFill="1" applyBorder="1" applyAlignment="1">
      <alignment horizontal="center" vertical="center"/>
    </xf>
    <xf numFmtId="0" fontId="120" fillId="23" borderId="200" xfId="830" applyFont="1" applyFill="1" applyBorder="1" applyAlignment="1">
      <alignment horizontal="center" vertical="center"/>
    </xf>
    <xf numFmtId="0" fontId="163" fillId="0" borderId="200" xfId="830" applyFont="1" applyFill="1" applyBorder="1" applyAlignment="1">
      <alignment horizontal="center" vertical="center"/>
    </xf>
    <xf numFmtId="0" fontId="164" fillId="0" borderId="200" xfId="830" applyFont="1" applyFill="1" applyBorder="1" applyAlignment="1">
      <alignment horizontal="center" vertical="center"/>
    </xf>
    <xf numFmtId="0" fontId="14" fillId="0" borderId="18" xfId="830" applyFont="1" applyBorder="1" applyAlignment="1">
      <alignment horizontal="center" vertical="center"/>
    </xf>
    <xf numFmtId="0" fontId="93" fillId="0" borderId="0" xfId="32" applyAlignment="1" applyProtection="1">
      <alignment horizontal="center" vertical="center"/>
    </xf>
    <xf numFmtId="0" fontId="14" fillId="0" borderId="200" xfId="830" applyFont="1" applyBorder="1" applyAlignment="1">
      <alignment horizontal="left" vertical="center"/>
    </xf>
    <xf numFmtId="0" fontId="14" fillId="0" borderId="190" xfId="830" applyFont="1" applyBorder="1" applyAlignment="1">
      <alignment horizontal="center" vertical="center"/>
    </xf>
    <xf numFmtId="0" fontId="14" fillId="0" borderId="198" xfId="830" applyFont="1" applyBorder="1" applyAlignment="1">
      <alignment horizontal="center" vertical="center"/>
    </xf>
    <xf numFmtId="0" fontId="2" fillId="0" borderId="18" xfId="830" applyFont="1" applyBorder="1"/>
    <xf numFmtId="0" fontId="2" fillId="0" borderId="200" xfId="830" applyFont="1" applyBorder="1"/>
    <xf numFmtId="0" fontId="2" fillId="0" borderId="18" xfId="830" applyFont="1" applyBorder="1" applyAlignment="1">
      <alignment horizontal="center" vertical="center"/>
    </xf>
    <xf numFmtId="0" fontId="117" fillId="0" borderId="0" xfId="465" applyFont="1" applyBorder="1" applyAlignment="1"/>
    <xf numFmtId="0" fontId="117" fillId="0" borderId="23" xfId="465" applyFont="1" applyBorder="1" applyAlignment="1"/>
    <xf numFmtId="0" fontId="2" fillId="0" borderId="190" xfId="830" applyFont="1" applyBorder="1" applyAlignment="1">
      <alignment horizontal="center" vertical="center"/>
    </xf>
    <xf numFmtId="0" fontId="14" fillId="0" borderId="190" xfId="830" applyFont="1" applyBorder="1"/>
    <xf numFmtId="0" fontId="2" fillId="0" borderId="190" xfId="830" applyFont="1" applyBorder="1"/>
    <xf numFmtId="0" fontId="155" fillId="0" borderId="198" xfId="830" applyFont="1" applyBorder="1" applyAlignment="1">
      <alignment horizontal="center" vertical="center"/>
    </xf>
    <xf numFmtId="0" fontId="14" fillId="0" borderId="21" xfId="830" applyFont="1" applyBorder="1" applyAlignment="1">
      <alignment horizontal="center" vertical="center"/>
    </xf>
    <xf numFmtId="0" fontId="14" fillId="0" borderId="31" xfId="830" applyFont="1" applyBorder="1"/>
    <xf numFmtId="0" fontId="14" fillId="0" borderId="31" xfId="830" applyFont="1" applyBorder="1" applyAlignment="1">
      <alignment horizontal="center" vertical="center"/>
    </xf>
    <xf numFmtId="0" fontId="2" fillId="0" borderId="30" xfId="830" applyFont="1" applyBorder="1"/>
    <xf numFmtId="0" fontId="2" fillId="0" borderId="31" xfId="830" applyFont="1" applyBorder="1"/>
    <xf numFmtId="0" fontId="2" fillId="0" borderId="32" xfId="830" applyFont="1" applyBorder="1"/>
    <xf numFmtId="0" fontId="2" fillId="0" borderId="200" xfId="830" applyFont="1" applyBorder="1" applyAlignment="1">
      <alignment horizontal="center" vertical="center"/>
    </xf>
    <xf numFmtId="0" fontId="166" fillId="23" borderId="18" xfId="0" applyFont="1" applyFill="1" applyBorder="1" applyAlignment="1">
      <alignment horizontal="center" vertical="center"/>
    </xf>
    <xf numFmtId="0" fontId="166" fillId="23" borderId="13" xfId="73" applyFont="1" applyFill="1" applyBorder="1" applyAlignment="1">
      <alignment horizontal="right" vertical="center" indent="1"/>
    </xf>
    <xf numFmtId="0" fontId="166" fillId="23" borderId="14" xfId="73" applyFont="1" applyFill="1" applyBorder="1" applyAlignment="1">
      <alignment horizontal="right" vertical="center" indent="1"/>
    </xf>
    <xf numFmtId="0" fontId="166" fillId="23" borderId="10" xfId="73" applyFont="1" applyFill="1" applyBorder="1" applyAlignment="1">
      <alignment horizontal="right" vertical="center" indent="1"/>
    </xf>
    <xf numFmtId="0" fontId="181" fillId="0" borderId="0" xfId="73" applyFont="1" applyAlignment="1">
      <alignment vertical="center"/>
    </xf>
    <xf numFmtId="0" fontId="263" fillId="0" borderId="0" xfId="0" applyFont="1" applyBorder="1" applyAlignment="1">
      <alignment horizontal="center" vertical="center" wrapText="1"/>
    </xf>
    <xf numFmtId="0" fontId="262" fillId="0" borderId="0" xfId="0" applyFont="1" applyAlignment="1">
      <alignment horizontal="center" vertical="center"/>
    </xf>
    <xf numFmtId="0" fontId="117" fillId="0" borderId="12" xfId="374" applyFont="1" applyBorder="1" applyAlignment="1">
      <alignment horizontal="left" vertical="center" wrapText="1"/>
    </xf>
    <xf numFmtId="0" fontId="117" fillId="0" borderId="24" xfId="374" applyFont="1" applyBorder="1" applyAlignment="1">
      <alignment horizontal="left" vertical="center" wrapText="1"/>
    </xf>
    <xf numFmtId="0" fontId="116" fillId="23" borderId="24" xfId="374" applyFont="1" applyFill="1" applyBorder="1" applyAlignment="1">
      <alignment horizontal="right" vertical="center"/>
    </xf>
    <xf numFmtId="0" fontId="118" fillId="0" borderId="12" xfId="374" applyFont="1" applyBorder="1" applyAlignment="1">
      <alignment horizontal="left" vertical="center" wrapText="1"/>
    </xf>
    <xf numFmtId="0" fontId="118" fillId="0" borderId="24" xfId="374" applyFont="1" applyBorder="1" applyAlignment="1">
      <alignment horizontal="left" vertical="center" wrapText="1"/>
    </xf>
    <xf numFmtId="0" fontId="243" fillId="35" borderId="24" xfId="374" applyFont="1" applyFill="1" applyBorder="1" applyAlignment="1">
      <alignment horizontal="center" vertical="center"/>
    </xf>
    <xf numFmtId="0" fontId="243" fillId="38" borderId="24" xfId="374" applyFont="1" applyFill="1" applyBorder="1" applyAlignment="1">
      <alignment horizontal="center" vertical="center"/>
    </xf>
    <xf numFmtId="0" fontId="117" fillId="0" borderId="110" xfId="374" applyFont="1" applyBorder="1" applyAlignment="1">
      <alignment horizontal="left" vertical="center" wrapText="1"/>
    </xf>
    <xf numFmtId="0" fontId="117" fillId="0" borderId="0" xfId="374" applyFont="1" applyBorder="1" applyAlignment="1">
      <alignment horizontal="left" vertical="center" wrapText="1"/>
    </xf>
    <xf numFmtId="0" fontId="243" fillId="34" borderId="24" xfId="374" applyFont="1" applyFill="1" applyBorder="1" applyAlignment="1">
      <alignment horizontal="center" vertical="center"/>
    </xf>
    <xf numFmtId="0" fontId="243" fillId="36" borderId="24" xfId="374" applyFont="1" applyFill="1" applyBorder="1" applyAlignment="1">
      <alignment horizontal="center" vertical="center"/>
    </xf>
    <xf numFmtId="0" fontId="243" fillId="39" borderId="24" xfId="374" applyFont="1" applyFill="1" applyBorder="1" applyAlignment="1">
      <alignment horizontal="center" vertical="center"/>
    </xf>
    <xf numFmtId="0" fontId="117" fillId="0" borderId="202" xfId="374" applyFont="1" applyBorder="1" applyAlignment="1">
      <alignment horizontal="left" vertical="center" wrapText="1"/>
    </xf>
    <xf numFmtId="0" fontId="119" fillId="0" borderId="202" xfId="374" applyFont="1" applyBorder="1" applyAlignment="1">
      <alignment horizontal="left" vertical="center" wrapText="1"/>
    </xf>
    <xf numFmtId="0" fontId="119" fillId="0" borderId="24" xfId="374" applyFont="1" applyBorder="1" applyAlignment="1">
      <alignment horizontal="left" vertical="center" wrapText="1"/>
    </xf>
    <xf numFmtId="0" fontId="98" fillId="0" borderId="0" xfId="66" applyFont="1" applyBorder="1" applyAlignment="1">
      <alignment horizontal="left" vertical="center" wrapText="1"/>
    </xf>
    <xf numFmtId="1" fontId="116" fillId="23" borderId="19" xfId="50" applyNumberFormat="1" applyFont="1" applyFill="1" applyBorder="1" applyAlignment="1">
      <alignment horizontal="center" vertical="center" wrapText="1"/>
    </xf>
    <xf numFmtId="1" fontId="116" fillId="23" borderId="23" xfId="50" applyNumberFormat="1" applyFont="1" applyFill="1" applyBorder="1" applyAlignment="1">
      <alignment horizontal="center" vertical="center" wrapText="1"/>
    </xf>
    <xf numFmtId="0" fontId="117" fillId="0" borderId="11" xfId="66" applyFont="1" applyBorder="1" applyAlignment="1">
      <alignment horizontal="center" vertical="center"/>
    </xf>
    <xf numFmtId="0" fontId="117" fillId="0" borderId="12" xfId="66" applyFont="1" applyBorder="1" applyAlignment="1">
      <alignment horizontal="center" vertical="center"/>
    </xf>
    <xf numFmtId="0" fontId="117" fillId="0" borderId="15" xfId="66" applyFont="1" applyBorder="1" applyAlignment="1">
      <alignment horizontal="center" vertical="center"/>
    </xf>
    <xf numFmtId="0" fontId="116" fillId="23" borderId="13" xfId="66" applyFont="1" applyFill="1" applyBorder="1" applyAlignment="1">
      <alignment horizontal="center" vertical="center"/>
    </xf>
    <xf numFmtId="0" fontId="116" fillId="23" borderId="14" xfId="66" applyFont="1" applyFill="1" applyBorder="1" applyAlignment="1">
      <alignment horizontal="center" vertical="center"/>
    </xf>
    <xf numFmtId="0" fontId="116" fillId="23" borderId="10" xfId="66" applyFont="1" applyFill="1" applyBorder="1" applyAlignment="1">
      <alignment horizontal="center" vertical="center"/>
    </xf>
    <xf numFmtId="0" fontId="161" fillId="0" borderId="19" xfId="66" applyFont="1" applyFill="1" applyBorder="1" applyAlignment="1">
      <alignment horizontal="center" vertical="center"/>
    </xf>
    <xf numFmtId="0" fontId="161" fillId="0" borderId="21" xfId="66" applyFont="1" applyFill="1" applyBorder="1" applyAlignment="1">
      <alignment horizontal="center" vertical="center"/>
    </xf>
    <xf numFmtId="0" fontId="161" fillId="0" borderId="23" xfId="66" applyFont="1" applyFill="1" applyBorder="1" applyAlignment="1">
      <alignment horizontal="center" vertical="center"/>
    </xf>
    <xf numFmtId="0" fontId="162" fillId="0" borderId="19" xfId="66" applyFont="1" applyFill="1" applyBorder="1" applyAlignment="1">
      <alignment horizontal="center" vertical="center"/>
    </xf>
    <xf numFmtId="0" fontId="162" fillId="0" borderId="21" xfId="66" applyFont="1" applyFill="1" applyBorder="1" applyAlignment="1">
      <alignment horizontal="center" vertical="center"/>
    </xf>
    <xf numFmtId="0" fontId="162" fillId="0" borderId="20" xfId="66" applyFont="1" applyFill="1" applyBorder="1" applyAlignment="1">
      <alignment horizontal="center" vertical="center"/>
    </xf>
    <xf numFmtId="0" fontId="155" fillId="0" borderId="19" xfId="52" applyFont="1" applyFill="1" applyBorder="1" applyAlignment="1">
      <alignment horizontal="center" vertical="center"/>
    </xf>
    <xf numFmtId="0" fontId="155" fillId="0" borderId="21" xfId="52" applyFont="1" applyFill="1" applyBorder="1" applyAlignment="1">
      <alignment horizontal="center" vertical="center"/>
    </xf>
    <xf numFmtId="0" fontId="155" fillId="0" borderId="23" xfId="52" applyFont="1" applyFill="1" applyBorder="1" applyAlignment="1">
      <alignment horizontal="center" vertical="center"/>
    </xf>
    <xf numFmtId="0" fontId="158" fillId="0" borderId="19" xfId="66" applyFont="1" applyFill="1" applyBorder="1" applyAlignment="1">
      <alignment horizontal="center" vertical="center"/>
    </xf>
    <xf numFmtId="0" fontId="158" fillId="0" borderId="21" xfId="66" applyFont="1" applyFill="1" applyBorder="1" applyAlignment="1">
      <alignment horizontal="center" vertical="center"/>
    </xf>
    <xf numFmtId="0" fontId="158" fillId="0" borderId="20" xfId="66" applyFont="1" applyFill="1" applyBorder="1" applyAlignment="1">
      <alignment horizontal="center" vertical="center"/>
    </xf>
    <xf numFmtId="0" fontId="159" fillId="0" borderId="19" xfId="66" applyFont="1" applyFill="1" applyBorder="1" applyAlignment="1">
      <alignment horizontal="center" vertical="center"/>
    </xf>
    <xf numFmtId="0" fontId="159" fillId="0" borderId="21" xfId="66" applyFont="1" applyFill="1" applyBorder="1" applyAlignment="1">
      <alignment horizontal="center" vertical="center"/>
    </xf>
    <xf numFmtId="0" fontId="159" fillId="0" borderId="20" xfId="66" applyFont="1" applyFill="1" applyBorder="1" applyAlignment="1">
      <alignment horizontal="center" vertical="center"/>
    </xf>
    <xf numFmtId="0" fontId="160" fillId="0" borderId="19" xfId="66" applyFont="1" applyFill="1" applyBorder="1" applyAlignment="1">
      <alignment horizontal="center" vertical="center"/>
    </xf>
    <xf numFmtId="0" fontId="160" fillId="0" borderId="21" xfId="66" applyFont="1" applyFill="1" applyBorder="1" applyAlignment="1">
      <alignment horizontal="center" vertical="center"/>
    </xf>
    <xf numFmtId="0" fontId="160" fillId="0" borderId="20" xfId="66" applyFont="1" applyFill="1" applyBorder="1" applyAlignment="1">
      <alignment horizontal="center" vertical="center"/>
    </xf>
    <xf numFmtId="0" fontId="154" fillId="0" borderId="19" xfId="52" applyFont="1" applyFill="1" applyBorder="1" applyAlignment="1">
      <alignment horizontal="center" vertical="center"/>
    </xf>
    <xf numFmtId="0" fontId="154" fillId="0" borderId="21" xfId="52" applyFont="1" applyFill="1" applyBorder="1" applyAlignment="1">
      <alignment horizontal="center" vertical="center"/>
    </xf>
    <xf numFmtId="0" fontId="154" fillId="0" borderId="23" xfId="52" applyFont="1" applyFill="1" applyBorder="1" applyAlignment="1">
      <alignment horizontal="center" vertical="center"/>
    </xf>
    <xf numFmtId="0" fontId="156" fillId="0" borderId="19" xfId="52" applyFont="1" applyFill="1" applyBorder="1" applyAlignment="1">
      <alignment horizontal="center" vertical="center"/>
    </xf>
    <xf numFmtId="0" fontId="156" fillId="0" borderId="21" xfId="52" applyFont="1" applyFill="1" applyBorder="1" applyAlignment="1">
      <alignment horizontal="center" vertical="center"/>
    </xf>
    <xf numFmtId="0" fontId="156" fillId="0" borderId="23" xfId="52" applyFont="1" applyFill="1" applyBorder="1" applyAlignment="1">
      <alignment horizontal="center" vertical="center"/>
    </xf>
    <xf numFmtId="0" fontId="157" fillId="0" borderId="19" xfId="52" applyFont="1" applyFill="1" applyBorder="1" applyAlignment="1">
      <alignment horizontal="center" vertical="center"/>
    </xf>
    <xf numFmtId="0" fontId="157" fillId="0" borderId="21" xfId="52" applyFont="1" applyFill="1" applyBorder="1" applyAlignment="1">
      <alignment horizontal="center" vertical="center"/>
    </xf>
    <xf numFmtId="0" fontId="157" fillId="0" borderId="23" xfId="52" applyFont="1" applyFill="1" applyBorder="1" applyAlignment="1">
      <alignment horizontal="center" vertical="center"/>
    </xf>
    <xf numFmtId="1" fontId="182" fillId="0" borderId="19" xfId="50" applyNumberFormat="1" applyFont="1" applyFill="1" applyBorder="1" applyAlignment="1">
      <alignment horizontal="center" vertical="center" wrapText="1"/>
    </xf>
    <xf numFmtId="1" fontId="182" fillId="0" borderId="21" xfId="50" applyNumberFormat="1" applyFont="1" applyFill="1" applyBorder="1" applyAlignment="1">
      <alignment horizontal="center" vertical="center" wrapText="1"/>
    </xf>
    <xf numFmtId="1" fontId="182" fillId="0" borderId="23" xfId="50" applyNumberFormat="1" applyFont="1" applyFill="1" applyBorder="1" applyAlignment="1">
      <alignment horizontal="center" vertical="center" wrapText="1"/>
    </xf>
    <xf numFmtId="0" fontId="60" fillId="0" borderId="0" xfId="66" applyFont="1" applyAlignment="1">
      <alignment horizontal="left" vertical="center" wrapText="1"/>
    </xf>
    <xf numFmtId="0" fontId="116" fillId="0" borderId="19" xfId="66" applyFont="1" applyFill="1" applyBorder="1" applyAlignment="1">
      <alignment horizontal="center" vertical="center"/>
    </xf>
    <xf numFmtId="0" fontId="116" fillId="0" borderId="21" xfId="66" applyFont="1" applyFill="1" applyBorder="1" applyAlignment="1">
      <alignment horizontal="center" vertical="center"/>
    </xf>
    <xf numFmtId="0" fontId="116" fillId="0" borderId="23" xfId="66" applyFont="1" applyFill="1" applyBorder="1" applyAlignment="1">
      <alignment horizontal="center" vertical="center"/>
    </xf>
    <xf numFmtId="0" fontId="167" fillId="0" borderId="19" xfId="66" applyFont="1" applyFill="1" applyBorder="1" applyAlignment="1">
      <alignment horizontal="center" vertical="center"/>
    </xf>
    <xf numFmtId="0" fontId="167" fillId="0" borderId="21" xfId="66" applyFont="1" applyFill="1" applyBorder="1" applyAlignment="1">
      <alignment horizontal="center" vertical="center"/>
    </xf>
    <xf numFmtId="0" fontId="167" fillId="0" borderId="23" xfId="66" applyFont="1" applyFill="1" applyBorder="1" applyAlignment="1">
      <alignment horizontal="center" vertical="center"/>
    </xf>
    <xf numFmtId="0" fontId="163" fillId="0" borderId="19" xfId="66" applyFont="1" applyFill="1" applyBorder="1" applyAlignment="1">
      <alignment horizontal="center" vertical="center"/>
    </xf>
    <xf numFmtId="0" fontId="163" fillId="0" borderId="21" xfId="66" applyFont="1" applyFill="1" applyBorder="1" applyAlignment="1">
      <alignment horizontal="center" vertical="center"/>
    </xf>
    <xf numFmtId="0" fontId="163" fillId="0" borderId="23" xfId="66" applyFont="1" applyFill="1" applyBorder="1" applyAlignment="1">
      <alignment horizontal="center" vertical="center"/>
    </xf>
    <xf numFmtId="0" fontId="166" fillId="0" borderId="18" xfId="0" applyFont="1" applyBorder="1" applyAlignment="1">
      <alignment horizontal="center" vertical="center"/>
    </xf>
    <xf numFmtId="0" fontId="164" fillId="0" borderId="19" xfId="66" applyFont="1" applyFill="1" applyBorder="1" applyAlignment="1">
      <alignment horizontal="center" vertical="center"/>
    </xf>
    <xf numFmtId="0" fontId="164" fillId="0" borderId="21" xfId="66" applyFont="1" applyFill="1" applyBorder="1" applyAlignment="1">
      <alignment horizontal="center" vertical="center"/>
    </xf>
    <xf numFmtId="0" fontId="164" fillId="0" borderId="23" xfId="66" applyFont="1" applyFill="1" applyBorder="1" applyAlignment="1">
      <alignment horizontal="center" vertical="center"/>
    </xf>
    <xf numFmtId="0" fontId="165" fillId="0" borderId="19" xfId="66" applyFont="1" applyFill="1" applyBorder="1" applyAlignment="1">
      <alignment horizontal="center" vertical="center"/>
    </xf>
    <xf numFmtId="0" fontId="165" fillId="0" borderId="21" xfId="66" applyFont="1" applyFill="1" applyBorder="1" applyAlignment="1">
      <alignment horizontal="center" vertical="center"/>
    </xf>
    <xf numFmtId="0" fontId="165" fillId="0" borderId="23" xfId="66" applyFont="1" applyFill="1" applyBorder="1" applyAlignment="1">
      <alignment horizontal="center" vertical="center"/>
    </xf>
    <xf numFmtId="0" fontId="121" fillId="0" borderId="0" xfId="640" applyFont="1" applyAlignment="1">
      <alignment horizontal="left" wrapText="1"/>
    </xf>
    <xf numFmtId="0" fontId="167" fillId="0" borderId="19" xfId="640" applyFont="1" applyFill="1" applyBorder="1" applyAlignment="1">
      <alignment horizontal="center" vertical="center"/>
    </xf>
    <xf numFmtId="0" fontId="167" fillId="0" borderId="21" xfId="640" applyFont="1" applyFill="1" applyBorder="1" applyAlignment="1">
      <alignment horizontal="center" vertical="center"/>
    </xf>
    <xf numFmtId="0" fontId="167" fillId="0" borderId="23" xfId="640" applyFont="1" applyFill="1" applyBorder="1" applyAlignment="1">
      <alignment horizontal="center" vertical="center"/>
    </xf>
    <xf numFmtId="0" fontId="166" fillId="0" borderId="19" xfId="640" applyFont="1" applyFill="1" applyBorder="1" applyAlignment="1">
      <alignment horizontal="center" vertical="center"/>
    </xf>
    <xf numFmtId="0" fontId="166" fillId="0" borderId="21" xfId="640" applyFont="1" applyFill="1" applyBorder="1" applyAlignment="1">
      <alignment horizontal="center" vertical="center"/>
    </xf>
    <xf numFmtId="0" fontId="166" fillId="0" borderId="23" xfId="640" applyFont="1" applyFill="1" applyBorder="1" applyAlignment="1">
      <alignment horizontal="center" vertical="center"/>
    </xf>
    <xf numFmtId="0" fontId="165" fillId="0" borderId="19" xfId="640" applyFont="1" applyFill="1" applyBorder="1" applyAlignment="1">
      <alignment horizontal="center" vertical="center"/>
    </xf>
    <xf numFmtId="0" fontId="165" fillId="0" borderId="21" xfId="640" applyFont="1" applyFill="1" applyBorder="1" applyAlignment="1">
      <alignment horizontal="center" vertical="center"/>
    </xf>
    <xf numFmtId="0" fontId="165" fillId="0" borderId="23" xfId="640" applyFont="1" applyFill="1" applyBorder="1" applyAlignment="1">
      <alignment horizontal="center" vertical="center"/>
    </xf>
    <xf numFmtId="0" fontId="116" fillId="0" borderId="19" xfId="640" applyFont="1" applyFill="1" applyBorder="1" applyAlignment="1">
      <alignment horizontal="center" vertical="center"/>
    </xf>
    <xf numFmtId="0" fontId="116" fillId="0" borderId="21" xfId="640" applyFont="1" applyFill="1" applyBorder="1" applyAlignment="1">
      <alignment horizontal="center" vertical="center"/>
    </xf>
    <xf numFmtId="0" fontId="116" fillId="0" borderId="23" xfId="640" applyFont="1" applyFill="1" applyBorder="1" applyAlignment="1">
      <alignment horizontal="center" vertical="center"/>
    </xf>
    <xf numFmtId="0" fontId="164" fillId="0" borderId="19" xfId="640" applyFont="1" applyFill="1" applyBorder="1" applyAlignment="1">
      <alignment horizontal="center" vertical="center"/>
    </xf>
    <xf numFmtId="0" fontId="164" fillId="0" borderId="21" xfId="640" applyFont="1" applyFill="1" applyBorder="1" applyAlignment="1">
      <alignment horizontal="center" vertical="center"/>
    </xf>
    <xf numFmtId="0" fontId="164" fillId="0" borderId="23" xfId="640" applyFont="1" applyFill="1" applyBorder="1" applyAlignment="1">
      <alignment horizontal="center" vertical="center"/>
    </xf>
    <xf numFmtId="0" fontId="163" fillId="0" borderId="19" xfId="640" applyFont="1" applyFill="1" applyBorder="1" applyAlignment="1">
      <alignment horizontal="center" vertical="center"/>
    </xf>
    <xf numFmtId="0" fontId="163" fillId="0" borderId="21" xfId="640" applyFont="1" applyFill="1" applyBorder="1" applyAlignment="1">
      <alignment horizontal="center" vertical="center"/>
    </xf>
    <xf numFmtId="0" fontId="163" fillId="0" borderId="23" xfId="640" applyFont="1" applyFill="1" applyBorder="1" applyAlignment="1">
      <alignment horizontal="center" vertical="center"/>
    </xf>
    <xf numFmtId="0" fontId="120" fillId="0" borderId="13" xfId="640" applyFont="1" applyFill="1" applyBorder="1" applyAlignment="1">
      <alignment horizontal="center" vertical="center"/>
    </xf>
    <xf numFmtId="0" fontId="120" fillId="0" borderId="14" xfId="640" applyFont="1" applyFill="1" applyBorder="1" applyAlignment="1">
      <alignment horizontal="center" vertical="center"/>
    </xf>
    <xf numFmtId="0" fontId="120" fillId="0" borderId="15" xfId="640" applyFont="1" applyFill="1" applyBorder="1" applyAlignment="1">
      <alignment horizontal="center" vertical="center"/>
    </xf>
    <xf numFmtId="0" fontId="60" fillId="0" borderId="0" xfId="66" applyFont="1" applyAlignment="1">
      <alignment horizontal="left" wrapText="1"/>
    </xf>
    <xf numFmtId="0" fontId="167" fillId="0" borderId="20" xfId="66" applyFont="1" applyFill="1" applyBorder="1" applyAlignment="1">
      <alignment horizontal="center" vertical="center"/>
    </xf>
    <xf numFmtId="0" fontId="70" fillId="0" borderId="0" xfId="66" applyFont="1" applyAlignment="1">
      <alignment horizontal="left" vertical="center"/>
    </xf>
    <xf numFmtId="0" fontId="165" fillId="0" borderId="20" xfId="66" applyFont="1" applyFill="1" applyBorder="1" applyAlignment="1">
      <alignment horizontal="center" vertical="center"/>
    </xf>
    <xf numFmtId="0" fontId="164" fillId="0" borderId="20" xfId="66" applyFont="1" applyFill="1" applyBorder="1" applyAlignment="1">
      <alignment horizontal="center" vertical="center"/>
    </xf>
    <xf numFmtId="0" fontId="166" fillId="0" borderId="19" xfId="66" applyFont="1" applyFill="1" applyBorder="1" applyAlignment="1">
      <alignment horizontal="center" vertical="center"/>
    </xf>
    <xf numFmtId="0" fontId="166" fillId="0" borderId="21" xfId="66" applyFont="1" applyFill="1" applyBorder="1" applyAlignment="1">
      <alignment horizontal="center" vertical="center"/>
    </xf>
    <xf numFmtId="0" fontId="166" fillId="0" borderId="20" xfId="66" applyFont="1" applyFill="1" applyBorder="1" applyAlignment="1">
      <alignment horizontal="center" vertical="center"/>
    </xf>
    <xf numFmtId="0" fontId="163" fillId="0" borderId="20" xfId="66" applyFont="1" applyFill="1" applyBorder="1" applyAlignment="1">
      <alignment horizontal="center" vertical="center"/>
    </xf>
    <xf numFmtId="1" fontId="116" fillId="23" borderId="18" xfId="50" applyNumberFormat="1" applyFont="1" applyFill="1" applyBorder="1" applyAlignment="1">
      <alignment horizontal="center" vertical="center" wrapText="1"/>
    </xf>
    <xf numFmtId="0" fontId="119" fillId="0" borderId="0" xfId="66" applyFont="1" applyAlignment="1">
      <alignment horizontal="left" vertical="center"/>
    </xf>
    <xf numFmtId="0" fontId="158" fillId="0" borderId="23" xfId="66" applyFont="1" applyFill="1" applyBorder="1" applyAlignment="1">
      <alignment horizontal="center" vertical="center"/>
    </xf>
    <xf numFmtId="0" fontId="159" fillId="0" borderId="23" xfId="66" applyFont="1" applyFill="1" applyBorder="1" applyAlignment="1">
      <alignment horizontal="center" vertical="center"/>
    </xf>
    <xf numFmtId="0" fontId="160" fillId="0" borderId="23" xfId="66" applyFont="1" applyFill="1" applyBorder="1" applyAlignment="1">
      <alignment horizontal="center" vertical="center"/>
    </xf>
    <xf numFmtId="0" fontId="118" fillId="0" borderId="12" xfId="66" applyFont="1" applyBorder="1" applyAlignment="1">
      <alignment horizontal="left" vertical="center"/>
    </xf>
    <xf numFmtId="0" fontId="118" fillId="0" borderId="0" xfId="66" applyFont="1" applyBorder="1" applyAlignment="1">
      <alignment horizontal="left" vertical="center"/>
    </xf>
    <xf numFmtId="0" fontId="162" fillId="0" borderId="23" xfId="66" applyFont="1" applyFill="1" applyBorder="1" applyAlignment="1">
      <alignment horizontal="center" vertical="center"/>
    </xf>
    <xf numFmtId="0" fontId="60" fillId="0" borderId="0" xfId="0" applyFont="1" applyAlignment="1">
      <alignment horizontal="center" wrapText="1"/>
    </xf>
    <xf numFmtId="0" fontId="120" fillId="0" borderId="19" xfId="646" applyFont="1" applyBorder="1" applyAlignment="1">
      <alignment horizontal="center" vertical="center" wrapText="1"/>
    </xf>
    <xf numFmtId="0" fontId="120" fillId="0" borderId="21" xfId="646" applyFont="1" applyBorder="1" applyAlignment="1">
      <alignment horizontal="center" vertical="center" wrapText="1"/>
    </xf>
    <xf numFmtId="0" fontId="120" fillId="0" borderId="23" xfId="646" applyFont="1" applyBorder="1" applyAlignment="1">
      <alignment horizontal="center" vertical="center" wrapText="1"/>
    </xf>
    <xf numFmtId="0" fontId="27" fillId="0" borderId="19" xfId="646" applyFont="1" applyBorder="1" applyAlignment="1">
      <alignment horizontal="center" vertical="center"/>
    </xf>
    <xf numFmtId="0" fontId="27" fillId="0" borderId="21" xfId="646" applyFont="1" applyBorder="1" applyAlignment="1">
      <alignment horizontal="center" vertical="center"/>
    </xf>
    <xf numFmtId="0" fontId="27" fillId="0" borderId="117" xfId="646" applyFont="1" applyBorder="1" applyAlignment="1">
      <alignment horizontal="center" vertical="center"/>
    </xf>
    <xf numFmtId="0" fontId="27" fillId="0" borderId="118" xfId="646" applyFont="1" applyBorder="1" applyAlignment="1">
      <alignment horizontal="center" vertical="center"/>
    </xf>
    <xf numFmtId="0" fontId="27" fillId="0" borderId="119" xfId="646" applyFont="1" applyBorder="1" applyAlignment="1">
      <alignment horizontal="center" vertical="center"/>
    </xf>
    <xf numFmtId="0" fontId="27" fillId="0" borderId="123" xfId="646" applyFont="1" applyBorder="1" applyAlignment="1">
      <alignment horizontal="center" vertical="center"/>
    </xf>
    <xf numFmtId="0" fontId="27" fillId="0" borderId="124" xfId="646" applyFont="1" applyBorder="1" applyAlignment="1">
      <alignment horizontal="center" vertical="center"/>
    </xf>
    <xf numFmtId="0" fontId="120" fillId="0" borderId="19" xfId="646" applyFont="1" applyBorder="1" applyAlignment="1">
      <alignment horizontal="center" vertical="center"/>
    </xf>
    <xf numFmtId="0" fontId="120" fillId="0" borderId="21" xfId="646" applyFont="1" applyBorder="1" applyAlignment="1">
      <alignment horizontal="center" vertical="center"/>
    </xf>
    <xf numFmtId="0" fontId="120" fillId="0" borderId="23" xfId="646" applyFont="1" applyBorder="1" applyAlignment="1">
      <alignment horizontal="center" vertical="center"/>
    </xf>
    <xf numFmtId="0" fontId="60" fillId="0" borderId="0" xfId="66" applyFont="1" applyFill="1" applyBorder="1" applyAlignment="1">
      <alignment horizontal="left" vertical="center" wrapText="1"/>
    </xf>
    <xf numFmtId="1" fontId="181" fillId="0" borderId="19" xfId="50" applyNumberFormat="1" applyFont="1" applyFill="1" applyBorder="1" applyAlignment="1">
      <alignment horizontal="center" vertical="center" wrapText="1"/>
    </xf>
    <xf numFmtId="1" fontId="181" fillId="0" borderId="21" xfId="50" applyNumberFormat="1" applyFont="1" applyFill="1" applyBorder="1" applyAlignment="1">
      <alignment horizontal="center" vertical="center" wrapText="1"/>
    </xf>
    <xf numFmtId="1" fontId="181" fillId="0" borderId="23" xfId="50" applyNumberFormat="1" applyFont="1" applyFill="1" applyBorder="1" applyAlignment="1">
      <alignment horizontal="center" vertical="center" wrapText="1"/>
    </xf>
    <xf numFmtId="0" fontId="64" fillId="0" borderId="0" xfId="66" applyFont="1" applyFill="1" applyBorder="1" applyAlignment="1">
      <alignment horizontal="left" vertical="center" wrapText="1"/>
    </xf>
    <xf numFmtId="0" fontId="70" fillId="0" borderId="0" xfId="66" applyFont="1" applyAlignment="1">
      <alignment vertical="center"/>
    </xf>
    <xf numFmtId="0" fontId="120" fillId="0" borderId="11" xfId="646" applyFont="1" applyBorder="1" applyAlignment="1">
      <alignment horizontal="center" vertical="center" wrapText="1"/>
    </xf>
    <xf numFmtId="0" fontId="120" fillId="0" borderId="16" xfId="646" applyFont="1" applyBorder="1" applyAlignment="1">
      <alignment horizontal="center" vertical="center" wrapText="1"/>
    </xf>
    <xf numFmtId="0" fontId="120" fillId="0" borderId="20" xfId="646" applyFont="1" applyBorder="1" applyAlignment="1">
      <alignment horizontal="center" vertical="center" wrapText="1"/>
    </xf>
    <xf numFmtId="0" fontId="27" fillId="0" borderId="23" xfId="646" applyFont="1" applyBorder="1" applyAlignment="1">
      <alignment horizontal="center" vertical="center"/>
    </xf>
    <xf numFmtId="0" fontId="120" fillId="0" borderId="11" xfId="646" applyFont="1" applyBorder="1" applyAlignment="1">
      <alignment horizontal="center" vertical="center"/>
    </xf>
    <xf numFmtId="0" fontId="120" fillId="0" borderId="16" xfId="646" applyFont="1" applyBorder="1" applyAlignment="1">
      <alignment horizontal="center" vertical="center"/>
    </xf>
    <xf numFmtId="0" fontId="120" fillId="0" borderId="20" xfId="646" applyFont="1" applyBorder="1" applyAlignment="1">
      <alignment horizontal="center" vertical="center"/>
    </xf>
    <xf numFmtId="0" fontId="61" fillId="0" borderId="18" xfId="66" applyFont="1" applyFill="1" applyBorder="1" applyAlignment="1">
      <alignment horizontal="center" vertical="center"/>
    </xf>
    <xf numFmtId="0" fontId="64" fillId="0" borderId="0" xfId="0" applyFont="1" applyFill="1" applyBorder="1" applyAlignment="1">
      <alignment horizontal="left" vertical="center" wrapText="1"/>
    </xf>
    <xf numFmtId="0" fontId="159" fillId="0" borderId="19" xfId="0" applyFont="1" applyFill="1" applyBorder="1" applyAlignment="1">
      <alignment horizontal="center" vertical="center"/>
    </xf>
    <xf numFmtId="0" fontId="159" fillId="0" borderId="21" xfId="0" applyFont="1" applyFill="1" applyBorder="1" applyAlignment="1">
      <alignment horizontal="center" vertical="center"/>
    </xf>
    <xf numFmtId="0" fontId="159" fillId="0" borderId="20" xfId="0" applyFont="1" applyFill="1" applyBorder="1" applyAlignment="1">
      <alignment horizontal="center" vertical="center"/>
    </xf>
    <xf numFmtId="0" fontId="158" fillId="0" borderId="19" xfId="0" applyFont="1" applyFill="1" applyBorder="1" applyAlignment="1">
      <alignment horizontal="center" vertical="center"/>
    </xf>
    <xf numFmtId="0" fontId="158" fillId="0" borderId="21" xfId="0" applyFont="1" applyFill="1" applyBorder="1" applyAlignment="1">
      <alignment horizontal="center" vertical="center"/>
    </xf>
    <xf numFmtId="0" fontId="158" fillId="0" borderId="20" xfId="0" applyFont="1" applyFill="1" applyBorder="1" applyAlignment="1">
      <alignment horizontal="center" vertical="center"/>
    </xf>
    <xf numFmtId="0" fontId="161" fillId="0" borderId="19" xfId="0" applyFont="1" applyFill="1" applyBorder="1" applyAlignment="1">
      <alignment horizontal="center" vertical="center"/>
    </xf>
    <xf numFmtId="0" fontId="161" fillId="0" borderId="21" xfId="0" applyFont="1" applyFill="1" applyBorder="1" applyAlignment="1">
      <alignment horizontal="center" vertical="center"/>
    </xf>
    <xf numFmtId="0" fontId="161" fillId="0" borderId="20" xfId="0" applyFont="1" applyFill="1" applyBorder="1" applyAlignment="1">
      <alignment horizontal="center" vertical="center"/>
    </xf>
    <xf numFmtId="0" fontId="70" fillId="0" borderId="0" xfId="0" applyFont="1" applyAlignment="1">
      <alignment horizontal="left" vertical="center"/>
    </xf>
    <xf numFmtId="0" fontId="116" fillId="23" borderId="13" xfId="0" applyFont="1" applyFill="1" applyBorder="1" applyAlignment="1">
      <alignment horizontal="center" vertical="center"/>
    </xf>
    <xf numFmtId="0" fontId="116" fillId="23" borderId="14" xfId="0" applyFont="1" applyFill="1" applyBorder="1" applyAlignment="1">
      <alignment horizontal="center" vertical="center"/>
    </xf>
    <xf numFmtId="0" fontId="162" fillId="0" borderId="19" xfId="0" applyFont="1" applyFill="1" applyBorder="1" applyAlignment="1">
      <alignment horizontal="center" vertical="center"/>
    </xf>
    <xf numFmtId="0" fontId="162" fillId="0" borderId="21" xfId="0" applyFont="1" applyFill="1" applyBorder="1" applyAlignment="1">
      <alignment horizontal="center" vertical="center"/>
    </xf>
    <xf numFmtId="0" fontId="162" fillId="0" borderId="20" xfId="0" applyFont="1" applyFill="1" applyBorder="1" applyAlignment="1">
      <alignment horizontal="center" vertical="center"/>
    </xf>
    <xf numFmtId="0" fontId="157" fillId="0" borderId="15" xfId="52" applyFont="1" applyFill="1" applyBorder="1" applyAlignment="1">
      <alignment horizontal="center" vertical="center"/>
    </xf>
    <xf numFmtId="0" fontId="157" fillId="0" borderId="17" xfId="52" applyFont="1" applyFill="1" applyBorder="1" applyAlignment="1">
      <alignment horizontal="center" vertical="center"/>
    </xf>
    <xf numFmtId="0" fontId="157" fillId="0" borderId="22" xfId="52" applyFont="1" applyFill="1" applyBorder="1" applyAlignment="1">
      <alignment horizontal="center" vertical="center"/>
    </xf>
    <xf numFmtId="0" fontId="160" fillId="0" borderId="19" xfId="0" applyFont="1" applyFill="1" applyBorder="1" applyAlignment="1">
      <alignment horizontal="center" vertical="center"/>
    </xf>
    <xf numFmtId="0" fontId="160" fillId="0" borderId="21" xfId="0" applyFont="1" applyFill="1" applyBorder="1" applyAlignment="1">
      <alignment horizontal="center" vertical="center"/>
    </xf>
    <xf numFmtId="0" fontId="160" fillId="0" borderId="20" xfId="0" applyFont="1" applyFill="1" applyBorder="1" applyAlignment="1">
      <alignment horizontal="center" vertical="center"/>
    </xf>
    <xf numFmtId="0" fontId="181" fillId="0" borderId="19" xfId="52" applyFont="1" applyFill="1" applyBorder="1" applyAlignment="1">
      <alignment horizontal="center" vertical="center"/>
    </xf>
    <xf numFmtId="0" fontId="181" fillId="0" borderId="21" xfId="52" applyFont="1" applyFill="1" applyBorder="1" applyAlignment="1">
      <alignment horizontal="center" vertical="center"/>
    </xf>
    <xf numFmtId="0" fontId="181" fillId="0" borderId="23" xfId="52" applyFont="1" applyFill="1" applyBorder="1" applyAlignment="1">
      <alignment horizontal="center" vertical="center"/>
    </xf>
    <xf numFmtId="0" fontId="64" fillId="0" borderId="0" xfId="0" applyFont="1" applyFill="1" applyBorder="1" applyAlignment="1">
      <alignment horizontal="left" wrapText="1"/>
    </xf>
    <xf numFmtId="0" fontId="116" fillId="0" borderId="19" xfId="0" applyFont="1" applyFill="1" applyBorder="1" applyAlignment="1">
      <alignment horizontal="center" vertical="center"/>
    </xf>
    <xf numFmtId="0" fontId="116" fillId="0" borderId="21" xfId="0" applyFont="1" applyFill="1" applyBorder="1" applyAlignment="1">
      <alignment horizontal="center" vertical="center"/>
    </xf>
    <xf numFmtId="0" fontId="116" fillId="0" borderId="23" xfId="0" applyFont="1" applyFill="1" applyBorder="1" applyAlignment="1">
      <alignment horizontal="center" vertical="center"/>
    </xf>
    <xf numFmtId="0" fontId="62" fillId="0" borderId="19" xfId="0" applyFont="1" applyFill="1" applyBorder="1" applyAlignment="1">
      <alignment horizontal="center" vertical="center"/>
    </xf>
    <xf numFmtId="0" fontId="62" fillId="0" borderId="21" xfId="0" applyFont="1" applyFill="1" applyBorder="1" applyAlignment="1">
      <alignment horizontal="center" vertical="center"/>
    </xf>
    <xf numFmtId="0" fontId="62" fillId="0" borderId="23" xfId="0" applyFont="1" applyFill="1" applyBorder="1" applyAlignment="1">
      <alignment horizontal="center" vertical="center"/>
    </xf>
    <xf numFmtId="0" fontId="61" fillId="23" borderId="13" xfId="0" applyFont="1" applyFill="1" applyBorder="1" applyAlignment="1">
      <alignment horizontal="center" vertical="center"/>
    </xf>
    <xf numFmtId="0" fontId="61" fillId="23" borderId="10" xfId="0" applyFont="1" applyFill="1" applyBorder="1" applyAlignment="1">
      <alignment horizontal="center" vertical="center"/>
    </xf>
    <xf numFmtId="0" fontId="58" fillId="0" borderId="21" xfId="52" applyFont="1" applyFill="1" applyBorder="1" applyAlignment="1">
      <alignment horizontal="center" vertical="center"/>
    </xf>
    <xf numFmtId="0" fontId="58" fillId="0" borderId="19" xfId="52" applyFont="1" applyFill="1" applyBorder="1" applyAlignment="1">
      <alignment horizontal="center" vertical="center"/>
    </xf>
    <xf numFmtId="0" fontId="58" fillId="0" borderId="23" xfId="52" applyFont="1" applyFill="1" applyBorder="1" applyAlignment="1">
      <alignment horizontal="center" vertical="center"/>
    </xf>
    <xf numFmtId="0" fontId="60" fillId="0" borderId="0" xfId="0" applyFont="1" applyAlignment="1">
      <alignment horizontal="center"/>
    </xf>
    <xf numFmtId="0" fontId="164" fillId="0" borderId="19" xfId="0" applyFont="1" applyFill="1" applyBorder="1" applyAlignment="1">
      <alignment horizontal="center" vertical="center"/>
    </xf>
    <xf numFmtId="0" fontId="164" fillId="0" borderId="21" xfId="0" applyFont="1" applyFill="1" applyBorder="1" applyAlignment="1">
      <alignment horizontal="center" vertical="center"/>
    </xf>
    <xf numFmtId="0" fontId="164" fillId="0" borderId="23" xfId="0" applyFont="1" applyFill="1" applyBorder="1" applyAlignment="1">
      <alignment horizontal="center" vertical="center"/>
    </xf>
    <xf numFmtId="0" fontId="167" fillId="0" borderId="19" xfId="0" applyFont="1" applyFill="1" applyBorder="1" applyAlignment="1">
      <alignment horizontal="center" vertical="center"/>
    </xf>
    <xf numFmtId="0" fontId="167" fillId="0" borderId="21" xfId="0" applyFont="1" applyFill="1" applyBorder="1" applyAlignment="1">
      <alignment horizontal="center" vertical="center"/>
    </xf>
    <xf numFmtId="0" fontId="167" fillId="0" borderId="23" xfId="0" applyFont="1" applyFill="1" applyBorder="1" applyAlignment="1">
      <alignment horizontal="center" vertical="center"/>
    </xf>
    <xf numFmtId="0" fontId="165" fillId="0" borderId="19" xfId="0" applyFont="1" applyFill="1" applyBorder="1" applyAlignment="1">
      <alignment horizontal="center" vertical="center"/>
    </xf>
    <xf numFmtId="0" fontId="165" fillId="0" borderId="21" xfId="0" applyFont="1" applyFill="1" applyBorder="1" applyAlignment="1">
      <alignment horizontal="center" vertical="center"/>
    </xf>
    <xf numFmtId="0" fontId="165" fillId="0" borderId="23" xfId="0" applyFont="1" applyFill="1" applyBorder="1" applyAlignment="1">
      <alignment horizontal="center" vertical="center"/>
    </xf>
    <xf numFmtId="0" fontId="163" fillId="0" borderId="19" xfId="0" applyFont="1" applyFill="1" applyBorder="1" applyAlignment="1">
      <alignment horizontal="center" vertical="center"/>
    </xf>
    <xf numFmtId="0" fontId="163" fillId="0" borderId="21" xfId="0" applyFont="1" applyFill="1" applyBorder="1" applyAlignment="1">
      <alignment horizontal="center" vertical="center"/>
    </xf>
    <xf numFmtId="0" fontId="163" fillId="0" borderId="23" xfId="0" applyFont="1" applyFill="1" applyBorder="1" applyAlignment="1">
      <alignment horizontal="center" vertical="center"/>
    </xf>
    <xf numFmtId="0" fontId="166" fillId="0" borderId="19" xfId="0" applyFont="1" applyFill="1" applyBorder="1" applyAlignment="1">
      <alignment horizontal="center" vertical="center"/>
    </xf>
    <xf numFmtId="0" fontId="166" fillId="0" borderId="21" xfId="0" applyFont="1" applyFill="1" applyBorder="1" applyAlignment="1">
      <alignment horizontal="center" vertical="center"/>
    </xf>
    <xf numFmtId="0" fontId="166" fillId="0" borderId="23" xfId="0" applyFont="1" applyFill="1" applyBorder="1" applyAlignment="1">
      <alignment horizontal="center" vertical="center"/>
    </xf>
    <xf numFmtId="0" fontId="96" fillId="0" borderId="0" xfId="0" applyFont="1" applyAlignment="1">
      <alignment horizontal="center"/>
    </xf>
    <xf numFmtId="0" fontId="117" fillId="0" borderId="19" xfId="52" applyFont="1" applyFill="1" applyBorder="1" applyAlignment="1">
      <alignment horizontal="center" vertical="center"/>
    </xf>
    <xf numFmtId="0" fontId="117" fillId="0" borderId="21" xfId="52" applyFont="1" applyFill="1" applyBorder="1" applyAlignment="1">
      <alignment horizontal="center" vertical="center"/>
    </xf>
    <xf numFmtId="0" fontId="117" fillId="0" borderId="23" xfId="52" applyFont="1" applyFill="1" applyBorder="1" applyAlignment="1">
      <alignment horizontal="center" vertical="center"/>
    </xf>
    <xf numFmtId="0" fontId="117" fillId="0" borderId="17" xfId="52" applyFont="1" applyFill="1" applyBorder="1" applyAlignment="1">
      <alignment horizontal="center" vertical="center"/>
    </xf>
    <xf numFmtId="0" fontId="163" fillId="0" borderId="19" xfId="66" applyFont="1" applyFill="1" applyBorder="1" applyAlignment="1">
      <alignment horizontal="center" vertical="center" wrapText="1"/>
    </xf>
    <xf numFmtId="0" fontId="163" fillId="0" borderId="21" xfId="66" applyFont="1" applyFill="1" applyBorder="1" applyAlignment="1">
      <alignment horizontal="center" vertical="center" wrapText="1"/>
    </xf>
    <xf numFmtId="0" fontId="163" fillId="0" borderId="20" xfId="66" applyFont="1" applyFill="1" applyBorder="1" applyAlignment="1">
      <alignment horizontal="center" vertical="center" wrapText="1"/>
    </xf>
    <xf numFmtId="0" fontId="132" fillId="0" borderId="0" xfId="66" applyFont="1" applyAlignment="1">
      <alignment horizontal="left" vertical="center"/>
    </xf>
    <xf numFmtId="0" fontId="60" fillId="0" borderId="0" xfId="374" applyFont="1" applyFill="1" applyBorder="1" applyAlignment="1">
      <alignment horizontal="left" vertical="center" wrapText="1"/>
    </xf>
    <xf numFmtId="0" fontId="116" fillId="23" borderId="13" xfId="374" applyFont="1" applyFill="1" applyBorder="1" applyAlignment="1">
      <alignment horizontal="center" vertical="center"/>
    </xf>
    <xf numFmtId="0" fontId="116" fillId="23" borderId="14" xfId="374" applyFont="1" applyFill="1" applyBorder="1" applyAlignment="1">
      <alignment horizontal="center" vertical="center"/>
    </xf>
    <xf numFmtId="0" fontId="156" fillId="0" borderId="19" xfId="463" applyFont="1" applyFill="1" applyBorder="1" applyAlignment="1">
      <alignment horizontal="center" vertical="center"/>
    </xf>
    <xf numFmtId="0" fontId="156" fillId="0" borderId="21" xfId="463" applyFont="1" applyFill="1" applyBorder="1" applyAlignment="1">
      <alignment horizontal="center" vertical="center"/>
    </xf>
    <xf numFmtId="0" fontId="156" fillId="0" borderId="23" xfId="463" applyFont="1" applyFill="1" applyBorder="1" applyAlignment="1">
      <alignment horizontal="center" vertical="center"/>
    </xf>
    <xf numFmtId="0" fontId="157" fillId="0" borderId="19" xfId="463" applyFont="1" applyFill="1" applyBorder="1" applyAlignment="1">
      <alignment horizontal="center" vertical="center"/>
    </xf>
    <xf numFmtId="0" fontId="157" fillId="0" borderId="21" xfId="463" applyFont="1" applyFill="1" applyBorder="1" applyAlignment="1">
      <alignment horizontal="center" vertical="center"/>
    </xf>
    <xf numFmtId="0" fontId="157" fillId="0" borderId="23" xfId="463" applyFont="1" applyFill="1" applyBorder="1" applyAlignment="1">
      <alignment horizontal="center" vertical="center"/>
    </xf>
    <xf numFmtId="0" fontId="166" fillId="0" borderId="16" xfId="66" applyFont="1" applyFill="1" applyBorder="1" applyAlignment="1">
      <alignment horizontal="center" vertical="center"/>
    </xf>
    <xf numFmtId="0" fontId="117" fillId="0" borderId="198" xfId="52" applyFont="1" applyFill="1" applyBorder="1" applyAlignment="1">
      <alignment horizontal="center" vertical="center"/>
    </xf>
    <xf numFmtId="0" fontId="61" fillId="0" borderId="11" xfId="66" applyFont="1" applyFill="1" applyBorder="1" applyAlignment="1">
      <alignment horizontal="center" vertical="center"/>
    </xf>
    <xf numFmtId="0" fontId="61" fillId="0" borderId="12" xfId="66" applyFont="1" applyFill="1" applyBorder="1" applyAlignment="1">
      <alignment horizontal="center" vertical="center"/>
    </xf>
    <xf numFmtId="0" fontId="61" fillId="0" borderId="15" xfId="66" applyFont="1" applyFill="1" applyBorder="1" applyAlignment="1">
      <alignment horizontal="center" vertical="center"/>
    </xf>
    <xf numFmtId="0" fontId="155" fillId="0" borderId="19" xfId="374" applyFont="1" applyBorder="1" applyAlignment="1">
      <alignment horizontal="center" vertical="center"/>
    </xf>
    <xf numFmtId="0" fontId="155" fillId="0" borderId="21" xfId="374" applyFont="1" applyBorder="1" applyAlignment="1">
      <alignment horizontal="center" vertical="center"/>
    </xf>
    <xf numFmtId="0" fontId="155" fillId="0" borderId="23" xfId="374" applyFont="1" applyBorder="1" applyAlignment="1">
      <alignment horizontal="center" vertical="center"/>
    </xf>
    <xf numFmtId="0" fontId="154" fillId="0" borderId="19" xfId="463" applyFont="1" applyFill="1" applyBorder="1" applyAlignment="1">
      <alignment horizontal="center" vertical="center"/>
    </xf>
    <xf numFmtId="0" fontId="154" fillId="0" borderId="21" xfId="463" applyFont="1" applyFill="1" applyBorder="1" applyAlignment="1">
      <alignment horizontal="center" vertical="center"/>
    </xf>
    <xf numFmtId="0" fontId="154" fillId="0" borderId="23" xfId="463" applyFont="1" applyFill="1" applyBorder="1" applyAlignment="1">
      <alignment horizontal="center" vertical="center"/>
    </xf>
    <xf numFmtId="1" fontId="116" fillId="23" borderId="18" xfId="462" applyNumberFormat="1" applyFont="1" applyFill="1" applyBorder="1" applyAlignment="1">
      <alignment horizontal="center" vertical="center" wrapText="1"/>
    </xf>
    <xf numFmtId="0" fontId="60" fillId="0" borderId="0" xfId="0" applyFont="1" applyFill="1" applyBorder="1" applyAlignment="1">
      <alignment horizontal="left" vertical="center" wrapText="1"/>
    </xf>
    <xf numFmtId="0" fontId="158" fillId="0" borderId="23" xfId="0" applyFont="1" applyFill="1" applyBorder="1" applyAlignment="1">
      <alignment horizontal="center" vertical="center"/>
    </xf>
    <xf numFmtId="0" fontId="159" fillId="0" borderId="23" xfId="0" applyFont="1" applyFill="1" applyBorder="1" applyAlignment="1">
      <alignment horizontal="center" vertical="center"/>
    </xf>
    <xf numFmtId="0" fontId="160" fillId="0" borderId="23" xfId="0" applyFont="1" applyFill="1" applyBorder="1" applyAlignment="1">
      <alignment horizontal="center" vertical="center"/>
    </xf>
    <xf numFmtId="0" fontId="161" fillId="0" borderId="23" xfId="0" applyFont="1" applyFill="1" applyBorder="1" applyAlignment="1">
      <alignment horizontal="center" vertical="center"/>
    </xf>
    <xf numFmtId="0" fontId="162" fillId="0" borderId="23" xfId="0" applyFont="1" applyFill="1" applyBorder="1" applyAlignment="1">
      <alignment horizontal="center" vertical="center"/>
    </xf>
    <xf numFmtId="0" fontId="167" fillId="0" borderId="11" xfId="641" applyFont="1" applyFill="1" applyBorder="1" applyAlignment="1">
      <alignment horizontal="center" vertical="center"/>
    </xf>
    <xf numFmtId="0" fontId="167" fillId="0" borderId="16" xfId="641" applyFont="1" applyFill="1" applyBorder="1" applyAlignment="1">
      <alignment horizontal="center" vertical="center"/>
    </xf>
    <xf numFmtId="0" fontId="167" fillId="0" borderId="20" xfId="641" applyFont="1" applyFill="1" applyBorder="1" applyAlignment="1">
      <alignment horizontal="center" vertical="center"/>
    </xf>
    <xf numFmtId="0" fontId="165" fillId="0" borderId="11" xfId="641" applyFont="1" applyFill="1" applyBorder="1" applyAlignment="1">
      <alignment horizontal="center" vertical="center"/>
    </xf>
    <xf numFmtId="0" fontId="165" fillId="0" borderId="16" xfId="641" applyFont="1" applyFill="1" applyBorder="1" applyAlignment="1">
      <alignment horizontal="center" vertical="center"/>
    </xf>
    <xf numFmtId="0" fontId="165" fillId="0" borderId="20" xfId="641" applyFont="1" applyFill="1" applyBorder="1" applyAlignment="1">
      <alignment horizontal="center" vertical="center"/>
    </xf>
    <xf numFmtId="0" fontId="120" fillId="0" borderId="11" xfId="641" applyFont="1" applyBorder="1" applyAlignment="1">
      <alignment horizontal="center" vertical="center"/>
    </xf>
    <xf numFmtId="0" fontId="120" fillId="0" borderId="16" xfId="641" applyFont="1" applyBorder="1" applyAlignment="1">
      <alignment horizontal="center" vertical="center"/>
    </xf>
    <xf numFmtId="0" fontId="120" fillId="0" borderId="20" xfId="641" applyFont="1" applyBorder="1" applyAlignment="1">
      <alignment horizontal="center" vertical="center"/>
    </xf>
    <xf numFmtId="0" fontId="164" fillId="0" borderId="19" xfId="641" applyFont="1" applyFill="1" applyBorder="1" applyAlignment="1">
      <alignment horizontal="center" vertical="center"/>
    </xf>
    <xf numFmtId="0" fontId="164" fillId="0" borderId="21" xfId="641" applyFont="1" applyFill="1" applyBorder="1" applyAlignment="1">
      <alignment horizontal="center" vertical="center"/>
    </xf>
    <xf numFmtId="0" fontId="164" fillId="0" borderId="23" xfId="641" applyFont="1" applyFill="1" applyBorder="1" applyAlignment="1">
      <alignment horizontal="center" vertical="center"/>
    </xf>
    <xf numFmtId="0" fontId="166" fillId="0" borderId="11" xfId="641" applyFont="1" applyFill="1" applyBorder="1" applyAlignment="1">
      <alignment horizontal="center" vertical="center"/>
    </xf>
    <xf numFmtId="0" fontId="166" fillId="0" borderId="16" xfId="641" applyFont="1" applyFill="1" applyBorder="1" applyAlignment="1">
      <alignment horizontal="center" vertical="center"/>
    </xf>
    <xf numFmtId="0" fontId="166" fillId="0" borderId="20" xfId="641" applyFont="1" applyFill="1" applyBorder="1" applyAlignment="1">
      <alignment horizontal="center" vertical="center"/>
    </xf>
    <xf numFmtId="0" fontId="163" fillId="0" borderId="11" xfId="641" applyFont="1" applyFill="1" applyBorder="1" applyAlignment="1">
      <alignment horizontal="center" vertical="center"/>
    </xf>
    <xf numFmtId="0" fontId="163" fillId="0" borderId="16" xfId="641" applyFont="1" applyFill="1" applyBorder="1" applyAlignment="1">
      <alignment horizontal="center" vertical="center"/>
    </xf>
    <xf numFmtId="0" fontId="163" fillId="0" borderId="20" xfId="641" applyFont="1" applyFill="1" applyBorder="1" applyAlignment="1">
      <alignment horizontal="center" vertical="center"/>
    </xf>
    <xf numFmtId="1" fontId="116" fillId="23" borderId="19" xfId="50" applyNumberFormat="1" applyFont="1" applyFill="1" applyBorder="1" applyAlignment="1">
      <alignment horizontal="center" vertical="center"/>
    </xf>
    <xf numFmtId="1" fontId="116" fillId="23" borderId="23" xfId="50" applyNumberFormat="1" applyFont="1" applyFill="1" applyBorder="1" applyAlignment="1">
      <alignment horizontal="center" vertical="center"/>
    </xf>
    <xf numFmtId="0" fontId="165" fillId="0" borderId="19" xfId="48" applyFont="1" applyFill="1" applyBorder="1" applyAlignment="1">
      <alignment horizontal="center" vertical="center"/>
    </xf>
    <xf numFmtId="0" fontId="165" fillId="0" borderId="21" xfId="48" applyFont="1" applyFill="1" applyBorder="1" applyAlignment="1">
      <alignment horizontal="center" vertical="center"/>
    </xf>
    <xf numFmtId="0" fontId="165" fillId="0" borderId="20" xfId="48" applyFont="1" applyFill="1" applyBorder="1" applyAlignment="1">
      <alignment horizontal="center" vertical="center"/>
    </xf>
    <xf numFmtId="0" fontId="167" fillId="0" borderId="19" xfId="48" applyFont="1" applyFill="1" applyBorder="1" applyAlignment="1">
      <alignment horizontal="center" vertical="center"/>
    </xf>
    <xf numFmtId="0" fontId="167" fillId="0" borderId="21" xfId="48" applyFont="1" applyFill="1" applyBorder="1" applyAlignment="1">
      <alignment horizontal="center" vertical="center"/>
    </xf>
    <xf numFmtId="0" fontId="167" fillId="0" borderId="20" xfId="48" applyFont="1" applyFill="1" applyBorder="1" applyAlignment="1">
      <alignment horizontal="center" vertical="center"/>
    </xf>
    <xf numFmtId="0" fontId="60" fillId="0" borderId="0" xfId="48" applyFont="1" applyAlignment="1">
      <alignment horizontal="left" vertical="center" wrapText="1"/>
    </xf>
    <xf numFmtId="0" fontId="116" fillId="23" borderId="13" xfId="48" applyFont="1" applyFill="1" applyBorder="1" applyAlignment="1">
      <alignment horizontal="center" vertical="center"/>
    </xf>
    <xf numFmtId="0" fontId="116" fillId="23" borderId="10" xfId="48" applyFont="1" applyFill="1" applyBorder="1" applyAlignment="1">
      <alignment horizontal="center" vertical="center"/>
    </xf>
    <xf numFmtId="0" fontId="163" fillId="0" borderId="19" xfId="48" applyFont="1" applyFill="1" applyBorder="1" applyAlignment="1">
      <alignment horizontal="center" vertical="center"/>
    </xf>
    <xf numFmtId="0" fontId="163" fillId="0" borderId="21" xfId="48" applyFont="1" applyFill="1" applyBorder="1" applyAlignment="1">
      <alignment horizontal="center" vertical="center"/>
    </xf>
    <xf numFmtId="0" fontId="163" fillId="0" borderId="20" xfId="48" applyFont="1" applyFill="1" applyBorder="1" applyAlignment="1">
      <alignment horizontal="center" vertical="center"/>
    </xf>
    <xf numFmtId="0" fontId="164" fillId="0" borderId="19" xfId="48" applyFont="1" applyFill="1" applyBorder="1" applyAlignment="1">
      <alignment horizontal="center" vertical="center"/>
    </xf>
    <xf numFmtId="0" fontId="164" fillId="0" borderId="21" xfId="48" applyFont="1" applyFill="1" applyBorder="1" applyAlignment="1">
      <alignment horizontal="center" vertical="center"/>
    </xf>
    <xf numFmtId="0" fontId="164" fillId="0" borderId="20" xfId="48" applyFont="1" applyFill="1" applyBorder="1" applyAlignment="1">
      <alignment horizontal="center" vertical="center"/>
    </xf>
    <xf numFmtId="0" fontId="155" fillId="0" borderId="21" xfId="0" applyFont="1" applyBorder="1" applyAlignment="1">
      <alignment horizontal="center" vertical="center"/>
    </xf>
    <xf numFmtId="0" fontId="155" fillId="0" borderId="23" xfId="0" applyFont="1" applyBorder="1" applyAlignment="1">
      <alignment horizontal="center" vertical="center"/>
    </xf>
    <xf numFmtId="0" fontId="155" fillId="0" borderId="19" xfId="0" applyFont="1" applyBorder="1" applyAlignment="1">
      <alignment horizontal="center" vertical="center"/>
    </xf>
    <xf numFmtId="0" fontId="116" fillId="0" borderId="19" xfId="48" applyFont="1" applyFill="1" applyBorder="1" applyAlignment="1">
      <alignment horizontal="center" vertical="center"/>
    </xf>
    <xf numFmtId="0" fontId="116" fillId="0" borderId="21" xfId="48" applyFont="1" applyFill="1" applyBorder="1" applyAlignment="1">
      <alignment horizontal="center" vertical="center"/>
    </xf>
    <xf numFmtId="0" fontId="116" fillId="0" borderId="23" xfId="48" applyFont="1" applyFill="1" applyBorder="1" applyAlignment="1">
      <alignment horizontal="center" vertical="center"/>
    </xf>
    <xf numFmtId="0" fontId="163" fillId="0" borderId="19" xfId="374" applyFont="1" applyBorder="1" applyAlignment="1">
      <alignment horizontal="center" vertical="center"/>
    </xf>
    <xf numFmtId="0" fontId="163" fillId="0" borderId="21" xfId="374" applyFont="1" applyBorder="1" applyAlignment="1">
      <alignment horizontal="center" vertical="center"/>
    </xf>
    <xf numFmtId="0" fontId="163" fillId="0" borderId="23" xfId="374" applyFont="1" applyBorder="1" applyAlignment="1">
      <alignment horizontal="center" vertical="center"/>
    </xf>
    <xf numFmtId="0" fontId="154" fillId="0" borderId="19" xfId="374" applyFont="1" applyBorder="1" applyAlignment="1">
      <alignment horizontal="center" vertical="center"/>
    </xf>
    <xf numFmtId="0" fontId="154" fillId="0" borderId="21" xfId="374" applyFont="1" applyBorder="1" applyAlignment="1">
      <alignment horizontal="center" vertical="center"/>
    </xf>
    <xf numFmtId="0" fontId="154" fillId="0" borderId="23" xfId="374" applyFont="1" applyBorder="1" applyAlignment="1">
      <alignment horizontal="center" vertical="center"/>
    </xf>
    <xf numFmtId="0" fontId="167" fillId="0" borderId="19" xfId="374" applyFont="1" applyBorder="1" applyAlignment="1">
      <alignment horizontal="center" vertical="center"/>
    </xf>
    <xf numFmtId="0" fontId="167" fillId="0" borderId="21" xfId="374" applyFont="1" applyBorder="1" applyAlignment="1">
      <alignment horizontal="center" vertical="center"/>
    </xf>
    <xf numFmtId="0" fontId="167" fillId="0" borderId="23" xfId="374" applyFont="1" applyBorder="1" applyAlignment="1">
      <alignment horizontal="center" vertical="center"/>
    </xf>
    <xf numFmtId="0" fontId="156" fillId="0" borderId="19" xfId="374" applyFont="1" applyBorder="1" applyAlignment="1">
      <alignment horizontal="center" vertical="center"/>
    </xf>
    <xf numFmtId="0" fontId="156" fillId="0" borderId="21" xfId="374" applyFont="1" applyBorder="1" applyAlignment="1">
      <alignment horizontal="center" vertical="center"/>
    </xf>
    <xf numFmtId="0" fontId="156" fillId="0" borderId="23" xfId="374" applyFont="1" applyBorder="1" applyAlignment="1">
      <alignment horizontal="center" vertical="center"/>
    </xf>
    <xf numFmtId="0" fontId="120" fillId="23" borderId="13" xfId="374" applyFont="1" applyFill="1" applyBorder="1" applyAlignment="1">
      <alignment horizontal="center" vertical="center"/>
    </xf>
    <xf numFmtId="0" fontId="120" fillId="23" borderId="14" xfId="374" applyFont="1" applyFill="1" applyBorder="1" applyAlignment="1">
      <alignment horizontal="center" vertical="center"/>
    </xf>
    <xf numFmtId="0" fontId="120" fillId="23" borderId="10" xfId="374" applyFont="1" applyFill="1" applyBorder="1" applyAlignment="1">
      <alignment horizontal="center" vertical="center"/>
    </xf>
    <xf numFmtId="0" fontId="165" fillId="0" borderId="19" xfId="374" applyFont="1" applyBorder="1" applyAlignment="1">
      <alignment horizontal="center" vertical="center"/>
    </xf>
    <xf numFmtId="0" fontId="165" fillId="0" borderId="21" xfId="374" applyFont="1" applyBorder="1" applyAlignment="1">
      <alignment horizontal="center" vertical="center"/>
    </xf>
    <xf numFmtId="0" fontId="165" fillId="0" borderId="23" xfId="374" applyFont="1" applyBorder="1" applyAlignment="1">
      <alignment horizontal="center" vertical="center"/>
    </xf>
    <xf numFmtId="0" fontId="157" fillId="0" borderId="19" xfId="374" applyFont="1" applyBorder="1" applyAlignment="1">
      <alignment horizontal="center" vertical="center"/>
    </xf>
    <xf numFmtId="0" fontId="157" fillId="0" borderId="21" xfId="374" applyFont="1" applyBorder="1" applyAlignment="1">
      <alignment horizontal="center" vertical="center"/>
    </xf>
    <xf numFmtId="0" fontId="157" fillId="0" borderId="23" xfId="374" applyFont="1" applyBorder="1" applyAlignment="1">
      <alignment horizontal="center" vertical="center"/>
    </xf>
    <xf numFmtId="0" fontId="164" fillId="0" borderId="19" xfId="374" applyFont="1" applyBorder="1" applyAlignment="1">
      <alignment horizontal="center" vertical="center"/>
    </xf>
    <xf numFmtId="0" fontId="164" fillId="0" borderId="21" xfId="374" applyFont="1" applyBorder="1" applyAlignment="1">
      <alignment horizontal="center" vertical="center"/>
    </xf>
    <xf numFmtId="0" fontId="164" fillId="0" borderId="23" xfId="374" applyFont="1" applyBorder="1" applyAlignment="1">
      <alignment horizontal="center" vertical="center"/>
    </xf>
    <xf numFmtId="0" fontId="155" fillId="0" borderId="17" xfId="374" applyFont="1" applyBorder="1" applyAlignment="1">
      <alignment horizontal="center" vertical="center"/>
    </xf>
    <xf numFmtId="0" fontId="155" fillId="0" borderId="22" xfId="374" applyFont="1" applyBorder="1" applyAlignment="1">
      <alignment horizontal="center" vertical="center"/>
    </xf>
    <xf numFmtId="0" fontId="155" fillId="0" borderId="15" xfId="52" applyFont="1" applyFill="1" applyBorder="1" applyAlignment="1">
      <alignment horizontal="center" vertical="center"/>
    </xf>
    <xf numFmtId="0" fontId="155" fillId="0" borderId="17" xfId="52" applyFont="1" applyFill="1" applyBorder="1" applyAlignment="1">
      <alignment horizontal="center" vertical="center"/>
    </xf>
    <xf numFmtId="0" fontId="155" fillId="0" borderId="22" xfId="52" applyFont="1" applyFill="1" applyBorder="1" applyAlignment="1">
      <alignment horizontal="center" vertical="center"/>
    </xf>
    <xf numFmtId="0" fontId="164" fillId="0" borderId="19" xfId="52" applyFont="1" applyFill="1" applyBorder="1" applyAlignment="1">
      <alignment horizontal="center" vertical="center"/>
    </xf>
    <xf numFmtId="0" fontId="164" fillId="0" borderId="21" xfId="52" applyFont="1" applyFill="1" applyBorder="1" applyAlignment="1">
      <alignment horizontal="center" vertical="center"/>
    </xf>
    <xf numFmtId="0" fontId="164" fillId="0" borderId="23" xfId="52" applyFont="1" applyFill="1" applyBorder="1" applyAlignment="1">
      <alignment horizontal="center" vertical="center"/>
    </xf>
    <xf numFmtId="0" fontId="166" fillId="0" borderId="198" xfId="66" applyFont="1" applyFill="1" applyBorder="1" applyAlignment="1">
      <alignment horizontal="center" vertical="center"/>
    </xf>
    <xf numFmtId="0" fontId="165" fillId="0" borderId="19" xfId="52" applyFont="1" applyFill="1" applyBorder="1" applyAlignment="1">
      <alignment horizontal="center" vertical="center"/>
    </xf>
    <xf numFmtId="0" fontId="165" fillId="0" borderId="21" xfId="52" applyFont="1" applyFill="1" applyBorder="1" applyAlignment="1">
      <alignment horizontal="center" vertical="center"/>
    </xf>
    <xf numFmtId="0" fontId="165" fillId="0" borderId="23" xfId="52" applyFont="1" applyFill="1" applyBorder="1" applyAlignment="1">
      <alignment horizontal="center" vertical="center"/>
    </xf>
    <xf numFmtId="0" fontId="167" fillId="0" borderId="19" xfId="52" applyFont="1" applyFill="1" applyBorder="1" applyAlignment="1">
      <alignment horizontal="center" vertical="center"/>
    </xf>
    <xf numFmtId="0" fontId="167" fillId="0" borderId="21" xfId="52" applyFont="1" applyFill="1" applyBorder="1" applyAlignment="1">
      <alignment horizontal="center" vertical="center"/>
    </xf>
    <xf numFmtId="0" fontId="167" fillId="0" borderId="23" xfId="52" applyFont="1" applyFill="1" applyBorder="1" applyAlignment="1">
      <alignment horizontal="center" vertical="center"/>
    </xf>
    <xf numFmtId="0" fontId="163" fillId="0" borderId="19" xfId="52" applyFont="1" applyFill="1" applyBorder="1" applyAlignment="1">
      <alignment horizontal="center" vertical="center"/>
    </xf>
    <xf numFmtId="0" fontId="163" fillId="0" borderId="21" xfId="52" applyFont="1" applyFill="1" applyBorder="1" applyAlignment="1">
      <alignment horizontal="center" vertical="center"/>
    </xf>
    <xf numFmtId="0" fontId="163" fillId="0" borderId="23" xfId="52" applyFont="1" applyFill="1" applyBorder="1" applyAlignment="1">
      <alignment horizontal="center" vertical="center"/>
    </xf>
    <xf numFmtId="0" fontId="163" fillId="0" borderId="19" xfId="631" applyFont="1" applyFill="1" applyBorder="1" applyAlignment="1">
      <alignment horizontal="center" vertical="center"/>
    </xf>
    <xf numFmtId="0" fontId="163" fillId="0" borderId="21" xfId="631" applyFont="1" applyFill="1" applyBorder="1" applyAlignment="1">
      <alignment horizontal="center" vertical="center"/>
    </xf>
    <xf numFmtId="0" fontId="163" fillId="0" borderId="23" xfId="631" applyFont="1" applyFill="1" applyBorder="1" applyAlignment="1">
      <alignment horizontal="center" vertical="center"/>
    </xf>
    <xf numFmtId="0" fontId="164" fillId="0" borderId="19" xfId="631" applyFont="1" applyFill="1" applyBorder="1" applyAlignment="1">
      <alignment horizontal="center" vertical="center"/>
    </xf>
    <xf numFmtId="0" fontId="164" fillId="0" borderId="21" xfId="631" applyFont="1" applyFill="1" applyBorder="1" applyAlignment="1">
      <alignment horizontal="center" vertical="center"/>
    </xf>
    <xf numFmtId="0" fontId="164" fillId="0" borderId="23" xfId="631" applyFont="1" applyFill="1" applyBorder="1" applyAlignment="1">
      <alignment horizontal="center" vertical="center"/>
    </xf>
    <xf numFmtId="0" fontId="167" fillId="0" borderId="19" xfId="631" applyFont="1" applyFill="1" applyBorder="1" applyAlignment="1">
      <alignment horizontal="center" vertical="center"/>
    </xf>
    <xf numFmtId="0" fontId="167" fillId="0" borderId="21" xfId="631" applyFont="1" applyFill="1" applyBorder="1" applyAlignment="1">
      <alignment horizontal="center" vertical="center"/>
    </xf>
    <xf numFmtId="0" fontId="167" fillId="0" borderId="23" xfId="631" applyFont="1" applyFill="1" applyBorder="1" applyAlignment="1">
      <alignment horizontal="center" vertical="center"/>
    </xf>
    <xf numFmtId="0" fontId="165" fillId="0" borderId="19" xfId="631" applyFont="1" applyFill="1" applyBorder="1" applyAlignment="1">
      <alignment horizontal="center" vertical="center"/>
    </xf>
    <xf numFmtId="0" fontId="165" fillId="0" borderId="21" xfId="631" applyFont="1" applyFill="1" applyBorder="1" applyAlignment="1">
      <alignment horizontal="center" vertical="center"/>
    </xf>
    <xf numFmtId="0" fontId="165" fillId="0" borderId="23" xfId="631" applyFont="1" applyFill="1" applyBorder="1" applyAlignment="1">
      <alignment horizontal="center" vertical="center"/>
    </xf>
    <xf numFmtId="0" fontId="134" fillId="0" borderId="0" xfId="631" applyFont="1" applyAlignment="1">
      <alignment horizontal="left" vertical="center" wrapText="1" readingOrder="1"/>
    </xf>
    <xf numFmtId="0" fontId="166" fillId="0" borderId="19" xfId="631" applyFont="1" applyFill="1" applyBorder="1" applyAlignment="1">
      <alignment horizontal="center" vertical="center"/>
    </xf>
    <xf numFmtId="0" fontId="166" fillId="0" borderId="21" xfId="631" applyFont="1" applyFill="1" applyBorder="1" applyAlignment="1">
      <alignment horizontal="center" vertical="center"/>
    </xf>
    <xf numFmtId="0" fontId="166" fillId="0" borderId="23" xfId="631" applyFont="1" applyFill="1" applyBorder="1" applyAlignment="1">
      <alignment horizontal="center" vertical="center"/>
    </xf>
    <xf numFmtId="0" fontId="116" fillId="23" borderId="18" xfId="0" applyFont="1" applyFill="1" applyBorder="1" applyAlignment="1">
      <alignment horizontal="center" vertical="center"/>
    </xf>
    <xf numFmtId="0" fontId="116" fillId="0" borderId="13" xfId="0" applyFont="1" applyFill="1" applyBorder="1" applyAlignment="1">
      <alignment horizontal="center" vertical="center"/>
    </xf>
    <xf numFmtId="0" fontId="116" fillId="0" borderId="14" xfId="0" applyFont="1" applyFill="1" applyBorder="1" applyAlignment="1">
      <alignment horizontal="center" vertical="center"/>
    </xf>
    <xf numFmtId="0" fontId="116" fillId="0" borderId="10" xfId="0" applyFont="1" applyFill="1" applyBorder="1" applyAlignment="1">
      <alignment horizontal="center" vertical="center"/>
    </xf>
    <xf numFmtId="0" fontId="236" fillId="0" borderId="19" xfId="0" applyFont="1" applyFill="1" applyBorder="1" applyAlignment="1">
      <alignment horizontal="center" vertical="center"/>
    </xf>
    <xf numFmtId="0" fontId="236" fillId="0" borderId="21" xfId="0" applyFont="1" applyFill="1" applyBorder="1" applyAlignment="1">
      <alignment horizontal="center" vertical="center"/>
    </xf>
    <xf numFmtId="0" fontId="236" fillId="0" borderId="23" xfId="0" applyFont="1" applyFill="1" applyBorder="1" applyAlignment="1">
      <alignment horizontal="center" vertical="center"/>
    </xf>
    <xf numFmtId="0" fontId="237" fillId="0" borderId="19" xfId="0" applyFont="1" applyFill="1" applyBorder="1" applyAlignment="1">
      <alignment horizontal="center" vertical="center"/>
    </xf>
    <xf numFmtId="0" fontId="237" fillId="0" borderId="21" xfId="0" applyFont="1" applyFill="1" applyBorder="1" applyAlignment="1">
      <alignment horizontal="center" vertical="center"/>
    </xf>
    <xf numFmtId="0" fontId="237" fillId="0" borderId="23" xfId="0" applyFont="1" applyFill="1" applyBorder="1" applyAlignment="1">
      <alignment horizontal="center" vertical="center"/>
    </xf>
    <xf numFmtId="0" fontId="116" fillId="23" borderId="10" xfId="0" applyFont="1" applyFill="1" applyBorder="1" applyAlignment="1">
      <alignment horizontal="center" vertical="center"/>
    </xf>
    <xf numFmtId="0" fontId="304" fillId="0" borderId="19" xfId="0" applyFont="1" applyFill="1" applyBorder="1" applyAlignment="1">
      <alignment horizontal="center" vertical="center"/>
    </xf>
    <xf numFmtId="0" fontId="304" fillId="0" borderId="21" xfId="0" applyFont="1" applyFill="1" applyBorder="1" applyAlignment="1">
      <alignment horizontal="center" vertical="center"/>
    </xf>
    <xf numFmtId="0" fontId="304" fillId="0" borderId="23" xfId="0" applyFont="1" applyFill="1" applyBorder="1" applyAlignment="1">
      <alignment horizontal="center" vertical="center"/>
    </xf>
    <xf numFmtId="0" fontId="234" fillId="0" borderId="19" xfId="0" applyFont="1" applyFill="1" applyBorder="1" applyAlignment="1">
      <alignment horizontal="center" vertical="center"/>
    </xf>
    <xf numFmtId="0" fontId="234" fillId="0" borderId="21" xfId="0" applyFont="1" applyFill="1" applyBorder="1" applyAlignment="1">
      <alignment horizontal="center" vertical="center"/>
    </xf>
    <xf numFmtId="0" fontId="234" fillId="0" borderId="23" xfId="0" applyFont="1" applyFill="1" applyBorder="1" applyAlignment="1">
      <alignment horizontal="center" vertical="center"/>
    </xf>
    <xf numFmtId="0" fontId="235" fillId="0" borderId="19" xfId="0" applyFont="1" applyFill="1" applyBorder="1" applyAlignment="1">
      <alignment horizontal="center" vertical="center"/>
    </xf>
    <xf numFmtId="0" fontId="235" fillId="0" borderId="21" xfId="0" applyFont="1" applyFill="1" applyBorder="1" applyAlignment="1">
      <alignment horizontal="center" vertical="center"/>
    </xf>
    <xf numFmtId="0" fontId="235" fillId="0" borderId="23" xfId="0" applyFont="1" applyFill="1" applyBorder="1" applyAlignment="1">
      <alignment horizontal="center" vertical="center"/>
    </xf>
    <xf numFmtId="0" fontId="117" fillId="0" borderId="190" xfId="0" applyFont="1" applyBorder="1" applyAlignment="1">
      <alignment horizontal="center" vertical="center" wrapText="1"/>
    </xf>
    <xf numFmtId="0" fontId="244" fillId="0" borderId="110" xfId="0" applyFont="1" applyBorder="1" applyAlignment="1">
      <alignment horizontal="right" vertical="center" wrapText="1"/>
    </xf>
    <xf numFmtId="0" fontId="132" fillId="0" borderId="110" xfId="0" applyFont="1" applyBorder="1" applyAlignment="1">
      <alignment horizontal="right" vertical="center" wrapText="1"/>
    </xf>
    <xf numFmtId="0" fontId="132" fillId="0" borderId="0" xfId="0" applyFont="1" applyBorder="1" applyAlignment="1">
      <alignment horizontal="right" vertical="center" wrapText="1"/>
    </xf>
    <xf numFmtId="0" fontId="290" fillId="38" borderId="190" xfId="0" applyFont="1" applyFill="1" applyBorder="1" applyAlignment="1">
      <alignment horizontal="right" vertical="center"/>
    </xf>
    <xf numFmtId="0" fontId="290" fillId="36" borderId="190" xfId="0" applyFont="1" applyFill="1" applyBorder="1" applyAlignment="1">
      <alignment horizontal="right" vertical="center"/>
    </xf>
    <xf numFmtId="0" fontId="60" fillId="0" borderId="0" xfId="0" applyFont="1" applyBorder="1" applyAlignment="1">
      <alignment horizontal="center" wrapText="1"/>
    </xf>
    <xf numFmtId="0" fontId="116" fillId="23" borderId="190" xfId="0" applyFont="1" applyFill="1" applyBorder="1" applyAlignment="1">
      <alignment horizontal="center" vertical="center"/>
    </xf>
    <xf numFmtId="0" fontId="116" fillId="23" borderId="190" xfId="0" applyFont="1" applyFill="1" applyBorder="1" applyAlignment="1">
      <alignment horizontal="center" vertical="center" wrapText="1"/>
    </xf>
    <xf numFmtId="0" fontId="290" fillId="34" borderId="187" xfId="0" applyFont="1" applyFill="1" applyBorder="1" applyAlignment="1">
      <alignment horizontal="right" vertical="center"/>
    </xf>
    <xf numFmtId="0" fontId="290" fillId="34" borderId="188" xfId="0" applyFont="1" applyFill="1" applyBorder="1" applyAlignment="1">
      <alignment horizontal="right" vertical="center"/>
    </xf>
    <xf numFmtId="0" fontId="290" fillId="34" borderId="189" xfId="0" applyFont="1" applyFill="1" applyBorder="1" applyAlignment="1">
      <alignment horizontal="right" vertical="center"/>
    </xf>
    <xf numFmtId="0" fontId="117" fillId="37" borderId="184" xfId="0" applyFont="1" applyFill="1" applyBorder="1" applyAlignment="1">
      <alignment horizontal="center" vertical="center" wrapText="1"/>
    </xf>
    <xf numFmtId="0" fontId="117" fillId="37" borderId="21" xfId="0" applyFont="1" applyFill="1" applyBorder="1" applyAlignment="1">
      <alignment horizontal="center" vertical="center" wrapText="1"/>
    </xf>
    <xf numFmtId="0" fontId="117" fillId="37" borderId="23" xfId="0" applyFont="1" applyFill="1" applyBorder="1" applyAlignment="1">
      <alignment horizontal="center" vertical="center" wrapText="1"/>
    </xf>
    <xf numFmtId="0" fontId="290" fillId="35" borderId="187" xfId="0" applyFont="1" applyFill="1" applyBorder="1" applyAlignment="1">
      <alignment horizontal="right" vertical="center"/>
    </xf>
    <xf numFmtId="0" fontId="290" fillId="35" borderId="188" xfId="0" applyFont="1" applyFill="1" applyBorder="1" applyAlignment="1">
      <alignment horizontal="right" vertical="center"/>
    </xf>
    <xf numFmtId="0" fontId="290" fillId="35" borderId="189" xfId="0" applyFont="1" applyFill="1" applyBorder="1" applyAlignment="1">
      <alignment horizontal="right" vertical="center"/>
    </xf>
    <xf numFmtId="0" fontId="132" fillId="0" borderId="0" xfId="0" applyFont="1" applyAlignment="1">
      <alignment horizontal="right" vertical="center" wrapText="1"/>
    </xf>
    <xf numFmtId="0" fontId="132" fillId="0" borderId="0" xfId="0" applyFont="1" applyBorder="1" applyAlignment="1">
      <alignment horizontal="right" vertical="center"/>
    </xf>
    <xf numFmtId="0" fontId="290" fillId="39" borderId="190" xfId="0" applyFont="1" applyFill="1" applyBorder="1" applyAlignment="1">
      <alignment horizontal="right" vertical="center"/>
    </xf>
    <xf numFmtId="0" fontId="117" fillId="37" borderId="190" xfId="0" applyFont="1" applyFill="1" applyBorder="1" applyAlignment="1">
      <alignment horizontal="center" vertical="center" wrapText="1"/>
    </xf>
    <xf numFmtId="0" fontId="188" fillId="0" borderId="13" xfId="76" applyFont="1" applyBorder="1" applyAlignment="1">
      <alignment horizontal="center"/>
    </xf>
    <xf numFmtId="0" fontId="188" fillId="0" borderId="14" xfId="76" applyFont="1" applyBorder="1" applyAlignment="1">
      <alignment horizontal="center"/>
    </xf>
    <xf numFmtId="0" fontId="188" fillId="0" borderId="10" xfId="76" applyFont="1" applyBorder="1" applyAlignment="1">
      <alignment horizontal="center"/>
    </xf>
    <xf numFmtId="0" fontId="217" fillId="0" borderId="184" xfId="76" applyFont="1" applyBorder="1" applyAlignment="1">
      <alignment horizontal="center" vertical="center"/>
    </xf>
    <xf numFmtId="0" fontId="217" fillId="0" borderId="21" xfId="76" applyFont="1" applyBorder="1" applyAlignment="1">
      <alignment horizontal="center" vertical="center"/>
    </xf>
    <xf numFmtId="0" fontId="217" fillId="0" borderId="23" xfId="76" applyFont="1" applyBorder="1" applyAlignment="1">
      <alignment horizontal="center" vertical="center"/>
    </xf>
    <xf numFmtId="0" fontId="215" fillId="0" borderId="184" xfId="76" applyFont="1" applyBorder="1" applyAlignment="1">
      <alignment horizontal="center" vertical="center"/>
    </xf>
    <xf numFmtId="0" fontId="215" fillId="0" borderId="21" xfId="76" applyFont="1" applyBorder="1" applyAlignment="1">
      <alignment horizontal="center" vertical="center"/>
    </xf>
    <xf numFmtId="0" fontId="215" fillId="0" borderId="23" xfId="76" applyFont="1" applyBorder="1" applyAlignment="1">
      <alignment horizontal="center" vertical="center"/>
    </xf>
    <xf numFmtId="3" fontId="89" fillId="23" borderId="190" xfId="76" applyNumberFormat="1" applyFont="1" applyFill="1" applyBorder="1" applyAlignment="1">
      <alignment horizontal="center" vertical="center"/>
    </xf>
    <xf numFmtId="0" fontId="60" fillId="0" borderId="0" xfId="76" applyFont="1" applyAlignment="1">
      <alignment horizontal="center"/>
    </xf>
    <xf numFmtId="0" fontId="58" fillId="0" borderId="0" xfId="76" applyFont="1" applyFill="1" applyBorder="1" applyAlignment="1">
      <alignment horizontal="center" vertical="top"/>
    </xf>
    <xf numFmtId="0" fontId="90" fillId="23" borderId="190" xfId="76" applyFont="1" applyFill="1" applyBorder="1" applyAlignment="1">
      <alignment horizontal="center" vertical="center"/>
    </xf>
    <xf numFmtId="0" fontId="90" fillId="23" borderId="190" xfId="76" applyFont="1" applyFill="1" applyBorder="1" applyAlignment="1">
      <alignment horizontal="center" vertical="center" wrapText="1"/>
    </xf>
    <xf numFmtId="0" fontId="211" fillId="0" borderId="187" xfId="76" applyFont="1" applyBorder="1" applyAlignment="1">
      <alignment horizontal="center" vertical="center"/>
    </xf>
    <xf numFmtId="0" fontId="211" fillId="0" borderId="188" xfId="76" applyFont="1" applyBorder="1" applyAlignment="1">
      <alignment horizontal="center" vertical="center"/>
    </xf>
    <xf numFmtId="0" fontId="211" fillId="0" borderId="189" xfId="76" applyFont="1" applyBorder="1" applyAlignment="1">
      <alignment horizontal="center" vertical="center"/>
    </xf>
    <xf numFmtId="0" fontId="92" fillId="23" borderId="187" xfId="76" applyFont="1" applyFill="1" applyBorder="1" applyAlignment="1">
      <alignment horizontal="center" vertical="center" wrapText="1"/>
    </xf>
    <xf numFmtId="0" fontId="92" fillId="23" borderId="189" xfId="76" applyFont="1" applyFill="1" applyBorder="1" applyAlignment="1">
      <alignment horizontal="center" vertical="center" wrapText="1"/>
    </xf>
    <xf numFmtId="0" fontId="211" fillId="0" borderId="184" xfId="76" applyFont="1" applyBorder="1" applyAlignment="1">
      <alignment horizontal="center" vertical="center"/>
    </xf>
    <xf numFmtId="0" fontId="211" fillId="0" borderId="21" xfId="76" applyFont="1" applyBorder="1" applyAlignment="1">
      <alignment horizontal="center" vertical="center"/>
    </xf>
    <xf numFmtId="0" fontId="211" fillId="0" borderId="23" xfId="76" applyFont="1" applyBorder="1" applyAlignment="1">
      <alignment horizontal="center" vertical="center"/>
    </xf>
    <xf numFmtId="0" fontId="209" fillId="0" borderId="184" xfId="76" applyFont="1" applyBorder="1" applyAlignment="1">
      <alignment horizontal="center" vertical="center"/>
    </xf>
    <xf numFmtId="0" fontId="209" fillId="0" borderId="21" xfId="76" applyFont="1" applyBorder="1" applyAlignment="1">
      <alignment horizontal="center" vertical="center"/>
    </xf>
    <xf numFmtId="0" fontId="209" fillId="0" borderId="23" xfId="76" applyFont="1" applyBorder="1" applyAlignment="1">
      <alignment horizontal="center" vertical="center"/>
    </xf>
    <xf numFmtId="0" fontId="213" fillId="0" borderId="184" xfId="76" applyFont="1" applyBorder="1" applyAlignment="1">
      <alignment horizontal="center" vertical="center"/>
    </xf>
    <xf numFmtId="0" fontId="213" fillId="0" borderId="21" xfId="76" applyFont="1" applyBorder="1" applyAlignment="1">
      <alignment horizontal="center" vertical="center"/>
    </xf>
    <xf numFmtId="0" fontId="213" fillId="0" borderId="23" xfId="76" applyFont="1" applyBorder="1" applyAlignment="1">
      <alignment horizontal="center" vertical="center"/>
    </xf>
    <xf numFmtId="0" fontId="138" fillId="23" borderId="18" xfId="76" applyFont="1" applyFill="1" applyBorder="1" applyAlignment="1">
      <alignment horizontal="center" vertical="center" wrapText="1"/>
    </xf>
    <xf numFmtId="0" fontId="125" fillId="0" borderId="13" xfId="76" applyFont="1" applyFill="1" applyBorder="1" applyAlignment="1">
      <alignment horizontal="center" vertical="center" wrapText="1"/>
    </xf>
    <xf numFmtId="0" fontId="125" fillId="0" borderId="10" xfId="76" applyFont="1" applyFill="1" applyBorder="1" applyAlignment="1">
      <alignment horizontal="center" vertical="center" wrapText="1"/>
    </xf>
    <xf numFmtId="0" fontId="163" fillId="0" borderId="19" xfId="76" applyFont="1" applyBorder="1" applyAlignment="1">
      <alignment horizontal="center" vertical="center"/>
    </xf>
    <xf numFmtId="0" fontId="163" fillId="0" borderId="21" xfId="76" applyFont="1" applyBorder="1" applyAlignment="1">
      <alignment horizontal="center" vertical="center"/>
    </xf>
    <xf numFmtId="0" fontId="163" fillId="0" borderId="23" xfId="76" applyFont="1" applyBorder="1" applyAlignment="1">
      <alignment horizontal="center" vertical="center"/>
    </xf>
    <xf numFmtId="0" fontId="164" fillId="0" borderId="19" xfId="76" applyFont="1" applyBorder="1" applyAlignment="1">
      <alignment horizontal="center" vertical="center"/>
    </xf>
    <xf numFmtId="0" fontId="164" fillId="0" borderId="21" xfId="76" applyFont="1" applyBorder="1" applyAlignment="1">
      <alignment horizontal="center" vertical="center"/>
    </xf>
    <xf numFmtId="0" fontId="164" fillId="0" borderId="23" xfId="76" applyFont="1" applyBorder="1" applyAlignment="1">
      <alignment horizontal="center" vertical="center"/>
    </xf>
    <xf numFmtId="0" fontId="167" fillId="0" borderId="19" xfId="76" applyFont="1" applyBorder="1" applyAlignment="1">
      <alignment horizontal="center" vertical="center"/>
    </xf>
    <xf numFmtId="0" fontId="167" fillId="0" borderId="21" xfId="76" applyFont="1" applyBorder="1" applyAlignment="1">
      <alignment horizontal="center" vertical="center"/>
    </xf>
    <xf numFmtId="0" fontId="167" fillId="0" borderId="23" xfId="76" applyFont="1" applyBorder="1" applyAlignment="1">
      <alignment horizontal="center" vertical="center"/>
    </xf>
    <xf numFmtId="0" fontId="166" fillId="0" borderId="19" xfId="76" applyFont="1" applyBorder="1" applyAlignment="1">
      <alignment horizontal="center" vertical="center"/>
    </xf>
    <xf numFmtId="0" fontId="166" fillId="0" borderId="21" xfId="76" applyFont="1" applyBorder="1" applyAlignment="1">
      <alignment horizontal="center" vertical="center"/>
    </xf>
    <xf numFmtId="0" fontId="166" fillId="0" borderId="23" xfId="76" applyFont="1" applyBorder="1" applyAlignment="1">
      <alignment horizontal="center" vertical="center"/>
    </xf>
    <xf numFmtId="0" fontId="165" fillId="0" borderId="19" xfId="76" applyFont="1" applyBorder="1" applyAlignment="1">
      <alignment horizontal="center" vertical="center"/>
    </xf>
    <xf numFmtId="0" fontId="165" fillId="0" borderId="21" xfId="76" applyFont="1" applyBorder="1" applyAlignment="1">
      <alignment horizontal="center" vertical="center"/>
    </xf>
    <xf numFmtId="0" fontId="165" fillId="0" borderId="23" xfId="76" applyFont="1" applyBorder="1" applyAlignment="1">
      <alignment horizontal="center" vertical="center"/>
    </xf>
    <xf numFmtId="3" fontId="138" fillId="23" borderId="18" xfId="76" applyNumberFormat="1" applyFont="1" applyFill="1" applyBorder="1" applyAlignment="1">
      <alignment horizontal="center"/>
    </xf>
    <xf numFmtId="0" fontId="138" fillId="23" borderId="18" xfId="76" applyFont="1" applyFill="1" applyBorder="1" applyAlignment="1">
      <alignment horizontal="center" vertical="center"/>
    </xf>
    <xf numFmtId="0" fontId="242" fillId="0" borderId="19" xfId="76" applyFont="1" applyBorder="1" applyAlignment="1">
      <alignment horizontal="center" vertical="center"/>
    </xf>
    <xf numFmtId="0" fontId="242" fillId="0" borderId="21" xfId="76" applyFont="1" applyBorder="1" applyAlignment="1">
      <alignment horizontal="center" vertical="center"/>
    </xf>
    <xf numFmtId="0" fontId="242" fillId="0" borderId="23" xfId="76" applyFont="1" applyBorder="1" applyAlignment="1">
      <alignment horizontal="center" vertical="center"/>
    </xf>
    <xf numFmtId="0" fontId="130" fillId="0" borderId="19" xfId="76" applyFont="1" applyBorder="1" applyAlignment="1">
      <alignment horizontal="center" vertical="center"/>
    </xf>
    <xf numFmtId="0" fontId="130" fillId="0" borderId="21" xfId="76" applyFont="1" applyBorder="1" applyAlignment="1">
      <alignment horizontal="center" vertical="center"/>
    </xf>
    <xf numFmtId="0" fontId="130" fillId="0" borderId="23" xfId="76" applyFont="1" applyBorder="1" applyAlignment="1">
      <alignment horizontal="center" vertical="center"/>
    </xf>
    <xf numFmtId="3" fontId="90" fillId="23" borderId="18" xfId="76" applyNumberFormat="1" applyFont="1" applyFill="1" applyBorder="1" applyAlignment="1">
      <alignment horizontal="center"/>
    </xf>
    <xf numFmtId="0" fontId="128" fillId="0" borderId="19" xfId="76" applyFont="1" applyBorder="1" applyAlignment="1">
      <alignment horizontal="center" vertical="center"/>
    </xf>
    <xf numFmtId="0" fontId="128" fillId="0" borderId="21" xfId="76" applyFont="1" applyBorder="1" applyAlignment="1">
      <alignment horizontal="center" vertical="center"/>
    </xf>
    <xf numFmtId="0" fontId="128" fillId="0" borderId="23" xfId="76" applyFont="1" applyBorder="1" applyAlignment="1">
      <alignment horizontal="center" vertical="center"/>
    </xf>
    <xf numFmtId="0" fontId="241" fillId="0" borderId="19" xfId="76" applyFont="1" applyBorder="1" applyAlignment="1">
      <alignment horizontal="center" vertical="center"/>
    </xf>
    <xf numFmtId="0" fontId="241" fillId="0" borderId="21" xfId="76" applyFont="1" applyBorder="1" applyAlignment="1">
      <alignment horizontal="center" vertical="center"/>
    </xf>
    <xf numFmtId="0" fontId="241" fillId="0" borderId="23" xfId="76" applyFont="1" applyBorder="1" applyAlignment="1">
      <alignment horizontal="center" vertical="center"/>
    </xf>
    <xf numFmtId="0" fontId="129" fillId="0" borderId="19" xfId="76" applyFont="1" applyBorder="1" applyAlignment="1">
      <alignment horizontal="center" vertical="center"/>
    </xf>
    <xf numFmtId="0" fontId="129" fillId="0" borderId="21" xfId="76" applyFont="1" applyBorder="1" applyAlignment="1">
      <alignment horizontal="center" vertical="center"/>
    </xf>
    <xf numFmtId="0" fontId="129" fillId="0" borderId="23" xfId="76" applyFont="1" applyBorder="1" applyAlignment="1">
      <alignment horizontal="center" vertical="center"/>
    </xf>
    <xf numFmtId="3" fontId="90" fillId="23" borderId="13" xfId="76" applyNumberFormat="1" applyFont="1" applyFill="1" applyBorder="1" applyAlignment="1">
      <alignment horizontal="center" vertical="center"/>
    </xf>
    <xf numFmtId="3" fontId="90" fillId="23" borderId="10" xfId="76" applyNumberFormat="1" applyFont="1" applyFill="1" applyBorder="1" applyAlignment="1">
      <alignment horizontal="center" vertical="center"/>
    </xf>
    <xf numFmtId="0" fontId="188" fillId="0" borderId="13" xfId="0" applyFont="1" applyBorder="1" applyAlignment="1">
      <alignment horizontal="center" vertical="center"/>
    </xf>
    <xf numFmtId="0" fontId="188" fillId="0" borderId="10" xfId="0" applyFont="1" applyBorder="1" applyAlignment="1">
      <alignment horizontal="center" vertical="center"/>
    </xf>
    <xf numFmtId="0" fontId="89" fillId="0" borderId="19" xfId="0" applyFont="1" applyBorder="1" applyAlignment="1">
      <alignment horizontal="center" vertical="center"/>
    </xf>
    <xf numFmtId="0" fontId="89" fillId="0" borderId="21" xfId="0" applyFont="1" applyBorder="1" applyAlignment="1">
      <alignment horizontal="center" vertical="center"/>
    </xf>
    <xf numFmtId="0" fontId="89" fillId="0" borderId="23" xfId="0" applyFont="1" applyBorder="1" applyAlignment="1">
      <alignment horizontal="center" vertical="center"/>
    </xf>
    <xf numFmtId="3" fontId="90" fillId="23" borderId="18" xfId="0" applyNumberFormat="1" applyFont="1" applyFill="1" applyBorder="1" applyAlignment="1">
      <alignment horizontal="center"/>
    </xf>
    <xf numFmtId="0" fontId="116" fillId="0" borderId="11" xfId="66" applyFont="1" applyFill="1" applyBorder="1" applyAlignment="1">
      <alignment horizontal="center" vertical="center"/>
    </xf>
    <xf numFmtId="0" fontId="116" fillId="0" borderId="12" xfId="66" applyFont="1" applyFill="1" applyBorder="1" applyAlignment="1">
      <alignment horizontal="center" vertical="center"/>
    </xf>
    <xf numFmtId="0" fontId="116" fillId="0" borderId="15" xfId="66" applyFont="1" applyFill="1" applyBorder="1" applyAlignment="1">
      <alignment horizontal="center" vertical="center"/>
    </xf>
    <xf numFmtId="0" fontId="157" fillId="0" borderId="19" xfId="66" applyFont="1" applyFill="1" applyBorder="1" applyAlignment="1">
      <alignment horizontal="center" vertical="center"/>
    </xf>
    <xf numFmtId="0" fontId="157" fillId="0" borderId="21" xfId="66" applyFont="1" applyFill="1" applyBorder="1" applyAlignment="1">
      <alignment horizontal="center" vertical="center"/>
    </xf>
    <xf numFmtId="0" fontId="157" fillId="0" borderId="20" xfId="66" applyFont="1" applyFill="1" applyBorder="1" applyAlignment="1">
      <alignment horizontal="center" vertical="center"/>
    </xf>
    <xf numFmtId="0" fontId="157" fillId="0" borderId="23" xfId="66" applyFont="1" applyFill="1" applyBorder="1" applyAlignment="1">
      <alignment horizontal="center" vertical="center"/>
    </xf>
    <xf numFmtId="0" fontId="155" fillId="0" borderId="21" xfId="66" applyFont="1" applyFill="1" applyBorder="1" applyAlignment="1">
      <alignment horizontal="center" vertical="center"/>
    </xf>
    <xf numFmtId="0" fontId="155" fillId="0" borderId="20" xfId="66" applyFont="1" applyFill="1" applyBorder="1" applyAlignment="1">
      <alignment horizontal="center" vertical="center"/>
    </xf>
    <xf numFmtId="0" fontId="155" fillId="0" borderId="19" xfId="66" applyFont="1" applyFill="1" applyBorder="1" applyAlignment="1">
      <alignment horizontal="center" vertical="center"/>
    </xf>
    <xf numFmtId="0" fontId="155" fillId="0" borderId="23" xfId="66" applyFont="1" applyFill="1" applyBorder="1" applyAlignment="1">
      <alignment horizontal="center" vertical="center"/>
    </xf>
    <xf numFmtId="0" fontId="117" fillId="0" borderId="19" xfId="66" applyFont="1" applyFill="1" applyBorder="1" applyAlignment="1">
      <alignment horizontal="center" vertical="center"/>
    </xf>
    <xf numFmtId="0" fontId="117" fillId="0" borderId="21" xfId="66" applyFont="1" applyFill="1" applyBorder="1" applyAlignment="1">
      <alignment horizontal="center" vertical="center"/>
    </xf>
    <xf numFmtId="0" fontId="154" fillId="0" borderId="19" xfId="66" applyFont="1" applyFill="1" applyBorder="1" applyAlignment="1">
      <alignment horizontal="center" vertical="center"/>
    </xf>
    <xf numFmtId="0" fontId="154" fillId="0" borderId="21" xfId="66" applyFont="1" applyFill="1" applyBorder="1" applyAlignment="1">
      <alignment horizontal="center" vertical="center"/>
    </xf>
    <xf numFmtId="0" fontId="154" fillId="0" borderId="20" xfId="66" applyFont="1" applyFill="1" applyBorder="1" applyAlignment="1">
      <alignment horizontal="center" vertical="center"/>
    </xf>
    <xf numFmtId="0" fontId="154" fillId="0" borderId="23" xfId="66" applyFont="1" applyFill="1" applyBorder="1" applyAlignment="1">
      <alignment horizontal="center" vertical="center"/>
    </xf>
    <xf numFmtId="0" fontId="156" fillId="0" borderId="19" xfId="66" applyFont="1" applyFill="1" applyBorder="1" applyAlignment="1">
      <alignment horizontal="center" vertical="center"/>
    </xf>
    <xf numFmtId="0" fontId="156" fillId="0" borderId="21" xfId="66" applyFont="1" applyFill="1" applyBorder="1" applyAlignment="1">
      <alignment horizontal="center" vertical="center"/>
    </xf>
    <xf numFmtId="0" fontId="156" fillId="0" borderId="20" xfId="66" applyFont="1" applyFill="1" applyBorder="1" applyAlignment="1">
      <alignment horizontal="center" vertical="center"/>
    </xf>
    <xf numFmtId="0" fontId="156" fillId="0" borderId="23" xfId="66" applyFont="1" applyFill="1" applyBorder="1" applyAlignment="1">
      <alignment horizontal="center" vertical="center"/>
    </xf>
    <xf numFmtId="0" fontId="117" fillId="0" borderId="23" xfId="66" applyFont="1" applyFill="1" applyBorder="1" applyAlignment="1">
      <alignment horizontal="center" vertical="center"/>
    </xf>
    <xf numFmtId="0" fontId="117" fillId="0" borderId="184" xfId="66" applyFont="1" applyFill="1" applyBorder="1" applyAlignment="1">
      <alignment horizontal="center" vertical="center"/>
    </xf>
    <xf numFmtId="0" fontId="116" fillId="0" borderId="19" xfId="66" applyFont="1" applyBorder="1" applyAlignment="1">
      <alignment horizontal="center" vertical="center" wrapText="1"/>
    </xf>
    <xf numFmtId="0" fontId="116" fillId="0" borderId="21" xfId="66" applyFont="1" applyBorder="1" applyAlignment="1">
      <alignment horizontal="center" vertical="center" wrapText="1"/>
    </xf>
    <xf numFmtId="0" fontId="116" fillId="0" borderId="23" xfId="66" applyFont="1" applyBorder="1" applyAlignment="1">
      <alignment horizontal="center" vertical="center" wrapText="1"/>
    </xf>
    <xf numFmtId="0" fontId="154" fillId="0" borderId="21" xfId="66" applyFont="1" applyBorder="1" applyAlignment="1">
      <alignment horizontal="center" vertical="center"/>
    </xf>
    <xf numFmtId="0" fontId="154" fillId="0" borderId="23" xfId="66" applyFont="1" applyBorder="1" applyAlignment="1">
      <alignment horizontal="center" vertical="center"/>
    </xf>
    <xf numFmtId="0" fontId="163" fillId="0" borderId="23" xfId="66" applyFont="1" applyFill="1" applyBorder="1" applyAlignment="1">
      <alignment horizontal="center" vertical="center" wrapText="1"/>
    </xf>
    <xf numFmtId="0" fontId="156" fillId="0" borderId="19" xfId="66" applyFont="1" applyBorder="1" applyAlignment="1">
      <alignment horizontal="center" vertical="center"/>
    </xf>
    <xf numFmtId="0" fontId="156" fillId="0" borderId="21" xfId="66" applyFont="1" applyBorder="1" applyAlignment="1">
      <alignment horizontal="center" vertical="center"/>
    </xf>
    <xf numFmtId="0" fontId="156" fillId="0" borderId="23" xfId="66" applyFont="1" applyBorder="1" applyAlignment="1">
      <alignment horizontal="center" vertical="center"/>
    </xf>
    <xf numFmtId="0" fontId="167" fillId="0" borderId="21" xfId="66" applyFont="1" applyFill="1" applyBorder="1" applyAlignment="1">
      <alignment horizontal="center" vertical="center" wrapText="1"/>
    </xf>
    <xf numFmtId="0" fontId="167" fillId="0" borderId="23" xfId="66" applyFont="1" applyFill="1" applyBorder="1" applyAlignment="1">
      <alignment horizontal="center" vertical="center" wrapText="1"/>
    </xf>
    <xf numFmtId="0" fontId="157" fillId="0" borderId="19" xfId="66" applyFont="1" applyBorder="1" applyAlignment="1">
      <alignment horizontal="center" vertical="center"/>
    </xf>
    <xf numFmtId="0" fontId="157" fillId="0" borderId="21" xfId="66" applyFont="1" applyBorder="1" applyAlignment="1">
      <alignment horizontal="center" vertical="center"/>
    </xf>
    <xf numFmtId="0" fontId="157" fillId="0" borderId="23" xfId="66" applyFont="1" applyBorder="1" applyAlignment="1">
      <alignment horizontal="center" vertical="center"/>
    </xf>
    <xf numFmtId="0" fontId="165" fillId="0" borderId="21" xfId="66" applyFont="1" applyFill="1" applyBorder="1" applyAlignment="1">
      <alignment horizontal="center" vertical="center" wrapText="1"/>
    </xf>
    <xf numFmtId="0" fontId="165" fillId="0" borderId="23" xfId="66" applyFont="1" applyFill="1" applyBorder="1" applyAlignment="1">
      <alignment horizontal="center" vertical="center" wrapText="1"/>
    </xf>
    <xf numFmtId="0" fontId="155" fillId="0" borderId="19" xfId="66" applyFont="1" applyBorder="1" applyAlignment="1">
      <alignment horizontal="center" vertical="center"/>
    </xf>
    <xf numFmtId="0" fontId="155" fillId="0" borderId="21" xfId="66" applyFont="1" applyBorder="1" applyAlignment="1">
      <alignment horizontal="center" vertical="center"/>
    </xf>
    <xf numFmtId="0" fontId="155" fillId="0" borderId="23" xfId="66" applyFont="1" applyBorder="1" applyAlignment="1">
      <alignment horizontal="center" vertical="center"/>
    </xf>
    <xf numFmtId="0" fontId="164" fillId="0" borderId="19" xfId="66" applyFont="1" applyFill="1" applyBorder="1" applyAlignment="1">
      <alignment horizontal="center" vertical="center" wrapText="1"/>
    </xf>
    <xf numFmtId="0" fontId="164" fillId="0" borderId="21" xfId="66" applyFont="1" applyFill="1" applyBorder="1" applyAlignment="1">
      <alignment horizontal="center" vertical="center" wrapText="1"/>
    </xf>
    <xf numFmtId="0" fontId="164" fillId="0" borderId="23" xfId="66" applyFont="1" applyFill="1" applyBorder="1" applyAlignment="1">
      <alignment horizontal="center" vertical="center" wrapText="1"/>
    </xf>
    <xf numFmtId="0" fontId="154" fillId="0" borderId="19" xfId="66" applyFont="1" applyBorder="1" applyAlignment="1">
      <alignment horizontal="center" vertical="center"/>
    </xf>
    <xf numFmtId="0" fontId="117" fillId="0" borderId="11" xfId="66" applyFont="1" applyFill="1" applyBorder="1" applyAlignment="1">
      <alignment horizontal="center" vertical="center"/>
    </xf>
    <xf numFmtId="0" fontId="117" fillId="0" borderId="12" xfId="66" applyFont="1" applyFill="1" applyBorder="1" applyAlignment="1">
      <alignment horizontal="center" vertical="center"/>
    </xf>
    <xf numFmtId="0" fontId="117" fillId="0" borderId="15" xfId="66" applyFont="1" applyFill="1" applyBorder="1" applyAlignment="1">
      <alignment horizontal="center" vertical="center"/>
    </xf>
    <xf numFmtId="0" fontId="69" fillId="0" borderId="0" xfId="66" applyFont="1" applyAlignment="1">
      <alignment horizontal="left" vertical="center"/>
    </xf>
    <xf numFmtId="1" fontId="116" fillId="23" borderId="13" xfId="50" applyNumberFormat="1" applyFont="1" applyFill="1" applyBorder="1" applyAlignment="1">
      <alignment horizontal="center" vertical="center" wrapText="1"/>
    </xf>
    <xf numFmtId="0" fontId="92" fillId="0" borderId="19" xfId="66" applyFont="1" applyFill="1" applyBorder="1" applyAlignment="1">
      <alignment horizontal="center" vertical="center"/>
    </xf>
    <xf numFmtId="0" fontId="92" fillId="0" borderId="21" xfId="66" applyFont="1" applyFill="1" applyBorder="1" applyAlignment="1">
      <alignment horizontal="center" vertical="center"/>
    </xf>
    <xf numFmtId="0" fontId="92" fillId="0" borderId="23" xfId="66" applyFont="1" applyFill="1" applyBorder="1" applyAlignment="1">
      <alignment horizontal="center" vertical="center"/>
    </xf>
    <xf numFmtId="3" fontId="61" fillId="23" borderId="18" xfId="66" applyNumberFormat="1" applyFont="1" applyFill="1" applyBorder="1" applyAlignment="1">
      <alignment horizontal="center" vertical="center" wrapText="1"/>
    </xf>
    <xf numFmtId="3" fontId="61" fillId="23" borderId="19" xfId="66" applyNumberFormat="1" applyFont="1" applyFill="1" applyBorder="1" applyAlignment="1">
      <alignment horizontal="center" vertical="center" wrapText="1"/>
    </xf>
    <xf numFmtId="0" fontId="64" fillId="23" borderId="13" xfId="66" applyFont="1" applyFill="1" applyBorder="1" applyAlignment="1">
      <alignment horizontal="center" vertical="center"/>
    </xf>
    <xf numFmtId="0" fontId="64" fillId="23" borderId="14" xfId="66" applyFont="1" applyFill="1" applyBorder="1" applyAlignment="1">
      <alignment horizontal="center" vertical="center"/>
    </xf>
    <xf numFmtId="0" fontId="141" fillId="26" borderId="13" xfId="66" applyFont="1" applyFill="1" applyBorder="1" applyAlignment="1">
      <alignment horizontal="center" vertical="center"/>
    </xf>
    <xf numFmtId="0" fontId="141" fillId="26" borderId="14" xfId="66" applyFont="1" applyFill="1" applyBorder="1" applyAlignment="1">
      <alignment horizontal="center" vertical="center"/>
    </xf>
    <xf numFmtId="0" fontId="141" fillId="27" borderId="13" xfId="66" applyFont="1" applyFill="1" applyBorder="1" applyAlignment="1">
      <alignment horizontal="center" vertical="center"/>
    </xf>
    <xf numFmtId="0" fontId="141" fillId="27" borderId="10" xfId="66" applyFont="1" applyFill="1" applyBorder="1" applyAlignment="1">
      <alignment horizontal="center" vertical="center"/>
    </xf>
    <xf numFmtId="0" fontId="141" fillId="25" borderId="13" xfId="66" applyFont="1" applyFill="1" applyBorder="1" applyAlignment="1">
      <alignment horizontal="center" vertical="center"/>
    </xf>
    <xf numFmtId="0" fontId="141" fillId="25" borderId="10" xfId="66" applyFont="1" applyFill="1" applyBorder="1" applyAlignment="1">
      <alignment horizontal="center" vertical="center"/>
    </xf>
    <xf numFmtId="3" fontId="61" fillId="23" borderId="10" xfId="66" applyNumberFormat="1" applyFont="1" applyFill="1" applyBorder="1" applyAlignment="1">
      <alignment horizontal="center" vertical="center" wrapText="1"/>
    </xf>
    <xf numFmtId="3" fontId="61" fillId="23" borderId="15" xfId="66" applyNumberFormat="1" applyFont="1" applyFill="1" applyBorder="1" applyAlignment="1">
      <alignment horizontal="center" vertical="center" wrapText="1"/>
    </xf>
    <xf numFmtId="1" fontId="61" fillId="23" borderId="18" xfId="50" applyNumberFormat="1" applyFont="1" applyFill="1" applyBorder="1" applyAlignment="1">
      <alignment horizontal="center" vertical="center" wrapText="1"/>
    </xf>
    <xf numFmtId="3" fontId="61" fillId="23" borderId="13" xfId="66" applyNumberFormat="1" applyFont="1" applyFill="1" applyBorder="1" applyAlignment="1">
      <alignment horizontal="center" vertical="center" wrapText="1"/>
    </xf>
    <xf numFmtId="3" fontId="61" fillId="23" borderId="11" xfId="66" applyNumberFormat="1" applyFont="1" applyFill="1" applyBorder="1" applyAlignment="1">
      <alignment horizontal="center" vertical="center" wrapText="1"/>
    </xf>
    <xf numFmtId="0" fontId="130" fillId="0" borderId="19" xfId="66" applyFont="1" applyFill="1" applyBorder="1" applyAlignment="1">
      <alignment horizontal="center" vertical="center" wrapText="1"/>
    </xf>
    <xf numFmtId="0" fontId="130" fillId="0" borderId="21" xfId="66" applyFont="1" applyFill="1" applyBorder="1" applyAlignment="1">
      <alignment horizontal="center" vertical="center" wrapText="1"/>
    </xf>
    <xf numFmtId="0" fontId="130" fillId="0" borderId="23" xfId="66" applyFont="1" applyFill="1" applyBorder="1" applyAlignment="1">
      <alignment horizontal="center" vertical="center" wrapText="1"/>
    </xf>
    <xf numFmtId="0" fontId="58" fillId="0" borderId="19" xfId="66" applyFont="1" applyBorder="1" applyAlignment="1">
      <alignment horizontal="center" vertical="center"/>
    </xf>
    <xf numFmtId="0" fontId="58" fillId="0" borderId="21" xfId="66" applyFont="1" applyBorder="1" applyAlignment="1">
      <alignment horizontal="center" vertical="center"/>
    </xf>
    <xf numFmtId="0" fontId="58" fillId="0" borderId="23" xfId="66" applyFont="1" applyBorder="1" applyAlignment="1">
      <alignment horizontal="center" vertical="center"/>
    </xf>
    <xf numFmtId="0" fontId="61" fillId="0" borderId="19" xfId="66" applyFont="1" applyBorder="1" applyAlignment="1">
      <alignment horizontal="center" vertical="center"/>
    </xf>
    <xf numFmtId="0" fontId="61" fillId="0" borderId="21" xfId="66" applyFont="1" applyBorder="1" applyAlignment="1">
      <alignment horizontal="center" vertical="center"/>
    </xf>
    <xf numFmtId="0" fontId="61" fillId="0" borderId="23" xfId="66" applyFont="1" applyBorder="1" applyAlignment="1">
      <alignment horizontal="center" vertical="center"/>
    </xf>
    <xf numFmtId="0" fontId="129" fillId="0" borderId="19" xfId="66" applyFont="1" applyFill="1" applyBorder="1" applyAlignment="1">
      <alignment horizontal="center" vertical="center" wrapText="1"/>
    </xf>
    <xf numFmtId="0" fontId="129" fillId="0" borderId="21" xfId="66" applyFont="1" applyFill="1" applyBorder="1" applyAlignment="1">
      <alignment horizontal="center" vertical="center" wrapText="1"/>
    </xf>
    <xf numFmtId="0" fontId="129" fillId="0" borderId="23" xfId="66" applyFont="1" applyFill="1" applyBorder="1" applyAlignment="1">
      <alignment horizontal="center" vertical="center" wrapText="1"/>
    </xf>
    <xf numFmtId="3" fontId="61" fillId="23" borderId="23" xfId="66" applyNumberFormat="1" applyFont="1" applyFill="1" applyBorder="1" applyAlignment="1">
      <alignment horizontal="center" vertical="center" wrapText="1"/>
    </xf>
    <xf numFmtId="0" fontId="128" fillId="0" borderId="21" xfId="66" applyFont="1" applyFill="1" applyBorder="1" applyAlignment="1">
      <alignment horizontal="center" vertical="center" wrapText="1"/>
    </xf>
    <xf numFmtId="0" fontId="128" fillId="0" borderId="23" xfId="66" applyFont="1" applyFill="1" applyBorder="1" applyAlignment="1">
      <alignment horizontal="center" vertical="center" wrapText="1"/>
    </xf>
    <xf numFmtId="1" fontId="61" fillId="23" borderId="19" xfId="50" applyNumberFormat="1" applyFont="1" applyFill="1" applyBorder="1" applyAlignment="1">
      <alignment horizontal="center" vertical="center" wrapText="1"/>
    </xf>
    <xf numFmtId="1" fontId="61" fillId="23" borderId="23" xfId="50" applyNumberFormat="1" applyFont="1" applyFill="1" applyBorder="1" applyAlignment="1">
      <alignment horizontal="center" vertical="center" wrapText="1"/>
    </xf>
    <xf numFmtId="0" fontId="116" fillId="0" borderId="18" xfId="66" applyFont="1" applyFill="1" applyBorder="1" applyAlignment="1">
      <alignment horizontal="center" vertical="center"/>
    </xf>
    <xf numFmtId="1" fontId="116" fillId="23" borderId="19" xfId="462" applyNumberFormat="1" applyFont="1" applyFill="1" applyBorder="1" applyAlignment="1">
      <alignment horizontal="center" vertical="center" wrapText="1"/>
    </xf>
    <xf numFmtId="1" fontId="116" fillId="23" borderId="23" xfId="462" applyNumberFormat="1" applyFont="1" applyFill="1" applyBorder="1" applyAlignment="1">
      <alignment horizontal="center" vertical="center" wrapText="1"/>
    </xf>
    <xf numFmtId="0" fontId="163" fillId="0" borderId="19" xfId="66" applyFont="1" applyBorder="1" applyAlignment="1">
      <alignment horizontal="center" vertical="center"/>
    </xf>
    <xf numFmtId="0" fontId="163" fillId="0" borderId="21" xfId="66" applyFont="1" applyBorder="1" applyAlignment="1">
      <alignment horizontal="center" vertical="center"/>
    </xf>
    <xf numFmtId="0" fontId="163" fillId="0" borderId="23" xfId="66" applyFont="1" applyBorder="1" applyAlignment="1">
      <alignment horizontal="center" vertical="center"/>
    </xf>
    <xf numFmtId="0" fontId="164" fillId="0" borderId="19" xfId="66" applyFont="1" applyBorder="1" applyAlignment="1">
      <alignment horizontal="center" vertical="center"/>
    </xf>
    <xf numFmtId="0" fontId="164" fillId="0" borderId="21" xfId="66" applyFont="1" applyBorder="1" applyAlignment="1">
      <alignment horizontal="center" vertical="center"/>
    </xf>
    <xf numFmtId="0" fontId="164" fillId="0" borderId="23" xfId="66" applyFont="1" applyBorder="1" applyAlignment="1">
      <alignment horizontal="center" vertical="center"/>
    </xf>
    <xf numFmtId="0" fontId="117" fillId="0" borderId="19" xfId="66" applyFont="1" applyBorder="1" applyAlignment="1">
      <alignment horizontal="center" vertical="center"/>
    </xf>
    <xf numFmtId="0" fontId="117" fillId="0" borderId="21" xfId="66" applyFont="1" applyBorder="1" applyAlignment="1">
      <alignment horizontal="center" vertical="center"/>
    </xf>
    <xf numFmtId="0" fontId="117" fillId="0" borderId="23" xfId="66" applyFont="1" applyBorder="1" applyAlignment="1">
      <alignment horizontal="center" vertical="center"/>
    </xf>
    <xf numFmtId="0" fontId="157" fillId="0" borderId="17" xfId="66" applyFont="1" applyBorder="1" applyAlignment="1">
      <alignment horizontal="center" vertical="center"/>
    </xf>
    <xf numFmtId="0" fontId="167" fillId="0" borderId="19" xfId="66" applyFont="1" applyBorder="1" applyAlignment="1">
      <alignment horizontal="center" vertical="center"/>
    </xf>
    <xf numFmtId="0" fontId="167" fillId="0" borderId="21" xfId="66" applyFont="1" applyBorder="1" applyAlignment="1">
      <alignment horizontal="center" vertical="center"/>
    </xf>
    <xf numFmtId="0" fontId="167" fillId="0" borderId="23" xfId="66" applyFont="1" applyBorder="1" applyAlignment="1">
      <alignment horizontal="center" vertical="center"/>
    </xf>
    <xf numFmtId="0" fontId="155" fillId="0" borderId="19" xfId="66" applyFont="1" applyFill="1" applyBorder="1" applyAlignment="1">
      <alignment horizontal="center" vertical="center" wrapText="1"/>
    </xf>
    <xf numFmtId="0" fontId="155" fillId="0" borderId="21" xfId="66" applyFont="1" applyFill="1" applyBorder="1" applyAlignment="1">
      <alignment horizontal="center" vertical="center" wrapText="1"/>
    </xf>
    <xf numFmtId="0" fontId="155" fillId="0" borderId="23" xfId="66" applyFont="1" applyFill="1" applyBorder="1" applyAlignment="1">
      <alignment horizontal="center" vertical="center" wrapText="1"/>
    </xf>
    <xf numFmtId="0" fontId="154" fillId="0" borderId="19" xfId="66" applyFont="1" applyFill="1" applyBorder="1" applyAlignment="1">
      <alignment horizontal="center" vertical="center" wrapText="1"/>
    </xf>
    <xf numFmtId="0" fontId="154" fillId="0" borderId="21" xfId="66" applyFont="1" applyFill="1" applyBorder="1" applyAlignment="1">
      <alignment horizontal="center" vertical="center" wrapText="1"/>
    </xf>
    <xf numFmtId="0" fontId="154" fillId="0" borderId="23" xfId="66" applyFont="1" applyFill="1" applyBorder="1" applyAlignment="1">
      <alignment horizontal="center" vertical="center" wrapText="1"/>
    </xf>
    <xf numFmtId="0" fontId="156" fillId="0" borderId="19" xfId="66" applyFont="1" applyFill="1" applyBorder="1" applyAlignment="1">
      <alignment horizontal="center" vertical="center" wrapText="1"/>
    </xf>
    <xf numFmtId="0" fontId="156" fillId="0" borderId="21" xfId="66" applyFont="1" applyFill="1" applyBorder="1" applyAlignment="1">
      <alignment horizontal="center" vertical="center" wrapText="1"/>
    </xf>
    <xf numFmtId="0" fontId="156" fillId="0" borderId="23" xfId="66" applyFont="1" applyFill="1" applyBorder="1" applyAlignment="1">
      <alignment horizontal="center" vertical="center" wrapText="1"/>
    </xf>
    <xf numFmtId="0" fontId="157" fillId="0" borderId="19" xfId="66" applyFont="1" applyFill="1" applyBorder="1" applyAlignment="1">
      <alignment horizontal="center" vertical="center" wrapText="1"/>
    </xf>
    <xf numFmtId="0" fontId="157" fillId="0" borderId="21" xfId="66" applyFont="1" applyFill="1" applyBorder="1" applyAlignment="1">
      <alignment horizontal="center" vertical="center" wrapText="1"/>
    </xf>
    <xf numFmtId="0" fontId="157" fillId="0" borderId="23" xfId="66" applyFont="1" applyFill="1" applyBorder="1" applyAlignment="1">
      <alignment horizontal="center" vertical="center" wrapText="1"/>
    </xf>
    <xf numFmtId="0" fontId="92" fillId="0" borderId="19" xfId="0" applyFont="1" applyFill="1" applyBorder="1" applyAlignment="1">
      <alignment horizontal="center" vertical="center"/>
    </xf>
    <xf numFmtId="0" fontId="92" fillId="0" borderId="21" xfId="0" applyFont="1" applyFill="1" applyBorder="1" applyAlignment="1">
      <alignment horizontal="center" vertical="center"/>
    </xf>
    <xf numFmtId="0" fontId="92" fillId="0" borderId="23" xfId="0" applyFont="1" applyFill="1" applyBorder="1" applyAlignment="1">
      <alignment horizontal="center" vertical="center"/>
    </xf>
    <xf numFmtId="0" fontId="61" fillId="29" borderId="10" xfId="0" applyFont="1" applyFill="1" applyBorder="1" applyAlignment="1">
      <alignment horizontal="center" vertical="center" wrapText="1"/>
    </xf>
    <xf numFmtId="0" fontId="61" fillId="29" borderId="18" xfId="0" applyFont="1" applyFill="1" applyBorder="1" applyAlignment="1">
      <alignment horizontal="center" vertical="center" wrapText="1"/>
    </xf>
    <xf numFmtId="0" fontId="61" fillId="29" borderId="13" xfId="0" applyFont="1" applyFill="1" applyBorder="1" applyAlignment="1">
      <alignment horizontal="center" vertical="center" wrapText="1"/>
    </xf>
    <xf numFmtId="0" fontId="61" fillId="29" borderId="13" xfId="0" applyFont="1" applyFill="1" applyBorder="1" applyAlignment="1">
      <alignment horizontal="center" vertical="center"/>
    </xf>
    <xf numFmtId="0" fontId="61" fillId="29" borderId="14" xfId="0" applyFont="1" applyFill="1" applyBorder="1" applyAlignment="1">
      <alignment horizontal="center" vertical="center"/>
    </xf>
    <xf numFmtId="0" fontId="61" fillId="29" borderId="10" xfId="0" applyFont="1" applyFill="1" applyBorder="1" applyAlignment="1">
      <alignment horizontal="center" vertical="center"/>
    </xf>
    <xf numFmtId="1" fontId="61" fillId="29" borderId="18" xfId="50" applyNumberFormat="1" applyFont="1" applyFill="1" applyBorder="1" applyAlignment="1">
      <alignment horizontal="center" vertical="center" wrapText="1"/>
    </xf>
    <xf numFmtId="0" fontId="117" fillId="0" borderId="19" xfId="0" applyFont="1" applyBorder="1" applyAlignment="1">
      <alignment horizontal="center" vertical="center"/>
    </xf>
    <xf numFmtId="0" fontId="117" fillId="0" borderId="21" xfId="0" applyFont="1" applyBorder="1" applyAlignment="1">
      <alignment horizontal="center" vertical="center"/>
    </xf>
    <xf numFmtId="0" fontId="117" fillId="0" borderId="23" xfId="0" applyFont="1" applyBorder="1" applyAlignment="1">
      <alignment horizontal="center" vertical="center"/>
    </xf>
    <xf numFmtId="0" fontId="116" fillId="0" borderId="19" xfId="0" applyFont="1" applyBorder="1" applyAlignment="1">
      <alignment horizontal="center" vertical="center"/>
    </xf>
    <xf numFmtId="0" fontId="116" fillId="0" borderId="21" xfId="0" applyFont="1" applyBorder="1" applyAlignment="1">
      <alignment horizontal="center" vertical="center"/>
    </xf>
    <xf numFmtId="0" fontId="116" fillId="0" borderId="23" xfId="0" applyFont="1" applyBorder="1" applyAlignment="1">
      <alignment horizontal="center" vertical="center"/>
    </xf>
    <xf numFmtId="0" fontId="116" fillId="23" borderId="18" xfId="0" applyFont="1" applyFill="1" applyBorder="1" applyAlignment="1">
      <alignment horizontal="center" vertical="center" wrapText="1"/>
    </xf>
    <xf numFmtId="0" fontId="116" fillId="23" borderId="10" xfId="0" applyFont="1" applyFill="1" applyBorder="1" applyAlignment="1">
      <alignment horizontal="center" vertical="center" wrapText="1"/>
    </xf>
    <xf numFmtId="3" fontId="116" fillId="23" borderId="19" xfId="0" applyNumberFormat="1" applyFont="1" applyFill="1" applyBorder="1" applyAlignment="1">
      <alignment horizontal="center" vertical="center" wrapText="1"/>
    </xf>
    <xf numFmtId="3" fontId="116" fillId="23" borderId="23" xfId="0" applyNumberFormat="1" applyFont="1" applyFill="1" applyBorder="1" applyAlignment="1">
      <alignment horizontal="center" vertical="center" wrapText="1"/>
    </xf>
    <xf numFmtId="3" fontId="116" fillId="23" borderId="10" xfId="0" applyNumberFormat="1" applyFont="1" applyFill="1" applyBorder="1" applyAlignment="1">
      <alignment horizontal="center" vertical="center" wrapText="1"/>
    </xf>
    <xf numFmtId="3" fontId="116" fillId="23" borderId="18" xfId="0" applyNumberFormat="1" applyFont="1" applyFill="1" applyBorder="1" applyAlignment="1">
      <alignment horizontal="center" vertical="center" wrapText="1"/>
    </xf>
    <xf numFmtId="0" fontId="116" fillId="23" borderId="13" xfId="0" applyFont="1" applyFill="1" applyBorder="1" applyAlignment="1">
      <alignment horizontal="center" vertical="center" wrapText="1"/>
    </xf>
    <xf numFmtId="0" fontId="99" fillId="24" borderId="18" xfId="0" applyFont="1" applyFill="1" applyBorder="1" applyAlignment="1">
      <alignment horizontal="center" vertical="center" wrapText="1"/>
    </xf>
    <xf numFmtId="0" fontId="99" fillId="24" borderId="19" xfId="0" applyFont="1" applyFill="1" applyBorder="1" applyAlignment="1">
      <alignment horizontal="center" vertical="center" wrapText="1"/>
    </xf>
    <xf numFmtId="0" fontId="94" fillId="0" borderId="21" xfId="0" applyFont="1" applyFill="1" applyBorder="1" applyAlignment="1">
      <alignment horizontal="center" vertical="center"/>
    </xf>
    <xf numFmtId="0" fontId="94" fillId="0" borderId="19" xfId="0" applyFont="1" applyFill="1" applyBorder="1" applyAlignment="1">
      <alignment horizontal="center" vertical="center"/>
    </xf>
    <xf numFmtId="0" fontId="94" fillId="0" borderId="23" xfId="0" applyFont="1" applyFill="1" applyBorder="1" applyAlignment="1">
      <alignment horizontal="center" vertical="center"/>
    </xf>
    <xf numFmtId="0" fontId="64" fillId="24" borderId="13" xfId="0" applyFont="1" applyFill="1" applyBorder="1" applyAlignment="1">
      <alignment horizontal="center" vertical="center"/>
    </xf>
    <xf numFmtId="0" fontId="64" fillId="24" borderId="14" xfId="0" applyFont="1" applyFill="1" applyBorder="1" applyAlignment="1">
      <alignment horizontal="center" vertical="center"/>
    </xf>
    <xf numFmtId="0" fontId="69" fillId="0" borderId="0" xfId="0" applyFont="1" applyAlignment="1">
      <alignment horizontal="left" vertical="center"/>
    </xf>
    <xf numFmtId="1" fontId="61" fillId="24" borderId="18" xfId="50" applyNumberFormat="1" applyFont="1" applyFill="1" applyBorder="1" applyAlignment="1">
      <alignment horizontal="center" vertical="center" wrapText="1"/>
    </xf>
    <xf numFmtId="0" fontId="59" fillId="0" borderId="19" xfId="0" applyFont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59" fillId="0" borderId="23" xfId="0" applyFont="1" applyBorder="1" applyAlignment="1">
      <alignment horizontal="center" vertical="center"/>
    </xf>
    <xf numFmtId="3" fontId="61" fillId="24" borderId="19" xfId="0" applyNumberFormat="1" applyFont="1" applyFill="1" applyBorder="1" applyAlignment="1">
      <alignment horizontal="center" vertical="center" wrapText="1"/>
    </xf>
    <xf numFmtId="3" fontId="61" fillId="24" borderId="23" xfId="0" applyNumberFormat="1" applyFont="1" applyFill="1" applyBorder="1" applyAlignment="1">
      <alignment horizontal="center" vertical="center" wrapText="1"/>
    </xf>
    <xf numFmtId="0" fontId="59" fillId="0" borderId="34" xfId="0" applyFont="1" applyBorder="1" applyAlignment="1">
      <alignment horizontal="center" vertical="center"/>
    </xf>
    <xf numFmtId="0" fontId="61" fillId="0" borderId="19" xfId="0" applyFont="1" applyBorder="1" applyAlignment="1">
      <alignment horizontal="center" vertical="center"/>
    </xf>
    <xf numFmtId="0" fontId="61" fillId="0" borderId="21" xfId="0" applyFont="1" applyBorder="1" applyAlignment="1">
      <alignment horizontal="center" vertical="center"/>
    </xf>
    <xf numFmtId="0" fontId="61" fillId="0" borderId="23" xfId="0" applyFont="1" applyBorder="1" applyAlignment="1">
      <alignment horizontal="center" vertical="center"/>
    </xf>
    <xf numFmtId="3" fontId="61" fillId="24" borderId="10" xfId="0" applyNumberFormat="1" applyFont="1" applyFill="1" applyBorder="1" applyAlignment="1">
      <alignment horizontal="center" vertical="center" wrapText="1"/>
    </xf>
    <xf numFmtId="3" fontId="61" fillId="24" borderId="18" xfId="0" applyNumberFormat="1" applyFont="1" applyFill="1" applyBorder="1" applyAlignment="1">
      <alignment horizontal="center" vertical="center" wrapText="1"/>
    </xf>
    <xf numFmtId="0" fontId="61" fillId="24" borderId="18" xfId="0" applyFont="1" applyFill="1" applyBorder="1" applyAlignment="1">
      <alignment horizontal="center" vertical="center" wrapText="1"/>
    </xf>
    <xf numFmtId="0" fontId="61" fillId="24" borderId="10" xfId="0" applyFont="1" applyFill="1" applyBorder="1" applyAlignment="1">
      <alignment horizontal="center" vertical="center" wrapText="1"/>
    </xf>
    <xf numFmtId="0" fontId="59" fillId="0" borderId="33" xfId="0" applyFont="1" applyBorder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61" fillId="24" borderId="13" xfId="0" applyFont="1" applyFill="1" applyBorder="1" applyAlignment="1">
      <alignment horizontal="center" vertical="center" wrapText="1"/>
    </xf>
    <xf numFmtId="0" fontId="71" fillId="0" borderId="0" xfId="0" applyFont="1" applyAlignment="1">
      <alignment horizontal="left" vertical="center"/>
    </xf>
    <xf numFmtId="1" fontId="61" fillId="24" borderId="19" xfId="50" applyNumberFormat="1" applyFont="1" applyFill="1" applyBorder="1" applyAlignment="1">
      <alignment horizontal="center" vertical="center" wrapText="1"/>
    </xf>
    <xf numFmtId="1" fontId="61" fillId="24" borderId="23" xfId="50" applyNumberFormat="1" applyFont="1" applyFill="1" applyBorder="1" applyAlignment="1">
      <alignment horizontal="center" vertical="center" wrapText="1"/>
    </xf>
    <xf numFmtId="0" fontId="61" fillId="0" borderId="11" xfId="0" applyFont="1" applyBorder="1" applyAlignment="1">
      <alignment horizontal="center" vertical="center"/>
    </xf>
    <xf numFmtId="0" fontId="61" fillId="0" borderId="12" xfId="0" applyFont="1" applyBorder="1" applyAlignment="1">
      <alignment horizontal="center" vertical="center"/>
    </xf>
    <xf numFmtId="0" fontId="61" fillId="0" borderId="16" xfId="0" applyFont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61" fillId="0" borderId="20" xfId="0" applyFont="1" applyBorder="1" applyAlignment="1">
      <alignment horizontal="center" vertical="center"/>
    </xf>
    <xf numFmtId="0" fontId="61" fillId="0" borderId="24" xfId="0" applyFont="1" applyBorder="1" applyAlignment="1">
      <alignment horizontal="center" vertical="center"/>
    </xf>
    <xf numFmtId="0" fontId="97" fillId="0" borderId="0" xfId="66" applyFont="1" applyAlignment="1">
      <alignment horizontal="left" vertical="center" wrapText="1"/>
    </xf>
    <xf numFmtId="0" fontId="165" fillId="0" borderId="19" xfId="66" applyFont="1" applyBorder="1" applyAlignment="1">
      <alignment horizontal="center" vertical="center"/>
    </xf>
    <xf numFmtId="0" fontId="165" fillId="0" borderId="21" xfId="66" applyFont="1" applyBorder="1" applyAlignment="1">
      <alignment horizontal="center" vertical="center"/>
    </xf>
    <xf numFmtId="0" fontId="165" fillId="0" borderId="23" xfId="66" applyFont="1" applyBorder="1" applyAlignment="1">
      <alignment horizontal="center" vertical="center"/>
    </xf>
    <xf numFmtId="0" fontId="154" fillId="0" borderId="16" xfId="66" applyFont="1" applyBorder="1" applyAlignment="1">
      <alignment horizontal="center" vertical="center"/>
    </xf>
    <xf numFmtId="0" fontId="116" fillId="0" borderId="19" xfId="66" applyFont="1" applyFill="1" applyBorder="1" applyAlignment="1">
      <alignment horizontal="center" vertical="center" wrapText="1"/>
    </xf>
    <xf numFmtId="0" fontId="116" fillId="0" borderId="21" xfId="66" applyFont="1" applyFill="1" applyBorder="1" applyAlignment="1">
      <alignment horizontal="center" vertical="center" wrapText="1"/>
    </xf>
    <xf numFmtId="0" fontId="116" fillId="0" borderId="23" xfId="66" applyFont="1" applyFill="1" applyBorder="1" applyAlignment="1">
      <alignment horizontal="center" vertical="center" wrapText="1"/>
    </xf>
    <xf numFmtId="0" fontId="60" fillId="0" borderId="0" xfId="66" applyFont="1" applyAlignment="1">
      <alignment horizontal="center" vertical="center"/>
    </xf>
    <xf numFmtId="0" fontId="60" fillId="0" borderId="0" xfId="374" applyFont="1" applyAlignment="1">
      <alignment horizontal="left" vertical="center" wrapText="1"/>
    </xf>
    <xf numFmtId="0" fontId="164" fillId="0" borderId="19" xfId="374" applyFont="1" applyFill="1" applyBorder="1" applyAlignment="1">
      <alignment horizontal="center" vertical="center"/>
    </xf>
    <xf numFmtId="0" fontId="164" fillId="0" borderId="21" xfId="374" applyFont="1" applyFill="1" applyBorder="1" applyAlignment="1">
      <alignment horizontal="center" vertical="center"/>
    </xf>
    <xf numFmtId="0" fontId="164" fillId="0" borderId="23" xfId="374" applyFont="1" applyFill="1" applyBorder="1" applyAlignment="1">
      <alignment horizontal="center" vertical="center"/>
    </xf>
    <xf numFmtId="0" fontId="164" fillId="0" borderId="18" xfId="374" applyFont="1" applyFill="1" applyBorder="1" applyAlignment="1">
      <alignment horizontal="center" vertical="center"/>
    </xf>
    <xf numFmtId="0" fontId="164" fillId="0" borderId="190" xfId="374" applyFont="1" applyFill="1" applyBorder="1" applyAlignment="1">
      <alignment horizontal="center" vertical="center"/>
    </xf>
    <xf numFmtId="0" fontId="117" fillId="0" borderId="19" xfId="374" applyFont="1" applyBorder="1" applyAlignment="1">
      <alignment horizontal="center" vertical="center"/>
    </xf>
    <xf numFmtId="0" fontId="117" fillId="0" borderId="21" xfId="374" applyFont="1" applyBorder="1" applyAlignment="1">
      <alignment horizontal="center" vertical="center"/>
    </xf>
    <xf numFmtId="0" fontId="117" fillId="0" borderId="23" xfId="374" applyFont="1" applyBorder="1" applyAlignment="1">
      <alignment horizontal="center" vertical="center"/>
    </xf>
    <xf numFmtId="0" fontId="163" fillId="0" borderId="19" xfId="374" applyFont="1" applyFill="1" applyBorder="1" applyAlignment="1">
      <alignment horizontal="center" vertical="center"/>
    </xf>
    <xf numFmtId="0" fontId="163" fillId="0" borderId="21" xfId="374" applyFont="1" applyFill="1" applyBorder="1" applyAlignment="1">
      <alignment horizontal="center" vertical="center"/>
    </xf>
    <xf numFmtId="0" fontId="163" fillId="0" borderId="23" xfId="374" applyFont="1" applyFill="1" applyBorder="1" applyAlignment="1">
      <alignment horizontal="center" vertical="center"/>
    </xf>
    <xf numFmtId="0" fontId="116" fillId="23" borderId="10" xfId="374" applyFont="1" applyFill="1" applyBorder="1" applyAlignment="1">
      <alignment horizontal="center" vertical="center"/>
    </xf>
    <xf numFmtId="0" fontId="167" fillId="0" borderId="19" xfId="374" applyFont="1" applyFill="1" applyBorder="1" applyAlignment="1">
      <alignment horizontal="center" vertical="center"/>
    </xf>
    <xf numFmtId="0" fontId="167" fillId="0" borderId="21" xfId="374" applyFont="1" applyFill="1" applyBorder="1" applyAlignment="1">
      <alignment horizontal="center" vertical="center"/>
    </xf>
    <xf numFmtId="0" fontId="167" fillId="0" borderId="23" xfId="374" applyFont="1" applyFill="1" applyBorder="1" applyAlignment="1">
      <alignment horizontal="center" vertical="center"/>
    </xf>
    <xf numFmtId="0" fontId="165" fillId="0" borderId="17" xfId="374" applyFont="1" applyBorder="1" applyAlignment="1">
      <alignment horizontal="center" vertical="center"/>
    </xf>
    <xf numFmtId="0" fontId="165" fillId="0" borderId="22" xfId="374" applyFont="1" applyBorder="1" applyAlignment="1">
      <alignment horizontal="center" vertical="center"/>
    </xf>
    <xf numFmtId="0" fontId="165" fillId="0" borderId="15" xfId="374" applyFont="1" applyBorder="1" applyAlignment="1">
      <alignment horizontal="center" vertical="center"/>
    </xf>
    <xf numFmtId="0" fontId="117" fillId="0" borderId="19" xfId="374" applyFont="1" applyFill="1" applyBorder="1" applyAlignment="1">
      <alignment horizontal="center" vertical="center"/>
    </xf>
    <xf numFmtId="0" fontId="117" fillId="0" borderId="21" xfId="374" applyFont="1" applyFill="1" applyBorder="1" applyAlignment="1">
      <alignment horizontal="center" vertical="center"/>
    </xf>
    <xf numFmtId="0" fontId="117" fillId="0" borderId="23" xfId="374" applyFont="1" applyFill="1" applyBorder="1" applyAlignment="1">
      <alignment horizontal="center" vertical="center"/>
    </xf>
    <xf numFmtId="0" fontId="117" fillId="0" borderId="198" xfId="374" applyFont="1" applyFill="1" applyBorder="1" applyAlignment="1">
      <alignment horizontal="center" vertical="center"/>
    </xf>
    <xf numFmtId="0" fontId="117" fillId="0" borderId="18" xfId="374" applyFont="1" applyFill="1" applyBorder="1" applyAlignment="1">
      <alignment horizontal="center" vertical="center"/>
    </xf>
    <xf numFmtId="1" fontId="116" fillId="23" borderId="13" xfId="462" applyNumberFormat="1" applyFont="1" applyFill="1" applyBorder="1" applyAlignment="1">
      <alignment horizontal="center" vertical="center" wrapText="1"/>
    </xf>
    <xf numFmtId="0" fontId="40" fillId="0" borderId="19" xfId="0" applyFont="1" applyBorder="1" applyAlignment="1">
      <alignment horizontal="center" vertical="center" wrapText="1"/>
    </xf>
    <xf numFmtId="0" fontId="40" fillId="0" borderId="21" xfId="0" applyFont="1" applyBorder="1" applyAlignment="1">
      <alignment horizontal="center" vertical="center" wrapText="1"/>
    </xf>
    <xf numFmtId="0" fontId="40" fillId="0" borderId="33" xfId="0" applyFont="1" applyBorder="1" applyAlignment="1">
      <alignment horizontal="center" vertical="center" wrapText="1"/>
    </xf>
    <xf numFmtId="0" fontId="40" fillId="0" borderId="23" xfId="0" applyFont="1" applyBorder="1" applyAlignment="1">
      <alignment horizontal="center" vertical="center" wrapText="1"/>
    </xf>
    <xf numFmtId="0" fontId="154" fillId="0" borderId="19" xfId="0" applyFont="1" applyBorder="1" applyAlignment="1">
      <alignment horizontal="center" vertical="center" wrapText="1"/>
    </xf>
    <xf numFmtId="0" fontId="154" fillId="0" borderId="21" xfId="0" applyFont="1" applyBorder="1" applyAlignment="1">
      <alignment horizontal="center" vertical="center" wrapText="1"/>
    </xf>
    <xf numFmtId="0" fontId="154" fillId="0" borderId="23" xfId="0" applyFont="1" applyBorder="1" applyAlignment="1">
      <alignment horizontal="center" vertical="center" wrapText="1"/>
    </xf>
    <xf numFmtId="0" fontId="163" fillId="0" borderId="19" xfId="0" applyFont="1" applyBorder="1" applyAlignment="1">
      <alignment horizontal="center" vertical="center"/>
    </xf>
    <xf numFmtId="0" fontId="163" fillId="0" borderId="21" xfId="0" applyFont="1" applyBorder="1" applyAlignment="1">
      <alignment horizontal="center" vertical="center"/>
    </xf>
    <xf numFmtId="0" fontId="163" fillId="0" borderId="23" xfId="0" applyFont="1" applyBorder="1" applyAlignment="1">
      <alignment horizontal="center" vertical="center"/>
    </xf>
    <xf numFmtId="0" fontId="40" fillId="0" borderId="198" xfId="0" applyFont="1" applyBorder="1" applyAlignment="1">
      <alignment horizontal="center" vertical="center" wrapText="1"/>
    </xf>
    <xf numFmtId="0" fontId="116" fillId="23" borderId="14" xfId="0" applyFont="1" applyFill="1" applyBorder="1" applyAlignment="1">
      <alignment horizontal="center" vertical="center" wrapText="1"/>
    </xf>
    <xf numFmtId="0" fontId="165" fillId="0" borderId="19" xfId="0" applyFont="1" applyBorder="1" applyAlignment="1">
      <alignment horizontal="center" vertical="center"/>
    </xf>
    <xf numFmtId="0" fontId="165" fillId="0" borderId="21" xfId="0" applyFont="1" applyBorder="1" applyAlignment="1">
      <alignment horizontal="center" vertical="center"/>
    </xf>
    <xf numFmtId="0" fontId="165" fillId="0" borderId="23" xfId="0" applyFont="1" applyBorder="1" applyAlignment="1">
      <alignment horizontal="center" vertical="center"/>
    </xf>
    <xf numFmtId="0" fontId="157" fillId="0" borderId="21" xfId="0" applyFont="1" applyBorder="1" applyAlignment="1">
      <alignment horizontal="center" vertical="center" wrapText="1"/>
    </xf>
    <xf numFmtId="0" fontId="157" fillId="0" borderId="23" xfId="0" applyFont="1" applyBorder="1" applyAlignment="1">
      <alignment horizontal="center" vertical="center" wrapText="1"/>
    </xf>
    <xf numFmtId="0" fontId="157" fillId="0" borderId="19" xfId="0" applyFont="1" applyBorder="1" applyAlignment="1">
      <alignment horizontal="center" vertical="center" wrapText="1"/>
    </xf>
    <xf numFmtId="0" fontId="155" fillId="0" borderId="19" xfId="0" applyFont="1" applyBorder="1" applyAlignment="1">
      <alignment horizontal="center" vertical="center" wrapText="1"/>
    </xf>
    <xf numFmtId="0" fontId="155" fillId="0" borderId="21" xfId="0" applyFont="1" applyBorder="1" applyAlignment="1">
      <alignment horizontal="center" vertical="center" wrapText="1"/>
    </xf>
    <xf numFmtId="0" fontId="155" fillId="0" borderId="23" xfId="0" applyFont="1" applyBorder="1" applyAlignment="1">
      <alignment horizontal="center" vertical="center" wrapText="1"/>
    </xf>
    <xf numFmtId="0" fontId="164" fillId="0" borderId="19" xfId="0" applyFont="1" applyBorder="1" applyAlignment="1">
      <alignment horizontal="center" vertical="center"/>
    </xf>
    <xf numFmtId="0" fontId="164" fillId="0" borderId="21" xfId="0" applyFont="1" applyBorder="1" applyAlignment="1">
      <alignment horizontal="center" vertical="center"/>
    </xf>
    <xf numFmtId="0" fontId="164" fillId="0" borderId="23" xfId="0" applyFont="1" applyBorder="1" applyAlignment="1">
      <alignment horizontal="center" vertical="center"/>
    </xf>
    <xf numFmtId="0" fontId="40" fillId="0" borderId="19" xfId="0" applyFont="1" applyBorder="1" applyAlignment="1">
      <alignment horizontal="center" vertical="center"/>
    </xf>
    <xf numFmtId="0" fontId="40" fillId="0" borderId="21" xfId="0" applyFont="1" applyBorder="1" applyAlignment="1">
      <alignment horizontal="center" vertical="center"/>
    </xf>
    <xf numFmtId="0" fontId="40" fillId="0" borderId="23" xfId="0" applyFont="1" applyBorder="1" applyAlignment="1">
      <alignment horizontal="center" vertical="center"/>
    </xf>
    <xf numFmtId="0" fontId="40" fillId="0" borderId="17" xfId="0" applyFont="1" applyBorder="1" applyAlignment="1">
      <alignment horizontal="center" vertical="center" wrapText="1"/>
    </xf>
    <xf numFmtId="0" fontId="40" fillId="0" borderId="22" xfId="0" applyFont="1" applyBorder="1" applyAlignment="1">
      <alignment horizontal="center" vertical="center" wrapText="1"/>
    </xf>
    <xf numFmtId="0" fontId="167" fillId="0" borderId="19" xfId="0" applyFont="1" applyBorder="1" applyAlignment="1">
      <alignment horizontal="center" vertical="center"/>
    </xf>
    <xf numFmtId="0" fontId="167" fillId="0" borderId="21" xfId="0" applyFont="1" applyBorder="1" applyAlignment="1">
      <alignment horizontal="center" vertical="center"/>
    </xf>
    <xf numFmtId="0" fontId="167" fillId="0" borderId="23" xfId="0" applyFont="1" applyBorder="1" applyAlignment="1">
      <alignment horizontal="center" vertical="center"/>
    </xf>
    <xf numFmtId="0" fontId="156" fillId="0" borderId="21" xfId="0" applyFont="1" applyBorder="1" applyAlignment="1">
      <alignment horizontal="center" vertical="center" wrapText="1"/>
    </xf>
    <xf numFmtId="0" fontId="156" fillId="0" borderId="23" xfId="0" applyFont="1" applyBorder="1" applyAlignment="1">
      <alignment horizontal="center" vertical="center" wrapText="1"/>
    </xf>
    <xf numFmtId="0" fontId="156" fillId="0" borderId="19" xfId="0" applyFont="1" applyBorder="1" applyAlignment="1">
      <alignment horizontal="center" vertical="center" wrapText="1"/>
    </xf>
    <xf numFmtId="0" fontId="116" fillId="0" borderId="18" xfId="66" applyFont="1" applyBorder="1" applyAlignment="1">
      <alignment horizontal="center" vertical="center"/>
    </xf>
    <xf numFmtId="0" fontId="116" fillId="0" borderId="19" xfId="66" applyFont="1" applyBorder="1" applyAlignment="1">
      <alignment horizontal="center" vertical="center"/>
    </xf>
    <xf numFmtId="0" fontId="134" fillId="0" borderId="19" xfId="0" applyFont="1" applyFill="1" applyBorder="1" applyAlignment="1">
      <alignment horizontal="center" vertical="center" wrapText="1" readingOrder="1"/>
    </xf>
    <xf numFmtId="0" fontId="134" fillId="0" borderId="21" xfId="0" applyFont="1" applyFill="1" applyBorder="1" applyAlignment="1">
      <alignment horizontal="center" vertical="center" wrapText="1" readingOrder="1"/>
    </xf>
    <xf numFmtId="0" fontId="134" fillId="0" borderId="23" xfId="0" applyFont="1" applyFill="1" applyBorder="1" applyAlignment="1">
      <alignment horizontal="center" vertical="center" wrapText="1" readingOrder="1"/>
    </xf>
    <xf numFmtId="0" fontId="163" fillId="0" borderId="19" xfId="0" applyFont="1" applyFill="1" applyBorder="1" applyAlignment="1">
      <alignment horizontal="center" vertical="center" wrapText="1" readingOrder="1"/>
    </xf>
    <xf numFmtId="0" fontId="163" fillId="0" borderId="21" xfId="0" applyFont="1" applyFill="1" applyBorder="1" applyAlignment="1">
      <alignment horizontal="center" vertical="center" wrapText="1" readingOrder="1"/>
    </xf>
    <xf numFmtId="0" fontId="163" fillId="0" borderId="23" xfId="0" applyFont="1" applyFill="1" applyBorder="1" applyAlignment="1">
      <alignment horizontal="center" vertical="center" wrapText="1" readingOrder="1"/>
    </xf>
    <xf numFmtId="0" fontId="167" fillId="0" borderId="19" xfId="0" applyFont="1" applyFill="1" applyBorder="1" applyAlignment="1">
      <alignment horizontal="center" vertical="center" wrapText="1" readingOrder="1"/>
    </xf>
    <xf numFmtId="0" fontId="167" fillId="0" borderId="21" xfId="0" applyFont="1" applyFill="1" applyBorder="1" applyAlignment="1">
      <alignment horizontal="center" vertical="center" wrapText="1" readingOrder="1"/>
    </xf>
    <xf numFmtId="0" fontId="167" fillId="0" borderId="23" xfId="0" applyFont="1" applyFill="1" applyBorder="1" applyAlignment="1">
      <alignment horizontal="center" vertical="center" wrapText="1" readingOrder="1"/>
    </xf>
    <xf numFmtId="0" fontId="126" fillId="0" borderId="19" xfId="0" applyFont="1" applyFill="1" applyBorder="1" applyAlignment="1">
      <alignment horizontal="center" vertical="center" wrapText="1" readingOrder="1"/>
    </xf>
    <xf numFmtId="0" fontId="126" fillId="0" borderId="21" xfId="0" applyFont="1" applyFill="1" applyBorder="1" applyAlignment="1">
      <alignment horizontal="center" vertical="center" wrapText="1" readingOrder="1"/>
    </xf>
    <xf numFmtId="0" fontId="126" fillId="0" borderId="23" xfId="0" applyFont="1" applyFill="1" applyBorder="1" applyAlignment="1">
      <alignment horizontal="center" vertical="center" wrapText="1" readingOrder="1"/>
    </xf>
    <xf numFmtId="0" fontId="164" fillId="0" borderId="19" xfId="0" applyFont="1" applyFill="1" applyBorder="1" applyAlignment="1">
      <alignment horizontal="center" vertical="center" wrapText="1" readingOrder="1"/>
    </xf>
    <xf numFmtId="0" fontId="164" fillId="0" borderId="21" xfId="0" applyFont="1" applyFill="1" applyBorder="1" applyAlignment="1">
      <alignment horizontal="center" vertical="center" wrapText="1" readingOrder="1"/>
    </xf>
    <xf numFmtId="0" fontId="164" fillId="0" borderId="23" xfId="0" applyFont="1" applyFill="1" applyBorder="1" applyAlignment="1">
      <alignment horizontal="center" vertical="center" wrapText="1" readingOrder="1"/>
    </xf>
    <xf numFmtId="0" fontId="134" fillId="23" borderId="18" xfId="0" applyFont="1" applyFill="1" applyBorder="1" applyAlignment="1">
      <alignment horizontal="center" vertical="center" wrapText="1"/>
    </xf>
    <xf numFmtId="0" fontId="132" fillId="0" borderId="0" xfId="826" applyFont="1" applyBorder="1" applyAlignment="1">
      <alignment horizontal="right" vertical="center"/>
    </xf>
    <xf numFmtId="15" fontId="116" fillId="23" borderId="184" xfId="826" applyNumberFormat="1" applyFont="1" applyFill="1" applyBorder="1" applyAlignment="1">
      <alignment horizontal="center" vertical="center"/>
    </xf>
    <xf numFmtId="15" fontId="116" fillId="23" borderId="23" xfId="826" applyNumberFormat="1" applyFont="1" applyFill="1" applyBorder="1" applyAlignment="1">
      <alignment horizontal="center" vertical="center"/>
    </xf>
    <xf numFmtId="0" fontId="290" fillId="40" borderId="187" xfId="826" applyFont="1" applyFill="1" applyBorder="1" applyAlignment="1">
      <alignment horizontal="right" vertical="center"/>
    </xf>
    <xf numFmtId="0" fontId="290" fillId="40" borderId="188" xfId="826" applyFont="1" applyFill="1" applyBorder="1" applyAlignment="1">
      <alignment horizontal="right" vertical="center"/>
    </xf>
    <xf numFmtId="0" fontId="290" fillId="40" borderId="189" xfId="826" applyFont="1" applyFill="1" applyBorder="1" applyAlignment="1">
      <alignment horizontal="right" vertical="center"/>
    </xf>
    <xf numFmtId="0" fontId="117" fillId="23" borderId="184" xfId="826" applyFont="1" applyFill="1" applyBorder="1" applyAlignment="1">
      <alignment horizontal="center" vertical="center" wrapText="1"/>
    </xf>
    <xf numFmtId="0" fontId="117" fillId="23" borderId="21" xfId="826" applyFont="1" applyFill="1" applyBorder="1" applyAlignment="1">
      <alignment horizontal="center" vertical="center" wrapText="1"/>
    </xf>
    <xf numFmtId="0" fontId="117" fillId="23" borderId="23" xfId="826" applyFont="1" applyFill="1" applyBorder="1" applyAlignment="1">
      <alignment horizontal="center" vertical="center" wrapText="1"/>
    </xf>
    <xf numFmtId="0" fontId="155" fillId="23" borderId="190" xfId="826" applyFont="1" applyFill="1" applyBorder="1" applyAlignment="1">
      <alignment horizontal="center" vertical="center" wrapText="1"/>
    </xf>
    <xf numFmtId="0" fontId="157" fillId="23" borderId="190" xfId="826" applyFont="1" applyFill="1" applyBorder="1" applyAlignment="1">
      <alignment horizontal="center" vertical="center" wrapText="1"/>
    </xf>
    <xf numFmtId="0" fontId="116" fillId="23" borderId="190" xfId="826" applyFont="1" applyFill="1" applyBorder="1" applyAlignment="1">
      <alignment horizontal="center" vertical="center"/>
    </xf>
    <xf numFmtId="0" fontId="290" fillId="36" borderId="188" xfId="826" applyFont="1" applyFill="1" applyBorder="1" applyAlignment="1">
      <alignment horizontal="right" vertical="center"/>
    </xf>
    <xf numFmtId="0" fontId="290" fillId="36" borderId="189" xfId="826" applyFont="1" applyFill="1" applyBorder="1" applyAlignment="1">
      <alignment horizontal="right" vertical="center"/>
    </xf>
    <xf numFmtId="0" fontId="156" fillId="23" borderId="21" xfId="826" applyFont="1" applyFill="1" applyBorder="1" applyAlignment="1">
      <alignment horizontal="center" vertical="center" wrapText="1"/>
    </xf>
    <xf numFmtId="0" fontId="156" fillId="23" borderId="23" xfId="826" applyFont="1" applyFill="1" applyBorder="1" applyAlignment="1">
      <alignment horizontal="center" vertical="center" wrapText="1"/>
    </xf>
    <xf numFmtId="0" fontId="156" fillId="0" borderId="190" xfId="826" applyFont="1" applyBorder="1" applyAlignment="1">
      <alignment horizontal="center" vertical="center" wrapText="1"/>
    </xf>
    <xf numFmtId="0" fontId="156" fillId="23" borderId="190" xfId="826" applyFont="1" applyFill="1" applyBorder="1" applyAlignment="1">
      <alignment horizontal="center" vertical="center" wrapText="1"/>
    </xf>
    <xf numFmtId="0" fontId="290" fillId="39" borderId="188" xfId="826" applyFont="1" applyFill="1" applyBorder="1" applyAlignment="1">
      <alignment horizontal="right" vertical="center"/>
    </xf>
    <xf numFmtId="0" fontId="290" fillId="39" borderId="189" xfId="826" applyFont="1" applyFill="1" applyBorder="1" applyAlignment="1">
      <alignment horizontal="right" vertical="center"/>
    </xf>
    <xf numFmtId="0" fontId="157" fillId="23" borderId="184" xfId="826" applyFont="1" applyFill="1" applyBorder="1" applyAlignment="1">
      <alignment horizontal="center" vertical="center" wrapText="1"/>
    </xf>
    <xf numFmtId="0" fontId="157" fillId="23" borderId="21" xfId="826" applyFont="1" applyFill="1" applyBorder="1" applyAlignment="1">
      <alignment horizontal="center" vertical="center" wrapText="1"/>
    </xf>
    <xf numFmtId="0" fontId="157" fillId="23" borderId="23" xfId="826" applyFont="1" applyFill="1" applyBorder="1" applyAlignment="1">
      <alignment horizontal="center" vertical="center" wrapText="1"/>
    </xf>
    <xf numFmtId="0" fontId="157" fillId="0" borderId="190" xfId="826" applyFont="1" applyBorder="1" applyAlignment="1">
      <alignment horizontal="center" vertical="center" wrapText="1"/>
    </xf>
    <xf numFmtId="0" fontId="154" fillId="23" borderId="184" xfId="826" applyFont="1" applyFill="1" applyBorder="1" applyAlignment="1">
      <alignment horizontal="center" vertical="center" wrapText="1"/>
    </xf>
    <xf numFmtId="0" fontId="154" fillId="23" borderId="21" xfId="826" applyFont="1" applyFill="1" applyBorder="1" applyAlignment="1">
      <alignment horizontal="center" vertical="center" wrapText="1"/>
    </xf>
    <xf numFmtId="0" fontId="154" fillId="23" borderId="23" xfId="826" applyFont="1" applyFill="1" applyBorder="1" applyAlignment="1">
      <alignment horizontal="center" vertical="center" wrapText="1"/>
    </xf>
    <xf numFmtId="0" fontId="121" fillId="0" borderId="0" xfId="827" applyFont="1" applyAlignment="1">
      <alignment horizontal="center"/>
    </xf>
    <xf numFmtId="15" fontId="116" fillId="23" borderId="190" xfId="826" applyNumberFormat="1" applyFont="1" applyFill="1" applyBorder="1" applyAlignment="1">
      <alignment horizontal="center" vertical="center"/>
    </xf>
    <xf numFmtId="0" fontId="290" fillId="35" borderId="188" xfId="826" applyFont="1" applyFill="1" applyBorder="1" applyAlignment="1">
      <alignment horizontal="right" vertical="center"/>
    </xf>
    <xf numFmtId="0" fontId="290" fillId="35" borderId="189" xfId="826" applyFont="1" applyFill="1" applyBorder="1" applyAlignment="1">
      <alignment horizontal="right" vertical="center"/>
    </xf>
    <xf numFmtId="0" fontId="154" fillId="0" borderId="190" xfId="826" applyFont="1" applyBorder="1" applyAlignment="1">
      <alignment horizontal="center" vertical="center" wrapText="1"/>
    </xf>
    <xf numFmtId="0" fontId="117" fillId="0" borderId="21" xfId="826" applyFont="1" applyFill="1" applyBorder="1" applyAlignment="1">
      <alignment horizontal="left" vertical="center"/>
    </xf>
    <xf numFmtId="0" fontId="117" fillId="0" borderId="33" xfId="826" applyFont="1" applyFill="1" applyBorder="1" applyAlignment="1">
      <alignment horizontal="left" vertical="center"/>
    </xf>
    <xf numFmtId="0" fontId="117" fillId="0" borderId="44" xfId="826" applyFont="1" applyFill="1" applyBorder="1" applyAlignment="1">
      <alignment horizontal="left" vertical="center"/>
    </xf>
    <xf numFmtId="0" fontId="117" fillId="0" borderId="43" xfId="826" applyFont="1" applyFill="1" applyBorder="1" applyAlignment="1">
      <alignment horizontal="left" vertical="center"/>
    </xf>
    <xf numFmtId="0" fontId="154" fillId="23" borderId="190" xfId="826" applyFont="1" applyFill="1" applyBorder="1" applyAlignment="1">
      <alignment horizontal="center" vertical="center" wrapText="1"/>
    </xf>
    <xf numFmtId="0" fontId="290" fillId="34" borderId="188" xfId="826" applyFont="1" applyFill="1" applyBorder="1" applyAlignment="1">
      <alignment horizontal="right" vertical="center"/>
    </xf>
    <xf numFmtId="0" fontId="290" fillId="34" borderId="189" xfId="826" applyFont="1" applyFill="1" applyBorder="1" applyAlignment="1">
      <alignment horizontal="right" vertical="center"/>
    </xf>
    <xf numFmtId="0" fontId="120" fillId="0" borderId="0" xfId="76" applyFont="1" applyAlignment="1">
      <alignment horizontal="right"/>
    </xf>
    <xf numFmtId="0" fontId="120" fillId="0" borderId="0" xfId="76" applyFont="1" applyBorder="1" applyAlignment="1">
      <alignment horizontal="right"/>
    </xf>
    <xf numFmtId="0" fontId="167" fillId="0" borderId="184" xfId="76" applyFont="1" applyBorder="1" applyAlignment="1">
      <alignment horizontal="center" vertical="center"/>
    </xf>
    <xf numFmtId="0" fontId="165" fillId="0" borderId="184" xfId="76" applyFont="1" applyBorder="1" applyAlignment="1">
      <alignment horizontal="center" vertical="center"/>
    </xf>
    <xf numFmtId="0" fontId="253" fillId="0" borderId="184" xfId="76" applyFont="1" applyBorder="1" applyAlignment="1">
      <alignment horizontal="center" vertical="center"/>
    </xf>
    <xf numFmtId="0" fontId="253" fillId="0" borderId="21" xfId="76" applyFont="1" applyBorder="1" applyAlignment="1">
      <alignment horizontal="center" vertical="center"/>
    </xf>
    <xf numFmtId="0" fontId="253" fillId="0" borderId="23" xfId="76" applyFont="1" applyBorder="1" applyAlignment="1">
      <alignment horizontal="center" vertical="center"/>
    </xf>
    <xf numFmtId="3" fontId="138" fillId="0" borderId="190" xfId="76" applyNumberFormat="1" applyFont="1" applyFill="1" applyBorder="1" applyAlignment="1">
      <alignment horizontal="center"/>
    </xf>
    <xf numFmtId="17" fontId="9" fillId="23" borderId="187" xfId="76" applyNumberFormat="1" applyFont="1" applyFill="1" applyBorder="1" applyAlignment="1">
      <alignment horizontal="center"/>
    </xf>
    <xf numFmtId="17" fontId="9" fillId="23" borderId="189" xfId="76" applyNumberFormat="1" applyFont="1" applyFill="1" applyBorder="1" applyAlignment="1">
      <alignment horizontal="center"/>
    </xf>
    <xf numFmtId="0" fontId="252" fillId="0" borderId="19" xfId="827" applyFont="1" applyBorder="1" applyAlignment="1">
      <alignment horizontal="center" vertical="center"/>
    </xf>
    <xf numFmtId="0" fontId="252" fillId="0" borderId="21" xfId="827" applyFont="1" applyBorder="1" applyAlignment="1">
      <alignment horizontal="center" vertical="center"/>
    </xf>
    <xf numFmtId="0" fontId="252" fillId="0" borderId="23" xfId="827" applyFont="1" applyBorder="1" applyAlignment="1">
      <alignment horizontal="center" vertical="center"/>
    </xf>
    <xf numFmtId="0" fontId="167" fillId="0" borderId="19" xfId="827" applyFont="1" applyBorder="1" applyAlignment="1">
      <alignment horizontal="center" vertical="center"/>
    </xf>
    <xf numFmtId="0" fontId="167" fillId="0" borderId="21" xfId="827" applyFont="1" applyBorder="1" applyAlignment="1">
      <alignment horizontal="center" vertical="center"/>
    </xf>
    <xf numFmtId="0" fontId="167" fillId="0" borderId="23" xfId="827" applyFont="1" applyBorder="1" applyAlignment="1">
      <alignment horizontal="center" vertical="center"/>
    </xf>
    <xf numFmtId="0" fontId="165" fillId="0" borderId="19" xfId="827" applyFont="1" applyBorder="1" applyAlignment="1">
      <alignment horizontal="center" vertical="center"/>
    </xf>
    <xf numFmtId="0" fontId="165" fillId="0" borderId="21" xfId="827" applyFont="1" applyBorder="1" applyAlignment="1">
      <alignment horizontal="center" vertical="center"/>
    </xf>
    <xf numFmtId="0" fontId="165" fillId="0" borderId="23" xfId="827" applyFont="1" applyBorder="1" applyAlignment="1">
      <alignment horizontal="center" vertical="center"/>
    </xf>
    <xf numFmtId="0" fontId="253" fillId="0" borderId="19" xfId="827" applyFont="1" applyBorder="1" applyAlignment="1">
      <alignment horizontal="center" vertical="center"/>
    </xf>
    <xf numFmtId="0" fontId="253" fillId="0" borderId="21" xfId="827" applyFont="1" applyBorder="1" applyAlignment="1">
      <alignment horizontal="center" vertical="center"/>
    </xf>
    <xf numFmtId="0" fontId="253" fillId="0" borderId="23" xfId="827" applyFont="1" applyBorder="1" applyAlignment="1">
      <alignment horizontal="center" vertical="center"/>
    </xf>
    <xf numFmtId="0" fontId="148" fillId="0" borderId="0" xfId="827" applyFont="1" applyAlignment="1">
      <alignment horizontal="center"/>
    </xf>
    <xf numFmtId="0" fontId="138" fillId="23" borderId="18" xfId="827" applyFont="1" applyFill="1" applyBorder="1" applyAlignment="1">
      <alignment horizontal="center" vertical="center"/>
    </xf>
    <xf numFmtId="0" fontId="188" fillId="0" borderId="13" xfId="827" applyFont="1" applyFill="1" applyBorder="1" applyAlignment="1">
      <alignment horizontal="center" vertical="center"/>
    </xf>
    <xf numFmtId="0" fontId="188" fillId="0" borderId="14" xfId="827" applyFont="1" applyFill="1" applyBorder="1" applyAlignment="1">
      <alignment horizontal="center" vertical="center"/>
    </xf>
    <xf numFmtId="0" fontId="188" fillId="0" borderId="10" xfId="827" applyFont="1" applyFill="1" applyBorder="1" applyAlignment="1">
      <alignment horizontal="center" vertical="center"/>
    </xf>
    <xf numFmtId="0" fontId="163" fillId="0" borderId="19" xfId="827" applyFont="1" applyBorder="1" applyAlignment="1">
      <alignment horizontal="center" vertical="center"/>
    </xf>
    <xf numFmtId="0" fontId="163" fillId="0" borderId="21" xfId="827" applyFont="1" applyBorder="1" applyAlignment="1">
      <alignment horizontal="center" vertical="center"/>
    </xf>
    <xf numFmtId="0" fontId="163" fillId="0" borderId="23" xfId="827" applyFont="1" applyBorder="1" applyAlignment="1">
      <alignment horizontal="center" vertical="center"/>
    </xf>
    <xf numFmtId="0" fontId="138" fillId="23" borderId="190" xfId="76" applyFont="1" applyFill="1" applyBorder="1" applyAlignment="1">
      <alignment horizontal="center" vertical="center"/>
    </xf>
    <xf numFmtId="0" fontId="163" fillId="0" borderId="187" xfId="76" applyFont="1" applyFill="1" applyBorder="1" applyAlignment="1">
      <alignment horizontal="center" vertical="center"/>
    </xf>
    <xf numFmtId="0" fontId="163" fillId="0" borderId="188" xfId="76" applyFont="1" applyFill="1" applyBorder="1" applyAlignment="1">
      <alignment horizontal="center" vertical="center"/>
    </xf>
    <xf numFmtId="0" fontId="163" fillId="0" borderId="189" xfId="76" applyFont="1" applyFill="1" applyBorder="1" applyAlignment="1">
      <alignment horizontal="center" vertical="center"/>
    </xf>
    <xf numFmtId="0" fontId="163" fillId="0" borderId="184" xfId="76" applyFont="1" applyBorder="1" applyAlignment="1">
      <alignment horizontal="center" vertical="center"/>
    </xf>
    <xf numFmtId="0" fontId="252" fillId="0" borderId="184" xfId="76" applyFont="1" applyBorder="1" applyAlignment="1">
      <alignment horizontal="center" vertical="center"/>
    </xf>
    <xf numFmtId="0" fontId="252" fillId="0" borderId="21" xfId="76" applyFont="1" applyBorder="1" applyAlignment="1">
      <alignment horizontal="center" vertical="center"/>
    </xf>
    <xf numFmtId="0" fontId="252" fillId="0" borderId="23" xfId="76" applyFont="1" applyBorder="1" applyAlignment="1">
      <alignment horizontal="center" vertical="center"/>
    </xf>
    <xf numFmtId="3" fontId="138" fillId="0" borderId="18" xfId="827" applyNumberFormat="1" applyFont="1" applyFill="1" applyBorder="1" applyAlignment="1">
      <alignment horizontal="center"/>
    </xf>
    <xf numFmtId="17" fontId="19" fillId="23" borderId="13" xfId="827" applyNumberFormat="1" applyFont="1" applyFill="1" applyBorder="1" applyAlignment="1">
      <alignment horizontal="center"/>
    </xf>
    <xf numFmtId="17" fontId="19" fillId="23" borderId="10" xfId="827" applyNumberFormat="1" applyFont="1" applyFill="1" applyBorder="1" applyAlignment="1">
      <alignment horizontal="center"/>
    </xf>
    <xf numFmtId="0" fontId="120" fillId="0" borderId="0" xfId="827" applyFont="1" applyAlignment="1">
      <alignment horizontal="right"/>
    </xf>
    <xf numFmtId="0" fontId="120" fillId="0" borderId="0" xfId="827" applyFont="1" applyBorder="1" applyAlignment="1">
      <alignment horizontal="right"/>
    </xf>
    <xf numFmtId="0" fontId="127" fillId="0" borderId="19" xfId="827" applyFont="1" applyBorder="1" applyAlignment="1">
      <alignment horizontal="center" vertical="center"/>
    </xf>
    <xf numFmtId="0" fontId="127" fillId="0" borderId="21" xfId="827" applyFont="1" applyBorder="1" applyAlignment="1">
      <alignment horizontal="center" vertical="center"/>
    </xf>
    <xf numFmtId="0" fontId="127" fillId="0" borderId="23" xfId="827" applyFont="1" applyBorder="1" applyAlignment="1">
      <alignment horizontal="center" vertical="center"/>
    </xf>
    <xf numFmtId="0" fontId="186" fillId="0" borderId="19" xfId="827" applyFont="1" applyBorder="1" applyAlignment="1">
      <alignment horizontal="center" vertical="center"/>
    </xf>
    <xf numFmtId="0" fontId="186" fillId="0" borderId="21" xfId="827" applyFont="1" applyBorder="1" applyAlignment="1">
      <alignment horizontal="center" vertical="center"/>
    </xf>
    <xf numFmtId="0" fontId="186" fillId="0" borderId="23" xfId="827" applyFont="1" applyBorder="1" applyAlignment="1">
      <alignment horizontal="center" vertical="center"/>
    </xf>
    <xf numFmtId="0" fontId="126" fillId="0" borderId="19" xfId="827" applyFont="1" applyBorder="1" applyAlignment="1">
      <alignment horizontal="center" vertical="center"/>
    </xf>
    <xf numFmtId="0" fontId="126" fillId="0" borderId="21" xfId="827" applyFont="1" applyBorder="1" applyAlignment="1">
      <alignment horizontal="center" vertical="center"/>
    </xf>
    <xf numFmtId="0" fontId="126" fillId="0" borderId="23" xfId="827" applyFont="1" applyBorder="1" applyAlignment="1">
      <alignment horizontal="center" vertical="center"/>
    </xf>
    <xf numFmtId="0" fontId="90" fillId="23" borderId="18" xfId="827" applyFont="1" applyFill="1" applyBorder="1" applyAlignment="1">
      <alignment horizontal="center" vertical="center"/>
    </xf>
    <xf numFmtId="0" fontId="259" fillId="0" borderId="13" xfId="827" applyFont="1" applyFill="1" applyBorder="1" applyAlignment="1">
      <alignment horizontal="center" vertical="center"/>
    </xf>
    <xf numFmtId="0" fontId="259" fillId="0" borderId="14" xfId="827" applyFont="1" applyFill="1" applyBorder="1" applyAlignment="1">
      <alignment horizontal="center" vertical="center"/>
    </xf>
    <xf numFmtId="0" fontId="259" fillId="0" borderId="10" xfId="827" applyFont="1" applyFill="1" applyBorder="1" applyAlignment="1">
      <alignment horizontal="center" vertical="center"/>
    </xf>
    <xf numFmtId="0" fontId="128" fillId="0" borderId="19" xfId="827" applyFont="1" applyBorder="1" applyAlignment="1">
      <alignment horizontal="center" vertical="center"/>
    </xf>
    <xf numFmtId="0" fontId="128" fillId="0" borderId="21" xfId="827" applyFont="1" applyBorder="1" applyAlignment="1">
      <alignment horizontal="center" vertical="center"/>
    </xf>
    <xf numFmtId="0" fontId="128" fillId="0" borderId="23" xfId="827" applyFont="1" applyBorder="1" applyAlignment="1">
      <alignment horizontal="center" vertical="center"/>
    </xf>
    <xf numFmtId="0" fontId="120" fillId="0" borderId="17" xfId="827" applyFont="1" applyBorder="1" applyAlignment="1">
      <alignment horizontal="right"/>
    </xf>
    <xf numFmtId="0" fontId="90" fillId="23" borderId="18" xfId="0" applyFont="1" applyFill="1" applyBorder="1" applyAlignment="1">
      <alignment horizontal="center" vertical="center"/>
    </xf>
    <xf numFmtId="0" fontId="259" fillId="0" borderId="13" xfId="0" applyFont="1" applyFill="1" applyBorder="1" applyAlignment="1">
      <alignment horizontal="center" vertical="center"/>
    </xf>
    <xf numFmtId="0" fontId="259" fillId="0" borderId="14" xfId="0" applyFont="1" applyFill="1" applyBorder="1" applyAlignment="1">
      <alignment horizontal="center" vertical="center"/>
    </xf>
    <xf numFmtId="0" fontId="259" fillId="0" borderId="10" xfId="0" applyFont="1" applyFill="1" applyBorder="1" applyAlignment="1">
      <alignment horizontal="center" vertical="center"/>
    </xf>
    <xf numFmtId="0" fontId="129" fillId="0" borderId="19" xfId="827" applyFont="1" applyBorder="1" applyAlignment="1">
      <alignment horizontal="center" vertical="center"/>
    </xf>
    <xf numFmtId="0" fontId="129" fillId="0" borderId="21" xfId="827" applyFont="1" applyBorder="1" applyAlignment="1">
      <alignment horizontal="center" vertical="center"/>
    </xf>
    <xf numFmtId="0" fontId="129" fillId="0" borderId="23" xfId="827" applyFont="1" applyBorder="1" applyAlignment="1">
      <alignment horizontal="center" vertical="center"/>
    </xf>
    <xf numFmtId="3" fontId="90" fillId="23" borderId="18" xfId="0" applyNumberFormat="1" applyFont="1" applyFill="1" applyBorder="1" applyAlignment="1">
      <alignment horizontal="center" vertical="center"/>
    </xf>
    <xf numFmtId="0" fontId="130" fillId="0" borderId="19" xfId="827" applyFont="1" applyBorder="1" applyAlignment="1">
      <alignment horizontal="center" vertical="center"/>
    </xf>
    <xf numFmtId="0" fontId="130" fillId="0" borderId="21" xfId="827" applyFont="1" applyBorder="1" applyAlignment="1">
      <alignment horizontal="center" vertical="center"/>
    </xf>
    <xf numFmtId="0" fontId="130" fillId="0" borderId="23" xfId="827" applyFont="1" applyBorder="1" applyAlignment="1">
      <alignment horizontal="center" vertical="center"/>
    </xf>
    <xf numFmtId="0" fontId="256" fillId="0" borderId="19" xfId="827" applyFont="1" applyBorder="1" applyAlignment="1">
      <alignment horizontal="center" vertical="center"/>
    </xf>
    <xf numFmtId="0" fontId="256" fillId="0" borderId="21" xfId="827" applyFont="1" applyBorder="1" applyAlignment="1">
      <alignment horizontal="center" vertical="center"/>
    </xf>
    <xf numFmtId="0" fontId="256" fillId="0" borderId="23" xfId="827" applyFont="1" applyBorder="1" applyAlignment="1">
      <alignment horizontal="center" vertical="center"/>
    </xf>
    <xf numFmtId="3" fontId="90" fillId="0" borderId="18" xfId="827" applyNumberFormat="1" applyFont="1" applyFill="1" applyBorder="1" applyAlignment="1">
      <alignment horizontal="center"/>
    </xf>
    <xf numFmtId="0" fontId="120" fillId="23" borderId="18" xfId="828" applyFont="1" applyFill="1" applyBorder="1" applyAlignment="1">
      <alignment horizontal="center" vertical="center" wrapText="1"/>
    </xf>
    <xf numFmtId="0" fontId="116" fillId="0" borderId="187" xfId="0" applyFont="1" applyBorder="1" applyAlignment="1">
      <alignment horizontal="center" vertical="center"/>
    </xf>
    <xf numFmtId="0" fontId="116" fillId="0" borderId="188" xfId="0" applyFont="1" applyBorder="1" applyAlignment="1">
      <alignment horizontal="center" vertical="center"/>
    </xf>
    <xf numFmtId="0" fontId="116" fillId="0" borderId="189" xfId="0" applyFont="1" applyBorder="1" applyAlignment="1">
      <alignment horizontal="center" vertical="center"/>
    </xf>
    <xf numFmtId="3" fontId="120" fillId="0" borderId="187" xfId="828" applyNumberFormat="1" applyFont="1" applyBorder="1" applyAlignment="1">
      <alignment horizontal="center" vertical="center"/>
    </xf>
    <xf numFmtId="3" fontId="120" fillId="0" borderId="188" xfId="828" applyNumberFormat="1" applyFont="1" applyBorder="1" applyAlignment="1">
      <alignment horizontal="center" vertical="center"/>
    </xf>
    <xf numFmtId="3" fontId="120" fillId="0" borderId="189" xfId="828" applyNumberFormat="1" applyFont="1" applyBorder="1" applyAlignment="1">
      <alignment horizontal="center" vertical="center"/>
    </xf>
    <xf numFmtId="3" fontId="120" fillId="0" borderId="13" xfId="828" applyNumberFormat="1" applyFont="1" applyBorder="1" applyAlignment="1">
      <alignment horizontal="center" vertical="center"/>
    </xf>
    <xf numFmtId="3" fontId="120" fillId="0" borderId="14" xfId="828" applyNumberFormat="1" applyFont="1" applyBorder="1" applyAlignment="1">
      <alignment horizontal="center" vertical="center"/>
    </xf>
    <xf numFmtId="3" fontId="120" fillId="0" borderId="10" xfId="828" applyNumberFormat="1" applyFont="1" applyBorder="1" applyAlignment="1">
      <alignment horizontal="center" vertical="center"/>
    </xf>
    <xf numFmtId="0" fontId="116" fillId="0" borderId="13" xfId="0" applyFont="1" applyBorder="1" applyAlignment="1">
      <alignment horizontal="center" vertical="center"/>
    </xf>
    <xf numFmtId="0" fontId="116" fillId="0" borderId="14" xfId="0" applyFont="1" applyBorder="1" applyAlignment="1">
      <alignment horizontal="center" vertical="center"/>
    </xf>
    <xf numFmtId="0" fontId="116" fillId="0" borderId="10" xfId="0" applyFont="1" applyBorder="1" applyAlignment="1">
      <alignment horizontal="center" vertical="center"/>
    </xf>
    <xf numFmtId="0" fontId="116" fillId="23" borderId="18" xfId="374" applyFont="1" applyFill="1" applyBorder="1" applyAlignment="1">
      <alignment horizontal="center" vertical="center" wrapText="1"/>
    </xf>
    <xf numFmtId="0" fontId="117" fillId="23" borderId="18" xfId="374" applyFont="1" applyFill="1" applyBorder="1" applyAlignment="1">
      <alignment wrapText="1"/>
    </xf>
    <xf numFmtId="0" fontId="167" fillId="0" borderId="19" xfId="374" applyFont="1" applyFill="1" applyBorder="1" applyAlignment="1">
      <alignment horizontal="center" vertical="center" wrapText="1"/>
    </xf>
    <xf numFmtId="0" fontId="167" fillId="0" borderId="21" xfId="374" applyFont="1" applyFill="1" applyBorder="1" applyAlignment="1">
      <alignment horizontal="center" vertical="center" wrapText="1"/>
    </xf>
    <xf numFmtId="0" fontId="167" fillId="0" borderId="20" xfId="374" applyFont="1" applyFill="1" applyBorder="1" applyAlignment="1">
      <alignment horizontal="center" vertical="center" wrapText="1"/>
    </xf>
    <xf numFmtId="0" fontId="98" fillId="0" borderId="0" xfId="374" applyFont="1" applyFill="1" applyBorder="1" applyAlignment="1">
      <alignment horizontal="left" vertical="center" wrapText="1"/>
    </xf>
    <xf numFmtId="0" fontId="163" fillId="0" borderId="19" xfId="374" applyFont="1" applyFill="1" applyBorder="1" applyAlignment="1">
      <alignment horizontal="center" vertical="center" wrapText="1"/>
    </xf>
    <xf numFmtId="0" fontId="163" fillId="0" borderId="21" xfId="374" applyFont="1" applyFill="1" applyBorder="1" applyAlignment="1">
      <alignment horizontal="center" vertical="center" wrapText="1"/>
    </xf>
    <xf numFmtId="0" fontId="163" fillId="0" borderId="20" xfId="374" applyFont="1" applyFill="1" applyBorder="1" applyAlignment="1">
      <alignment horizontal="center" vertical="center" wrapText="1"/>
    </xf>
    <xf numFmtId="0" fontId="154" fillId="0" borderId="19" xfId="374" applyFont="1" applyBorder="1" applyAlignment="1">
      <alignment horizontal="center" vertical="center" wrapText="1"/>
    </xf>
    <xf numFmtId="0" fontId="154" fillId="0" borderId="21" xfId="374" applyFont="1" applyBorder="1" applyAlignment="1">
      <alignment horizontal="center" vertical="center" wrapText="1"/>
    </xf>
    <xf numFmtId="0" fontId="154" fillId="0" borderId="23" xfId="374" applyFont="1" applyBorder="1" applyAlignment="1">
      <alignment horizontal="center" vertical="center" wrapText="1"/>
    </xf>
    <xf numFmtId="0" fontId="116" fillId="0" borderId="18" xfId="374" applyFont="1" applyFill="1" applyBorder="1" applyAlignment="1">
      <alignment horizontal="center" vertical="center" wrapText="1"/>
    </xf>
    <xf numFmtId="0" fontId="117" fillId="0" borderId="18" xfId="374" applyFont="1" applyFill="1" applyBorder="1" applyAlignment="1">
      <alignment horizontal="center" vertical="center" wrapText="1"/>
    </xf>
    <xf numFmtId="3" fontId="116" fillId="23" borderId="18" xfId="374" applyNumberFormat="1" applyFont="1" applyFill="1" applyBorder="1" applyAlignment="1">
      <alignment horizontal="center" vertical="center" wrapText="1"/>
    </xf>
    <xf numFmtId="3" fontId="116" fillId="23" borderId="13" xfId="374" applyNumberFormat="1" applyFont="1" applyFill="1" applyBorder="1" applyAlignment="1">
      <alignment horizontal="center" vertical="center" wrapText="1"/>
    </xf>
    <xf numFmtId="0" fontId="164" fillId="0" borderId="19" xfId="374" applyFont="1" applyFill="1" applyBorder="1" applyAlignment="1">
      <alignment horizontal="center" vertical="center" wrapText="1"/>
    </xf>
    <xf numFmtId="0" fontId="164" fillId="0" borderId="21" xfId="374" applyFont="1" applyFill="1" applyBorder="1" applyAlignment="1">
      <alignment horizontal="center" vertical="center" wrapText="1"/>
    </xf>
    <xf numFmtId="0" fontId="164" fillId="0" borderId="20" xfId="374" applyFont="1" applyFill="1" applyBorder="1" applyAlignment="1">
      <alignment horizontal="center" vertical="center" wrapText="1"/>
    </xf>
    <xf numFmtId="0" fontId="155" fillId="0" borderId="21" xfId="374" applyFont="1" applyBorder="1" applyAlignment="1">
      <alignment horizontal="center" vertical="center" wrapText="1"/>
    </xf>
    <xf numFmtId="0" fontId="155" fillId="0" borderId="23" xfId="374" applyFont="1" applyBorder="1" applyAlignment="1">
      <alignment horizontal="center" vertical="center" wrapText="1"/>
    </xf>
    <xf numFmtId="0" fontId="155" fillId="0" borderId="19" xfId="374" applyFont="1" applyBorder="1" applyAlignment="1">
      <alignment horizontal="center" vertical="center" wrapText="1"/>
    </xf>
    <xf numFmtId="0" fontId="166" fillId="0" borderId="18" xfId="374" applyFont="1" applyFill="1" applyBorder="1" applyAlignment="1">
      <alignment horizontal="center" vertical="center" wrapText="1"/>
    </xf>
    <xf numFmtId="0" fontId="166" fillId="0" borderId="13" xfId="374" applyFont="1" applyFill="1" applyBorder="1" applyAlignment="1">
      <alignment horizontal="center" vertical="center" wrapText="1"/>
    </xf>
    <xf numFmtId="0" fontId="181" fillId="0" borderId="19" xfId="374" applyFont="1" applyBorder="1" applyAlignment="1">
      <alignment horizontal="center" vertical="center"/>
    </xf>
    <xf numFmtId="0" fontId="181" fillId="0" borderId="21" xfId="374" applyFont="1" applyBorder="1" applyAlignment="1">
      <alignment horizontal="center" vertical="center"/>
    </xf>
    <xf numFmtId="0" fontId="181" fillId="0" borderId="23" xfId="374" applyFont="1" applyBorder="1" applyAlignment="1">
      <alignment horizontal="center" vertical="center"/>
    </xf>
    <xf numFmtId="0" fontId="165" fillId="0" borderId="19" xfId="374" applyFont="1" applyFill="1" applyBorder="1" applyAlignment="1">
      <alignment horizontal="center" vertical="center" wrapText="1"/>
    </xf>
    <xf numFmtId="0" fontId="165" fillId="0" borderId="21" xfId="374" applyFont="1" applyFill="1" applyBorder="1" applyAlignment="1">
      <alignment horizontal="center" vertical="center" wrapText="1"/>
    </xf>
    <xf numFmtId="0" fontId="165" fillId="0" borderId="20" xfId="374" applyFont="1" applyFill="1" applyBorder="1" applyAlignment="1">
      <alignment horizontal="center" vertical="center" wrapText="1"/>
    </xf>
    <xf numFmtId="0" fontId="157" fillId="0" borderId="21" xfId="374" applyFont="1" applyBorder="1" applyAlignment="1">
      <alignment horizontal="center" vertical="center" wrapText="1"/>
    </xf>
    <xf numFmtId="0" fontId="157" fillId="0" borderId="23" xfId="374" applyFont="1" applyBorder="1" applyAlignment="1">
      <alignment horizontal="center" vertical="center" wrapText="1"/>
    </xf>
    <xf numFmtId="0" fontId="157" fillId="0" borderId="19" xfId="374" applyFont="1" applyBorder="1" applyAlignment="1">
      <alignment horizontal="center" vertical="center" wrapText="1"/>
    </xf>
    <xf numFmtId="0" fontId="156" fillId="0" borderId="21" xfId="374" applyFont="1" applyBorder="1" applyAlignment="1">
      <alignment horizontal="center" vertical="center" wrapText="1"/>
    </xf>
    <xf numFmtId="0" fontId="156" fillId="0" borderId="23" xfId="374" applyFont="1" applyBorder="1" applyAlignment="1">
      <alignment horizontal="center" vertical="center" wrapText="1"/>
    </xf>
    <xf numFmtId="0" fontId="156" fillId="0" borderId="19" xfId="374" applyFont="1" applyBorder="1" applyAlignment="1">
      <alignment horizontal="center" vertical="center" wrapText="1"/>
    </xf>
    <xf numFmtId="0" fontId="119" fillId="0" borderId="0" xfId="374" applyFont="1" applyBorder="1" applyAlignment="1">
      <alignment horizontal="center" wrapText="1"/>
    </xf>
    <xf numFmtId="0" fontId="116" fillId="0" borderId="13" xfId="374" applyFont="1" applyFill="1" applyBorder="1" applyAlignment="1">
      <alignment horizontal="center" vertical="center" wrapText="1"/>
    </xf>
    <xf numFmtId="0" fontId="116" fillId="0" borderId="10" xfId="374" applyFont="1" applyFill="1" applyBorder="1" applyAlignment="1">
      <alignment horizontal="center" vertical="center" wrapText="1"/>
    </xf>
    <xf numFmtId="0" fontId="60" fillId="0" borderId="0" xfId="66" applyFont="1" applyBorder="1" applyAlignment="1">
      <alignment horizontal="left" vertical="center" wrapText="1"/>
    </xf>
    <xf numFmtId="1" fontId="116" fillId="0" borderId="13" xfId="50" applyNumberFormat="1" applyFont="1" applyFill="1" applyBorder="1" applyAlignment="1">
      <alignment horizontal="center" vertical="center" wrapText="1"/>
    </xf>
    <xf numFmtId="1" fontId="116" fillId="0" borderId="10" xfId="50" applyNumberFormat="1" applyFont="1" applyFill="1" applyBorder="1" applyAlignment="1">
      <alignment horizontal="center" vertical="center" wrapText="1"/>
    </xf>
    <xf numFmtId="1" fontId="116" fillId="0" borderId="14" xfId="50" applyNumberFormat="1" applyFont="1" applyFill="1" applyBorder="1" applyAlignment="1">
      <alignment horizontal="center" vertical="center" wrapText="1"/>
    </xf>
    <xf numFmtId="1" fontId="116" fillId="0" borderId="18" xfId="50" applyNumberFormat="1" applyFont="1" applyFill="1" applyBorder="1" applyAlignment="1">
      <alignment horizontal="center" vertical="center" wrapText="1"/>
    </xf>
    <xf numFmtId="0" fontId="116" fillId="0" borderId="19" xfId="0" applyFont="1" applyFill="1" applyBorder="1" applyAlignment="1">
      <alignment horizontal="center" vertical="center" wrapText="1"/>
    </xf>
    <xf numFmtId="0" fontId="116" fillId="0" borderId="21" xfId="0" applyFont="1" applyFill="1" applyBorder="1" applyAlignment="1">
      <alignment horizontal="center" vertical="center" wrapText="1"/>
    </xf>
    <xf numFmtId="0" fontId="116" fillId="0" borderId="23" xfId="0" applyFont="1" applyFill="1" applyBorder="1" applyAlignment="1">
      <alignment horizontal="center" vertical="center" wrapText="1"/>
    </xf>
    <xf numFmtId="0" fontId="181" fillId="0" borderId="18" xfId="0" applyFont="1" applyFill="1" applyBorder="1" applyAlignment="1">
      <alignment horizontal="center" vertical="center" wrapText="1"/>
    </xf>
    <xf numFmtId="0" fontId="148" fillId="0" borderId="0" xfId="0" applyFont="1" applyAlignment="1">
      <alignment horizontal="center" vertical="center"/>
    </xf>
    <xf numFmtId="0" fontId="116" fillId="0" borderId="11" xfId="0" applyFont="1" applyFill="1" applyBorder="1" applyAlignment="1">
      <alignment horizontal="center" vertical="center" wrapText="1"/>
    </xf>
    <xf numFmtId="0" fontId="116" fillId="0" borderId="12" xfId="0" applyFont="1" applyFill="1" applyBorder="1" applyAlignment="1">
      <alignment horizontal="center" vertical="center" wrapText="1"/>
    </xf>
    <xf numFmtId="0" fontId="116" fillId="0" borderId="15" xfId="0" applyFont="1" applyFill="1" applyBorder="1" applyAlignment="1">
      <alignment horizontal="center" vertical="center" wrapText="1"/>
    </xf>
    <xf numFmtId="0" fontId="154" fillId="0" borderId="13" xfId="0" applyFont="1" applyFill="1" applyBorder="1" applyAlignment="1">
      <alignment horizontal="center" vertical="center" wrapText="1"/>
    </xf>
    <xf numFmtId="0" fontId="156" fillId="0" borderId="18" xfId="0" applyFont="1" applyFill="1" applyBorder="1" applyAlignment="1">
      <alignment horizontal="center" vertical="center" wrapText="1"/>
    </xf>
    <xf numFmtId="0" fontId="157" fillId="0" borderId="18" xfId="0" applyFont="1" applyFill="1" applyBorder="1" applyAlignment="1">
      <alignment horizontal="center" vertical="center" wrapText="1"/>
    </xf>
    <xf numFmtId="0" fontId="155" fillId="0" borderId="18" xfId="0" applyFont="1" applyFill="1" applyBorder="1" applyAlignment="1">
      <alignment horizontal="center" vertical="center" wrapText="1"/>
    </xf>
    <xf numFmtId="0" fontId="116" fillId="23" borderId="197" xfId="66" applyFont="1" applyFill="1" applyBorder="1" applyAlignment="1">
      <alignment horizontal="center" vertical="center"/>
    </xf>
    <xf numFmtId="0" fontId="116" fillId="23" borderId="199" xfId="66" applyFont="1" applyFill="1" applyBorder="1" applyAlignment="1">
      <alignment horizontal="center" vertical="center"/>
    </xf>
    <xf numFmtId="0" fontId="116" fillId="23" borderId="200" xfId="66" applyFont="1" applyFill="1" applyBorder="1" applyAlignment="1">
      <alignment horizontal="center" vertical="center"/>
    </xf>
    <xf numFmtId="0" fontId="117" fillId="0" borderId="198" xfId="66" applyFont="1" applyBorder="1" applyAlignment="1">
      <alignment horizontal="center" vertical="center"/>
    </xf>
    <xf numFmtId="0" fontId="167" fillId="0" borderId="201" xfId="66" applyFont="1" applyBorder="1" applyAlignment="1">
      <alignment horizontal="center" vertical="center"/>
    </xf>
    <xf numFmtId="0" fontId="167" fillId="0" borderId="16" xfId="66" applyFont="1" applyBorder="1" applyAlignment="1">
      <alignment horizontal="center" vertical="center"/>
    </xf>
    <xf numFmtId="0" fontId="167" fillId="0" borderId="20" xfId="66" applyFont="1" applyBorder="1" applyAlignment="1">
      <alignment horizontal="center" vertical="center"/>
    </xf>
    <xf numFmtId="0" fontId="117" fillId="0" borderId="190" xfId="66" applyFont="1" applyBorder="1" applyAlignment="1">
      <alignment horizontal="center" vertical="center"/>
    </xf>
    <xf numFmtId="1" fontId="117" fillId="0" borderId="190" xfId="66" applyNumberFormat="1" applyFont="1" applyBorder="1" applyAlignment="1">
      <alignment horizontal="center" vertical="center"/>
    </xf>
    <xf numFmtId="0" fontId="166" fillId="0" borderId="199" xfId="66" applyFont="1" applyFill="1" applyBorder="1" applyAlignment="1">
      <alignment horizontal="center" vertical="center"/>
    </xf>
    <xf numFmtId="0" fontId="166" fillId="0" borderId="200" xfId="66" applyFont="1" applyFill="1" applyBorder="1" applyAlignment="1">
      <alignment horizontal="center" vertical="center"/>
    </xf>
    <xf numFmtId="0" fontId="164" fillId="0" borderId="199" xfId="66" applyFont="1" applyFill="1" applyBorder="1" applyAlignment="1">
      <alignment horizontal="center" vertical="center"/>
    </xf>
    <xf numFmtId="0" fontId="164" fillId="0" borderId="200" xfId="66" applyFont="1" applyFill="1" applyBorder="1" applyAlignment="1">
      <alignment horizontal="center" vertical="center"/>
    </xf>
    <xf numFmtId="0" fontId="165" fillId="0" borderId="199" xfId="66" applyFont="1" applyFill="1" applyBorder="1" applyAlignment="1">
      <alignment horizontal="center" vertical="center"/>
    </xf>
    <xf numFmtId="0" fontId="165" fillId="0" borderId="200" xfId="66" applyFont="1" applyFill="1" applyBorder="1" applyAlignment="1">
      <alignment horizontal="center" vertical="center"/>
    </xf>
    <xf numFmtId="0" fontId="163" fillId="0" borderId="201" xfId="66" applyFont="1" applyBorder="1" applyAlignment="1">
      <alignment horizontal="center" vertical="center"/>
    </xf>
    <xf numFmtId="0" fontId="163" fillId="0" borderId="16" xfId="66" applyFont="1" applyBorder="1" applyAlignment="1">
      <alignment horizontal="center" vertical="center"/>
    </xf>
    <xf numFmtId="0" fontId="163" fillId="0" borderId="20" xfId="66" applyFont="1" applyBorder="1" applyAlignment="1">
      <alignment horizontal="center" vertical="center"/>
    </xf>
    <xf numFmtId="0" fontId="165" fillId="0" borderId="201" xfId="66" applyFont="1" applyBorder="1" applyAlignment="1">
      <alignment horizontal="center" vertical="center"/>
    </xf>
    <xf numFmtId="0" fontId="165" fillId="0" borderId="16" xfId="66" applyFont="1" applyBorder="1" applyAlignment="1">
      <alignment horizontal="center" vertical="center"/>
    </xf>
    <xf numFmtId="0" fontId="165" fillId="0" borderId="20" xfId="66" applyFont="1" applyBorder="1" applyAlignment="1">
      <alignment horizontal="center" vertical="center"/>
    </xf>
    <xf numFmtId="0" fontId="164" fillId="0" borderId="201" xfId="66" applyFont="1" applyFill="1" applyBorder="1" applyAlignment="1">
      <alignment horizontal="center" vertical="center"/>
    </xf>
    <xf numFmtId="0" fontId="164" fillId="0" borderId="16" xfId="66" applyFont="1" applyFill="1" applyBorder="1" applyAlignment="1">
      <alignment horizontal="center" vertical="center"/>
    </xf>
    <xf numFmtId="0" fontId="166" fillId="0" borderId="201" xfId="66" applyFont="1" applyFill="1" applyBorder="1" applyAlignment="1">
      <alignment horizontal="center" vertical="center"/>
    </xf>
    <xf numFmtId="0" fontId="116" fillId="0" borderId="190" xfId="374" applyFont="1" applyFill="1" applyBorder="1" applyAlignment="1">
      <alignment horizontal="center" vertical="center" wrapText="1"/>
    </xf>
    <xf numFmtId="0" fontId="117" fillId="0" borderId="190" xfId="374" applyFont="1" applyFill="1" applyBorder="1" applyAlignment="1">
      <alignment horizontal="center" vertical="center" wrapText="1"/>
    </xf>
    <xf numFmtId="0" fontId="163" fillId="0" borderId="199" xfId="66" applyFont="1" applyFill="1" applyBorder="1" applyAlignment="1">
      <alignment horizontal="center" vertical="center"/>
    </xf>
    <xf numFmtId="0" fontId="163" fillId="0" borderId="200" xfId="66" applyFont="1" applyFill="1" applyBorder="1" applyAlignment="1">
      <alignment horizontal="center" vertical="center"/>
    </xf>
    <xf numFmtId="0" fontId="167" fillId="0" borderId="199" xfId="66" applyFont="1" applyFill="1" applyBorder="1" applyAlignment="1">
      <alignment horizontal="center" vertical="center"/>
    </xf>
    <xf numFmtId="0" fontId="167" fillId="0" borderId="200" xfId="66" applyFont="1" applyFill="1" applyBorder="1" applyAlignment="1">
      <alignment horizontal="center" vertical="center"/>
    </xf>
    <xf numFmtId="0" fontId="116" fillId="23" borderId="198" xfId="66" applyFont="1" applyFill="1" applyBorder="1" applyAlignment="1">
      <alignment horizontal="center" vertical="center"/>
    </xf>
    <xf numFmtId="0" fontId="116" fillId="23" borderId="23" xfId="66" applyFont="1" applyFill="1" applyBorder="1" applyAlignment="1">
      <alignment horizontal="center" vertical="center"/>
    </xf>
    <xf numFmtId="0" fontId="116" fillId="0" borderId="197" xfId="66" applyFont="1" applyBorder="1" applyAlignment="1">
      <alignment horizontal="center" vertical="center"/>
    </xf>
    <xf numFmtId="0" fontId="116" fillId="0" borderId="199" xfId="66" applyFont="1" applyBorder="1" applyAlignment="1">
      <alignment horizontal="center" vertical="center"/>
    </xf>
    <xf numFmtId="0" fontId="116" fillId="0" borderId="203" xfId="66" applyFont="1" applyBorder="1" applyAlignment="1">
      <alignment horizontal="center" vertical="center"/>
    </xf>
    <xf numFmtId="0" fontId="166" fillId="0" borderId="19" xfId="66" applyFont="1" applyBorder="1" applyAlignment="1">
      <alignment horizontal="center" vertical="center"/>
    </xf>
    <xf numFmtId="0" fontId="166" fillId="0" borderId="21" xfId="66" applyFont="1" applyBorder="1" applyAlignment="1">
      <alignment horizontal="center" vertical="center"/>
    </xf>
    <xf numFmtId="0" fontId="166" fillId="0" borderId="20" xfId="66" applyFont="1" applyBorder="1" applyAlignment="1">
      <alignment horizontal="center" vertical="center"/>
    </xf>
    <xf numFmtId="0" fontId="117" fillId="0" borderId="20" xfId="66" applyFont="1" applyFill="1" applyBorder="1" applyAlignment="1">
      <alignment horizontal="center" vertical="center"/>
    </xf>
    <xf numFmtId="0" fontId="164" fillId="0" borderId="198" xfId="66" applyFont="1" applyBorder="1" applyAlignment="1">
      <alignment horizontal="center" vertical="center"/>
    </xf>
    <xf numFmtId="0" fontId="164" fillId="0" borderId="20" xfId="66" applyFont="1" applyBorder="1" applyAlignment="1">
      <alignment horizontal="center" vertical="center"/>
    </xf>
    <xf numFmtId="1" fontId="117" fillId="0" borderId="198" xfId="66" applyNumberFormat="1" applyFont="1" applyBorder="1" applyAlignment="1">
      <alignment horizontal="center" vertical="center"/>
    </xf>
    <xf numFmtId="1" fontId="117" fillId="0" borderId="21" xfId="66" applyNumberFormat="1" applyFont="1" applyBorder="1" applyAlignment="1">
      <alignment horizontal="center" vertical="center"/>
    </xf>
    <xf numFmtId="1" fontId="116" fillId="0" borderId="198" xfId="50" applyNumberFormat="1" applyFont="1" applyFill="1" applyBorder="1" applyAlignment="1">
      <alignment horizontal="center" vertical="center" wrapText="1"/>
    </xf>
    <xf numFmtId="0" fontId="116" fillId="0" borderId="197" xfId="0" applyFont="1" applyFill="1" applyBorder="1" applyAlignment="1">
      <alignment horizontal="center" vertical="center"/>
    </xf>
    <xf numFmtId="0" fontId="116" fillId="0" borderId="199" xfId="0" applyFont="1" applyFill="1" applyBorder="1" applyAlignment="1">
      <alignment horizontal="center" vertical="center"/>
    </xf>
    <xf numFmtId="0" fontId="116" fillId="0" borderId="186" xfId="0" applyFont="1" applyFill="1" applyBorder="1" applyAlignment="1">
      <alignment horizontal="center" vertical="center"/>
    </xf>
    <xf numFmtId="0" fontId="116" fillId="0" borderId="201" xfId="0" applyFont="1" applyFill="1" applyBorder="1" applyAlignment="1">
      <alignment horizontal="center" vertical="center"/>
    </xf>
    <xf numFmtId="0" fontId="116" fillId="0" borderId="110" xfId="0" applyFont="1" applyFill="1" applyBorder="1" applyAlignment="1">
      <alignment horizontal="center" vertical="center"/>
    </xf>
    <xf numFmtId="0" fontId="120" fillId="23" borderId="190" xfId="830" applyFont="1" applyFill="1" applyBorder="1" applyAlignment="1">
      <alignment horizontal="center" vertical="center"/>
    </xf>
    <xf numFmtId="0" fontId="120" fillId="23" borderId="197" xfId="830" applyFont="1" applyFill="1" applyBorder="1" applyAlignment="1">
      <alignment horizontal="center" vertical="center"/>
    </xf>
    <xf numFmtId="0" fontId="120" fillId="23" borderId="199" xfId="830" applyFont="1" applyFill="1" applyBorder="1" applyAlignment="1">
      <alignment horizontal="center" vertical="center"/>
    </xf>
    <xf numFmtId="0" fontId="120" fillId="23" borderId="200" xfId="830" applyFont="1" applyFill="1" applyBorder="1" applyAlignment="1">
      <alignment horizontal="center" vertical="center"/>
    </xf>
    <xf numFmtId="0" fontId="7" fillId="0" borderId="201" xfId="830" applyFont="1" applyFill="1" applyBorder="1" applyAlignment="1">
      <alignment horizontal="center" vertical="center" wrapText="1"/>
    </xf>
    <xf numFmtId="0" fontId="7" fillId="0" borderId="202" xfId="830" applyFont="1" applyFill="1" applyBorder="1" applyAlignment="1">
      <alignment horizontal="center" vertical="center" wrapText="1"/>
    </xf>
    <xf numFmtId="0" fontId="7" fillId="0" borderId="203" xfId="830" applyFont="1" applyFill="1" applyBorder="1" applyAlignment="1">
      <alignment horizontal="center" vertical="center" wrapText="1"/>
    </xf>
    <xf numFmtId="0" fontId="163" fillId="0" borderId="23" xfId="830" applyFont="1" applyBorder="1" applyAlignment="1">
      <alignment horizontal="center" vertical="center"/>
    </xf>
    <xf numFmtId="0" fontId="163" fillId="0" borderId="190" xfId="830" applyFont="1" applyBorder="1" applyAlignment="1">
      <alignment horizontal="center" vertical="center"/>
    </xf>
    <xf numFmtId="0" fontId="163" fillId="0" borderId="197" xfId="830" applyFont="1" applyBorder="1" applyAlignment="1">
      <alignment horizontal="center" vertical="center"/>
    </xf>
    <xf numFmtId="0" fontId="7" fillId="0" borderId="23" xfId="830" applyFont="1" applyBorder="1" applyAlignment="1">
      <alignment horizontal="center" vertical="center"/>
    </xf>
    <xf numFmtId="0" fontId="7" fillId="0" borderId="190" xfId="830" applyFont="1" applyBorder="1" applyAlignment="1">
      <alignment horizontal="center" vertical="center"/>
    </xf>
    <xf numFmtId="0" fontId="163" fillId="0" borderId="199" xfId="830" applyFont="1" applyFill="1" applyBorder="1" applyAlignment="1">
      <alignment horizontal="center" vertical="center"/>
    </xf>
    <xf numFmtId="0" fontId="163" fillId="0" borderId="200" xfId="830" applyFont="1" applyFill="1" applyBorder="1" applyAlignment="1">
      <alignment horizontal="center" vertical="center"/>
    </xf>
    <xf numFmtId="0" fontId="164" fillId="0" borderId="190" xfId="830" applyFont="1" applyBorder="1" applyAlignment="1">
      <alignment horizontal="center" vertical="center"/>
    </xf>
    <xf numFmtId="0" fontId="164" fillId="0" borderId="197" xfId="830" applyFont="1" applyBorder="1" applyAlignment="1">
      <alignment horizontal="center" vertical="center"/>
    </xf>
    <xf numFmtId="0" fontId="7" fillId="0" borderId="198" xfId="830" applyFont="1" applyBorder="1" applyAlignment="1">
      <alignment horizontal="center" vertical="center"/>
    </xf>
    <xf numFmtId="0" fontId="164" fillId="0" borderId="199" xfId="830" applyFont="1" applyFill="1" applyBorder="1" applyAlignment="1">
      <alignment horizontal="center" vertical="center"/>
    </xf>
    <xf numFmtId="0" fontId="164" fillId="0" borderId="200" xfId="830" applyFont="1" applyFill="1" applyBorder="1" applyAlignment="1">
      <alignment horizontal="center" vertical="center"/>
    </xf>
    <xf numFmtId="0" fontId="167" fillId="0" borderId="198" xfId="830" applyFont="1" applyBorder="1" applyAlignment="1">
      <alignment horizontal="center" vertical="center"/>
    </xf>
    <xf numFmtId="0" fontId="167" fillId="0" borderId="21" xfId="830" applyFont="1" applyBorder="1" applyAlignment="1">
      <alignment horizontal="center" vertical="center"/>
    </xf>
    <xf numFmtId="0" fontId="167" fillId="0" borderId="20" xfId="830" applyFont="1" applyBorder="1" applyAlignment="1">
      <alignment horizontal="center" vertical="center"/>
    </xf>
    <xf numFmtId="0" fontId="166" fillId="0" borderId="198" xfId="830" applyFont="1" applyBorder="1" applyAlignment="1">
      <alignment horizontal="center" vertical="center"/>
    </xf>
    <xf numFmtId="0" fontId="166" fillId="0" borderId="21" xfId="830" applyFont="1" applyBorder="1" applyAlignment="1">
      <alignment horizontal="center" vertical="center"/>
    </xf>
    <xf numFmtId="0" fontId="166" fillId="0" borderId="20" xfId="830" applyFont="1" applyBorder="1" applyAlignment="1">
      <alignment horizontal="center" vertical="center"/>
    </xf>
    <xf numFmtId="0" fontId="166" fillId="0" borderId="199" xfId="830" applyFont="1" applyFill="1" applyBorder="1" applyAlignment="1">
      <alignment horizontal="center" vertical="center"/>
    </xf>
    <xf numFmtId="0" fontId="166" fillId="0" borderId="200" xfId="830" applyFont="1" applyFill="1" applyBorder="1" applyAlignment="1">
      <alignment horizontal="center" vertical="center"/>
    </xf>
    <xf numFmtId="0" fontId="165" fillId="0" borderId="190" xfId="830" applyFont="1" applyBorder="1" applyAlignment="1">
      <alignment horizontal="center" vertical="center"/>
    </xf>
    <xf numFmtId="0" fontId="165" fillId="0" borderId="197" xfId="830" applyFont="1" applyBorder="1" applyAlignment="1">
      <alignment horizontal="center" vertical="center"/>
    </xf>
    <xf numFmtId="0" fontId="165" fillId="0" borderId="199" xfId="830" applyFont="1" applyFill="1" applyBorder="1" applyAlignment="1">
      <alignment horizontal="center" vertical="center"/>
    </xf>
    <xf numFmtId="0" fontId="165" fillId="0" borderId="200" xfId="830" applyFont="1" applyFill="1" applyBorder="1" applyAlignment="1">
      <alignment horizontal="center" vertical="center"/>
    </xf>
    <xf numFmtId="0" fontId="167" fillId="0" borderId="199" xfId="830" applyFont="1" applyFill="1" applyBorder="1" applyAlignment="1">
      <alignment horizontal="center" vertical="center"/>
    </xf>
    <xf numFmtId="0" fontId="167" fillId="0" borderId="200" xfId="830" applyFont="1" applyFill="1" applyBorder="1" applyAlignment="1">
      <alignment horizontal="center" vertical="center"/>
    </xf>
    <xf numFmtId="0" fontId="7" fillId="0" borderId="21" xfId="830" applyFont="1" applyBorder="1" applyAlignment="1">
      <alignment horizontal="center" vertical="center"/>
    </xf>
    <xf numFmtId="0" fontId="120" fillId="0" borderId="11" xfId="830" applyFont="1" applyFill="1" applyBorder="1" applyAlignment="1">
      <alignment horizontal="center" vertical="center" wrapText="1"/>
    </xf>
    <xf numFmtId="0" fontId="120" fillId="0" borderId="12" xfId="830" applyFont="1" applyFill="1" applyBorder="1" applyAlignment="1">
      <alignment horizontal="center" vertical="center" wrapText="1"/>
    </xf>
    <xf numFmtId="0" fontId="120" fillId="0" borderId="15" xfId="830" applyFont="1" applyFill="1" applyBorder="1" applyAlignment="1">
      <alignment horizontal="center" vertical="center" wrapText="1"/>
    </xf>
    <xf numFmtId="0" fontId="120" fillId="0" borderId="11" xfId="655" applyFont="1" applyFill="1" applyBorder="1" applyAlignment="1">
      <alignment horizontal="center" vertical="center" wrapText="1"/>
    </xf>
    <xf numFmtId="0" fontId="120" fillId="0" borderId="12" xfId="655" applyFont="1" applyFill="1" applyBorder="1" applyAlignment="1">
      <alignment horizontal="center" vertical="center" wrapText="1"/>
    </xf>
    <xf numFmtId="0" fontId="120" fillId="0" borderId="15" xfId="655" applyFont="1" applyFill="1" applyBorder="1" applyAlignment="1">
      <alignment horizontal="center" vertical="center" wrapText="1"/>
    </xf>
    <xf numFmtId="0" fontId="164" fillId="0" borderId="19" xfId="464" applyFont="1" applyFill="1" applyBorder="1" applyAlignment="1">
      <alignment horizontal="center" vertical="center"/>
    </xf>
    <xf numFmtId="0" fontId="164" fillId="0" borderId="21" xfId="464" applyFont="1" applyFill="1" applyBorder="1" applyAlignment="1">
      <alignment horizontal="center" vertical="center"/>
    </xf>
    <xf numFmtId="0" fontId="164" fillId="0" borderId="23" xfId="464" applyFont="1" applyFill="1" applyBorder="1" applyAlignment="1">
      <alignment horizontal="center" vertical="center"/>
    </xf>
    <xf numFmtId="0" fontId="167" fillId="0" borderId="19" xfId="464" applyFont="1" applyFill="1" applyBorder="1" applyAlignment="1">
      <alignment horizontal="center" vertical="center"/>
    </xf>
    <xf numFmtId="0" fontId="167" fillId="0" borderId="21" xfId="464" applyFont="1" applyFill="1" applyBorder="1" applyAlignment="1">
      <alignment horizontal="center" vertical="center"/>
    </xf>
    <xf numFmtId="0" fontId="167" fillId="0" borderId="23" xfId="464" applyFont="1" applyFill="1" applyBorder="1" applyAlignment="1">
      <alignment horizontal="center" vertical="center"/>
    </xf>
    <xf numFmtId="0" fontId="165" fillId="0" borderId="19" xfId="464" applyFont="1" applyFill="1" applyBorder="1" applyAlignment="1">
      <alignment horizontal="center" vertical="center"/>
    </xf>
    <xf numFmtId="0" fontId="165" fillId="0" borderId="21" xfId="464" applyFont="1" applyFill="1" applyBorder="1" applyAlignment="1">
      <alignment horizontal="center" vertical="center"/>
    </xf>
    <xf numFmtId="0" fontId="165" fillId="0" borderId="23" xfId="464" applyFont="1" applyFill="1" applyBorder="1" applyAlignment="1">
      <alignment horizontal="center" vertical="center"/>
    </xf>
    <xf numFmtId="0" fontId="120" fillId="0" borderId="19" xfId="464" applyFont="1" applyFill="1" applyBorder="1" applyAlignment="1">
      <alignment horizontal="center" vertical="center"/>
    </xf>
    <xf numFmtId="0" fontId="120" fillId="0" borderId="21" xfId="464" applyFont="1" applyFill="1" applyBorder="1" applyAlignment="1">
      <alignment horizontal="center" vertical="center"/>
    </xf>
    <xf numFmtId="0" fontId="120" fillId="0" borderId="23" xfId="464" applyFont="1" applyFill="1" applyBorder="1" applyAlignment="1">
      <alignment horizontal="center" vertical="center"/>
    </xf>
    <xf numFmtId="0" fontId="166" fillId="0" borderId="19" xfId="464" applyFont="1" applyFill="1" applyBorder="1" applyAlignment="1">
      <alignment horizontal="center" vertical="center"/>
    </xf>
    <xf numFmtId="0" fontId="166" fillId="0" borderId="21" xfId="464" applyFont="1" applyFill="1" applyBorder="1" applyAlignment="1">
      <alignment horizontal="center" vertical="center"/>
    </xf>
    <xf numFmtId="0" fontId="166" fillId="0" borderId="23" xfId="464" applyFont="1" applyFill="1" applyBorder="1" applyAlignment="1">
      <alignment horizontal="center" vertical="center"/>
    </xf>
    <xf numFmtId="0" fontId="163" fillId="0" borderId="19" xfId="464" applyFont="1" applyFill="1" applyBorder="1" applyAlignment="1">
      <alignment horizontal="center" vertical="center"/>
    </xf>
    <xf numFmtId="0" fontId="163" fillId="0" borderId="21" xfId="464" applyFont="1" applyFill="1" applyBorder="1" applyAlignment="1">
      <alignment horizontal="center" vertical="center"/>
    </xf>
    <xf numFmtId="0" fontId="163" fillId="0" borderId="23" xfId="464" applyFont="1" applyFill="1" applyBorder="1" applyAlignment="1">
      <alignment horizontal="center" vertical="center"/>
    </xf>
    <xf numFmtId="0" fontId="120" fillId="23" borderId="198" xfId="464" applyFont="1" applyFill="1" applyBorder="1" applyAlignment="1">
      <alignment horizontal="center" vertical="center"/>
    </xf>
    <xf numFmtId="0" fontId="120" fillId="23" borderId="23" xfId="464" applyFont="1" applyFill="1" applyBorder="1" applyAlignment="1">
      <alignment horizontal="center" vertical="center"/>
    </xf>
    <xf numFmtId="0" fontId="14" fillId="0" borderId="18" xfId="830" applyFont="1" applyBorder="1" applyAlignment="1">
      <alignment horizontal="center" vertical="center"/>
    </xf>
    <xf numFmtId="0" fontId="14" fillId="0" borderId="19" xfId="830" applyFont="1" applyBorder="1" applyAlignment="1">
      <alignment horizontal="center" vertical="center"/>
    </xf>
    <xf numFmtId="0" fontId="7" fillId="23" borderId="190" xfId="830" applyFont="1" applyFill="1" applyBorder="1" applyAlignment="1">
      <alignment horizontal="center" vertical="center"/>
    </xf>
    <xf numFmtId="0" fontId="7" fillId="23" borderId="198" xfId="830" applyFont="1" applyFill="1" applyBorder="1" applyAlignment="1">
      <alignment horizontal="center" vertical="center"/>
    </xf>
    <xf numFmtId="0" fontId="7" fillId="23" borderId="23" xfId="830" applyFont="1" applyFill="1" applyBorder="1" applyAlignment="1">
      <alignment horizontal="center" vertical="center"/>
    </xf>
    <xf numFmtId="0" fontId="120" fillId="23" borderId="19" xfId="464" applyFont="1" applyFill="1" applyBorder="1" applyAlignment="1">
      <alignment horizontal="center" vertical="center"/>
    </xf>
    <xf numFmtId="0" fontId="154" fillId="0" borderId="190" xfId="830" applyFont="1" applyBorder="1" applyAlignment="1">
      <alignment horizontal="center" vertical="center" textRotation="90"/>
    </xf>
    <xf numFmtId="0" fontId="154" fillId="0" borderId="197" xfId="830" applyFont="1" applyBorder="1" applyAlignment="1">
      <alignment horizontal="center" vertical="center" textRotation="90"/>
    </xf>
    <xf numFmtId="0" fontId="154" fillId="0" borderId="199" xfId="830" applyFont="1" applyFill="1" applyBorder="1" applyAlignment="1">
      <alignment horizontal="center" vertical="center"/>
    </xf>
    <xf numFmtId="0" fontId="154" fillId="0" borderId="200" xfId="830" applyFont="1" applyFill="1" applyBorder="1" applyAlignment="1">
      <alignment horizontal="center" vertical="center"/>
    </xf>
    <xf numFmtId="0" fontId="156" fillId="0" borderId="198" xfId="830" applyFont="1" applyBorder="1" applyAlignment="1">
      <alignment horizontal="center" vertical="center" textRotation="90"/>
    </xf>
    <xf numFmtId="0" fontId="156" fillId="0" borderId="21" xfId="830" applyFont="1" applyBorder="1" applyAlignment="1">
      <alignment horizontal="center" vertical="center" textRotation="90"/>
    </xf>
    <xf numFmtId="0" fontId="156" fillId="0" borderId="20" xfId="830" applyFont="1" applyBorder="1" applyAlignment="1">
      <alignment horizontal="center" vertical="center" textRotation="90"/>
    </xf>
    <xf numFmtId="0" fontId="156" fillId="0" borderId="199" xfId="830" applyFont="1" applyFill="1" applyBorder="1" applyAlignment="1">
      <alignment horizontal="center" vertical="center"/>
    </xf>
    <xf numFmtId="0" fontId="156" fillId="0" borderId="200" xfId="830" applyFont="1" applyFill="1" applyBorder="1" applyAlignment="1">
      <alignment horizontal="center" vertical="center"/>
    </xf>
    <xf numFmtId="0" fontId="155" fillId="0" borderId="190" xfId="830" applyFont="1" applyBorder="1" applyAlignment="1">
      <alignment horizontal="center" vertical="center" textRotation="90"/>
    </xf>
    <xf numFmtId="0" fontId="155" fillId="0" borderId="197" xfId="830" applyFont="1" applyBorder="1" applyAlignment="1">
      <alignment horizontal="center" vertical="center" textRotation="90"/>
    </xf>
    <xf numFmtId="0" fontId="155" fillId="0" borderId="199" xfId="830" applyFont="1" applyFill="1" applyBorder="1" applyAlignment="1">
      <alignment horizontal="center" vertical="center"/>
    </xf>
    <xf numFmtId="0" fontId="155" fillId="0" borderId="200" xfId="830" applyFont="1" applyFill="1" applyBorder="1" applyAlignment="1">
      <alignment horizontal="center" vertical="center"/>
    </xf>
    <xf numFmtId="0" fontId="181" fillId="0" borderId="198" xfId="830" applyFont="1" applyBorder="1" applyAlignment="1">
      <alignment horizontal="center" vertical="center" textRotation="90"/>
    </xf>
    <xf numFmtId="0" fontId="181" fillId="0" borderId="21" xfId="830" applyFont="1" applyBorder="1" applyAlignment="1">
      <alignment horizontal="center" vertical="center" textRotation="90"/>
    </xf>
    <xf numFmtId="0" fontId="181" fillId="0" borderId="20" xfId="830" applyFont="1" applyBorder="1" applyAlignment="1">
      <alignment horizontal="center" vertical="center" textRotation="90"/>
    </xf>
    <xf numFmtId="0" fontId="181" fillId="0" borderId="199" xfId="830" applyFont="1" applyFill="1" applyBorder="1" applyAlignment="1">
      <alignment horizontal="center" vertical="center"/>
    </xf>
    <xf numFmtId="0" fontId="181" fillId="0" borderId="200" xfId="830" applyFont="1" applyFill="1" applyBorder="1" applyAlignment="1">
      <alignment horizontal="center" vertical="center"/>
    </xf>
    <xf numFmtId="0" fontId="157" fillId="0" borderId="190" xfId="830" applyFont="1" applyBorder="1" applyAlignment="1">
      <alignment horizontal="center" vertical="center" textRotation="90"/>
    </xf>
    <xf numFmtId="0" fontId="157" fillId="0" borderId="197" xfId="830" applyFont="1" applyBorder="1" applyAlignment="1">
      <alignment horizontal="center" vertical="center" textRotation="90"/>
    </xf>
    <xf numFmtId="0" fontId="157" fillId="0" borderId="199" xfId="830" applyFont="1" applyFill="1" applyBorder="1" applyAlignment="1">
      <alignment horizontal="center" vertical="center"/>
    </xf>
    <xf numFmtId="0" fontId="157" fillId="0" borderId="200" xfId="830" applyFont="1" applyFill="1" applyBorder="1" applyAlignment="1">
      <alignment horizontal="center" vertical="center"/>
    </xf>
    <xf numFmtId="0" fontId="121" fillId="0" borderId="0" xfId="830" applyFont="1" applyBorder="1" applyAlignment="1">
      <alignment horizontal="left" vertical="center" wrapText="1"/>
    </xf>
    <xf numFmtId="0" fontId="14" fillId="0" borderId="13" xfId="830" applyFont="1" applyFill="1" applyBorder="1" applyAlignment="1">
      <alignment horizontal="center" vertical="center" wrapText="1"/>
    </xf>
    <xf numFmtId="0" fontId="14" fillId="0" borderId="14" xfId="830" applyFont="1" applyFill="1" applyBorder="1" applyAlignment="1">
      <alignment horizontal="center" vertical="center" wrapText="1"/>
    </xf>
    <xf numFmtId="0" fontId="14" fillId="0" borderId="15" xfId="830" applyFont="1" applyFill="1" applyBorder="1" applyAlignment="1">
      <alignment horizontal="center" vertical="center" wrapText="1"/>
    </xf>
    <xf numFmtId="0" fontId="7" fillId="0" borderId="197" xfId="830" applyFont="1" applyFill="1" applyBorder="1" applyAlignment="1">
      <alignment horizontal="center" vertical="center" wrapText="1"/>
    </xf>
    <xf numFmtId="0" fontId="7" fillId="0" borderId="199" xfId="830" applyFont="1" applyFill="1" applyBorder="1" applyAlignment="1">
      <alignment horizontal="center" vertical="center" wrapText="1"/>
    </xf>
    <xf numFmtId="0" fontId="120" fillId="0" borderId="18" xfId="655" applyFont="1" applyFill="1" applyBorder="1" applyAlignment="1">
      <alignment horizontal="center" vertical="center" wrapText="1"/>
    </xf>
    <xf numFmtId="0" fontId="120" fillId="0" borderId="19" xfId="655" applyFont="1" applyFill="1" applyBorder="1" applyAlignment="1">
      <alignment horizontal="center" vertical="center" wrapText="1"/>
    </xf>
    <xf numFmtId="0" fontId="112" fillId="0" borderId="0" xfId="830" applyFont="1" applyBorder="1" applyAlignment="1">
      <alignment horizontal="left" vertical="center" wrapText="1"/>
    </xf>
    <xf numFmtId="0" fontId="133" fillId="0" borderId="197" xfId="0" applyFont="1" applyFill="1" applyBorder="1" applyAlignment="1">
      <alignment horizontal="center" vertical="center"/>
    </xf>
    <xf numFmtId="0" fontId="133" fillId="0" borderId="200" xfId="0" applyFont="1" applyFill="1" applyBorder="1" applyAlignment="1">
      <alignment horizontal="center" vertical="center"/>
    </xf>
    <xf numFmtId="0" fontId="117" fillId="0" borderId="198" xfId="0" applyFont="1" applyBorder="1" applyAlignment="1">
      <alignment horizontal="center" vertical="center" wrapText="1"/>
    </xf>
    <xf numFmtId="0" fontId="117" fillId="0" borderId="21" xfId="0" applyFont="1" applyBorder="1" applyAlignment="1">
      <alignment horizontal="center" vertical="center" wrapText="1"/>
    </xf>
    <xf numFmtId="0" fontId="117" fillId="0" borderId="20" xfId="0" applyFont="1" applyBorder="1" applyAlignment="1">
      <alignment horizontal="center" vertical="center" wrapText="1"/>
    </xf>
    <xf numFmtId="0" fontId="164" fillId="0" borderId="199" xfId="0" applyFont="1" applyFill="1" applyBorder="1" applyAlignment="1">
      <alignment horizontal="center" vertical="center" wrapText="1"/>
    </xf>
    <xf numFmtId="0" fontId="164" fillId="0" borderId="200" xfId="0" applyFont="1" applyFill="1" applyBorder="1" applyAlignment="1">
      <alignment horizontal="center" vertical="center" wrapText="1"/>
    </xf>
    <xf numFmtId="0" fontId="116" fillId="0" borderId="198" xfId="0" applyFont="1" applyFill="1" applyBorder="1" applyAlignment="1">
      <alignment horizontal="center" vertical="center" wrapText="1"/>
    </xf>
    <xf numFmtId="0" fontId="116" fillId="0" borderId="20" xfId="0" applyFont="1" applyFill="1" applyBorder="1" applyAlignment="1">
      <alignment horizontal="center" vertical="center" wrapText="1"/>
    </xf>
    <xf numFmtId="0" fontId="116" fillId="0" borderId="201" xfId="0" applyFont="1" applyFill="1" applyBorder="1" applyAlignment="1">
      <alignment horizontal="center" vertical="center" wrapText="1"/>
    </xf>
    <xf numFmtId="0" fontId="116" fillId="0" borderId="16" xfId="0" applyFont="1" applyFill="1" applyBorder="1" applyAlignment="1">
      <alignment horizontal="center" vertical="center" wrapText="1"/>
    </xf>
    <xf numFmtId="0" fontId="116" fillId="23" borderId="19" xfId="0" applyFont="1" applyFill="1" applyBorder="1" applyAlignment="1">
      <alignment horizontal="center" vertical="center" wrapText="1"/>
    </xf>
    <xf numFmtId="0" fontId="116" fillId="23" borderId="23" xfId="0" applyFont="1" applyFill="1" applyBorder="1" applyAlignment="1">
      <alignment horizontal="center" vertical="center" wrapText="1"/>
    </xf>
    <xf numFmtId="0" fontId="120" fillId="23" borderId="19" xfId="0" applyFont="1" applyFill="1" applyBorder="1" applyAlignment="1">
      <alignment horizontal="center" vertical="center" wrapText="1"/>
    </xf>
    <xf numFmtId="0" fontId="120" fillId="23" borderId="23" xfId="0" applyFont="1" applyFill="1" applyBorder="1" applyAlignment="1">
      <alignment horizontal="center" vertical="center" wrapText="1"/>
    </xf>
    <xf numFmtId="0" fontId="116" fillId="0" borderId="18" xfId="0" applyFont="1" applyFill="1" applyBorder="1" applyAlignment="1">
      <alignment horizontal="center" vertical="center" wrapText="1"/>
    </xf>
    <xf numFmtId="0" fontId="58" fillId="0" borderId="18" xfId="0" applyFont="1" applyFill="1" applyBorder="1" applyAlignment="1">
      <alignment horizontal="center" vertical="center" wrapText="1"/>
    </xf>
    <xf numFmtId="0" fontId="116" fillId="0" borderId="197" xfId="0" applyFont="1" applyFill="1" applyBorder="1" applyAlignment="1">
      <alignment horizontal="center" vertical="center" wrapText="1"/>
    </xf>
    <xf numFmtId="0" fontId="116" fillId="0" borderId="200" xfId="0" applyFont="1" applyFill="1" applyBorder="1" applyAlignment="1">
      <alignment horizontal="center" vertical="center" wrapText="1"/>
    </xf>
    <xf numFmtId="0" fontId="116" fillId="23" borderId="198" xfId="0" applyFont="1" applyFill="1" applyBorder="1" applyAlignment="1">
      <alignment horizontal="center" vertical="center" wrapText="1"/>
    </xf>
    <xf numFmtId="0" fontId="163" fillId="0" borderId="18" xfId="0" applyFont="1" applyFill="1" applyBorder="1" applyAlignment="1">
      <alignment horizontal="center" vertical="center"/>
    </xf>
    <xf numFmtId="0" fontId="163" fillId="0" borderId="13" xfId="0" applyFont="1" applyFill="1" applyBorder="1" applyAlignment="1">
      <alignment horizontal="center" vertical="center"/>
    </xf>
    <xf numFmtId="0" fontId="135" fillId="0" borderId="18" xfId="0" applyFont="1" applyBorder="1" applyAlignment="1">
      <alignment horizontal="center" vertical="center" wrapText="1"/>
    </xf>
    <xf numFmtId="0" fontId="0" fillId="0" borderId="18" xfId="0" applyFont="1" applyBorder="1" applyAlignment="1">
      <alignment horizontal="center" vertical="center" wrapText="1"/>
    </xf>
    <xf numFmtId="0" fontId="163" fillId="0" borderId="10" xfId="0" applyFont="1" applyFill="1" applyBorder="1" applyAlignment="1">
      <alignment horizontal="center" vertical="center" wrapText="1"/>
    </xf>
    <xf numFmtId="0" fontId="163" fillId="0" borderId="18" xfId="0" applyFont="1" applyFill="1" applyBorder="1" applyAlignment="1">
      <alignment horizontal="center" vertical="center" wrapText="1"/>
    </xf>
    <xf numFmtId="0" fontId="167" fillId="0" borderId="18" xfId="0" applyFont="1" applyFill="1" applyBorder="1" applyAlignment="1">
      <alignment horizontal="center" vertical="center" wrapText="1"/>
    </xf>
    <xf numFmtId="0" fontId="156" fillId="0" borderId="13" xfId="0" applyFont="1" applyFill="1" applyBorder="1" applyAlignment="1">
      <alignment horizontal="center" vertical="center" wrapText="1"/>
    </xf>
    <xf numFmtId="0" fontId="167" fillId="0" borderId="10" xfId="0" applyFont="1" applyFill="1" applyBorder="1" applyAlignment="1">
      <alignment horizontal="center" vertical="center" wrapText="1"/>
    </xf>
    <xf numFmtId="0" fontId="165" fillId="0" borderId="18" xfId="0" applyFont="1" applyFill="1" applyBorder="1" applyAlignment="1">
      <alignment horizontal="center" vertical="center" wrapText="1"/>
    </xf>
    <xf numFmtId="0" fontId="165" fillId="0" borderId="13" xfId="0" applyFont="1" applyFill="1" applyBorder="1" applyAlignment="1">
      <alignment horizontal="center" vertical="center" wrapText="1"/>
    </xf>
    <xf numFmtId="0" fontId="165" fillId="0" borderId="10" xfId="0" applyFont="1" applyFill="1" applyBorder="1" applyAlignment="1">
      <alignment horizontal="center" vertical="center" wrapText="1"/>
    </xf>
    <xf numFmtId="0" fontId="120" fillId="23" borderId="18" xfId="0" applyFont="1" applyFill="1" applyBorder="1" applyAlignment="1">
      <alignment horizontal="center" vertical="center"/>
    </xf>
    <xf numFmtId="0" fontId="134" fillId="23" borderId="18" xfId="66" applyFont="1" applyFill="1" applyBorder="1" applyAlignment="1">
      <alignment horizontal="center" vertical="center" wrapText="1"/>
    </xf>
    <xf numFmtId="0" fontId="117" fillId="23" borderId="18" xfId="66" applyFont="1" applyFill="1" applyBorder="1" applyAlignment="1">
      <alignment horizontal="center" vertical="center" wrapText="1"/>
    </xf>
    <xf numFmtId="1" fontId="116" fillId="0" borderId="13" xfId="66" applyNumberFormat="1" applyFont="1" applyFill="1" applyBorder="1" applyAlignment="1">
      <alignment horizontal="center" vertical="center" wrapText="1"/>
    </xf>
    <xf numFmtId="1" fontId="116" fillId="0" borderId="14" xfId="66" applyNumberFormat="1" applyFont="1" applyFill="1" applyBorder="1" applyAlignment="1">
      <alignment horizontal="center" vertical="center" wrapText="1"/>
    </xf>
    <xf numFmtId="1" fontId="116" fillId="0" borderId="15" xfId="66" applyNumberFormat="1" applyFont="1" applyFill="1" applyBorder="1" applyAlignment="1">
      <alignment horizontal="center" vertical="center" wrapText="1"/>
    </xf>
    <xf numFmtId="1" fontId="116" fillId="0" borderId="201" xfId="66" applyNumberFormat="1" applyFont="1" applyFill="1" applyBorder="1" applyAlignment="1">
      <alignment horizontal="center" vertical="center" wrapText="1"/>
    </xf>
    <xf numFmtId="1" fontId="116" fillId="0" borderId="202" xfId="66" applyNumberFormat="1" applyFont="1" applyFill="1" applyBorder="1" applyAlignment="1">
      <alignment horizontal="center" vertical="center" wrapText="1"/>
    </xf>
    <xf numFmtId="1" fontId="116" fillId="0" borderId="203" xfId="66" applyNumberFormat="1" applyFont="1" applyFill="1" applyBorder="1" applyAlignment="1">
      <alignment horizontal="center" vertical="center" wrapText="1"/>
    </xf>
    <xf numFmtId="0" fontId="164" fillId="0" borderId="18" xfId="66" applyFont="1" applyFill="1" applyBorder="1" applyAlignment="1">
      <alignment horizontal="center" vertical="center" wrapText="1"/>
    </xf>
    <xf numFmtId="0" fontId="155" fillId="0" borderId="13" xfId="66" applyFont="1" applyFill="1" applyBorder="1" applyAlignment="1">
      <alignment horizontal="center" vertical="center"/>
    </xf>
    <xf numFmtId="0" fontId="172" fillId="0" borderId="19" xfId="66" applyFont="1" applyBorder="1" applyAlignment="1">
      <alignment horizontal="center" vertical="center" wrapText="1"/>
    </xf>
    <xf numFmtId="0" fontId="172" fillId="0" borderId="21" xfId="66" applyFont="1" applyBorder="1" applyAlignment="1">
      <alignment horizontal="center" vertical="center" wrapText="1"/>
    </xf>
    <xf numFmtId="0" fontId="172" fillId="0" borderId="23" xfId="66" applyFont="1" applyBorder="1" applyAlignment="1">
      <alignment horizontal="center" vertical="center" wrapText="1"/>
    </xf>
    <xf numFmtId="0" fontId="164" fillId="0" borderId="10" xfId="66" applyFont="1" applyFill="1" applyBorder="1" applyAlignment="1">
      <alignment horizontal="center" vertical="center" wrapText="1"/>
    </xf>
    <xf numFmtId="0" fontId="163" fillId="0" borderId="18" xfId="66" applyFont="1" applyFill="1" applyBorder="1" applyAlignment="1">
      <alignment horizontal="center" vertical="center" wrapText="1"/>
    </xf>
    <xf numFmtId="0" fontId="154" fillId="0" borderId="18" xfId="66" applyFont="1" applyFill="1" applyBorder="1" applyAlignment="1">
      <alignment horizontal="center" vertical="center"/>
    </xf>
    <xf numFmtId="0" fontId="154" fillId="0" borderId="13" xfId="66" applyFont="1" applyFill="1" applyBorder="1" applyAlignment="1">
      <alignment horizontal="center" vertical="center"/>
    </xf>
    <xf numFmtId="0" fontId="163" fillId="0" borderId="10" xfId="66" applyFont="1" applyFill="1" applyBorder="1" applyAlignment="1">
      <alignment horizontal="center" vertical="center" wrapText="1"/>
    </xf>
    <xf numFmtId="0" fontId="167" fillId="0" borderId="18" xfId="66" applyFont="1" applyFill="1" applyBorder="1" applyAlignment="1">
      <alignment horizontal="center" vertical="center" wrapText="1"/>
    </xf>
    <xf numFmtId="0" fontId="167" fillId="0" borderId="13" xfId="66" applyFont="1" applyFill="1" applyBorder="1" applyAlignment="1">
      <alignment horizontal="center" vertical="center" wrapText="1"/>
    </xf>
    <xf numFmtId="0" fontId="167" fillId="0" borderId="10" xfId="66" applyFont="1" applyFill="1" applyBorder="1" applyAlignment="1">
      <alignment horizontal="center" vertical="center" wrapText="1"/>
    </xf>
    <xf numFmtId="0" fontId="165" fillId="0" borderId="18" xfId="66" applyFont="1" applyFill="1" applyBorder="1" applyAlignment="1">
      <alignment horizontal="center" vertical="center" wrapText="1"/>
    </xf>
    <xf numFmtId="0" fontId="165" fillId="0" borderId="13" xfId="66" applyFont="1" applyFill="1" applyBorder="1" applyAlignment="1">
      <alignment horizontal="center" vertical="center" wrapText="1"/>
    </xf>
    <xf numFmtId="0" fontId="165" fillId="0" borderId="10" xfId="66" applyFont="1" applyFill="1" applyBorder="1" applyAlignment="1">
      <alignment horizontal="center" vertical="center" wrapText="1"/>
    </xf>
    <xf numFmtId="0" fontId="134" fillId="23" borderId="18" xfId="66" applyFont="1" applyFill="1" applyBorder="1" applyAlignment="1">
      <alignment horizontal="center" vertical="center"/>
    </xf>
    <xf numFmtId="0" fontId="117" fillId="23" borderId="18" xfId="0" applyFont="1" applyFill="1" applyBorder="1" applyAlignment="1">
      <alignment vertical="center"/>
    </xf>
    <xf numFmtId="0" fontId="133" fillId="0" borderId="13" xfId="0" applyFont="1" applyFill="1" applyBorder="1" applyAlignment="1">
      <alignment horizontal="center" vertical="center"/>
    </xf>
    <xf numFmtId="0" fontId="133" fillId="0" borderId="10" xfId="0" applyFont="1" applyFill="1" applyBorder="1" applyAlignment="1">
      <alignment horizontal="center" vertical="center"/>
    </xf>
    <xf numFmtId="0" fontId="163" fillId="0" borderId="190" xfId="0" applyFont="1" applyFill="1" applyBorder="1" applyAlignment="1">
      <alignment horizontal="center" vertical="center" wrapText="1"/>
    </xf>
    <xf numFmtId="0" fontId="163" fillId="0" borderId="13" xfId="0" applyFont="1" applyFill="1" applyBorder="1" applyAlignment="1">
      <alignment horizontal="center" vertical="center" wrapText="1"/>
    </xf>
    <xf numFmtId="0" fontId="163" fillId="0" borderId="199" xfId="0" applyFont="1" applyFill="1" applyBorder="1" applyAlignment="1">
      <alignment horizontal="center" vertical="center" wrapText="1"/>
    </xf>
    <xf numFmtId="0" fontId="163" fillId="0" borderId="200" xfId="0" applyFont="1" applyFill="1" applyBorder="1" applyAlignment="1">
      <alignment horizontal="center" vertical="center" wrapText="1"/>
    </xf>
    <xf numFmtId="0" fontId="117" fillId="0" borderId="19" xfId="0" applyFont="1" applyFill="1" applyBorder="1" applyAlignment="1">
      <alignment horizontal="center" vertical="center" wrapText="1"/>
    </xf>
    <xf numFmtId="0" fontId="117" fillId="0" borderId="21" xfId="0" applyFont="1" applyFill="1" applyBorder="1" applyAlignment="1">
      <alignment horizontal="center" vertical="center" wrapText="1"/>
    </xf>
    <xf numFmtId="0" fontId="117" fillId="0" borderId="20" xfId="0" applyFont="1" applyFill="1" applyBorder="1" applyAlignment="1">
      <alignment horizontal="center" vertical="center" wrapText="1"/>
    </xf>
    <xf numFmtId="0" fontId="117" fillId="0" borderId="19" xfId="0" applyFont="1" applyBorder="1" applyAlignment="1">
      <alignment horizontal="center" vertical="center" wrapText="1"/>
    </xf>
    <xf numFmtId="0" fontId="117" fillId="0" borderId="201" xfId="0" applyFont="1" applyBorder="1" applyAlignment="1">
      <alignment horizontal="center" vertical="center" wrapText="1"/>
    </xf>
    <xf numFmtId="0" fontId="117" fillId="0" borderId="16" xfId="0" applyFont="1" applyBorder="1" applyAlignment="1">
      <alignment horizontal="center" vertical="center" wrapText="1"/>
    </xf>
    <xf numFmtId="0" fontId="164" fillId="0" borderId="198" xfId="0" applyFont="1" applyFill="1" applyBorder="1" applyAlignment="1">
      <alignment horizontal="center" vertical="center" wrapText="1"/>
    </xf>
    <xf numFmtId="0" fontId="164" fillId="0" borderId="21" xfId="0" applyFont="1" applyFill="1" applyBorder="1" applyAlignment="1">
      <alignment horizontal="center" vertical="center" wrapText="1"/>
    </xf>
    <xf numFmtId="0" fontId="164" fillId="0" borderId="23" xfId="0" applyFont="1" applyFill="1" applyBorder="1" applyAlignment="1">
      <alignment horizontal="center" vertical="center" wrapText="1"/>
    </xf>
    <xf numFmtId="0" fontId="165" fillId="0" borderId="201" xfId="0" applyFont="1" applyFill="1" applyBorder="1" applyAlignment="1">
      <alignment horizontal="center" vertical="center" wrapText="1"/>
    </xf>
    <xf numFmtId="0" fontId="165" fillId="0" borderId="16" xfId="0" applyFont="1" applyFill="1" applyBorder="1" applyAlignment="1">
      <alignment horizontal="center" vertical="center" wrapText="1"/>
    </xf>
    <xf numFmtId="0" fontId="165" fillId="0" borderId="20" xfId="0" applyFont="1" applyFill="1" applyBorder="1" applyAlignment="1">
      <alignment horizontal="center" vertical="center" wrapText="1"/>
    </xf>
    <xf numFmtId="0" fontId="167" fillId="0" borderId="198" xfId="0" applyFont="1" applyFill="1" applyBorder="1" applyAlignment="1">
      <alignment horizontal="center" vertical="center" wrapText="1"/>
    </xf>
    <xf numFmtId="0" fontId="167" fillId="0" borderId="21" xfId="0" applyFont="1" applyFill="1" applyBorder="1" applyAlignment="1">
      <alignment horizontal="center" vertical="center" wrapText="1"/>
    </xf>
    <xf numFmtId="0" fontId="167" fillId="0" borderId="23" xfId="0" applyFont="1" applyFill="1" applyBorder="1" applyAlignment="1">
      <alignment horizontal="center" vertical="center" wrapText="1"/>
    </xf>
    <xf numFmtId="0" fontId="23" fillId="0" borderId="198" xfId="0" applyFont="1" applyFill="1" applyBorder="1" applyAlignment="1">
      <alignment horizontal="center" vertical="center" wrapText="1"/>
    </xf>
    <xf numFmtId="0" fontId="23" fillId="0" borderId="20" xfId="0" applyFont="1" applyFill="1" applyBorder="1" applyAlignment="1">
      <alignment horizontal="center" vertical="center" wrapText="1"/>
    </xf>
    <xf numFmtId="0" fontId="135" fillId="0" borderId="201" xfId="0" applyFont="1" applyFill="1" applyBorder="1" applyAlignment="1">
      <alignment horizontal="center" vertical="center" wrapText="1"/>
    </xf>
    <xf numFmtId="0" fontId="135" fillId="0" borderId="20" xfId="0" applyFont="1" applyFill="1" applyBorder="1" applyAlignment="1">
      <alignment horizontal="center" vertical="center" wrapText="1"/>
    </xf>
    <xf numFmtId="0" fontId="167" fillId="0" borderId="199" xfId="0" applyFont="1" applyFill="1" applyBorder="1" applyAlignment="1">
      <alignment horizontal="center" vertical="center" wrapText="1"/>
    </xf>
    <xf numFmtId="0" fontId="167" fillId="0" borderId="200" xfId="0" applyFont="1" applyFill="1" applyBorder="1" applyAlignment="1">
      <alignment horizontal="center" vertical="center" wrapText="1"/>
    </xf>
    <xf numFmtId="0" fontId="165" fillId="0" borderId="190" xfId="0" applyFont="1" applyFill="1" applyBorder="1" applyAlignment="1">
      <alignment horizontal="center" vertical="center" wrapText="1"/>
    </xf>
    <xf numFmtId="0" fontId="165" fillId="0" borderId="197" xfId="0" applyFont="1" applyFill="1" applyBorder="1" applyAlignment="1">
      <alignment horizontal="center" vertical="center" wrapText="1"/>
    </xf>
    <xf numFmtId="0" fontId="172" fillId="0" borderId="33" xfId="0" applyFont="1" applyBorder="1" applyAlignment="1">
      <alignment horizontal="center" vertical="center" wrapText="1"/>
    </xf>
    <xf numFmtId="0" fontId="172" fillId="0" borderId="31" xfId="0" applyFont="1" applyBorder="1" applyAlignment="1">
      <alignment horizontal="center" vertical="center" wrapText="1"/>
    </xf>
    <xf numFmtId="0" fontId="165" fillId="0" borderId="200" xfId="0" applyFont="1" applyFill="1" applyBorder="1" applyAlignment="1">
      <alignment horizontal="center" wrapText="1"/>
    </xf>
    <xf numFmtId="0" fontId="165" fillId="0" borderId="190" xfId="0" applyFont="1" applyFill="1" applyBorder="1" applyAlignment="1">
      <alignment horizontal="center" wrapText="1"/>
    </xf>
    <xf numFmtId="0" fontId="120" fillId="23" borderId="190" xfId="0" applyFont="1" applyFill="1" applyBorder="1" applyAlignment="1">
      <alignment horizontal="center"/>
    </xf>
    <xf numFmtId="0" fontId="163" fillId="0" borderId="190" xfId="0" applyFont="1" applyFill="1" applyBorder="1" applyAlignment="1">
      <alignment horizontal="center" vertical="center"/>
    </xf>
    <xf numFmtId="0" fontId="163" fillId="0" borderId="197" xfId="0" applyFont="1" applyFill="1" applyBorder="1" applyAlignment="1">
      <alignment horizontal="center" vertical="center"/>
    </xf>
    <xf numFmtId="0" fontId="172" fillId="0" borderId="190" xfId="0" applyFont="1" applyBorder="1" applyAlignment="1">
      <alignment horizontal="center" vertical="center" wrapText="1"/>
    </xf>
    <xf numFmtId="0" fontId="163" fillId="0" borderId="200" xfId="0" applyFont="1" applyFill="1" applyBorder="1" applyAlignment="1">
      <alignment horizontal="center" wrapText="1"/>
    </xf>
    <xf numFmtId="0" fontId="163" fillId="0" borderId="190" xfId="0" applyFont="1" applyFill="1" applyBorder="1" applyAlignment="1">
      <alignment horizontal="center" wrapText="1"/>
    </xf>
    <xf numFmtId="0" fontId="167" fillId="0" borderId="190" xfId="0" applyFont="1" applyFill="1" applyBorder="1" applyAlignment="1">
      <alignment horizontal="center" vertical="center" wrapText="1"/>
    </xf>
    <xf numFmtId="0" fontId="156" fillId="0" borderId="197" xfId="0" applyFont="1" applyFill="1" applyBorder="1" applyAlignment="1">
      <alignment horizontal="center" vertical="center" wrapText="1"/>
    </xf>
    <xf numFmtId="0" fontId="117" fillId="0" borderId="31" xfId="0" applyFont="1" applyBorder="1" applyAlignment="1">
      <alignment horizontal="center" vertical="center" wrapText="1"/>
    </xf>
    <xf numFmtId="0" fontId="167" fillId="0" borderId="200" xfId="0" applyFont="1" applyFill="1" applyBorder="1" applyAlignment="1">
      <alignment horizontal="center" wrapText="1"/>
    </xf>
    <xf numFmtId="0" fontId="167" fillId="0" borderId="190" xfId="0" applyFont="1" applyFill="1" applyBorder="1" applyAlignment="1">
      <alignment horizontal="center" wrapText="1"/>
    </xf>
    <xf numFmtId="0" fontId="120" fillId="0" borderId="13" xfId="464" applyFont="1" applyBorder="1" applyAlignment="1">
      <alignment horizontal="center" vertical="center"/>
    </xf>
    <xf numFmtId="0" fontId="120" fillId="0" borderId="10" xfId="464" applyFont="1" applyBorder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64" fillId="22" borderId="13" xfId="0" applyFont="1" applyFill="1" applyBorder="1" applyAlignment="1">
      <alignment horizontal="center" vertical="center"/>
    </xf>
    <xf numFmtId="0" fontId="64" fillId="22" borderId="14" xfId="0" applyFont="1" applyFill="1" applyBorder="1" applyAlignment="1">
      <alignment horizontal="center" vertical="center"/>
    </xf>
    <xf numFmtId="0" fontId="64" fillId="22" borderId="10" xfId="0" applyFont="1" applyFill="1" applyBorder="1" applyAlignment="1">
      <alignment horizontal="center" vertical="center"/>
    </xf>
    <xf numFmtId="1" fontId="64" fillId="19" borderId="13" xfId="50" applyNumberFormat="1" applyFont="1" applyFill="1" applyBorder="1" applyAlignment="1">
      <alignment horizontal="center" vertical="center" wrapText="1"/>
    </xf>
    <xf numFmtId="1" fontId="64" fillId="19" borderId="10" xfId="50" applyNumberFormat="1" applyFont="1" applyFill="1" applyBorder="1" applyAlignment="1">
      <alignment horizontal="center" vertical="center" wrapText="1"/>
    </xf>
    <xf numFmtId="1" fontId="64" fillId="19" borderId="14" xfId="50" applyNumberFormat="1" applyFont="1" applyFill="1" applyBorder="1" applyAlignment="1">
      <alignment horizontal="center" vertical="center" wrapText="1"/>
    </xf>
    <xf numFmtId="1" fontId="61" fillId="19" borderId="18" xfId="50" applyNumberFormat="1" applyFont="1" applyFill="1" applyBorder="1" applyAlignment="1">
      <alignment horizontal="center" vertical="center" wrapText="1"/>
    </xf>
    <xf numFmtId="0" fontId="61" fillId="21" borderId="13" xfId="0" applyFont="1" applyFill="1" applyBorder="1" applyAlignment="1">
      <alignment horizontal="center" vertical="center"/>
    </xf>
    <xf numFmtId="0" fontId="61" fillId="19" borderId="14" xfId="0" applyFont="1" applyFill="1" applyBorder="1" applyAlignment="1">
      <alignment horizontal="center" vertical="center"/>
    </xf>
    <xf numFmtId="0" fontId="61" fillId="19" borderId="10" xfId="0" applyFont="1" applyFill="1" applyBorder="1" applyAlignment="1">
      <alignment horizontal="center" vertical="center"/>
    </xf>
    <xf numFmtId="0" fontId="64" fillId="19" borderId="13" xfId="0" applyFont="1" applyFill="1" applyBorder="1" applyAlignment="1">
      <alignment horizontal="center" vertical="center"/>
    </xf>
    <xf numFmtId="0" fontId="64" fillId="19" borderId="14" xfId="0" applyFont="1" applyFill="1" applyBorder="1" applyAlignment="1">
      <alignment horizontal="center" vertical="center"/>
    </xf>
    <xf numFmtId="0" fontId="64" fillId="19" borderId="10" xfId="0" applyFont="1" applyFill="1" applyBorder="1" applyAlignment="1">
      <alignment horizontal="center" vertical="center"/>
    </xf>
    <xf numFmtId="1" fontId="60" fillId="19" borderId="13" xfId="50" applyNumberFormat="1" applyFont="1" applyFill="1" applyBorder="1" applyAlignment="1">
      <alignment horizontal="center" vertical="center" wrapText="1"/>
    </xf>
    <xf numFmtId="1" fontId="60" fillId="19" borderId="10" xfId="50" applyNumberFormat="1" applyFont="1" applyFill="1" applyBorder="1" applyAlignment="1">
      <alignment horizontal="center" vertical="center" wrapText="1"/>
    </xf>
    <xf numFmtId="1" fontId="60" fillId="19" borderId="14" xfId="50" applyNumberFormat="1" applyFont="1" applyFill="1" applyBorder="1" applyAlignment="1">
      <alignment horizontal="center" vertical="center" wrapText="1"/>
    </xf>
    <xf numFmtId="0" fontId="120" fillId="23" borderId="198" xfId="655" applyFont="1" applyFill="1" applyBorder="1" applyAlignment="1">
      <alignment horizontal="center" vertical="center" wrapText="1"/>
    </xf>
    <xf numFmtId="0" fontId="120" fillId="23" borderId="23" xfId="655" applyFont="1" applyFill="1" applyBorder="1" applyAlignment="1">
      <alignment horizontal="center" vertical="center" wrapText="1"/>
    </xf>
    <xf numFmtId="0" fontId="120" fillId="23" borderId="19" xfId="655" applyFont="1" applyFill="1" applyBorder="1" applyAlignment="1">
      <alignment horizontal="center" vertical="center" wrapText="1"/>
    </xf>
    <xf numFmtId="0" fontId="24" fillId="0" borderId="18" xfId="655" applyFont="1" applyFill="1" applyBorder="1" applyAlignment="1">
      <alignment horizontal="center" vertical="center" wrapText="1"/>
    </xf>
    <xf numFmtId="0" fontId="135" fillId="0" borderId="19" xfId="655" applyFont="1" applyBorder="1" applyAlignment="1">
      <alignment horizontal="center" vertical="center" wrapText="1"/>
    </xf>
    <xf numFmtId="0" fontId="135" fillId="0" borderId="23" xfId="655" applyFont="1" applyBorder="1" applyAlignment="1">
      <alignment horizontal="center" vertical="center" wrapText="1"/>
    </xf>
    <xf numFmtId="0" fontId="135" fillId="0" borderId="21" xfId="655" applyFont="1" applyBorder="1" applyAlignment="1">
      <alignment horizontal="center" vertical="center" wrapText="1"/>
    </xf>
    <xf numFmtId="0" fontId="117" fillId="0" borderId="19" xfId="655" applyFont="1" applyFill="1" applyBorder="1" applyAlignment="1">
      <alignment horizontal="center" vertical="center" wrapText="1"/>
    </xf>
    <xf numFmtId="0" fontId="117" fillId="0" borderId="23" xfId="655" applyFont="1" applyFill="1" applyBorder="1" applyAlignment="1">
      <alignment horizontal="center" vertical="center" wrapText="1"/>
    </xf>
    <xf numFmtId="0" fontId="135" fillId="0" borderId="15" xfId="655" applyFont="1" applyBorder="1" applyAlignment="1">
      <alignment horizontal="center" vertical="center" wrapText="1"/>
    </xf>
    <xf numFmtId="0" fontId="135" fillId="0" borderId="22" xfId="655" applyFont="1" applyBorder="1" applyAlignment="1">
      <alignment horizontal="center" vertical="center" wrapText="1"/>
    </xf>
    <xf numFmtId="0" fontId="165" fillId="0" borderId="10" xfId="655" applyFont="1" applyFill="1" applyBorder="1" applyAlignment="1">
      <alignment horizontal="center" vertical="center" wrapText="1"/>
    </xf>
    <xf numFmtId="0" fontId="165" fillId="0" borderId="18" xfId="655" applyFont="1" applyFill="1" applyBorder="1" applyAlignment="1">
      <alignment horizontal="center" vertical="center" wrapText="1"/>
    </xf>
    <xf numFmtId="0" fontId="120" fillId="23" borderId="18" xfId="655" applyFont="1" applyFill="1" applyBorder="1" applyAlignment="1">
      <alignment horizontal="center" vertical="center"/>
    </xf>
    <xf numFmtId="0" fontId="163" fillId="0" borderId="19" xfId="655" applyFont="1" applyFill="1" applyBorder="1" applyAlignment="1">
      <alignment horizontal="center" vertical="center"/>
    </xf>
    <xf numFmtId="0" fontId="163" fillId="0" borderId="21" xfId="655" applyFont="1" applyFill="1" applyBorder="1" applyAlignment="1">
      <alignment horizontal="center" vertical="center"/>
    </xf>
    <xf numFmtId="0" fontId="163" fillId="0" borderId="20" xfId="655" applyFont="1" applyFill="1" applyBorder="1" applyAlignment="1">
      <alignment horizontal="center" vertical="center"/>
    </xf>
    <xf numFmtId="0" fontId="163" fillId="0" borderId="10" xfId="655" applyFont="1" applyFill="1" applyBorder="1" applyAlignment="1">
      <alignment horizontal="center" vertical="center" wrapText="1"/>
    </xf>
    <xf numFmtId="0" fontId="163" fillId="0" borderId="18" xfId="655" applyFont="1" applyFill="1" applyBorder="1" applyAlignment="1">
      <alignment horizontal="center" vertical="center" wrapText="1"/>
    </xf>
    <xf numFmtId="0" fontId="164" fillId="0" borderId="10" xfId="655" applyFont="1" applyFill="1" applyBorder="1" applyAlignment="1">
      <alignment horizontal="center" vertical="center" wrapText="1"/>
    </xf>
    <xf numFmtId="0" fontId="164" fillId="0" borderId="18" xfId="655" applyFont="1" applyFill="1" applyBorder="1" applyAlignment="1">
      <alignment vertical="center"/>
    </xf>
    <xf numFmtId="0" fontId="167" fillId="0" borderId="18" xfId="655" applyFont="1" applyFill="1" applyBorder="1" applyAlignment="1">
      <alignment horizontal="center" vertical="center" wrapText="1"/>
    </xf>
    <xf numFmtId="0" fontId="156" fillId="0" borderId="18" xfId="655" applyFont="1" applyFill="1" applyBorder="1" applyAlignment="1">
      <alignment horizontal="center" vertical="center" wrapText="1"/>
    </xf>
    <xf numFmtId="0" fontId="156" fillId="0" borderId="13" xfId="655" applyFont="1" applyFill="1" applyBorder="1" applyAlignment="1">
      <alignment horizontal="center" vertical="center" wrapText="1"/>
    </xf>
    <xf numFmtId="0" fontId="24" fillId="0" borderId="18" xfId="655" applyFont="1" applyBorder="1" applyAlignment="1">
      <alignment horizontal="center" vertical="center" wrapText="1"/>
    </xf>
    <xf numFmtId="0" fontId="167" fillId="0" borderId="10" xfId="655" applyFont="1" applyFill="1" applyBorder="1" applyAlignment="1">
      <alignment horizontal="center" vertical="center" wrapText="1"/>
    </xf>
    <xf numFmtId="0" fontId="164" fillId="0" borderId="19" xfId="655" applyFont="1" applyFill="1" applyBorder="1" applyAlignment="1">
      <alignment horizontal="center" vertical="center" wrapText="1"/>
    </xf>
    <xf numFmtId="0" fontId="164" fillId="0" borderId="21" xfId="655" applyFont="1" applyFill="1" applyBorder="1" applyAlignment="1">
      <alignment horizontal="center" vertical="center" wrapText="1"/>
    </xf>
    <xf numFmtId="0" fontId="164" fillId="0" borderId="23" xfId="655" applyFont="1" applyFill="1" applyBorder="1" applyAlignment="1">
      <alignment horizontal="center" vertical="center" wrapText="1"/>
    </xf>
    <xf numFmtId="0" fontId="24" fillId="0" borderId="19" xfId="655" applyFont="1" applyBorder="1" applyAlignment="1">
      <alignment horizontal="center" vertical="center" wrapText="1"/>
    </xf>
    <xf numFmtId="0" fontId="24" fillId="0" borderId="21" xfId="655" applyFont="1" applyBorder="1" applyAlignment="1">
      <alignment horizontal="center" vertical="center" wrapText="1"/>
    </xf>
    <xf numFmtId="0" fontId="24" fillId="0" borderId="23" xfId="655" applyFont="1" applyBorder="1" applyAlignment="1">
      <alignment horizontal="center" vertical="center" wrapText="1"/>
    </xf>
    <xf numFmtId="0" fontId="165" fillId="0" borderId="11" xfId="655" applyFont="1" applyFill="1" applyBorder="1" applyAlignment="1">
      <alignment horizontal="center" vertical="center" wrapText="1"/>
    </xf>
    <xf numFmtId="0" fontId="165" fillId="0" borderId="16" xfId="655" applyFont="1" applyFill="1" applyBorder="1" applyAlignment="1">
      <alignment horizontal="center" vertical="center" wrapText="1"/>
    </xf>
    <xf numFmtId="0" fontId="165" fillId="0" borderId="20" xfId="655" applyFont="1" applyFill="1" applyBorder="1" applyAlignment="1">
      <alignment horizontal="center" vertical="center" wrapText="1"/>
    </xf>
    <xf numFmtId="0" fontId="117" fillId="0" borderId="21" xfId="655" applyFont="1" applyFill="1" applyBorder="1" applyAlignment="1">
      <alignment horizontal="center" vertical="center" wrapText="1"/>
    </xf>
    <xf numFmtId="0" fontId="120" fillId="33" borderId="19" xfId="655" applyFont="1" applyFill="1" applyBorder="1" applyAlignment="1">
      <alignment horizontal="center" vertical="center" wrapText="1"/>
    </xf>
    <xf numFmtId="0" fontId="120" fillId="33" borderId="23" xfId="655" applyFont="1" applyFill="1" applyBorder="1" applyAlignment="1">
      <alignment horizontal="center" vertical="center" wrapText="1"/>
    </xf>
    <xf numFmtId="0" fontId="60" fillId="0" borderId="0" xfId="0" applyFont="1" applyAlignment="1">
      <alignment horizontal="center" vertical="center" wrapText="1"/>
    </xf>
    <xf numFmtId="0" fontId="4" fillId="0" borderId="13" xfId="830" applyFont="1" applyBorder="1" applyAlignment="1">
      <alignment horizontal="center" vertical="center" wrapText="1"/>
    </xf>
    <xf numFmtId="0" fontId="14" fillId="0" borderId="14" xfId="830" applyFont="1" applyBorder="1" applyAlignment="1">
      <alignment horizontal="center" vertical="center" wrapText="1"/>
    </xf>
    <xf numFmtId="0" fontId="14" fillId="0" borderId="15" xfId="830" applyFont="1" applyBorder="1" applyAlignment="1">
      <alignment horizontal="center" vertical="center" wrapText="1"/>
    </xf>
    <xf numFmtId="0" fontId="120" fillId="23" borderId="19" xfId="830" applyFont="1" applyFill="1" applyBorder="1" applyAlignment="1">
      <alignment horizontal="center" vertical="center"/>
    </xf>
    <xf numFmtId="0" fontId="120" fillId="23" borderId="23" xfId="830" applyFont="1" applyFill="1" applyBorder="1" applyAlignment="1">
      <alignment horizontal="center" vertical="center"/>
    </xf>
    <xf numFmtId="0" fontId="4" fillId="0" borderId="13" xfId="830" applyFont="1" applyFill="1" applyBorder="1" applyAlignment="1">
      <alignment horizontal="center" vertical="center" wrapText="1"/>
    </xf>
    <xf numFmtId="0" fontId="156" fillId="0" borderId="14" xfId="830" applyFont="1" applyBorder="1" applyAlignment="1">
      <alignment horizontal="center" vertical="center"/>
    </xf>
    <xf numFmtId="0" fontId="156" fillId="0" borderId="10" xfId="830" applyFont="1" applyBorder="1" applyAlignment="1">
      <alignment horizontal="center" vertical="center"/>
    </xf>
    <xf numFmtId="0" fontId="157" fillId="0" borderId="19" xfId="830" applyFont="1" applyBorder="1" applyAlignment="1">
      <alignment horizontal="center" vertical="center"/>
    </xf>
    <xf numFmtId="0" fontId="157" fillId="0" borderId="20" xfId="830" applyFont="1" applyBorder="1" applyAlignment="1">
      <alignment horizontal="center" vertical="center"/>
    </xf>
    <xf numFmtId="0" fontId="157" fillId="0" borderId="14" xfId="830" applyFont="1" applyBorder="1" applyAlignment="1">
      <alignment horizontal="center" vertical="center"/>
    </xf>
    <xf numFmtId="0" fontId="157" fillId="0" borderId="10" xfId="830" applyFont="1" applyBorder="1" applyAlignment="1">
      <alignment horizontal="center" vertical="center"/>
    </xf>
    <xf numFmtId="0" fontId="120" fillId="23" borderId="13" xfId="830" applyFont="1" applyFill="1" applyBorder="1" applyAlignment="1">
      <alignment horizontal="center"/>
    </xf>
    <xf numFmtId="0" fontId="120" fillId="23" borderId="14" xfId="830" applyFont="1" applyFill="1" applyBorder="1" applyAlignment="1">
      <alignment horizontal="center"/>
    </xf>
    <xf numFmtId="0" fontId="120" fillId="23" borderId="10" xfId="830" applyFont="1" applyFill="1" applyBorder="1" applyAlignment="1">
      <alignment horizontal="center"/>
    </xf>
    <xf numFmtId="0" fontId="154" fillId="0" borderId="14" xfId="830" applyFont="1" applyBorder="1" applyAlignment="1">
      <alignment horizontal="center" vertical="center"/>
    </xf>
    <xf numFmtId="0" fontId="154" fillId="0" borderId="10" xfId="830" applyFont="1" applyBorder="1" applyAlignment="1">
      <alignment horizontal="center" vertical="center"/>
    </xf>
    <xf numFmtId="0" fontId="156" fillId="0" borderId="19" xfId="830" applyFont="1" applyBorder="1" applyAlignment="1">
      <alignment horizontal="center" vertical="center"/>
    </xf>
    <xf numFmtId="0" fontId="156" fillId="0" borderId="21" xfId="830" applyFont="1" applyBorder="1" applyAlignment="1">
      <alignment horizontal="center" vertical="center"/>
    </xf>
    <xf numFmtId="0" fontId="156" fillId="0" borderId="20" xfId="830" applyFont="1" applyBorder="1" applyAlignment="1">
      <alignment horizontal="center" vertical="center"/>
    </xf>
    <xf numFmtId="0" fontId="120" fillId="23" borderId="13" xfId="830" applyFont="1" applyFill="1" applyBorder="1" applyAlignment="1">
      <alignment horizontal="center" vertical="center"/>
    </xf>
    <xf numFmtId="0" fontId="120" fillId="23" borderId="14" xfId="830" applyFont="1" applyFill="1" applyBorder="1" applyAlignment="1">
      <alignment horizontal="center" vertical="center"/>
    </xf>
    <xf numFmtId="0" fontId="120" fillId="23" borderId="10" xfId="830" applyFont="1" applyFill="1" applyBorder="1" applyAlignment="1">
      <alignment horizontal="center" vertical="center"/>
    </xf>
    <xf numFmtId="0" fontId="154" fillId="0" borderId="19" xfId="830" applyFont="1" applyBorder="1" applyAlignment="1">
      <alignment horizontal="center" vertical="center"/>
    </xf>
    <xf numFmtId="0" fontId="154" fillId="0" borderId="16" xfId="830" applyFont="1" applyBorder="1" applyAlignment="1">
      <alignment horizontal="center" vertical="center"/>
    </xf>
    <xf numFmtId="0" fontId="154" fillId="0" borderId="20" xfId="830" applyFont="1" applyBorder="1" applyAlignment="1">
      <alignment horizontal="center" vertical="center"/>
    </xf>
    <xf numFmtId="0" fontId="156" fillId="0" borderId="16" xfId="830" applyFont="1" applyBorder="1" applyAlignment="1">
      <alignment horizontal="center" vertical="center"/>
    </xf>
    <xf numFmtId="0" fontId="156" fillId="0" borderId="201" xfId="830" applyFont="1" applyBorder="1" applyAlignment="1">
      <alignment horizontal="center" vertical="center"/>
    </xf>
    <xf numFmtId="0" fontId="157" fillId="0" borderId="11" xfId="830" applyFont="1" applyBorder="1" applyAlignment="1">
      <alignment horizontal="center" vertical="center"/>
    </xf>
    <xf numFmtId="0" fontId="120" fillId="23" borderId="11" xfId="830" applyFont="1" applyFill="1" applyBorder="1" applyAlignment="1">
      <alignment horizontal="center" vertical="center"/>
    </xf>
    <xf numFmtId="0" fontId="2" fillId="0" borderId="198" xfId="830" applyFont="1" applyBorder="1" applyAlignment="1">
      <alignment horizontal="center" vertical="center"/>
    </xf>
    <xf numFmtId="0" fontId="2" fillId="0" borderId="23" xfId="830" applyFont="1" applyBorder="1" applyAlignment="1">
      <alignment horizontal="center" vertical="center"/>
    </xf>
    <xf numFmtId="0" fontId="155" fillId="0" borderId="199" xfId="830" applyFont="1" applyBorder="1" applyAlignment="1">
      <alignment horizontal="center" vertical="center"/>
    </xf>
    <xf numFmtId="0" fontId="155" fillId="0" borderId="200" xfId="830" applyFont="1" applyBorder="1" applyAlignment="1">
      <alignment horizontal="center" vertical="center"/>
    </xf>
    <xf numFmtId="0" fontId="2" fillId="0" borderId="13" xfId="830" applyFont="1" applyBorder="1" applyAlignment="1">
      <alignment horizontal="center" vertical="center" wrapText="1"/>
    </xf>
    <xf numFmtId="0" fontId="2" fillId="0" borderId="13" xfId="830" applyFont="1" applyFill="1" applyBorder="1" applyAlignment="1">
      <alignment horizontal="center" vertical="center" wrapText="1"/>
    </xf>
    <xf numFmtId="0" fontId="155" fillId="0" borderId="198" xfId="830" applyFont="1" applyBorder="1" applyAlignment="1">
      <alignment horizontal="center" vertical="center"/>
    </xf>
    <xf numFmtId="0" fontId="155" fillId="0" borderId="20" xfId="830" applyFont="1" applyBorder="1" applyAlignment="1">
      <alignment horizontal="center" vertical="center"/>
    </xf>
    <xf numFmtId="0" fontId="14" fillId="0" borderId="21" xfId="830" applyFont="1" applyBorder="1" applyAlignment="1">
      <alignment horizontal="center" vertical="center"/>
    </xf>
    <xf numFmtId="0" fontId="14" fillId="0" borderId="23" xfId="830" applyFont="1" applyBorder="1" applyAlignment="1">
      <alignment horizontal="center" vertical="center"/>
    </xf>
    <xf numFmtId="0" fontId="14" fillId="0" borderId="198" xfId="830" applyFont="1" applyBorder="1" applyAlignment="1">
      <alignment horizontal="center" vertical="center"/>
    </xf>
    <xf numFmtId="0" fontId="157" fillId="0" borderId="201" xfId="830" applyFont="1" applyBorder="1" applyAlignment="1">
      <alignment horizontal="center" vertical="center"/>
    </xf>
    <xf numFmtId="0" fontId="157" fillId="0" borderId="16" xfId="830" applyFont="1" applyBorder="1" applyAlignment="1">
      <alignment horizontal="center" vertical="center"/>
    </xf>
    <xf numFmtId="0" fontId="157" fillId="23" borderId="13" xfId="0" applyFont="1" applyFill="1" applyBorder="1" applyAlignment="1">
      <alignment horizontal="center" vertical="center"/>
    </xf>
    <xf numFmtId="0" fontId="157" fillId="23" borderId="10" xfId="0" applyFont="1" applyFill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116" fillId="0" borderId="18" xfId="0" applyFont="1" applyBorder="1" applyAlignment="1">
      <alignment horizontal="center" vertical="center"/>
    </xf>
    <xf numFmtId="0" fontId="117" fillId="0" borderId="18" xfId="0" applyFont="1" applyBorder="1" applyAlignment="1">
      <alignment horizontal="center"/>
    </xf>
    <xf numFmtId="0" fontId="117" fillId="0" borderId="19" xfId="0" applyFont="1" applyBorder="1" applyAlignment="1">
      <alignment horizontal="center"/>
    </xf>
    <xf numFmtId="0" fontId="7" fillId="0" borderId="18" xfId="0" applyFont="1" applyFill="1" applyBorder="1" applyAlignment="1">
      <alignment horizontal="center" vertical="center"/>
    </xf>
    <xf numFmtId="0" fontId="154" fillId="23" borderId="18" xfId="0" applyFont="1" applyFill="1" applyBorder="1" applyAlignment="1">
      <alignment horizontal="center" vertical="center"/>
    </xf>
    <xf numFmtId="0" fontId="155" fillId="23" borderId="13" xfId="0" applyFont="1" applyFill="1" applyBorder="1" applyAlignment="1">
      <alignment horizontal="center" vertical="center"/>
    </xf>
    <xf numFmtId="0" fontId="155" fillId="23" borderId="10" xfId="0" applyFont="1" applyFill="1" applyBorder="1" applyAlignment="1">
      <alignment horizontal="center" vertical="center"/>
    </xf>
    <xf numFmtId="0" fontId="156" fillId="23" borderId="13" xfId="0" applyFont="1" applyFill="1" applyBorder="1" applyAlignment="1">
      <alignment horizontal="center" vertical="center"/>
    </xf>
    <xf numFmtId="0" fontId="156" fillId="23" borderId="10" xfId="0" applyFont="1" applyFill="1" applyBorder="1" applyAlignment="1">
      <alignment horizontal="center" vertical="center"/>
    </xf>
    <xf numFmtId="0" fontId="116" fillId="23" borderId="198" xfId="0" applyFont="1" applyFill="1" applyBorder="1" applyAlignment="1">
      <alignment horizontal="center" vertical="center"/>
    </xf>
    <xf numFmtId="0" fontId="116" fillId="23" borderId="23" xfId="0" applyFont="1" applyFill="1" applyBorder="1" applyAlignment="1">
      <alignment horizontal="center" vertical="center"/>
    </xf>
    <xf numFmtId="0" fontId="154" fillId="20" borderId="18" xfId="0" applyFont="1" applyFill="1" applyBorder="1" applyAlignment="1">
      <alignment horizontal="center" vertical="center"/>
    </xf>
    <xf numFmtId="0" fontId="155" fillId="20" borderId="19" xfId="0" applyFont="1" applyFill="1" applyBorder="1" applyAlignment="1">
      <alignment horizontal="center" vertical="center"/>
    </xf>
    <xf numFmtId="0" fontId="155" fillId="20" borderId="23" xfId="0" applyFont="1" applyFill="1" applyBorder="1" applyAlignment="1">
      <alignment horizontal="center" vertical="center"/>
    </xf>
    <xf numFmtId="0" fontId="156" fillId="20" borderId="18" xfId="0" applyFont="1" applyFill="1" applyBorder="1" applyAlignment="1">
      <alignment horizontal="center" vertical="center"/>
    </xf>
    <xf numFmtId="0" fontId="157" fillId="0" borderId="18" xfId="0" applyFont="1" applyFill="1" applyBorder="1" applyAlignment="1">
      <alignment horizontal="center" vertical="center"/>
    </xf>
    <xf numFmtId="167" fontId="138" fillId="0" borderId="185" xfId="831" applyNumberFormat="1" applyFont="1" applyFill="1" applyBorder="1" applyAlignment="1">
      <alignment horizontal="center" vertical="center"/>
    </xf>
    <xf numFmtId="167" fontId="138" fillId="0" borderId="110" xfId="831" applyNumberFormat="1" applyFont="1" applyFill="1" applyBorder="1" applyAlignment="1">
      <alignment horizontal="center" vertical="center"/>
    </xf>
    <xf numFmtId="167" fontId="138" fillId="0" borderId="186" xfId="831" applyNumberFormat="1" applyFont="1" applyFill="1" applyBorder="1" applyAlignment="1">
      <alignment horizontal="center" vertical="center"/>
    </xf>
    <xf numFmtId="0" fontId="162" fillId="0" borderId="184" xfId="66" applyFont="1" applyFill="1" applyBorder="1" applyAlignment="1">
      <alignment horizontal="center" vertical="center"/>
    </xf>
    <xf numFmtId="0" fontId="138" fillId="23" borderId="184" xfId="45" applyFont="1" applyFill="1" applyBorder="1" applyAlignment="1">
      <alignment horizontal="center" vertical="center"/>
    </xf>
    <xf numFmtId="0" fontId="125" fillId="23" borderId="23" xfId="45" applyFont="1" applyFill="1" applyBorder="1" applyAlignment="1">
      <alignment horizontal="center" vertical="center"/>
    </xf>
    <xf numFmtId="0" fontId="138" fillId="23" borderId="110" xfId="45" applyFont="1" applyFill="1" applyBorder="1" applyAlignment="1">
      <alignment horizontal="center" vertical="center"/>
    </xf>
    <xf numFmtId="0" fontId="125" fillId="23" borderId="24" xfId="45" applyFont="1" applyFill="1" applyBorder="1" applyAlignment="1">
      <alignment horizontal="center" vertical="center"/>
    </xf>
    <xf numFmtId="0" fontId="158" fillId="0" borderId="184" xfId="66" applyFont="1" applyFill="1" applyBorder="1" applyAlignment="1">
      <alignment horizontal="center" vertical="center"/>
    </xf>
    <xf numFmtId="0" fontId="161" fillId="0" borderId="184" xfId="66" applyFont="1" applyFill="1" applyBorder="1" applyAlignment="1">
      <alignment horizontal="center" vertical="center"/>
    </xf>
    <xf numFmtId="0" fontId="159" fillId="0" borderId="184" xfId="66" applyFont="1" applyFill="1" applyBorder="1" applyAlignment="1">
      <alignment horizontal="center" vertical="center"/>
    </xf>
    <xf numFmtId="0" fontId="138" fillId="23" borderId="23" xfId="45" applyFont="1" applyFill="1" applyBorder="1" applyAlignment="1">
      <alignment horizontal="center" vertical="center"/>
    </xf>
    <xf numFmtId="0" fontId="138" fillId="23" borderId="186" xfId="45" applyFont="1" applyFill="1" applyBorder="1" applyAlignment="1">
      <alignment horizontal="center" vertical="center"/>
    </xf>
    <xf numFmtId="0" fontId="125" fillId="23" borderId="22" xfId="45" applyFont="1" applyFill="1" applyBorder="1" applyAlignment="1">
      <alignment horizontal="center" vertical="center"/>
    </xf>
    <xf numFmtId="0" fontId="160" fillId="0" borderId="184" xfId="66" applyFont="1" applyFill="1" applyBorder="1" applyAlignment="1">
      <alignment horizontal="center" vertical="center"/>
    </xf>
    <xf numFmtId="0" fontId="138" fillId="23" borderId="187" xfId="45" applyFont="1" applyFill="1" applyBorder="1" applyAlignment="1">
      <alignment horizontal="center" vertical="center"/>
    </xf>
    <xf numFmtId="0" fontId="138" fillId="23" borderId="189" xfId="45" applyFont="1" applyFill="1" applyBorder="1" applyAlignment="1">
      <alignment horizontal="center" vertical="center"/>
    </xf>
    <xf numFmtId="0" fontId="280" fillId="0" borderId="0" xfId="45" applyFont="1" applyFill="1" applyBorder="1" applyAlignment="1">
      <alignment horizontal="left" vertical="center" wrapText="1"/>
    </xf>
    <xf numFmtId="0" fontId="280" fillId="0" borderId="0" xfId="45" applyFont="1" applyFill="1" applyBorder="1" applyAlignment="1">
      <alignment horizontal="center" vertical="center" wrapText="1"/>
    </xf>
    <xf numFmtId="0" fontId="120" fillId="0" borderId="13" xfId="635" applyFont="1" applyBorder="1" applyAlignment="1">
      <alignment horizontal="center"/>
    </xf>
    <xf numFmtId="0" fontId="120" fillId="0" borderId="14" xfId="635" applyFont="1" applyBorder="1" applyAlignment="1">
      <alignment horizontal="center"/>
    </xf>
    <xf numFmtId="0" fontId="120" fillId="0" borderId="15" xfId="635" applyFont="1" applyBorder="1" applyAlignment="1">
      <alignment horizontal="center"/>
    </xf>
    <xf numFmtId="0" fontId="121" fillId="0" borderId="0" xfId="635" applyFont="1" applyAlignment="1">
      <alignment horizontal="left" vertical="center" wrapText="1"/>
    </xf>
    <xf numFmtId="0" fontId="192" fillId="0" borderId="0" xfId="635" applyFont="1" applyAlignment="1">
      <alignment horizontal="left" vertical="center" wrapText="1"/>
    </xf>
    <xf numFmtId="0" fontId="148" fillId="0" borderId="0" xfId="635" applyFont="1" applyAlignment="1">
      <alignment horizontal="left" vertical="center" wrapText="1"/>
    </xf>
    <xf numFmtId="0" fontId="166" fillId="0" borderId="19" xfId="639" applyFont="1" applyFill="1" applyBorder="1" applyAlignment="1">
      <alignment horizontal="center" vertical="center"/>
    </xf>
    <xf numFmtId="0" fontId="166" fillId="0" borderId="21" xfId="639" applyFont="1" applyFill="1" applyBorder="1" applyAlignment="1">
      <alignment horizontal="center" vertical="center"/>
    </xf>
    <xf numFmtId="0" fontId="166" fillId="0" borderId="23" xfId="639" applyFont="1" applyFill="1" applyBorder="1" applyAlignment="1">
      <alignment horizontal="center" vertical="center"/>
    </xf>
    <xf numFmtId="0" fontId="164" fillId="0" borderId="11" xfId="639" applyFont="1" applyFill="1" applyBorder="1" applyAlignment="1">
      <alignment horizontal="center" vertical="center"/>
    </xf>
    <xf numFmtId="0" fontId="164" fillId="0" borderId="16" xfId="639" applyFont="1" applyFill="1" applyBorder="1" applyAlignment="1">
      <alignment horizontal="center" vertical="center"/>
    </xf>
    <xf numFmtId="0" fontId="164" fillId="0" borderId="20" xfId="639" applyFont="1" applyFill="1" applyBorder="1" applyAlignment="1">
      <alignment horizontal="center" vertical="center"/>
    </xf>
    <xf numFmtId="0" fontId="163" fillId="0" borderId="19" xfId="639" applyFont="1" applyFill="1" applyBorder="1" applyAlignment="1">
      <alignment horizontal="center" vertical="center"/>
    </xf>
    <xf numFmtId="0" fontId="163" fillId="0" borderId="21" xfId="639" applyFont="1" applyFill="1" applyBorder="1" applyAlignment="1">
      <alignment horizontal="center" vertical="center"/>
    </xf>
    <xf numFmtId="0" fontId="163" fillId="0" borderId="23" xfId="639" applyFont="1" applyFill="1" applyBorder="1" applyAlignment="1">
      <alignment horizontal="center" vertical="center"/>
    </xf>
    <xf numFmtId="0" fontId="167" fillId="0" borderId="11" xfId="639" applyFont="1" applyFill="1" applyBorder="1" applyAlignment="1">
      <alignment horizontal="center" vertical="center"/>
    </xf>
    <xf numFmtId="0" fontId="167" fillId="0" borderId="16" xfId="639" applyFont="1" applyFill="1" applyBorder="1" applyAlignment="1">
      <alignment horizontal="center" vertical="center"/>
    </xf>
    <xf numFmtId="0" fontId="167" fillId="0" borderId="20" xfId="639" applyFont="1" applyFill="1" applyBorder="1" applyAlignment="1">
      <alignment horizontal="center" vertical="center"/>
    </xf>
    <xf numFmtId="0" fontId="165" fillId="0" borderId="11" xfId="639" applyFont="1" applyFill="1" applyBorder="1" applyAlignment="1">
      <alignment horizontal="center" vertical="center"/>
    </xf>
    <xf numFmtId="0" fontId="165" fillId="0" borderId="16" xfId="639" applyFont="1" applyFill="1" applyBorder="1" applyAlignment="1">
      <alignment horizontal="center" vertical="center"/>
    </xf>
    <xf numFmtId="0" fontId="165" fillId="0" borderId="20" xfId="639" applyFont="1" applyFill="1" applyBorder="1" applyAlignment="1">
      <alignment horizontal="center" vertical="center"/>
    </xf>
    <xf numFmtId="0" fontId="120" fillId="0" borderId="19" xfId="639" applyFont="1" applyBorder="1" applyAlignment="1">
      <alignment horizontal="center" vertical="center"/>
    </xf>
    <xf numFmtId="0" fontId="120" fillId="0" borderId="21" xfId="639" applyFont="1" applyBorder="1" applyAlignment="1">
      <alignment horizontal="center" vertical="center"/>
    </xf>
    <xf numFmtId="0" fontId="120" fillId="0" borderId="23" xfId="639" applyFont="1" applyBorder="1" applyAlignment="1">
      <alignment horizontal="center" vertical="center"/>
    </xf>
    <xf numFmtId="0" fontId="163" fillId="0" borderId="184" xfId="66" applyFont="1" applyFill="1" applyBorder="1" applyAlignment="1">
      <alignment horizontal="center" vertical="center"/>
    </xf>
    <xf numFmtId="0" fontId="164" fillId="0" borderId="184" xfId="66" applyFont="1" applyFill="1" applyBorder="1" applyAlignment="1">
      <alignment horizontal="center" vertical="center"/>
    </xf>
    <xf numFmtId="0" fontId="167" fillId="0" borderId="184" xfId="66" applyFont="1" applyFill="1" applyBorder="1" applyAlignment="1">
      <alignment horizontal="center" vertical="center"/>
    </xf>
    <xf numFmtId="0" fontId="166" fillId="0" borderId="184" xfId="66" applyFont="1" applyFill="1" applyBorder="1" applyAlignment="1">
      <alignment horizontal="center" vertical="center"/>
    </xf>
    <xf numFmtId="0" fontId="166" fillId="0" borderId="23" xfId="66" applyFont="1" applyFill="1" applyBorder="1" applyAlignment="1">
      <alignment horizontal="center" vertical="center"/>
    </xf>
    <xf numFmtId="0" fontId="165" fillId="0" borderId="184" xfId="66" applyFont="1" applyFill="1" applyBorder="1" applyAlignment="1">
      <alignment horizontal="center" vertical="center"/>
    </xf>
    <xf numFmtId="0" fontId="132" fillId="0" borderId="18" xfId="0" applyFont="1" applyBorder="1" applyAlignment="1">
      <alignment horizontal="center" vertical="center"/>
    </xf>
    <xf numFmtId="0" fontId="115" fillId="0" borderId="0" xfId="374" applyFont="1" applyAlignment="1">
      <alignment horizontal="center" readingOrder="1"/>
    </xf>
    <xf numFmtId="0" fontId="181" fillId="0" borderId="11" xfId="374" applyFont="1" applyBorder="1" applyAlignment="1">
      <alignment horizontal="center" vertical="center"/>
    </xf>
    <xf numFmtId="0" fontId="181" fillId="0" borderId="16" xfId="374" applyFont="1" applyBorder="1" applyAlignment="1">
      <alignment horizontal="center" vertical="center"/>
    </xf>
    <xf numFmtId="0" fontId="181" fillId="0" borderId="20" xfId="374" applyFont="1" applyBorder="1" applyAlignment="1">
      <alignment horizontal="center" vertical="center"/>
    </xf>
    <xf numFmtId="0" fontId="157" fillId="0" borderId="11" xfId="374" applyFont="1" applyBorder="1" applyAlignment="1">
      <alignment horizontal="center" vertical="center"/>
    </xf>
    <xf numFmtId="0" fontId="157" fillId="0" borderId="16" xfId="374" applyFont="1" applyBorder="1" applyAlignment="1">
      <alignment horizontal="center" vertical="center"/>
    </xf>
    <xf numFmtId="0" fontId="157" fillId="0" borderId="20" xfId="374" applyFont="1" applyBorder="1" applyAlignment="1">
      <alignment horizontal="center" vertical="center"/>
    </xf>
    <xf numFmtId="0" fontId="116" fillId="0" borderId="13" xfId="374" applyFont="1" applyBorder="1" applyAlignment="1">
      <alignment horizontal="center" vertical="center"/>
    </xf>
    <xf numFmtId="0" fontId="116" fillId="0" borderId="10" xfId="374" applyFont="1" applyBorder="1" applyAlignment="1">
      <alignment horizontal="center" vertical="center"/>
    </xf>
    <xf numFmtId="0" fontId="117" fillId="23" borderId="11" xfId="374" applyFont="1" applyFill="1" applyBorder="1" applyAlignment="1">
      <alignment horizontal="center" vertical="center"/>
    </xf>
    <xf numFmtId="0" fontId="117" fillId="23" borderId="20" xfId="374" applyFont="1" applyFill="1" applyBorder="1" applyAlignment="1">
      <alignment horizontal="center" vertical="center"/>
    </xf>
    <xf numFmtId="0" fontId="117" fillId="23" borderId="19" xfId="374" applyFont="1" applyFill="1" applyBorder="1" applyAlignment="1">
      <alignment horizontal="center" vertical="center"/>
    </xf>
    <xf numFmtId="0" fontId="117" fillId="23" borderId="23" xfId="374" applyFont="1" applyFill="1" applyBorder="1" applyAlignment="1">
      <alignment horizontal="center" vertical="center"/>
    </xf>
    <xf numFmtId="0" fontId="116" fillId="0" borderId="13" xfId="374" applyFont="1" applyFill="1" applyBorder="1" applyAlignment="1">
      <alignment horizontal="center" vertical="center"/>
    </xf>
    <xf numFmtId="0" fontId="116" fillId="0" borderId="14" xfId="374" applyFont="1" applyFill="1" applyBorder="1" applyAlignment="1">
      <alignment horizontal="center" vertical="center"/>
    </xf>
    <xf numFmtId="0" fontId="116" fillId="0" borderId="110" xfId="374" applyFont="1" applyFill="1" applyBorder="1" applyAlignment="1">
      <alignment horizontal="center" vertical="center"/>
    </xf>
    <xf numFmtId="0" fontId="116" fillId="0" borderId="15" xfId="374" applyFont="1" applyFill="1" applyBorder="1" applyAlignment="1">
      <alignment horizontal="center" vertical="center"/>
    </xf>
    <xf numFmtId="0" fontId="154" fillId="0" borderId="11" xfId="374" applyFont="1" applyBorder="1" applyAlignment="1">
      <alignment horizontal="center" vertical="center"/>
    </xf>
    <xf numFmtId="0" fontId="154" fillId="0" borderId="16" xfId="374" applyFont="1" applyBorder="1" applyAlignment="1">
      <alignment horizontal="center" vertical="center"/>
    </xf>
    <xf numFmtId="0" fontId="154" fillId="0" borderId="20" xfId="374" applyFont="1" applyBorder="1" applyAlignment="1">
      <alignment horizontal="center" vertical="center"/>
    </xf>
    <xf numFmtId="0" fontId="155" fillId="0" borderId="11" xfId="374" applyFont="1" applyBorder="1" applyAlignment="1">
      <alignment horizontal="center" vertical="center"/>
    </xf>
    <xf numFmtId="0" fontId="155" fillId="0" borderId="16" xfId="374" applyFont="1" applyBorder="1" applyAlignment="1">
      <alignment horizontal="center" vertical="center"/>
    </xf>
    <xf numFmtId="0" fontId="155" fillId="0" borderId="20" xfId="374" applyFont="1" applyBorder="1" applyAlignment="1">
      <alignment horizontal="center" vertical="center"/>
    </xf>
    <xf numFmtId="0" fontId="156" fillId="0" borderId="11" xfId="374" applyFont="1" applyBorder="1" applyAlignment="1">
      <alignment horizontal="center" vertical="center"/>
    </xf>
    <xf numFmtId="0" fontId="156" fillId="0" borderId="16" xfId="374" applyFont="1" applyBorder="1" applyAlignment="1">
      <alignment horizontal="center" vertical="center"/>
    </xf>
    <xf numFmtId="0" fontId="156" fillId="0" borderId="20" xfId="374" applyFont="1" applyBorder="1" applyAlignment="1">
      <alignment horizontal="center" vertical="center"/>
    </xf>
    <xf numFmtId="0" fontId="116" fillId="0" borderId="14" xfId="374" applyFont="1" applyBorder="1" applyAlignment="1">
      <alignment horizontal="center" vertical="center"/>
    </xf>
    <xf numFmtId="0" fontId="116" fillId="0" borderId="11" xfId="374" applyFont="1" applyFill="1" applyBorder="1" applyAlignment="1">
      <alignment horizontal="center" vertical="center"/>
    </xf>
    <xf numFmtId="0" fontId="64" fillId="0" borderId="0" xfId="0" applyFont="1" applyFill="1" applyAlignment="1">
      <alignment horizontal="left" vertical="center" wrapText="1"/>
    </xf>
    <xf numFmtId="167" fontId="120" fillId="0" borderId="13" xfId="78" applyNumberFormat="1" applyFont="1" applyFill="1" applyBorder="1" applyAlignment="1">
      <alignment horizontal="center" vertical="center"/>
    </xf>
    <xf numFmtId="0" fontId="0" fillId="0" borderId="14" xfId="0" applyBorder="1"/>
    <xf numFmtId="0" fontId="0" fillId="0" borderId="15" xfId="0" applyBorder="1"/>
    <xf numFmtId="0" fontId="118" fillId="0" borderId="0" xfId="0" applyFont="1"/>
    <xf numFmtId="167" fontId="120" fillId="0" borderId="13" xfId="68" applyNumberFormat="1" applyFont="1" applyFill="1" applyBorder="1" applyAlignment="1">
      <alignment horizontal="center" vertical="center"/>
    </xf>
    <xf numFmtId="167" fontId="120" fillId="0" borderId="14" xfId="68" applyNumberFormat="1" applyFont="1" applyFill="1" applyBorder="1" applyAlignment="1">
      <alignment horizontal="center" vertical="center"/>
    </xf>
    <xf numFmtId="167" fontId="120" fillId="0" borderId="15" xfId="68" applyNumberFormat="1" applyFont="1" applyFill="1" applyBorder="1" applyAlignment="1">
      <alignment horizontal="center" vertical="center"/>
    </xf>
    <xf numFmtId="167" fontId="120" fillId="0" borderId="11" xfId="68" applyNumberFormat="1" applyFont="1" applyFill="1" applyBorder="1" applyAlignment="1">
      <alignment horizontal="center" vertical="center"/>
    </xf>
    <xf numFmtId="167" fontId="120" fillId="0" borderId="12" xfId="68" applyNumberFormat="1" applyFont="1" applyFill="1" applyBorder="1" applyAlignment="1">
      <alignment horizontal="center" vertical="center"/>
    </xf>
    <xf numFmtId="0" fontId="120" fillId="23" borderId="19" xfId="0" applyFont="1" applyFill="1" applyBorder="1" applyAlignment="1">
      <alignment horizontal="center" vertical="center"/>
    </xf>
    <xf numFmtId="0" fontId="117" fillId="23" borderId="23" xfId="0" applyFont="1" applyFill="1" applyBorder="1" applyAlignment="1">
      <alignment horizontal="center" vertical="center"/>
    </xf>
    <xf numFmtId="0" fontId="117" fillId="23" borderId="20" xfId="0" applyFont="1" applyFill="1" applyBorder="1" applyAlignment="1">
      <alignment horizontal="center" vertical="center"/>
    </xf>
    <xf numFmtId="0" fontId="120" fillId="23" borderId="13" xfId="0" applyFont="1" applyFill="1" applyBorder="1" applyAlignment="1">
      <alignment horizontal="center" vertical="center"/>
    </xf>
    <xf numFmtId="0" fontId="120" fillId="23" borderId="10" xfId="0" applyFont="1" applyFill="1" applyBorder="1" applyAlignment="1">
      <alignment horizontal="center" vertical="center"/>
    </xf>
    <xf numFmtId="0" fontId="166" fillId="0" borderId="19" xfId="0" applyFont="1" applyBorder="1" applyAlignment="1">
      <alignment horizontal="center" vertical="center"/>
    </xf>
    <xf numFmtId="0" fontId="166" fillId="0" borderId="21" xfId="0" applyFont="1" applyBorder="1" applyAlignment="1">
      <alignment horizontal="center" vertical="center"/>
    </xf>
    <xf numFmtId="0" fontId="166" fillId="0" borderId="23" xfId="0" applyFont="1" applyBorder="1" applyAlignment="1">
      <alignment horizontal="center" vertical="center"/>
    </xf>
    <xf numFmtId="0" fontId="64" fillId="0" borderId="0" xfId="374" applyFont="1" applyFill="1" applyAlignment="1">
      <alignment horizontal="left" vertical="center" wrapText="1"/>
    </xf>
    <xf numFmtId="0" fontId="58" fillId="0" borderId="14" xfId="374" applyBorder="1"/>
    <xf numFmtId="0" fontId="58" fillId="0" borderId="15" xfId="374" applyBorder="1"/>
    <xf numFmtId="0" fontId="118" fillId="0" borderId="0" xfId="374" applyFont="1"/>
    <xf numFmtId="0" fontId="120" fillId="23" borderId="11" xfId="374" applyFont="1" applyFill="1" applyBorder="1" applyAlignment="1">
      <alignment horizontal="center" vertical="center"/>
    </xf>
    <xf numFmtId="0" fontId="120" fillId="23" borderId="15" xfId="374" applyFont="1" applyFill="1" applyBorder="1" applyAlignment="1">
      <alignment horizontal="center" vertical="center"/>
    </xf>
    <xf numFmtId="0" fontId="120" fillId="23" borderId="20" xfId="374" applyFont="1" applyFill="1" applyBorder="1" applyAlignment="1">
      <alignment horizontal="center" vertical="center"/>
    </xf>
    <xf numFmtId="0" fontId="120" fillId="23" borderId="22" xfId="374" applyFont="1" applyFill="1" applyBorder="1" applyAlignment="1">
      <alignment horizontal="center" vertical="center"/>
    </xf>
    <xf numFmtId="0" fontId="120" fillId="23" borderId="19" xfId="374" applyFont="1" applyFill="1" applyBorder="1" applyAlignment="1">
      <alignment horizontal="center" vertical="center"/>
    </xf>
    <xf numFmtId="167" fontId="120" fillId="0" borderId="11" xfId="78" applyNumberFormat="1" applyFont="1" applyFill="1" applyBorder="1" applyAlignment="1">
      <alignment horizontal="center" vertical="center"/>
    </xf>
    <xf numFmtId="167" fontId="120" fillId="0" borderId="12" xfId="78" applyNumberFormat="1" applyFont="1" applyFill="1" applyBorder="1" applyAlignment="1">
      <alignment horizontal="center" vertical="center"/>
    </xf>
    <xf numFmtId="167" fontId="120" fillId="0" borderId="15" xfId="78" applyNumberFormat="1" applyFont="1" applyFill="1" applyBorder="1" applyAlignment="1">
      <alignment horizontal="center" vertical="center"/>
    </xf>
    <xf numFmtId="167" fontId="120" fillId="0" borderId="14" xfId="78" applyNumberFormat="1" applyFont="1" applyFill="1" applyBorder="1" applyAlignment="1">
      <alignment horizontal="center" vertical="center"/>
    </xf>
    <xf numFmtId="0" fontId="120" fillId="23" borderId="21" xfId="374" applyFont="1" applyFill="1" applyBorder="1" applyAlignment="1">
      <alignment horizontal="center" vertical="center"/>
    </xf>
    <xf numFmtId="0" fontId="120" fillId="23" borderId="23" xfId="374" applyFont="1" applyFill="1" applyBorder="1" applyAlignment="1">
      <alignment horizontal="center" vertical="center"/>
    </xf>
    <xf numFmtId="0" fontId="39" fillId="0" borderId="30" xfId="374" applyFont="1" applyFill="1" applyBorder="1" applyAlignment="1">
      <alignment horizontal="center" vertical="center"/>
    </xf>
    <xf numFmtId="0" fontId="39" fillId="0" borderId="31" xfId="374" applyFont="1" applyFill="1" applyBorder="1" applyAlignment="1">
      <alignment horizontal="center" vertical="center"/>
    </xf>
    <xf numFmtId="0" fontId="39" fillId="0" borderId="34" xfId="374" applyFont="1" applyFill="1" applyBorder="1" applyAlignment="1">
      <alignment horizontal="center" vertical="center"/>
    </xf>
    <xf numFmtId="0" fontId="120" fillId="23" borderId="18" xfId="374" applyFont="1" applyFill="1" applyBorder="1" applyAlignment="1">
      <alignment horizontal="center" vertical="center"/>
    </xf>
    <xf numFmtId="0" fontId="165" fillId="0" borderId="19" xfId="374" applyFont="1" applyFill="1" applyBorder="1" applyAlignment="1">
      <alignment horizontal="center" vertical="center"/>
    </xf>
    <xf numFmtId="0" fontId="165" fillId="0" borderId="21" xfId="374" applyFont="1" applyFill="1" applyBorder="1" applyAlignment="1">
      <alignment horizontal="center" vertical="center"/>
    </xf>
    <xf numFmtId="0" fontId="165" fillId="0" borderId="23" xfId="374" applyFont="1" applyFill="1" applyBorder="1" applyAlignment="1">
      <alignment horizontal="center" vertical="center"/>
    </xf>
    <xf numFmtId="0" fontId="166" fillId="0" borderId="19" xfId="374" applyFont="1" applyFill="1" applyBorder="1" applyAlignment="1">
      <alignment horizontal="center" vertical="center"/>
    </xf>
    <xf numFmtId="0" fontId="166" fillId="0" borderId="21" xfId="374" applyFont="1" applyFill="1" applyBorder="1" applyAlignment="1">
      <alignment horizontal="center" vertical="center"/>
    </xf>
    <xf numFmtId="0" fontId="166" fillId="0" borderId="23" xfId="374" applyFont="1" applyFill="1" applyBorder="1" applyAlignment="1">
      <alignment horizontal="center" vertical="center"/>
    </xf>
    <xf numFmtId="0" fontId="69" fillId="0" borderId="0" xfId="0" applyFont="1" applyAlignment="1">
      <alignment horizontal="left" vertical="center" wrapText="1"/>
    </xf>
    <xf numFmtId="0" fontId="116" fillId="0" borderId="22" xfId="0" applyFont="1" applyFill="1" applyBorder="1" applyAlignment="1">
      <alignment horizontal="center" vertical="center" wrapText="1"/>
    </xf>
    <xf numFmtId="0" fontId="117" fillId="0" borderId="13" xfId="0" applyFont="1" applyFill="1" applyBorder="1" applyAlignment="1">
      <alignment horizontal="center" vertical="center" wrapText="1"/>
    </xf>
    <xf numFmtId="0" fontId="117" fillId="0" borderId="14" xfId="0" applyFont="1" applyFill="1" applyBorder="1" applyAlignment="1">
      <alignment horizontal="center" vertical="center" wrapText="1"/>
    </xf>
    <xf numFmtId="0" fontId="117" fillId="0" borderId="188" xfId="0" applyFont="1" applyFill="1" applyBorder="1" applyAlignment="1">
      <alignment horizontal="center" vertical="center" wrapText="1"/>
    </xf>
    <xf numFmtId="0" fontId="137" fillId="23" borderId="18" xfId="0" applyFont="1" applyFill="1" applyBorder="1" applyAlignment="1">
      <alignment horizontal="center" vertical="center"/>
    </xf>
    <xf numFmtId="0" fontId="137" fillId="23" borderId="10" xfId="0" applyFont="1" applyFill="1" applyBorder="1" applyAlignment="1">
      <alignment horizontal="center" vertical="center"/>
    </xf>
    <xf numFmtId="0" fontId="116" fillId="23" borderId="21" xfId="0" applyFont="1" applyFill="1" applyBorder="1" applyAlignment="1">
      <alignment horizontal="center" vertical="center" wrapText="1"/>
    </xf>
    <xf numFmtId="0" fontId="116" fillId="0" borderId="13" xfId="73" applyFont="1" applyFill="1" applyBorder="1" applyAlignment="1">
      <alignment horizontal="center" vertical="center"/>
    </xf>
    <xf numFmtId="0" fontId="116" fillId="0" borderId="14" xfId="73" applyFont="1" applyFill="1" applyBorder="1" applyAlignment="1">
      <alignment horizontal="center" vertical="center"/>
    </xf>
    <xf numFmtId="0" fontId="116" fillId="0" borderId="15" xfId="73" applyFont="1" applyFill="1" applyBorder="1" applyAlignment="1">
      <alignment horizontal="center" vertical="center"/>
    </xf>
    <xf numFmtId="0" fontId="201" fillId="0" borderId="0" xfId="73" applyFont="1" applyAlignment="1">
      <alignment horizontal="left" vertical="center" wrapText="1"/>
    </xf>
    <xf numFmtId="0" fontId="116" fillId="23" borderId="19" xfId="73" applyFont="1" applyFill="1" applyBorder="1" applyAlignment="1">
      <alignment horizontal="center" vertical="center" wrapText="1"/>
    </xf>
    <xf numFmtId="0" fontId="116" fillId="23" borderId="23" xfId="73" applyFont="1" applyFill="1" applyBorder="1" applyAlignment="1">
      <alignment horizontal="center" vertical="center" wrapText="1"/>
    </xf>
    <xf numFmtId="0" fontId="165" fillId="0" borderId="198" xfId="0" applyFont="1" applyBorder="1" applyAlignment="1">
      <alignment horizontal="center" vertical="center"/>
    </xf>
    <xf numFmtId="0" fontId="116" fillId="0" borderId="198" xfId="0" applyFont="1" applyBorder="1" applyAlignment="1">
      <alignment horizontal="center" vertical="center"/>
    </xf>
    <xf numFmtId="0" fontId="163" fillId="0" borderId="190" xfId="0" applyFont="1" applyBorder="1" applyAlignment="1">
      <alignment horizontal="center" vertical="center"/>
    </xf>
    <xf numFmtId="0" fontId="164" fillId="0" borderId="190" xfId="0" applyFont="1" applyBorder="1" applyAlignment="1">
      <alignment horizontal="center" vertical="center"/>
    </xf>
    <xf numFmtId="0" fontId="167" fillId="0" borderId="190" xfId="0" applyFont="1" applyBorder="1" applyAlignment="1">
      <alignment horizontal="center" vertical="center"/>
    </xf>
    <xf numFmtId="0" fontId="166" fillId="0" borderId="190" xfId="0" applyFont="1" applyBorder="1" applyAlignment="1">
      <alignment horizontal="center" vertical="center"/>
    </xf>
    <xf numFmtId="0" fontId="61" fillId="23" borderId="18" xfId="0" applyFont="1" applyFill="1" applyBorder="1" applyAlignment="1">
      <alignment horizontal="center" vertical="center"/>
    </xf>
    <xf numFmtId="0" fontId="61" fillId="0" borderId="13" xfId="0" applyFont="1" applyFill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/>
    </xf>
    <xf numFmtId="0" fontId="61" fillId="23" borderId="19" xfId="0" applyFont="1" applyFill="1" applyBorder="1" applyAlignment="1">
      <alignment horizontal="center" vertical="center"/>
    </xf>
    <xf numFmtId="0" fontId="61" fillId="23" borderId="23" xfId="0" applyFont="1" applyFill="1" applyBorder="1" applyAlignment="1">
      <alignment horizontal="center" vertical="center"/>
    </xf>
    <xf numFmtId="0" fontId="174" fillId="23" borderId="197" xfId="0" applyFont="1" applyFill="1" applyBorder="1" applyAlignment="1">
      <alignment horizontal="center" vertical="center"/>
    </xf>
    <xf numFmtId="0" fontId="174" fillId="23" borderId="199" xfId="0" applyFont="1" applyFill="1" applyBorder="1" applyAlignment="1">
      <alignment horizontal="center" vertical="center"/>
    </xf>
    <xf numFmtId="0" fontId="174" fillId="23" borderId="200" xfId="0" applyFont="1" applyFill="1" applyBorder="1" applyAlignment="1">
      <alignment horizontal="center" vertical="center"/>
    </xf>
    <xf numFmtId="0" fontId="174" fillId="23" borderId="13" xfId="0" applyFont="1" applyFill="1" applyBorder="1" applyAlignment="1">
      <alignment horizontal="center" vertical="center"/>
    </xf>
    <xf numFmtId="0" fontId="174" fillId="23" borderId="14" xfId="0" applyFont="1" applyFill="1" applyBorder="1" applyAlignment="1">
      <alignment horizontal="center" vertical="center"/>
    </xf>
    <xf numFmtId="0" fontId="174" fillId="23" borderId="10" xfId="0" applyFont="1" applyFill="1" applyBorder="1" applyAlignment="1">
      <alignment horizontal="center" vertical="center"/>
    </xf>
    <xf numFmtId="0" fontId="174" fillId="0" borderId="197" xfId="0" applyFont="1" applyFill="1" applyBorder="1" applyAlignment="1">
      <alignment horizontal="center" vertical="center"/>
    </xf>
    <xf numFmtId="0" fontId="174" fillId="0" borderId="199" xfId="0" applyFont="1" applyFill="1" applyBorder="1" applyAlignment="1">
      <alignment horizontal="center" vertical="center"/>
    </xf>
    <xf numFmtId="0" fontId="174" fillId="0" borderId="200" xfId="0" applyFont="1" applyFill="1" applyBorder="1" applyAlignment="1">
      <alignment horizontal="center" vertical="center"/>
    </xf>
    <xf numFmtId="0" fontId="131" fillId="23" borderId="19" xfId="377" applyFont="1" applyFill="1" applyBorder="1" applyAlignment="1">
      <alignment horizontal="center" vertical="center"/>
    </xf>
    <xf numFmtId="0" fontId="131" fillId="23" borderId="23" xfId="377" applyFont="1" applyFill="1" applyBorder="1" applyAlignment="1">
      <alignment horizontal="center" vertical="center"/>
    </xf>
    <xf numFmtId="0" fontId="131" fillId="0" borderId="13" xfId="377" applyFont="1" applyFill="1" applyBorder="1" applyAlignment="1">
      <alignment horizontal="center" vertical="center"/>
    </xf>
    <xf numFmtId="0" fontId="131" fillId="0" borderId="10" xfId="377" applyFont="1" applyFill="1" applyBorder="1" applyAlignment="1">
      <alignment horizontal="center" vertical="center"/>
    </xf>
    <xf numFmtId="0" fontId="131" fillId="23" borderId="198" xfId="377" applyFont="1" applyFill="1" applyBorder="1" applyAlignment="1">
      <alignment horizontal="center" vertical="center"/>
    </xf>
    <xf numFmtId="0" fontId="131" fillId="23" borderId="198" xfId="377" applyFont="1" applyFill="1" applyBorder="1" applyAlignment="1">
      <alignment horizontal="center" vertical="center" wrapText="1"/>
    </xf>
    <xf numFmtId="0" fontId="131" fillId="23" borderId="23" xfId="377" applyFont="1" applyFill="1" applyBorder="1" applyAlignment="1">
      <alignment horizontal="center" vertical="center" wrapText="1"/>
    </xf>
    <xf numFmtId="176" fontId="118" fillId="0" borderId="19" xfId="377" applyNumberFormat="1" applyFont="1" applyBorder="1" applyAlignment="1">
      <alignment horizontal="center" vertical="center" wrapText="1"/>
    </xf>
    <xf numFmtId="176" fontId="118" fillId="0" borderId="21" xfId="377" applyNumberFormat="1" applyFont="1" applyBorder="1" applyAlignment="1">
      <alignment horizontal="center" vertical="center" wrapText="1"/>
    </xf>
    <xf numFmtId="176" fontId="118" fillId="0" borderId="23" xfId="377" applyNumberFormat="1" applyFont="1" applyBorder="1" applyAlignment="1">
      <alignment horizontal="center" vertical="center" wrapText="1"/>
    </xf>
    <xf numFmtId="0" fontId="118" fillId="0" borderId="19" xfId="377" applyFont="1" applyBorder="1" applyAlignment="1">
      <alignment horizontal="center" vertical="center"/>
    </xf>
    <xf numFmtId="0" fontId="118" fillId="0" borderId="21" xfId="377" applyFont="1" applyBorder="1" applyAlignment="1">
      <alignment horizontal="center" vertical="center"/>
    </xf>
    <xf numFmtId="0" fontId="118" fillId="0" borderId="23" xfId="377" applyFont="1" applyBorder="1" applyAlignment="1">
      <alignment horizontal="center" vertical="center"/>
    </xf>
    <xf numFmtId="3" fontId="118" fillId="0" borderId="19" xfId="377" applyNumberFormat="1" applyFont="1" applyBorder="1" applyAlignment="1">
      <alignment horizontal="center" vertical="center"/>
    </xf>
    <xf numFmtId="3" fontId="118" fillId="0" borderId="21" xfId="377" applyNumberFormat="1" applyFont="1" applyBorder="1" applyAlignment="1">
      <alignment horizontal="center" vertical="center"/>
    </xf>
    <xf numFmtId="3" fontId="118" fillId="0" borderId="23" xfId="377" applyNumberFormat="1" applyFont="1" applyBorder="1" applyAlignment="1">
      <alignment horizontal="center" vertical="center"/>
    </xf>
    <xf numFmtId="176" fontId="131" fillId="0" borderId="19" xfId="0" applyNumberFormat="1" applyFont="1" applyBorder="1" applyAlignment="1">
      <alignment horizontal="center" vertical="center" wrapText="1"/>
    </xf>
    <xf numFmtId="176" fontId="131" fillId="0" borderId="23" xfId="0" applyNumberFormat="1" applyFont="1" applyBorder="1" applyAlignment="1">
      <alignment horizontal="center" vertical="center" wrapText="1"/>
    </xf>
    <xf numFmtId="17" fontId="118" fillId="0" borderId="19" xfId="0" applyNumberFormat="1" applyFont="1" applyBorder="1" applyAlignment="1">
      <alignment horizontal="center" vertical="center" wrapText="1"/>
    </xf>
    <xf numFmtId="17" fontId="118" fillId="0" borderId="21" xfId="0" applyNumberFormat="1" applyFont="1" applyBorder="1" applyAlignment="1">
      <alignment horizontal="center" vertical="center" wrapText="1"/>
    </xf>
    <xf numFmtId="3" fontId="118" fillId="0" borderId="15" xfId="66" applyNumberFormat="1" applyFont="1" applyBorder="1" applyAlignment="1">
      <alignment horizontal="center" vertical="center"/>
    </xf>
    <xf numFmtId="3" fontId="118" fillId="0" borderId="17" xfId="66" applyNumberFormat="1" applyFont="1" applyBorder="1" applyAlignment="1">
      <alignment horizontal="center" vertical="center"/>
    </xf>
    <xf numFmtId="3" fontId="118" fillId="0" borderId="22" xfId="66" applyNumberFormat="1" applyFont="1" applyBorder="1" applyAlignment="1">
      <alignment horizontal="center" vertical="center"/>
    </xf>
    <xf numFmtId="3" fontId="173" fillId="0" borderId="15" xfId="0" applyNumberFormat="1" applyFont="1" applyBorder="1" applyAlignment="1">
      <alignment horizontal="center" vertical="center"/>
    </xf>
    <xf numFmtId="3" fontId="173" fillId="0" borderId="17" xfId="0" applyNumberFormat="1" applyFont="1" applyBorder="1" applyAlignment="1">
      <alignment horizontal="center" vertical="center"/>
    </xf>
    <xf numFmtId="3" fontId="173" fillId="0" borderId="22" xfId="0" applyNumberFormat="1" applyFont="1" applyBorder="1" applyAlignment="1">
      <alignment horizontal="center" vertical="center"/>
    </xf>
    <xf numFmtId="176" fontId="118" fillId="0" borderId="16" xfId="0" applyNumberFormat="1" applyFont="1" applyBorder="1" applyAlignment="1">
      <alignment horizontal="center" vertical="center" wrapText="1"/>
    </xf>
    <xf numFmtId="3" fontId="118" fillId="0" borderId="19" xfId="0" applyNumberFormat="1" applyFont="1" applyFill="1" applyBorder="1" applyAlignment="1">
      <alignment horizontal="center" vertical="center"/>
    </xf>
    <xf numFmtId="3" fontId="118" fillId="0" borderId="21" xfId="0" applyNumberFormat="1" applyFont="1" applyFill="1" applyBorder="1" applyAlignment="1">
      <alignment horizontal="center" vertical="center"/>
    </xf>
    <xf numFmtId="3" fontId="118" fillId="0" borderId="23" xfId="0" applyNumberFormat="1" applyFont="1" applyFill="1" applyBorder="1" applyAlignment="1">
      <alignment horizontal="center" vertical="center"/>
    </xf>
    <xf numFmtId="0" fontId="118" fillId="0" borderId="19" xfId="377" applyFont="1" applyBorder="1" applyAlignment="1">
      <alignment horizontal="center" vertical="center" wrapText="1"/>
    </xf>
    <xf numFmtId="0" fontId="118" fillId="0" borderId="21" xfId="377" applyFont="1" applyBorder="1" applyAlignment="1">
      <alignment horizontal="center" vertical="center" wrapText="1"/>
    </xf>
    <xf numFmtId="0" fontId="118" fillId="0" borderId="23" xfId="377" applyFont="1" applyBorder="1" applyAlignment="1">
      <alignment horizontal="center" vertical="center" wrapText="1"/>
    </xf>
    <xf numFmtId="3" fontId="118" fillId="0" borderId="19" xfId="0" applyNumberFormat="1" applyFont="1" applyBorder="1" applyAlignment="1">
      <alignment horizontal="center" vertical="center"/>
    </xf>
    <xf numFmtId="3" fontId="118" fillId="0" borderId="21" xfId="0" applyNumberFormat="1" applyFont="1" applyBorder="1" applyAlignment="1">
      <alignment horizontal="center" vertical="center"/>
    </xf>
    <xf numFmtId="3" fontId="118" fillId="0" borderId="23" xfId="0" applyNumberFormat="1" applyFont="1" applyBorder="1" applyAlignment="1">
      <alignment horizontal="center" vertical="center"/>
    </xf>
    <xf numFmtId="0" fontId="131" fillId="23" borderId="13" xfId="377" applyFont="1" applyFill="1" applyBorder="1" applyAlignment="1">
      <alignment horizontal="center" vertical="center"/>
    </xf>
    <xf numFmtId="0" fontId="131" fillId="23" borderId="10" xfId="377" applyFont="1" applyFill="1" applyBorder="1" applyAlignment="1">
      <alignment horizontal="center" vertical="center"/>
    </xf>
    <xf numFmtId="0" fontId="118" fillId="0" borderId="19" xfId="377" applyFont="1" applyFill="1" applyBorder="1" applyAlignment="1">
      <alignment horizontal="center" vertical="center" wrapText="1"/>
    </xf>
    <xf numFmtId="0" fontId="118" fillId="0" borderId="21" xfId="377" applyFont="1" applyFill="1" applyBorder="1" applyAlignment="1">
      <alignment horizontal="center" vertical="center" wrapText="1"/>
    </xf>
    <xf numFmtId="0" fontId="118" fillId="0" borderId="23" xfId="377" applyFont="1" applyFill="1" applyBorder="1" applyAlignment="1">
      <alignment horizontal="center" vertical="center" wrapText="1"/>
    </xf>
    <xf numFmtId="3" fontId="118" fillId="0" borderId="19" xfId="377" applyNumberFormat="1" applyFont="1" applyFill="1" applyBorder="1" applyAlignment="1">
      <alignment horizontal="center" vertical="center"/>
    </xf>
    <xf numFmtId="3" fontId="118" fillId="0" borderId="21" xfId="377" applyNumberFormat="1" applyFont="1" applyFill="1" applyBorder="1" applyAlignment="1">
      <alignment horizontal="center" vertical="center"/>
    </xf>
    <xf numFmtId="3" fontId="118" fillId="0" borderId="23" xfId="377" applyNumberFormat="1" applyFont="1" applyFill="1" applyBorder="1" applyAlignment="1">
      <alignment horizontal="center" vertical="center"/>
    </xf>
    <xf numFmtId="176" fontId="118" fillId="0" borderId="19" xfId="0" applyNumberFormat="1" applyFont="1" applyBorder="1" applyAlignment="1">
      <alignment horizontal="center" vertical="center" wrapText="1"/>
    </xf>
    <xf numFmtId="176" fontId="118" fillId="0" borderId="23" xfId="0" applyNumberFormat="1" applyFont="1" applyBorder="1" applyAlignment="1">
      <alignment horizontal="center" vertical="center" wrapText="1"/>
    </xf>
    <xf numFmtId="3" fontId="118" fillId="0" borderId="21" xfId="0" applyNumberFormat="1" applyFont="1" applyBorder="1" applyAlignment="1">
      <alignment horizontal="center" vertical="center" wrapText="1"/>
    </xf>
    <xf numFmtId="3" fontId="118" fillId="0" borderId="23" xfId="0" applyNumberFormat="1" applyFont="1" applyBorder="1" applyAlignment="1">
      <alignment horizontal="center" vertical="center" wrapText="1"/>
    </xf>
    <xf numFmtId="0" fontId="173" fillId="23" borderId="13" xfId="0" applyFont="1" applyFill="1" applyBorder="1" applyAlignment="1">
      <alignment horizontal="center" vertical="center"/>
    </xf>
    <xf numFmtId="0" fontId="173" fillId="23" borderId="14" xfId="0" applyFont="1" applyFill="1" applyBorder="1" applyAlignment="1">
      <alignment horizontal="center" vertical="center"/>
    </xf>
    <xf numFmtId="0" fontId="173" fillId="23" borderId="10" xfId="0" applyFont="1" applyFill="1" applyBorder="1" applyAlignment="1">
      <alignment horizontal="center" vertical="center"/>
    </xf>
    <xf numFmtId="0" fontId="174" fillId="0" borderId="13" xfId="0" applyFont="1" applyFill="1" applyBorder="1" applyAlignment="1">
      <alignment horizontal="center" vertical="center"/>
    </xf>
    <xf numFmtId="0" fontId="174" fillId="0" borderId="14" xfId="0" applyFont="1" applyFill="1" applyBorder="1" applyAlignment="1">
      <alignment horizontal="center" vertical="center"/>
    </xf>
    <xf numFmtId="0" fontId="174" fillId="0" borderId="10" xfId="0" applyFont="1" applyFill="1" applyBorder="1" applyAlignment="1">
      <alignment horizontal="center" vertical="center"/>
    </xf>
    <xf numFmtId="0" fontId="118" fillId="23" borderId="21" xfId="66" applyFont="1" applyFill="1" applyBorder="1" applyAlignment="1">
      <alignment horizontal="center" vertical="center"/>
    </xf>
    <xf numFmtId="0" fontId="118" fillId="23" borderId="23" xfId="66" applyFont="1" applyFill="1" applyBorder="1" applyAlignment="1">
      <alignment horizontal="center" vertical="center"/>
    </xf>
    <xf numFmtId="0" fontId="118" fillId="23" borderId="19" xfId="66" applyFont="1" applyFill="1" applyBorder="1" applyAlignment="1">
      <alignment horizontal="center" vertical="center"/>
    </xf>
    <xf numFmtId="0" fontId="131" fillId="0" borderId="13" xfId="66" applyFont="1" applyFill="1" applyBorder="1" applyAlignment="1">
      <alignment horizontal="center" vertical="center"/>
    </xf>
    <xf numFmtId="0" fontId="131" fillId="0" borderId="10" xfId="66" applyFont="1" applyFill="1" applyBorder="1" applyAlignment="1">
      <alignment horizontal="center" vertical="center"/>
    </xf>
    <xf numFmtId="0" fontId="118" fillId="23" borderId="18" xfId="66" applyFont="1" applyFill="1" applyBorder="1" applyAlignment="1">
      <alignment horizontal="center" vertical="center"/>
    </xf>
    <xf numFmtId="0" fontId="118" fillId="23" borderId="19" xfId="66" applyFont="1" applyFill="1" applyBorder="1" applyAlignment="1">
      <alignment horizontal="center" vertical="center" wrapText="1"/>
    </xf>
    <xf numFmtId="0" fontId="118" fillId="23" borderId="23" xfId="66" applyFont="1" applyFill="1" applyBorder="1" applyAlignment="1">
      <alignment horizontal="center" vertical="center" wrapText="1"/>
    </xf>
    <xf numFmtId="176" fontId="131" fillId="0" borderId="21" xfId="0" applyNumberFormat="1" applyFont="1" applyBorder="1" applyAlignment="1">
      <alignment horizontal="center" vertical="center" wrapText="1"/>
    </xf>
    <xf numFmtId="3" fontId="173" fillId="0" borderId="19" xfId="0" applyNumberFormat="1" applyFont="1" applyBorder="1" applyAlignment="1">
      <alignment horizontal="center" vertical="center"/>
    </xf>
    <xf numFmtId="3" fontId="173" fillId="0" borderId="23" xfId="0" applyNumberFormat="1" applyFont="1" applyBorder="1" applyAlignment="1">
      <alignment horizontal="center" vertical="center"/>
    </xf>
    <xf numFmtId="3" fontId="173" fillId="0" borderId="21" xfId="0" applyNumberFormat="1" applyFont="1" applyBorder="1" applyAlignment="1">
      <alignment horizontal="center" vertical="center"/>
    </xf>
    <xf numFmtId="0" fontId="131" fillId="23" borderId="21" xfId="66" applyFont="1" applyFill="1" applyBorder="1" applyAlignment="1">
      <alignment horizontal="center" vertical="center"/>
    </xf>
    <xf numFmtId="0" fontId="131" fillId="23" borderId="23" xfId="66" applyFont="1" applyFill="1" applyBorder="1" applyAlignment="1">
      <alignment horizontal="center" vertical="center"/>
    </xf>
    <xf numFmtId="0" fontId="131" fillId="23" borderId="19" xfId="66" applyFont="1" applyFill="1" applyBorder="1" applyAlignment="1">
      <alignment horizontal="center" vertical="center"/>
    </xf>
    <xf numFmtId="0" fontId="131" fillId="23" borderId="13" xfId="66" applyFont="1" applyFill="1" applyBorder="1" applyAlignment="1">
      <alignment horizontal="center" vertical="center"/>
    </xf>
    <xf numFmtId="0" fontId="131" fillId="23" borderId="10" xfId="66" applyFont="1" applyFill="1" applyBorder="1" applyAlignment="1">
      <alignment horizontal="center" vertical="center"/>
    </xf>
    <xf numFmtId="0" fontId="131" fillId="23" borderId="18" xfId="66" applyFont="1" applyFill="1" applyBorder="1" applyAlignment="1">
      <alignment horizontal="center" vertical="center"/>
    </xf>
    <xf numFmtId="0" fontId="131" fillId="23" borderId="19" xfId="66" applyFont="1" applyFill="1" applyBorder="1" applyAlignment="1">
      <alignment horizontal="center" vertical="center" wrapText="1"/>
    </xf>
    <xf numFmtId="0" fontId="131" fillId="23" borderId="23" xfId="66" applyFont="1" applyFill="1" applyBorder="1" applyAlignment="1">
      <alignment horizontal="center" vertical="center" wrapText="1"/>
    </xf>
    <xf numFmtId="176" fontId="118" fillId="0" borderId="21" xfId="0" applyNumberFormat="1" applyFont="1" applyBorder="1" applyAlignment="1">
      <alignment horizontal="center" vertical="center" wrapText="1"/>
    </xf>
    <xf numFmtId="17" fontId="118" fillId="0" borderId="19" xfId="0" quotePrefix="1" applyNumberFormat="1" applyFont="1" applyBorder="1" applyAlignment="1">
      <alignment horizontal="center" vertical="center"/>
    </xf>
    <xf numFmtId="0" fontId="118" fillId="0" borderId="21" xfId="0" applyNumberFormat="1" applyFont="1" applyBorder="1" applyAlignment="1">
      <alignment horizontal="center" vertical="center"/>
    </xf>
    <xf numFmtId="3" fontId="118" fillId="0" borderId="19" xfId="66" applyNumberFormat="1" applyFont="1" applyBorder="1" applyAlignment="1">
      <alignment horizontal="center" vertical="center"/>
    </xf>
    <xf numFmtId="3" fontId="118" fillId="0" borderId="21" xfId="66" applyNumberFormat="1" applyFont="1" applyBorder="1" applyAlignment="1">
      <alignment horizontal="center" vertical="center"/>
    </xf>
    <xf numFmtId="3" fontId="118" fillId="0" borderId="23" xfId="66" applyNumberFormat="1" applyFont="1" applyBorder="1" applyAlignment="1">
      <alignment horizontal="center" vertical="center"/>
    </xf>
    <xf numFmtId="176" fontId="118" fillId="0" borderId="18" xfId="0" applyNumberFormat="1" applyFont="1" applyBorder="1" applyAlignment="1">
      <alignment horizontal="center" vertical="center" wrapText="1"/>
    </xf>
    <xf numFmtId="3" fontId="118" fillId="0" borderId="18" xfId="0" applyNumberFormat="1" applyFont="1" applyBorder="1" applyAlignment="1">
      <alignment horizontal="center" vertical="center" wrapText="1"/>
    </xf>
    <xf numFmtId="3" fontId="118" fillId="0" borderId="18" xfId="0" applyNumberFormat="1" applyFont="1" applyBorder="1" applyAlignment="1">
      <alignment horizontal="center" vertical="center"/>
    </xf>
    <xf numFmtId="0" fontId="173" fillId="0" borderId="0" xfId="0" applyFont="1" applyAlignment="1">
      <alignment horizontal="left"/>
    </xf>
    <xf numFmtId="0" fontId="230" fillId="0" borderId="18" xfId="0" applyFont="1" applyFill="1" applyBorder="1" applyAlignment="1">
      <alignment horizontal="center" vertical="center"/>
    </xf>
    <xf numFmtId="0" fontId="231" fillId="0" borderId="19" xfId="0" applyFont="1" applyFill="1" applyBorder="1" applyAlignment="1">
      <alignment horizontal="center" vertical="center"/>
    </xf>
    <xf numFmtId="0" fontId="231" fillId="0" borderId="21" xfId="0" applyFont="1" applyFill="1" applyBorder="1" applyAlignment="1">
      <alignment horizontal="center" vertical="center"/>
    </xf>
    <xf numFmtId="0" fontId="231" fillId="0" borderId="23" xfId="0" applyFont="1" applyFill="1" applyBorder="1" applyAlignment="1">
      <alignment horizontal="center" vertical="center"/>
    </xf>
    <xf numFmtId="0" fontId="232" fillId="0" borderId="11" xfId="0" applyFont="1" applyFill="1" applyBorder="1" applyAlignment="1">
      <alignment horizontal="center" vertical="center"/>
    </xf>
    <xf numFmtId="0" fontId="232" fillId="0" borderId="16" xfId="0" applyFont="1" applyFill="1" applyBorder="1" applyAlignment="1">
      <alignment horizontal="center" vertical="center"/>
    </xf>
    <xf numFmtId="0" fontId="232" fillId="0" borderId="23" xfId="0" applyFont="1" applyFill="1" applyBorder="1" applyAlignment="1">
      <alignment horizontal="center" vertical="center"/>
    </xf>
    <xf numFmtId="0" fontId="233" fillId="0" borderId="19" xfId="0" applyFont="1" applyFill="1" applyBorder="1" applyAlignment="1">
      <alignment horizontal="center" vertical="center"/>
    </xf>
    <xf numFmtId="0" fontId="233" fillId="0" borderId="21" xfId="0" applyFont="1" applyFill="1" applyBorder="1" applyAlignment="1">
      <alignment horizontal="center" vertical="center"/>
    </xf>
    <xf numFmtId="0" fontId="233" fillId="0" borderId="23" xfId="0" applyFont="1" applyFill="1" applyBorder="1" applyAlignment="1">
      <alignment horizontal="center" vertical="center"/>
    </xf>
    <xf numFmtId="0" fontId="131" fillId="0" borderId="19" xfId="0" applyFont="1" applyFill="1" applyBorder="1" applyAlignment="1">
      <alignment horizontal="center" vertical="center"/>
    </xf>
    <xf numFmtId="0" fontId="131" fillId="0" borderId="21" xfId="0" applyFont="1" applyFill="1" applyBorder="1" applyAlignment="1">
      <alignment horizontal="center" vertical="center"/>
    </xf>
    <xf numFmtId="0" fontId="131" fillId="0" borderId="23" xfId="0" applyFont="1" applyFill="1" applyBorder="1" applyAlignment="1">
      <alignment horizontal="center" vertical="center"/>
    </xf>
    <xf numFmtId="0" fontId="131" fillId="23" borderId="14" xfId="66" applyFont="1" applyFill="1" applyBorder="1" applyAlignment="1">
      <alignment horizontal="center" vertical="center"/>
    </xf>
    <xf numFmtId="0" fontId="131" fillId="0" borderId="18" xfId="0" applyFont="1" applyFill="1" applyBorder="1" applyAlignment="1">
      <alignment horizontal="center" vertical="center"/>
    </xf>
    <xf numFmtId="0" fontId="173" fillId="0" borderId="202" xfId="0" applyFont="1" applyBorder="1" applyAlignment="1">
      <alignment horizontal="left" wrapText="1"/>
    </xf>
    <xf numFmtId="0" fontId="173" fillId="0" borderId="0" xfId="0" applyFont="1" applyAlignment="1">
      <alignment horizontal="left" wrapText="1"/>
    </xf>
    <xf numFmtId="0" fontId="173" fillId="0" borderId="202" xfId="0" applyFont="1" applyBorder="1" applyAlignment="1">
      <alignment horizontal="center" vertical="center" wrapText="1"/>
    </xf>
    <xf numFmtId="0" fontId="131" fillId="23" borderId="21" xfId="377" applyFont="1" applyFill="1" applyBorder="1" applyAlignment="1">
      <alignment horizontal="center" vertical="center"/>
    </xf>
    <xf numFmtId="0" fontId="131" fillId="0" borderId="197" xfId="377" applyFont="1" applyFill="1" applyBorder="1" applyAlignment="1">
      <alignment horizontal="center" vertical="center"/>
    </xf>
    <xf numFmtId="0" fontId="131" fillId="0" borderId="200" xfId="377" applyFont="1" applyFill="1" applyBorder="1" applyAlignment="1">
      <alignment horizontal="center" vertical="center"/>
    </xf>
    <xf numFmtId="176" fontId="131" fillId="0" borderId="198" xfId="0" applyNumberFormat="1" applyFont="1" applyBorder="1" applyAlignment="1">
      <alignment horizontal="center" vertical="center" wrapText="1"/>
    </xf>
    <xf numFmtId="176" fontId="118" fillId="0" borderId="198" xfId="0" applyNumberFormat="1" applyFont="1" applyBorder="1" applyAlignment="1">
      <alignment horizontal="center" vertical="center"/>
    </xf>
    <xf numFmtId="176" fontId="118" fillId="0" borderId="23" xfId="0" applyNumberFormat="1" applyFont="1" applyBorder="1" applyAlignment="1">
      <alignment horizontal="center" vertical="center"/>
    </xf>
    <xf numFmtId="176" fontId="118" fillId="0" borderId="190" xfId="377" applyNumberFormat="1" applyFont="1" applyBorder="1" applyAlignment="1">
      <alignment horizontal="center" vertical="center" wrapText="1"/>
    </xf>
    <xf numFmtId="0" fontId="118" fillId="0" borderId="190" xfId="377" applyFont="1" applyBorder="1" applyAlignment="1">
      <alignment horizontal="center" vertical="center"/>
    </xf>
    <xf numFmtId="3" fontId="118" fillId="0" borderId="190" xfId="377" applyNumberFormat="1" applyFont="1" applyBorder="1" applyAlignment="1">
      <alignment horizontal="center" vertical="center"/>
    </xf>
    <xf numFmtId="3" fontId="118" fillId="0" borderId="190" xfId="0" applyNumberFormat="1" applyFont="1" applyBorder="1" applyAlignment="1">
      <alignment horizontal="center" vertical="center"/>
    </xf>
    <xf numFmtId="0" fontId="131" fillId="23" borderId="190" xfId="377" applyFont="1" applyFill="1" applyBorder="1" applyAlignment="1">
      <alignment horizontal="center" vertical="center"/>
    </xf>
    <xf numFmtId="176" fontId="118" fillId="0" borderId="19" xfId="0" applyNumberFormat="1" applyFont="1" applyBorder="1" applyAlignment="1">
      <alignment horizontal="center" vertical="center"/>
    </xf>
    <xf numFmtId="0" fontId="37" fillId="0" borderId="0" xfId="466" applyAlignment="1">
      <alignment horizontal="center"/>
    </xf>
    <xf numFmtId="0" fontId="61" fillId="23" borderId="18" xfId="377" applyFont="1" applyFill="1" applyBorder="1" applyAlignment="1">
      <alignment horizontal="center" vertical="center"/>
    </xf>
    <xf numFmtId="0" fontId="99" fillId="0" borderId="18" xfId="377" applyFont="1" applyFill="1" applyBorder="1" applyAlignment="1">
      <alignment horizontal="center" vertical="center"/>
    </xf>
    <xf numFmtId="0" fontId="178" fillId="0" borderId="0" xfId="466" applyFont="1" applyAlignment="1">
      <alignment horizontal="left" vertical="center" wrapText="1"/>
    </xf>
    <xf numFmtId="0" fontId="22" fillId="0" borderId="12" xfId="635" applyFont="1" applyBorder="1" applyAlignment="1">
      <alignment horizontal="center"/>
    </xf>
    <xf numFmtId="0" fontId="22" fillId="0" borderId="0" xfId="635" applyFont="1" applyFill="1" applyAlignment="1">
      <alignment horizontal="center"/>
    </xf>
    <xf numFmtId="0" fontId="33" fillId="0" borderId="0" xfId="635" applyFill="1" applyAlignment="1">
      <alignment horizontal="center"/>
    </xf>
    <xf numFmtId="0" fontId="173" fillId="0" borderId="19" xfId="0" applyFont="1" applyBorder="1" applyAlignment="1">
      <alignment horizontal="center" vertical="center"/>
    </xf>
    <xf numFmtId="0" fontId="173" fillId="0" borderId="21" xfId="0" applyFont="1" applyBorder="1" applyAlignment="1">
      <alignment horizontal="center" vertical="center"/>
    </xf>
    <xf numFmtId="0" fontId="173" fillId="0" borderId="23" xfId="0" applyFont="1" applyBorder="1" applyAlignment="1">
      <alignment horizontal="center" vertical="center"/>
    </xf>
    <xf numFmtId="0" fontId="174" fillId="23" borderId="18" xfId="0" applyFont="1" applyFill="1" applyBorder="1" applyAlignment="1">
      <alignment horizontal="center" vertical="center"/>
    </xf>
    <xf numFmtId="0" fontId="120" fillId="0" borderId="197" xfId="0" applyFont="1" applyBorder="1" applyAlignment="1">
      <alignment horizontal="center" vertical="center"/>
    </xf>
    <xf numFmtId="0" fontId="120" fillId="0" borderId="199" xfId="0" applyFont="1" applyBorder="1" applyAlignment="1">
      <alignment horizontal="center" vertical="center"/>
    </xf>
    <xf numFmtId="0" fontId="120" fillId="0" borderId="11" xfId="0" applyFont="1" applyBorder="1" applyAlignment="1">
      <alignment horizontal="center" vertical="center"/>
    </xf>
    <xf numFmtId="0" fontId="120" fillId="0" borderId="16" xfId="0" applyFont="1" applyBorder="1" applyAlignment="1">
      <alignment horizontal="center" vertical="center"/>
    </xf>
    <xf numFmtId="0" fontId="120" fillId="0" borderId="20" xfId="0" applyFont="1" applyBorder="1" applyAlignment="1">
      <alignment horizontal="center" vertical="center"/>
    </xf>
    <xf numFmtId="0" fontId="120" fillId="23" borderId="13" xfId="0" applyFont="1" applyFill="1" applyBorder="1" applyAlignment="1">
      <alignment horizontal="center"/>
    </xf>
    <xf numFmtId="0" fontId="120" fillId="23" borderId="10" xfId="0" applyFont="1" applyFill="1" applyBorder="1" applyAlignment="1">
      <alignment horizontal="center"/>
    </xf>
    <xf numFmtId="0" fontId="163" fillId="0" borderId="11" xfId="0" applyFont="1" applyBorder="1" applyAlignment="1">
      <alignment horizontal="center" vertical="center"/>
    </xf>
    <xf numFmtId="0" fontId="163" fillId="0" borderId="16" xfId="0" applyFont="1" applyBorder="1" applyAlignment="1">
      <alignment horizontal="center" vertical="center"/>
    </xf>
    <xf numFmtId="0" fontId="163" fillId="0" borderId="20" xfId="0" applyFont="1" applyBorder="1" applyAlignment="1">
      <alignment horizontal="center" vertical="center"/>
    </xf>
    <xf numFmtId="0" fontId="164" fillId="0" borderId="11" xfId="0" applyFont="1" applyBorder="1" applyAlignment="1">
      <alignment horizontal="center" vertical="center"/>
    </xf>
    <xf numFmtId="0" fontId="164" fillId="0" borderId="16" xfId="0" applyFont="1" applyBorder="1" applyAlignment="1">
      <alignment horizontal="center" vertical="center"/>
    </xf>
    <xf numFmtId="0" fontId="164" fillId="0" borderId="20" xfId="0" applyFont="1" applyBorder="1" applyAlignment="1">
      <alignment horizontal="center" vertical="center"/>
    </xf>
    <xf numFmtId="0" fontId="167" fillId="0" borderId="11" xfId="0" applyFont="1" applyBorder="1" applyAlignment="1">
      <alignment horizontal="center" vertical="center"/>
    </xf>
    <xf numFmtId="0" fontId="167" fillId="0" borderId="16" xfId="0" applyFont="1" applyBorder="1" applyAlignment="1">
      <alignment horizontal="center" vertical="center"/>
    </xf>
    <xf numFmtId="0" fontId="167" fillId="0" borderId="20" xfId="0" applyFont="1" applyBorder="1" applyAlignment="1">
      <alignment horizontal="center" vertical="center"/>
    </xf>
    <xf numFmtId="0" fontId="120" fillId="23" borderId="197" xfId="66" applyFont="1" applyFill="1" applyBorder="1" applyAlignment="1">
      <alignment horizontal="center" vertical="center"/>
    </xf>
    <xf numFmtId="0" fontId="120" fillId="23" borderId="200" xfId="66" applyFont="1" applyFill="1" applyBorder="1" applyAlignment="1">
      <alignment horizontal="center" vertical="center"/>
    </xf>
    <xf numFmtId="0" fontId="164" fillId="0" borderId="201" xfId="66" applyFont="1" applyBorder="1" applyAlignment="1">
      <alignment horizontal="center" vertical="center"/>
    </xf>
    <xf numFmtId="0" fontId="164" fillId="0" borderId="16" xfId="66" applyFont="1" applyBorder="1" applyAlignment="1">
      <alignment horizontal="center" vertical="center"/>
    </xf>
    <xf numFmtId="0" fontId="166" fillId="0" borderId="198" xfId="66" applyFont="1" applyBorder="1" applyAlignment="1">
      <alignment horizontal="center" vertical="center"/>
    </xf>
    <xf numFmtId="0" fontId="166" fillId="0" borderId="23" xfId="66" applyFont="1" applyBorder="1" applyAlignment="1">
      <alignment horizontal="center" vertical="center"/>
    </xf>
    <xf numFmtId="0" fontId="165" fillId="0" borderId="198" xfId="66" applyFont="1" applyBorder="1" applyAlignment="1">
      <alignment horizontal="center" vertical="center"/>
    </xf>
    <xf numFmtId="0" fontId="188" fillId="0" borderId="11" xfId="0" applyFont="1" applyFill="1" applyBorder="1" applyAlignment="1">
      <alignment horizontal="center" vertical="center" wrapText="1" readingOrder="1"/>
    </xf>
    <xf numFmtId="0" fontId="188" fillId="0" borderId="12" xfId="0" applyFont="1" applyFill="1" applyBorder="1" applyAlignment="1">
      <alignment horizontal="center" vertical="center" wrapText="1" readingOrder="1"/>
    </xf>
    <xf numFmtId="0" fontId="188" fillId="0" borderId="15" xfId="0" applyFont="1" applyFill="1" applyBorder="1" applyAlignment="1">
      <alignment horizontal="center" vertical="center" wrapText="1" readingOrder="1"/>
    </xf>
    <xf numFmtId="0" fontId="120" fillId="23" borderId="19" xfId="0" applyFont="1" applyFill="1" applyBorder="1" applyAlignment="1">
      <alignment horizontal="center" vertical="center" wrapText="1" readingOrder="1"/>
    </xf>
    <xf numFmtId="0" fontId="120" fillId="23" borderId="23" xfId="0" applyFont="1" applyFill="1" applyBorder="1" applyAlignment="1">
      <alignment horizontal="center" vertical="center" wrapText="1" readingOrder="1"/>
    </xf>
    <xf numFmtId="0" fontId="17" fillId="0" borderId="13" xfId="0" applyFont="1" applyFill="1" applyBorder="1" applyAlignment="1">
      <alignment horizontal="center" vertical="center" wrapText="1" readingOrder="1"/>
    </xf>
    <xf numFmtId="0" fontId="17" fillId="0" borderId="14" xfId="0" applyFont="1" applyFill="1" applyBorder="1" applyAlignment="1">
      <alignment horizontal="center" vertical="center" wrapText="1" readingOrder="1"/>
    </xf>
    <xf numFmtId="0" fontId="17" fillId="0" borderId="15" xfId="0" applyFont="1" applyFill="1" applyBorder="1" applyAlignment="1">
      <alignment horizontal="center" vertical="center" wrapText="1" readingOrder="1"/>
    </xf>
    <xf numFmtId="0" fontId="259" fillId="0" borderId="197" xfId="0" applyFont="1" applyBorder="1" applyAlignment="1">
      <alignment horizontal="center"/>
    </xf>
    <xf numFmtId="0" fontId="259" fillId="0" borderId="199" xfId="0" applyFont="1" applyBorder="1" applyAlignment="1">
      <alignment horizontal="center"/>
    </xf>
    <xf numFmtId="0" fontId="259" fillId="0" borderId="200" xfId="0" applyFont="1" applyBorder="1" applyAlignment="1">
      <alignment horizontal="center"/>
    </xf>
    <xf numFmtId="0" fontId="188" fillId="0" borderId="197" xfId="836" applyFont="1" applyFill="1" applyBorder="1" applyAlignment="1">
      <alignment horizontal="center"/>
    </xf>
    <xf numFmtId="0" fontId="188" fillId="0" borderId="199" xfId="836" applyFont="1" applyFill="1" applyBorder="1" applyAlignment="1">
      <alignment horizontal="center"/>
    </xf>
    <xf numFmtId="0" fontId="188" fillId="0" borderId="200" xfId="836" applyFont="1" applyFill="1" applyBorder="1" applyAlignment="1">
      <alignment horizontal="center"/>
    </xf>
    <xf numFmtId="0" fontId="116" fillId="23" borderId="197" xfId="836" applyFont="1" applyFill="1" applyBorder="1" applyAlignment="1">
      <alignment horizontal="center" vertical="center"/>
    </xf>
    <xf numFmtId="0" fontId="116" fillId="23" borderId="200" xfId="836" applyFont="1" applyFill="1" applyBorder="1" applyAlignment="1">
      <alignment horizontal="center" vertical="center"/>
    </xf>
    <xf numFmtId="0" fontId="188" fillId="0" borderId="197" xfId="836" applyFont="1" applyBorder="1" applyAlignment="1">
      <alignment horizontal="center"/>
    </xf>
    <xf numFmtId="0" fontId="188" fillId="0" borderId="200" xfId="836" applyFont="1" applyBorder="1" applyAlignment="1">
      <alignment horizontal="center"/>
    </xf>
    <xf numFmtId="0" fontId="188" fillId="0" borderId="199" xfId="836" applyFont="1" applyBorder="1" applyAlignment="1">
      <alignment horizontal="center"/>
    </xf>
  </cellXfs>
  <cellStyles count="3809">
    <cellStyle name="20% - Énfasis1" xfId="1" builtinId="30" customBuiltin="1"/>
    <cellStyle name="20% - Énfasis1 2" xfId="81"/>
    <cellStyle name="20% - Énfasis1 2 2" xfId="82"/>
    <cellStyle name="20% - Énfasis1 2 2 2" xfId="83"/>
    <cellStyle name="20% - Énfasis1 2 2 2 2" xfId="838"/>
    <cellStyle name="20% - Énfasis1 2 2 2 2 2" xfId="839"/>
    <cellStyle name="20% - Énfasis1 2 2 2 3" xfId="840"/>
    <cellStyle name="20% - Énfasis1 2 2 3" xfId="841"/>
    <cellStyle name="20% - Énfasis1 2 2 3 2" xfId="842"/>
    <cellStyle name="20% - Énfasis1 2 2 4" xfId="843"/>
    <cellStyle name="20% - Énfasis1 2 2_ARTURO SSMC110113xls" xfId="844"/>
    <cellStyle name="20% - Énfasis1 2 3" xfId="84"/>
    <cellStyle name="20% - Énfasis1 2 3 2" xfId="85"/>
    <cellStyle name="20% - Énfasis1 2 3 2 2" xfId="845"/>
    <cellStyle name="20% - Énfasis1 2 3 2 2 2" xfId="846"/>
    <cellStyle name="20% - Énfasis1 2 3 2 3" xfId="847"/>
    <cellStyle name="20% - Énfasis1 2 3 3" xfId="848"/>
    <cellStyle name="20% - Énfasis1 2 3 3 2" xfId="849"/>
    <cellStyle name="20% - Énfasis1 2 3 4" xfId="850"/>
    <cellStyle name="20% - Énfasis1 2 3_ARTURO SSMC110113xls" xfId="851"/>
    <cellStyle name="20% - Énfasis1 2 4" xfId="86"/>
    <cellStyle name="20% - Énfasis1 2 4 2" xfId="852"/>
    <cellStyle name="20% - Énfasis1 2 4 2 2" xfId="853"/>
    <cellStyle name="20% - Énfasis1 2 4 3" xfId="854"/>
    <cellStyle name="20% - Énfasis1 2 5" xfId="855"/>
    <cellStyle name="20% - Énfasis1 2 5 2" xfId="856"/>
    <cellStyle name="20% - Énfasis1 2 6" xfId="857"/>
    <cellStyle name="20% - Énfasis1 2_ARTURO SSMC110113xls" xfId="858"/>
    <cellStyle name="20% - Énfasis1 3" xfId="232"/>
    <cellStyle name="20% - Énfasis2" xfId="2" builtinId="34" customBuiltin="1"/>
    <cellStyle name="20% - Énfasis2 2" xfId="87"/>
    <cellStyle name="20% - Énfasis2 2 2" xfId="88"/>
    <cellStyle name="20% - Énfasis2 2 2 2" xfId="89"/>
    <cellStyle name="20% - Énfasis2 2 2 2 2" xfId="859"/>
    <cellStyle name="20% - Énfasis2 2 2 2 2 2" xfId="860"/>
    <cellStyle name="20% - Énfasis2 2 2 2 3" xfId="861"/>
    <cellStyle name="20% - Énfasis2 2 2 3" xfId="862"/>
    <cellStyle name="20% - Énfasis2 2 2 3 2" xfId="863"/>
    <cellStyle name="20% - Énfasis2 2 2 4" xfId="864"/>
    <cellStyle name="20% - Énfasis2 2 2_ARTURO SSMC110113xls" xfId="865"/>
    <cellStyle name="20% - Énfasis2 2 3" xfId="90"/>
    <cellStyle name="20% - Énfasis2 2 3 2" xfId="91"/>
    <cellStyle name="20% - Énfasis2 2 3 2 2" xfId="866"/>
    <cellStyle name="20% - Énfasis2 2 3 2 2 2" xfId="867"/>
    <cellStyle name="20% - Énfasis2 2 3 2 3" xfId="868"/>
    <cellStyle name="20% - Énfasis2 2 3 3" xfId="869"/>
    <cellStyle name="20% - Énfasis2 2 3 3 2" xfId="870"/>
    <cellStyle name="20% - Énfasis2 2 3 4" xfId="871"/>
    <cellStyle name="20% - Énfasis2 2 3_ARTURO SSMC110113xls" xfId="872"/>
    <cellStyle name="20% - Énfasis2 2 4" xfId="92"/>
    <cellStyle name="20% - Énfasis2 2 4 2" xfId="873"/>
    <cellStyle name="20% - Énfasis2 2 4 2 2" xfId="874"/>
    <cellStyle name="20% - Énfasis2 2 4 3" xfId="875"/>
    <cellStyle name="20% - Énfasis2 2 5" xfId="876"/>
    <cellStyle name="20% - Énfasis2 2 5 2" xfId="877"/>
    <cellStyle name="20% - Énfasis2 2 6" xfId="878"/>
    <cellStyle name="20% - Énfasis2 2_ARTURO SSMC110113xls" xfId="879"/>
    <cellStyle name="20% - Énfasis2 3" xfId="233"/>
    <cellStyle name="20% - Énfasis3" xfId="3" builtinId="38" customBuiltin="1"/>
    <cellStyle name="20% - Énfasis3 2" xfId="93"/>
    <cellStyle name="20% - Énfasis3 2 2" xfId="94"/>
    <cellStyle name="20% - Énfasis3 2 2 2" xfId="95"/>
    <cellStyle name="20% - Énfasis3 2 2 2 2" xfId="880"/>
    <cellStyle name="20% - Énfasis3 2 2 2 2 2" xfId="881"/>
    <cellStyle name="20% - Énfasis3 2 2 2 3" xfId="882"/>
    <cellStyle name="20% - Énfasis3 2 2 3" xfId="883"/>
    <cellStyle name="20% - Énfasis3 2 2 3 2" xfId="884"/>
    <cellStyle name="20% - Énfasis3 2 2 4" xfId="885"/>
    <cellStyle name="20% - Énfasis3 2 2_ARTURO SSMC110113xls" xfId="886"/>
    <cellStyle name="20% - Énfasis3 2 3" xfId="96"/>
    <cellStyle name="20% - Énfasis3 2 3 2" xfId="97"/>
    <cellStyle name="20% - Énfasis3 2 3 2 2" xfId="887"/>
    <cellStyle name="20% - Énfasis3 2 3 2 2 2" xfId="888"/>
    <cellStyle name="20% - Énfasis3 2 3 2 3" xfId="889"/>
    <cellStyle name="20% - Énfasis3 2 3 3" xfId="890"/>
    <cellStyle name="20% - Énfasis3 2 3 3 2" xfId="891"/>
    <cellStyle name="20% - Énfasis3 2 3 4" xfId="892"/>
    <cellStyle name="20% - Énfasis3 2 3_ARTURO SSMC110113xls" xfId="893"/>
    <cellStyle name="20% - Énfasis3 2 4" xfId="98"/>
    <cellStyle name="20% - Énfasis3 2 4 2" xfId="894"/>
    <cellStyle name="20% - Énfasis3 2 4 2 2" xfId="895"/>
    <cellStyle name="20% - Énfasis3 2 4 3" xfId="896"/>
    <cellStyle name="20% - Énfasis3 2 5" xfId="897"/>
    <cellStyle name="20% - Énfasis3 2 5 2" xfId="898"/>
    <cellStyle name="20% - Énfasis3 2 6" xfId="899"/>
    <cellStyle name="20% - Énfasis3 2_ARTURO SSMC110113xls" xfId="900"/>
    <cellStyle name="20% - Énfasis3 3" xfId="234"/>
    <cellStyle name="20% - Énfasis4" xfId="4" builtinId="42" customBuiltin="1"/>
    <cellStyle name="20% - Énfasis4 2" xfId="99"/>
    <cellStyle name="20% - Énfasis4 2 2" xfId="100"/>
    <cellStyle name="20% - Énfasis4 2 2 2" xfId="101"/>
    <cellStyle name="20% - Énfasis4 2 2 2 2" xfId="901"/>
    <cellStyle name="20% - Énfasis4 2 2 2 2 2" xfId="902"/>
    <cellStyle name="20% - Énfasis4 2 2 2 3" xfId="903"/>
    <cellStyle name="20% - Énfasis4 2 2 3" xfId="904"/>
    <cellStyle name="20% - Énfasis4 2 2 3 2" xfId="905"/>
    <cellStyle name="20% - Énfasis4 2 2 4" xfId="906"/>
    <cellStyle name="20% - Énfasis4 2 2_ARTURO SSMC110113xls" xfId="907"/>
    <cellStyle name="20% - Énfasis4 2 3" xfId="102"/>
    <cellStyle name="20% - Énfasis4 2 3 2" xfId="103"/>
    <cellStyle name="20% - Énfasis4 2 3 2 2" xfId="908"/>
    <cellStyle name="20% - Énfasis4 2 3 2 2 2" xfId="909"/>
    <cellStyle name="20% - Énfasis4 2 3 2 3" xfId="910"/>
    <cellStyle name="20% - Énfasis4 2 3 3" xfId="911"/>
    <cellStyle name="20% - Énfasis4 2 3 3 2" xfId="912"/>
    <cellStyle name="20% - Énfasis4 2 3 4" xfId="913"/>
    <cellStyle name="20% - Énfasis4 2 3_ARTURO SSMC110113xls" xfId="914"/>
    <cellStyle name="20% - Énfasis4 2 4" xfId="104"/>
    <cellStyle name="20% - Énfasis4 2 4 2" xfId="915"/>
    <cellStyle name="20% - Énfasis4 2 4 2 2" xfId="916"/>
    <cellStyle name="20% - Énfasis4 2 4 3" xfId="917"/>
    <cellStyle name="20% - Énfasis4 2 5" xfId="918"/>
    <cellStyle name="20% - Énfasis4 2 5 2" xfId="919"/>
    <cellStyle name="20% - Énfasis4 2 6" xfId="920"/>
    <cellStyle name="20% - Énfasis4 2_ARTURO SSMC110113xls" xfId="921"/>
    <cellStyle name="20% - Énfasis4 3" xfId="235"/>
    <cellStyle name="20% - Énfasis5" xfId="5" builtinId="46" customBuiltin="1"/>
    <cellStyle name="20% - Énfasis5 2" xfId="105"/>
    <cellStyle name="20% - Énfasis5 2 2" xfId="106"/>
    <cellStyle name="20% - Énfasis5 2 2 2" xfId="107"/>
    <cellStyle name="20% - Énfasis5 2 2 2 2" xfId="922"/>
    <cellStyle name="20% - Énfasis5 2 2 2 2 2" xfId="923"/>
    <cellStyle name="20% - Énfasis5 2 2 2 3" xfId="924"/>
    <cellStyle name="20% - Énfasis5 2 2 3" xfId="925"/>
    <cellStyle name="20% - Énfasis5 2 2 3 2" xfId="926"/>
    <cellStyle name="20% - Énfasis5 2 2 4" xfId="927"/>
    <cellStyle name="20% - Énfasis5 2 2_ARTURO SSMC110113xls" xfId="928"/>
    <cellStyle name="20% - Énfasis5 2 3" xfId="108"/>
    <cellStyle name="20% - Énfasis5 2 3 2" xfId="109"/>
    <cellStyle name="20% - Énfasis5 2 3 2 2" xfId="929"/>
    <cellStyle name="20% - Énfasis5 2 3 2 2 2" xfId="930"/>
    <cellStyle name="20% - Énfasis5 2 3 2 3" xfId="931"/>
    <cellStyle name="20% - Énfasis5 2 3 3" xfId="932"/>
    <cellStyle name="20% - Énfasis5 2 3 3 2" xfId="933"/>
    <cellStyle name="20% - Énfasis5 2 3 4" xfId="934"/>
    <cellStyle name="20% - Énfasis5 2 3_ARTURO SSMC110113xls" xfId="935"/>
    <cellStyle name="20% - Énfasis5 2 4" xfId="110"/>
    <cellStyle name="20% - Énfasis5 2 4 2" xfId="936"/>
    <cellStyle name="20% - Énfasis5 2 4 2 2" xfId="937"/>
    <cellStyle name="20% - Énfasis5 2 4 3" xfId="938"/>
    <cellStyle name="20% - Énfasis5 2 5" xfId="939"/>
    <cellStyle name="20% - Énfasis5 2 5 2" xfId="940"/>
    <cellStyle name="20% - Énfasis5 2 6" xfId="941"/>
    <cellStyle name="20% - Énfasis5 2_ARTURO SSMC110113xls" xfId="942"/>
    <cellStyle name="20% - Énfasis5 3" xfId="236"/>
    <cellStyle name="20% - Énfasis5 3 10" xfId="943"/>
    <cellStyle name="20% - Énfasis5 3 2" xfId="351"/>
    <cellStyle name="20% - Énfasis5 3 2 2" xfId="760"/>
    <cellStyle name="20% - Énfasis5 3 2 2 2" xfId="944"/>
    <cellStyle name="20% - Énfasis5 3 2 2 2 2" xfId="945"/>
    <cellStyle name="20% - Énfasis5 3 2 2 3" xfId="946"/>
    <cellStyle name="20% - Énfasis5 3 2 3" xfId="947"/>
    <cellStyle name="20% - Énfasis5 3 2 3 2" xfId="948"/>
    <cellStyle name="20% - Énfasis5 3 2 4" xfId="949"/>
    <cellStyle name="20% - Énfasis5 3 3" xfId="950"/>
    <cellStyle name="20% - Énfasis5 3 3 2" xfId="951"/>
    <cellStyle name="20% - Énfasis5 3 3 2 2" xfId="952"/>
    <cellStyle name="20% - Énfasis5 3 3 2 2 2" xfId="953"/>
    <cellStyle name="20% - Énfasis5 3 3 2 3" xfId="954"/>
    <cellStyle name="20% - Énfasis5 3 3 3" xfId="955"/>
    <cellStyle name="20% - Énfasis5 3 3 3 2" xfId="956"/>
    <cellStyle name="20% - Énfasis5 3 3 4" xfId="957"/>
    <cellStyle name="20% - Énfasis5 3 4" xfId="958"/>
    <cellStyle name="20% - Énfasis5 3 4 2" xfId="959"/>
    <cellStyle name="20% - Énfasis5 3 4 2 2" xfId="960"/>
    <cellStyle name="20% - Énfasis5 3 4 2 2 2" xfId="961"/>
    <cellStyle name="20% - Énfasis5 3 4 2 3" xfId="962"/>
    <cellStyle name="20% - Énfasis5 3 4 3" xfId="963"/>
    <cellStyle name="20% - Énfasis5 3 4 3 2" xfId="964"/>
    <cellStyle name="20% - Énfasis5 3 4 4" xfId="965"/>
    <cellStyle name="20% - Énfasis5 3 5" xfId="966"/>
    <cellStyle name="20% - Énfasis5 3 5 2" xfId="967"/>
    <cellStyle name="20% - Énfasis5 3 5 2 2" xfId="968"/>
    <cellStyle name="20% - Énfasis5 3 5 2 2 2" xfId="969"/>
    <cellStyle name="20% - Énfasis5 3 5 2 3" xfId="970"/>
    <cellStyle name="20% - Énfasis5 3 5 3" xfId="971"/>
    <cellStyle name="20% - Énfasis5 3 5 3 2" xfId="972"/>
    <cellStyle name="20% - Énfasis5 3 5 4" xfId="973"/>
    <cellStyle name="20% - Énfasis5 3 6" xfId="974"/>
    <cellStyle name="20% - Énfasis5 3 6 2" xfId="975"/>
    <cellStyle name="20% - Énfasis5 3 6 2 2" xfId="976"/>
    <cellStyle name="20% - Énfasis5 3 6 2 2 2" xfId="977"/>
    <cellStyle name="20% - Énfasis5 3 6 2 3" xfId="978"/>
    <cellStyle name="20% - Énfasis5 3 6 3" xfId="979"/>
    <cellStyle name="20% - Énfasis5 3 6 3 2" xfId="980"/>
    <cellStyle name="20% - Énfasis5 3 6 4" xfId="981"/>
    <cellStyle name="20% - Énfasis5 3 7" xfId="982"/>
    <cellStyle name="20% - Énfasis5 3 7 2" xfId="983"/>
    <cellStyle name="20% - Énfasis5 3 7 2 2" xfId="984"/>
    <cellStyle name="20% - Énfasis5 3 7 2 2 2" xfId="985"/>
    <cellStyle name="20% - Énfasis5 3 7 2 3" xfId="986"/>
    <cellStyle name="20% - Énfasis5 3 7 3" xfId="987"/>
    <cellStyle name="20% - Énfasis5 3 7 3 2" xfId="988"/>
    <cellStyle name="20% - Énfasis5 3 7 4" xfId="989"/>
    <cellStyle name="20% - Énfasis5 3 8" xfId="990"/>
    <cellStyle name="20% - Énfasis5 3 8 2" xfId="991"/>
    <cellStyle name="20% - Énfasis5 3 8 2 2" xfId="992"/>
    <cellStyle name="20% - Énfasis5 3 8 3" xfId="993"/>
    <cellStyle name="20% - Énfasis5 3 9" xfId="994"/>
    <cellStyle name="20% - Énfasis5 3 9 2" xfId="995"/>
    <cellStyle name="20% - Énfasis5 4" xfId="352"/>
    <cellStyle name="20% - Énfasis5 4 10" xfId="996"/>
    <cellStyle name="20% - Énfasis5 4 2" xfId="761"/>
    <cellStyle name="20% - Énfasis5 4 2 2" xfId="997"/>
    <cellStyle name="20% - Énfasis5 4 2 2 2" xfId="998"/>
    <cellStyle name="20% - Énfasis5 4 2 2 2 2" xfId="999"/>
    <cellStyle name="20% - Énfasis5 4 2 2 3" xfId="1000"/>
    <cellStyle name="20% - Énfasis5 4 2 3" xfId="1001"/>
    <cellStyle name="20% - Énfasis5 4 2 3 2" xfId="1002"/>
    <cellStyle name="20% - Énfasis5 4 2 4" xfId="1003"/>
    <cellStyle name="20% - Énfasis5 4 3" xfId="1004"/>
    <cellStyle name="20% - Énfasis5 4 3 2" xfId="1005"/>
    <cellStyle name="20% - Énfasis5 4 3 2 2" xfId="1006"/>
    <cellStyle name="20% - Énfasis5 4 3 2 2 2" xfId="1007"/>
    <cellStyle name="20% - Énfasis5 4 3 2 3" xfId="1008"/>
    <cellStyle name="20% - Énfasis5 4 3 3" xfId="1009"/>
    <cellStyle name="20% - Énfasis5 4 3 3 2" xfId="1010"/>
    <cellStyle name="20% - Énfasis5 4 3 4" xfId="1011"/>
    <cellStyle name="20% - Énfasis5 4 4" xfId="1012"/>
    <cellStyle name="20% - Énfasis5 4 4 2" xfId="1013"/>
    <cellStyle name="20% - Énfasis5 4 4 2 2" xfId="1014"/>
    <cellStyle name="20% - Énfasis5 4 4 2 2 2" xfId="1015"/>
    <cellStyle name="20% - Énfasis5 4 4 2 3" xfId="1016"/>
    <cellStyle name="20% - Énfasis5 4 4 3" xfId="1017"/>
    <cellStyle name="20% - Énfasis5 4 4 3 2" xfId="1018"/>
    <cellStyle name="20% - Énfasis5 4 4 4" xfId="1019"/>
    <cellStyle name="20% - Énfasis5 4 5" xfId="1020"/>
    <cellStyle name="20% - Énfasis5 4 5 2" xfId="1021"/>
    <cellStyle name="20% - Énfasis5 4 5 2 2" xfId="1022"/>
    <cellStyle name="20% - Énfasis5 4 5 2 2 2" xfId="1023"/>
    <cellStyle name="20% - Énfasis5 4 5 2 3" xfId="1024"/>
    <cellStyle name="20% - Énfasis5 4 5 3" xfId="1025"/>
    <cellStyle name="20% - Énfasis5 4 5 3 2" xfId="1026"/>
    <cellStyle name="20% - Énfasis5 4 5 4" xfId="1027"/>
    <cellStyle name="20% - Énfasis5 4 6" xfId="1028"/>
    <cellStyle name="20% - Énfasis5 4 6 2" xfId="1029"/>
    <cellStyle name="20% - Énfasis5 4 6 2 2" xfId="1030"/>
    <cellStyle name="20% - Énfasis5 4 6 2 2 2" xfId="1031"/>
    <cellStyle name="20% - Énfasis5 4 6 2 3" xfId="1032"/>
    <cellStyle name="20% - Énfasis5 4 6 3" xfId="1033"/>
    <cellStyle name="20% - Énfasis5 4 6 3 2" xfId="1034"/>
    <cellStyle name="20% - Énfasis5 4 6 4" xfId="1035"/>
    <cellStyle name="20% - Énfasis5 4 7" xfId="1036"/>
    <cellStyle name="20% - Énfasis5 4 7 2" xfId="1037"/>
    <cellStyle name="20% - Énfasis5 4 7 2 2" xfId="1038"/>
    <cellStyle name="20% - Énfasis5 4 7 2 2 2" xfId="1039"/>
    <cellStyle name="20% - Énfasis5 4 7 2 3" xfId="1040"/>
    <cellStyle name="20% - Énfasis5 4 7 3" xfId="1041"/>
    <cellStyle name="20% - Énfasis5 4 7 3 2" xfId="1042"/>
    <cellStyle name="20% - Énfasis5 4 7 4" xfId="1043"/>
    <cellStyle name="20% - Énfasis5 4 8" xfId="1044"/>
    <cellStyle name="20% - Énfasis5 4 8 2" xfId="1045"/>
    <cellStyle name="20% - Énfasis5 4 8 2 2" xfId="1046"/>
    <cellStyle name="20% - Énfasis5 4 8 3" xfId="1047"/>
    <cellStyle name="20% - Énfasis5 4 9" xfId="1048"/>
    <cellStyle name="20% - Énfasis5 4 9 2" xfId="1049"/>
    <cellStyle name="20% - Énfasis5 5" xfId="353"/>
    <cellStyle name="20% - Énfasis5 5 10" xfId="1050"/>
    <cellStyle name="20% - Énfasis5 5 2" xfId="762"/>
    <cellStyle name="20% - Énfasis5 5 2 2" xfId="1051"/>
    <cellStyle name="20% - Énfasis5 5 2 2 2" xfId="1052"/>
    <cellStyle name="20% - Énfasis5 5 2 2 2 2" xfId="1053"/>
    <cellStyle name="20% - Énfasis5 5 2 2 3" xfId="1054"/>
    <cellStyle name="20% - Énfasis5 5 2 3" xfId="1055"/>
    <cellStyle name="20% - Énfasis5 5 2 3 2" xfId="1056"/>
    <cellStyle name="20% - Énfasis5 5 2 4" xfId="1057"/>
    <cellStyle name="20% - Énfasis5 5 3" xfId="1058"/>
    <cellStyle name="20% - Énfasis5 5 3 2" xfId="1059"/>
    <cellStyle name="20% - Énfasis5 5 3 2 2" xfId="1060"/>
    <cellStyle name="20% - Énfasis5 5 3 2 2 2" xfId="1061"/>
    <cellStyle name="20% - Énfasis5 5 3 2 3" xfId="1062"/>
    <cellStyle name="20% - Énfasis5 5 3 3" xfId="1063"/>
    <cellStyle name="20% - Énfasis5 5 3 3 2" xfId="1064"/>
    <cellStyle name="20% - Énfasis5 5 3 4" xfId="1065"/>
    <cellStyle name="20% - Énfasis5 5 4" xfId="1066"/>
    <cellStyle name="20% - Énfasis5 5 4 2" xfId="1067"/>
    <cellStyle name="20% - Énfasis5 5 4 2 2" xfId="1068"/>
    <cellStyle name="20% - Énfasis5 5 4 2 2 2" xfId="1069"/>
    <cellStyle name="20% - Énfasis5 5 4 2 3" xfId="1070"/>
    <cellStyle name="20% - Énfasis5 5 4 3" xfId="1071"/>
    <cellStyle name="20% - Énfasis5 5 4 3 2" xfId="1072"/>
    <cellStyle name="20% - Énfasis5 5 4 4" xfId="1073"/>
    <cellStyle name="20% - Énfasis5 5 5" xfId="1074"/>
    <cellStyle name="20% - Énfasis5 5 5 2" xfId="1075"/>
    <cellStyle name="20% - Énfasis5 5 5 2 2" xfId="1076"/>
    <cellStyle name="20% - Énfasis5 5 5 2 2 2" xfId="1077"/>
    <cellStyle name="20% - Énfasis5 5 5 2 3" xfId="1078"/>
    <cellStyle name="20% - Énfasis5 5 5 3" xfId="1079"/>
    <cellStyle name="20% - Énfasis5 5 5 3 2" xfId="1080"/>
    <cellStyle name="20% - Énfasis5 5 5 4" xfId="1081"/>
    <cellStyle name="20% - Énfasis5 5 6" xfId="1082"/>
    <cellStyle name="20% - Énfasis5 5 6 2" xfId="1083"/>
    <cellStyle name="20% - Énfasis5 5 6 2 2" xfId="1084"/>
    <cellStyle name="20% - Énfasis5 5 6 2 2 2" xfId="1085"/>
    <cellStyle name="20% - Énfasis5 5 6 2 3" xfId="1086"/>
    <cellStyle name="20% - Énfasis5 5 6 3" xfId="1087"/>
    <cellStyle name="20% - Énfasis5 5 6 3 2" xfId="1088"/>
    <cellStyle name="20% - Énfasis5 5 6 4" xfId="1089"/>
    <cellStyle name="20% - Énfasis5 5 7" xfId="1090"/>
    <cellStyle name="20% - Énfasis5 5 7 2" xfId="1091"/>
    <cellStyle name="20% - Énfasis5 5 7 2 2" xfId="1092"/>
    <cellStyle name="20% - Énfasis5 5 7 2 2 2" xfId="1093"/>
    <cellStyle name="20% - Énfasis5 5 7 2 3" xfId="1094"/>
    <cellStyle name="20% - Énfasis5 5 7 3" xfId="1095"/>
    <cellStyle name="20% - Énfasis5 5 7 3 2" xfId="1096"/>
    <cellStyle name="20% - Énfasis5 5 7 4" xfId="1097"/>
    <cellStyle name="20% - Énfasis5 5 8" xfId="1098"/>
    <cellStyle name="20% - Énfasis5 5 8 2" xfId="1099"/>
    <cellStyle name="20% - Énfasis5 5 8 2 2" xfId="1100"/>
    <cellStyle name="20% - Énfasis5 5 8 3" xfId="1101"/>
    <cellStyle name="20% - Énfasis5 5 9" xfId="1102"/>
    <cellStyle name="20% - Énfasis5 5 9 2" xfId="1103"/>
    <cellStyle name="20% - Énfasis5 6" xfId="354"/>
    <cellStyle name="20% - Énfasis5 6 10" xfId="1104"/>
    <cellStyle name="20% - Énfasis5 6 2" xfId="763"/>
    <cellStyle name="20% - Énfasis5 6 2 2" xfId="1105"/>
    <cellStyle name="20% - Énfasis5 6 2 2 2" xfId="1106"/>
    <cellStyle name="20% - Énfasis5 6 2 2 2 2" xfId="1107"/>
    <cellStyle name="20% - Énfasis5 6 2 2 3" xfId="1108"/>
    <cellStyle name="20% - Énfasis5 6 2 3" xfId="1109"/>
    <cellStyle name="20% - Énfasis5 6 2 3 2" xfId="1110"/>
    <cellStyle name="20% - Énfasis5 6 2 4" xfId="1111"/>
    <cellStyle name="20% - Énfasis5 6 3" xfId="1112"/>
    <cellStyle name="20% - Énfasis5 6 3 2" xfId="1113"/>
    <cellStyle name="20% - Énfasis5 6 3 2 2" xfId="1114"/>
    <cellStyle name="20% - Énfasis5 6 3 2 2 2" xfId="1115"/>
    <cellStyle name="20% - Énfasis5 6 3 2 3" xfId="1116"/>
    <cellStyle name="20% - Énfasis5 6 3 3" xfId="1117"/>
    <cellStyle name="20% - Énfasis5 6 3 3 2" xfId="1118"/>
    <cellStyle name="20% - Énfasis5 6 3 4" xfId="1119"/>
    <cellStyle name="20% - Énfasis5 6 4" xfId="1120"/>
    <cellStyle name="20% - Énfasis5 6 4 2" xfId="1121"/>
    <cellStyle name="20% - Énfasis5 6 4 2 2" xfId="1122"/>
    <cellStyle name="20% - Énfasis5 6 4 2 2 2" xfId="1123"/>
    <cellStyle name="20% - Énfasis5 6 4 2 3" xfId="1124"/>
    <cellStyle name="20% - Énfasis5 6 4 3" xfId="1125"/>
    <cellStyle name="20% - Énfasis5 6 4 3 2" xfId="1126"/>
    <cellStyle name="20% - Énfasis5 6 4 4" xfId="1127"/>
    <cellStyle name="20% - Énfasis5 6 5" xfId="1128"/>
    <cellStyle name="20% - Énfasis5 6 5 2" xfId="1129"/>
    <cellStyle name="20% - Énfasis5 6 5 2 2" xfId="1130"/>
    <cellStyle name="20% - Énfasis5 6 5 2 2 2" xfId="1131"/>
    <cellStyle name="20% - Énfasis5 6 5 2 3" xfId="1132"/>
    <cellStyle name="20% - Énfasis5 6 5 3" xfId="1133"/>
    <cellStyle name="20% - Énfasis5 6 5 3 2" xfId="1134"/>
    <cellStyle name="20% - Énfasis5 6 5 4" xfId="1135"/>
    <cellStyle name="20% - Énfasis5 6 6" xfId="1136"/>
    <cellStyle name="20% - Énfasis5 6 6 2" xfId="1137"/>
    <cellStyle name="20% - Énfasis5 6 6 2 2" xfId="1138"/>
    <cellStyle name="20% - Énfasis5 6 6 2 2 2" xfId="1139"/>
    <cellStyle name="20% - Énfasis5 6 6 2 3" xfId="1140"/>
    <cellStyle name="20% - Énfasis5 6 6 3" xfId="1141"/>
    <cellStyle name="20% - Énfasis5 6 6 3 2" xfId="1142"/>
    <cellStyle name="20% - Énfasis5 6 6 4" xfId="1143"/>
    <cellStyle name="20% - Énfasis5 6 7" xfId="1144"/>
    <cellStyle name="20% - Énfasis5 6 7 2" xfId="1145"/>
    <cellStyle name="20% - Énfasis5 6 7 2 2" xfId="1146"/>
    <cellStyle name="20% - Énfasis5 6 7 2 2 2" xfId="1147"/>
    <cellStyle name="20% - Énfasis5 6 7 2 3" xfId="1148"/>
    <cellStyle name="20% - Énfasis5 6 7 3" xfId="1149"/>
    <cellStyle name="20% - Énfasis5 6 7 3 2" xfId="1150"/>
    <cellStyle name="20% - Énfasis5 6 7 4" xfId="1151"/>
    <cellStyle name="20% - Énfasis5 6 8" xfId="1152"/>
    <cellStyle name="20% - Énfasis5 6 8 2" xfId="1153"/>
    <cellStyle name="20% - Énfasis5 6 8 2 2" xfId="1154"/>
    <cellStyle name="20% - Énfasis5 6 8 3" xfId="1155"/>
    <cellStyle name="20% - Énfasis5 6 9" xfId="1156"/>
    <cellStyle name="20% - Énfasis5 6 9 2" xfId="1157"/>
    <cellStyle name="20% - Énfasis6" xfId="6" builtinId="50" customBuiltin="1"/>
    <cellStyle name="20% - Énfasis6 2" xfId="111"/>
    <cellStyle name="20% - Énfasis6 2 2" xfId="112"/>
    <cellStyle name="20% - Énfasis6 2 2 2" xfId="113"/>
    <cellStyle name="20% - Énfasis6 2 2 2 2" xfId="1158"/>
    <cellStyle name="20% - Énfasis6 2 2 2 2 2" xfId="1159"/>
    <cellStyle name="20% - Énfasis6 2 2 2 3" xfId="1160"/>
    <cellStyle name="20% - Énfasis6 2 2 3" xfId="1161"/>
    <cellStyle name="20% - Énfasis6 2 2 3 2" xfId="1162"/>
    <cellStyle name="20% - Énfasis6 2 2 4" xfId="1163"/>
    <cellStyle name="20% - Énfasis6 2 2_ARTURO SSMC110113xls" xfId="1164"/>
    <cellStyle name="20% - Énfasis6 2 3" xfId="114"/>
    <cellStyle name="20% - Énfasis6 2 3 2" xfId="115"/>
    <cellStyle name="20% - Énfasis6 2 3 2 2" xfId="1165"/>
    <cellStyle name="20% - Énfasis6 2 3 2 2 2" xfId="1166"/>
    <cellStyle name="20% - Énfasis6 2 3 2 3" xfId="1167"/>
    <cellStyle name="20% - Énfasis6 2 3 3" xfId="1168"/>
    <cellStyle name="20% - Énfasis6 2 3 3 2" xfId="1169"/>
    <cellStyle name="20% - Énfasis6 2 3 4" xfId="1170"/>
    <cellStyle name="20% - Énfasis6 2 3_ARTURO SSMC110113xls" xfId="1171"/>
    <cellStyle name="20% - Énfasis6 2 4" xfId="116"/>
    <cellStyle name="20% - Énfasis6 2 4 2" xfId="1172"/>
    <cellStyle name="20% - Énfasis6 2 4 2 2" xfId="1173"/>
    <cellStyle name="20% - Énfasis6 2 4 3" xfId="1174"/>
    <cellStyle name="20% - Énfasis6 2 5" xfId="1175"/>
    <cellStyle name="20% - Énfasis6 2 5 2" xfId="1176"/>
    <cellStyle name="20% - Énfasis6 2 6" xfId="1177"/>
    <cellStyle name="20% - Énfasis6 2_ARTURO SSMC110113xls" xfId="1178"/>
    <cellStyle name="20% - Énfasis6 3" xfId="237"/>
    <cellStyle name="40% - Énfasis1" xfId="7" builtinId="31" customBuiltin="1"/>
    <cellStyle name="40% - Énfasis1 2" xfId="117"/>
    <cellStyle name="40% - Énfasis1 2 2" xfId="118"/>
    <cellStyle name="40% - Énfasis1 2 2 2" xfId="119"/>
    <cellStyle name="40% - Énfasis1 2 2 2 2" xfId="1179"/>
    <cellStyle name="40% - Énfasis1 2 2 2 2 2" xfId="1180"/>
    <cellStyle name="40% - Énfasis1 2 2 2 3" xfId="1181"/>
    <cellStyle name="40% - Énfasis1 2 2 3" xfId="1182"/>
    <cellStyle name="40% - Énfasis1 2 2 3 2" xfId="1183"/>
    <cellStyle name="40% - Énfasis1 2 2 4" xfId="1184"/>
    <cellStyle name="40% - Énfasis1 2 2_ARTURO SSMC110113xls" xfId="1185"/>
    <cellStyle name="40% - Énfasis1 2 3" xfId="120"/>
    <cellStyle name="40% - Énfasis1 2 3 2" xfId="121"/>
    <cellStyle name="40% - Énfasis1 2 3 2 2" xfId="1186"/>
    <cellStyle name="40% - Énfasis1 2 3 2 2 2" xfId="1187"/>
    <cellStyle name="40% - Énfasis1 2 3 2 3" xfId="1188"/>
    <cellStyle name="40% - Énfasis1 2 3 3" xfId="1189"/>
    <cellStyle name="40% - Énfasis1 2 3 3 2" xfId="1190"/>
    <cellStyle name="40% - Énfasis1 2 3 4" xfId="1191"/>
    <cellStyle name="40% - Énfasis1 2 3_ARTURO SSMC110113xls" xfId="1192"/>
    <cellStyle name="40% - Énfasis1 2 4" xfId="122"/>
    <cellStyle name="40% - Énfasis1 2 4 2" xfId="1193"/>
    <cellStyle name="40% - Énfasis1 2 4 2 2" xfId="1194"/>
    <cellStyle name="40% - Énfasis1 2 4 3" xfId="1195"/>
    <cellStyle name="40% - Énfasis1 2 5" xfId="1196"/>
    <cellStyle name="40% - Énfasis1 2 5 2" xfId="1197"/>
    <cellStyle name="40% - Énfasis1 2 6" xfId="1198"/>
    <cellStyle name="40% - Énfasis1 2_ARTURO SSMC110113xls" xfId="1199"/>
    <cellStyle name="40% - Énfasis1 3" xfId="238"/>
    <cellStyle name="40% - Énfasis2" xfId="8" builtinId="35" customBuiltin="1"/>
    <cellStyle name="40% - Énfasis2 2" xfId="123"/>
    <cellStyle name="40% - Énfasis2 2 2" xfId="124"/>
    <cellStyle name="40% - Énfasis2 2 2 2" xfId="125"/>
    <cellStyle name="40% - Énfasis2 2 2 2 2" xfId="1200"/>
    <cellStyle name="40% - Énfasis2 2 2 2 2 2" xfId="1201"/>
    <cellStyle name="40% - Énfasis2 2 2 2 3" xfId="1202"/>
    <cellStyle name="40% - Énfasis2 2 2 3" xfId="1203"/>
    <cellStyle name="40% - Énfasis2 2 2 3 2" xfId="1204"/>
    <cellStyle name="40% - Énfasis2 2 2 4" xfId="1205"/>
    <cellStyle name="40% - Énfasis2 2 2_ARTURO SSMC110113xls" xfId="1206"/>
    <cellStyle name="40% - Énfasis2 2 3" xfId="126"/>
    <cellStyle name="40% - Énfasis2 2 3 2" xfId="127"/>
    <cellStyle name="40% - Énfasis2 2 3 2 2" xfId="1207"/>
    <cellStyle name="40% - Énfasis2 2 3 2 2 2" xfId="1208"/>
    <cellStyle name="40% - Énfasis2 2 3 2 3" xfId="1209"/>
    <cellStyle name="40% - Énfasis2 2 3 3" xfId="1210"/>
    <cellStyle name="40% - Énfasis2 2 3 3 2" xfId="1211"/>
    <cellStyle name="40% - Énfasis2 2 3 4" xfId="1212"/>
    <cellStyle name="40% - Énfasis2 2 3_ARTURO SSMC110113xls" xfId="1213"/>
    <cellStyle name="40% - Énfasis2 2 4" xfId="128"/>
    <cellStyle name="40% - Énfasis2 2 4 2" xfId="1214"/>
    <cellStyle name="40% - Énfasis2 2 4 2 2" xfId="1215"/>
    <cellStyle name="40% - Énfasis2 2 4 3" xfId="1216"/>
    <cellStyle name="40% - Énfasis2 2 5" xfId="1217"/>
    <cellStyle name="40% - Énfasis2 2 5 2" xfId="1218"/>
    <cellStyle name="40% - Énfasis2 2 6" xfId="1219"/>
    <cellStyle name="40% - Énfasis2 2_ARTURO SSMC110113xls" xfId="1220"/>
    <cellStyle name="40% - Énfasis2 3" xfId="239"/>
    <cellStyle name="40% - Énfasis3" xfId="9" builtinId="39" customBuiltin="1"/>
    <cellStyle name="40% - Énfasis3 2" xfId="129"/>
    <cellStyle name="40% - Énfasis3 2 2" xfId="130"/>
    <cellStyle name="40% - Énfasis3 2 2 2" xfId="131"/>
    <cellStyle name="40% - Énfasis3 2 2 2 2" xfId="1221"/>
    <cellStyle name="40% - Énfasis3 2 2 2 2 2" xfId="1222"/>
    <cellStyle name="40% - Énfasis3 2 2 2 3" xfId="1223"/>
    <cellStyle name="40% - Énfasis3 2 2 3" xfId="1224"/>
    <cellStyle name="40% - Énfasis3 2 2 3 2" xfId="1225"/>
    <cellStyle name="40% - Énfasis3 2 2 4" xfId="1226"/>
    <cellStyle name="40% - Énfasis3 2 2_ARTURO SSMC110113xls" xfId="1227"/>
    <cellStyle name="40% - Énfasis3 2 3" xfId="132"/>
    <cellStyle name="40% - Énfasis3 2 3 2" xfId="133"/>
    <cellStyle name="40% - Énfasis3 2 3 2 2" xfId="1228"/>
    <cellStyle name="40% - Énfasis3 2 3 2 2 2" xfId="1229"/>
    <cellStyle name="40% - Énfasis3 2 3 2 3" xfId="1230"/>
    <cellStyle name="40% - Énfasis3 2 3 3" xfId="1231"/>
    <cellStyle name="40% - Énfasis3 2 3 3 2" xfId="1232"/>
    <cellStyle name="40% - Énfasis3 2 3 4" xfId="1233"/>
    <cellStyle name="40% - Énfasis3 2 3_ARTURO SSMC110113xls" xfId="1234"/>
    <cellStyle name="40% - Énfasis3 2 4" xfId="134"/>
    <cellStyle name="40% - Énfasis3 2 4 2" xfId="1235"/>
    <cellStyle name="40% - Énfasis3 2 4 2 2" xfId="1236"/>
    <cellStyle name="40% - Énfasis3 2 4 3" xfId="1237"/>
    <cellStyle name="40% - Énfasis3 2 5" xfId="1238"/>
    <cellStyle name="40% - Énfasis3 2 5 2" xfId="1239"/>
    <cellStyle name="40% - Énfasis3 2 6" xfId="1240"/>
    <cellStyle name="40% - Énfasis3 2_ARTURO SSMC110113xls" xfId="1241"/>
    <cellStyle name="40% - Énfasis3 3" xfId="240"/>
    <cellStyle name="40% - Énfasis4" xfId="10" builtinId="43" customBuiltin="1"/>
    <cellStyle name="40% - Énfasis4 2" xfId="135"/>
    <cellStyle name="40% - Énfasis4 2 2" xfId="136"/>
    <cellStyle name="40% - Énfasis4 2 2 2" xfId="137"/>
    <cellStyle name="40% - Énfasis4 2 2 2 2" xfId="1242"/>
    <cellStyle name="40% - Énfasis4 2 2 2 2 2" xfId="1243"/>
    <cellStyle name="40% - Énfasis4 2 2 2 3" xfId="1244"/>
    <cellStyle name="40% - Énfasis4 2 2 3" xfId="1245"/>
    <cellStyle name="40% - Énfasis4 2 2 3 2" xfId="1246"/>
    <cellStyle name="40% - Énfasis4 2 2 4" xfId="1247"/>
    <cellStyle name="40% - Énfasis4 2 2_ARTURO SSMC110113xls" xfId="1248"/>
    <cellStyle name="40% - Énfasis4 2 3" xfId="138"/>
    <cellStyle name="40% - Énfasis4 2 3 2" xfId="139"/>
    <cellStyle name="40% - Énfasis4 2 3 2 2" xfId="1249"/>
    <cellStyle name="40% - Énfasis4 2 3 2 2 2" xfId="1250"/>
    <cellStyle name="40% - Énfasis4 2 3 2 3" xfId="1251"/>
    <cellStyle name="40% - Énfasis4 2 3 3" xfId="1252"/>
    <cellStyle name="40% - Énfasis4 2 3 3 2" xfId="1253"/>
    <cellStyle name="40% - Énfasis4 2 3 4" xfId="1254"/>
    <cellStyle name="40% - Énfasis4 2 3_ARTURO SSMC110113xls" xfId="1255"/>
    <cellStyle name="40% - Énfasis4 2 4" xfId="140"/>
    <cellStyle name="40% - Énfasis4 2 4 2" xfId="1256"/>
    <cellStyle name="40% - Énfasis4 2 4 2 2" xfId="1257"/>
    <cellStyle name="40% - Énfasis4 2 4 3" xfId="1258"/>
    <cellStyle name="40% - Énfasis4 2 5" xfId="1259"/>
    <cellStyle name="40% - Énfasis4 2 5 2" xfId="1260"/>
    <cellStyle name="40% - Énfasis4 2 6" xfId="1261"/>
    <cellStyle name="40% - Énfasis4 2_ARTURO SSMC110113xls" xfId="1262"/>
    <cellStyle name="40% - Énfasis4 3" xfId="241"/>
    <cellStyle name="40% - Énfasis5" xfId="11" builtinId="47" customBuiltin="1"/>
    <cellStyle name="40% - Énfasis5 2" xfId="141"/>
    <cellStyle name="40% - Énfasis5 2 2" xfId="142"/>
    <cellStyle name="40% - Énfasis5 2 2 2" xfId="143"/>
    <cellStyle name="40% - Énfasis5 2 2 2 2" xfId="1263"/>
    <cellStyle name="40% - Énfasis5 2 2 2 2 2" xfId="1264"/>
    <cellStyle name="40% - Énfasis5 2 2 2 3" xfId="1265"/>
    <cellStyle name="40% - Énfasis5 2 2 3" xfId="1266"/>
    <cellStyle name="40% - Énfasis5 2 2 3 2" xfId="1267"/>
    <cellStyle name="40% - Énfasis5 2 2 4" xfId="1268"/>
    <cellStyle name="40% - Énfasis5 2 2_ARTURO SSMC110113xls" xfId="1269"/>
    <cellStyle name="40% - Énfasis5 2 3" xfId="144"/>
    <cellStyle name="40% - Énfasis5 2 3 2" xfId="145"/>
    <cellStyle name="40% - Énfasis5 2 3 2 2" xfId="1270"/>
    <cellStyle name="40% - Énfasis5 2 3 2 2 2" xfId="1271"/>
    <cellStyle name="40% - Énfasis5 2 3 2 3" xfId="1272"/>
    <cellStyle name="40% - Énfasis5 2 3 3" xfId="1273"/>
    <cellStyle name="40% - Énfasis5 2 3 3 2" xfId="1274"/>
    <cellStyle name="40% - Énfasis5 2 3 4" xfId="1275"/>
    <cellStyle name="40% - Énfasis5 2 3_ARTURO SSMC110113xls" xfId="1276"/>
    <cellStyle name="40% - Énfasis5 2 4" xfId="146"/>
    <cellStyle name="40% - Énfasis5 2 4 2" xfId="1277"/>
    <cellStyle name="40% - Énfasis5 2 4 2 2" xfId="1278"/>
    <cellStyle name="40% - Énfasis5 2 4 3" xfId="1279"/>
    <cellStyle name="40% - Énfasis5 2 5" xfId="1280"/>
    <cellStyle name="40% - Énfasis5 2 5 2" xfId="1281"/>
    <cellStyle name="40% - Énfasis5 2 6" xfId="1282"/>
    <cellStyle name="40% - Énfasis5 2_ARTURO SSMC110113xls" xfId="1283"/>
    <cellStyle name="40% - Énfasis5 3" xfId="242"/>
    <cellStyle name="40% - Énfasis6" xfId="12" builtinId="51" customBuiltin="1"/>
    <cellStyle name="40% - Énfasis6 2" xfId="147"/>
    <cellStyle name="40% - Énfasis6 2 2" xfId="148"/>
    <cellStyle name="40% - Énfasis6 2 2 2" xfId="149"/>
    <cellStyle name="40% - Énfasis6 2 2 2 2" xfId="1284"/>
    <cellStyle name="40% - Énfasis6 2 2 2 2 2" xfId="1285"/>
    <cellStyle name="40% - Énfasis6 2 2 2 3" xfId="1286"/>
    <cellStyle name="40% - Énfasis6 2 2 3" xfId="1287"/>
    <cellStyle name="40% - Énfasis6 2 2 3 2" xfId="1288"/>
    <cellStyle name="40% - Énfasis6 2 2 4" xfId="1289"/>
    <cellStyle name="40% - Énfasis6 2 2_ARTURO SSMC110113xls" xfId="1290"/>
    <cellStyle name="40% - Énfasis6 2 3" xfId="150"/>
    <cellStyle name="40% - Énfasis6 2 3 2" xfId="151"/>
    <cellStyle name="40% - Énfasis6 2 3 2 2" xfId="1291"/>
    <cellStyle name="40% - Énfasis6 2 3 2 2 2" xfId="1292"/>
    <cellStyle name="40% - Énfasis6 2 3 2 3" xfId="1293"/>
    <cellStyle name="40% - Énfasis6 2 3 3" xfId="1294"/>
    <cellStyle name="40% - Énfasis6 2 3 3 2" xfId="1295"/>
    <cellStyle name="40% - Énfasis6 2 3 4" xfId="1296"/>
    <cellStyle name="40% - Énfasis6 2 3_ARTURO SSMC110113xls" xfId="1297"/>
    <cellStyle name="40% - Énfasis6 2 4" xfId="152"/>
    <cellStyle name="40% - Énfasis6 2 4 2" xfId="1298"/>
    <cellStyle name="40% - Énfasis6 2 4 2 2" xfId="1299"/>
    <cellStyle name="40% - Énfasis6 2 4 3" xfId="1300"/>
    <cellStyle name="40% - Énfasis6 2 5" xfId="1301"/>
    <cellStyle name="40% - Énfasis6 2 5 2" xfId="1302"/>
    <cellStyle name="40% - Énfasis6 2 6" xfId="1303"/>
    <cellStyle name="40% - Énfasis6 2_ARTURO SSMC110113xls" xfId="1304"/>
    <cellStyle name="40% - Énfasis6 3" xfId="243"/>
    <cellStyle name="40% - Énfasis6 3 10" xfId="1305"/>
    <cellStyle name="40% - Énfasis6 3 2" xfId="355"/>
    <cellStyle name="40% - Énfasis6 3 2 2" xfId="764"/>
    <cellStyle name="40% - Énfasis6 3 2 2 2" xfId="1306"/>
    <cellStyle name="40% - Énfasis6 3 2 2 2 2" xfId="1307"/>
    <cellStyle name="40% - Énfasis6 3 2 2 3" xfId="1308"/>
    <cellStyle name="40% - Énfasis6 3 2 3" xfId="1309"/>
    <cellStyle name="40% - Énfasis6 3 2 3 2" xfId="1310"/>
    <cellStyle name="40% - Énfasis6 3 2 4" xfId="1311"/>
    <cellStyle name="40% - Énfasis6 3 3" xfId="1312"/>
    <cellStyle name="40% - Énfasis6 3 3 2" xfId="1313"/>
    <cellStyle name="40% - Énfasis6 3 3 2 2" xfId="1314"/>
    <cellStyle name="40% - Énfasis6 3 3 2 2 2" xfId="1315"/>
    <cellStyle name="40% - Énfasis6 3 3 2 3" xfId="1316"/>
    <cellStyle name="40% - Énfasis6 3 3 3" xfId="1317"/>
    <cellStyle name="40% - Énfasis6 3 3 3 2" xfId="1318"/>
    <cellStyle name="40% - Énfasis6 3 3 4" xfId="1319"/>
    <cellStyle name="40% - Énfasis6 3 4" xfId="1320"/>
    <cellStyle name="40% - Énfasis6 3 4 2" xfId="1321"/>
    <cellStyle name="40% - Énfasis6 3 4 2 2" xfId="1322"/>
    <cellStyle name="40% - Énfasis6 3 4 2 2 2" xfId="1323"/>
    <cellStyle name="40% - Énfasis6 3 4 2 3" xfId="1324"/>
    <cellStyle name="40% - Énfasis6 3 4 3" xfId="1325"/>
    <cellStyle name="40% - Énfasis6 3 4 3 2" xfId="1326"/>
    <cellStyle name="40% - Énfasis6 3 4 4" xfId="1327"/>
    <cellStyle name="40% - Énfasis6 3 5" xfId="1328"/>
    <cellStyle name="40% - Énfasis6 3 5 2" xfId="1329"/>
    <cellStyle name="40% - Énfasis6 3 5 2 2" xfId="1330"/>
    <cellStyle name="40% - Énfasis6 3 5 2 2 2" xfId="1331"/>
    <cellStyle name="40% - Énfasis6 3 5 2 3" xfId="1332"/>
    <cellStyle name="40% - Énfasis6 3 5 3" xfId="1333"/>
    <cellStyle name="40% - Énfasis6 3 5 3 2" xfId="1334"/>
    <cellStyle name="40% - Énfasis6 3 5 4" xfId="1335"/>
    <cellStyle name="40% - Énfasis6 3 6" xfId="1336"/>
    <cellStyle name="40% - Énfasis6 3 6 2" xfId="1337"/>
    <cellStyle name="40% - Énfasis6 3 6 2 2" xfId="1338"/>
    <cellStyle name="40% - Énfasis6 3 6 2 2 2" xfId="1339"/>
    <cellStyle name="40% - Énfasis6 3 6 2 3" xfId="1340"/>
    <cellStyle name="40% - Énfasis6 3 6 3" xfId="1341"/>
    <cellStyle name="40% - Énfasis6 3 6 3 2" xfId="1342"/>
    <cellStyle name="40% - Énfasis6 3 6 4" xfId="1343"/>
    <cellStyle name="40% - Énfasis6 3 7" xfId="1344"/>
    <cellStyle name="40% - Énfasis6 3 7 2" xfId="1345"/>
    <cellStyle name="40% - Énfasis6 3 7 2 2" xfId="1346"/>
    <cellStyle name="40% - Énfasis6 3 7 2 2 2" xfId="1347"/>
    <cellStyle name="40% - Énfasis6 3 7 2 3" xfId="1348"/>
    <cellStyle name="40% - Énfasis6 3 7 3" xfId="1349"/>
    <cellStyle name="40% - Énfasis6 3 7 3 2" xfId="1350"/>
    <cellStyle name="40% - Énfasis6 3 7 4" xfId="1351"/>
    <cellStyle name="40% - Énfasis6 3 8" xfId="1352"/>
    <cellStyle name="40% - Énfasis6 3 8 2" xfId="1353"/>
    <cellStyle name="40% - Énfasis6 3 8 2 2" xfId="1354"/>
    <cellStyle name="40% - Énfasis6 3 8 3" xfId="1355"/>
    <cellStyle name="40% - Énfasis6 3 9" xfId="1356"/>
    <cellStyle name="40% - Énfasis6 3 9 2" xfId="1357"/>
    <cellStyle name="60% - Énfasis1" xfId="13" builtinId="32" customBuiltin="1"/>
    <cellStyle name="60% - Énfasis1 2" xfId="153"/>
    <cellStyle name="60% - Énfasis1 3" xfId="244"/>
    <cellStyle name="60% - Énfasis2" xfId="14" builtinId="36" customBuiltin="1"/>
    <cellStyle name="60% - Énfasis2 2" xfId="154"/>
    <cellStyle name="60% - Énfasis2 3" xfId="245"/>
    <cellStyle name="60% - Énfasis3" xfId="15" builtinId="40" customBuiltin="1"/>
    <cellStyle name="60% - Énfasis3 2" xfId="155"/>
    <cellStyle name="60% - Énfasis3 3" xfId="246"/>
    <cellStyle name="60% - Énfasis4" xfId="16" builtinId="44" customBuiltin="1"/>
    <cellStyle name="60% - Énfasis4 2" xfId="156"/>
    <cellStyle name="60% - Énfasis4 3" xfId="247"/>
    <cellStyle name="60% - Énfasis5" xfId="17" builtinId="48" customBuiltin="1"/>
    <cellStyle name="60% - Énfasis5 2" xfId="157"/>
    <cellStyle name="60% - Énfasis5 3" xfId="248"/>
    <cellStyle name="60% - Énfasis6" xfId="18" builtinId="52" customBuiltin="1"/>
    <cellStyle name="60% - Énfasis6 2" xfId="158"/>
    <cellStyle name="60% - Énfasis6 3" xfId="249"/>
    <cellStyle name="Buena" xfId="19" builtinId="26" customBuiltin="1"/>
    <cellStyle name="Buena 2" xfId="159"/>
    <cellStyle name="Buena 3" xfId="250"/>
    <cellStyle name="Cálculo" xfId="20" builtinId="22" customBuiltin="1"/>
    <cellStyle name="Cálculo 2" xfId="160"/>
    <cellStyle name="Cálculo 2 2" xfId="413"/>
    <cellStyle name="Cálculo 2 2 2" xfId="438"/>
    <cellStyle name="Cálculo 2 2 2 10" xfId="1358"/>
    <cellStyle name="Cálculo 2 2 2 11" xfId="1359"/>
    <cellStyle name="Cálculo 2 2 2 2" xfId="467"/>
    <cellStyle name="Cálculo 2 2 2 2 2" xfId="1360"/>
    <cellStyle name="Cálculo 2 2 2 2 3" xfId="1361"/>
    <cellStyle name="Cálculo 2 2 2 2 4" xfId="1362"/>
    <cellStyle name="Cálculo 2 2 2 2 5" xfId="1363"/>
    <cellStyle name="Cálculo 2 2 2 3" xfId="468"/>
    <cellStyle name="Cálculo 2 2 2 3 2" xfId="1364"/>
    <cellStyle name="Cálculo 2 2 2 3 3" xfId="1365"/>
    <cellStyle name="Cálculo 2 2 2 3 4" xfId="1366"/>
    <cellStyle name="Cálculo 2 2 2 3 5" xfId="1367"/>
    <cellStyle name="Cálculo 2 2 2 4" xfId="469"/>
    <cellStyle name="Cálculo 2 2 2 4 2" xfId="1368"/>
    <cellStyle name="Cálculo 2 2 2 4 3" xfId="1369"/>
    <cellStyle name="Cálculo 2 2 2 4 4" xfId="1370"/>
    <cellStyle name="Cálculo 2 2 2 4 5" xfId="1371"/>
    <cellStyle name="Cálculo 2 2 2 5" xfId="470"/>
    <cellStyle name="Cálculo 2 2 2 5 2" xfId="1372"/>
    <cellStyle name="Cálculo 2 2 2 5 3" xfId="1373"/>
    <cellStyle name="Cálculo 2 2 2 5 4" xfId="1374"/>
    <cellStyle name="Cálculo 2 2 2 5 5" xfId="1375"/>
    <cellStyle name="Cálculo 2 2 2 6" xfId="471"/>
    <cellStyle name="Cálculo 2 2 2 6 2" xfId="1376"/>
    <cellStyle name="Cálculo 2 2 2 6 3" xfId="1377"/>
    <cellStyle name="Cálculo 2 2 2 6 4" xfId="1378"/>
    <cellStyle name="Cálculo 2 2 2 6 5" xfId="1379"/>
    <cellStyle name="Cálculo 2 2 2 7" xfId="472"/>
    <cellStyle name="Cálculo 2 2 2 7 2" xfId="1380"/>
    <cellStyle name="Cálculo 2 2 2 7 3" xfId="1381"/>
    <cellStyle name="Cálculo 2 2 2 7 4" xfId="1382"/>
    <cellStyle name="Cálculo 2 2 2 7 5" xfId="1383"/>
    <cellStyle name="Cálculo 2 2 2 8" xfId="1384"/>
    <cellStyle name="Cálculo 2 2 2 9" xfId="1385"/>
    <cellStyle name="Cálculo 2 2 3" xfId="473"/>
    <cellStyle name="Cálculo 2 2 3 2" xfId="1386"/>
    <cellStyle name="Cálculo 2 2 3 3" xfId="1387"/>
    <cellStyle name="Cálculo 2 2 3 4" xfId="1388"/>
    <cellStyle name="Cálculo 2 2 3 5" xfId="1389"/>
    <cellStyle name="Cálculo 2 2 4" xfId="474"/>
    <cellStyle name="Cálculo 2 2 4 2" xfId="1390"/>
    <cellStyle name="Cálculo 2 2 4 3" xfId="1391"/>
    <cellStyle name="Cálculo 2 2 4 4" xfId="1392"/>
    <cellStyle name="Cálculo 2 2 4 5" xfId="1393"/>
    <cellStyle name="Cálculo 2 2 5" xfId="475"/>
    <cellStyle name="Cálculo 2 2 5 2" xfId="1394"/>
    <cellStyle name="Cálculo 2 2 5 3" xfId="1395"/>
    <cellStyle name="Cálculo 2 2 5 4" xfId="1396"/>
    <cellStyle name="Cálculo 2 2 5 5" xfId="1397"/>
    <cellStyle name="Cálculo 2 3" xfId="414"/>
    <cellStyle name="Cálculo 2 3 2" xfId="439"/>
    <cellStyle name="Cálculo 2 3 2 10" xfId="1398"/>
    <cellStyle name="Cálculo 2 3 2 11" xfId="1399"/>
    <cellStyle name="Cálculo 2 3 2 2" xfId="476"/>
    <cellStyle name="Cálculo 2 3 2 2 2" xfId="1400"/>
    <cellStyle name="Cálculo 2 3 2 2 3" xfId="1401"/>
    <cellStyle name="Cálculo 2 3 2 2 4" xfId="1402"/>
    <cellStyle name="Cálculo 2 3 2 2 5" xfId="1403"/>
    <cellStyle name="Cálculo 2 3 2 3" xfId="477"/>
    <cellStyle name="Cálculo 2 3 2 3 2" xfId="1404"/>
    <cellStyle name="Cálculo 2 3 2 3 3" xfId="1405"/>
    <cellStyle name="Cálculo 2 3 2 3 4" xfId="1406"/>
    <cellStyle name="Cálculo 2 3 2 3 5" xfId="1407"/>
    <cellStyle name="Cálculo 2 3 2 4" xfId="478"/>
    <cellStyle name="Cálculo 2 3 2 4 2" xfId="1408"/>
    <cellStyle name="Cálculo 2 3 2 4 3" xfId="1409"/>
    <cellStyle name="Cálculo 2 3 2 4 4" xfId="1410"/>
    <cellStyle name="Cálculo 2 3 2 4 5" xfId="1411"/>
    <cellStyle name="Cálculo 2 3 2 5" xfId="479"/>
    <cellStyle name="Cálculo 2 3 2 5 2" xfId="1412"/>
    <cellStyle name="Cálculo 2 3 2 5 3" xfId="1413"/>
    <cellStyle name="Cálculo 2 3 2 5 4" xfId="1414"/>
    <cellStyle name="Cálculo 2 3 2 5 5" xfId="1415"/>
    <cellStyle name="Cálculo 2 3 2 6" xfId="480"/>
    <cellStyle name="Cálculo 2 3 2 6 2" xfId="1416"/>
    <cellStyle name="Cálculo 2 3 2 6 3" xfId="1417"/>
    <cellStyle name="Cálculo 2 3 2 6 4" xfId="1418"/>
    <cellStyle name="Cálculo 2 3 2 6 5" xfId="1419"/>
    <cellStyle name="Cálculo 2 3 2 7" xfId="481"/>
    <cellStyle name="Cálculo 2 3 2 7 2" xfId="1420"/>
    <cellStyle name="Cálculo 2 3 2 7 3" xfId="1421"/>
    <cellStyle name="Cálculo 2 3 2 7 4" xfId="1422"/>
    <cellStyle name="Cálculo 2 3 2 7 5" xfId="1423"/>
    <cellStyle name="Cálculo 2 3 2 8" xfId="1424"/>
    <cellStyle name="Cálculo 2 3 2 9" xfId="1425"/>
    <cellStyle name="Cálculo 2 3 3" xfId="482"/>
    <cellStyle name="Cálculo 2 3 3 2" xfId="1426"/>
    <cellStyle name="Cálculo 2 3 3 3" xfId="1427"/>
    <cellStyle name="Cálculo 2 3 3 4" xfId="1428"/>
    <cellStyle name="Cálculo 2 3 3 5" xfId="1429"/>
    <cellStyle name="Cálculo 2 3 4" xfId="483"/>
    <cellStyle name="Cálculo 2 3 4 2" xfId="1430"/>
    <cellStyle name="Cálculo 2 3 4 3" xfId="1431"/>
    <cellStyle name="Cálculo 2 3 4 4" xfId="1432"/>
    <cellStyle name="Cálculo 2 3 4 5" xfId="1433"/>
    <cellStyle name="Cálculo 2 3 5" xfId="484"/>
    <cellStyle name="Cálculo 2 3 5 2" xfId="1434"/>
    <cellStyle name="Cálculo 2 3 5 3" xfId="1435"/>
    <cellStyle name="Cálculo 2 3 5 4" xfId="1436"/>
    <cellStyle name="Cálculo 2 3 5 5" xfId="1437"/>
    <cellStyle name="Cálculo 2 4" xfId="432"/>
    <cellStyle name="Cálculo 2 4 2" xfId="485"/>
    <cellStyle name="Cálculo 2 4 2 2" xfId="1438"/>
    <cellStyle name="Cálculo 2 4 2 3" xfId="1439"/>
    <cellStyle name="Cálculo 2 4 2 4" xfId="1440"/>
    <cellStyle name="Cálculo 2 4 2 5" xfId="1441"/>
    <cellStyle name="Cálculo 2 4 3" xfId="486"/>
    <cellStyle name="Cálculo 2 4 3 2" xfId="1442"/>
    <cellStyle name="Cálculo 2 4 3 3" xfId="1443"/>
    <cellStyle name="Cálculo 2 4 3 4" xfId="1444"/>
    <cellStyle name="Cálculo 2 4 3 5" xfId="1445"/>
    <cellStyle name="Cálculo 2 4 4" xfId="487"/>
    <cellStyle name="Cálculo 2 4 4 2" xfId="1446"/>
    <cellStyle name="Cálculo 2 4 4 3" xfId="1447"/>
    <cellStyle name="Cálculo 2 4 4 4" xfId="1448"/>
    <cellStyle name="Cálculo 2 4 4 5" xfId="1449"/>
    <cellStyle name="Cálculo 2 4 5" xfId="488"/>
    <cellStyle name="Cálculo 2 4 5 2" xfId="1450"/>
    <cellStyle name="Cálculo 2 4 5 3" xfId="1451"/>
    <cellStyle name="Cálculo 2 4 5 4" xfId="1452"/>
    <cellStyle name="Cálculo 2 4 5 5" xfId="1453"/>
    <cellStyle name="Cálculo 2 4 6" xfId="489"/>
    <cellStyle name="Cálculo 2 4 6 2" xfId="1454"/>
    <cellStyle name="Cálculo 2 4 6 3" xfId="1455"/>
    <cellStyle name="Cálculo 2 4 6 4" xfId="1456"/>
    <cellStyle name="Cálculo 2 4 6 5" xfId="1457"/>
    <cellStyle name="Cálculo 2 4 7" xfId="490"/>
    <cellStyle name="Cálculo 2 4 7 2" xfId="1458"/>
    <cellStyle name="Cálculo 2 4 7 3" xfId="1459"/>
    <cellStyle name="Cálculo 2 4 7 4" xfId="1460"/>
    <cellStyle name="Cálculo 2 4 7 5" xfId="1461"/>
    <cellStyle name="Cálculo 2 5" xfId="491"/>
    <cellStyle name="Cálculo 2 5 2" xfId="1462"/>
    <cellStyle name="Cálculo 2 5 3" xfId="1463"/>
    <cellStyle name="Cálculo 2 5 4" xfId="1464"/>
    <cellStyle name="Cálculo 2 5 5" xfId="1465"/>
    <cellStyle name="Cálculo 2 6" xfId="492"/>
    <cellStyle name="Cálculo 2 6 2" xfId="1466"/>
    <cellStyle name="Cálculo 2 6 3" xfId="1467"/>
    <cellStyle name="Cálculo 2 6 4" xfId="1468"/>
    <cellStyle name="Cálculo 2 6 5" xfId="1469"/>
    <cellStyle name="Cálculo 2 7" xfId="493"/>
    <cellStyle name="Cálculo 2 7 2" xfId="1470"/>
    <cellStyle name="Cálculo 2 7 3" xfId="1471"/>
    <cellStyle name="Cálculo 2 7 4" xfId="1472"/>
    <cellStyle name="Cálculo 2 7 5" xfId="1473"/>
    <cellStyle name="Cálculo 2 8" xfId="1474"/>
    <cellStyle name="Cálculo 3" xfId="251"/>
    <cellStyle name="Cálculo 3 2" xfId="682"/>
    <cellStyle name="Celda de comprobación" xfId="21" builtinId="23" customBuiltin="1"/>
    <cellStyle name="Celda de comprobación 2" xfId="161"/>
    <cellStyle name="Celda de comprobación 3" xfId="252"/>
    <cellStyle name="Celda vinculada" xfId="22" builtinId="24" customBuiltin="1"/>
    <cellStyle name="Celda vinculada 2" xfId="162"/>
    <cellStyle name="Celda vinculada 3" xfId="253"/>
    <cellStyle name="Comma" xfId="356"/>
    <cellStyle name="Comma [0]" xfId="357"/>
    <cellStyle name="Comma [0] 2" xfId="1475"/>
    <cellStyle name="Comma 2" xfId="1476"/>
    <cellStyle name="Comma 2 2" xfId="1477"/>
    <cellStyle name="Comma 3" xfId="1478"/>
    <cellStyle name="Comma 4" xfId="1479"/>
    <cellStyle name="Comma 5" xfId="1480"/>
    <cellStyle name="Currency" xfId="358"/>
    <cellStyle name="Currency [0]" xfId="359"/>
    <cellStyle name="Currency [0] 2" xfId="1481"/>
    <cellStyle name="Currency 2" xfId="1482"/>
    <cellStyle name="Currency 2 2" xfId="1483"/>
    <cellStyle name="Currency 3" xfId="1484"/>
    <cellStyle name="Currency 3 2" xfId="1485"/>
    <cellStyle name="Currency 4" xfId="1486"/>
    <cellStyle name="Currency 5" xfId="1487"/>
    <cellStyle name="Date" xfId="360"/>
    <cellStyle name="Encabezado 4" xfId="23" builtinId="19" customBuiltin="1"/>
    <cellStyle name="Encabezado 4 2" xfId="163"/>
    <cellStyle name="Encabezado 4 3" xfId="254"/>
    <cellStyle name="Énfasis1" xfId="24" builtinId="29" customBuiltin="1"/>
    <cellStyle name="Énfasis1 2" xfId="164"/>
    <cellStyle name="Énfasis1 3" xfId="255"/>
    <cellStyle name="Énfasis2" xfId="25" builtinId="33" customBuiltin="1"/>
    <cellStyle name="Énfasis2 2" xfId="165"/>
    <cellStyle name="Énfasis2 3" xfId="256"/>
    <cellStyle name="Énfasis3" xfId="26" builtinId="37" customBuiltin="1"/>
    <cellStyle name="Énfasis3 2" xfId="166"/>
    <cellStyle name="Énfasis3 3" xfId="257"/>
    <cellStyle name="Énfasis4" xfId="27" builtinId="41" customBuiltin="1"/>
    <cellStyle name="Énfasis4 2" xfId="167"/>
    <cellStyle name="Énfasis4 3" xfId="258"/>
    <cellStyle name="Énfasis5" xfId="28" builtinId="45" customBuiltin="1"/>
    <cellStyle name="Énfasis5 2" xfId="168"/>
    <cellStyle name="Énfasis5 3" xfId="259"/>
    <cellStyle name="Énfasis6" xfId="29" builtinId="49" customBuiltin="1"/>
    <cellStyle name="Énfasis6 2" xfId="169"/>
    <cellStyle name="Énfasis6 3" xfId="260"/>
    <cellStyle name="Entrada" xfId="30" builtinId="20" customBuiltin="1"/>
    <cellStyle name="Entrada 2" xfId="170"/>
    <cellStyle name="Entrada 2 2" xfId="415"/>
    <cellStyle name="Entrada 2 2 2" xfId="440"/>
    <cellStyle name="Entrada 2 2 2 10" xfId="1488"/>
    <cellStyle name="Entrada 2 2 2 11" xfId="1489"/>
    <cellStyle name="Entrada 2 2 2 2" xfId="494"/>
    <cellStyle name="Entrada 2 2 2 2 2" xfId="1490"/>
    <cellStyle name="Entrada 2 2 2 2 3" xfId="1491"/>
    <cellStyle name="Entrada 2 2 2 2 4" xfId="1492"/>
    <cellStyle name="Entrada 2 2 2 2 5" xfId="1493"/>
    <cellStyle name="Entrada 2 2 2 3" xfId="495"/>
    <cellStyle name="Entrada 2 2 2 3 2" xfId="1494"/>
    <cellStyle name="Entrada 2 2 2 3 3" xfId="1495"/>
    <cellStyle name="Entrada 2 2 2 3 4" xfId="1496"/>
    <cellStyle name="Entrada 2 2 2 3 5" xfId="1497"/>
    <cellStyle name="Entrada 2 2 2 4" xfId="496"/>
    <cellStyle name="Entrada 2 2 2 4 2" xfId="1498"/>
    <cellStyle name="Entrada 2 2 2 4 3" xfId="1499"/>
    <cellStyle name="Entrada 2 2 2 4 4" xfId="1500"/>
    <cellStyle name="Entrada 2 2 2 4 5" xfId="1501"/>
    <cellStyle name="Entrada 2 2 2 5" xfId="497"/>
    <cellStyle name="Entrada 2 2 2 5 2" xfId="1502"/>
    <cellStyle name="Entrada 2 2 2 5 3" xfId="1503"/>
    <cellStyle name="Entrada 2 2 2 5 4" xfId="1504"/>
    <cellStyle name="Entrada 2 2 2 5 5" xfId="1505"/>
    <cellStyle name="Entrada 2 2 2 6" xfId="498"/>
    <cellStyle name="Entrada 2 2 2 6 2" xfId="1506"/>
    <cellStyle name="Entrada 2 2 2 6 3" xfId="1507"/>
    <cellStyle name="Entrada 2 2 2 6 4" xfId="1508"/>
    <cellStyle name="Entrada 2 2 2 6 5" xfId="1509"/>
    <cellStyle name="Entrada 2 2 2 7" xfId="499"/>
    <cellStyle name="Entrada 2 2 2 7 2" xfId="1510"/>
    <cellStyle name="Entrada 2 2 2 7 3" xfId="1511"/>
    <cellStyle name="Entrada 2 2 2 7 4" xfId="1512"/>
    <cellStyle name="Entrada 2 2 2 7 5" xfId="1513"/>
    <cellStyle name="Entrada 2 2 2 8" xfId="1514"/>
    <cellStyle name="Entrada 2 2 2 9" xfId="1515"/>
    <cellStyle name="Entrada 2 2 3" xfId="500"/>
    <cellStyle name="Entrada 2 2 3 2" xfId="1516"/>
    <cellStyle name="Entrada 2 2 3 3" xfId="1517"/>
    <cellStyle name="Entrada 2 2 3 4" xfId="1518"/>
    <cellStyle name="Entrada 2 2 3 5" xfId="1519"/>
    <cellStyle name="Entrada 2 2 4" xfId="501"/>
    <cellStyle name="Entrada 2 2 4 2" xfId="1520"/>
    <cellStyle name="Entrada 2 2 4 3" xfId="1521"/>
    <cellStyle name="Entrada 2 2 4 4" xfId="1522"/>
    <cellStyle name="Entrada 2 2 4 5" xfId="1523"/>
    <cellStyle name="Entrada 2 2 5" xfId="502"/>
    <cellStyle name="Entrada 2 2 5 2" xfId="1524"/>
    <cellStyle name="Entrada 2 2 5 3" xfId="1525"/>
    <cellStyle name="Entrada 2 2 5 4" xfId="1526"/>
    <cellStyle name="Entrada 2 2 5 5" xfId="1527"/>
    <cellStyle name="Entrada 2 3" xfId="416"/>
    <cellStyle name="Entrada 2 3 2" xfId="441"/>
    <cellStyle name="Entrada 2 3 2 10" xfId="1528"/>
    <cellStyle name="Entrada 2 3 2 11" xfId="1529"/>
    <cellStyle name="Entrada 2 3 2 2" xfId="503"/>
    <cellStyle name="Entrada 2 3 2 2 2" xfId="1530"/>
    <cellStyle name="Entrada 2 3 2 2 3" xfId="1531"/>
    <cellStyle name="Entrada 2 3 2 2 4" xfId="1532"/>
    <cellStyle name="Entrada 2 3 2 2 5" xfId="1533"/>
    <cellStyle name="Entrada 2 3 2 3" xfId="504"/>
    <cellStyle name="Entrada 2 3 2 3 2" xfId="1534"/>
    <cellStyle name="Entrada 2 3 2 3 3" xfId="1535"/>
    <cellStyle name="Entrada 2 3 2 3 4" xfId="1536"/>
    <cellStyle name="Entrada 2 3 2 3 5" xfId="1537"/>
    <cellStyle name="Entrada 2 3 2 4" xfId="505"/>
    <cellStyle name="Entrada 2 3 2 4 2" xfId="1538"/>
    <cellStyle name="Entrada 2 3 2 4 3" xfId="1539"/>
    <cellStyle name="Entrada 2 3 2 4 4" xfId="1540"/>
    <cellStyle name="Entrada 2 3 2 4 5" xfId="1541"/>
    <cellStyle name="Entrada 2 3 2 5" xfId="506"/>
    <cellStyle name="Entrada 2 3 2 5 2" xfId="1542"/>
    <cellStyle name="Entrada 2 3 2 5 3" xfId="1543"/>
    <cellStyle name="Entrada 2 3 2 5 4" xfId="1544"/>
    <cellStyle name="Entrada 2 3 2 5 5" xfId="1545"/>
    <cellStyle name="Entrada 2 3 2 6" xfId="507"/>
    <cellStyle name="Entrada 2 3 2 6 2" xfId="1546"/>
    <cellStyle name="Entrada 2 3 2 6 3" xfId="1547"/>
    <cellStyle name="Entrada 2 3 2 6 4" xfId="1548"/>
    <cellStyle name="Entrada 2 3 2 6 5" xfId="1549"/>
    <cellStyle name="Entrada 2 3 2 7" xfId="508"/>
    <cellStyle name="Entrada 2 3 2 7 2" xfId="1550"/>
    <cellStyle name="Entrada 2 3 2 7 3" xfId="1551"/>
    <cellStyle name="Entrada 2 3 2 7 4" xfId="1552"/>
    <cellStyle name="Entrada 2 3 2 7 5" xfId="1553"/>
    <cellStyle name="Entrada 2 3 2 8" xfId="1554"/>
    <cellStyle name="Entrada 2 3 2 9" xfId="1555"/>
    <cellStyle name="Entrada 2 3 3" xfId="509"/>
    <cellStyle name="Entrada 2 3 3 2" xfId="1556"/>
    <cellStyle name="Entrada 2 3 3 3" xfId="1557"/>
    <cellStyle name="Entrada 2 3 3 4" xfId="1558"/>
    <cellStyle name="Entrada 2 3 3 5" xfId="1559"/>
    <cellStyle name="Entrada 2 3 4" xfId="510"/>
    <cellStyle name="Entrada 2 3 4 2" xfId="1560"/>
    <cellStyle name="Entrada 2 3 4 3" xfId="1561"/>
    <cellStyle name="Entrada 2 3 4 4" xfId="1562"/>
    <cellStyle name="Entrada 2 3 4 5" xfId="1563"/>
    <cellStyle name="Entrada 2 3 5" xfId="511"/>
    <cellStyle name="Entrada 2 3 5 2" xfId="1564"/>
    <cellStyle name="Entrada 2 3 5 3" xfId="1565"/>
    <cellStyle name="Entrada 2 3 5 4" xfId="1566"/>
    <cellStyle name="Entrada 2 3 5 5" xfId="1567"/>
    <cellStyle name="Entrada 2 4" xfId="433"/>
    <cellStyle name="Entrada 2 4 2" xfId="512"/>
    <cellStyle name="Entrada 2 4 2 2" xfId="1568"/>
    <cellStyle name="Entrada 2 4 2 3" xfId="1569"/>
    <cellStyle name="Entrada 2 4 2 4" xfId="1570"/>
    <cellStyle name="Entrada 2 4 2 5" xfId="1571"/>
    <cellStyle name="Entrada 2 4 3" xfId="513"/>
    <cellStyle name="Entrada 2 4 3 2" xfId="1572"/>
    <cellStyle name="Entrada 2 4 3 3" xfId="1573"/>
    <cellStyle name="Entrada 2 4 3 4" xfId="1574"/>
    <cellStyle name="Entrada 2 4 3 5" xfId="1575"/>
    <cellStyle name="Entrada 2 4 4" xfId="514"/>
    <cellStyle name="Entrada 2 4 4 2" xfId="1576"/>
    <cellStyle name="Entrada 2 4 4 3" xfId="1577"/>
    <cellStyle name="Entrada 2 4 4 4" xfId="1578"/>
    <cellStyle name="Entrada 2 4 4 5" xfId="1579"/>
    <cellStyle name="Entrada 2 4 5" xfId="515"/>
    <cellStyle name="Entrada 2 4 5 2" xfId="1580"/>
    <cellStyle name="Entrada 2 4 5 3" xfId="1581"/>
    <cellStyle name="Entrada 2 4 5 4" xfId="1582"/>
    <cellStyle name="Entrada 2 4 5 5" xfId="1583"/>
    <cellStyle name="Entrada 2 4 6" xfId="516"/>
    <cellStyle name="Entrada 2 4 6 2" xfId="1584"/>
    <cellStyle name="Entrada 2 4 6 3" xfId="1585"/>
    <cellStyle name="Entrada 2 4 6 4" xfId="1586"/>
    <cellStyle name="Entrada 2 4 6 5" xfId="1587"/>
    <cellStyle name="Entrada 2 4 7" xfId="517"/>
    <cellStyle name="Entrada 2 4 7 2" xfId="1588"/>
    <cellStyle name="Entrada 2 4 7 3" xfId="1589"/>
    <cellStyle name="Entrada 2 4 7 4" xfId="1590"/>
    <cellStyle name="Entrada 2 4 7 5" xfId="1591"/>
    <cellStyle name="Entrada 2 5" xfId="518"/>
    <cellStyle name="Entrada 2 5 2" xfId="1592"/>
    <cellStyle name="Entrada 2 5 3" xfId="1593"/>
    <cellStyle name="Entrada 2 5 4" xfId="1594"/>
    <cellStyle name="Entrada 2 5 5" xfId="1595"/>
    <cellStyle name="Entrada 2 6" xfId="519"/>
    <cellStyle name="Entrada 2 6 2" xfId="1596"/>
    <cellStyle name="Entrada 2 6 3" xfId="1597"/>
    <cellStyle name="Entrada 2 6 4" xfId="1598"/>
    <cellStyle name="Entrada 2 6 5" xfId="1599"/>
    <cellStyle name="Entrada 2 7" xfId="520"/>
    <cellStyle name="Entrada 2 7 2" xfId="1600"/>
    <cellStyle name="Entrada 2 7 3" xfId="1601"/>
    <cellStyle name="Entrada 2 7 4" xfId="1602"/>
    <cellStyle name="Entrada 2 7 5" xfId="1603"/>
    <cellStyle name="Entrada 2 8" xfId="1604"/>
    <cellStyle name="Entrada 3" xfId="261"/>
    <cellStyle name="Entrada 3 2" xfId="683"/>
    <cellStyle name="Euro" xfId="31"/>
    <cellStyle name="Euro 2" xfId="262"/>
    <cellStyle name="Excel Built-in Normal" xfId="521"/>
    <cellStyle name="Excel Built-in Normal 2" xfId="1605"/>
    <cellStyle name="Fixed" xfId="361"/>
    <cellStyle name="Heading1" xfId="362"/>
    <cellStyle name="Heading2" xfId="363"/>
    <cellStyle name="Hipervínculo" xfId="32" builtinId="8"/>
    <cellStyle name="Hipervínculo 14" xfId="1606"/>
    <cellStyle name="Hipervínculo 2" xfId="364"/>
    <cellStyle name="Hipervínculo 2 2" xfId="1607"/>
    <cellStyle name="Hipervínculo 3" xfId="1608"/>
    <cellStyle name="Hipervínculo 4" xfId="1609"/>
    <cellStyle name="Incorrecto" xfId="33" builtinId="27" customBuiltin="1"/>
    <cellStyle name="Incorrecto 2" xfId="171"/>
    <cellStyle name="Incorrecto 3" xfId="263"/>
    <cellStyle name="Millares" xfId="34" builtinId="3"/>
    <cellStyle name="Millares 10" xfId="172"/>
    <cellStyle name="Millares 10 10" xfId="1610"/>
    <cellStyle name="Millares 10 10 2" xfId="1611"/>
    <cellStyle name="Millares 10 10 2 2" xfId="1612"/>
    <cellStyle name="Millares 10 10 2 2 2" xfId="1613"/>
    <cellStyle name="Millares 10 10 2 3" xfId="1614"/>
    <cellStyle name="Millares 10 10 3" xfId="1615"/>
    <cellStyle name="Millares 10 10 3 2" xfId="1616"/>
    <cellStyle name="Millares 10 10 4" xfId="1617"/>
    <cellStyle name="Millares 10 11" xfId="1618"/>
    <cellStyle name="Millares 10 11 2" xfId="1619"/>
    <cellStyle name="Millares 10 11 2 2" xfId="1620"/>
    <cellStyle name="Millares 10 11 3" xfId="1621"/>
    <cellStyle name="Millares 10 12" xfId="1622"/>
    <cellStyle name="Millares 10 12 2" xfId="1623"/>
    <cellStyle name="Millares 10 13" xfId="1624"/>
    <cellStyle name="Millares 10 2" xfId="173"/>
    <cellStyle name="Millares 10 2 10" xfId="1625"/>
    <cellStyle name="Millares 10 2 10 2" xfId="1626"/>
    <cellStyle name="Millares 10 2 11" xfId="1627"/>
    <cellStyle name="Millares 10 2 2" xfId="286"/>
    <cellStyle name="Millares 10 2 2 2" xfId="303"/>
    <cellStyle name="Millares 10 2 2 2 2" xfId="712"/>
    <cellStyle name="Millares 10 2 2 3" xfId="695"/>
    <cellStyle name="Millares 10 2 3" xfId="302"/>
    <cellStyle name="Millares 10 2 3 2" xfId="711"/>
    <cellStyle name="Millares 10 2 3 2 2" xfId="1628"/>
    <cellStyle name="Millares 10 2 3 2 2 2" xfId="1629"/>
    <cellStyle name="Millares 10 2 3 2 2 2 2" xfId="1630"/>
    <cellStyle name="Millares 10 2 3 2 2 3" xfId="1631"/>
    <cellStyle name="Millares 10 2 3 2 3" xfId="1632"/>
    <cellStyle name="Millares 10 2 3 2 3 2" xfId="1633"/>
    <cellStyle name="Millares 10 2 3 2 4" xfId="1634"/>
    <cellStyle name="Millares 10 2 3 3" xfId="1635"/>
    <cellStyle name="Millares 10 2 3 3 2" xfId="1636"/>
    <cellStyle name="Millares 10 2 3 3 2 2" xfId="1637"/>
    <cellStyle name="Millares 10 2 3 3 3" xfId="1638"/>
    <cellStyle name="Millares 10 2 3 4" xfId="1639"/>
    <cellStyle name="Millares 10 2 3 4 2" xfId="1640"/>
    <cellStyle name="Millares 10 2 3 5" xfId="1641"/>
    <cellStyle name="Millares 10 2 4" xfId="367"/>
    <cellStyle name="Millares 10 2 4 2" xfId="767"/>
    <cellStyle name="Millares 10 2 4 2 2" xfId="1642"/>
    <cellStyle name="Millares 10 2 4 2 2 2" xfId="1643"/>
    <cellStyle name="Millares 10 2 4 2 2 2 2" xfId="1644"/>
    <cellStyle name="Millares 10 2 4 2 2 3" xfId="1645"/>
    <cellStyle name="Millares 10 2 4 2 3" xfId="1646"/>
    <cellStyle name="Millares 10 2 4 2 3 2" xfId="1647"/>
    <cellStyle name="Millares 10 2 4 2 4" xfId="1648"/>
    <cellStyle name="Millares 10 2 4 3" xfId="1649"/>
    <cellStyle name="Millares 10 2 4 3 2" xfId="1650"/>
    <cellStyle name="Millares 10 2 4 3 2 2" xfId="1651"/>
    <cellStyle name="Millares 10 2 4 3 3" xfId="1652"/>
    <cellStyle name="Millares 10 2 4 4" xfId="1653"/>
    <cellStyle name="Millares 10 2 4 4 2" xfId="1654"/>
    <cellStyle name="Millares 10 2 4 5" xfId="1655"/>
    <cellStyle name="Millares 10 2 5" xfId="665"/>
    <cellStyle name="Millares 10 2 5 2" xfId="1656"/>
    <cellStyle name="Millares 10 2 5 2 2" xfId="1657"/>
    <cellStyle name="Millares 10 2 5 2 2 2" xfId="1658"/>
    <cellStyle name="Millares 10 2 5 2 2 2 2" xfId="1659"/>
    <cellStyle name="Millares 10 2 5 2 2 3" xfId="1660"/>
    <cellStyle name="Millares 10 2 5 2 3" xfId="1661"/>
    <cellStyle name="Millares 10 2 5 2 3 2" xfId="1662"/>
    <cellStyle name="Millares 10 2 5 2 4" xfId="1663"/>
    <cellStyle name="Millares 10 2 5 3" xfId="1664"/>
    <cellStyle name="Millares 10 2 5 3 2" xfId="1665"/>
    <cellStyle name="Millares 10 2 5 3 2 2" xfId="1666"/>
    <cellStyle name="Millares 10 2 5 3 3" xfId="1667"/>
    <cellStyle name="Millares 10 2 5 4" xfId="1668"/>
    <cellStyle name="Millares 10 2 5 4 2" xfId="1669"/>
    <cellStyle name="Millares 10 2 5 5" xfId="1670"/>
    <cellStyle name="Millares 10 2 6" xfId="1671"/>
    <cellStyle name="Millares 10 2 6 2" xfId="1672"/>
    <cellStyle name="Millares 10 2 6 2 2" xfId="1673"/>
    <cellStyle name="Millares 10 2 6 2 2 2" xfId="1674"/>
    <cellStyle name="Millares 10 2 6 2 2 2 2" xfId="1675"/>
    <cellStyle name="Millares 10 2 6 2 2 3" xfId="1676"/>
    <cellStyle name="Millares 10 2 6 2 3" xfId="1677"/>
    <cellStyle name="Millares 10 2 6 2 3 2" xfId="1678"/>
    <cellStyle name="Millares 10 2 6 2 4" xfId="1679"/>
    <cellStyle name="Millares 10 2 6 3" xfId="1680"/>
    <cellStyle name="Millares 10 2 6 3 2" xfId="1681"/>
    <cellStyle name="Millares 10 2 6 3 2 2" xfId="1682"/>
    <cellStyle name="Millares 10 2 6 3 3" xfId="1683"/>
    <cellStyle name="Millares 10 2 6 4" xfId="1684"/>
    <cellStyle name="Millares 10 2 6 4 2" xfId="1685"/>
    <cellStyle name="Millares 10 2 6 5" xfId="1686"/>
    <cellStyle name="Millares 10 2 7" xfId="1687"/>
    <cellStyle name="Millares 10 2 7 2" xfId="1688"/>
    <cellStyle name="Millares 10 2 7 2 2" xfId="1689"/>
    <cellStyle name="Millares 10 2 7 2 2 2" xfId="1690"/>
    <cellStyle name="Millares 10 2 7 2 2 2 2" xfId="1691"/>
    <cellStyle name="Millares 10 2 7 2 2 3" xfId="1692"/>
    <cellStyle name="Millares 10 2 7 2 3" xfId="1693"/>
    <cellStyle name="Millares 10 2 7 2 3 2" xfId="1694"/>
    <cellStyle name="Millares 10 2 7 2 4" xfId="1695"/>
    <cellStyle name="Millares 10 2 7 3" xfId="1696"/>
    <cellStyle name="Millares 10 2 7 3 2" xfId="1697"/>
    <cellStyle name="Millares 10 2 7 3 2 2" xfId="1698"/>
    <cellStyle name="Millares 10 2 7 3 3" xfId="1699"/>
    <cellStyle name="Millares 10 2 7 4" xfId="1700"/>
    <cellStyle name="Millares 10 2 7 4 2" xfId="1701"/>
    <cellStyle name="Millares 10 2 7 5" xfId="1702"/>
    <cellStyle name="Millares 10 2 8" xfId="1703"/>
    <cellStyle name="Millares 10 2 8 2" xfId="1704"/>
    <cellStyle name="Millares 10 2 8 2 2" xfId="1705"/>
    <cellStyle name="Millares 10 2 8 2 2 2" xfId="1706"/>
    <cellStyle name="Millares 10 2 8 2 3" xfId="1707"/>
    <cellStyle name="Millares 10 2 8 3" xfId="1708"/>
    <cellStyle name="Millares 10 2 8 3 2" xfId="1709"/>
    <cellStyle name="Millares 10 2 8 4" xfId="1710"/>
    <cellStyle name="Millares 10 2 9" xfId="1711"/>
    <cellStyle name="Millares 10 2 9 2" xfId="1712"/>
    <cellStyle name="Millares 10 2 9 2 2" xfId="1713"/>
    <cellStyle name="Millares 10 2 9 3" xfId="1714"/>
    <cellStyle name="Millares 10 3" xfId="285"/>
    <cellStyle name="Millares 10 3 2" xfId="304"/>
    <cellStyle name="Millares 10 3 2 2" xfId="713"/>
    <cellStyle name="Millares 10 3 3" xfId="417"/>
    <cellStyle name="Millares 10 3 4" xfId="694"/>
    <cellStyle name="Millares 10 4" xfId="301"/>
    <cellStyle name="Millares 10 4 2" xfId="710"/>
    <cellStyle name="Millares 10 4 2 2" xfId="1715"/>
    <cellStyle name="Millares 10 4 2 2 2" xfId="1716"/>
    <cellStyle name="Millares 10 4 2 2 2 2" xfId="1717"/>
    <cellStyle name="Millares 10 4 2 2 3" xfId="1718"/>
    <cellStyle name="Millares 10 4 2 3" xfId="1719"/>
    <cellStyle name="Millares 10 4 2 3 2" xfId="1720"/>
    <cellStyle name="Millares 10 4 2 4" xfId="1721"/>
    <cellStyle name="Millares 10 4 3" xfId="1722"/>
    <cellStyle name="Millares 10 4 3 2" xfId="1723"/>
    <cellStyle name="Millares 10 4 3 2 2" xfId="1724"/>
    <cellStyle name="Millares 10 4 3 3" xfId="1725"/>
    <cellStyle name="Millares 10 4 4" xfId="1726"/>
    <cellStyle name="Millares 10 4 4 2" xfId="1727"/>
    <cellStyle name="Millares 10 4 5" xfId="1728"/>
    <cellStyle name="Millares 10 5" xfId="366"/>
    <cellStyle name="Millares 10 5 2" xfId="766"/>
    <cellStyle name="Millares 10 5 2 2" xfId="1729"/>
    <cellStyle name="Millares 10 5 2 2 2" xfId="1730"/>
    <cellStyle name="Millares 10 5 2 2 2 2" xfId="1731"/>
    <cellStyle name="Millares 10 5 2 2 3" xfId="1732"/>
    <cellStyle name="Millares 10 5 2 3" xfId="1733"/>
    <cellStyle name="Millares 10 5 2 3 2" xfId="1734"/>
    <cellStyle name="Millares 10 5 2 4" xfId="1735"/>
    <cellStyle name="Millares 10 5 3" xfId="1736"/>
    <cellStyle name="Millares 10 5 3 2" xfId="1737"/>
    <cellStyle name="Millares 10 5 3 2 2" xfId="1738"/>
    <cellStyle name="Millares 10 5 3 3" xfId="1739"/>
    <cellStyle name="Millares 10 5 4" xfId="1740"/>
    <cellStyle name="Millares 10 5 4 2" xfId="1741"/>
    <cellStyle name="Millares 10 5 5" xfId="1742"/>
    <cellStyle name="Millares 10 6" xfId="664"/>
    <cellStyle name="Millares 10 6 2" xfId="1743"/>
    <cellStyle name="Millares 10 6 2 2" xfId="1744"/>
    <cellStyle name="Millares 10 6 2 2 2" xfId="1745"/>
    <cellStyle name="Millares 10 6 2 2 2 2" xfId="1746"/>
    <cellStyle name="Millares 10 6 2 2 3" xfId="1747"/>
    <cellStyle name="Millares 10 6 2 3" xfId="1748"/>
    <cellStyle name="Millares 10 6 2 3 2" xfId="1749"/>
    <cellStyle name="Millares 10 6 2 4" xfId="1750"/>
    <cellStyle name="Millares 10 6 3" xfId="1751"/>
    <cellStyle name="Millares 10 6 3 2" xfId="1752"/>
    <cellStyle name="Millares 10 6 3 2 2" xfId="1753"/>
    <cellStyle name="Millares 10 6 3 3" xfId="1754"/>
    <cellStyle name="Millares 10 6 4" xfId="1755"/>
    <cellStyle name="Millares 10 6 4 2" xfId="1756"/>
    <cellStyle name="Millares 10 6 5" xfId="1757"/>
    <cellStyle name="Millares 10 7" xfId="1758"/>
    <cellStyle name="Millares 10 7 2" xfId="1759"/>
    <cellStyle name="Millares 10 7 2 2" xfId="1760"/>
    <cellStyle name="Millares 10 7 2 2 2" xfId="1761"/>
    <cellStyle name="Millares 10 7 2 2 2 2" xfId="1762"/>
    <cellStyle name="Millares 10 7 2 2 3" xfId="1763"/>
    <cellStyle name="Millares 10 7 2 3" xfId="1764"/>
    <cellStyle name="Millares 10 7 2 3 2" xfId="1765"/>
    <cellStyle name="Millares 10 7 2 4" xfId="1766"/>
    <cellStyle name="Millares 10 7 3" xfId="1767"/>
    <cellStyle name="Millares 10 7 3 2" xfId="1768"/>
    <cellStyle name="Millares 10 7 3 2 2" xfId="1769"/>
    <cellStyle name="Millares 10 7 3 3" xfId="1770"/>
    <cellStyle name="Millares 10 7 4" xfId="1771"/>
    <cellStyle name="Millares 10 7 4 2" xfId="1772"/>
    <cellStyle name="Millares 10 7 5" xfId="1773"/>
    <cellStyle name="Millares 10 8" xfId="1774"/>
    <cellStyle name="Millares 10 8 2" xfId="1775"/>
    <cellStyle name="Millares 10 8 2 2" xfId="1776"/>
    <cellStyle name="Millares 10 8 2 2 2" xfId="1777"/>
    <cellStyle name="Millares 10 8 2 2 2 2" xfId="1778"/>
    <cellStyle name="Millares 10 8 2 2 3" xfId="1779"/>
    <cellStyle name="Millares 10 8 2 3" xfId="1780"/>
    <cellStyle name="Millares 10 8 2 3 2" xfId="1781"/>
    <cellStyle name="Millares 10 8 2 4" xfId="1782"/>
    <cellStyle name="Millares 10 8 3" xfId="1783"/>
    <cellStyle name="Millares 10 8 3 2" xfId="1784"/>
    <cellStyle name="Millares 10 8 3 2 2" xfId="1785"/>
    <cellStyle name="Millares 10 8 3 3" xfId="1786"/>
    <cellStyle name="Millares 10 8 4" xfId="1787"/>
    <cellStyle name="Millares 10 8 4 2" xfId="1788"/>
    <cellStyle name="Millares 10 8 5" xfId="1789"/>
    <cellStyle name="Millares 10 9" xfId="1790"/>
    <cellStyle name="Millares 10 9 2" xfId="1791"/>
    <cellStyle name="Millares 10 9 2 2" xfId="1792"/>
    <cellStyle name="Millares 10 9 2 2 2" xfId="1793"/>
    <cellStyle name="Millares 10 9 2 3" xfId="1794"/>
    <cellStyle name="Millares 10 9 3" xfId="1795"/>
    <cellStyle name="Millares 10 9 3 2" xfId="1796"/>
    <cellStyle name="Millares 10 9 4" xfId="1797"/>
    <cellStyle name="Millares 11" xfId="174"/>
    <cellStyle name="Millares 11 2" xfId="175"/>
    <cellStyle name="Millares 11 2 2" xfId="1798"/>
    <cellStyle name="Millares 11 2 2 2" xfId="1799"/>
    <cellStyle name="Millares 11 2 3" xfId="1800"/>
    <cellStyle name="Millares 11 3" xfId="1801"/>
    <cellStyle name="Millares 11 3 2" xfId="1802"/>
    <cellStyle name="Millares 11 4" xfId="1803"/>
    <cellStyle name="Millares 12" xfId="224"/>
    <cellStyle name="Millares 12 10" xfId="1804"/>
    <cellStyle name="Millares 12 10 2" xfId="1805"/>
    <cellStyle name="Millares 12 11" xfId="1806"/>
    <cellStyle name="Millares 12 2" xfId="296"/>
    <cellStyle name="Millares 12 2 2" xfId="306"/>
    <cellStyle name="Millares 12 2 2 2" xfId="715"/>
    <cellStyle name="Millares 12 2 3" xfId="705"/>
    <cellStyle name="Millares 12 3" xfId="305"/>
    <cellStyle name="Millares 12 3 2" xfId="714"/>
    <cellStyle name="Millares 12 3 2 2" xfId="1807"/>
    <cellStyle name="Millares 12 3 2 2 2" xfId="1808"/>
    <cellStyle name="Millares 12 3 2 2 2 2" xfId="1809"/>
    <cellStyle name="Millares 12 3 2 2 3" xfId="1810"/>
    <cellStyle name="Millares 12 3 2 3" xfId="1811"/>
    <cellStyle name="Millares 12 3 2 3 2" xfId="1812"/>
    <cellStyle name="Millares 12 3 2 4" xfId="1813"/>
    <cellStyle name="Millares 12 3 3" xfId="1814"/>
    <cellStyle name="Millares 12 3 3 2" xfId="1815"/>
    <cellStyle name="Millares 12 3 3 2 2" xfId="1816"/>
    <cellStyle name="Millares 12 3 3 3" xfId="1817"/>
    <cellStyle name="Millares 12 3 4" xfId="1818"/>
    <cellStyle name="Millares 12 3 4 2" xfId="1819"/>
    <cellStyle name="Millares 12 3 5" xfId="1820"/>
    <cellStyle name="Millares 12 4" xfId="365"/>
    <cellStyle name="Millares 12 4 2" xfId="765"/>
    <cellStyle name="Millares 12 4 2 2" xfId="1821"/>
    <cellStyle name="Millares 12 4 2 2 2" xfId="1822"/>
    <cellStyle name="Millares 12 4 2 2 2 2" xfId="1823"/>
    <cellStyle name="Millares 12 4 2 2 3" xfId="1824"/>
    <cellStyle name="Millares 12 4 2 3" xfId="1825"/>
    <cellStyle name="Millares 12 4 2 3 2" xfId="1826"/>
    <cellStyle name="Millares 12 4 2 4" xfId="1827"/>
    <cellStyle name="Millares 12 4 3" xfId="1828"/>
    <cellStyle name="Millares 12 4 3 2" xfId="1829"/>
    <cellStyle name="Millares 12 4 3 2 2" xfId="1830"/>
    <cellStyle name="Millares 12 4 3 3" xfId="1831"/>
    <cellStyle name="Millares 12 4 4" xfId="1832"/>
    <cellStyle name="Millares 12 4 4 2" xfId="1833"/>
    <cellStyle name="Millares 12 4 5" xfId="1834"/>
    <cellStyle name="Millares 12 5" xfId="675"/>
    <cellStyle name="Millares 12 5 2" xfId="1835"/>
    <cellStyle name="Millares 12 5 2 2" xfId="1836"/>
    <cellStyle name="Millares 12 5 2 2 2" xfId="1837"/>
    <cellStyle name="Millares 12 5 2 2 2 2" xfId="1838"/>
    <cellStyle name="Millares 12 5 2 2 3" xfId="1839"/>
    <cellStyle name="Millares 12 5 2 3" xfId="1840"/>
    <cellStyle name="Millares 12 5 2 3 2" xfId="1841"/>
    <cellStyle name="Millares 12 5 2 4" xfId="1842"/>
    <cellStyle name="Millares 12 5 3" xfId="1843"/>
    <cellStyle name="Millares 12 5 3 2" xfId="1844"/>
    <cellStyle name="Millares 12 5 3 2 2" xfId="1845"/>
    <cellStyle name="Millares 12 5 3 3" xfId="1846"/>
    <cellStyle name="Millares 12 5 4" xfId="1847"/>
    <cellStyle name="Millares 12 5 4 2" xfId="1848"/>
    <cellStyle name="Millares 12 5 5" xfId="1849"/>
    <cellStyle name="Millares 12 6" xfId="1850"/>
    <cellStyle name="Millares 12 6 2" xfId="1851"/>
    <cellStyle name="Millares 12 6 2 2" xfId="1852"/>
    <cellStyle name="Millares 12 6 2 2 2" xfId="1853"/>
    <cellStyle name="Millares 12 6 2 2 2 2" xfId="1854"/>
    <cellStyle name="Millares 12 6 2 2 3" xfId="1855"/>
    <cellStyle name="Millares 12 6 2 3" xfId="1856"/>
    <cellStyle name="Millares 12 6 2 3 2" xfId="1857"/>
    <cellStyle name="Millares 12 6 2 4" xfId="1858"/>
    <cellStyle name="Millares 12 6 3" xfId="1859"/>
    <cellStyle name="Millares 12 6 3 2" xfId="1860"/>
    <cellStyle name="Millares 12 6 3 2 2" xfId="1861"/>
    <cellStyle name="Millares 12 6 3 3" xfId="1862"/>
    <cellStyle name="Millares 12 6 4" xfId="1863"/>
    <cellStyle name="Millares 12 6 4 2" xfId="1864"/>
    <cellStyle name="Millares 12 6 5" xfId="1865"/>
    <cellStyle name="Millares 12 7" xfId="1866"/>
    <cellStyle name="Millares 12 7 2" xfId="1867"/>
    <cellStyle name="Millares 12 7 2 2" xfId="1868"/>
    <cellStyle name="Millares 12 7 2 2 2" xfId="1869"/>
    <cellStyle name="Millares 12 7 2 2 2 2" xfId="1870"/>
    <cellStyle name="Millares 12 7 2 2 3" xfId="1871"/>
    <cellStyle name="Millares 12 7 2 3" xfId="1872"/>
    <cellStyle name="Millares 12 7 2 3 2" xfId="1873"/>
    <cellStyle name="Millares 12 7 2 4" xfId="1874"/>
    <cellStyle name="Millares 12 7 3" xfId="1875"/>
    <cellStyle name="Millares 12 7 3 2" xfId="1876"/>
    <cellStyle name="Millares 12 7 3 2 2" xfId="1877"/>
    <cellStyle name="Millares 12 7 3 3" xfId="1878"/>
    <cellStyle name="Millares 12 7 4" xfId="1879"/>
    <cellStyle name="Millares 12 7 4 2" xfId="1880"/>
    <cellStyle name="Millares 12 7 5" xfId="1881"/>
    <cellStyle name="Millares 12 8" xfId="1882"/>
    <cellStyle name="Millares 12 8 2" xfId="1883"/>
    <cellStyle name="Millares 12 8 2 2" xfId="1884"/>
    <cellStyle name="Millares 12 8 2 2 2" xfId="1885"/>
    <cellStyle name="Millares 12 8 2 3" xfId="1886"/>
    <cellStyle name="Millares 12 8 3" xfId="1887"/>
    <cellStyle name="Millares 12 8 3 2" xfId="1888"/>
    <cellStyle name="Millares 12 8 4" xfId="1889"/>
    <cellStyle name="Millares 12 9" xfId="1890"/>
    <cellStyle name="Millares 12 9 2" xfId="1891"/>
    <cellStyle name="Millares 12 9 2 2" xfId="1892"/>
    <cellStyle name="Millares 12 9 3" xfId="1893"/>
    <cellStyle name="Millares 13" xfId="227"/>
    <cellStyle name="Millares 13 2" xfId="299"/>
    <cellStyle name="Millares 13 2 2" xfId="308"/>
    <cellStyle name="Millares 13 2 2 2" xfId="717"/>
    <cellStyle name="Millares 13 2 2 2 2" xfId="1894"/>
    <cellStyle name="Millares 13 2 2 3" xfId="1895"/>
    <cellStyle name="Millares 13 2 3" xfId="708"/>
    <cellStyle name="Millares 13 2 3 2" xfId="1896"/>
    <cellStyle name="Millares 13 2 4" xfId="1897"/>
    <cellStyle name="Millares 13 3" xfId="307"/>
    <cellStyle name="Millares 13 3 2" xfId="716"/>
    <cellStyle name="Millares 13 4" xfId="678"/>
    <cellStyle name="Millares 14" xfId="450"/>
    <cellStyle name="Millares 14 2" xfId="784"/>
    <cellStyle name="Millares 15" xfId="630"/>
    <cellStyle name="Millares 15 2" xfId="801"/>
    <cellStyle name="Millares 16" xfId="522"/>
    <cellStyle name="Millares 17" xfId="633"/>
    <cellStyle name="Millares 17 2" xfId="804"/>
    <cellStyle name="Millares 18" xfId="636"/>
    <cellStyle name="Millares 18 2" xfId="807"/>
    <cellStyle name="Millares 19" xfId="643"/>
    <cellStyle name="Millares 19 2" xfId="648"/>
    <cellStyle name="Millares 19 2 2" xfId="819"/>
    <cellStyle name="Millares 19 3" xfId="814"/>
    <cellStyle name="Millares 2" xfId="35"/>
    <cellStyle name="Millares 2 2" xfId="67"/>
    <cellStyle name="Millares 2 2 2" xfId="398"/>
    <cellStyle name="Millares 2 2 2 2" xfId="1898"/>
    <cellStyle name="Millares 2 2 3" xfId="1899"/>
    <cellStyle name="Millares 2 3" xfId="368"/>
    <cellStyle name="Millares 2 3 2" xfId="1900"/>
    <cellStyle name="Millares 2 4" xfId="1901"/>
    <cellStyle name="Millares 3" xfId="36"/>
    <cellStyle name="Millares 3 2" xfId="69"/>
    <cellStyle name="Millares 3 2 2" xfId="400"/>
    <cellStyle name="Millares 3 2 2 2" xfId="1902"/>
    <cellStyle name="Millares 3 2 3" xfId="1903"/>
    <cellStyle name="Millares 3 3" xfId="399"/>
    <cellStyle name="Millares 3 3 2" xfId="1904"/>
    <cellStyle name="Millares 3 4" xfId="369"/>
    <cellStyle name="Millares 3 4 2" xfId="1905"/>
    <cellStyle name="Millares 3 5" xfId="1906"/>
    <cellStyle name="Millares 4" xfId="37"/>
    <cellStyle name="Millares 4 2" xfId="176"/>
    <cellStyle name="Millares 4 2 2" xfId="177"/>
    <cellStyle name="Millares 4 2 2 2" xfId="1907"/>
    <cellStyle name="Millares 4 2 2 2 2" xfId="1908"/>
    <cellStyle name="Millares 4 2 2 3" xfId="1909"/>
    <cellStyle name="Millares 4 2 3" xfId="1910"/>
    <cellStyle name="Millares 4 2 3 2" xfId="1911"/>
    <cellStyle name="Millares 4 2 4" xfId="1912"/>
    <cellStyle name="Millares 4 3" xfId="178"/>
    <cellStyle name="Millares 4 3 2" xfId="179"/>
    <cellStyle name="Millares 4 3 2 2" xfId="1913"/>
    <cellStyle name="Millares 4 3 2 2 2" xfId="1914"/>
    <cellStyle name="Millares 4 3 2 3" xfId="1915"/>
    <cellStyle name="Millares 4 3 3" xfId="1916"/>
    <cellStyle name="Millares 4 3 3 2" xfId="1917"/>
    <cellStyle name="Millares 4 3 4" xfId="1918"/>
    <cellStyle name="Millares 4 4" xfId="180"/>
    <cellStyle name="Millares 4 4 2" xfId="1919"/>
    <cellStyle name="Millares 4 4 2 2" xfId="1920"/>
    <cellStyle name="Millares 4 4 3" xfId="1921"/>
    <cellStyle name="Millares 4 5" xfId="1922"/>
    <cellStyle name="Millares 4 5 2" xfId="1923"/>
    <cellStyle name="Millares 4 6" xfId="1924"/>
    <cellStyle name="Millares 5" xfId="68"/>
    <cellStyle name="Millares 5 2" xfId="78"/>
    <cellStyle name="Millares 5 2 2" xfId="418"/>
    <cellStyle name="Millares 5 2 2 2" xfId="1925"/>
    <cellStyle name="Millares 5 2 3" xfId="1926"/>
    <cellStyle name="Millares 5 3" xfId="401"/>
    <cellStyle name="Millares 5 3 2" xfId="1927"/>
    <cellStyle name="Millares 5 4" xfId="1928"/>
    <cellStyle name="Millares 6" xfId="71"/>
    <cellStyle name="Millares 6 2" xfId="277"/>
    <cellStyle name="Millares 6 2 2" xfId="1929"/>
    <cellStyle name="Millares 6 3" xfId="1930"/>
    <cellStyle name="Millares 7" xfId="77"/>
    <cellStyle name="Millares 7 2" xfId="181"/>
    <cellStyle name="Millares 7 2 10" xfId="1931"/>
    <cellStyle name="Millares 7 2 10 2" xfId="1932"/>
    <cellStyle name="Millares 7 2 11" xfId="1933"/>
    <cellStyle name="Millares 7 2 2" xfId="287"/>
    <cellStyle name="Millares 7 2 2 2" xfId="311"/>
    <cellStyle name="Millares 7 2 2 2 2" xfId="720"/>
    <cellStyle name="Millares 7 2 2 3" xfId="696"/>
    <cellStyle name="Millares 7 2 3" xfId="310"/>
    <cellStyle name="Millares 7 2 3 2" xfId="719"/>
    <cellStyle name="Millares 7 2 3 2 2" xfId="1934"/>
    <cellStyle name="Millares 7 2 3 2 2 2" xfId="1935"/>
    <cellStyle name="Millares 7 2 3 2 2 2 2" xfId="1936"/>
    <cellStyle name="Millares 7 2 3 2 2 3" xfId="1937"/>
    <cellStyle name="Millares 7 2 3 2 3" xfId="1938"/>
    <cellStyle name="Millares 7 2 3 2 3 2" xfId="1939"/>
    <cellStyle name="Millares 7 2 3 2 4" xfId="1940"/>
    <cellStyle name="Millares 7 2 3 3" xfId="1941"/>
    <cellStyle name="Millares 7 2 3 3 2" xfId="1942"/>
    <cellStyle name="Millares 7 2 3 3 2 2" xfId="1943"/>
    <cellStyle name="Millares 7 2 3 3 3" xfId="1944"/>
    <cellStyle name="Millares 7 2 3 4" xfId="1945"/>
    <cellStyle name="Millares 7 2 3 4 2" xfId="1946"/>
    <cellStyle name="Millares 7 2 3 5" xfId="1947"/>
    <cellStyle name="Millares 7 2 4" xfId="371"/>
    <cellStyle name="Millares 7 2 4 2" xfId="768"/>
    <cellStyle name="Millares 7 2 4 2 2" xfId="1948"/>
    <cellStyle name="Millares 7 2 4 2 2 2" xfId="1949"/>
    <cellStyle name="Millares 7 2 4 2 2 2 2" xfId="1950"/>
    <cellStyle name="Millares 7 2 4 2 2 3" xfId="1951"/>
    <cellStyle name="Millares 7 2 4 2 3" xfId="1952"/>
    <cellStyle name="Millares 7 2 4 2 3 2" xfId="1953"/>
    <cellStyle name="Millares 7 2 4 2 4" xfId="1954"/>
    <cellStyle name="Millares 7 2 4 3" xfId="1955"/>
    <cellStyle name="Millares 7 2 4 3 2" xfId="1956"/>
    <cellStyle name="Millares 7 2 4 3 2 2" xfId="1957"/>
    <cellStyle name="Millares 7 2 4 3 3" xfId="1958"/>
    <cellStyle name="Millares 7 2 4 4" xfId="1959"/>
    <cellStyle name="Millares 7 2 4 4 2" xfId="1960"/>
    <cellStyle name="Millares 7 2 4 5" xfId="1961"/>
    <cellStyle name="Millares 7 2 5" xfId="666"/>
    <cellStyle name="Millares 7 2 5 2" xfId="1962"/>
    <cellStyle name="Millares 7 2 5 2 2" xfId="1963"/>
    <cellStyle name="Millares 7 2 5 2 2 2" xfId="1964"/>
    <cellStyle name="Millares 7 2 5 2 2 2 2" xfId="1965"/>
    <cellStyle name="Millares 7 2 5 2 2 3" xfId="1966"/>
    <cellStyle name="Millares 7 2 5 2 3" xfId="1967"/>
    <cellStyle name="Millares 7 2 5 2 3 2" xfId="1968"/>
    <cellStyle name="Millares 7 2 5 2 4" xfId="1969"/>
    <cellStyle name="Millares 7 2 5 3" xfId="1970"/>
    <cellStyle name="Millares 7 2 5 3 2" xfId="1971"/>
    <cellStyle name="Millares 7 2 5 3 2 2" xfId="1972"/>
    <cellStyle name="Millares 7 2 5 3 3" xfId="1973"/>
    <cellStyle name="Millares 7 2 5 4" xfId="1974"/>
    <cellStyle name="Millares 7 2 5 4 2" xfId="1975"/>
    <cellStyle name="Millares 7 2 5 5" xfId="1976"/>
    <cellStyle name="Millares 7 2 6" xfId="1977"/>
    <cellStyle name="Millares 7 2 6 2" xfId="1978"/>
    <cellStyle name="Millares 7 2 6 2 2" xfId="1979"/>
    <cellStyle name="Millares 7 2 6 2 2 2" xfId="1980"/>
    <cellStyle name="Millares 7 2 6 2 2 2 2" xfId="1981"/>
    <cellStyle name="Millares 7 2 6 2 2 3" xfId="1982"/>
    <cellStyle name="Millares 7 2 6 2 3" xfId="1983"/>
    <cellStyle name="Millares 7 2 6 2 3 2" xfId="1984"/>
    <cellStyle name="Millares 7 2 6 2 4" xfId="1985"/>
    <cellStyle name="Millares 7 2 6 3" xfId="1986"/>
    <cellStyle name="Millares 7 2 6 3 2" xfId="1987"/>
    <cellStyle name="Millares 7 2 6 3 2 2" xfId="1988"/>
    <cellStyle name="Millares 7 2 6 3 3" xfId="1989"/>
    <cellStyle name="Millares 7 2 6 4" xfId="1990"/>
    <cellStyle name="Millares 7 2 6 4 2" xfId="1991"/>
    <cellStyle name="Millares 7 2 6 5" xfId="1992"/>
    <cellStyle name="Millares 7 2 7" xfId="1993"/>
    <cellStyle name="Millares 7 2 7 2" xfId="1994"/>
    <cellStyle name="Millares 7 2 7 2 2" xfId="1995"/>
    <cellStyle name="Millares 7 2 7 2 2 2" xfId="1996"/>
    <cellStyle name="Millares 7 2 7 2 2 2 2" xfId="1997"/>
    <cellStyle name="Millares 7 2 7 2 2 3" xfId="1998"/>
    <cellStyle name="Millares 7 2 7 2 3" xfId="1999"/>
    <cellStyle name="Millares 7 2 7 2 3 2" xfId="2000"/>
    <cellStyle name="Millares 7 2 7 2 4" xfId="2001"/>
    <cellStyle name="Millares 7 2 7 3" xfId="2002"/>
    <cellStyle name="Millares 7 2 7 3 2" xfId="2003"/>
    <cellStyle name="Millares 7 2 7 3 2 2" xfId="2004"/>
    <cellStyle name="Millares 7 2 7 3 3" xfId="2005"/>
    <cellStyle name="Millares 7 2 7 4" xfId="2006"/>
    <cellStyle name="Millares 7 2 7 4 2" xfId="2007"/>
    <cellStyle name="Millares 7 2 7 5" xfId="2008"/>
    <cellStyle name="Millares 7 2 8" xfId="2009"/>
    <cellStyle name="Millares 7 2 8 2" xfId="2010"/>
    <cellStyle name="Millares 7 2 8 2 2" xfId="2011"/>
    <cellStyle name="Millares 7 2 8 2 2 2" xfId="2012"/>
    <cellStyle name="Millares 7 2 8 2 3" xfId="2013"/>
    <cellStyle name="Millares 7 2 8 3" xfId="2014"/>
    <cellStyle name="Millares 7 2 8 3 2" xfId="2015"/>
    <cellStyle name="Millares 7 2 8 4" xfId="2016"/>
    <cellStyle name="Millares 7 2 9" xfId="2017"/>
    <cellStyle name="Millares 7 2 9 2" xfId="2018"/>
    <cellStyle name="Millares 7 2 9 2 2" xfId="2019"/>
    <cellStyle name="Millares 7 2 9 3" xfId="2020"/>
    <cellStyle name="Millares 7 3" xfId="282"/>
    <cellStyle name="Millares 7 3 2" xfId="312"/>
    <cellStyle name="Millares 7 3 2 2" xfId="721"/>
    <cellStyle name="Millares 7 3 3" xfId="402"/>
    <cellStyle name="Millares 7 3 4" xfId="691"/>
    <cellStyle name="Millares 7 4" xfId="309"/>
    <cellStyle name="Millares 7 4 2" xfId="718"/>
    <cellStyle name="Millares 7 5" xfId="370"/>
    <cellStyle name="Millares 7 6" xfId="661"/>
    <cellStyle name="Millares 8" xfId="182"/>
    <cellStyle name="Millares 8 2" xfId="183"/>
    <cellStyle name="Millares 8 2 2" xfId="2021"/>
    <cellStyle name="Millares 8 2 2 2" xfId="2022"/>
    <cellStyle name="Millares 8 2 3" xfId="2023"/>
    <cellStyle name="Millares 8 3" xfId="184"/>
    <cellStyle name="Millares 8 3 2" xfId="2024"/>
    <cellStyle name="Millares 8 3 2 2" xfId="2025"/>
    <cellStyle name="Millares 8 3 3" xfId="2026"/>
    <cellStyle name="Millares 8 4" xfId="2027"/>
    <cellStyle name="Millares 8 4 2" xfId="2028"/>
    <cellStyle name="Millares 8 5" xfId="2029"/>
    <cellStyle name="Millares 9" xfId="185"/>
    <cellStyle name="Millares 9 2" xfId="403"/>
    <cellStyle name="Millares 9 2 2" xfId="2030"/>
    <cellStyle name="Millares 9 3" xfId="2031"/>
    <cellStyle name="Millares_ACADÉMICOS 2003-2007 v2" xfId="831"/>
    <cellStyle name="Moneda 2" xfId="38"/>
    <cellStyle name="Moneda 2 2" xfId="186"/>
    <cellStyle name="Moneda 2 2 2" xfId="187"/>
    <cellStyle name="Moneda 2 2 2 2" xfId="2032"/>
    <cellStyle name="Moneda 2 2 2 2 2" xfId="2033"/>
    <cellStyle name="Moneda 2 2 2 3" xfId="2034"/>
    <cellStyle name="Moneda 2 2 3" xfId="2035"/>
    <cellStyle name="Moneda 2 2 3 2" xfId="2036"/>
    <cellStyle name="Moneda 2 2 4" xfId="2037"/>
    <cellStyle name="Moneda 2 3" xfId="188"/>
    <cellStyle name="Moneda 2 3 2" xfId="189"/>
    <cellStyle name="Moneda 2 3 2 2" xfId="2038"/>
    <cellStyle name="Moneda 2 3 2 2 2" xfId="2039"/>
    <cellStyle name="Moneda 2 3 2 3" xfId="2040"/>
    <cellStyle name="Moneda 2 3 3" xfId="2041"/>
    <cellStyle name="Moneda 2 3 3 2" xfId="2042"/>
    <cellStyle name="Moneda 2 3 4" xfId="2043"/>
    <cellStyle name="Moneda 2 4" xfId="190"/>
    <cellStyle name="Moneda 2 4 2" xfId="2044"/>
    <cellStyle name="Moneda 2 4 2 2" xfId="2045"/>
    <cellStyle name="Moneda 2 4 3" xfId="2046"/>
    <cellStyle name="Moneda 2 5" xfId="2047"/>
    <cellStyle name="Moneda 2 5 2" xfId="2048"/>
    <cellStyle name="Moneda 2 6" xfId="2049"/>
    <cellStyle name="Moneda 2 6 2" xfId="2050"/>
    <cellStyle name="Moneda 2 7" xfId="2051"/>
    <cellStyle name="Moneda 3" xfId="191"/>
    <cellStyle name="Moneda 3 2" xfId="404"/>
    <cellStyle name="Moneda 3 2 2" xfId="2052"/>
    <cellStyle name="Moneda 3 3" xfId="2053"/>
    <cellStyle name="Moneda 4" xfId="192"/>
    <cellStyle name="Moneda 4 2" xfId="193"/>
    <cellStyle name="Moneda 4 2 2" xfId="2054"/>
    <cellStyle name="Moneda 4 2 2 2" xfId="2055"/>
    <cellStyle name="Moneda 4 2 3" xfId="2056"/>
    <cellStyle name="Moneda 4 3" xfId="2057"/>
    <cellStyle name="Moneda 4 3 2" xfId="2058"/>
    <cellStyle name="Moneda 4 4" xfId="2059"/>
    <cellStyle name="Moneda 5" xfId="264"/>
    <cellStyle name="Moneda 5 2" xfId="2060"/>
    <cellStyle name="Moneda 5 2 2" xfId="2061"/>
    <cellStyle name="Moneda 5 2 2 2" xfId="2062"/>
    <cellStyle name="Moneda 5 2 2 2 2" xfId="2063"/>
    <cellStyle name="Moneda 5 2 2 2 2 2" xfId="2064"/>
    <cellStyle name="Moneda 5 2 2 2 3" xfId="2065"/>
    <cellStyle name="Moneda 5 2 2 3" xfId="2066"/>
    <cellStyle name="Moneda 5 2 2 3 2" xfId="2067"/>
    <cellStyle name="Moneda 5 2 2 4" xfId="2068"/>
    <cellStyle name="Moneda 5 2 3" xfId="2069"/>
    <cellStyle name="Moneda 5 2 3 2" xfId="2070"/>
    <cellStyle name="Moneda 5 2 3 2 2" xfId="2071"/>
    <cellStyle name="Moneda 5 2 3 3" xfId="2072"/>
    <cellStyle name="Moneda 5 2 4" xfId="2073"/>
    <cellStyle name="Moneda 5 2 4 2" xfId="2074"/>
    <cellStyle name="Moneda 5 2 5" xfId="2075"/>
    <cellStyle name="Moneda 5 3" xfId="2076"/>
    <cellStyle name="Moneda 5 3 2" xfId="2077"/>
    <cellStyle name="Moneda 5 3 2 2" xfId="2078"/>
    <cellStyle name="Moneda 5 3 2 2 2" xfId="2079"/>
    <cellStyle name="Moneda 5 3 2 3" xfId="2080"/>
    <cellStyle name="Moneda 5 3 3" xfId="2081"/>
    <cellStyle name="Moneda 5 3 3 2" xfId="2082"/>
    <cellStyle name="Moneda 5 3 4" xfId="2083"/>
    <cellStyle name="Moneda 5 4" xfId="2084"/>
    <cellStyle name="Moneda 5 4 2" xfId="2085"/>
    <cellStyle name="Moneda 5 5" xfId="2086"/>
    <cellStyle name="Moneda 6" xfId="2087"/>
    <cellStyle name="Moneda 6 2" xfId="2088"/>
    <cellStyle name="Moneda 7" xfId="2089"/>
    <cellStyle name="Moneda 7 2" xfId="2090"/>
    <cellStyle name="Moneda 7 2 2" xfId="2091"/>
    <cellStyle name="Moneda 7 2 2 2" xfId="2092"/>
    <cellStyle name="Moneda 7 2 3" xfId="2093"/>
    <cellStyle name="Moneda 7 3" xfId="2094"/>
    <cellStyle name="Moneda 7 3 2" xfId="2095"/>
    <cellStyle name="Moneda 7 4" xfId="2096"/>
    <cellStyle name="Moneda 8" xfId="2097"/>
    <cellStyle name="Moneda 8 2" xfId="2098"/>
    <cellStyle name="Neutral" xfId="39" builtinId="28" customBuiltin="1"/>
    <cellStyle name="Neutral 2" xfId="194"/>
    <cellStyle name="Neutral 3" xfId="265"/>
    <cellStyle name="Normal" xfId="0" builtinId="0"/>
    <cellStyle name="Normal - Modelo1" xfId="2099"/>
    <cellStyle name="Normal - Modelo2" xfId="2100"/>
    <cellStyle name="Normal - Modelo3" xfId="2101"/>
    <cellStyle name="Normal - Modelo4" xfId="2102"/>
    <cellStyle name="Normal - Modelo5" xfId="2103"/>
    <cellStyle name="Normal - Modelo6" xfId="2104"/>
    <cellStyle name="Normal - Modelo7" xfId="2105"/>
    <cellStyle name="Normal - Modelo8" xfId="2106"/>
    <cellStyle name="Normal 10" xfId="76"/>
    <cellStyle name="Normal 10 10" xfId="650"/>
    <cellStyle name="Normal 10 10 2" xfId="821"/>
    <cellStyle name="Normal 10 10 3" xfId="2107"/>
    <cellStyle name="Normal 10 10 4" xfId="2108"/>
    <cellStyle name="Normal 10 10 5" xfId="2109"/>
    <cellStyle name="Normal 10 11" xfId="2110"/>
    <cellStyle name="Normal 10 2" xfId="195"/>
    <cellStyle name="Normal 10 2 10" xfId="2111"/>
    <cellStyle name="Normal 10 2 2" xfId="288"/>
    <cellStyle name="Normal 10 2 2 2" xfId="315"/>
    <cellStyle name="Normal 10 2 2 2 2" xfId="724"/>
    <cellStyle name="Normal 10 2 2 2 2 2" xfId="2112"/>
    <cellStyle name="Normal 10 2 2 2 2 2 2" xfId="2113"/>
    <cellStyle name="Normal 10 2 2 2 2 3" xfId="2114"/>
    <cellStyle name="Normal 10 2 2 2 3" xfId="2115"/>
    <cellStyle name="Normal 10 2 2 2 3 2" xfId="2116"/>
    <cellStyle name="Normal 10 2 2 2 3 2 2" xfId="2117"/>
    <cellStyle name="Normal 10 2 2 2 3 2 2 2" xfId="2118"/>
    <cellStyle name="Normal 10 2 2 2 3 2 3" xfId="2119"/>
    <cellStyle name="Normal 10 2 2 2 3 3" xfId="2120"/>
    <cellStyle name="Normal 10 2 2 2 3 3 2" xfId="2121"/>
    <cellStyle name="Normal 10 2 2 2 3 4" xfId="2122"/>
    <cellStyle name="Normal 10 2 2 2 4" xfId="2123"/>
    <cellStyle name="Normal 10 2 2 2 4 2" xfId="2124"/>
    <cellStyle name="Normal 10 2 2 2 5" xfId="2125"/>
    <cellStyle name="Normal 10 2 2 3" xfId="697"/>
    <cellStyle name="Normal 10 2 2 3 2" xfId="2126"/>
    <cellStyle name="Normal 10 2 2 3 2 2" xfId="2127"/>
    <cellStyle name="Normal 10 2 2 3 2 2 2" xfId="2128"/>
    <cellStyle name="Normal 10 2 2 3 2 2 2 2" xfId="2129"/>
    <cellStyle name="Normal 10 2 2 3 2 2 3" xfId="2130"/>
    <cellStyle name="Normal 10 2 2 3 2 3" xfId="2131"/>
    <cellStyle name="Normal 10 2 2 3 2 3 2" xfId="2132"/>
    <cellStyle name="Normal 10 2 2 3 2 4" xfId="2133"/>
    <cellStyle name="Normal 10 2 2 3 3" xfId="2134"/>
    <cellStyle name="Normal 10 2 2 3 3 2" xfId="2135"/>
    <cellStyle name="Normal 10 2 2 3 4" xfId="2136"/>
    <cellStyle name="Normal 10 2 2 4" xfId="2137"/>
    <cellStyle name="Normal 10 2 2 4 2" xfId="2138"/>
    <cellStyle name="Normal 10 2 2 5" xfId="2139"/>
    <cellStyle name="Normal 10 2 3" xfId="314"/>
    <cellStyle name="Normal 10 2 3 2" xfId="723"/>
    <cellStyle name="Normal 10 2 3 2 2" xfId="2140"/>
    <cellStyle name="Normal 10 2 3 2 2 2" xfId="2141"/>
    <cellStyle name="Normal 10 2 3 2 3" xfId="2142"/>
    <cellStyle name="Normal 10 2 3 3" xfId="2143"/>
    <cellStyle name="Normal 10 2 3 3 2" xfId="2144"/>
    <cellStyle name="Normal 10 2 3 4" xfId="2145"/>
    <cellStyle name="Normal 10 2 4" xfId="373"/>
    <cellStyle name="Normal 10 2 4 2" xfId="770"/>
    <cellStyle name="Normal 10 2 4 2 2" xfId="2146"/>
    <cellStyle name="Normal 10 2 4 2 2 2" xfId="2147"/>
    <cellStyle name="Normal 10 2 4 2 3" xfId="2148"/>
    <cellStyle name="Normal 10 2 4 3" xfId="2149"/>
    <cellStyle name="Normal 10 2 4 3 2" xfId="2150"/>
    <cellStyle name="Normal 10 2 4 4" xfId="2151"/>
    <cellStyle name="Normal 10 2 5" xfId="667"/>
    <cellStyle name="Normal 10 2 5 2" xfId="2152"/>
    <cellStyle name="Normal 10 2 5 2 2" xfId="2153"/>
    <cellStyle name="Normal 10 2 5 2 2 2" xfId="2154"/>
    <cellStyle name="Normal 10 2 5 2 3" xfId="2155"/>
    <cellStyle name="Normal 10 2 5 3" xfId="2156"/>
    <cellStyle name="Normal 10 2 5 3 2" xfId="2157"/>
    <cellStyle name="Normal 10 2 5 4" xfId="2158"/>
    <cellStyle name="Normal 10 2 6" xfId="2159"/>
    <cellStyle name="Normal 10 2 6 2" xfId="2160"/>
    <cellStyle name="Normal 10 2 6 2 2" xfId="2161"/>
    <cellStyle name="Normal 10 2 6 2 2 2" xfId="2162"/>
    <cellStyle name="Normal 10 2 6 2 3" xfId="2163"/>
    <cellStyle name="Normal 10 2 6 3" xfId="2164"/>
    <cellStyle name="Normal 10 2 6 3 2" xfId="2165"/>
    <cellStyle name="Normal 10 2 6 4" xfId="2166"/>
    <cellStyle name="Normal 10 2 7" xfId="2167"/>
    <cellStyle name="Normal 10 2 7 2" xfId="2168"/>
    <cellStyle name="Normal 10 2 7 2 2" xfId="2169"/>
    <cellStyle name="Normal 10 2 7 2 2 2" xfId="2170"/>
    <cellStyle name="Normal 10 2 7 2 3" xfId="2171"/>
    <cellStyle name="Normal 10 2 7 3" xfId="2172"/>
    <cellStyle name="Normal 10 2 7 3 2" xfId="2173"/>
    <cellStyle name="Normal 10 2 7 4" xfId="2174"/>
    <cellStyle name="Normal 10 2 8" xfId="2175"/>
    <cellStyle name="Normal 10 2 8 2" xfId="2176"/>
    <cellStyle name="Normal 10 2 8 2 2" xfId="2177"/>
    <cellStyle name="Normal 10 2 8 3" xfId="2178"/>
    <cellStyle name="Normal 10 2 9" xfId="2179"/>
    <cellStyle name="Normal 10 2 9 2" xfId="2180"/>
    <cellStyle name="Normal 10 3" xfId="281"/>
    <cellStyle name="Normal 10 3 2" xfId="316"/>
    <cellStyle name="Normal 10 3 2 2" xfId="725"/>
    <cellStyle name="Normal 10 3 2 2 2" xfId="2181"/>
    <cellStyle name="Normal 10 3 2 3" xfId="2182"/>
    <cellStyle name="Normal 10 3 3" xfId="690"/>
    <cellStyle name="Normal 10 3 3 2" xfId="2183"/>
    <cellStyle name="Normal 10 3 4" xfId="2184"/>
    <cellStyle name="Normal 10 4" xfId="313"/>
    <cellStyle name="Normal 10 4 2" xfId="722"/>
    <cellStyle name="Normal 10 4 2 2" xfId="2185"/>
    <cellStyle name="Normal 10 4 2 2 2" xfId="2186"/>
    <cellStyle name="Normal 10 4 2 3" xfId="2187"/>
    <cellStyle name="Normal 10 4 3" xfId="2188"/>
    <cellStyle name="Normal 10 4 3 2" xfId="2189"/>
    <cellStyle name="Normal 10 4 3 2 2" xfId="2190"/>
    <cellStyle name="Normal 10 4 3 2 2 2" xfId="2191"/>
    <cellStyle name="Normal 10 4 3 2 2 2 2" xfId="2192"/>
    <cellStyle name="Normal 10 4 3 2 2 2 2 2" xfId="2193"/>
    <cellStyle name="Normal 10 4 3 2 2 2 3" xfId="2194"/>
    <cellStyle name="Normal 10 4 3 2 2 3" xfId="2195"/>
    <cellStyle name="Normal 10 4 3 2 2 3 2" xfId="2196"/>
    <cellStyle name="Normal 10 4 3 2 2 3 2 2" xfId="2197"/>
    <cellStyle name="Normal 10 4 3 2 2 3 3" xfId="2198"/>
    <cellStyle name="Normal 10 4 3 2 2 4" xfId="2199"/>
    <cellStyle name="Normal 10 4 3 2 2 4 2" xfId="2200"/>
    <cellStyle name="Normal 10 4 3 2 2 4 2 2" xfId="2201"/>
    <cellStyle name="Normal 10 4 3 2 2 4 3" xfId="2202"/>
    <cellStyle name="Normal 10 4 3 2 2 5" xfId="2203"/>
    <cellStyle name="Normal 10 4 3 2 2 5 2" xfId="2204"/>
    <cellStyle name="Normal 10 4 3 2 2 6" xfId="2205"/>
    <cellStyle name="Normal 10 4 3 2 2 6 2" xfId="2206"/>
    <cellStyle name="Normal 10 4 3 2 3" xfId="2207"/>
    <cellStyle name="Normal 10 4 3 2 3 2" xfId="2208"/>
    <cellStyle name="Normal 10 4 3 2 4" xfId="2209"/>
    <cellStyle name="Normal 10 4 3 3" xfId="2210"/>
    <cellStyle name="Normal 10 4 3 3 2" xfId="2211"/>
    <cellStyle name="Normal 10 4 3 4" xfId="2212"/>
    <cellStyle name="Normal 10 4 4" xfId="2213"/>
    <cellStyle name="Normal 10 4 4 2" xfId="2214"/>
    <cellStyle name="Normal 10 4 5" xfId="2215"/>
    <cellStyle name="Normal 10 5" xfId="372"/>
    <cellStyle name="Normal 10 5 2" xfId="769"/>
    <cellStyle name="Normal 10 5 2 2" xfId="2216"/>
    <cellStyle name="Normal 10 5 2 2 2" xfId="2217"/>
    <cellStyle name="Normal 10 5 2 3" xfId="2218"/>
    <cellStyle name="Normal 10 5 3" xfId="2219"/>
    <cellStyle name="Normal 10 5 3 2" xfId="2220"/>
    <cellStyle name="Normal 10 5 4" xfId="2221"/>
    <cellStyle name="Normal 10 6" xfId="660"/>
    <cellStyle name="Normal 10 6 2" xfId="2222"/>
    <cellStyle name="Normal 10 6 2 2" xfId="2223"/>
    <cellStyle name="Normal 10 6 2 2 2" xfId="2224"/>
    <cellStyle name="Normal 10 6 2 3" xfId="2225"/>
    <cellStyle name="Normal 10 6 3" xfId="2226"/>
    <cellStyle name="Normal 10 6 3 2" xfId="2227"/>
    <cellStyle name="Normal 10 6 4" xfId="2228"/>
    <cellStyle name="Normal 10 7" xfId="827"/>
    <cellStyle name="Normal 10 7 2" xfId="2229"/>
    <cellStyle name="Normal 10 7 2 2" xfId="2230"/>
    <cellStyle name="Normal 10 7 2 2 2" xfId="2231"/>
    <cellStyle name="Normal 10 7 2 3" xfId="2232"/>
    <cellStyle name="Normal 10 7 3" xfId="2233"/>
    <cellStyle name="Normal 10 7 3 2" xfId="2234"/>
    <cellStyle name="Normal 10 7 4" xfId="2235"/>
    <cellStyle name="Normal 10 8" xfId="2236"/>
    <cellStyle name="Normal 10 8 2" xfId="2237"/>
    <cellStyle name="Normal 10 8 2 2" xfId="2238"/>
    <cellStyle name="Normal 10 8 2 2 2" xfId="2239"/>
    <cellStyle name="Normal 10 8 2 3" xfId="2240"/>
    <cellStyle name="Normal 10 8 3" xfId="2241"/>
    <cellStyle name="Normal 10 8 3 2" xfId="2242"/>
    <cellStyle name="Normal 10 8 4" xfId="2243"/>
    <cellStyle name="Normal 10 9" xfId="2244"/>
    <cellStyle name="Normal 10 9 2" xfId="2245"/>
    <cellStyle name="Normal 10 9 2 2" xfId="2246"/>
    <cellStyle name="Normal 10 9 3" xfId="2247"/>
    <cellStyle name="Normal 10_ARTURO SSMC110113xls" xfId="2248"/>
    <cellStyle name="Normal 100" xfId="2249"/>
    <cellStyle name="Normal 101" xfId="2250"/>
    <cellStyle name="Normal 102" xfId="2251"/>
    <cellStyle name="Normal 103" xfId="2252"/>
    <cellStyle name="Normal 104" xfId="2253"/>
    <cellStyle name="Normal 105" xfId="2254"/>
    <cellStyle name="Normal 106" xfId="2255"/>
    <cellStyle name="Normal 107" xfId="2256"/>
    <cellStyle name="Normal 108" xfId="2257"/>
    <cellStyle name="Normal 109" xfId="2258"/>
    <cellStyle name="Normal 11" xfId="223"/>
    <cellStyle name="Normal 11 2" xfId="295"/>
    <cellStyle name="Normal 11 2 2" xfId="318"/>
    <cellStyle name="Normal 11 2 2 2" xfId="727"/>
    <cellStyle name="Normal 11 2 2 2 2" xfId="2259"/>
    <cellStyle name="Normal 11 2 2 3" xfId="2260"/>
    <cellStyle name="Normal 11 2 3" xfId="704"/>
    <cellStyle name="Normal 11 2 3 2" xfId="2261"/>
    <cellStyle name="Normal 11 2 4" xfId="2262"/>
    <cellStyle name="Normal 11 3" xfId="317"/>
    <cellStyle name="Normal 11 3 2" xfId="726"/>
    <cellStyle name="Normal 11 4" xfId="374"/>
    <cellStyle name="Normal 11 5" xfId="674"/>
    <cellStyle name="Normal 11_Evolución de becas SEP-UAM-PRONABES" xfId="2263"/>
    <cellStyle name="Normal 110" xfId="2264"/>
    <cellStyle name="Normal 111" xfId="2265"/>
    <cellStyle name="Normal 112" xfId="2266"/>
    <cellStyle name="Normal 113" xfId="2267"/>
    <cellStyle name="Normal 114" xfId="2268"/>
    <cellStyle name="Normal 115" xfId="2269"/>
    <cellStyle name="Normal 116" xfId="2270"/>
    <cellStyle name="Normal 117" xfId="2271"/>
    <cellStyle name="Normal 118" xfId="2272"/>
    <cellStyle name="Normal 119" xfId="2273"/>
    <cellStyle name="Normal 12" xfId="226"/>
    <cellStyle name="Normal 12 2" xfId="298"/>
    <cellStyle name="Normal 12 2 2" xfId="320"/>
    <cellStyle name="Normal 12 2 2 2" xfId="729"/>
    <cellStyle name="Normal 12 2 3" xfId="707"/>
    <cellStyle name="Normal 12 3" xfId="319"/>
    <cellStyle name="Normal 12 3 2" xfId="728"/>
    <cellStyle name="Normal 12 4" xfId="375"/>
    <cellStyle name="Normal 12 5" xfId="677"/>
    <cellStyle name="Normal 120" xfId="2274"/>
    <cellStyle name="Normal 121" xfId="2275"/>
    <cellStyle name="Normal 122" xfId="2276"/>
    <cellStyle name="Normal 123" xfId="2277"/>
    <cellStyle name="Normal 124" xfId="2278"/>
    <cellStyle name="Normal 125" xfId="2279"/>
    <cellStyle name="Normal 13" xfId="229"/>
    <cellStyle name="Normal 13 2" xfId="321"/>
    <cellStyle name="Normal 13 2 2" xfId="412"/>
    <cellStyle name="Normal 13 2 3" xfId="730"/>
    <cellStyle name="Normal 13 3" xfId="376"/>
    <cellStyle name="Normal 13 4" xfId="679"/>
    <cellStyle name="Normal 13_Evolución de becas SEP-UAM-PRONABES" xfId="2280"/>
    <cellStyle name="Normal 14" xfId="300"/>
    <cellStyle name="Normal 14 2" xfId="322"/>
    <cellStyle name="Normal 14 2 2" xfId="419"/>
    <cellStyle name="Normal 14 2 3" xfId="731"/>
    <cellStyle name="Normal 14 3" xfId="410"/>
    <cellStyle name="Normal 14 4" xfId="451"/>
    <cellStyle name="Normal 14 4 2" xfId="457"/>
    <cellStyle name="Normal 14 4 2 2" xfId="791"/>
    <cellStyle name="Normal 14 4 3" xfId="785"/>
    <cellStyle name="Normal 14 5" xfId="709"/>
    <cellStyle name="Normal 14 6" xfId="2281"/>
    <cellStyle name="Normal 15" xfId="420"/>
    <cellStyle name="Normal 15 2" xfId="458"/>
    <cellStyle name="Normal 15 2 2" xfId="792"/>
    <cellStyle name="Normal 15 2 2 2" xfId="2282"/>
    <cellStyle name="Normal 15 2 2 2 2" xfId="2283"/>
    <cellStyle name="Normal 15 2 2 2 2 2" xfId="2284"/>
    <cellStyle name="Normal 15 2 2 2 3" xfId="2285"/>
    <cellStyle name="Normal 15 2 2 3" xfId="2286"/>
    <cellStyle name="Normal 15 2 2 3 2" xfId="2287"/>
    <cellStyle name="Normal 15 2 2 3 2 2" xfId="2288"/>
    <cellStyle name="Normal 15 2 2 3 2 2 2" xfId="2289"/>
    <cellStyle name="Normal 15 2 2 3 2 3" xfId="2290"/>
    <cellStyle name="Normal 15 2 2 3 3" xfId="2291"/>
    <cellStyle name="Normal 15 2 2 3 3 2" xfId="2292"/>
    <cellStyle name="Normal 15 2 2 3 4" xfId="2293"/>
    <cellStyle name="Normal 15 2 2 4" xfId="2294"/>
    <cellStyle name="Normal 15 2 2 4 2" xfId="2295"/>
    <cellStyle name="Normal 15 2 2 4 2 2" xfId="2296"/>
    <cellStyle name="Normal 15 2 2 4 3" xfId="2297"/>
    <cellStyle name="Normal 15 2 2 5" xfId="2298"/>
    <cellStyle name="Normal 15 2 2 5 2" xfId="2299"/>
    <cellStyle name="Normal 15 2 2 6" xfId="2300"/>
    <cellStyle name="Normal 15 2 3" xfId="2301"/>
    <cellStyle name="Normal 15 2 3 2" xfId="2302"/>
    <cellStyle name="Normal 15 2 3 2 2" xfId="2303"/>
    <cellStyle name="Normal 15 2 3 2 2 2" xfId="2304"/>
    <cellStyle name="Normal 15 2 3 2 2 2 2" xfId="2305"/>
    <cellStyle name="Normal 15 2 3 2 2 2 2 2" xfId="2306"/>
    <cellStyle name="Normal 15 2 3 2 2 2 3" xfId="2307"/>
    <cellStyle name="Normal 15 2 3 2 2 3" xfId="2308"/>
    <cellStyle name="Normal 15 2 3 2 2 3 2" xfId="2309"/>
    <cellStyle name="Normal 15 2 3 2 2 3 2 2" xfId="2310"/>
    <cellStyle name="Normal 15 2 3 2 2 3 3" xfId="2311"/>
    <cellStyle name="Normal 15 2 3 2 2 4" xfId="2312"/>
    <cellStyle name="Normal 15 2 3 2 2 4 2" xfId="2313"/>
    <cellStyle name="Normal 15 2 3 2 2 4 2 2" xfId="2314"/>
    <cellStyle name="Normal 15 2 3 2 2 4 3" xfId="2315"/>
    <cellStyle name="Normal 15 2 3 2 2 5" xfId="2316"/>
    <cellStyle name="Normal 15 2 3 2 2 5 2" xfId="2317"/>
    <cellStyle name="Normal 15 2 3 2 2 6" xfId="2318"/>
    <cellStyle name="Normal 15 2 3 2 3" xfId="2319"/>
    <cellStyle name="Normal 15 2 3 2 3 2" xfId="2320"/>
    <cellStyle name="Normal 15 2 3 2 4" xfId="2321"/>
    <cellStyle name="Normal 15 2 3 3" xfId="2322"/>
    <cellStyle name="Normal 15 2 3 3 2" xfId="2323"/>
    <cellStyle name="Normal 15 2 3 4" xfId="2324"/>
    <cellStyle name="Normal 15 2 4" xfId="2325"/>
    <cellStyle name="Normal 15 2 4 2" xfId="2326"/>
    <cellStyle name="Normal 15 2 5" xfId="2327"/>
    <cellStyle name="Normal 15 3" xfId="2328"/>
    <cellStyle name="Normal 15 4" xfId="2329"/>
    <cellStyle name="Normal 15 5" xfId="2330"/>
    <cellStyle name="Normal 15_Evolución de becas SEP-UAM-PRONABES" xfId="2331"/>
    <cellStyle name="Normal 16" xfId="421"/>
    <cellStyle name="Normal 16 2" xfId="452"/>
    <cellStyle name="Normal 16 2 2" xfId="786"/>
    <cellStyle name="Normal 16_Evolución de becas SEP-UAM-PRONABES" xfId="2332"/>
    <cellStyle name="Normal 17" xfId="350"/>
    <cellStyle name="Normal 17 2" xfId="759"/>
    <cellStyle name="Normal 17 3" xfId="2333"/>
    <cellStyle name="Normal 17_Evolución de becas SEP-UAM-PRONABES" xfId="2334"/>
    <cellStyle name="Normal 18" xfId="448"/>
    <cellStyle name="Normal 18 2" xfId="782"/>
    <cellStyle name="Normal 18_Evolución de becas SEP-UAM-PRONABES" xfId="2335"/>
    <cellStyle name="Normal 19" xfId="449"/>
    <cellStyle name="Normal 19 2" xfId="783"/>
    <cellStyle name="Normal 19 2 2" xfId="2336"/>
    <cellStyle name="Normal 19 3" xfId="2337"/>
    <cellStyle name="Normal 19 4" xfId="2338"/>
    <cellStyle name="Normal 2" xfId="40"/>
    <cellStyle name="Normal 2 2" xfId="66"/>
    <cellStyle name="Normal 2 2 2" xfId="377"/>
    <cellStyle name="Normal 2 2 3" xfId="2339"/>
    <cellStyle name="Normal 2 2_Evolución de becas SEP-UAM-PRONABES" xfId="2340"/>
    <cellStyle name="Normal 2 3" xfId="465"/>
    <cellStyle name="Normal 2 3 2" xfId="796"/>
    <cellStyle name="Normal 2 3 3" xfId="2341"/>
    <cellStyle name="Normal 2 3_Evolución de becas SEP-UAM-PRONABES" xfId="2342"/>
    <cellStyle name="Normal 2 4" xfId="2343"/>
    <cellStyle name="Normal 2 4 2" xfId="2344"/>
    <cellStyle name="Normal 2 4 2 2" xfId="2345"/>
    <cellStyle name="Normal 2 4 2 2 2" xfId="2346"/>
    <cellStyle name="Normal 2 4 2 3" xfId="2347"/>
    <cellStyle name="Normal 2 4 3" xfId="2348"/>
    <cellStyle name="Normal 2 4 3 2" xfId="2349"/>
    <cellStyle name="Normal 2 4 3 2 2" xfId="2350"/>
    <cellStyle name="Normal 2 4 3 3" xfId="2351"/>
    <cellStyle name="Normal 2 4 4" xfId="2352"/>
    <cellStyle name="Normal 2 4 4 2" xfId="2353"/>
    <cellStyle name="Normal 2 4 4 2 2" xfId="2354"/>
    <cellStyle name="Normal 2 4 4 3" xfId="2355"/>
    <cellStyle name="Normal 2 4 5" xfId="2356"/>
    <cellStyle name="Normal 2 4 5 2" xfId="2357"/>
    <cellStyle name="Normal 2 4 5 2 2" xfId="2358"/>
    <cellStyle name="Normal 2 4 5 2 2 2" xfId="2359"/>
    <cellStyle name="Normal 2 4 5 2 3" xfId="2360"/>
    <cellStyle name="Normal 2 4 5 3" xfId="2361"/>
    <cellStyle name="Normal 2 4 5 3 2" xfId="2362"/>
    <cellStyle name="Normal 2 4 5 4" xfId="2363"/>
    <cellStyle name="Normal 2 4 5 5" xfId="2364"/>
    <cellStyle name="Normal 2 4 6" xfId="2365"/>
    <cellStyle name="Normal 2 4 6 2" xfId="2366"/>
    <cellStyle name="Normal 2 4 7" xfId="2367"/>
    <cellStyle name="Normal 2_BASE_POSTULADOS_NOPOSTULADOS_G08_020211(2)" xfId="2368"/>
    <cellStyle name="Normal 20" xfId="459"/>
    <cellStyle name="Normal 20 2" xfId="793"/>
    <cellStyle name="Normal 21" xfId="460"/>
    <cellStyle name="Normal 21 2" xfId="794"/>
    <cellStyle name="Normal 22" xfId="464"/>
    <cellStyle name="Normal 22 2" xfId="795"/>
    <cellStyle name="Normal 23" xfId="466"/>
    <cellStyle name="Normal 23 2" xfId="797"/>
    <cellStyle name="Normal 23 2 2" xfId="2369"/>
    <cellStyle name="Normal 23 3" xfId="2370"/>
    <cellStyle name="Normal 24" xfId="629"/>
    <cellStyle name="Normal 24 2" xfId="800"/>
    <cellStyle name="Normal 25" xfId="631"/>
    <cellStyle name="Normal 25 2" xfId="802"/>
    <cellStyle name="Normal 26" xfId="632"/>
    <cellStyle name="Normal 26 10" xfId="2371"/>
    <cellStyle name="Normal 26 11" xfId="2372"/>
    <cellStyle name="Normal 26 12" xfId="2373"/>
    <cellStyle name="Normal 26 2" xfId="803"/>
    <cellStyle name="Normal 26 2 2" xfId="2374"/>
    <cellStyle name="Normal 26 2 2 2" xfId="2375"/>
    <cellStyle name="Normal 26 2 2 2 2" xfId="2376"/>
    <cellStyle name="Normal 26 2 2 2 2 2" xfId="2377"/>
    <cellStyle name="Normal 26 2 2 2 3" xfId="2378"/>
    <cellStyle name="Normal 26 2 2 3" xfId="2379"/>
    <cellStyle name="Normal 26 2 2 3 2" xfId="2380"/>
    <cellStyle name="Normal 26 2 2 3 2 2" xfId="2381"/>
    <cellStyle name="Normal 26 2 2 3 3" xfId="2382"/>
    <cellStyle name="Normal 26 2 2 4" xfId="2383"/>
    <cellStyle name="Normal 26 2 2 4 2" xfId="2384"/>
    <cellStyle name="Normal 26 2 2 4 2 2" xfId="2385"/>
    <cellStyle name="Normal 26 2 2 4 3" xfId="2386"/>
    <cellStyle name="Normal 26 2 2 5" xfId="2387"/>
    <cellStyle name="Normal 26 2 2 5 2" xfId="2388"/>
    <cellStyle name="Normal 26 2 2 6" xfId="651"/>
    <cellStyle name="Normal 26 2 2 6 2" xfId="822"/>
    <cellStyle name="Normal 26 2 3" xfId="2389"/>
    <cellStyle name="Normal 26 2 3 2" xfId="2390"/>
    <cellStyle name="Normal 26 2 4" xfId="2391"/>
    <cellStyle name="Normal 26 3" xfId="2392"/>
    <cellStyle name="Normal 26 3 2" xfId="2393"/>
    <cellStyle name="Normal 26 3 2 2" xfId="2394"/>
    <cellStyle name="Normal 26 3 3" xfId="2395"/>
    <cellStyle name="Normal 26 4" xfId="2396"/>
    <cellStyle name="Normal 26 4 2" xfId="2397"/>
    <cellStyle name="Normal 26 4 2 2" xfId="2398"/>
    <cellStyle name="Normal 26 4 3" xfId="2399"/>
    <cellStyle name="Normal 26 5" xfId="2400"/>
    <cellStyle name="Normal 26 5 2" xfId="2401"/>
    <cellStyle name="Normal 26 5 2 2" xfId="2402"/>
    <cellStyle name="Normal 26 5 3" xfId="2403"/>
    <cellStyle name="Normal 26 6" xfId="2404"/>
    <cellStyle name="Normal 26 6 2" xfId="2405"/>
    <cellStyle name="Normal 26 6 2 2" xfId="2406"/>
    <cellStyle name="Normal 26 6 3" xfId="2407"/>
    <cellStyle name="Normal 26 7" xfId="2408"/>
    <cellStyle name="Normal 26 7 2" xfId="2409"/>
    <cellStyle name="Normal 26 7 2 2" xfId="2410"/>
    <cellStyle name="Normal 26 7 2 2 2" xfId="2411"/>
    <cellStyle name="Normal 26 7 2 3" xfId="2412"/>
    <cellStyle name="Normal 26 7 3" xfId="2413"/>
    <cellStyle name="Normal 26 7 3 2" xfId="2414"/>
    <cellStyle name="Normal 26 7 4" xfId="2415"/>
    <cellStyle name="Normal 26 8" xfId="2416"/>
    <cellStyle name="Normal 26 8 2" xfId="2417"/>
    <cellStyle name="Normal 26 8 2 2" xfId="2418"/>
    <cellStyle name="Normal 26 8 3" xfId="2419"/>
    <cellStyle name="Normal 26 8 3 2" xfId="2420"/>
    <cellStyle name="Normal 26 9" xfId="2421"/>
    <cellStyle name="Normal 26 9 2" xfId="2422"/>
    <cellStyle name="Normal 27" xfId="635"/>
    <cellStyle name="Normal 27 2" xfId="806"/>
    <cellStyle name="Normal 28" xfId="640"/>
    <cellStyle name="Normal 28 2" xfId="811"/>
    <cellStyle name="Normal 29" xfId="644"/>
    <cellStyle name="Normal 29 2" xfId="646"/>
    <cellStyle name="Normal 29 2 2" xfId="817"/>
    <cellStyle name="Normal 29 2 2 2" xfId="2423"/>
    <cellStyle name="Normal 29 2 2 2 2" xfId="2424"/>
    <cellStyle name="Normal 29 2 2 2 2 2" xfId="2425"/>
    <cellStyle name="Normal 29 2 2 2 3" xfId="2426"/>
    <cellStyle name="Normal 29 2 2 3" xfId="2427"/>
    <cellStyle name="Normal 29 2 2 3 2" xfId="2428"/>
    <cellStyle name="Normal 29 2 2 3 2 2" xfId="2429"/>
    <cellStyle name="Normal 29 2 2 3 3" xfId="2430"/>
    <cellStyle name="Normal 29 2 2 4" xfId="2431"/>
    <cellStyle name="Normal 29 2 2 4 2" xfId="2432"/>
    <cellStyle name="Normal 29 2 2 4 2 2" xfId="2433"/>
    <cellStyle name="Normal 29 2 2 4 3" xfId="2434"/>
    <cellStyle name="Normal 29 2 2 5" xfId="2435"/>
    <cellStyle name="Normal 29 2 2 5 2" xfId="2436"/>
    <cellStyle name="Normal 29 2 2 6" xfId="2437"/>
    <cellStyle name="Normal 29 2 2 7" xfId="2438"/>
    <cellStyle name="Normal 29 2 3" xfId="2439"/>
    <cellStyle name="Normal 29 2 3 2" xfId="2440"/>
    <cellStyle name="Normal 29 2 4" xfId="2441"/>
    <cellStyle name="Normal 29 3" xfId="815"/>
    <cellStyle name="Normal 29 3 2" xfId="2442"/>
    <cellStyle name="Normal 29 4" xfId="2443"/>
    <cellStyle name="Normal 3" xfId="41"/>
    <cellStyle name="Normal 3 10" xfId="2444"/>
    <cellStyle name="Normal 3 11" xfId="2445"/>
    <cellStyle name="Normal 3 12" xfId="2446"/>
    <cellStyle name="Normal 3 12 2" xfId="2447"/>
    <cellStyle name="Normal 3 12 2 2" xfId="2448"/>
    <cellStyle name="Normal 3 12 2 2 2" xfId="2449"/>
    <cellStyle name="Normal 3 12 2 3" xfId="2450"/>
    <cellStyle name="Normal 3 12 3" xfId="2451"/>
    <cellStyle name="Normal 3 12 3 2" xfId="2452"/>
    <cellStyle name="Normal 3 12 3 2 2" xfId="2453"/>
    <cellStyle name="Normal 3 12 3 3" xfId="2454"/>
    <cellStyle name="Normal 3 12 4" xfId="2455"/>
    <cellStyle name="Normal 3 12 4 2" xfId="2456"/>
    <cellStyle name="Normal 3 12 4 2 2" xfId="2457"/>
    <cellStyle name="Normal 3 12 4 2 2 2" xfId="2458"/>
    <cellStyle name="Normal 3 12 4 2 3" xfId="2459"/>
    <cellStyle name="Normal 3 12 4 3" xfId="2460"/>
    <cellStyle name="Normal 3 12 4 3 2" xfId="2461"/>
    <cellStyle name="Normal 3 12 4 3 2 2" xfId="2462"/>
    <cellStyle name="Normal 3 12 4 3 3" xfId="2463"/>
    <cellStyle name="Normal 3 12 4 4" xfId="2464"/>
    <cellStyle name="Normal 3 12 4 4 2" xfId="2465"/>
    <cellStyle name="Normal 3 12 4 4 2 2" xfId="2466"/>
    <cellStyle name="Normal 3 12 4 4 3" xfId="2467"/>
    <cellStyle name="Normal 3 12 4 5" xfId="2468"/>
    <cellStyle name="Normal 3 12 4 5 2" xfId="2469"/>
    <cellStyle name="Normal 3 12 4 6" xfId="2470"/>
    <cellStyle name="Normal 3 12 5" xfId="2471"/>
    <cellStyle name="Normal 3 12 5 2" xfId="2472"/>
    <cellStyle name="Normal 3 12 6" xfId="2473"/>
    <cellStyle name="Normal 3 13" xfId="2474"/>
    <cellStyle name="Normal 3 14" xfId="2475"/>
    <cellStyle name="Normal 3 15" xfId="2476"/>
    <cellStyle name="Normal 3 15 2" xfId="2477"/>
    <cellStyle name="Normal 3 15 2 2" xfId="2478"/>
    <cellStyle name="Normal 3 15 3" xfId="2479"/>
    <cellStyle name="Normal 3 16" xfId="2480"/>
    <cellStyle name="Normal 3 17" xfId="2481"/>
    <cellStyle name="Normal 3 18" xfId="2482"/>
    <cellStyle name="Normal 3 18 2" xfId="2483"/>
    <cellStyle name="Normal 3 19" xfId="2484"/>
    <cellStyle name="Normal 3 2" xfId="196"/>
    <cellStyle name="Normal 3 2 2" xfId="197"/>
    <cellStyle name="Normal 3 2 2 2" xfId="2485"/>
    <cellStyle name="Normal 3 2 2 2 2" xfId="2486"/>
    <cellStyle name="Normal 3 2 2 3" xfId="2487"/>
    <cellStyle name="Normal 3 2 3" xfId="2488"/>
    <cellStyle name="Normal 3 2 3 2" xfId="2489"/>
    <cellStyle name="Normal 3 2 4" xfId="2490"/>
    <cellStyle name="Normal 3 2_ARTURO SSMC110113xls" xfId="2491"/>
    <cellStyle name="Normal 3 3" xfId="198"/>
    <cellStyle name="Normal 3 3 2" xfId="199"/>
    <cellStyle name="Normal 3 3 2 2" xfId="2492"/>
    <cellStyle name="Normal 3 3 2 2 2" xfId="2493"/>
    <cellStyle name="Normal 3 3 2 3" xfId="2494"/>
    <cellStyle name="Normal 3 3 3" xfId="2495"/>
    <cellStyle name="Normal 3 3 3 2" xfId="2496"/>
    <cellStyle name="Normal 3 3 4" xfId="2497"/>
    <cellStyle name="Normal 3 3_ARTURO SSMC110113xls" xfId="2498"/>
    <cellStyle name="Normal 3 4" xfId="200"/>
    <cellStyle name="Normal 3 4 2" xfId="2499"/>
    <cellStyle name="Normal 3 4 2 2" xfId="2500"/>
    <cellStyle name="Normal 3 4 3" xfId="2501"/>
    <cellStyle name="Normal 3 5" xfId="378"/>
    <cellStyle name="Normal 3 5 2" xfId="2502"/>
    <cellStyle name="Normal 3 5 2 2" xfId="2503"/>
    <cellStyle name="Normal 3 5 3" xfId="2504"/>
    <cellStyle name="Normal 3 6" xfId="523"/>
    <cellStyle name="Normal 3 6 2" xfId="798"/>
    <cellStyle name="Normal 3 6 2 2" xfId="2505"/>
    <cellStyle name="Normal 3 6 2 2 2" xfId="2506"/>
    <cellStyle name="Normal 3 6 2 3" xfId="2507"/>
    <cellStyle name="Normal 3 7" xfId="2508"/>
    <cellStyle name="Normal 3 7 2" xfId="2509"/>
    <cellStyle name="Normal 3 7 2 2" xfId="2510"/>
    <cellStyle name="Normal 3 7 2 2 2" xfId="2511"/>
    <cellStyle name="Normal 3 7 2 3" xfId="2512"/>
    <cellStyle name="Normal 3 7 3" xfId="2513"/>
    <cellStyle name="Normal 3 7 3 2" xfId="2514"/>
    <cellStyle name="Normal 3 7 4" xfId="2515"/>
    <cellStyle name="Normal 3 8" xfId="2516"/>
    <cellStyle name="Normal 3 9" xfId="2517"/>
    <cellStyle name="Normal 3_ARTURO SSMC110113xls" xfId="2518"/>
    <cellStyle name="Normal 30" xfId="649"/>
    <cellStyle name="Normal 30 2" xfId="820"/>
    <cellStyle name="Normal 30 2 2" xfId="2519"/>
    <cellStyle name="Normal 30 2 2 2" xfId="2520"/>
    <cellStyle name="Normal 30 2 2 2 2" xfId="2521"/>
    <cellStyle name="Normal 30 2 2 2 2 2" xfId="2522"/>
    <cellStyle name="Normal 30 2 2 2 3" xfId="2523"/>
    <cellStyle name="Normal 30 2 2 3" xfId="2524"/>
    <cellStyle name="Normal 30 2 2 3 2" xfId="2525"/>
    <cellStyle name="Normal 30 2 2 3 2 2" xfId="2526"/>
    <cellStyle name="Normal 30 2 2 3 3" xfId="2527"/>
    <cellStyle name="Normal 30 2 2 4" xfId="2528"/>
    <cellStyle name="Normal 30 2 2 4 2" xfId="2529"/>
    <cellStyle name="Normal 30 2 2 4 2 2" xfId="2530"/>
    <cellStyle name="Normal 30 2 2 4 3" xfId="2531"/>
    <cellStyle name="Normal 30 2 2 5" xfId="2532"/>
    <cellStyle name="Normal 30 2 2 5 2" xfId="2533"/>
    <cellStyle name="Normal 30 2 2 6" xfId="2534"/>
    <cellStyle name="Normal 30 2 2 7" xfId="2535"/>
    <cellStyle name="Normal 30 2 3" xfId="2536"/>
    <cellStyle name="Normal 30 2 3 2" xfId="2537"/>
    <cellStyle name="Normal 30 2 4" xfId="2538"/>
    <cellStyle name="Normal 30 3" xfId="2539"/>
    <cellStyle name="Normal 30 3 2" xfId="2540"/>
    <cellStyle name="Normal 30 4" xfId="2541"/>
    <cellStyle name="Normal 31" xfId="654"/>
    <cellStyle name="Normal 31 2" xfId="825"/>
    <cellStyle name="Normal 32" xfId="655"/>
    <cellStyle name="Normal 32 2" xfId="2542"/>
    <cellStyle name="Normal 32 2 2" xfId="2543"/>
    <cellStyle name="Normal 32 2 2 2" xfId="2544"/>
    <cellStyle name="Normal 32 2 2 2 2" xfId="2545"/>
    <cellStyle name="Normal 32 2 2 2 2 2" xfId="2546"/>
    <cellStyle name="Normal 32 2 2 2 2 2 2" xfId="2547"/>
    <cellStyle name="Normal 32 2 2 2 2 3" xfId="2548"/>
    <cellStyle name="Normal 32 2 2 2 3" xfId="2549"/>
    <cellStyle name="Normal 32 2 2 2 3 2" xfId="2550"/>
    <cellStyle name="Normal 32 2 2 2 3 2 2" xfId="2551"/>
    <cellStyle name="Normal 32 2 2 2 3 3" xfId="2552"/>
    <cellStyle name="Normal 32 2 2 2 4" xfId="2553"/>
    <cellStyle name="Normal 32 2 2 2 4 2" xfId="2554"/>
    <cellStyle name="Normal 32 2 2 2 4 2 2" xfId="2555"/>
    <cellStyle name="Normal 32 2 2 2 4 3" xfId="2556"/>
    <cellStyle name="Normal 32 2 2 2 5" xfId="2557"/>
    <cellStyle name="Normal 32 2 2 2 5 2" xfId="2558"/>
    <cellStyle name="Normal 32 2 2 2 6" xfId="2559"/>
    <cellStyle name="Normal 32 2 2 2 7" xfId="2560"/>
    <cellStyle name="Normal 32 2 2 3" xfId="2561"/>
    <cellStyle name="Normal 32 2 2 3 2" xfId="2562"/>
    <cellStyle name="Normal 32 2 2 4" xfId="2563"/>
    <cellStyle name="Normal 32 2 3" xfId="2564"/>
    <cellStyle name="Normal 32 2 3 2" xfId="2565"/>
    <cellStyle name="Normal 32 2 4" xfId="2566"/>
    <cellStyle name="Normal 32 3" xfId="2567"/>
    <cellStyle name="Normal 32 3 2" xfId="2568"/>
    <cellStyle name="Normal 32 4" xfId="2569"/>
    <cellStyle name="Normal 33" xfId="828"/>
    <cellStyle name="Normal 33 2" xfId="2570"/>
    <cellStyle name="Normal 33 2 2" xfId="2571"/>
    <cellStyle name="Normal 33 2 2 2" xfId="2572"/>
    <cellStyle name="Normal 33 2 2 2 2" xfId="2573"/>
    <cellStyle name="Normal 33 2 2 2 2 2" xfId="2574"/>
    <cellStyle name="Normal 33 2 2 2 3" xfId="2575"/>
    <cellStyle name="Normal 33 2 2 3" xfId="2576"/>
    <cellStyle name="Normal 33 2 2 3 2" xfId="2577"/>
    <cellStyle name="Normal 33 2 2 3 2 2" xfId="2578"/>
    <cellStyle name="Normal 33 2 2 3 3" xfId="2579"/>
    <cellStyle name="Normal 33 2 2 4" xfId="2580"/>
    <cellStyle name="Normal 33 2 2 4 2" xfId="2581"/>
    <cellStyle name="Normal 33 2 2 4 2 2" xfId="2582"/>
    <cellStyle name="Normal 33 2 2 4 3" xfId="2583"/>
    <cellStyle name="Normal 33 2 2 5" xfId="2584"/>
    <cellStyle name="Normal 33 2 2 5 2" xfId="2585"/>
    <cellStyle name="Normal 33 2 2 6" xfId="2586"/>
    <cellStyle name="Normal 33 2 2 6 2" xfId="2587"/>
    <cellStyle name="Normal 33 2 2 6 2 2" xfId="2588"/>
    <cellStyle name="Normal 33 2 2 7" xfId="2589"/>
    <cellStyle name="Normal 33 2 3" xfId="2590"/>
    <cellStyle name="Normal 33 2 3 2" xfId="2591"/>
    <cellStyle name="Normal 33 2 4" xfId="2592"/>
    <cellStyle name="Normal 33 3" xfId="2593"/>
    <cellStyle name="Normal 33 3 2" xfId="2594"/>
    <cellStyle name="Normal 33 4" xfId="2595"/>
    <cellStyle name="Normal 34" xfId="830"/>
    <cellStyle name="Normal 34 2" xfId="2596"/>
    <cellStyle name="Normal 34 2 2" xfId="2597"/>
    <cellStyle name="Normal 34 2 2 2" xfId="2598"/>
    <cellStyle name="Normal 34 2 2 2 2" xfId="2599"/>
    <cellStyle name="Normal 34 2 2 3" xfId="2600"/>
    <cellStyle name="Normal 34 2 3" xfId="2601"/>
    <cellStyle name="Normal 34 2 3 10" xfId="2602"/>
    <cellStyle name="Normal 34 2 3 2" xfId="2603"/>
    <cellStyle name="Normal 34 2 3 2 2" xfId="2604"/>
    <cellStyle name="Normal 34 2 3 2 2 2" xfId="2605"/>
    <cellStyle name="Normal 34 2 3 2 3" xfId="2606"/>
    <cellStyle name="Normal 34 2 3 3" xfId="2607"/>
    <cellStyle name="Normal 34 2 3 3 2" xfId="2608"/>
    <cellStyle name="Normal 34 2 3 3 2 2" xfId="2609"/>
    <cellStyle name="Normal 34 2 3 3 3" xfId="2610"/>
    <cellStyle name="Normal 34 2 3 4" xfId="2611"/>
    <cellStyle name="Normal 34 2 3 4 2" xfId="2612"/>
    <cellStyle name="Normal 34 2 3 4 2 2" xfId="2613"/>
    <cellStyle name="Normal 34 2 3 4 3" xfId="2614"/>
    <cellStyle name="Normal 34 2 3 5" xfId="2615"/>
    <cellStyle name="Normal 34 2 3 5 2" xfId="2616"/>
    <cellStyle name="Normal 34 2 3 6" xfId="2617"/>
    <cellStyle name="Normal 34 2 3 7" xfId="2618"/>
    <cellStyle name="Normal 34 2 3 8" xfId="2619"/>
    <cellStyle name="Normal 34 2 3 9" xfId="2620"/>
    <cellStyle name="Normal 34 2 4" xfId="2621"/>
    <cellStyle name="Normal 34 2 4 2" xfId="2622"/>
    <cellStyle name="Normal 34 2 5" xfId="2623"/>
    <cellStyle name="Normal 34 3" xfId="2624"/>
    <cellStyle name="Normal 34 3 2" xfId="2625"/>
    <cellStyle name="Normal 34 4" xfId="2626"/>
    <cellStyle name="Normal 35" xfId="832"/>
    <cellStyle name="Normal 35 2" xfId="2627"/>
    <cellStyle name="Normal 35 2 2" xfId="2628"/>
    <cellStyle name="Normal 35 2 2 2" xfId="2629"/>
    <cellStyle name="Normal 35 2 2 2 2" xfId="2630"/>
    <cellStyle name="Normal 35 2 2 2 2 2" xfId="2631"/>
    <cellStyle name="Normal 35 2 2 2 3" xfId="2632"/>
    <cellStyle name="Normal 35 2 2 3" xfId="2633"/>
    <cellStyle name="Normal 35 2 2 3 2" xfId="2634"/>
    <cellStyle name="Normal 35 2 2 3 2 2" xfId="2635"/>
    <cellStyle name="Normal 35 2 2 3 3" xfId="2636"/>
    <cellStyle name="Normal 35 2 2 4" xfId="2637"/>
    <cellStyle name="Normal 35 2 2 4 2" xfId="2638"/>
    <cellStyle name="Normal 35 2 2 4 2 2" xfId="2639"/>
    <cellStyle name="Normal 35 2 2 4 3" xfId="2640"/>
    <cellStyle name="Normal 35 2 2 5" xfId="2641"/>
    <cellStyle name="Normal 35 2 2 5 2" xfId="2642"/>
    <cellStyle name="Normal 35 2 2 6" xfId="2643"/>
    <cellStyle name="Normal 35 2 3" xfId="2644"/>
    <cellStyle name="Normal 35 2 3 2" xfId="2645"/>
    <cellStyle name="Normal 35 2 4" xfId="2646"/>
    <cellStyle name="Normal 35 3" xfId="2647"/>
    <cellStyle name="Normal 35 3 2" xfId="2648"/>
    <cellStyle name="Normal 35 4" xfId="2649"/>
    <cellStyle name="Normal 36" xfId="833"/>
    <cellStyle name="Normal 36 2" xfId="2650"/>
    <cellStyle name="Normal 36 2 2" xfId="2651"/>
    <cellStyle name="Normal 36 2 2 2" xfId="2652"/>
    <cellStyle name="Normal 36 2 3" xfId="2653"/>
    <cellStyle name="Normal 36 3" xfId="2654"/>
    <cellStyle name="Normal 36 3 2" xfId="2655"/>
    <cellStyle name="Normal 36 3 2 2" xfId="2656"/>
    <cellStyle name="Normal 36 3 2 2 2" xfId="2657"/>
    <cellStyle name="Normal 36 3 2 3" xfId="2658"/>
    <cellStyle name="Normal 36 3 3" xfId="2659"/>
    <cellStyle name="Normal 36 3 3 2" xfId="2660"/>
    <cellStyle name="Normal 36 3 3 2 2" xfId="2661"/>
    <cellStyle name="Normal 36 3 3 3" xfId="2662"/>
    <cellStyle name="Normal 36 3 4" xfId="2663"/>
    <cellStyle name="Normal 36 3 4 2" xfId="2664"/>
    <cellStyle name="Normal 36 3 4 2 2" xfId="2665"/>
    <cellStyle name="Normal 36 3 4 3" xfId="2666"/>
    <cellStyle name="Normal 36 3 5" xfId="2667"/>
    <cellStyle name="Normal 36 3 5 2" xfId="2668"/>
    <cellStyle name="Normal 36 3 6" xfId="2669"/>
    <cellStyle name="Normal 36 4" xfId="2670"/>
    <cellStyle name="Normal 36 4 2" xfId="2671"/>
    <cellStyle name="Normal 36 5" xfId="2672"/>
    <cellStyle name="Normal 37" xfId="836"/>
    <cellStyle name="Normal 37 2" xfId="2673"/>
    <cellStyle name="Normal 37 2 2" xfId="2674"/>
    <cellStyle name="Normal 37 2 2 2" xfId="2675"/>
    <cellStyle name="Normal 37 2 3" xfId="2676"/>
    <cellStyle name="Normal 37 3" xfId="2677"/>
    <cellStyle name="Normal 37 3 2" xfId="2678"/>
    <cellStyle name="Normal 37 3 2 2" xfId="2679"/>
    <cellStyle name="Normal 37 3 3" xfId="2680"/>
    <cellStyle name="Normal 37 4" xfId="2681"/>
    <cellStyle name="Normal 37 4 2" xfId="2682"/>
    <cellStyle name="Normal 37 4 2 2" xfId="2683"/>
    <cellStyle name="Normal 37 4 3" xfId="2684"/>
    <cellStyle name="Normal 37 5" xfId="2685"/>
    <cellStyle name="Normal 37 5 2" xfId="2686"/>
    <cellStyle name="Normal 37 5 2 2" xfId="2687"/>
    <cellStyle name="Normal 37 5 3" xfId="2688"/>
    <cellStyle name="Normal 37 6" xfId="2689"/>
    <cellStyle name="Normal 37 6 2" xfId="2690"/>
    <cellStyle name="Normal 37 7" xfId="2691"/>
    <cellStyle name="Normal 38" xfId="2692"/>
    <cellStyle name="Normal 38 2" xfId="2693"/>
    <cellStyle name="Normal 38 2 2" xfId="2694"/>
    <cellStyle name="Normal 38 2 2 2" xfId="2695"/>
    <cellStyle name="Normal 38 2 2 2 2" xfId="2696"/>
    <cellStyle name="Normal 38 2 2 3" xfId="2697"/>
    <cellStyle name="Normal 38 2 3" xfId="2698"/>
    <cellStyle name="Normal 38 2 3 2" xfId="2699"/>
    <cellStyle name="Normal 38 2 4" xfId="2700"/>
    <cellStyle name="Normal 38 3" xfId="2701"/>
    <cellStyle name="Normal 38 3 2" xfId="2702"/>
    <cellStyle name="Normal 38 4" xfId="2703"/>
    <cellStyle name="Normal 39" xfId="2704"/>
    <cellStyle name="Normal 39 2" xfId="2705"/>
    <cellStyle name="Normal 39 2 2" xfId="2706"/>
    <cellStyle name="Normal 39 3" xfId="2707"/>
    <cellStyle name="Normal 4" xfId="42"/>
    <cellStyle name="Normal 4 2" xfId="79"/>
    <cellStyle name="Normal 4 2 10" xfId="2708"/>
    <cellStyle name="Normal 4 2 10 2" xfId="2709"/>
    <cellStyle name="Normal 4 2 11" xfId="2710"/>
    <cellStyle name="Normal 4 2 2" xfId="201"/>
    <cellStyle name="Normal 4 2 2 10" xfId="2711"/>
    <cellStyle name="Normal 4 2 2 2" xfId="289"/>
    <cellStyle name="Normal 4 2 2 2 2" xfId="326"/>
    <cellStyle name="Normal 4 2 2 2 2 2" xfId="735"/>
    <cellStyle name="Normal 4 2 2 2 2 2 2" xfId="2712"/>
    <cellStyle name="Normal 4 2 2 2 2 3" xfId="2713"/>
    <cellStyle name="Normal 4 2 2 2 3" xfId="698"/>
    <cellStyle name="Normal 4 2 2 2 3 2" xfId="2714"/>
    <cellStyle name="Normal 4 2 2 2 4" xfId="2715"/>
    <cellStyle name="Normal 4 2 2 3" xfId="325"/>
    <cellStyle name="Normal 4 2 2 3 2" xfId="734"/>
    <cellStyle name="Normal 4 2 2 3 2 2" xfId="2716"/>
    <cellStyle name="Normal 4 2 2 3 2 2 2" xfId="2717"/>
    <cellStyle name="Normal 4 2 2 3 2 3" xfId="2718"/>
    <cellStyle name="Normal 4 2 2 3 3" xfId="2719"/>
    <cellStyle name="Normal 4 2 2 3 3 2" xfId="2720"/>
    <cellStyle name="Normal 4 2 2 3 4" xfId="2721"/>
    <cellStyle name="Normal 4 2 2 4" xfId="381"/>
    <cellStyle name="Normal 4 2 2 4 2" xfId="773"/>
    <cellStyle name="Normal 4 2 2 4 2 2" xfId="2722"/>
    <cellStyle name="Normal 4 2 2 4 2 2 2" xfId="2723"/>
    <cellStyle name="Normal 4 2 2 4 2 3" xfId="2724"/>
    <cellStyle name="Normal 4 2 2 4 3" xfId="2725"/>
    <cellStyle name="Normal 4 2 2 4 3 2" xfId="2726"/>
    <cellStyle name="Normal 4 2 2 4 4" xfId="2727"/>
    <cellStyle name="Normal 4 2 2 5" xfId="668"/>
    <cellStyle name="Normal 4 2 2 5 2" xfId="2728"/>
    <cellStyle name="Normal 4 2 2 5 2 2" xfId="2729"/>
    <cellStyle name="Normal 4 2 2 5 2 2 2" xfId="2730"/>
    <cellStyle name="Normal 4 2 2 5 2 3" xfId="2731"/>
    <cellStyle name="Normal 4 2 2 5 3" xfId="2732"/>
    <cellStyle name="Normal 4 2 2 5 3 2" xfId="2733"/>
    <cellStyle name="Normal 4 2 2 5 4" xfId="2734"/>
    <cellStyle name="Normal 4 2 2 6" xfId="2735"/>
    <cellStyle name="Normal 4 2 2 6 2" xfId="2736"/>
    <cellStyle name="Normal 4 2 2 6 2 2" xfId="2737"/>
    <cellStyle name="Normal 4 2 2 6 2 2 2" xfId="2738"/>
    <cellStyle name="Normal 4 2 2 6 2 3" xfId="2739"/>
    <cellStyle name="Normal 4 2 2 6 3" xfId="2740"/>
    <cellStyle name="Normal 4 2 2 6 3 2" xfId="2741"/>
    <cellStyle name="Normal 4 2 2 6 4" xfId="2742"/>
    <cellStyle name="Normal 4 2 2 7" xfId="2743"/>
    <cellStyle name="Normal 4 2 2 7 2" xfId="2744"/>
    <cellStyle name="Normal 4 2 2 7 2 2" xfId="2745"/>
    <cellStyle name="Normal 4 2 2 7 2 2 2" xfId="2746"/>
    <cellStyle name="Normal 4 2 2 7 2 3" xfId="2747"/>
    <cellStyle name="Normal 4 2 2 7 3" xfId="2748"/>
    <cellStyle name="Normal 4 2 2 7 3 2" xfId="2749"/>
    <cellStyle name="Normal 4 2 2 7 4" xfId="2750"/>
    <cellStyle name="Normal 4 2 2 8" xfId="2751"/>
    <cellStyle name="Normal 4 2 2 8 2" xfId="2752"/>
    <cellStyle name="Normal 4 2 2 8 2 2" xfId="2753"/>
    <cellStyle name="Normal 4 2 2 8 3" xfId="2754"/>
    <cellStyle name="Normal 4 2 2 9" xfId="2755"/>
    <cellStyle name="Normal 4 2 2 9 2" xfId="2756"/>
    <cellStyle name="Normal 4 2 3" xfId="283"/>
    <cellStyle name="Normal 4 2 3 2" xfId="327"/>
    <cellStyle name="Normal 4 2 3 2 2" xfId="736"/>
    <cellStyle name="Normal 4 2 3 2 2 2" xfId="2757"/>
    <cellStyle name="Normal 4 2 3 2 3" xfId="2758"/>
    <cellStyle name="Normal 4 2 3 3" xfId="692"/>
    <cellStyle name="Normal 4 2 3 3 2" xfId="2759"/>
    <cellStyle name="Normal 4 2 3 4" xfId="2760"/>
    <cellStyle name="Normal 4 2 4" xfId="324"/>
    <cellStyle name="Normal 4 2 4 2" xfId="733"/>
    <cellStyle name="Normal 4 2 4 2 2" xfId="2761"/>
    <cellStyle name="Normal 4 2 4 2 2 2" xfId="2762"/>
    <cellStyle name="Normal 4 2 4 2 3" xfId="2763"/>
    <cellStyle name="Normal 4 2 4 3" xfId="2764"/>
    <cellStyle name="Normal 4 2 4 3 2" xfId="2765"/>
    <cellStyle name="Normal 4 2 4 4" xfId="2766"/>
    <cellStyle name="Normal 4 2 5" xfId="380"/>
    <cellStyle name="Normal 4 2 5 2" xfId="772"/>
    <cellStyle name="Normal 4 2 5 2 2" xfId="2767"/>
    <cellStyle name="Normal 4 2 5 2 2 2" xfId="2768"/>
    <cellStyle name="Normal 4 2 5 2 3" xfId="2769"/>
    <cellStyle name="Normal 4 2 5 3" xfId="2770"/>
    <cellStyle name="Normal 4 2 5 3 2" xfId="2771"/>
    <cellStyle name="Normal 4 2 5 4" xfId="2772"/>
    <cellStyle name="Normal 4 2 6" xfId="662"/>
    <cellStyle name="Normal 4 2 6 2" xfId="2773"/>
    <cellStyle name="Normal 4 2 6 2 2" xfId="2774"/>
    <cellStyle name="Normal 4 2 6 2 2 2" xfId="2775"/>
    <cellStyle name="Normal 4 2 6 2 3" xfId="2776"/>
    <cellStyle name="Normal 4 2 6 3" xfId="2777"/>
    <cellStyle name="Normal 4 2 6 3 2" xfId="2778"/>
    <cellStyle name="Normal 4 2 6 4" xfId="2779"/>
    <cellStyle name="Normal 4 2 7" xfId="2780"/>
    <cellStyle name="Normal 4 2 7 2" xfId="2781"/>
    <cellStyle name="Normal 4 2 7 2 2" xfId="2782"/>
    <cellStyle name="Normal 4 2 7 2 2 2" xfId="2783"/>
    <cellStyle name="Normal 4 2 7 2 3" xfId="2784"/>
    <cellStyle name="Normal 4 2 7 3" xfId="2785"/>
    <cellStyle name="Normal 4 2 7 3 2" xfId="2786"/>
    <cellStyle name="Normal 4 2 7 4" xfId="2787"/>
    <cellStyle name="Normal 4 2 8" xfId="2788"/>
    <cellStyle name="Normal 4 2 8 2" xfId="2789"/>
    <cellStyle name="Normal 4 2 8 2 2" xfId="2790"/>
    <cellStyle name="Normal 4 2 8 2 2 2" xfId="2791"/>
    <cellStyle name="Normal 4 2 8 2 3" xfId="2792"/>
    <cellStyle name="Normal 4 2 8 3" xfId="2793"/>
    <cellStyle name="Normal 4 2 8 3 2" xfId="2794"/>
    <cellStyle name="Normal 4 2 8 4" xfId="2795"/>
    <cellStyle name="Normal 4 2 9" xfId="2796"/>
    <cellStyle name="Normal 4 2 9 2" xfId="2797"/>
    <cellStyle name="Normal 4 2 9 2 2" xfId="2798"/>
    <cellStyle name="Normal 4 2 9 3" xfId="2799"/>
    <cellStyle name="Normal 4 2_ARTURO SSMC110113xls" xfId="2800"/>
    <cellStyle name="Normal 4 3" xfId="202"/>
    <cellStyle name="Normal 4 3 10" xfId="2801"/>
    <cellStyle name="Normal 4 3 2" xfId="290"/>
    <cellStyle name="Normal 4 3 2 2" xfId="329"/>
    <cellStyle name="Normal 4 3 2 2 2" xfId="738"/>
    <cellStyle name="Normal 4 3 2 2 2 2" xfId="2802"/>
    <cellStyle name="Normal 4 3 2 2 3" xfId="2803"/>
    <cellStyle name="Normal 4 3 2 3" xfId="699"/>
    <cellStyle name="Normal 4 3 2 3 2" xfId="2804"/>
    <cellStyle name="Normal 4 3 2 4" xfId="2805"/>
    <cellStyle name="Normal 4 3 3" xfId="328"/>
    <cellStyle name="Normal 4 3 3 2" xfId="737"/>
    <cellStyle name="Normal 4 3 3 2 2" xfId="2806"/>
    <cellStyle name="Normal 4 3 3 2 2 2" xfId="2807"/>
    <cellStyle name="Normal 4 3 3 2 3" xfId="2808"/>
    <cellStyle name="Normal 4 3 3 3" xfId="2809"/>
    <cellStyle name="Normal 4 3 3 3 2" xfId="2810"/>
    <cellStyle name="Normal 4 3 3 4" xfId="2811"/>
    <cellStyle name="Normal 4 3 4" xfId="382"/>
    <cellStyle name="Normal 4 3 4 2" xfId="774"/>
    <cellStyle name="Normal 4 3 4 2 2" xfId="2812"/>
    <cellStyle name="Normal 4 3 4 2 2 2" xfId="2813"/>
    <cellStyle name="Normal 4 3 4 2 3" xfId="2814"/>
    <cellStyle name="Normal 4 3 4 3" xfId="2815"/>
    <cellStyle name="Normal 4 3 4 3 2" xfId="2816"/>
    <cellStyle name="Normal 4 3 4 4" xfId="2817"/>
    <cellStyle name="Normal 4 3 5" xfId="669"/>
    <cellStyle name="Normal 4 3 5 2" xfId="2818"/>
    <cellStyle name="Normal 4 3 5 2 2" xfId="2819"/>
    <cellStyle name="Normal 4 3 5 2 2 2" xfId="2820"/>
    <cellStyle name="Normal 4 3 5 2 3" xfId="2821"/>
    <cellStyle name="Normal 4 3 5 3" xfId="2822"/>
    <cellStyle name="Normal 4 3 5 3 2" xfId="2823"/>
    <cellStyle name="Normal 4 3 5 4" xfId="2824"/>
    <cellStyle name="Normal 4 3 6" xfId="2825"/>
    <cellStyle name="Normal 4 3 6 2" xfId="2826"/>
    <cellStyle name="Normal 4 3 6 2 2" xfId="2827"/>
    <cellStyle name="Normal 4 3 6 2 2 2" xfId="2828"/>
    <cellStyle name="Normal 4 3 6 2 3" xfId="2829"/>
    <cellStyle name="Normal 4 3 6 3" xfId="2830"/>
    <cellStyle name="Normal 4 3 6 3 2" xfId="2831"/>
    <cellStyle name="Normal 4 3 6 4" xfId="2832"/>
    <cellStyle name="Normal 4 3 7" xfId="2833"/>
    <cellStyle name="Normal 4 3 7 2" xfId="2834"/>
    <cellStyle name="Normal 4 3 7 2 2" xfId="2835"/>
    <cellStyle name="Normal 4 3 7 2 2 2" xfId="2836"/>
    <cellStyle name="Normal 4 3 7 2 3" xfId="2837"/>
    <cellStyle name="Normal 4 3 7 3" xfId="2838"/>
    <cellStyle name="Normal 4 3 7 3 2" xfId="2839"/>
    <cellStyle name="Normal 4 3 7 4" xfId="2840"/>
    <cellStyle name="Normal 4 3 8" xfId="2841"/>
    <cellStyle name="Normal 4 3 8 2" xfId="2842"/>
    <cellStyle name="Normal 4 3 8 2 2" xfId="2843"/>
    <cellStyle name="Normal 4 3 8 3" xfId="2844"/>
    <cellStyle name="Normal 4 3 9" xfId="2845"/>
    <cellStyle name="Normal 4 3 9 2" xfId="2846"/>
    <cellStyle name="Normal 4 4" xfId="230"/>
    <cellStyle name="Normal 4 4 10" xfId="2847"/>
    <cellStyle name="Normal 4 4 2" xfId="330"/>
    <cellStyle name="Normal 4 4 2 2" xfId="739"/>
    <cellStyle name="Normal 4 4 2 2 2" xfId="2848"/>
    <cellStyle name="Normal 4 4 2 2 2 2" xfId="2849"/>
    <cellStyle name="Normal 4 4 2 2 3" xfId="2850"/>
    <cellStyle name="Normal 4 4 2 3" xfId="2851"/>
    <cellStyle name="Normal 4 4 2 3 2" xfId="2852"/>
    <cellStyle name="Normal 4 4 2 4" xfId="2853"/>
    <cellStyle name="Normal 4 4 3" xfId="379"/>
    <cellStyle name="Normal 4 4 3 2" xfId="771"/>
    <cellStyle name="Normal 4 4 3 2 2" xfId="2854"/>
    <cellStyle name="Normal 4 4 3 2 2 2" xfId="2855"/>
    <cellStyle name="Normal 4 4 3 2 3" xfId="2856"/>
    <cellStyle name="Normal 4 4 3 3" xfId="2857"/>
    <cellStyle name="Normal 4 4 3 3 2" xfId="2858"/>
    <cellStyle name="Normal 4 4 3 4" xfId="2859"/>
    <cellStyle name="Normal 4 4 4" xfId="680"/>
    <cellStyle name="Normal 4 4 4 2" xfId="2860"/>
    <cellStyle name="Normal 4 4 4 2 2" xfId="2861"/>
    <cellStyle name="Normal 4 4 4 2 2 2" xfId="2862"/>
    <cellStyle name="Normal 4 4 4 2 3" xfId="2863"/>
    <cellStyle name="Normal 4 4 4 3" xfId="2864"/>
    <cellStyle name="Normal 4 4 4 3 2" xfId="2865"/>
    <cellStyle name="Normal 4 4 4 4" xfId="2866"/>
    <cellStyle name="Normal 4 4 5" xfId="2867"/>
    <cellStyle name="Normal 4 4 5 2" xfId="2868"/>
    <cellStyle name="Normal 4 4 5 2 2" xfId="2869"/>
    <cellStyle name="Normal 4 4 5 2 2 2" xfId="2870"/>
    <cellStyle name="Normal 4 4 5 2 3" xfId="2871"/>
    <cellStyle name="Normal 4 4 5 3" xfId="2872"/>
    <cellStyle name="Normal 4 4 5 3 2" xfId="2873"/>
    <cellStyle name="Normal 4 4 5 4" xfId="2874"/>
    <cellStyle name="Normal 4 4 6" xfId="2875"/>
    <cellStyle name="Normal 4 4 6 2" xfId="2876"/>
    <cellStyle name="Normal 4 4 6 2 2" xfId="2877"/>
    <cellStyle name="Normal 4 4 6 2 2 2" xfId="2878"/>
    <cellStyle name="Normal 4 4 6 2 3" xfId="2879"/>
    <cellStyle name="Normal 4 4 6 3" xfId="2880"/>
    <cellStyle name="Normal 4 4 6 3 2" xfId="2881"/>
    <cellStyle name="Normal 4 4 6 4" xfId="2882"/>
    <cellStyle name="Normal 4 4 7" xfId="2883"/>
    <cellStyle name="Normal 4 4 7 2" xfId="2884"/>
    <cellStyle name="Normal 4 4 7 2 2" xfId="2885"/>
    <cellStyle name="Normal 4 4 7 2 2 2" xfId="2886"/>
    <cellStyle name="Normal 4 4 7 2 3" xfId="2887"/>
    <cellStyle name="Normal 4 4 7 3" xfId="2888"/>
    <cellStyle name="Normal 4 4 7 3 2" xfId="2889"/>
    <cellStyle name="Normal 4 4 7 4" xfId="2890"/>
    <cellStyle name="Normal 4 4 8" xfId="2891"/>
    <cellStyle name="Normal 4 4 8 2" xfId="2892"/>
    <cellStyle name="Normal 4 4 8 2 2" xfId="2893"/>
    <cellStyle name="Normal 4 4 8 3" xfId="2894"/>
    <cellStyle name="Normal 4 4 9" xfId="2895"/>
    <cellStyle name="Normal 4 4 9 2" xfId="2896"/>
    <cellStyle name="Normal 4 5" xfId="228"/>
    <cellStyle name="Normal 4 6" xfId="323"/>
    <cellStyle name="Normal 4 6 2" xfId="422"/>
    <cellStyle name="Normal 4 6 3" xfId="732"/>
    <cellStyle name="Normal 4 7" xfId="639"/>
    <cellStyle name="Normal 4 7 2" xfId="810"/>
    <cellStyle name="Normal 4 8" xfId="641"/>
    <cellStyle name="Normal 4 8 2" xfId="812"/>
    <cellStyle name="Normal 4 9" xfId="656"/>
    <cellStyle name="Normal 4_Evolución de becas SEP-UAM-PRONABES" xfId="2897"/>
    <cellStyle name="Normal 40" xfId="2898"/>
    <cellStyle name="Normal 40 2" xfId="2899"/>
    <cellStyle name="Normal 40 2 2" xfId="2900"/>
    <cellStyle name="Normal 40 3" xfId="2901"/>
    <cellStyle name="Normal 41" xfId="829"/>
    <cellStyle name="Normal 41 2" xfId="2902"/>
    <cellStyle name="Normal 42" xfId="2903"/>
    <cellStyle name="Normal 42 2" xfId="2904"/>
    <cellStyle name="Normal 43" xfId="2905"/>
    <cellStyle name="Normal 43 2" xfId="2906"/>
    <cellStyle name="Normal 44" xfId="2907"/>
    <cellStyle name="Normal 45" xfId="2908"/>
    <cellStyle name="Normal 46" xfId="2909"/>
    <cellStyle name="Normal 47" xfId="2910"/>
    <cellStyle name="Normal 48" xfId="2911"/>
    <cellStyle name="Normal 49" xfId="2912"/>
    <cellStyle name="Normal 5" xfId="43"/>
    <cellStyle name="Normal 5 2" xfId="266"/>
    <cellStyle name="Normal 5 3" xfId="383"/>
    <cellStyle name="Normal 5 4" xfId="2913"/>
    <cellStyle name="Normal 5_Evolución de becas SEP-UAM-PRONABES" xfId="2914"/>
    <cellStyle name="Normal 50" xfId="2915"/>
    <cellStyle name="Normal 51" xfId="2916"/>
    <cellStyle name="Normal 52" xfId="2917"/>
    <cellStyle name="Normal 53" xfId="2918"/>
    <cellStyle name="Normal 54" xfId="2919"/>
    <cellStyle name="Normal 55" xfId="2920"/>
    <cellStyle name="Normal 56" xfId="2921"/>
    <cellStyle name="Normal 57" xfId="2922"/>
    <cellStyle name="Normal 58" xfId="2923"/>
    <cellStyle name="Normal 59" xfId="2924"/>
    <cellStyle name="Normal 6" xfId="72"/>
    <cellStyle name="Normal 6 2" xfId="203"/>
    <cellStyle name="Normal 6 2 2" xfId="204"/>
    <cellStyle name="Normal 6 2 2 2" xfId="2925"/>
    <cellStyle name="Normal 6 2 2 2 2" xfId="2926"/>
    <cellStyle name="Normal 6 2 2 3" xfId="2927"/>
    <cellStyle name="Normal 6 2 3" xfId="2928"/>
    <cellStyle name="Normal 6 2 3 2" xfId="2929"/>
    <cellStyle name="Normal 6 2 4" xfId="2930"/>
    <cellStyle name="Normal 6 2_ARTURO SSMC110113xls" xfId="2931"/>
    <cellStyle name="Normal 6 3" xfId="205"/>
    <cellStyle name="Normal 6 3 2" xfId="206"/>
    <cellStyle name="Normal 6 3 2 2" xfId="2932"/>
    <cellStyle name="Normal 6 3 2 2 2" xfId="2933"/>
    <cellStyle name="Normal 6 3 2 3" xfId="2934"/>
    <cellStyle name="Normal 6 3 3" xfId="2935"/>
    <cellStyle name="Normal 6 3 3 2" xfId="2936"/>
    <cellStyle name="Normal 6 3 4" xfId="2937"/>
    <cellStyle name="Normal 6 3_ARTURO SSMC110113xls" xfId="2938"/>
    <cellStyle name="Normal 6 4" xfId="207"/>
    <cellStyle name="Normal 6 4 2" xfId="2939"/>
    <cellStyle name="Normal 6 4 2 2" xfId="2940"/>
    <cellStyle name="Normal 6 4 3" xfId="2941"/>
    <cellStyle name="Normal 6 5" xfId="2942"/>
    <cellStyle name="Normal 6 5 2" xfId="2943"/>
    <cellStyle name="Normal 6 6" xfId="2944"/>
    <cellStyle name="Normal 6_ARTURO SSMC110113xls" xfId="2945"/>
    <cellStyle name="Normal 60" xfId="2946"/>
    <cellStyle name="Normal 61" xfId="2947"/>
    <cellStyle name="Normal 62" xfId="2948"/>
    <cellStyle name="Normal 63" xfId="2949"/>
    <cellStyle name="Normal 64" xfId="2950"/>
    <cellStyle name="Normal 65" xfId="2951"/>
    <cellStyle name="Normal 66" xfId="2952"/>
    <cellStyle name="Normal 67" xfId="2953"/>
    <cellStyle name="Normal 68" xfId="2954"/>
    <cellStyle name="Normal 69" xfId="2955"/>
    <cellStyle name="Normal 7" xfId="73"/>
    <cellStyle name="Normal 7 10" xfId="2956"/>
    <cellStyle name="Normal 7 10 2" xfId="2957"/>
    <cellStyle name="Normal 7 11" xfId="2958"/>
    <cellStyle name="Normal 7 2" xfId="208"/>
    <cellStyle name="Normal 7 2 10" xfId="2959"/>
    <cellStyle name="Normal 7 2 2" xfId="291"/>
    <cellStyle name="Normal 7 2 2 2" xfId="333"/>
    <cellStyle name="Normal 7 2 2 2 2" xfId="742"/>
    <cellStyle name="Normal 7 2 2 2 2 2" xfId="2960"/>
    <cellStyle name="Normal 7 2 2 2 3" xfId="2961"/>
    <cellStyle name="Normal 7 2 2 3" xfId="700"/>
    <cellStyle name="Normal 7 2 2 3 2" xfId="2962"/>
    <cellStyle name="Normal 7 2 2 4" xfId="2963"/>
    <cellStyle name="Normal 7 2 3" xfId="332"/>
    <cellStyle name="Normal 7 2 3 2" xfId="741"/>
    <cellStyle name="Normal 7 2 3 2 2" xfId="2964"/>
    <cellStyle name="Normal 7 2 3 2 2 2" xfId="2965"/>
    <cellStyle name="Normal 7 2 3 2 3" xfId="2966"/>
    <cellStyle name="Normal 7 2 3 3" xfId="2967"/>
    <cellStyle name="Normal 7 2 3 3 2" xfId="2968"/>
    <cellStyle name="Normal 7 2 3 4" xfId="2969"/>
    <cellStyle name="Normal 7 2 4" xfId="385"/>
    <cellStyle name="Normal 7 2 4 2" xfId="776"/>
    <cellStyle name="Normal 7 2 4 2 2" xfId="2970"/>
    <cellStyle name="Normal 7 2 4 2 2 2" xfId="2971"/>
    <cellStyle name="Normal 7 2 4 2 3" xfId="2972"/>
    <cellStyle name="Normal 7 2 4 3" xfId="2973"/>
    <cellStyle name="Normal 7 2 4 3 2" xfId="2974"/>
    <cellStyle name="Normal 7 2 4 4" xfId="2975"/>
    <cellStyle name="Normal 7 2 5" xfId="670"/>
    <cellStyle name="Normal 7 2 5 2" xfId="2976"/>
    <cellStyle name="Normal 7 2 5 2 2" xfId="2977"/>
    <cellStyle name="Normal 7 2 5 2 2 2" xfId="2978"/>
    <cellStyle name="Normal 7 2 5 2 3" xfId="2979"/>
    <cellStyle name="Normal 7 2 5 3" xfId="2980"/>
    <cellStyle name="Normal 7 2 5 3 2" xfId="2981"/>
    <cellStyle name="Normal 7 2 5 4" xfId="2982"/>
    <cellStyle name="Normal 7 2 6" xfId="2983"/>
    <cellStyle name="Normal 7 2 6 2" xfId="2984"/>
    <cellStyle name="Normal 7 2 6 2 2" xfId="2985"/>
    <cellStyle name="Normal 7 2 6 2 2 2" xfId="2986"/>
    <cellStyle name="Normal 7 2 6 2 3" xfId="2987"/>
    <cellStyle name="Normal 7 2 6 3" xfId="2988"/>
    <cellStyle name="Normal 7 2 6 3 2" xfId="2989"/>
    <cellStyle name="Normal 7 2 6 4" xfId="2990"/>
    <cellStyle name="Normal 7 2 7" xfId="2991"/>
    <cellStyle name="Normal 7 2 7 2" xfId="2992"/>
    <cellStyle name="Normal 7 2 7 2 2" xfId="2993"/>
    <cellStyle name="Normal 7 2 7 2 2 2" xfId="2994"/>
    <cellStyle name="Normal 7 2 7 2 3" xfId="2995"/>
    <cellStyle name="Normal 7 2 7 3" xfId="2996"/>
    <cellStyle name="Normal 7 2 7 3 2" xfId="2997"/>
    <cellStyle name="Normal 7 2 7 4" xfId="2998"/>
    <cellStyle name="Normal 7 2 8" xfId="2999"/>
    <cellStyle name="Normal 7 2 8 2" xfId="3000"/>
    <cellStyle name="Normal 7 2 8 2 2" xfId="3001"/>
    <cellStyle name="Normal 7 2 8 3" xfId="3002"/>
    <cellStyle name="Normal 7 2 9" xfId="3003"/>
    <cellStyle name="Normal 7 2 9 2" xfId="3004"/>
    <cellStyle name="Normal 7 3" xfId="278"/>
    <cellStyle name="Normal 7 3 2" xfId="334"/>
    <cellStyle name="Normal 7 3 2 2" xfId="743"/>
    <cellStyle name="Normal 7 3 2 2 2" xfId="3005"/>
    <cellStyle name="Normal 7 3 2 3" xfId="3006"/>
    <cellStyle name="Normal 7 3 3" xfId="687"/>
    <cellStyle name="Normal 7 3 3 2" xfId="3007"/>
    <cellStyle name="Normal 7 3 4" xfId="3008"/>
    <cellStyle name="Normal 7 4" xfId="331"/>
    <cellStyle name="Normal 7 4 2" xfId="740"/>
    <cellStyle name="Normal 7 4 2 2" xfId="3009"/>
    <cellStyle name="Normal 7 4 2 2 2" xfId="3010"/>
    <cellStyle name="Normal 7 4 2 3" xfId="3011"/>
    <cellStyle name="Normal 7 4 3" xfId="3012"/>
    <cellStyle name="Normal 7 4 3 2" xfId="3013"/>
    <cellStyle name="Normal 7 4 4" xfId="3014"/>
    <cellStyle name="Normal 7 5" xfId="384"/>
    <cellStyle name="Normal 7 5 2" xfId="775"/>
    <cellStyle name="Normal 7 5 2 2" xfId="3015"/>
    <cellStyle name="Normal 7 5 2 2 2" xfId="3016"/>
    <cellStyle name="Normal 7 5 2 3" xfId="3017"/>
    <cellStyle name="Normal 7 5 3" xfId="3018"/>
    <cellStyle name="Normal 7 5 3 2" xfId="3019"/>
    <cellStyle name="Normal 7 5 4" xfId="3020"/>
    <cellStyle name="Normal 7 6" xfId="642"/>
    <cellStyle name="Normal 7 6 2" xfId="813"/>
    <cellStyle name="Normal 7 6 2 2" xfId="3021"/>
    <cellStyle name="Normal 7 6 2 2 2" xfId="3022"/>
    <cellStyle name="Normal 7 6 2 3" xfId="3023"/>
    <cellStyle name="Normal 7 6 3" xfId="3024"/>
    <cellStyle name="Normal 7 6 3 2" xfId="3025"/>
    <cellStyle name="Normal 7 6 4" xfId="3026"/>
    <cellStyle name="Normal 7 7" xfId="657"/>
    <cellStyle name="Normal 7 7 2" xfId="3027"/>
    <cellStyle name="Normal 7 7 2 2" xfId="3028"/>
    <cellStyle name="Normal 7 7 2 2 2" xfId="3029"/>
    <cellStyle name="Normal 7 7 2 3" xfId="3030"/>
    <cellStyle name="Normal 7 7 3" xfId="3031"/>
    <cellStyle name="Normal 7 7 3 2" xfId="3032"/>
    <cellStyle name="Normal 7 7 4" xfId="3033"/>
    <cellStyle name="Normal 7 8" xfId="3034"/>
    <cellStyle name="Normal 7 8 2" xfId="3035"/>
    <cellStyle name="Normal 7 8 2 2" xfId="3036"/>
    <cellStyle name="Normal 7 8 2 2 2" xfId="3037"/>
    <cellStyle name="Normal 7 8 2 3" xfId="3038"/>
    <cellStyle name="Normal 7 8 3" xfId="3039"/>
    <cellStyle name="Normal 7 8 3 2" xfId="3040"/>
    <cellStyle name="Normal 7 8 4" xfId="3041"/>
    <cellStyle name="Normal 7 9" xfId="3042"/>
    <cellStyle name="Normal 7 9 2" xfId="3043"/>
    <cellStyle name="Normal 7 9 2 2" xfId="3044"/>
    <cellStyle name="Normal 7 9 3" xfId="3045"/>
    <cellStyle name="Normal 7_ARTURO SSMC110113xls" xfId="3046"/>
    <cellStyle name="Normal 70" xfId="3047"/>
    <cellStyle name="Normal 71" xfId="3048"/>
    <cellStyle name="Normal 72" xfId="3049"/>
    <cellStyle name="Normal 73" xfId="3050"/>
    <cellStyle name="Normal 74" xfId="3051"/>
    <cellStyle name="Normal 75" xfId="3052"/>
    <cellStyle name="Normal 76" xfId="3053"/>
    <cellStyle name="Normal 77" xfId="3054"/>
    <cellStyle name="Normal 78" xfId="3055"/>
    <cellStyle name="Normal 79" xfId="3056"/>
    <cellStyle name="Normal 8" xfId="74"/>
    <cellStyle name="Normal 8 2" xfId="209"/>
    <cellStyle name="Normal 8 2 10" xfId="3057"/>
    <cellStyle name="Normal 8 2 2" xfId="292"/>
    <cellStyle name="Normal 8 2 2 2" xfId="337"/>
    <cellStyle name="Normal 8 2 2 2 2" xfId="746"/>
    <cellStyle name="Normal 8 2 2 2 2 2" xfId="3058"/>
    <cellStyle name="Normal 8 2 2 2 3" xfId="3059"/>
    <cellStyle name="Normal 8 2 2 3" xfId="701"/>
    <cellStyle name="Normal 8 2 2 3 2" xfId="3060"/>
    <cellStyle name="Normal 8 2 2 4" xfId="3061"/>
    <cellStyle name="Normal 8 2 3" xfId="336"/>
    <cellStyle name="Normal 8 2 3 2" xfId="745"/>
    <cellStyle name="Normal 8 2 3 2 2" xfId="3062"/>
    <cellStyle name="Normal 8 2 3 2 2 2" xfId="3063"/>
    <cellStyle name="Normal 8 2 3 2 3" xfId="3064"/>
    <cellStyle name="Normal 8 2 3 3" xfId="3065"/>
    <cellStyle name="Normal 8 2 3 3 2" xfId="3066"/>
    <cellStyle name="Normal 8 2 3 4" xfId="3067"/>
    <cellStyle name="Normal 8 2 4" xfId="387"/>
    <cellStyle name="Normal 8 2 4 2" xfId="777"/>
    <cellStyle name="Normal 8 2 4 2 2" xfId="3068"/>
    <cellStyle name="Normal 8 2 4 2 2 2" xfId="3069"/>
    <cellStyle name="Normal 8 2 4 2 3" xfId="3070"/>
    <cellStyle name="Normal 8 2 4 3" xfId="3071"/>
    <cellStyle name="Normal 8 2 4 3 2" xfId="3072"/>
    <cellStyle name="Normal 8 2 4 4" xfId="3073"/>
    <cellStyle name="Normal 8 2 5" xfId="671"/>
    <cellStyle name="Normal 8 2 5 2" xfId="3074"/>
    <cellStyle name="Normal 8 2 5 2 2" xfId="3075"/>
    <cellStyle name="Normal 8 2 5 2 2 2" xfId="3076"/>
    <cellStyle name="Normal 8 2 5 2 3" xfId="3077"/>
    <cellStyle name="Normal 8 2 5 3" xfId="3078"/>
    <cellStyle name="Normal 8 2 5 3 2" xfId="3079"/>
    <cellStyle name="Normal 8 2 5 4" xfId="3080"/>
    <cellStyle name="Normal 8 2 6" xfId="3081"/>
    <cellStyle name="Normal 8 2 6 2" xfId="3082"/>
    <cellStyle name="Normal 8 2 6 2 2" xfId="3083"/>
    <cellStyle name="Normal 8 2 6 2 2 2" xfId="3084"/>
    <cellStyle name="Normal 8 2 6 2 3" xfId="3085"/>
    <cellStyle name="Normal 8 2 6 3" xfId="3086"/>
    <cellStyle name="Normal 8 2 6 3 2" xfId="3087"/>
    <cellStyle name="Normal 8 2 6 4" xfId="3088"/>
    <cellStyle name="Normal 8 2 7" xfId="3089"/>
    <cellStyle name="Normal 8 2 7 2" xfId="3090"/>
    <cellStyle name="Normal 8 2 7 2 2" xfId="3091"/>
    <cellStyle name="Normal 8 2 7 2 2 2" xfId="3092"/>
    <cellStyle name="Normal 8 2 7 2 3" xfId="3093"/>
    <cellStyle name="Normal 8 2 7 3" xfId="3094"/>
    <cellStyle name="Normal 8 2 7 3 2" xfId="3095"/>
    <cellStyle name="Normal 8 2 7 4" xfId="3096"/>
    <cellStyle name="Normal 8 2 8" xfId="3097"/>
    <cellStyle name="Normal 8 2 8 2" xfId="3098"/>
    <cellStyle name="Normal 8 2 8 2 2" xfId="3099"/>
    <cellStyle name="Normal 8 2 8 3" xfId="3100"/>
    <cellStyle name="Normal 8 2 9" xfId="3101"/>
    <cellStyle name="Normal 8 2 9 2" xfId="3102"/>
    <cellStyle name="Normal 8 3" xfId="279"/>
    <cellStyle name="Normal 8 3 2" xfId="338"/>
    <cellStyle name="Normal 8 3 2 2" xfId="747"/>
    <cellStyle name="Normal 8 3 3" xfId="405"/>
    <cellStyle name="Normal 8 3 4" xfId="688"/>
    <cellStyle name="Normal 8 4" xfId="335"/>
    <cellStyle name="Normal 8 4 2" xfId="744"/>
    <cellStyle name="Normal 8 5" xfId="386"/>
    <cellStyle name="Normal 8 6" xfId="638"/>
    <cellStyle name="Normal 8 6 2" xfId="809"/>
    <cellStyle name="Normal 8 7" xfId="658"/>
    <cellStyle name="Normal 8_Evolución de becas SEP-UAM-PRONABES" xfId="3103"/>
    <cellStyle name="Normal 80" xfId="3104"/>
    <cellStyle name="Normal 81" xfId="3105"/>
    <cellStyle name="Normal 82" xfId="3106"/>
    <cellStyle name="Normal 83" xfId="3107"/>
    <cellStyle name="Normal 84" xfId="3108"/>
    <cellStyle name="Normal 85" xfId="3109"/>
    <cellStyle name="Normal 86" xfId="3110"/>
    <cellStyle name="Normal 87" xfId="3111"/>
    <cellStyle name="Normal 88" xfId="3112"/>
    <cellStyle name="Normal 89" xfId="3113"/>
    <cellStyle name="Normal 9" xfId="75"/>
    <cellStyle name="Normal 9 10" xfId="3114"/>
    <cellStyle name="Normal 9 10 2" xfId="652"/>
    <cellStyle name="Normal 9 10 2 2" xfId="823"/>
    <cellStyle name="Normal 9 11" xfId="653"/>
    <cellStyle name="Normal 9 11 2" xfId="824"/>
    <cellStyle name="Normal 9 2" xfId="210"/>
    <cellStyle name="Normal 9 2 10" xfId="3115"/>
    <cellStyle name="Normal 9 2 2" xfId="293"/>
    <cellStyle name="Normal 9 2 2 2" xfId="341"/>
    <cellStyle name="Normal 9 2 2 2 2" xfId="750"/>
    <cellStyle name="Normal 9 2 2 2 2 2" xfId="3116"/>
    <cellStyle name="Normal 9 2 2 2 3" xfId="3117"/>
    <cellStyle name="Normal 9 2 2 3" xfId="702"/>
    <cellStyle name="Normal 9 2 2 3 2" xfId="3118"/>
    <cellStyle name="Normal 9 2 2 4" xfId="3119"/>
    <cellStyle name="Normal 9 2 3" xfId="340"/>
    <cellStyle name="Normal 9 2 3 2" xfId="749"/>
    <cellStyle name="Normal 9 2 3 2 2" xfId="3120"/>
    <cellStyle name="Normal 9 2 3 2 2 2" xfId="3121"/>
    <cellStyle name="Normal 9 2 3 2 3" xfId="3122"/>
    <cellStyle name="Normal 9 2 3 3" xfId="3123"/>
    <cellStyle name="Normal 9 2 3 3 2" xfId="3124"/>
    <cellStyle name="Normal 9 2 3 4" xfId="3125"/>
    <cellStyle name="Normal 9 2 4" xfId="389"/>
    <cellStyle name="Normal 9 2 4 2" xfId="778"/>
    <cellStyle name="Normal 9 2 4 2 2" xfId="3126"/>
    <cellStyle name="Normal 9 2 4 2 2 2" xfId="3127"/>
    <cellStyle name="Normal 9 2 4 2 3" xfId="3128"/>
    <cellStyle name="Normal 9 2 4 3" xfId="3129"/>
    <cellStyle name="Normal 9 2 4 3 2" xfId="3130"/>
    <cellStyle name="Normal 9 2 4 4" xfId="3131"/>
    <cellStyle name="Normal 9 2 5" xfId="672"/>
    <cellStyle name="Normal 9 2 5 2" xfId="3132"/>
    <cellStyle name="Normal 9 2 5 2 2" xfId="3133"/>
    <cellStyle name="Normal 9 2 5 2 2 2" xfId="3134"/>
    <cellStyle name="Normal 9 2 5 2 3" xfId="3135"/>
    <cellStyle name="Normal 9 2 5 3" xfId="3136"/>
    <cellStyle name="Normal 9 2 5 3 2" xfId="3137"/>
    <cellStyle name="Normal 9 2 5 4" xfId="3138"/>
    <cellStyle name="Normal 9 2 6" xfId="3139"/>
    <cellStyle name="Normal 9 2 6 2" xfId="3140"/>
    <cellStyle name="Normal 9 2 6 2 2" xfId="3141"/>
    <cellStyle name="Normal 9 2 6 2 2 2" xfId="3142"/>
    <cellStyle name="Normal 9 2 6 2 3" xfId="3143"/>
    <cellStyle name="Normal 9 2 6 3" xfId="3144"/>
    <cellStyle name="Normal 9 2 6 3 2" xfId="3145"/>
    <cellStyle name="Normal 9 2 6 4" xfId="3146"/>
    <cellStyle name="Normal 9 2 7" xfId="3147"/>
    <cellStyle name="Normal 9 2 7 2" xfId="3148"/>
    <cellStyle name="Normal 9 2 7 2 2" xfId="3149"/>
    <cellStyle name="Normal 9 2 7 2 2 2" xfId="3150"/>
    <cellStyle name="Normal 9 2 7 2 3" xfId="3151"/>
    <cellStyle name="Normal 9 2 7 3" xfId="3152"/>
    <cellStyle name="Normal 9 2 7 3 2" xfId="3153"/>
    <cellStyle name="Normal 9 2 7 4" xfId="3154"/>
    <cellStyle name="Normal 9 2 8" xfId="3155"/>
    <cellStyle name="Normal 9 2 8 2" xfId="3156"/>
    <cellStyle name="Normal 9 2 8 2 2" xfId="3157"/>
    <cellStyle name="Normal 9 2 8 3" xfId="3158"/>
    <cellStyle name="Normal 9 2 9" xfId="3159"/>
    <cellStyle name="Normal 9 2 9 2" xfId="3160"/>
    <cellStyle name="Normal 9 3" xfId="280"/>
    <cellStyle name="Normal 9 3 2" xfId="342"/>
    <cellStyle name="Normal 9 3 2 2" xfId="751"/>
    <cellStyle name="Normal 9 3 3" xfId="406"/>
    <cellStyle name="Normal 9 3 4" xfId="689"/>
    <cellStyle name="Normal 9 4" xfId="339"/>
    <cellStyle name="Normal 9 4 2" xfId="524"/>
    <cellStyle name="Normal 9 4 2 2" xfId="799"/>
    <cellStyle name="Normal 9 4 3" xfId="748"/>
    <cellStyle name="Normal 9 4 7" xfId="3161"/>
    <cellStyle name="Normal 9 5" xfId="388"/>
    <cellStyle name="Normal 9 6" xfId="659"/>
    <cellStyle name="Normal 9_Evolución de becas SEP-UAM-PRONABES" xfId="3162"/>
    <cellStyle name="Normal 90" xfId="3163"/>
    <cellStyle name="Normal 91" xfId="3164"/>
    <cellStyle name="Normal 92" xfId="3165"/>
    <cellStyle name="Normal 93" xfId="3166"/>
    <cellStyle name="Normal 94" xfId="3167"/>
    <cellStyle name="Normal 95" xfId="3168"/>
    <cellStyle name="Normal 96" xfId="3169"/>
    <cellStyle name="Normal 97" xfId="3170"/>
    <cellStyle name="Normal 98" xfId="3171"/>
    <cellStyle name="Normal 99" xfId="3172"/>
    <cellStyle name="Normal_10" xfId="835"/>
    <cellStyle name="Normal_16 EGRESO-HIST" xfId="44"/>
    <cellStyle name="Normal_2 Excelencia_plan" xfId="834"/>
    <cellStyle name="Normal_ACADÉMICOS 2003-2007 v2" xfId="45"/>
    <cellStyle name="Normal_activos" xfId="46"/>
    <cellStyle name="Normal_activos_1" xfId="47"/>
    <cellStyle name="Normal_EGRESO Y ESGREO ACUMULADO" xfId="48"/>
    <cellStyle name="Normal_ESTADÍSTICA OTOÑO ok" xfId="49"/>
    <cellStyle name="Normal_Hoja1" xfId="50"/>
    <cellStyle name="Normal_Hoja1 2" xfId="462"/>
    <cellStyle name="Normal_Hoja1_1" xfId="51"/>
    <cellStyle name="Normal_Hoja2" xfId="52"/>
    <cellStyle name="Normal_Hoja2 2" xfId="463"/>
    <cellStyle name="Normal_Hoja2_1" xfId="53"/>
    <cellStyle name="Normal_Hoja3" xfId="54"/>
    <cellStyle name="Normal_IPRIMAVERAok" xfId="55"/>
    <cellStyle name="Normal_Posgrados evaluados 2007 2" xfId="826"/>
    <cellStyle name="Notas" xfId="56" builtinId="10" customBuiltin="1"/>
    <cellStyle name="Notas 2" xfId="211"/>
    <cellStyle name="Notas 2 2" xfId="407"/>
    <cellStyle name="Notas 2 2 2" xfId="423"/>
    <cellStyle name="Notas 2 2 2 2" xfId="442"/>
    <cellStyle name="Notas 2 2 2 2 10" xfId="3173"/>
    <cellStyle name="Notas 2 2 2 2 11" xfId="3174"/>
    <cellStyle name="Notas 2 2 2 2 12" xfId="3175"/>
    <cellStyle name="Notas 2 2 2 2 2" xfId="525"/>
    <cellStyle name="Notas 2 2 2 2 2 2" xfId="3176"/>
    <cellStyle name="Notas 2 2 2 2 2 3" xfId="3177"/>
    <cellStyle name="Notas 2 2 2 2 2 4" xfId="3178"/>
    <cellStyle name="Notas 2 2 2 2 2 5" xfId="3179"/>
    <cellStyle name="Notas 2 2 2 2 3" xfId="526"/>
    <cellStyle name="Notas 2 2 2 2 3 2" xfId="3180"/>
    <cellStyle name="Notas 2 2 2 2 3 3" xfId="3181"/>
    <cellStyle name="Notas 2 2 2 2 3 4" xfId="3182"/>
    <cellStyle name="Notas 2 2 2 2 3 5" xfId="3183"/>
    <cellStyle name="Notas 2 2 2 2 4" xfId="527"/>
    <cellStyle name="Notas 2 2 2 2 4 2" xfId="3184"/>
    <cellStyle name="Notas 2 2 2 2 4 3" xfId="3185"/>
    <cellStyle name="Notas 2 2 2 2 4 4" xfId="3186"/>
    <cellStyle name="Notas 2 2 2 2 4 5" xfId="3187"/>
    <cellStyle name="Notas 2 2 2 2 5" xfId="528"/>
    <cellStyle name="Notas 2 2 2 2 5 2" xfId="3188"/>
    <cellStyle name="Notas 2 2 2 2 5 3" xfId="3189"/>
    <cellStyle name="Notas 2 2 2 2 5 4" xfId="3190"/>
    <cellStyle name="Notas 2 2 2 2 5 5" xfId="3191"/>
    <cellStyle name="Notas 2 2 2 2 6" xfId="529"/>
    <cellStyle name="Notas 2 2 2 2 6 2" xfId="3192"/>
    <cellStyle name="Notas 2 2 2 2 6 3" xfId="3193"/>
    <cellStyle name="Notas 2 2 2 2 6 4" xfId="3194"/>
    <cellStyle name="Notas 2 2 2 2 6 5" xfId="3195"/>
    <cellStyle name="Notas 2 2 2 2 7" xfId="530"/>
    <cellStyle name="Notas 2 2 2 2 7 2" xfId="3196"/>
    <cellStyle name="Notas 2 2 2 2 7 3" xfId="3197"/>
    <cellStyle name="Notas 2 2 2 2 7 4" xfId="3198"/>
    <cellStyle name="Notas 2 2 2 2 7 5" xfId="3199"/>
    <cellStyle name="Notas 2 2 2 2 8" xfId="531"/>
    <cellStyle name="Notas 2 2 2 2 8 2" xfId="3200"/>
    <cellStyle name="Notas 2 2 2 2 8 3" xfId="3201"/>
    <cellStyle name="Notas 2 2 2 2 8 4" xfId="3202"/>
    <cellStyle name="Notas 2 2 2 2 8 5" xfId="3203"/>
    <cellStyle name="Notas 2 2 2 2 9" xfId="3204"/>
    <cellStyle name="Notas 2 2 2 3" xfId="532"/>
    <cellStyle name="Notas 2 2 2 3 2" xfId="3205"/>
    <cellStyle name="Notas 2 2 2 3 3" xfId="3206"/>
    <cellStyle name="Notas 2 2 2 3 4" xfId="3207"/>
    <cellStyle name="Notas 2 2 2 3 5" xfId="3208"/>
    <cellStyle name="Notas 2 2 2 4" xfId="533"/>
    <cellStyle name="Notas 2 2 2 4 2" xfId="3209"/>
    <cellStyle name="Notas 2 2 2 4 3" xfId="3210"/>
    <cellStyle name="Notas 2 2 2 4 4" xfId="3211"/>
    <cellStyle name="Notas 2 2 2 4 5" xfId="3212"/>
    <cellStyle name="Notas 2 2 2 5" xfId="534"/>
    <cellStyle name="Notas 2 2 2 5 2" xfId="3213"/>
    <cellStyle name="Notas 2 2 2 5 3" xfId="3214"/>
    <cellStyle name="Notas 2 2 2 5 4" xfId="3215"/>
    <cellStyle name="Notas 2 2 2 5 5" xfId="3216"/>
    <cellStyle name="Notas 2 2 2 6" xfId="535"/>
    <cellStyle name="Notas 2 2 2 6 2" xfId="3217"/>
    <cellStyle name="Notas 2 2 2 6 3" xfId="3218"/>
    <cellStyle name="Notas 2 2 2 6 4" xfId="3219"/>
    <cellStyle name="Notas 2 2 2 6 5" xfId="3220"/>
    <cellStyle name="Notas 2 2 2 7" xfId="3221"/>
    <cellStyle name="Notas 2 2 3" xfId="437"/>
    <cellStyle name="Notas 2 2 3 2" xfId="536"/>
    <cellStyle name="Notas 2 2 3 2 2" xfId="3222"/>
    <cellStyle name="Notas 2 2 3 2 3" xfId="3223"/>
    <cellStyle name="Notas 2 2 3 2 4" xfId="3224"/>
    <cellStyle name="Notas 2 2 3 2 5" xfId="3225"/>
    <cellStyle name="Notas 2 2 3 3" xfId="537"/>
    <cellStyle name="Notas 2 2 3 3 2" xfId="3226"/>
    <cellStyle name="Notas 2 2 3 3 3" xfId="3227"/>
    <cellStyle name="Notas 2 2 3 3 4" xfId="3228"/>
    <cellStyle name="Notas 2 2 3 3 5" xfId="3229"/>
    <cellStyle name="Notas 2 2 3 4" xfId="538"/>
    <cellStyle name="Notas 2 2 3 4 2" xfId="3230"/>
    <cellStyle name="Notas 2 2 3 4 3" xfId="3231"/>
    <cellStyle name="Notas 2 2 3 4 4" xfId="3232"/>
    <cellStyle name="Notas 2 2 3 4 5" xfId="3233"/>
    <cellStyle name="Notas 2 2 3 5" xfId="539"/>
    <cellStyle name="Notas 2 2 3 5 2" xfId="3234"/>
    <cellStyle name="Notas 2 2 3 5 3" xfId="3235"/>
    <cellStyle name="Notas 2 2 3 5 4" xfId="3236"/>
    <cellStyle name="Notas 2 2 3 5 5" xfId="3237"/>
    <cellStyle name="Notas 2 2 3 6" xfId="540"/>
    <cellStyle name="Notas 2 2 3 6 2" xfId="3238"/>
    <cellStyle name="Notas 2 2 3 6 3" xfId="3239"/>
    <cellStyle name="Notas 2 2 3 6 4" xfId="3240"/>
    <cellStyle name="Notas 2 2 3 6 5" xfId="3241"/>
    <cellStyle name="Notas 2 2 3 7" xfId="541"/>
    <cellStyle name="Notas 2 2 3 7 2" xfId="3242"/>
    <cellStyle name="Notas 2 2 3 7 3" xfId="3243"/>
    <cellStyle name="Notas 2 2 3 7 4" xfId="3244"/>
    <cellStyle name="Notas 2 2 3 7 5" xfId="3245"/>
    <cellStyle name="Notas 2 2 3 8" xfId="542"/>
    <cellStyle name="Notas 2 2 3 8 2" xfId="3246"/>
    <cellStyle name="Notas 2 2 3 8 3" xfId="3247"/>
    <cellStyle name="Notas 2 2 3 8 4" xfId="3248"/>
    <cellStyle name="Notas 2 2 3 8 5" xfId="3249"/>
    <cellStyle name="Notas 2 2 3 9" xfId="3250"/>
    <cellStyle name="Notas 2 2 4" xfId="543"/>
    <cellStyle name="Notas 2 2 4 2" xfId="3251"/>
    <cellStyle name="Notas 2 2 4 3" xfId="3252"/>
    <cellStyle name="Notas 2 2 4 4" xfId="3253"/>
    <cellStyle name="Notas 2 2 4 5" xfId="3254"/>
    <cellStyle name="Notas 2 2 5" xfId="544"/>
    <cellStyle name="Notas 2 2 5 2" xfId="3255"/>
    <cellStyle name="Notas 2 2 5 3" xfId="3256"/>
    <cellStyle name="Notas 2 2 5 4" xfId="3257"/>
    <cellStyle name="Notas 2 2 5 5" xfId="3258"/>
    <cellStyle name="Notas 2 2 6" xfId="545"/>
    <cellStyle name="Notas 2 2 6 2" xfId="3259"/>
    <cellStyle name="Notas 2 2 6 3" xfId="3260"/>
    <cellStyle name="Notas 2 2 6 4" xfId="3261"/>
    <cellStyle name="Notas 2 2 6 5" xfId="3262"/>
    <cellStyle name="Notas 2 2 7" xfId="3263"/>
    <cellStyle name="Notas 2 3" xfId="424"/>
    <cellStyle name="Notas 2 3 2" xfId="443"/>
    <cellStyle name="Notas 2 3 2 10" xfId="3264"/>
    <cellStyle name="Notas 2 3 2 11" xfId="3265"/>
    <cellStyle name="Notas 2 3 2 12" xfId="3266"/>
    <cellStyle name="Notas 2 3 2 2" xfId="546"/>
    <cellStyle name="Notas 2 3 2 2 2" xfId="3267"/>
    <cellStyle name="Notas 2 3 2 2 3" xfId="3268"/>
    <cellStyle name="Notas 2 3 2 2 4" xfId="3269"/>
    <cellStyle name="Notas 2 3 2 2 5" xfId="3270"/>
    <cellStyle name="Notas 2 3 2 3" xfId="547"/>
    <cellStyle name="Notas 2 3 2 3 2" xfId="3271"/>
    <cellStyle name="Notas 2 3 2 3 3" xfId="3272"/>
    <cellStyle name="Notas 2 3 2 3 4" xfId="3273"/>
    <cellStyle name="Notas 2 3 2 3 5" xfId="3274"/>
    <cellStyle name="Notas 2 3 2 4" xfId="548"/>
    <cellStyle name="Notas 2 3 2 4 2" xfId="3275"/>
    <cellStyle name="Notas 2 3 2 4 3" xfId="3276"/>
    <cellStyle name="Notas 2 3 2 4 4" xfId="3277"/>
    <cellStyle name="Notas 2 3 2 4 5" xfId="3278"/>
    <cellStyle name="Notas 2 3 2 5" xfId="549"/>
    <cellStyle name="Notas 2 3 2 5 2" xfId="3279"/>
    <cellStyle name="Notas 2 3 2 5 3" xfId="3280"/>
    <cellStyle name="Notas 2 3 2 5 4" xfId="3281"/>
    <cellStyle name="Notas 2 3 2 5 5" xfId="3282"/>
    <cellStyle name="Notas 2 3 2 6" xfId="550"/>
    <cellStyle name="Notas 2 3 2 6 2" xfId="3283"/>
    <cellStyle name="Notas 2 3 2 6 3" xfId="3284"/>
    <cellStyle name="Notas 2 3 2 6 4" xfId="3285"/>
    <cellStyle name="Notas 2 3 2 6 5" xfId="3286"/>
    <cellStyle name="Notas 2 3 2 7" xfId="551"/>
    <cellStyle name="Notas 2 3 2 7 2" xfId="3287"/>
    <cellStyle name="Notas 2 3 2 7 3" xfId="3288"/>
    <cellStyle name="Notas 2 3 2 7 4" xfId="3289"/>
    <cellStyle name="Notas 2 3 2 7 5" xfId="3290"/>
    <cellStyle name="Notas 2 3 2 8" xfId="552"/>
    <cellStyle name="Notas 2 3 2 8 2" xfId="3291"/>
    <cellStyle name="Notas 2 3 2 8 3" xfId="3292"/>
    <cellStyle name="Notas 2 3 2 8 4" xfId="3293"/>
    <cellStyle name="Notas 2 3 2 8 5" xfId="3294"/>
    <cellStyle name="Notas 2 3 2 9" xfId="3295"/>
    <cellStyle name="Notas 2 3 3" xfId="553"/>
    <cellStyle name="Notas 2 3 3 2" xfId="3296"/>
    <cellStyle name="Notas 2 3 3 3" xfId="3297"/>
    <cellStyle name="Notas 2 3 3 4" xfId="3298"/>
    <cellStyle name="Notas 2 3 3 5" xfId="3299"/>
    <cellStyle name="Notas 2 3 4" xfId="554"/>
    <cellStyle name="Notas 2 3 4 2" xfId="3300"/>
    <cellStyle name="Notas 2 3 4 3" xfId="3301"/>
    <cellStyle name="Notas 2 3 4 4" xfId="3302"/>
    <cellStyle name="Notas 2 3 4 5" xfId="3303"/>
    <cellStyle name="Notas 2 3 5" xfId="555"/>
    <cellStyle name="Notas 2 3 5 2" xfId="3304"/>
    <cellStyle name="Notas 2 3 5 3" xfId="3305"/>
    <cellStyle name="Notas 2 3 5 4" xfId="3306"/>
    <cellStyle name="Notas 2 3 5 5" xfId="3307"/>
    <cellStyle name="Notas 2 3 6" xfId="556"/>
    <cellStyle name="Notas 2 3 6 2" xfId="3308"/>
    <cellStyle name="Notas 2 3 6 3" xfId="3309"/>
    <cellStyle name="Notas 2 3 6 4" xfId="3310"/>
    <cellStyle name="Notas 2 3 6 5" xfId="3311"/>
    <cellStyle name="Notas 2 3 7" xfId="3312"/>
    <cellStyle name="Notas 2 4" xfId="434"/>
    <cellStyle name="Notas 2 4 2" xfId="557"/>
    <cellStyle name="Notas 2 4 2 2" xfId="3313"/>
    <cellStyle name="Notas 2 4 2 3" xfId="3314"/>
    <cellStyle name="Notas 2 4 2 4" xfId="3315"/>
    <cellStyle name="Notas 2 4 2 5" xfId="3316"/>
    <cellStyle name="Notas 2 4 3" xfId="558"/>
    <cellStyle name="Notas 2 4 3 2" xfId="3317"/>
    <cellStyle name="Notas 2 4 3 3" xfId="3318"/>
    <cellStyle name="Notas 2 4 3 4" xfId="3319"/>
    <cellStyle name="Notas 2 4 3 5" xfId="3320"/>
    <cellStyle name="Notas 2 4 4" xfId="559"/>
    <cellStyle name="Notas 2 4 4 2" xfId="3321"/>
    <cellStyle name="Notas 2 4 4 3" xfId="3322"/>
    <cellStyle name="Notas 2 4 4 4" xfId="3323"/>
    <cellStyle name="Notas 2 4 4 5" xfId="3324"/>
    <cellStyle name="Notas 2 4 5" xfId="560"/>
    <cellStyle name="Notas 2 4 5 2" xfId="3325"/>
    <cellStyle name="Notas 2 4 5 3" xfId="3326"/>
    <cellStyle name="Notas 2 4 5 4" xfId="3327"/>
    <cellStyle name="Notas 2 4 5 5" xfId="3328"/>
    <cellStyle name="Notas 2 4 6" xfId="561"/>
    <cellStyle name="Notas 2 4 6 2" xfId="3329"/>
    <cellStyle name="Notas 2 4 6 3" xfId="3330"/>
    <cellStyle name="Notas 2 4 6 4" xfId="3331"/>
    <cellStyle name="Notas 2 4 6 5" xfId="3332"/>
    <cellStyle name="Notas 2 4 7" xfId="562"/>
    <cellStyle name="Notas 2 4 7 2" xfId="3333"/>
    <cellStyle name="Notas 2 4 7 3" xfId="3334"/>
    <cellStyle name="Notas 2 4 7 4" xfId="3335"/>
    <cellStyle name="Notas 2 4 7 5" xfId="3336"/>
    <cellStyle name="Notas 2 4 8" xfId="563"/>
    <cellStyle name="Notas 2 4 8 2" xfId="3337"/>
    <cellStyle name="Notas 2 4 8 3" xfId="3338"/>
    <cellStyle name="Notas 2 4 8 4" xfId="3339"/>
    <cellStyle name="Notas 2 4 8 5" xfId="3340"/>
    <cellStyle name="Notas 2 4 9" xfId="3341"/>
    <cellStyle name="Notas 2 5" xfId="564"/>
    <cellStyle name="Notas 2 5 2" xfId="3342"/>
    <cellStyle name="Notas 2 5 3" xfId="3343"/>
    <cellStyle name="Notas 2 5 4" xfId="3344"/>
    <cellStyle name="Notas 2 5 5" xfId="3345"/>
    <cellStyle name="Notas 2 6" xfId="565"/>
    <cellStyle name="Notas 2 6 2" xfId="3346"/>
    <cellStyle name="Notas 2 6 3" xfId="3347"/>
    <cellStyle name="Notas 2 6 4" xfId="3348"/>
    <cellStyle name="Notas 2 6 5" xfId="3349"/>
    <cellStyle name="Notas 2 7" xfId="566"/>
    <cellStyle name="Notas 2 7 2" xfId="3350"/>
    <cellStyle name="Notas 2 7 3" xfId="3351"/>
    <cellStyle name="Notas 2 7 4" xfId="3352"/>
    <cellStyle name="Notas 2 7 5" xfId="3353"/>
    <cellStyle name="Notas 2 8" xfId="3354"/>
    <cellStyle name="Notas 3" xfId="267"/>
    <cellStyle name="Notas 3 2" xfId="684"/>
    <cellStyle name="Notas 4" xfId="3355"/>
    <cellStyle name="Percent" xfId="390"/>
    <cellStyle name="Percent 2" xfId="3356"/>
    <cellStyle name="Percent 2 2" xfId="3357"/>
    <cellStyle name="Percent 3" xfId="3358"/>
    <cellStyle name="Porcentaje" xfId="57" builtinId="5"/>
    <cellStyle name="Porcentaje 2" xfId="453"/>
    <cellStyle name="Porcentaje 2 2" xfId="787"/>
    <cellStyle name="Porcentaje 2 2 2" xfId="3359"/>
    <cellStyle name="Porcentaje 2 2 2 2" xfId="3360"/>
    <cellStyle name="Porcentaje 2 2 2 2 2" xfId="3361"/>
    <cellStyle name="Porcentaje 2 2 2 3" xfId="3362"/>
    <cellStyle name="Porcentaje 2 2 3" xfId="3363"/>
    <cellStyle name="Porcentaje 2 2 3 2" xfId="3364"/>
    <cellStyle name="Porcentaje 2 2 3 2 2" xfId="3365"/>
    <cellStyle name="Porcentaje 2 2 3 2 2 2" xfId="3366"/>
    <cellStyle name="Porcentaje 2 2 3 2 2 2 2" xfId="3367"/>
    <cellStyle name="Porcentaje 2 2 3 2 2 2 2 2" xfId="3368"/>
    <cellStyle name="Porcentaje 2 2 3 2 2 2 3" xfId="3369"/>
    <cellStyle name="Porcentaje 2 2 3 2 2 3" xfId="3370"/>
    <cellStyle name="Porcentaje 2 2 3 2 2 3 2" xfId="3371"/>
    <cellStyle name="Porcentaje 2 2 3 2 2 3 2 2" xfId="3372"/>
    <cellStyle name="Porcentaje 2 2 3 2 2 3 3" xfId="3373"/>
    <cellStyle name="Porcentaje 2 2 3 2 2 4" xfId="3374"/>
    <cellStyle name="Porcentaje 2 2 3 2 2 4 2" xfId="3375"/>
    <cellStyle name="Porcentaje 2 2 3 2 2 4 2 2" xfId="3376"/>
    <cellStyle name="Porcentaje 2 2 3 2 2 4 3" xfId="3377"/>
    <cellStyle name="Porcentaje 2 2 3 2 2 5" xfId="3378"/>
    <cellStyle name="Porcentaje 2 2 3 2 2 5 2" xfId="3379"/>
    <cellStyle name="Porcentaje 2 2 3 2 2 6" xfId="3380"/>
    <cellStyle name="Porcentaje 2 2 3 2 3" xfId="3381"/>
    <cellStyle name="Porcentaje 2 2 3 2 3 2" xfId="3382"/>
    <cellStyle name="Porcentaje 2 2 3 2 4" xfId="3383"/>
    <cellStyle name="Porcentaje 2 2 3 3" xfId="3384"/>
    <cellStyle name="Porcentaje 2 2 3 3 2" xfId="3385"/>
    <cellStyle name="Porcentaje 2 2 3 4" xfId="3386"/>
    <cellStyle name="Porcentaje 2 2 4" xfId="3387"/>
    <cellStyle name="Porcentaje 2 2 4 2" xfId="3388"/>
    <cellStyle name="Porcentaje 2 2 5" xfId="3389"/>
    <cellStyle name="Porcentaje 2 2 6" xfId="3390"/>
    <cellStyle name="Porcentaje 2 3" xfId="3391"/>
    <cellStyle name="Porcentaje 3" xfId="454"/>
    <cellStyle name="Porcentaje 3 2" xfId="455"/>
    <cellStyle name="Porcentaje 3 2 2" xfId="789"/>
    <cellStyle name="Porcentaje 3 2 2 2" xfId="3392"/>
    <cellStyle name="Porcentaje 3 2 3" xfId="3393"/>
    <cellStyle name="Porcentaje 3 3" xfId="788"/>
    <cellStyle name="Porcentaje 3 3 2" xfId="3394"/>
    <cellStyle name="Porcentaje 3 4" xfId="3395"/>
    <cellStyle name="Porcentaje 4" xfId="456"/>
    <cellStyle name="Porcentaje 4 2" xfId="790"/>
    <cellStyle name="Porcentaje 4 2 2" xfId="3396"/>
    <cellStyle name="Porcentaje 4 2 2 2" xfId="3397"/>
    <cellStyle name="Porcentaje 4 2 3" xfId="3398"/>
    <cellStyle name="Porcentaje 4 3" xfId="3399"/>
    <cellStyle name="Porcentaje 4 3 2" xfId="3400"/>
    <cellStyle name="Porcentaje 4 3 2 2" xfId="3401"/>
    <cellStyle name="Porcentaje 4 3 3" xfId="3402"/>
    <cellStyle name="Porcentaje 4 4" xfId="3403"/>
    <cellStyle name="Porcentaje 4 4 2" xfId="3404"/>
    <cellStyle name="Porcentaje 4 4 2 2" xfId="3405"/>
    <cellStyle name="Porcentaje 4 4 2 2 2" xfId="3406"/>
    <cellStyle name="Porcentaje 4 4 2 3" xfId="3407"/>
    <cellStyle name="Porcentaje 4 4 3" xfId="3408"/>
    <cellStyle name="Porcentaje 4 4 3 2" xfId="3409"/>
    <cellStyle name="Porcentaje 4 4 4" xfId="3410"/>
    <cellStyle name="Porcentaje 4 5" xfId="3411"/>
    <cellStyle name="Porcentaje 4 5 2" xfId="3412"/>
    <cellStyle name="Porcentaje 4 6" xfId="3413"/>
    <cellStyle name="Porcentaje 5" xfId="461"/>
    <cellStyle name="Porcentaje 6" xfId="634"/>
    <cellStyle name="Porcentaje 6 2" xfId="805"/>
    <cellStyle name="Porcentaje 7" xfId="637"/>
    <cellStyle name="Porcentaje 7 2" xfId="808"/>
    <cellStyle name="Porcentaje 8" xfId="645"/>
    <cellStyle name="Porcentaje 8 2" xfId="647"/>
    <cellStyle name="Porcentaje 8 2 2" xfId="818"/>
    <cellStyle name="Porcentaje 8 3" xfId="816"/>
    <cellStyle name="Porcentaje 9" xfId="837"/>
    <cellStyle name="Porcentual 10" xfId="391"/>
    <cellStyle name="Porcentual 10 10" xfId="3414"/>
    <cellStyle name="Porcentual 10 2" xfId="567"/>
    <cellStyle name="Porcentual 10 2 2" xfId="3415"/>
    <cellStyle name="Porcentual 10 3" xfId="779"/>
    <cellStyle name="Porcentual 10 3 2" xfId="3416"/>
    <cellStyle name="Porcentual 10 3 2 2" xfId="3417"/>
    <cellStyle name="Porcentual 10 3 2 2 2" xfId="3418"/>
    <cellStyle name="Porcentual 10 3 2 3" xfId="3419"/>
    <cellStyle name="Porcentual 10 3 3" xfId="3420"/>
    <cellStyle name="Porcentual 10 3 3 2" xfId="3421"/>
    <cellStyle name="Porcentual 10 3 4" xfId="3422"/>
    <cellStyle name="Porcentual 10 4" xfId="3423"/>
    <cellStyle name="Porcentual 10 4 2" xfId="3424"/>
    <cellStyle name="Porcentual 10 4 2 2" xfId="3425"/>
    <cellStyle name="Porcentual 10 4 2 2 2" xfId="3426"/>
    <cellStyle name="Porcentual 10 4 2 3" xfId="3427"/>
    <cellStyle name="Porcentual 10 4 3" xfId="3428"/>
    <cellStyle name="Porcentual 10 4 3 2" xfId="3429"/>
    <cellStyle name="Porcentual 10 4 4" xfId="3430"/>
    <cellStyle name="Porcentual 10 5" xfId="3431"/>
    <cellStyle name="Porcentual 10 5 2" xfId="3432"/>
    <cellStyle name="Porcentual 10 5 2 2" xfId="3433"/>
    <cellStyle name="Porcentual 10 5 2 2 2" xfId="3434"/>
    <cellStyle name="Porcentual 10 5 2 3" xfId="3435"/>
    <cellStyle name="Porcentual 10 5 3" xfId="3436"/>
    <cellStyle name="Porcentual 10 5 3 2" xfId="3437"/>
    <cellStyle name="Porcentual 10 5 4" xfId="3438"/>
    <cellStyle name="Porcentual 10 6" xfId="3439"/>
    <cellStyle name="Porcentual 10 6 2" xfId="3440"/>
    <cellStyle name="Porcentual 10 6 2 2" xfId="3441"/>
    <cellStyle name="Porcentual 10 6 2 2 2" xfId="3442"/>
    <cellStyle name="Porcentual 10 6 2 3" xfId="3443"/>
    <cellStyle name="Porcentual 10 6 3" xfId="3444"/>
    <cellStyle name="Porcentual 10 6 3 2" xfId="3445"/>
    <cellStyle name="Porcentual 10 6 4" xfId="3446"/>
    <cellStyle name="Porcentual 10 7" xfId="3447"/>
    <cellStyle name="Porcentual 10 7 2" xfId="3448"/>
    <cellStyle name="Porcentual 10 7 2 2" xfId="3449"/>
    <cellStyle name="Porcentual 10 7 2 2 2" xfId="3450"/>
    <cellStyle name="Porcentual 10 7 2 3" xfId="3451"/>
    <cellStyle name="Porcentual 10 7 3" xfId="3452"/>
    <cellStyle name="Porcentual 10 7 3 2" xfId="3453"/>
    <cellStyle name="Porcentual 10 7 4" xfId="3454"/>
    <cellStyle name="Porcentual 10 8" xfId="3455"/>
    <cellStyle name="Porcentual 10 8 2" xfId="3456"/>
    <cellStyle name="Porcentual 10 8 2 2" xfId="3457"/>
    <cellStyle name="Porcentual 10 8 3" xfId="3458"/>
    <cellStyle name="Porcentual 10 9" xfId="3459"/>
    <cellStyle name="Porcentual 10 9 2" xfId="3460"/>
    <cellStyle name="Porcentual 11" xfId="425"/>
    <cellStyle name="Porcentual 11 2" xfId="568"/>
    <cellStyle name="Porcentual 2" xfId="70"/>
    <cellStyle name="Porcentual 2 2" xfId="408"/>
    <cellStyle name="Porcentual 3" xfId="80"/>
    <cellStyle name="Porcentual 3 2" xfId="212"/>
    <cellStyle name="Porcentual 3 2 10" xfId="3461"/>
    <cellStyle name="Porcentual 3 2 2" xfId="294"/>
    <cellStyle name="Porcentual 3 2 2 2" xfId="345"/>
    <cellStyle name="Porcentual 3 2 2 2 2" xfId="754"/>
    <cellStyle name="Porcentual 3 2 2 3" xfId="703"/>
    <cellStyle name="Porcentual 3 2 3" xfId="344"/>
    <cellStyle name="Porcentual 3 2 3 2" xfId="753"/>
    <cellStyle name="Porcentual 3 2 3 2 2" xfId="3462"/>
    <cellStyle name="Porcentual 3 2 3 2 2 2" xfId="3463"/>
    <cellStyle name="Porcentual 3 2 3 2 3" xfId="3464"/>
    <cellStyle name="Porcentual 3 2 3 3" xfId="3465"/>
    <cellStyle name="Porcentual 3 2 3 3 2" xfId="3466"/>
    <cellStyle name="Porcentual 3 2 3 4" xfId="3467"/>
    <cellStyle name="Porcentual 3 2 4" xfId="393"/>
    <cellStyle name="Porcentual 3 2 4 2" xfId="780"/>
    <cellStyle name="Porcentual 3 2 4 2 2" xfId="3468"/>
    <cellStyle name="Porcentual 3 2 4 2 2 2" xfId="3469"/>
    <cellStyle name="Porcentual 3 2 4 2 3" xfId="3470"/>
    <cellStyle name="Porcentual 3 2 4 3" xfId="3471"/>
    <cellStyle name="Porcentual 3 2 4 3 2" xfId="3472"/>
    <cellStyle name="Porcentual 3 2 4 4" xfId="3473"/>
    <cellStyle name="Porcentual 3 2 5" xfId="673"/>
    <cellStyle name="Porcentual 3 2 5 2" xfId="3474"/>
    <cellStyle name="Porcentual 3 2 5 2 2" xfId="3475"/>
    <cellStyle name="Porcentual 3 2 5 2 2 2" xfId="3476"/>
    <cellStyle name="Porcentual 3 2 5 2 3" xfId="3477"/>
    <cellStyle name="Porcentual 3 2 5 3" xfId="3478"/>
    <cellStyle name="Porcentual 3 2 5 3 2" xfId="3479"/>
    <cellStyle name="Porcentual 3 2 5 4" xfId="3480"/>
    <cellStyle name="Porcentual 3 2 6" xfId="3481"/>
    <cellStyle name="Porcentual 3 2 6 2" xfId="3482"/>
    <cellStyle name="Porcentual 3 2 6 2 2" xfId="3483"/>
    <cellStyle name="Porcentual 3 2 6 2 2 2" xfId="3484"/>
    <cellStyle name="Porcentual 3 2 6 2 3" xfId="3485"/>
    <cellStyle name="Porcentual 3 2 6 3" xfId="3486"/>
    <cellStyle name="Porcentual 3 2 6 3 2" xfId="3487"/>
    <cellStyle name="Porcentual 3 2 6 4" xfId="3488"/>
    <cellStyle name="Porcentual 3 2 7" xfId="3489"/>
    <cellStyle name="Porcentual 3 2 7 2" xfId="3490"/>
    <cellStyle name="Porcentual 3 2 7 2 2" xfId="3491"/>
    <cellStyle name="Porcentual 3 2 7 2 2 2" xfId="3492"/>
    <cellStyle name="Porcentual 3 2 7 2 3" xfId="3493"/>
    <cellStyle name="Porcentual 3 2 7 3" xfId="3494"/>
    <cellStyle name="Porcentual 3 2 7 3 2" xfId="3495"/>
    <cellStyle name="Porcentual 3 2 7 4" xfId="3496"/>
    <cellStyle name="Porcentual 3 2 8" xfId="3497"/>
    <cellStyle name="Porcentual 3 2 8 2" xfId="3498"/>
    <cellStyle name="Porcentual 3 2 8 2 2" xfId="3499"/>
    <cellStyle name="Porcentual 3 2 8 3" xfId="3500"/>
    <cellStyle name="Porcentual 3 2 9" xfId="3501"/>
    <cellStyle name="Porcentual 3 2 9 2" xfId="3502"/>
    <cellStyle name="Porcentual 3 3" xfId="284"/>
    <cellStyle name="Porcentual 3 3 2" xfId="346"/>
    <cellStyle name="Porcentual 3 3 2 2" xfId="755"/>
    <cellStyle name="Porcentual 3 3 3" xfId="409"/>
    <cellStyle name="Porcentual 3 3 4" xfId="693"/>
    <cellStyle name="Porcentual 3 4" xfId="343"/>
    <cellStyle name="Porcentual 3 4 2" xfId="752"/>
    <cellStyle name="Porcentual 3 5" xfId="392"/>
    <cellStyle name="Porcentual 3 6" xfId="663"/>
    <cellStyle name="Porcentual 4" xfId="213"/>
    <cellStyle name="Porcentual 4 2" xfId="214"/>
    <cellStyle name="Porcentual 4 2 2" xfId="3503"/>
    <cellStyle name="Porcentual 4 2 2 2" xfId="3504"/>
    <cellStyle name="Porcentual 4 2 3" xfId="3505"/>
    <cellStyle name="Porcentual 4 3" xfId="3506"/>
    <cellStyle name="Porcentual 4 3 2" xfId="3507"/>
    <cellStyle name="Porcentual 4 4" xfId="3508"/>
    <cellStyle name="Porcentual 5" xfId="225"/>
    <cellStyle name="Porcentual 5 10" xfId="3509"/>
    <cellStyle name="Porcentual 5 2" xfId="297"/>
    <cellStyle name="Porcentual 5 2 2" xfId="348"/>
    <cellStyle name="Porcentual 5 2 2 2" xfId="757"/>
    <cellStyle name="Porcentual 5 2 3" xfId="706"/>
    <cellStyle name="Porcentual 5 3" xfId="347"/>
    <cellStyle name="Porcentual 5 3 2" xfId="756"/>
    <cellStyle name="Porcentual 5 3 2 2" xfId="3510"/>
    <cellStyle name="Porcentual 5 3 2 2 2" xfId="3511"/>
    <cellStyle name="Porcentual 5 3 2 3" xfId="3512"/>
    <cellStyle name="Porcentual 5 3 3" xfId="3513"/>
    <cellStyle name="Porcentual 5 3 3 2" xfId="3514"/>
    <cellStyle name="Porcentual 5 3 4" xfId="3515"/>
    <cellStyle name="Porcentual 5 4" xfId="394"/>
    <cellStyle name="Porcentual 5 4 2" xfId="781"/>
    <cellStyle name="Porcentual 5 4 2 2" xfId="3516"/>
    <cellStyle name="Porcentual 5 4 2 2 2" xfId="3517"/>
    <cellStyle name="Porcentual 5 4 2 3" xfId="3518"/>
    <cellStyle name="Porcentual 5 4 3" xfId="3519"/>
    <cellStyle name="Porcentual 5 4 3 2" xfId="3520"/>
    <cellStyle name="Porcentual 5 4 4" xfId="3521"/>
    <cellStyle name="Porcentual 5 5" xfId="676"/>
    <cellStyle name="Porcentual 5 5 2" xfId="3522"/>
    <cellStyle name="Porcentual 5 5 2 2" xfId="3523"/>
    <cellStyle name="Porcentual 5 5 2 2 2" xfId="3524"/>
    <cellStyle name="Porcentual 5 5 2 3" xfId="3525"/>
    <cellStyle name="Porcentual 5 5 3" xfId="3526"/>
    <cellStyle name="Porcentual 5 5 3 2" xfId="3527"/>
    <cellStyle name="Porcentual 5 5 4" xfId="3528"/>
    <cellStyle name="Porcentual 5 6" xfId="3529"/>
    <cellStyle name="Porcentual 5 6 2" xfId="3530"/>
    <cellStyle name="Porcentual 5 6 2 2" xfId="3531"/>
    <cellStyle name="Porcentual 5 6 2 2 2" xfId="3532"/>
    <cellStyle name="Porcentual 5 6 2 3" xfId="3533"/>
    <cellStyle name="Porcentual 5 6 3" xfId="3534"/>
    <cellStyle name="Porcentual 5 6 3 2" xfId="3535"/>
    <cellStyle name="Porcentual 5 6 4" xfId="3536"/>
    <cellStyle name="Porcentual 5 7" xfId="3537"/>
    <cellStyle name="Porcentual 5 7 2" xfId="3538"/>
    <cellStyle name="Porcentual 5 7 2 2" xfId="3539"/>
    <cellStyle name="Porcentual 5 7 2 2 2" xfId="3540"/>
    <cellStyle name="Porcentual 5 7 2 3" xfId="3541"/>
    <cellStyle name="Porcentual 5 7 3" xfId="3542"/>
    <cellStyle name="Porcentual 5 7 3 2" xfId="3543"/>
    <cellStyle name="Porcentual 5 7 4" xfId="3544"/>
    <cellStyle name="Porcentual 5 8" xfId="3545"/>
    <cellStyle name="Porcentual 5 8 2" xfId="3546"/>
    <cellStyle name="Porcentual 5 8 2 2" xfId="3547"/>
    <cellStyle name="Porcentual 5 8 3" xfId="3548"/>
    <cellStyle name="Porcentual 5 9" xfId="3549"/>
    <cellStyle name="Porcentual 5 9 2" xfId="3550"/>
    <cellStyle name="Porcentual 6" xfId="268"/>
    <cellStyle name="Porcentual 6 2" xfId="395"/>
    <cellStyle name="Porcentual 7" xfId="231"/>
    <cellStyle name="Porcentual 7 2" xfId="349"/>
    <cellStyle name="Porcentual 7 2 2" xfId="758"/>
    <cellStyle name="Porcentual 7 3" xfId="396"/>
    <cellStyle name="Porcentual 7 4" xfId="681"/>
    <cellStyle name="Porcentual 8" xfId="397"/>
    <cellStyle name="Porcentual 8 2" xfId="426"/>
    <cellStyle name="Porcentual 9" xfId="411"/>
    <cellStyle name="Porcentual 9 2" xfId="427"/>
    <cellStyle name="Salida" xfId="58" builtinId="21" customBuiltin="1"/>
    <cellStyle name="Salida 2" xfId="215"/>
    <cellStyle name="Salida 2 2" xfId="428"/>
    <cellStyle name="Salida 2 2 2" xfId="444"/>
    <cellStyle name="Salida 2 2 2 10" xfId="3551"/>
    <cellStyle name="Salida 2 2 2 11" xfId="3552"/>
    <cellStyle name="Salida 2 2 2 2" xfId="569"/>
    <cellStyle name="Salida 2 2 2 2 2" xfId="3553"/>
    <cellStyle name="Salida 2 2 2 2 3" xfId="3554"/>
    <cellStyle name="Salida 2 2 2 2 4" xfId="3555"/>
    <cellStyle name="Salida 2 2 2 2 5" xfId="3556"/>
    <cellStyle name="Salida 2 2 2 3" xfId="570"/>
    <cellStyle name="Salida 2 2 2 3 2" xfId="3557"/>
    <cellStyle name="Salida 2 2 2 3 3" xfId="3558"/>
    <cellStyle name="Salida 2 2 2 3 4" xfId="3559"/>
    <cellStyle name="Salida 2 2 2 3 5" xfId="3560"/>
    <cellStyle name="Salida 2 2 2 4" xfId="571"/>
    <cellStyle name="Salida 2 2 2 4 2" xfId="3561"/>
    <cellStyle name="Salida 2 2 2 4 3" xfId="3562"/>
    <cellStyle name="Salida 2 2 2 4 4" xfId="3563"/>
    <cellStyle name="Salida 2 2 2 4 5" xfId="3564"/>
    <cellStyle name="Salida 2 2 2 5" xfId="572"/>
    <cellStyle name="Salida 2 2 2 5 2" xfId="3565"/>
    <cellStyle name="Salida 2 2 2 5 3" xfId="3566"/>
    <cellStyle name="Salida 2 2 2 5 4" xfId="3567"/>
    <cellStyle name="Salida 2 2 2 5 5" xfId="3568"/>
    <cellStyle name="Salida 2 2 2 6" xfId="573"/>
    <cellStyle name="Salida 2 2 2 6 2" xfId="3569"/>
    <cellStyle name="Salida 2 2 2 6 3" xfId="3570"/>
    <cellStyle name="Salida 2 2 2 6 4" xfId="3571"/>
    <cellStyle name="Salida 2 2 2 6 5" xfId="3572"/>
    <cellStyle name="Salida 2 2 2 7" xfId="574"/>
    <cellStyle name="Salida 2 2 2 7 2" xfId="3573"/>
    <cellStyle name="Salida 2 2 2 7 3" xfId="3574"/>
    <cellStyle name="Salida 2 2 2 7 4" xfId="3575"/>
    <cellStyle name="Salida 2 2 2 7 5" xfId="3576"/>
    <cellStyle name="Salida 2 2 2 8" xfId="3577"/>
    <cellStyle name="Salida 2 2 2 9" xfId="3578"/>
    <cellStyle name="Salida 2 2 3" xfId="575"/>
    <cellStyle name="Salida 2 2 3 2" xfId="3579"/>
    <cellStyle name="Salida 2 2 3 3" xfId="3580"/>
    <cellStyle name="Salida 2 2 3 4" xfId="3581"/>
    <cellStyle name="Salida 2 2 3 5" xfId="3582"/>
    <cellStyle name="Salida 2 2 4" xfId="576"/>
    <cellStyle name="Salida 2 2 4 2" xfId="3583"/>
    <cellStyle name="Salida 2 2 4 3" xfId="3584"/>
    <cellStyle name="Salida 2 2 4 4" xfId="3585"/>
    <cellStyle name="Salida 2 2 4 5" xfId="3586"/>
    <cellStyle name="Salida 2 2 5" xfId="577"/>
    <cellStyle name="Salida 2 2 5 2" xfId="3587"/>
    <cellStyle name="Salida 2 2 5 3" xfId="3588"/>
    <cellStyle name="Salida 2 2 5 4" xfId="3589"/>
    <cellStyle name="Salida 2 2 5 5" xfId="3590"/>
    <cellStyle name="Salida 2 2 6" xfId="578"/>
    <cellStyle name="Salida 2 2 6 2" xfId="3591"/>
    <cellStyle name="Salida 2 2 6 3" xfId="3592"/>
    <cellStyle name="Salida 2 2 6 4" xfId="3593"/>
    <cellStyle name="Salida 2 2 6 5" xfId="3594"/>
    <cellStyle name="Salida 2 3" xfId="429"/>
    <cellStyle name="Salida 2 3 2" xfId="445"/>
    <cellStyle name="Salida 2 3 2 10" xfId="3595"/>
    <cellStyle name="Salida 2 3 2 11" xfId="3596"/>
    <cellStyle name="Salida 2 3 2 2" xfId="579"/>
    <cellStyle name="Salida 2 3 2 2 2" xfId="3597"/>
    <cellStyle name="Salida 2 3 2 2 3" xfId="3598"/>
    <cellStyle name="Salida 2 3 2 2 4" xfId="3599"/>
    <cellStyle name="Salida 2 3 2 2 5" xfId="3600"/>
    <cellStyle name="Salida 2 3 2 3" xfId="580"/>
    <cellStyle name="Salida 2 3 2 3 2" xfId="3601"/>
    <cellStyle name="Salida 2 3 2 3 3" xfId="3602"/>
    <cellStyle name="Salida 2 3 2 3 4" xfId="3603"/>
    <cellStyle name="Salida 2 3 2 3 5" xfId="3604"/>
    <cellStyle name="Salida 2 3 2 4" xfId="581"/>
    <cellStyle name="Salida 2 3 2 4 2" xfId="3605"/>
    <cellStyle name="Salida 2 3 2 4 3" xfId="3606"/>
    <cellStyle name="Salida 2 3 2 4 4" xfId="3607"/>
    <cellStyle name="Salida 2 3 2 4 5" xfId="3608"/>
    <cellStyle name="Salida 2 3 2 5" xfId="582"/>
    <cellStyle name="Salida 2 3 2 5 2" xfId="3609"/>
    <cellStyle name="Salida 2 3 2 5 3" xfId="3610"/>
    <cellStyle name="Salida 2 3 2 5 4" xfId="3611"/>
    <cellStyle name="Salida 2 3 2 5 5" xfId="3612"/>
    <cellStyle name="Salida 2 3 2 6" xfId="583"/>
    <cellStyle name="Salida 2 3 2 6 2" xfId="3613"/>
    <cellStyle name="Salida 2 3 2 6 3" xfId="3614"/>
    <cellStyle name="Salida 2 3 2 6 4" xfId="3615"/>
    <cellStyle name="Salida 2 3 2 6 5" xfId="3616"/>
    <cellStyle name="Salida 2 3 2 7" xfId="584"/>
    <cellStyle name="Salida 2 3 2 7 2" xfId="3617"/>
    <cellStyle name="Salida 2 3 2 7 3" xfId="3618"/>
    <cellStyle name="Salida 2 3 2 7 4" xfId="3619"/>
    <cellStyle name="Salida 2 3 2 7 5" xfId="3620"/>
    <cellStyle name="Salida 2 3 2 8" xfId="3621"/>
    <cellStyle name="Salida 2 3 2 9" xfId="3622"/>
    <cellStyle name="Salida 2 3 3" xfId="585"/>
    <cellStyle name="Salida 2 3 3 2" xfId="3623"/>
    <cellStyle name="Salida 2 3 3 3" xfId="3624"/>
    <cellStyle name="Salida 2 3 3 4" xfId="3625"/>
    <cellStyle name="Salida 2 3 3 5" xfId="3626"/>
    <cellStyle name="Salida 2 3 4" xfId="586"/>
    <cellStyle name="Salida 2 3 4 2" xfId="3627"/>
    <cellStyle name="Salida 2 3 4 3" xfId="3628"/>
    <cellStyle name="Salida 2 3 4 4" xfId="3629"/>
    <cellStyle name="Salida 2 3 4 5" xfId="3630"/>
    <cellStyle name="Salida 2 3 5" xfId="587"/>
    <cellStyle name="Salida 2 3 5 2" xfId="3631"/>
    <cellStyle name="Salida 2 3 5 3" xfId="3632"/>
    <cellStyle name="Salida 2 3 5 4" xfId="3633"/>
    <cellStyle name="Salida 2 3 5 5" xfId="3634"/>
    <cellStyle name="Salida 2 3 6" xfId="588"/>
    <cellStyle name="Salida 2 3 6 2" xfId="3635"/>
    <cellStyle name="Salida 2 3 6 3" xfId="3636"/>
    <cellStyle name="Salida 2 3 6 4" xfId="3637"/>
    <cellStyle name="Salida 2 3 6 5" xfId="3638"/>
    <cellStyle name="Salida 2 4" xfId="435"/>
    <cellStyle name="Salida 2 4 2" xfId="589"/>
    <cellStyle name="Salida 2 4 2 2" xfId="3639"/>
    <cellStyle name="Salida 2 4 2 3" xfId="3640"/>
    <cellStyle name="Salida 2 4 2 4" xfId="3641"/>
    <cellStyle name="Salida 2 4 2 5" xfId="3642"/>
    <cellStyle name="Salida 2 4 3" xfId="590"/>
    <cellStyle name="Salida 2 4 3 2" xfId="3643"/>
    <cellStyle name="Salida 2 4 3 3" xfId="3644"/>
    <cellStyle name="Salida 2 4 3 4" xfId="3645"/>
    <cellStyle name="Salida 2 4 3 5" xfId="3646"/>
    <cellStyle name="Salida 2 4 4" xfId="591"/>
    <cellStyle name="Salida 2 4 4 2" xfId="3647"/>
    <cellStyle name="Salida 2 4 4 3" xfId="3648"/>
    <cellStyle name="Salida 2 4 4 4" xfId="3649"/>
    <cellStyle name="Salida 2 4 4 5" xfId="3650"/>
    <cellStyle name="Salida 2 4 5" xfId="592"/>
    <cellStyle name="Salida 2 4 5 2" xfId="3651"/>
    <cellStyle name="Salida 2 4 5 3" xfId="3652"/>
    <cellStyle name="Salida 2 4 5 4" xfId="3653"/>
    <cellStyle name="Salida 2 4 5 5" xfId="3654"/>
    <cellStyle name="Salida 2 4 6" xfId="593"/>
    <cellStyle name="Salida 2 4 6 2" xfId="3655"/>
    <cellStyle name="Salida 2 4 6 3" xfId="3656"/>
    <cellStyle name="Salida 2 4 6 4" xfId="3657"/>
    <cellStyle name="Salida 2 4 6 5" xfId="3658"/>
    <cellStyle name="Salida 2 4 7" xfId="594"/>
    <cellStyle name="Salida 2 4 7 2" xfId="3659"/>
    <cellStyle name="Salida 2 4 7 3" xfId="3660"/>
    <cellStyle name="Salida 2 4 7 4" xfId="3661"/>
    <cellStyle name="Salida 2 4 7 5" xfId="3662"/>
    <cellStyle name="Salida 2 4 8" xfId="3663"/>
    <cellStyle name="Salida 2 5" xfId="595"/>
    <cellStyle name="Salida 2 5 2" xfId="3664"/>
    <cellStyle name="Salida 2 5 3" xfId="3665"/>
    <cellStyle name="Salida 2 5 4" xfId="3666"/>
    <cellStyle name="Salida 2 5 5" xfId="3667"/>
    <cellStyle name="Salida 2 6" xfId="596"/>
    <cellStyle name="Salida 2 6 2" xfId="3668"/>
    <cellStyle name="Salida 2 6 3" xfId="3669"/>
    <cellStyle name="Salida 2 6 4" xfId="3670"/>
    <cellStyle name="Salida 2 6 5" xfId="3671"/>
    <cellStyle name="Salida 2 7" xfId="597"/>
    <cellStyle name="Salida 2 7 2" xfId="3672"/>
    <cellStyle name="Salida 2 7 3" xfId="3673"/>
    <cellStyle name="Salida 2 7 4" xfId="3674"/>
    <cellStyle name="Salida 2 7 5" xfId="3675"/>
    <cellStyle name="Salida 2 8" xfId="598"/>
    <cellStyle name="Salida 2 8 2" xfId="3676"/>
    <cellStyle name="Salida 2 8 3" xfId="3677"/>
    <cellStyle name="Salida 2 8 4" xfId="3678"/>
    <cellStyle name="Salida 2 8 5" xfId="3679"/>
    <cellStyle name="Salida 3" xfId="269"/>
    <cellStyle name="Salida 3 2" xfId="685"/>
    <cellStyle name="TableStyleLight1" xfId="3680"/>
    <cellStyle name="Texto de advertencia" xfId="59" builtinId="11" customBuiltin="1"/>
    <cellStyle name="Texto de advertencia 2" xfId="216"/>
    <cellStyle name="Texto de advertencia 3" xfId="270"/>
    <cellStyle name="Texto explicativo" xfId="60" builtinId="53" customBuiltin="1"/>
    <cellStyle name="Texto explicativo 2" xfId="217"/>
    <cellStyle name="Texto explicativo 3" xfId="271"/>
    <cellStyle name="Título" xfId="61" builtinId="15" customBuiltin="1"/>
    <cellStyle name="Título 1" xfId="62" builtinId="16" customBuiltin="1"/>
    <cellStyle name="Título 1 2" xfId="218"/>
    <cellStyle name="Título 1 3" xfId="273"/>
    <cellStyle name="Título 2" xfId="63" builtinId="17" customBuiltin="1"/>
    <cellStyle name="Título 2 2" xfId="219"/>
    <cellStyle name="Título 2 3" xfId="274"/>
    <cellStyle name="Título 3" xfId="64" builtinId="18" customBuiltin="1"/>
    <cellStyle name="Título 3 2" xfId="220"/>
    <cellStyle name="Título 3 3" xfId="275"/>
    <cellStyle name="Título 4" xfId="221"/>
    <cellStyle name="Título 5" xfId="272"/>
    <cellStyle name="Total" xfId="65" builtinId="25" customBuiltin="1"/>
    <cellStyle name="Total 2" xfId="222"/>
    <cellStyle name="Total 2 2" xfId="430"/>
    <cellStyle name="Total 2 2 2" xfId="446"/>
    <cellStyle name="Total 2 2 2 10" xfId="3681"/>
    <cellStyle name="Total 2 2 2 11" xfId="3682"/>
    <cellStyle name="Total 2 2 2 2" xfId="599"/>
    <cellStyle name="Total 2 2 2 2 2" xfId="3683"/>
    <cellStyle name="Total 2 2 2 2 3" xfId="3684"/>
    <cellStyle name="Total 2 2 2 2 4" xfId="3685"/>
    <cellStyle name="Total 2 2 2 2 5" xfId="3686"/>
    <cellStyle name="Total 2 2 2 3" xfId="600"/>
    <cellStyle name="Total 2 2 2 3 2" xfId="3687"/>
    <cellStyle name="Total 2 2 2 3 3" xfId="3688"/>
    <cellStyle name="Total 2 2 2 3 4" xfId="3689"/>
    <cellStyle name="Total 2 2 2 3 5" xfId="3690"/>
    <cellStyle name="Total 2 2 2 4" xfId="601"/>
    <cellStyle name="Total 2 2 2 4 2" xfId="3691"/>
    <cellStyle name="Total 2 2 2 4 3" xfId="3692"/>
    <cellStyle name="Total 2 2 2 4 4" xfId="3693"/>
    <cellStyle name="Total 2 2 2 4 5" xfId="3694"/>
    <cellStyle name="Total 2 2 2 5" xfId="602"/>
    <cellStyle name="Total 2 2 2 5 2" xfId="3695"/>
    <cellStyle name="Total 2 2 2 5 3" xfId="3696"/>
    <cellStyle name="Total 2 2 2 5 4" xfId="3697"/>
    <cellStyle name="Total 2 2 2 5 5" xfId="3698"/>
    <cellStyle name="Total 2 2 2 6" xfId="603"/>
    <cellStyle name="Total 2 2 2 6 2" xfId="3699"/>
    <cellStyle name="Total 2 2 2 6 3" xfId="3700"/>
    <cellStyle name="Total 2 2 2 6 4" xfId="3701"/>
    <cellStyle name="Total 2 2 2 6 5" xfId="3702"/>
    <cellStyle name="Total 2 2 2 7" xfId="604"/>
    <cellStyle name="Total 2 2 2 7 2" xfId="3703"/>
    <cellStyle name="Total 2 2 2 7 3" xfId="3704"/>
    <cellStyle name="Total 2 2 2 7 4" xfId="3705"/>
    <cellStyle name="Total 2 2 2 7 5" xfId="3706"/>
    <cellStyle name="Total 2 2 2 8" xfId="3707"/>
    <cellStyle name="Total 2 2 2 9" xfId="3708"/>
    <cellStyle name="Total 2 2 3" xfId="605"/>
    <cellStyle name="Total 2 2 3 2" xfId="3709"/>
    <cellStyle name="Total 2 2 3 3" xfId="3710"/>
    <cellStyle name="Total 2 2 3 4" xfId="3711"/>
    <cellStyle name="Total 2 2 3 5" xfId="3712"/>
    <cellStyle name="Total 2 2 4" xfId="606"/>
    <cellStyle name="Total 2 2 4 2" xfId="3713"/>
    <cellStyle name="Total 2 2 4 3" xfId="3714"/>
    <cellStyle name="Total 2 2 4 4" xfId="3715"/>
    <cellStyle name="Total 2 2 4 5" xfId="3716"/>
    <cellStyle name="Total 2 2 5" xfId="607"/>
    <cellStyle name="Total 2 2 5 2" xfId="3717"/>
    <cellStyle name="Total 2 2 5 3" xfId="3718"/>
    <cellStyle name="Total 2 2 5 4" xfId="3719"/>
    <cellStyle name="Total 2 2 5 5" xfId="3720"/>
    <cellStyle name="Total 2 2 6" xfId="608"/>
    <cellStyle name="Total 2 2 6 2" xfId="3721"/>
    <cellStyle name="Total 2 2 6 3" xfId="3722"/>
    <cellStyle name="Total 2 2 6 4" xfId="3723"/>
    <cellStyle name="Total 2 2 6 5" xfId="3724"/>
    <cellStyle name="Total 2 3" xfId="431"/>
    <cellStyle name="Total 2 3 2" xfId="447"/>
    <cellStyle name="Total 2 3 2 10" xfId="3725"/>
    <cellStyle name="Total 2 3 2 11" xfId="3726"/>
    <cellStyle name="Total 2 3 2 2" xfId="609"/>
    <cellStyle name="Total 2 3 2 2 2" xfId="3727"/>
    <cellStyle name="Total 2 3 2 2 3" xfId="3728"/>
    <cellStyle name="Total 2 3 2 2 4" xfId="3729"/>
    <cellStyle name="Total 2 3 2 2 5" xfId="3730"/>
    <cellStyle name="Total 2 3 2 3" xfId="610"/>
    <cellStyle name="Total 2 3 2 3 2" xfId="3731"/>
    <cellStyle name="Total 2 3 2 3 3" xfId="3732"/>
    <cellStyle name="Total 2 3 2 3 4" xfId="3733"/>
    <cellStyle name="Total 2 3 2 3 5" xfId="3734"/>
    <cellStyle name="Total 2 3 2 4" xfId="611"/>
    <cellStyle name="Total 2 3 2 4 2" xfId="3735"/>
    <cellStyle name="Total 2 3 2 4 3" xfId="3736"/>
    <cellStyle name="Total 2 3 2 4 4" xfId="3737"/>
    <cellStyle name="Total 2 3 2 4 5" xfId="3738"/>
    <cellStyle name="Total 2 3 2 5" xfId="612"/>
    <cellStyle name="Total 2 3 2 5 2" xfId="3739"/>
    <cellStyle name="Total 2 3 2 5 3" xfId="3740"/>
    <cellStyle name="Total 2 3 2 5 4" xfId="3741"/>
    <cellStyle name="Total 2 3 2 5 5" xfId="3742"/>
    <cellStyle name="Total 2 3 2 6" xfId="613"/>
    <cellStyle name="Total 2 3 2 6 2" xfId="3743"/>
    <cellStyle name="Total 2 3 2 6 3" xfId="3744"/>
    <cellStyle name="Total 2 3 2 6 4" xfId="3745"/>
    <cellStyle name="Total 2 3 2 6 5" xfId="3746"/>
    <cellStyle name="Total 2 3 2 7" xfId="614"/>
    <cellStyle name="Total 2 3 2 7 2" xfId="3747"/>
    <cellStyle name="Total 2 3 2 7 3" xfId="3748"/>
    <cellStyle name="Total 2 3 2 7 4" xfId="3749"/>
    <cellStyle name="Total 2 3 2 7 5" xfId="3750"/>
    <cellStyle name="Total 2 3 2 8" xfId="3751"/>
    <cellStyle name="Total 2 3 2 9" xfId="3752"/>
    <cellStyle name="Total 2 3 3" xfId="615"/>
    <cellStyle name="Total 2 3 3 2" xfId="3753"/>
    <cellStyle name="Total 2 3 3 3" xfId="3754"/>
    <cellStyle name="Total 2 3 3 4" xfId="3755"/>
    <cellStyle name="Total 2 3 3 5" xfId="3756"/>
    <cellStyle name="Total 2 3 4" xfId="616"/>
    <cellStyle name="Total 2 3 4 2" xfId="3757"/>
    <cellStyle name="Total 2 3 4 3" xfId="3758"/>
    <cellStyle name="Total 2 3 4 4" xfId="3759"/>
    <cellStyle name="Total 2 3 4 5" xfId="3760"/>
    <cellStyle name="Total 2 3 5" xfId="617"/>
    <cellStyle name="Total 2 3 5 2" xfId="3761"/>
    <cellStyle name="Total 2 3 5 3" xfId="3762"/>
    <cellStyle name="Total 2 3 5 4" xfId="3763"/>
    <cellStyle name="Total 2 3 5 5" xfId="3764"/>
    <cellStyle name="Total 2 3 6" xfId="618"/>
    <cellStyle name="Total 2 3 6 2" xfId="3765"/>
    <cellStyle name="Total 2 3 6 3" xfId="3766"/>
    <cellStyle name="Total 2 3 6 4" xfId="3767"/>
    <cellStyle name="Total 2 3 6 5" xfId="3768"/>
    <cellStyle name="Total 2 4" xfId="436"/>
    <cellStyle name="Total 2 4 2" xfId="619"/>
    <cellStyle name="Total 2 4 2 2" xfId="3769"/>
    <cellStyle name="Total 2 4 2 3" xfId="3770"/>
    <cellStyle name="Total 2 4 2 4" xfId="3771"/>
    <cellStyle name="Total 2 4 2 5" xfId="3772"/>
    <cellStyle name="Total 2 4 3" xfId="620"/>
    <cellStyle name="Total 2 4 3 2" xfId="3773"/>
    <cellStyle name="Total 2 4 3 3" xfId="3774"/>
    <cellStyle name="Total 2 4 3 4" xfId="3775"/>
    <cellStyle name="Total 2 4 3 5" xfId="3776"/>
    <cellStyle name="Total 2 4 4" xfId="621"/>
    <cellStyle name="Total 2 4 4 2" xfId="3777"/>
    <cellStyle name="Total 2 4 4 3" xfId="3778"/>
    <cellStyle name="Total 2 4 4 4" xfId="3779"/>
    <cellStyle name="Total 2 4 4 5" xfId="3780"/>
    <cellStyle name="Total 2 4 5" xfId="622"/>
    <cellStyle name="Total 2 4 5 2" xfId="3781"/>
    <cellStyle name="Total 2 4 5 3" xfId="3782"/>
    <cellStyle name="Total 2 4 5 4" xfId="3783"/>
    <cellStyle name="Total 2 4 5 5" xfId="3784"/>
    <cellStyle name="Total 2 4 6" xfId="623"/>
    <cellStyle name="Total 2 4 6 2" xfId="3785"/>
    <cellStyle name="Total 2 4 6 3" xfId="3786"/>
    <cellStyle name="Total 2 4 6 4" xfId="3787"/>
    <cellStyle name="Total 2 4 6 5" xfId="3788"/>
    <cellStyle name="Total 2 4 7" xfId="624"/>
    <cellStyle name="Total 2 4 7 2" xfId="3789"/>
    <cellStyle name="Total 2 4 7 3" xfId="3790"/>
    <cellStyle name="Total 2 4 7 4" xfId="3791"/>
    <cellStyle name="Total 2 4 7 5" xfId="3792"/>
    <cellStyle name="Total 2 5" xfId="625"/>
    <cellStyle name="Total 2 5 2" xfId="3793"/>
    <cellStyle name="Total 2 5 3" xfId="3794"/>
    <cellStyle name="Total 2 5 4" xfId="3795"/>
    <cellStyle name="Total 2 5 5" xfId="3796"/>
    <cellStyle name="Total 2 6" xfId="626"/>
    <cellStyle name="Total 2 6 2" xfId="3797"/>
    <cellStyle name="Total 2 6 3" xfId="3798"/>
    <cellStyle name="Total 2 6 4" xfId="3799"/>
    <cellStyle name="Total 2 6 5" xfId="3800"/>
    <cellStyle name="Total 2 7" xfId="627"/>
    <cellStyle name="Total 2 7 2" xfId="3801"/>
    <cellStyle name="Total 2 7 3" xfId="3802"/>
    <cellStyle name="Total 2 7 4" xfId="3803"/>
    <cellStyle name="Total 2 7 5" xfId="3804"/>
    <cellStyle name="Total 2 8" xfId="628"/>
    <cellStyle name="Total 2 8 2" xfId="3805"/>
    <cellStyle name="Total 2 8 3" xfId="3806"/>
    <cellStyle name="Total 2 8 4" xfId="3807"/>
    <cellStyle name="Total 2 8 5" xfId="3808"/>
    <cellStyle name="Total 3" xfId="276"/>
    <cellStyle name="Total 3 2" xfId="686"/>
  </cellStyles>
  <dxfs count="0"/>
  <tableStyles count="0" defaultTableStyle="TableStyleMedium9" defaultPivotStyle="PivotStyleLight16"/>
  <colors>
    <mruColors>
      <color rgb="FFF08200"/>
      <color rgb="FFCD032E"/>
      <color rgb="FFAD25A8"/>
      <color rgb="FF0072CE"/>
      <color rgb="FF57A519"/>
      <color rgb="FFCC9900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1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8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3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externalLink" Target="externalLinks/externalLink1.xml"/><Relationship Id="rId113" Type="http://schemas.openxmlformats.org/officeDocument/2006/relationships/externalLink" Target="externalLinks/externalLink9.xml"/><Relationship Id="rId118" Type="http://schemas.openxmlformats.org/officeDocument/2006/relationships/externalLink" Target="externalLinks/externalLink14.xml"/><Relationship Id="rId12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externalLink" Target="externalLinks/externalLink1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externalLink" Target="externalLinks/externalLink4.xml"/><Relationship Id="rId116" Type="http://schemas.openxmlformats.org/officeDocument/2006/relationships/externalLink" Target="externalLinks/externalLink12.xml"/><Relationship Id="rId124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2.xml"/><Relationship Id="rId114" Type="http://schemas.openxmlformats.org/officeDocument/2006/relationships/externalLink" Target="externalLinks/externalLink10.xml"/><Relationship Id="rId119" Type="http://schemas.openxmlformats.org/officeDocument/2006/relationships/externalLink" Target="externalLinks/externalLink1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externalLink" Target="externalLinks/externalLink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5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externalLink" Target="externalLinks/externalLink16.xml"/><Relationship Id="rId12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externalLink" Target="externalLinks/externalLink6.xml"/><Relationship Id="rId115" Type="http://schemas.openxmlformats.org/officeDocument/2006/relationships/externalLink" Target="externalLinks/externalLink11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Aspirantes a licenciatura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  <c:spPr>
        <a:noFill/>
        <a:ln w="3175">
          <a:solidFill>
            <a:schemeClr val="bg1">
              <a:lumMod val="85000"/>
            </a:schemeClr>
          </a:solidFill>
        </a:ln>
      </c:spPr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4293915605748563E-2"/>
          <c:y val="4.2970484705990915E-2"/>
          <c:w val="0.96432468301766117"/>
          <c:h val="0.81217800385727867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'Aspirantes uni'!$S$70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'Aspirantes uni'!$S$51:$S$63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('Aspirantes uni'!$E$9,'Aspirantes uni'!$H$9,'Aspirantes uni'!$K$9,'Aspirantes uni'!$N$9,'Aspirantes uni'!$Q$9,'Aspirantes uni'!$T$9,'Aspirantes uni'!$W$9,'Aspirantes uni'!$Z$9,'Aspirantes uni'!$AC$9,'Aspirantes uni'!$AF$9,'Aspirantes uni'!$AI$9,'Aspirantes uni'!$AL$9,'Aspirantes uni'!$AO$9)</c:f>
              <c:numCache>
                <c:formatCode>#,##0</c:formatCode>
                <c:ptCount val="13"/>
                <c:pt idx="0">
                  <c:v>18977</c:v>
                </c:pt>
                <c:pt idx="1">
                  <c:v>21362</c:v>
                </c:pt>
                <c:pt idx="2">
                  <c:v>21830</c:v>
                </c:pt>
                <c:pt idx="3">
                  <c:v>20296</c:v>
                </c:pt>
                <c:pt idx="4">
                  <c:v>21368</c:v>
                </c:pt>
                <c:pt idx="5">
                  <c:v>22969</c:v>
                </c:pt>
                <c:pt idx="6">
                  <c:v>24463</c:v>
                </c:pt>
                <c:pt idx="7">
                  <c:v>27536</c:v>
                </c:pt>
                <c:pt idx="8">
                  <c:v>27386</c:v>
                </c:pt>
                <c:pt idx="9">
                  <c:v>30212</c:v>
                </c:pt>
                <c:pt idx="10">
                  <c:v>28991</c:v>
                </c:pt>
                <c:pt idx="11">
                  <c:v>27833</c:v>
                </c:pt>
                <c:pt idx="12">
                  <c:v>29297</c:v>
                </c:pt>
              </c:numCache>
            </c:numRef>
          </c:val>
        </c:ser>
        <c:ser>
          <c:idx val="1"/>
          <c:order val="1"/>
          <c:tx>
            <c:strRef>
              <c:f>'Aspirantes uni'!$S$71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5"/>
              <c:layout>
                <c:manualLayout>
                  <c:x val="3.9100680249209881E-3"/>
                  <c:y val="-2.71278312537821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3.910068024920988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3.910068024920988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5.2134240332279841E-3"/>
                  <c:y val="-2.71278312537821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3.9100680249209881E-3"/>
                  <c:y val="-2.71278312537821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3.910068024920988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6.51678004153498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'Aspirantes uni'!$S$51:$S$63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('Aspirantes uni'!$E$14,'Aspirantes uni'!$H$14,'Aspirantes uni'!$K$14,'Aspirantes uni'!$N$14,'Aspirantes uni'!$Q$14,'Aspirantes uni'!$T$14,'Aspirantes uni'!$W$14,'Aspirantes uni'!$Z$14,'Aspirantes uni'!$AC$14,'Aspirantes uni'!$AF$14,'Aspirantes uni'!$AI$14,'Aspirantes uni'!$AL$14,'Aspirantes uni'!$AO$14)</c:f>
              <c:numCache>
                <c:formatCode>#,##0</c:formatCode>
                <c:ptCount val="13"/>
                <c:pt idx="2">
                  <c:v>826</c:v>
                </c:pt>
                <c:pt idx="3">
                  <c:v>286</c:v>
                </c:pt>
                <c:pt idx="4">
                  <c:v>927</c:v>
                </c:pt>
                <c:pt idx="5">
                  <c:v>1153</c:v>
                </c:pt>
                <c:pt idx="6">
                  <c:v>1362</c:v>
                </c:pt>
                <c:pt idx="7">
                  <c:v>1844</c:v>
                </c:pt>
                <c:pt idx="8">
                  <c:v>1712</c:v>
                </c:pt>
                <c:pt idx="9">
                  <c:v>1698</c:v>
                </c:pt>
                <c:pt idx="10">
                  <c:v>3373</c:v>
                </c:pt>
                <c:pt idx="11">
                  <c:v>3920</c:v>
                </c:pt>
                <c:pt idx="12">
                  <c:v>4469</c:v>
                </c:pt>
              </c:numCache>
            </c:numRef>
          </c:val>
        </c:ser>
        <c:ser>
          <c:idx val="2"/>
          <c:order val="2"/>
          <c:tx>
            <c:strRef>
              <c:f>'Aspirantes uni'!$S$72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'Aspirantes uni'!$S$51:$S$63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('Aspirantes uni'!$E$19,'Aspirantes uni'!$H$19,'Aspirantes uni'!$K$19,'Aspirantes uni'!$N$19,'Aspirantes uni'!$Q$19,'Aspirantes uni'!$T$19,'Aspirantes uni'!$W$19,'Aspirantes uni'!$Z$19,'Aspirantes uni'!$AC$19,'Aspirantes uni'!$AF$19,'Aspirantes uni'!$AI$19,'Aspirantes uni'!$AL$19,'Aspirantes uni'!$AO$19)</c:f>
              <c:numCache>
                <c:formatCode>#,##0</c:formatCode>
                <c:ptCount val="13"/>
                <c:pt idx="0">
                  <c:v>9596</c:v>
                </c:pt>
                <c:pt idx="1">
                  <c:v>8675</c:v>
                </c:pt>
                <c:pt idx="2">
                  <c:v>9557</c:v>
                </c:pt>
                <c:pt idx="3">
                  <c:v>9756</c:v>
                </c:pt>
                <c:pt idx="4">
                  <c:v>9718</c:v>
                </c:pt>
                <c:pt idx="5">
                  <c:v>10924</c:v>
                </c:pt>
                <c:pt idx="6">
                  <c:v>12037</c:v>
                </c:pt>
                <c:pt idx="7">
                  <c:v>12896</c:v>
                </c:pt>
                <c:pt idx="8">
                  <c:v>13008</c:v>
                </c:pt>
                <c:pt idx="9">
                  <c:v>14731</c:v>
                </c:pt>
                <c:pt idx="10">
                  <c:v>14690</c:v>
                </c:pt>
                <c:pt idx="11">
                  <c:v>14443</c:v>
                </c:pt>
                <c:pt idx="12">
                  <c:v>15401</c:v>
                </c:pt>
              </c:numCache>
            </c:numRef>
          </c:val>
        </c:ser>
        <c:ser>
          <c:idx val="3"/>
          <c:order val="3"/>
          <c:tx>
            <c:strRef>
              <c:f>'Aspirantes uni'!$S$73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'Aspirantes uni'!$S$51:$S$63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('Aspirantes uni'!$E$24,'Aspirantes uni'!$H$24,'Aspirantes uni'!$K$24,'Aspirantes uni'!$N$24,'Aspirantes uni'!$Q$24,'Aspirantes uni'!$T$24,'Aspirantes uni'!$W$24,'Aspirantes uni'!$Z$24,'Aspirantes uni'!$AC$24,'Aspirantes uni'!$AF$24,'Aspirantes uni'!$AI$24,'Aspirantes uni'!$AL$24,'Aspirantes uni'!$AO$24)</c:f>
              <c:numCache>
                <c:formatCode>#,##0</c:formatCode>
                <c:ptCount val="13"/>
                <c:pt idx="8">
                  <c:v>402</c:v>
                </c:pt>
                <c:pt idx="9">
                  <c:v>163</c:v>
                </c:pt>
                <c:pt idx="10">
                  <c:v>401</c:v>
                </c:pt>
                <c:pt idx="11">
                  <c:v>433</c:v>
                </c:pt>
                <c:pt idx="12">
                  <c:v>645</c:v>
                </c:pt>
              </c:numCache>
            </c:numRef>
          </c:val>
        </c:ser>
        <c:ser>
          <c:idx val="4"/>
          <c:order val="4"/>
          <c:tx>
            <c:strRef>
              <c:f>'Aspirantes uni'!$S$74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effectLst/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'Aspirantes uni'!$S$51:$S$63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('Aspirantes uni'!$E$29,'Aspirantes uni'!$H$29,'Aspirantes uni'!$K$29,'Aspirantes uni'!$N$29,'Aspirantes uni'!$Q$29,'Aspirantes uni'!$T$29,'Aspirantes uni'!$W$29,'Aspirantes uni'!$Z$29,'Aspirantes uni'!$AC$29,'Aspirantes uni'!$AF$29,'Aspirantes uni'!$AI$29,'Aspirantes uni'!$AL$29,'Aspirantes uni'!$AO$29)</c:f>
              <c:numCache>
                <c:formatCode>#,##0</c:formatCode>
                <c:ptCount val="13"/>
                <c:pt idx="0">
                  <c:v>24707</c:v>
                </c:pt>
                <c:pt idx="1">
                  <c:v>25286</c:v>
                </c:pt>
                <c:pt idx="2">
                  <c:v>27551</c:v>
                </c:pt>
                <c:pt idx="3">
                  <c:v>26197</c:v>
                </c:pt>
                <c:pt idx="4">
                  <c:v>27570</c:v>
                </c:pt>
                <c:pt idx="5">
                  <c:v>30149</c:v>
                </c:pt>
                <c:pt idx="6">
                  <c:v>32128</c:v>
                </c:pt>
                <c:pt idx="7">
                  <c:v>34715</c:v>
                </c:pt>
                <c:pt idx="8">
                  <c:v>36519</c:v>
                </c:pt>
                <c:pt idx="9">
                  <c:v>40265</c:v>
                </c:pt>
                <c:pt idx="10">
                  <c:v>40663</c:v>
                </c:pt>
                <c:pt idx="11">
                  <c:v>39524</c:v>
                </c:pt>
                <c:pt idx="12">
                  <c:v>42878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shape val="cylinder"/>
        <c:axId val="91200896"/>
        <c:axId val="93267072"/>
        <c:axId val="0"/>
      </c:bar3DChart>
      <c:catAx>
        <c:axId val="9120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</a:ln>
        </c:spPr>
        <c:crossAx val="93267072"/>
        <c:crosses val="autoZero"/>
        <c:auto val="1"/>
        <c:lblAlgn val="ctr"/>
        <c:lblOffset val="100"/>
        <c:noMultiLvlLbl val="0"/>
      </c:catAx>
      <c:valAx>
        <c:axId val="9326707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912008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5910836491833602"/>
          <c:y val="0.93466827895698401"/>
          <c:w val="0.76910802009343937"/>
          <c:h val="4.9055022290746694E-2"/>
        </c:manualLayout>
      </c:layout>
      <c:overlay val="0"/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Estado laboral de los admitidos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1"/>
          <c:order val="0"/>
          <c:tx>
            <c:strRef>
              <c:f>'Admitidos SE'!$B$4</c:f>
              <c:strCache>
                <c:ptCount val="1"/>
                <c:pt idx="0">
                  <c:v>No trabajan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SE'!$E$3:$P$3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('Admitidos SE'!$D$4:$O$4,'Admitidos SE'!$P$4)</c:f>
              <c:numCache>
                <c:formatCode>0%</c:formatCode>
                <c:ptCount val="12"/>
                <c:pt idx="0">
                  <c:v>0.65807513024403619</c:v>
                </c:pt>
                <c:pt idx="1">
                  <c:v>0.64029041448396284</c:v>
                </c:pt>
                <c:pt idx="2">
                  <c:v>0.65014549892049189</c:v>
                </c:pt>
                <c:pt idx="3">
                  <c:v>0.62548445032611777</c:v>
                </c:pt>
                <c:pt idx="4">
                  <c:v>0.6520669756882036</c:v>
                </c:pt>
                <c:pt idx="5">
                  <c:v>0.66371598078915151</c:v>
                </c:pt>
                <c:pt idx="6">
                  <c:v>0.66</c:v>
                </c:pt>
                <c:pt idx="7">
                  <c:v>0.66</c:v>
                </c:pt>
                <c:pt idx="8">
                  <c:v>0.66900000000000004</c:v>
                </c:pt>
                <c:pt idx="9">
                  <c:v>0.67900000000000005</c:v>
                </c:pt>
                <c:pt idx="10">
                  <c:v>0.69</c:v>
                </c:pt>
                <c:pt idx="11">
                  <c:v>0.68700000000000006</c:v>
                </c:pt>
              </c:numCache>
            </c:numRef>
          </c:val>
        </c:ser>
        <c:ser>
          <c:idx val="2"/>
          <c:order val="1"/>
          <c:tx>
            <c:strRef>
              <c:f>'Admitidos SE'!$B$5</c:f>
              <c:strCache>
                <c:ptCount val="1"/>
                <c:pt idx="0">
                  <c:v>Trabajan</c:v>
                </c:pt>
              </c:strCache>
            </c:strRef>
          </c:tx>
          <c:spPr>
            <a:solidFill>
              <a:srgbClr val="FFC0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SE'!$E$3:$P$3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('Admitidos SE'!$D$5:$O$5,'Admitidos SE'!$P$5)</c:f>
              <c:numCache>
                <c:formatCode>0%</c:formatCode>
                <c:ptCount val="12"/>
                <c:pt idx="0">
                  <c:v>0.34192486975596381</c:v>
                </c:pt>
                <c:pt idx="1">
                  <c:v>0.35970958551603716</c:v>
                </c:pt>
                <c:pt idx="2">
                  <c:v>0.34985450107950811</c:v>
                </c:pt>
                <c:pt idx="3">
                  <c:v>0.37451554967388223</c:v>
                </c:pt>
                <c:pt idx="4">
                  <c:v>0.3479330243117964</c:v>
                </c:pt>
                <c:pt idx="5">
                  <c:v>0.33628401921084849</c:v>
                </c:pt>
                <c:pt idx="6">
                  <c:v>0.33821434225106856</c:v>
                </c:pt>
                <c:pt idx="7">
                  <c:v>0.33823645087705501</c:v>
                </c:pt>
                <c:pt idx="8">
                  <c:v>0.3314229572621582</c:v>
                </c:pt>
                <c:pt idx="9">
                  <c:v>0.32105432855070126</c:v>
                </c:pt>
                <c:pt idx="10">
                  <c:v>0.31</c:v>
                </c:pt>
                <c:pt idx="11">
                  <c:v>0.313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94340608"/>
        <c:axId val="94342144"/>
        <c:axId val="0"/>
      </c:bar3DChart>
      <c:catAx>
        <c:axId val="9434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4342144"/>
        <c:crosses val="autoZero"/>
        <c:auto val="1"/>
        <c:lblAlgn val="ctr"/>
        <c:lblOffset val="100"/>
        <c:noMultiLvlLbl val="0"/>
      </c:catAx>
      <c:valAx>
        <c:axId val="943421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943406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347938991702469"/>
          <c:y val="0.93324726301104255"/>
          <c:w val="0.4886505166235664"/>
          <c:h val="6.4553024283032293E-2"/>
        </c:manualLayout>
      </c:layout>
      <c:overlay val="0"/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57A519"/>
                </a:solidFill>
              </a:defRPr>
            </a:pPr>
            <a:r>
              <a:rPr lang="es-MX" sz="1200">
                <a:solidFill>
                  <a:srgbClr val="57A519"/>
                </a:solidFill>
              </a:rPr>
              <a:t>TOTAL</a:t>
            </a:r>
          </a:p>
        </c:rich>
      </c:tx>
      <c:layout>
        <c:manualLayout>
          <c:xMode val="edge"/>
          <c:yMode val="edge"/>
          <c:x val="0.46962344476241452"/>
          <c:y val="1.13815845506605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SNI!$AK$60</c:f>
              <c:strCache>
                <c:ptCount val="1"/>
                <c:pt idx="0">
                  <c:v>Nivel 1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(SNI!$BA$20,SNI!$BF$20,SNI!$BK$20,SNI!$BP$20,SNI!$BU$20)</c:f>
              <c:numCache>
                <c:formatCode>#,##0</c:formatCode>
                <c:ptCount val="5"/>
                <c:pt idx="0">
                  <c:v>206</c:v>
                </c:pt>
                <c:pt idx="1">
                  <c:v>206</c:v>
                </c:pt>
                <c:pt idx="2">
                  <c:v>202</c:v>
                </c:pt>
                <c:pt idx="3">
                  <c:v>216</c:v>
                </c:pt>
                <c:pt idx="4">
                  <c:v>218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SNI!$AK$61</c:f>
              <c:strCache>
                <c:ptCount val="1"/>
                <c:pt idx="0">
                  <c:v>Nivel 2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(SNI!$BB$20,SNI!$BG$20,SNI!$BL$20,SNI!$BQ$20,SNI!$BV$20)</c:f>
              <c:numCache>
                <c:formatCode>#,##0</c:formatCode>
                <c:ptCount val="5"/>
                <c:pt idx="0">
                  <c:v>101</c:v>
                </c:pt>
                <c:pt idx="1">
                  <c:v>100</c:v>
                </c:pt>
                <c:pt idx="2">
                  <c:v>99</c:v>
                </c:pt>
                <c:pt idx="3">
                  <c:v>109</c:v>
                </c:pt>
                <c:pt idx="4">
                  <c:v>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SNI!$AK$62</c:f>
              <c:strCache>
                <c:ptCount val="1"/>
                <c:pt idx="0">
                  <c:v>Nivel 3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3.5175149468438145E-2"/>
                  <c:y val="-2.6144672698279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175149468438145E-2"/>
                  <c:y val="-3.6854172868198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175149468438145E-2"/>
                  <c:y val="-3.6854172868198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1263428069984523E-2"/>
                  <c:y val="-3.6854172868198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(SNI!$BC$20,SNI!$BH$20,SNI!$BM$20,SNI!$BR$20,SNI!$BW$20)</c:f>
              <c:numCache>
                <c:formatCode>#,##0</c:formatCode>
                <c:ptCount val="5"/>
                <c:pt idx="0">
                  <c:v>72</c:v>
                </c:pt>
                <c:pt idx="1">
                  <c:v>69</c:v>
                </c:pt>
                <c:pt idx="2">
                  <c:v>71</c:v>
                </c:pt>
                <c:pt idx="3">
                  <c:v>79</c:v>
                </c:pt>
                <c:pt idx="4">
                  <c:v>82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SNI!$AK$63</c:f>
              <c:strCache>
                <c:ptCount val="1"/>
                <c:pt idx="0">
                  <c:v>Candidato</c:v>
                </c:pt>
              </c:strCache>
            </c:strRef>
          </c:tx>
          <c:spPr>
            <a:ln w="15875">
              <a:solidFill>
                <a:schemeClr val="accent5">
                  <a:lumMod val="50000"/>
                </a:schemeClr>
              </a:solidFill>
            </a:ln>
          </c:spPr>
          <c:marker>
            <c:symbol val="triangle"/>
            <c:size val="3"/>
            <c:spPr>
              <a:solidFill>
                <a:schemeClr val="accent5">
                  <a:lumMod val="50000"/>
                </a:schemeClr>
              </a:solidFill>
              <a:ln>
                <a:solidFill>
                  <a:schemeClr val="accent5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2.2914938358576119E-2"/>
                  <c:y val="-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9003216960122494E-2"/>
                  <c:y val="-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2914938358576119E-2"/>
                  <c:y val="-3.6854172868198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003216960122494E-2"/>
                  <c:y val="-3.14994227832388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(SNI!$AZ$20,SNI!$BE$20,SNI!$BJ$20,SNI!$BO$20,SNI!$BT$20)</c:f>
              <c:numCache>
                <c:formatCode>#,##0</c:formatCode>
                <c:ptCount val="5"/>
                <c:pt idx="0">
                  <c:v>35</c:v>
                </c:pt>
                <c:pt idx="1">
                  <c:v>30</c:v>
                </c:pt>
                <c:pt idx="2">
                  <c:v>35</c:v>
                </c:pt>
                <c:pt idx="3">
                  <c:v>46</c:v>
                </c:pt>
                <c:pt idx="4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212544"/>
        <c:axId val="125214080"/>
      </c:lineChart>
      <c:catAx>
        <c:axId val="12521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25214080"/>
        <c:crosses val="autoZero"/>
        <c:auto val="1"/>
        <c:lblAlgn val="ctr"/>
        <c:lblOffset val="100"/>
        <c:noMultiLvlLbl val="0"/>
      </c:catAx>
      <c:valAx>
        <c:axId val="12521408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5212544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9.7110440654744029E-2"/>
          <c:y val="0.88850481555914296"/>
          <c:w val="0.8081839887381228"/>
          <c:h val="9.0362040134484331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AD25A8"/>
                </a:solidFill>
              </a:defRPr>
            </a:pPr>
            <a:r>
              <a:rPr lang="es-MX" sz="1200">
                <a:solidFill>
                  <a:srgbClr val="AD25A8"/>
                </a:solidFill>
              </a:rPr>
              <a:t>CBI</a:t>
            </a:r>
          </a:p>
        </c:rich>
      </c:tx>
      <c:layout>
        <c:manualLayout>
          <c:xMode val="edge"/>
          <c:yMode val="edge"/>
          <c:x val="0.46962344476241452"/>
          <c:y val="1.13815845506605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SNI!$AK$60</c:f>
              <c:strCache>
                <c:ptCount val="1"/>
                <c:pt idx="0">
                  <c:v>Nivel 1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(SNI!$BA$22,SNI!$BF$22,SNI!$BK$22,SNI!$BP$22,SNI!$BU$22)</c:f>
              <c:numCache>
                <c:formatCode>#,##0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8</c:v>
                </c:pt>
                <c:pt idx="4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SNI!$AK$61</c:f>
              <c:strCache>
                <c:ptCount val="1"/>
                <c:pt idx="0">
                  <c:v>Nivel 2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1"/>
              <c:layout>
                <c:manualLayout>
                  <c:x val="-3.5175149468438145E-2"/>
                  <c:y val="-4.3467500040055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(SNI!$BB$22,SNI!$BG$22,SNI!$BL$22,SNI!$BQ$22,SNI!$BV$22)</c:f>
              <c:numCache>
                <c:formatCode>#,##0</c:formatCode>
                <c:ptCount val="5"/>
              </c:numCache>
            </c:numRef>
          </c:val>
          <c:smooth val="0"/>
        </c:ser>
        <c:ser>
          <c:idx val="2"/>
          <c:order val="2"/>
          <c:tx>
            <c:strRef>
              <c:f>SNI!$AK$62</c:f>
              <c:strCache>
                <c:ptCount val="1"/>
                <c:pt idx="0">
                  <c:v>Nivel 3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1"/>
              <c:layout>
                <c:manualLayout>
                  <c:x val="-3.8219288769211338E-2"/>
                  <c:y val="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(SNI!$BC$22,SNI!$BH$22,SNI!$BM$22,SNI!$BR$22,SNI!$BW$22)</c:f>
              <c:numCache>
                <c:formatCode>#,##0</c:formatCode>
                <c:ptCount val="5"/>
              </c:numCache>
            </c:numRef>
          </c:val>
          <c:smooth val="0"/>
        </c:ser>
        <c:ser>
          <c:idx val="3"/>
          <c:order val="3"/>
          <c:tx>
            <c:strRef>
              <c:f>SNI!$AK$63</c:f>
              <c:strCache>
                <c:ptCount val="1"/>
                <c:pt idx="0">
                  <c:v>Candidato</c:v>
                </c:pt>
              </c:strCache>
            </c:strRef>
          </c:tx>
          <c:spPr>
            <a:ln w="15875">
              <a:solidFill>
                <a:schemeClr val="accent5">
                  <a:lumMod val="50000"/>
                </a:schemeClr>
              </a:solidFill>
            </a:ln>
          </c:spPr>
          <c:marker>
            <c:symbol val="triangle"/>
            <c:size val="3"/>
            <c:spPr>
              <a:solidFill>
                <a:schemeClr val="accent5">
                  <a:lumMod val="50000"/>
                </a:schemeClr>
              </a:solidFill>
              <a:ln>
                <a:solidFill>
                  <a:schemeClr val="accent5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(SNI!$AZ$22,SNI!$BE$22,SNI!$BJ$22,SNI!$BO$22,SNI!$BT$22)</c:f>
              <c:numCache>
                <c:formatCode>#,##0</c:formatCode>
                <c:ptCount val="5"/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289600"/>
        <c:axId val="125291136"/>
      </c:lineChart>
      <c:catAx>
        <c:axId val="12528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25291136"/>
        <c:crosses val="autoZero"/>
        <c:auto val="1"/>
        <c:lblAlgn val="ctr"/>
        <c:lblOffset val="100"/>
        <c:noMultiLvlLbl val="0"/>
      </c:catAx>
      <c:valAx>
        <c:axId val="12529113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5289600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9.7110440654744029E-2"/>
          <c:y val="0.88850481555914296"/>
          <c:w val="0.8081839887381228"/>
          <c:h val="9.0362040134484331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AD25A8"/>
                </a:solidFill>
              </a:defRPr>
            </a:pPr>
            <a:r>
              <a:rPr lang="es-MX" sz="1200">
                <a:solidFill>
                  <a:srgbClr val="AD25A8"/>
                </a:solidFill>
              </a:rPr>
              <a:t>CSH</a:t>
            </a:r>
          </a:p>
        </c:rich>
      </c:tx>
      <c:layout>
        <c:manualLayout>
          <c:xMode val="edge"/>
          <c:yMode val="edge"/>
          <c:x val="0.46962344476241452"/>
          <c:y val="1.13815845506605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SNI!$AK$60</c:f>
              <c:strCache>
                <c:ptCount val="1"/>
                <c:pt idx="0">
                  <c:v>Nivel 1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(SNI!$BA$23,SNI!$BF$23,SNI!$BK$23,SNI!$BP$23,SNI!$BU$23)</c:f>
              <c:numCache>
                <c:formatCode>#,##0</c:formatCode>
                <c:ptCount val="5"/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SNI!$AK$61</c:f>
              <c:strCache>
                <c:ptCount val="1"/>
                <c:pt idx="0">
                  <c:v>Nivel 2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1"/>
              <c:layout>
                <c:manualLayout>
                  <c:x val="-3.5175149468438145E-2"/>
                  <c:y val="-4.3467500040055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(SNI!$BB$23,SNI!$BG$23,SNI!$BL$23,SNI!$BQ$23,SNI!$BV$23)</c:f>
              <c:numCache>
                <c:formatCode>#,##0</c:formatCode>
                <c:ptCount val="5"/>
                <c:pt idx="4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SNI!$AK$62</c:f>
              <c:strCache>
                <c:ptCount val="1"/>
                <c:pt idx="0">
                  <c:v>Nivel 3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1"/>
              <c:layout>
                <c:manualLayout>
                  <c:x val="-3.8219288769211338E-2"/>
                  <c:y val="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(SNI!$BC$23,SNI!$BH$23,SNI!$BM$23,SNI!$BR$23,SNI!$BW$23)</c:f>
              <c:numCache>
                <c:formatCode>#,##0</c:formatCode>
                <c:ptCount val="5"/>
              </c:numCache>
            </c:numRef>
          </c:val>
          <c:smooth val="0"/>
        </c:ser>
        <c:ser>
          <c:idx val="3"/>
          <c:order val="3"/>
          <c:tx>
            <c:strRef>
              <c:f>SNI!$AK$63</c:f>
              <c:strCache>
                <c:ptCount val="1"/>
                <c:pt idx="0">
                  <c:v>Candidato</c:v>
                </c:pt>
              </c:strCache>
            </c:strRef>
          </c:tx>
          <c:spPr>
            <a:ln w="15875">
              <a:solidFill>
                <a:schemeClr val="accent5">
                  <a:lumMod val="50000"/>
                </a:schemeClr>
              </a:solidFill>
            </a:ln>
          </c:spPr>
          <c:marker>
            <c:symbol val="triangle"/>
            <c:size val="3"/>
            <c:spPr>
              <a:solidFill>
                <a:schemeClr val="accent5">
                  <a:lumMod val="50000"/>
                </a:schemeClr>
              </a:solidFill>
              <a:ln>
                <a:solidFill>
                  <a:schemeClr val="accent5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(SNI!$AZ$23,SNI!$BE$23,SNI!$BJ$23,SNI!$BO$23,SNI!$BT$23)</c:f>
              <c:numCache>
                <c:formatCode>#,##0</c:formatCode>
                <c:ptCount val="5"/>
                <c:pt idx="3">
                  <c:v>4</c:v>
                </c:pt>
                <c:pt idx="4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422208"/>
        <c:axId val="125432192"/>
      </c:lineChart>
      <c:catAx>
        <c:axId val="12542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25432192"/>
        <c:crosses val="autoZero"/>
        <c:auto val="1"/>
        <c:lblAlgn val="ctr"/>
        <c:lblOffset val="100"/>
        <c:noMultiLvlLbl val="0"/>
      </c:catAx>
      <c:valAx>
        <c:axId val="12543219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542220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9.7110440654744029E-2"/>
          <c:y val="0.88850481555914296"/>
          <c:w val="0.8081839887381228"/>
          <c:h val="9.0362040134484331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AD25A8"/>
                </a:solidFill>
              </a:defRPr>
            </a:pPr>
            <a:r>
              <a:rPr lang="es-MX" sz="1200">
                <a:solidFill>
                  <a:srgbClr val="AD25A8"/>
                </a:solidFill>
              </a:rPr>
              <a:t>CBS</a:t>
            </a:r>
          </a:p>
        </c:rich>
      </c:tx>
      <c:layout>
        <c:manualLayout>
          <c:xMode val="edge"/>
          <c:yMode val="edge"/>
          <c:x val="0.46962344476241452"/>
          <c:y val="1.13815845506605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SNI!$AK$60</c:f>
              <c:strCache>
                <c:ptCount val="1"/>
                <c:pt idx="0">
                  <c:v>Nivel 1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(SNI!$BA$24,SNI!$BF$24,SNI!$BK$24,SNI!$BP$24,SNI!$BU$24)</c:f>
              <c:numCache>
                <c:formatCode>#,##0</c:formatCode>
                <c:ptCount val="5"/>
                <c:pt idx="0">
                  <c:v>1</c:v>
                </c:pt>
                <c:pt idx="1">
                  <c:v>5</c:v>
                </c:pt>
                <c:pt idx="2">
                  <c:v>5</c:v>
                </c:pt>
                <c:pt idx="3">
                  <c:v>8</c:v>
                </c:pt>
                <c:pt idx="4">
                  <c:v>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SNI!$AK$61</c:f>
              <c:strCache>
                <c:ptCount val="1"/>
                <c:pt idx="0">
                  <c:v>Nivel 2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0"/>
              <c:layout>
                <c:manualLayout>
                  <c:x val="-2.9003216960122494E-2"/>
                  <c:y val="4.7563673038116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175149468438145E-2"/>
                  <c:y val="-4.3467500040055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9003216960122494E-2"/>
                  <c:y val="-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(SNI!$BB$24,SNI!$BG$24,SNI!$BL$24,SNI!$BQ$24,SNI!$BV$24)</c:f>
              <c:numCache>
                <c:formatCode>#,##0</c:formatCode>
                <c:ptCount val="5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SNI!$AK$62</c:f>
              <c:strCache>
                <c:ptCount val="1"/>
                <c:pt idx="0">
                  <c:v>Nivel 3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1"/>
              <c:layout>
                <c:manualLayout>
                  <c:x val="-3.8219288769211338E-2"/>
                  <c:y val="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(SNI!$BC$24,SNI!$BH$24,SNI!$BM$24,SNI!$BR$24,SNI!$BW$24)</c:f>
              <c:numCache>
                <c:formatCode>#,##0</c:formatCode>
                <c:ptCount val="5"/>
              </c:numCache>
            </c:numRef>
          </c:val>
          <c:smooth val="0"/>
        </c:ser>
        <c:ser>
          <c:idx val="3"/>
          <c:order val="3"/>
          <c:tx>
            <c:strRef>
              <c:f>SNI!$AK$63</c:f>
              <c:strCache>
                <c:ptCount val="1"/>
                <c:pt idx="0">
                  <c:v>Candidato</c:v>
                </c:pt>
              </c:strCache>
            </c:strRef>
          </c:tx>
          <c:spPr>
            <a:ln w="15875">
              <a:solidFill>
                <a:schemeClr val="accent5">
                  <a:lumMod val="50000"/>
                </a:schemeClr>
              </a:solidFill>
            </a:ln>
          </c:spPr>
          <c:marker>
            <c:symbol val="triangle"/>
            <c:size val="3"/>
            <c:spPr>
              <a:solidFill>
                <a:schemeClr val="accent5">
                  <a:lumMod val="50000"/>
                </a:schemeClr>
              </a:solidFill>
              <a:ln>
                <a:solidFill>
                  <a:schemeClr val="accent5">
                    <a:lumMod val="50000"/>
                  </a:schemeClr>
                </a:solidFill>
              </a:ln>
            </c:spPr>
          </c:marker>
          <c:dLbls>
            <c:dLbl>
              <c:idx val="1"/>
              <c:layout>
                <c:manualLayout>
                  <c:x val="-2.9003216960122494E-2"/>
                  <c:y val="3.81123283212309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6501025539369949E-3"/>
                  <c:y val="2.7402828151312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(SNI!$AZ$24,SNI!$BE$24,SNI!$BJ$24,SNI!$BO$24,SNI!$BT$24)</c:f>
              <c:numCache>
                <c:formatCode>#,##0</c:formatCode>
                <c:ptCount val="5"/>
                <c:pt idx="1">
                  <c:v>1</c:v>
                </c:pt>
                <c:pt idx="2">
                  <c:v>1</c:v>
                </c:pt>
                <c:pt idx="3">
                  <c:v>5</c:v>
                </c:pt>
                <c:pt idx="4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493632"/>
        <c:axId val="125495168"/>
      </c:lineChart>
      <c:catAx>
        <c:axId val="12549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25495168"/>
        <c:crosses val="autoZero"/>
        <c:auto val="1"/>
        <c:lblAlgn val="ctr"/>
        <c:lblOffset val="100"/>
        <c:noMultiLvlLbl val="0"/>
      </c:catAx>
      <c:valAx>
        <c:axId val="12549516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549363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9.7110440654744029E-2"/>
          <c:y val="0.88850481555914296"/>
          <c:w val="0.8081839887381228"/>
          <c:h val="9.0362040134484331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AD25A8"/>
                </a:solidFill>
              </a:defRPr>
            </a:pPr>
            <a:r>
              <a:rPr lang="es-MX" sz="1200">
                <a:solidFill>
                  <a:srgbClr val="AD25A8"/>
                </a:solidFill>
              </a:rPr>
              <a:t>TOTAL</a:t>
            </a:r>
          </a:p>
        </c:rich>
      </c:tx>
      <c:layout>
        <c:manualLayout>
          <c:xMode val="edge"/>
          <c:yMode val="edge"/>
          <c:x val="0.46962344476241452"/>
          <c:y val="1.13815845506605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SNI!$AK$60</c:f>
              <c:strCache>
                <c:ptCount val="1"/>
                <c:pt idx="0">
                  <c:v>Nivel 1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(SNI!$BA$25,SNI!$BF$25,SNI!$BK$25,SNI!$BP$25,SNI!$BU$25)</c:f>
              <c:numCache>
                <c:formatCode>#,##0</c:formatCode>
                <c:ptCount val="5"/>
                <c:pt idx="0">
                  <c:v>3</c:v>
                </c:pt>
                <c:pt idx="1">
                  <c:v>8</c:v>
                </c:pt>
                <c:pt idx="2">
                  <c:v>9</c:v>
                </c:pt>
                <c:pt idx="3">
                  <c:v>17</c:v>
                </c:pt>
                <c:pt idx="4">
                  <c:v>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SNI!$AK$61</c:f>
              <c:strCache>
                <c:ptCount val="1"/>
                <c:pt idx="0">
                  <c:v>Nivel 2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0"/>
              <c:layout>
                <c:manualLayout>
                  <c:x val="-5.3356331366307991E-2"/>
                  <c:y val="-1.0080422443401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4223913463988435E-2"/>
                  <c:y val="1.669332798139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(SNI!$BB$25,SNI!$BG$25,SNI!$BL$25,SNI!$BQ$25,SNI!$BV$25)</c:f>
              <c:numCache>
                <c:formatCode>#,##0</c:formatCode>
                <c:ptCount val="5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SNI!$AK$62</c:f>
              <c:strCache>
                <c:ptCount val="1"/>
                <c:pt idx="0">
                  <c:v>Nivel 3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2.9003216960122494E-2"/>
                  <c:y val="2.7402828151312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8219288769211338E-2"/>
                  <c:y val="2.7402828151312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1179774163215242E-2"/>
                  <c:y val="1.669332798139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5959077659349308E-2"/>
                  <c:y val="-2.6144672698279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(SNI!$BC$25,SNI!$BH$25,SNI!$BM$25,SNI!$BR$25,SNI!$BW$25)</c:f>
              <c:numCache>
                <c:formatCode>#,##0</c:formatCode>
                <c:ptCount val="5"/>
              </c:numCache>
            </c:numRef>
          </c:val>
          <c:smooth val="0"/>
        </c:ser>
        <c:ser>
          <c:idx val="3"/>
          <c:order val="3"/>
          <c:tx>
            <c:strRef>
              <c:f>SNI!$AK$63</c:f>
              <c:strCache>
                <c:ptCount val="1"/>
                <c:pt idx="0">
                  <c:v>Candidato</c:v>
                </c:pt>
              </c:strCache>
            </c:strRef>
          </c:tx>
          <c:spPr>
            <a:ln w="15875">
              <a:solidFill>
                <a:schemeClr val="accent5">
                  <a:lumMod val="50000"/>
                </a:schemeClr>
              </a:solidFill>
            </a:ln>
          </c:spPr>
          <c:marker>
            <c:symbol val="triangle"/>
            <c:size val="3"/>
            <c:spPr>
              <a:solidFill>
                <a:schemeClr val="accent5">
                  <a:lumMod val="50000"/>
                </a:schemeClr>
              </a:solidFill>
              <a:ln>
                <a:solidFill>
                  <a:schemeClr val="accent5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5.6400470667081183E-2"/>
                  <c:y val="6.290777265164694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9003216960122494E-2"/>
                  <c:y val="-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6501025539369949E-3"/>
                  <c:y val="2.7402828151312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(SNI!$AZ$25,SNI!$BE$25,SNI!$BJ$25,SNI!$BO$25,SNI!$BT$25)</c:f>
              <c:numCache>
                <c:formatCode>#,##0</c:formatCode>
                <c:ptCount val="5"/>
                <c:pt idx="1">
                  <c:v>2</c:v>
                </c:pt>
                <c:pt idx="2">
                  <c:v>2</c:v>
                </c:pt>
                <c:pt idx="3">
                  <c:v>10</c:v>
                </c:pt>
                <c:pt idx="4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618048"/>
        <c:axId val="125619584"/>
      </c:lineChart>
      <c:catAx>
        <c:axId val="12561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25619584"/>
        <c:crosses val="autoZero"/>
        <c:auto val="1"/>
        <c:lblAlgn val="ctr"/>
        <c:lblOffset val="100"/>
        <c:noMultiLvlLbl val="0"/>
      </c:catAx>
      <c:valAx>
        <c:axId val="12561958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561804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9.7110440654744029E-2"/>
          <c:y val="0.88850481555914296"/>
          <c:w val="0.8081839887381228"/>
          <c:h val="9.0362040134484331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72CE"/>
                </a:solidFill>
              </a:defRPr>
            </a:pPr>
            <a:r>
              <a:rPr lang="es-MX" sz="1200">
                <a:solidFill>
                  <a:srgbClr val="0072CE"/>
                </a:solidFill>
              </a:rPr>
              <a:t>CSH</a:t>
            </a:r>
          </a:p>
        </c:rich>
      </c:tx>
      <c:layout>
        <c:manualLayout>
          <c:xMode val="edge"/>
          <c:yMode val="edge"/>
          <c:x val="0.46962344476241452"/>
          <c:y val="1.13815845506605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SNI!$AK$60</c:f>
              <c:strCache>
                <c:ptCount val="1"/>
                <c:pt idx="0">
                  <c:v>Nivel 1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(SNI!$BA$27,SNI!$BF$27,SNI!$BK$27,SNI!$BP$27,SNI!$BU$27)</c:f>
              <c:numCache>
                <c:formatCode>#,##0</c:formatCode>
                <c:ptCount val="5"/>
                <c:pt idx="0">
                  <c:v>68</c:v>
                </c:pt>
                <c:pt idx="1">
                  <c:v>67</c:v>
                </c:pt>
                <c:pt idx="2">
                  <c:v>65</c:v>
                </c:pt>
                <c:pt idx="3">
                  <c:v>63</c:v>
                </c:pt>
                <c:pt idx="4">
                  <c:v>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SNI!$AK$61</c:f>
              <c:strCache>
                <c:ptCount val="1"/>
                <c:pt idx="0">
                  <c:v>Nivel 2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(SNI!$BB$27,SNI!$BG$27,SNI!$BL$27,SNI!$BQ$27,SNI!$BV$27)</c:f>
              <c:numCache>
                <c:formatCode>#,##0</c:formatCode>
                <c:ptCount val="5"/>
                <c:pt idx="0">
                  <c:v>34</c:v>
                </c:pt>
                <c:pt idx="1">
                  <c:v>34</c:v>
                </c:pt>
                <c:pt idx="2">
                  <c:v>35</c:v>
                </c:pt>
                <c:pt idx="3">
                  <c:v>34</c:v>
                </c:pt>
                <c:pt idx="4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SNI!$AK$62</c:f>
              <c:strCache>
                <c:ptCount val="1"/>
                <c:pt idx="0">
                  <c:v>Nivel 3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3"/>
              <c:layout>
                <c:manualLayout>
                  <c:x val="-3.8219288769211338E-2"/>
                  <c:y val="3.8112328321231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(SNI!$BC$27,SNI!$BH$27,SNI!$BM$27,SNI!$BR$27,SNI!$BW$27)</c:f>
              <c:numCache>
                <c:formatCode>#,##0</c:formatCode>
                <c:ptCount val="5"/>
                <c:pt idx="0">
                  <c:v>11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SNI!$AK$63</c:f>
              <c:strCache>
                <c:ptCount val="1"/>
                <c:pt idx="0">
                  <c:v>Candidato</c:v>
                </c:pt>
              </c:strCache>
            </c:strRef>
          </c:tx>
          <c:spPr>
            <a:ln w="15875">
              <a:solidFill>
                <a:schemeClr val="accent5">
                  <a:lumMod val="50000"/>
                </a:schemeClr>
              </a:solidFill>
            </a:ln>
          </c:spPr>
          <c:marker>
            <c:symbol val="triangle"/>
            <c:size val="3"/>
            <c:spPr>
              <a:solidFill>
                <a:schemeClr val="accent5">
                  <a:lumMod val="50000"/>
                </a:schemeClr>
              </a:solidFill>
              <a:ln>
                <a:solidFill>
                  <a:schemeClr val="accent5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2.9003216960122494E-2"/>
                  <c:y val="-2.6144672698279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9003216960122494E-2"/>
                  <c:y val="-3.14994227832388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9003216960122494E-2"/>
                  <c:y val="3.81123283212309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1263428069984523E-2"/>
                  <c:y val="-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(SNI!$AZ$27,SNI!$BE$27,SNI!$BJ$27,SNI!$BO$27,SNI!$BT$27)</c:f>
              <c:numCache>
                <c:formatCode>#,##0</c:formatCode>
                <c:ptCount val="5"/>
                <c:pt idx="0">
                  <c:v>3</c:v>
                </c:pt>
                <c:pt idx="1">
                  <c:v>3</c:v>
                </c:pt>
                <c:pt idx="2">
                  <c:v>8</c:v>
                </c:pt>
                <c:pt idx="3">
                  <c:v>15</c:v>
                </c:pt>
                <c:pt idx="4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681024"/>
        <c:axId val="125695104"/>
      </c:lineChart>
      <c:catAx>
        <c:axId val="12568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25695104"/>
        <c:crosses val="autoZero"/>
        <c:auto val="1"/>
        <c:lblAlgn val="ctr"/>
        <c:lblOffset val="100"/>
        <c:noMultiLvlLbl val="0"/>
      </c:catAx>
      <c:valAx>
        <c:axId val="12569510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5681024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9.7110440654744029E-2"/>
          <c:y val="0.88850481555914296"/>
          <c:w val="0.8081839887381228"/>
          <c:h val="9.0362040134484331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72CE"/>
                </a:solidFill>
              </a:defRPr>
            </a:pPr>
            <a:r>
              <a:rPr lang="es-MX" sz="1200">
                <a:solidFill>
                  <a:srgbClr val="0072CE"/>
                </a:solidFill>
              </a:rPr>
              <a:t>CBS</a:t>
            </a:r>
          </a:p>
        </c:rich>
      </c:tx>
      <c:layout>
        <c:manualLayout>
          <c:xMode val="edge"/>
          <c:yMode val="edge"/>
          <c:x val="0.46962344476241452"/>
          <c:y val="1.13815845506605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SNI!$AK$60</c:f>
              <c:strCache>
                <c:ptCount val="1"/>
                <c:pt idx="0">
                  <c:v>Nivel 1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(SNI!$BA$28,SNI!$BF$28,SNI!$BK$28,SNI!$BP$28,SNI!$BU$28)</c:f>
              <c:numCache>
                <c:formatCode>#,##0</c:formatCode>
                <c:ptCount val="5"/>
                <c:pt idx="0">
                  <c:v>53</c:v>
                </c:pt>
                <c:pt idx="1">
                  <c:v>55</c:v>
                </c:pt>
                <c:pt idx="2">
                  <c:v>61</c:v>
                </c:pt>
                <c:pt idx="3">
                  <c:v>66</c:v>
                </c:pt>
                <c:pt idx="4">
                  <c:v>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SNI!$AK$61</c:f>
              <c:strCache>
                <c:ptCount val="1"/>
                <c:pt idx="0">
                  <c:v>Nivel 2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(SNI!$BB$28,SNI!$BG$28,SNI!$BL$28,SNI!$BQ$28,SNI!$BV$28)</c:f>
              <c:numCache>
                <c:formatCode>#,##0</c:formatCode>
                <c:ptCount val="5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SNI!$AK$62</c:f>
              <c:strCache>
                <c:ptCount val="1"/>
                <c:pt idx="0">
                  <c:v>Nivel 3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2.5959077659349308E-2"/>
                  <c:y val="-2.6144672698279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9003216960122494E-2"/>
                  <c:y val="-2.6144672698279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9003216960122494E-2"/>
                  <c:y val="-3.14994227832388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003216960122494E-2"/>
                  <c:y val="-2.6144672698279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(SNI!$BC$28,SNI!$BH$28,SNI!$BM$28,SNI!$BR$28,SNI!$BW$28)</c:f>
              <c:numCache>
                <c:formatCode>#,##0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SNI!$AK$63</c:f>
              <c:strCache>
                <c:ptCount val="1"/>
                <c:pt idx="0">
                  <c:v>Candidato</c:v>
                </c:pt>
              </c:strCache>
            </c:strRef>
          </c:tx>
          <c:spPr>
            <a:ln w="15875">
              <a:solidFill>
                <a:schemeClr val="accent5">
                  <a:lumMod val="50000"/>
                </a:schemeClr>
              </a:solidFill>
            </a:ln>
          </c:spPr>
          <c:marker>
            <c:symbol val="triangle"/>
            <c:size val="3"/>
            <c:spPr>
              <a:solidFill>
                <a:schemeClr val="accent5">
                  <a:lumMod val="50000"/>
                </a:schemeClr>
              </a:solidFill>
              <a:ln>
                <a:solidFill>
                  <a:schemeClr val="accent5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2.9003216960122494E-2"/>
                  <c:y val="-2.6144672698279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9003216960122494E-2"/>
                  <c:y val="-3.14994227832388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726805276476162E-2"/>
                  <c:y val="-2.6144672698279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213101016766496E-2"/>
                  <c:y val="2.7402828151312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(SNI!$AZ$28,SNI!$BE$28,SNI!$BJ$28,SNI!$BO$28,SNI!$BT$28)</c:f>
              <c:numCache>
                <c:formatCode>#,##0</c:formatCode>
                <c:ptCount val="5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14</c:v>
                </c:pt>
                <c:pt idx="4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772928"/>
        <c:axId val="125774464"/>
      </c:lineChart>
      <c:catAx>
        <c:axId val="12577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25774464"/>
        <c:crosses val="autoZero"/>
        <c:auto val="1"/>
        <c:lblAlgn val="ctr"/>
        <c:lblOffset val="100"/>
        <c:noMultiLvlLbl val="0"/>
      </c:catAx>
      <c:valAx>
        <c:axId val="12577446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577292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9.7110440654744029E-2"/>
          <c:y val="0.88850481555914296"/>
          <c:w val="0.8081839887381228"/>
          <c:h val="9.0362040134484331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72CE"/>
                </a:solidFill>
              </a:defRPr>
            </a:pPr>
            <a:r>
              <a:rPr lang="es-MX" sz="1200">
                <a:solidFill>
                  <a:srgbClr val="0072CE"/>
                </a:solidFill>
              </a:rPr>
              <a:t>CAD</a:t>
            </a:r>
          </a:p>
        </c:rich>
      </c:tx>
      <c:layout>
        <c:manualLayout>
          <c:xMode val="edge"/>
          <c:yMode val="edge"/>
          <c:x val="0.46962344476241452"/>
          <c:y val="1.13815845506605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SNI!$AK$60</c:f>
              <c:strCache>
                <c:ptCount val="1"/>
                <c:pt idx="0">
                  <c:v>Nivel 1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3.2047356260895679E-2"/>
                  <c:y val="4.8821828491149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091495561668871E-2"/>
                  <c:y val="5.417657857610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(SNI!$BA$29,SNI!$BF$29,SNI!$BK$29,SNI!$BP$29,SNI!$BU$29)</c:f>
              <c:numCache>
                <c:formatCode>#,##0</c:formatCode>
                <c:ptCount val="5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11</c:v>
                </c:pt>
                <c:pt idx="4">
                  <c:v>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SNI!$AK$61</c:f>
              <c:strCache>
                <c:ptCount val="1"/>
                <c:pt idx="0">
                  <c:v>Nivel 2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2"/>
              <c:layout>
                <c:manualLayout>
                  <c:x val="-2.9003216960122494E-2"/>
                  <c:y val="5.417657857610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(SNI!$BB$29,SNI!$BG$29,SNI!$BL$29,SNI!$BQ$29,SNI!$BV$29)</c:f>
              <c:numCache>
                <c:formatCode>#,##0</c:formatCode>
                <c:ptCount val="5"/>
                <c:pt idx="0">
                  <c:v>9</c:v>
                </c:pt>
                <c:pt idx="1">
                  <c:v>9</c:v>
                </c:pt>
                <c:pt idx="2">
                  <c:v>8</c:v>
                </c:pt>
                <c:pt idx="3">
                  <c:v>5</c:v>
                </c:pt>
                <c:pt idx="4">
                  <c:v>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SNI!$AK$62</c:f>
              <c:strCache>
                <c:ptCount val="1"/>
                <c:pt idx="0">
                  <c:v>Nivel 3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(SNI!$BC$29,SNI!$BH$29,SNI!$BM$29,SNI!$BR$29,SNI!$BW$29)</c:f>
              <c:numCache>
                <c:formatCode>#,##0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SNI!$AK$63</c:f>
              <c:strCache>
                <c:ptCount val="1"/>
                <c:pt idx="0">
                  <c:v>Candidato</c:v>
                </c:pt>
              </c:strCache>
            </c:strRef>
          </c:tx>
          <c:spPr>
            <a:ln w="15875">
              <a:solidFill>
                <a:schemeClr val="accent5">
                  <a:lumMod val="50000"/>
                </a:schemeClr>
              </a:solidFill>
            </a:ln>
          </c:spPr>
          <c:marker>
            <c:symbol val="triangle"/>
            <c:size val="3"/>
            <c:spPr>
              <a:solidFill>
                <a:schemeClr val="accent5">
                  <a:lumMod val="50000"/>
                </a:schemeClr>
              </a:solidFill>
              <a:ln>
                <a:solidFill>
                  <a:schemeClr val="accent5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(SNI!$AZ$29,SNI!$BE$29,SNI!$BJ$29,SNI!$BO$29,SNI!$BT$29)</c:f>
              <c:numCache>
                <c:formatCode>#,##0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901824"/>
        <c:axId val="125915904"/>
      </c:lineChart>
      <c:catAx>
        <c:axId val="12590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25915904"/>
        <c:crosses val="autoZero"/>
        <c:auto val="1"/>
        <c:lblAlgn val="ctr"/>
        <c:lblOffset val="100"/>
        <c:noMultiLvlLbl val="0"/>
      </c:catAx>
      <c:valAx>
        <c:axId val="12591590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5901824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9.7110440654744029E-2"/>
          <c:y val="0.88850481555914296"/>
          <c:w val="0.8081839887381228"/>
          <c:h val="9.0362040134484331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72CE"/>
                </a:solidFill>
              </a:defRPr>
            </a:pPr>
            <a:r>
              <a:rPr lang="es-MX" sz="1200">
                <a:solidFill>
                  <a:srgbClr val="0072CE"/>
                </a:solidFill>
              </a:rPr>
              <a:t>TOTAL</a:t>
            </a:r>
          </a:p>
        </c:rich>
      </c:tx>
      <c:layout>
        <c:manualLayout>
          <c:xMode val="edge"/>
          <c:yMode val="edge"/>
          <c:x val="0.46962344476241452"/>
          <c:y val="1.13815845506605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SNI!$AK$60</c:f>
              <c:strCache>
                <c:ptCount val="1"/>
                <c:pt idx="0">
                  <c:v>Nivel 1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(SNI!$BA$30,SNI!$BF$30,SNI!$BK$30,SNI!$BP$30,SNI!$BU$30)</c:f>
              <c:numCache>
                <c:formatCode>#,##0</c:formatCode>
                <c:ptCount val="5"/>
                <c:pt idx="0">
                  <c:v>129</c:v>
                </c:pt>
                <c:pt idx="1">
                  <c:v>130</c:v>
                </c:pt>
                <c:pt idx="2">
                  <c:v>135</c:v>
                </c:pt>
                <c:pt idx="3">
                  <c:v>140</c:v>
                </c:pt>
                <c:pt idx="4">
                  <c:v>137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SNI!$AK$61</c:f>
              <c:strCache>
                <c:ptCount val="1"/>
                <c:pt idx="0">
                  <c:v>Nivel 2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(SNI!$BB$30,SNI!$BG$30,SNI!$BL$30,SNI!$BQ$30,SNI!$BV$30)</c:f>
              <c:numCache>
                <c:formatCode>#,##0</c:formatCode>
                <c:ptCount val="5"/>
                <c:pt idx="0">
                  <c:v>57</c:v>
                </c:pt>
                <c:pt idx="1">
                  <c:v>57</c:v>
                </c:pt>
                <c:pt idx="2">
                  <c:v>57</c:v>
                </c:pt>
                <c:pt idx="3">
                  <c:v>54</c:v>
                </c:pt>
                <c:pt idx="4">
                  <c:v>50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SNI!$AK$62</c:f>
              <c:strCache>
                <c:ptCount val="1"/>
                <c:pt idx="0">
                  <c:v>Nivel 3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3.5175149468438145E-2"/>
                  <c:y val="-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175149468438145E-2"/>
                  <c:y val="-4.8821828491149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175149468438145E-2"/>
                  <c:y val="4.7563673038116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(SNI!$BC$30,SNI!$BH$30,SNI!$BM$30,SNI!$BR$30,SNI!$BW$30)</c:f>
              <c:numCache>
                <c:formatCode>#,##0</c:formatCode>
                <c:ptCount val="5"/>
                <c:pt idx="0">
                  <c:v>13</c:v>
                </c:pt>
                <c:pt idx="1">
                  <c:v>14</c:v>
                </c:pt>
                <c:pt idx="2">
                  <c:v>15</c:v>
                </c:pt>
                <c:pt idx="3">
                  <c:v>18</c:v>
                </c:pt>
                <c:pt idx="4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SNI!$AK$63</c:f>
              <c:strCache>
                <c:ptCount val="1"/>
                <c:pt idx="0">
                  <c:v>Candidato</c:v>
                </c:pt>
              </c:strCache>
            </c:strRef>
          </c:tx>
          <c:spPr>
            <a:ln w="15875">
              <a:solidFill>
                <a:schemeClr val="accent5">
                  <a:lumMod val="50000"/>
                </a:schemeClr>
              </a:solidFill>
            </a:ln>
          </c:spPr>
          <c:marker>
            <c:symbol val="triangle"/>
            <c:size val="3"/>
            <c:spPr>
              <a:solidFill>
                <a:schemeClr val="accent5">
                  <a:lumMod val="50000"/>
                </a:schemeClr>
              </a:solidFill>
              <a:ln>
                <a:solidFill>
                  <a:schemeClr val="accent5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3.8219288769211338E-2"/>
                  <c:y val="3.8112328321231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175149468438145E-2"/>
                  <c:y val="3.8112328321231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(SNI!$AZ$30,SNI!$BE$30,SNI!$BJ$30,SNI!$BO$30,SNI!$BT$30)</c:f>
              <c:numCache>
                <c:formatCode>#,##0</c:formatCode>
                <c:ptCount val="5"/>
                <c:pt idx="0">
                  <c:v>12</c:v>
                </c:pt>
                <c:pt idx="1">
                  <c:v>12</c:v>
                </c:pt>
                <c:pt idx="2">
                  <c:v>18</c:v>
                </c:pt>
                <c:pt idx="3">
                  <c:v>31</c:v>
                </c:pt>
                <c:pt idx="4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981440"/>
        <c:axId val="125982976"/>
      </c:lineChart>
      <c:catAx>
        <c:axId val="12598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25982976"/>
        <c:crosses val="autoZero"/>
        <c:auto val="1"/>
        <c:lblAlgn val="ctr"/>
        <c:lblOffset val="100"/>
        <c:noMultiLvlLbl val="0"/>
      </c:catAx>
      <c:valAx>
        <c:axId val="12598297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5981440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9.7110440654744029E-2"/>
          <c:y val="0.88850481555914296"/>
          <c:w val="0.8081839887381228"/>
          <c:h val="9.0362040134484331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CD032E"/>
                </a:solidFill>
              </a:defRPr>
            </a:pPr>
            <a:r>
              <a:rPr lang="es-MX" sz="1200">
                <a:solidFill>
                  <a:srgbClr val="CD032E"/>
                </a:solidFill>
              </a:rPr>
              <a:t>Azcapotzalco</a:t>
            </a:r>
          </a:p>
        </c:rich>
      </c:tx>
      <c:layout>
        <c:manualLayout>
          <c:xMode val="edge"/>
          <c:yMode val="edge"/>
          <c:x val="0.3996082408446312"/>
          <c:y val="1.13815845506605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SNI!$A$7</c:f>
              <c:strCache>
                <c:ptCount val="1"/>
                <c:pt idx="0">
                  <c:v>CBI</c:v>
                </c:pt>
              </c:strCache>
            </c:strRef>
          </c:tx>
          <c:spPr>
            <a:ln w="15875">
              <a:solidFill>
                <a:schemeClr val="accent6">
                  <a:lumMod val="50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3.5175149468438145E-2"/>
                  <c:y val="4.8821828491149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1347081976753804E-2"/>
                  <c:y val="-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(SNI!$BD$7,SNI!$BI$7,SNI!$BN$7,SNI!$BS$7,SNI!$BX$7)</c:f>
              <c:numCache>
                <c:formatCode>#,##0</c:formatCode>
                <c:ptCount val="5"/>
                <c:pt idx="0">
                  <c:v>88</c:v>
                </c:pt>
                <c:pt idx="1">
                  <c:v>94</c:v>
                </c:pt>
                <c:pt idx="2">
                  <c:v>96</c:v>
                </c:pt>
                <c:pt idx="3">
                  <c:v>110</c:v>
                </c:pt>
                <c:pt idx="4">
                  <c:v>111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SNI!$A$8</c:f>
              <c:strCache>
                <c:ptCount val="1"/>
                <c:pt idx="0">
                  <c:v>CSH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0"/>
              <c:layout>
                <c:manualLayout>
                  <c:x val="-3.8219288769211338E-2"/>
                  <c:y val="-5.417657857610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(SNI!$BD$8,SNI!$BI$8,SNI!$BN$8,SNI!$BS$8,SNI!$BX$8)</c:f>
              <c:numCache>
                <c:formatCode>#,##0</c:formatCode>
                <c:ptCount val="5"/>
                <c:pt idx="0">
                  <c:v>89</c:v>
                </c:pt>
                <c:pt idx="1">
                  <c:v>88</c:v>
                </c:pt>
                <c:pt idx="2">
                  <c:v>88</c:v>
                </c:pt>
                <c:pt idx="3">
                  <c:v>104</c:v>
                </c:pt>
                <c:pt idx="4">
                  <c:v>109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SNI!$A$9</c:f>
              <c:strCache>
                <c:ptCount val="1"/>
                <c:pt idx="0">
                  <c:v>CAD</c:v>
                </c:pt>
              </c:strCache>
            </c:strRef>
          </c:tx>
          <c:spPr>
            <a:ln w="15875">
              <a:solidFill>
                <a:schemeClr val="accent3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3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(SNI!$BD$9,SNI!$BI$9,SNI!$BN$9,SNI!$BS$9,SNI!$BX$9)</c:f>
              <c:numCache>
                <c:formatCode>#,##0</c:formatCode>
                <c:ptCount val="5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8</c:v>
                </c:pt>
                <c:pt idx="4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020992"/>
        <c:axId val="126030976"/>
      </c:lineChart>
      <c:catAx>
        <c:axId val="12602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26030976"/>
        <c:crosses val="autoZero"/>
        <c:auto val="1"/>
        <c:lblAlgn val="ctr"/>
        <c:lblOffset val="100"/>
        <c:noMultiLvlLbl val="0"/>
      </c:catAx>
      <c:valAx>
        <c:axId val="12603097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602099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9.7110440654744029E-2"/>
          <c:y val="0.88850481555914296"/>
          <c:w val="0.8081839887381228"/>
          <c:h val="9.0362040134484331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Tipo de trabajo de los admitidos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'Admitidos SE'!$B$10</c:f>
              <c:strCache>
                <c:ptCount val="1"/>
                <c:pt idx="0">
                  <c:v>Permanente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SE'!$E$3:$P$3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('Admitidos SE'!$D$10:$O$10,'Admitidos SE'!$P$10)</c:f>
              <c:numCache>
                <c:formatCode>0%</c:formatCode>
                <c:ptCount val="12"/>
                <c:pt idx="0">
                  <c:v>0.37289494787489974</c:v>
                </c:pt>
                <c:pt idx="1">
                  <c:v>0.37583035258048031</c:v>
                </c:pt>
                <c:pt idx="2">
                  <c:v>0.35470888113764421</c:v>
                </c:pt>
                <c:pt idx="3">
                  <c:v>0.36749116607773852</c:v>
                </c:pt>
                <c:pt idx="4">
                  <c:v>0.35263730288200107</c:v>
                </c:pt>
                <c:pt idx="5">
                  <c:v>0.33660039204704567</c:v>
                </c:pt>
                <c:pt idx="6">
                  <c:v>0.33231921366721273</c:v>
                </c:pt>
                <c:pt idx="7">
                  <c:v>0.32930232558139533</c:v>
                </c:pt>
                <c:pt idx="8">
                  <c:v>0.31101778656126483</c:v>
                </c:pt>
                <c:pt idx="9">
                  <c:v>0.29876977152899825</c:v>
                </c:pt>
                <c:pt idx="10">
                  <c:v>0.3</c:v>
                </c:pt>
                <c:pt idx="11">
                  <c:v>0.28999999999999998</c:v>
                </c:pt>
              </c:numCache>
            </c:numRef>
          </c:val>
        </c:ser>
        <c:ser>
          <c:idx val="1"/>
          <c:order val="1"/>
          <c:tx>
            <c:strRef>
              <c:f>'Admitidos SE'!$B$14</c:f>
              <c:strCache>
                <c:ptCount val="1"/>
                <c:pt idx="0">
                  <c:v>Eventual</c:v>
                </c:pt>
              </c:strCache>
            </c:strRef>
          </c:tx>
          <c:spPr>
            <a:solidFill>
              <a:srgbClr val="FFC0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SE'!$E$3:$P$3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('Admitidos SE'!$D$14:$O$14,'Admitidos SE'!$P$14)</c:f>
              <c:numCache>
                <c:formatCode>0%</c:formatCode>
                <c:ptCount val="12"/>
                <c:pt idx="0">
                  <c:v>0.62710505212510026</c:v>
                </c:pt>
                <c:pt idx="1">
                  <c:v>0.62416964741951964</c:v>
                </c:pt>
                <c:pt idx="2">
                  <c:v>0.64529111886235579</c:v>
                </c:pt>
                <c:pt idx="3">
                  <c:v>0.63250883392226154</c:v>
                </c:pt>
                <c:pt idx="4">
                  <c:v>0.64736269711799888</c:v>
                </c:pt>
                <c:pt idx="5">
                  <c:v>0.66339960795295438</c:v>
                </c:pt>
                <c:pt idx="6">
                  <c:v>0.66768078633278727</c:v>
                </c:pt>
                <c:pt idx="7">
                  <c:v>0.67069767441860462</c:v>
                </c:pt>
                <c:pt idx="8">
                  <c:v>0.68898221343873522</c:v>
                </c:pt>
                <c:pt idx="9">
                  <c:v>0.7012302284710018</c:v>
                </c:pt>
                <c:pt idx="10">
                  <c:v>0.7</c:v>
                </c:pt>
                <c:pt idx="11">
                  <c:v>0.71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95028352"/>
        <c:axId val="95029888"/>
        <c:axId val="0"/>
      </c:bar3DChart>
      <c:catAx>
        <c:axId val="9502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5029888"/>
        <c:crosses val="autoZero"/>
        <c:auto val="1"/>
        <c:lblAlgn val="ctr"/>
        <c:lblOffset val="100"/>
        <c:noMultiLvlLbl val="0"/>
      </c:catAx>
      <c:valAx>
        <c:axId val="9502988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950283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722527834705593"/>
          <c:y val="0.93261733300756633"/>
          <c:w val="0.49950725947776164"/>
          <c:h val="6.697375328083989E-2"/>
        </c:manualLayout>
      </c:layout>
      <c:overlay val="0"/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F08200"/>
                </a:solidFill>
              </a:defRPr>
            </a:pPr>
            <a:r>
              <a:rPr lang="es-MX" sz="1200">
                <a:solidFill>
                  <a:srgbClr val="F08200"/>
                </a:solidFill>
              </a:rPr>
              <a:t>Cuajimalpa</a:t>
            </a:r>
          </a:p>
        </c:rich>
      </c:tx>
      <c:layout>
        <c:manualLayout>
          <c:xMode val="edge"/>
          <c:yMode val="edge"/>
          <c:x val="0.40569651944617757"/>
          <c:y val="1.13815845506605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SNI!$A$12</c:f>
              <c:strCache>
                <c:ptCount val="1"/>
                <c:pt idx="0">
                  <c:v>CSH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0"/>
              <c:layout>
                <c:manualLayout>
                  <c:x val="-3.5175149468438145E-2"/>
                  <c:y val="4.8821828491149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175149468438145E-2"/>
                  <c:y val="3.8112328321231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1347081976753804E-2"/>
                  <c:y val="4.8821828491149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(SNI!$BD$12,SNI!$BI$12,SNI!$BN$12,SNI!$BS$12,SNI!$BX$12)</c:f>
              <c:numCache>
                <c:formatCode>#,##0</c:formatCode>
                <c:ptCount val="5"/>
                <c:pt idx="0">
                  <c:v>39</c:v>
                </c:pt>
                <c:pt idx="1">
                  <c:v>43</c:v>
                </c:pt>
                <c:pt idx="2">
                  <c:v>42</c:v>
                </c:pt>
                <c:pt idx="3">
                  <c:v>46</c:v>
                </c:pt>
                <c:pt idx="4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SNI!$A$13</c:f>
              <c:strCache>
                <c:ptCount val="1"/>
                <c:pt idx="0">
                  <c:v>CCD</c:v>
                </c:pt>
              </c:strCache>
            </c:strRef>
          </c:tx>
          <c:spPr>
            <a:ln w="15875">
              <a:solidFill>
                <a:srgbClr val="C000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000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000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(SNI!$BD$13,SNI!$BI$13,SNI!$BN$13,SNI!$BS$13,SNI!$BX$13)</c:f>
              <c:numCache>
                <c:formatCode>#,##0</c:formatCode>
                <c:ptCount val="5"/>
                <c:pt idx="0">
                  <c:v>15</c:v>
                </c:pt>
                <c:pt idx="1">
                  <c:v>15</c:v>
                </c:pt>
                <c:pt idx="2">
                  <c:v>18</c:v>
                </c:pt>
                <c:pt idx="3">
                  <c:v>18</c:v>
                </c:pt>
                <c:pt idx="4">
                  <c:v>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SNI!$A$14</c:f>
              <c:strCache>
                <c:ptCount val="1"/>
                <c:pt idx="0">
                  <c:v>CNI</c:v>
                </c:pt>
              </c:strCache>
            </c:strRef>
          </c:tx>
          <c:spPr>
            <a:ln w="15875">
              <a:solidFill>
                <a:schemeClr val="bg1">
                  <a:lumMod val="65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</c:spPr>
          </c:marker>
          <c:dLbls>
            <c:dLbl>
              <c:idx val="1"/>
              <c:layout>
                <c:manualLayout>
                  <c:x val="-3.5175149468438145E-2"/>
                  <c:y val="5.417657857610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>
                        <a:lumMod val="65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(SNI!$BD$14,SNI!$BI$14,SNI!$BN$14,SNI!$BS$14,SNI!$BX$14)</c:f>
              <c:numCache>
                <c:formatCode>#,##0</c:formatCode>
                <c:ptCount val="5"/>
                <c:pt idx="0">
                  <c:v>40</c:v>
                </c:pt>
                <c:pt idx="1">
                  <c:v>39</c:v>
                </c:pt>
                <c:pt idx="2">
                  <c:v>46</c:v>
                </c:pt>
                <c:pt idx="3">
                  <c:v>51</c:v>
                </c:pt>
                <c:pt idx="4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083072"/>
        <c:axId val="126084608"/>
      </c:lineChart>
      <c:catAx>
        <c:axId val="12608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26084608"/>
        <c:crosses val="autoZero"/>
        <c:auto val="1"/>
        <c:lblAlgn val="ctr"/>
        <c:lblOffset val="100"/>
        <c:noMultiLvlLbl val="0"/>
      </c:catAx>
      <c:valAx>
        <c:axId val="12608460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608307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9.7110440654744029E-2"/>
          <c:y val="0.88850481555914296"/>
          <c:w val="0.8081839887381228"/>
          <c:h val="9.0362040134484331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57A519"/>
                </a:solidFill>
              </a:defRPr>
            </a:pPr>
            <a:r>
              <a:rPr lang="es-MX" sz="1200">
                <a:solidFill>
                  <a:srgbClr val="57A519"/>
                </a:solidFill>
              </a:rPr>
              <a:t>Iztapalapa</a:t>
            </a:r>
          </a:p>
        </c:rich>
      </c:tx>
      <c:layout>
        <c:manualLayout>
          <c:xMode val="edge"/>
          <c:yMode val="edge"/>
          <c:x val="0.40569651944617757"/>
          <c:y val="1.13815845506605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SNI!$A$17</c:f>
              <c:strCache>
                <c:ptCount val="1"/>
                <c:pt idx="0">
                  <c:v>CBI</c:v>
                </c:pt>
              </c:strCache>
            </c:strRef>
          </c:tx>
          <c:spPr>
            <a:ln w="15875">
              <a:solidFill>
                <a:schemeClr val="accent6">
                  <a:lumMod val="50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(SNI!$BD$17,SNI!$BI$17,SNI!$BN$17,SNI!$BS$17,SNI!$BX$17)</c:f>
              <c:numCache>
                <c:formatCode>#,##0</c:formatCode>
                <c:ptCount val="5"/>
                <c:pt idx="0">
                  <c:v>163</c:v>
                </c:pt>
                <c:pt idx="1">
                  <c:v>161</c:v>
                </c:pt>
                <c:pt idx="2">
                  <c:v>166</c:v>
                </c:pt>
                <c:pt idx="3">
                  <c:v>193</c:v>
                </c:pt>
                <c:pt idx="4">
                  <c:v>201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SNI!$A$18</c:f>
              <c:strCache>
                <c:ptCount val="1"/>
                <c:pt idx="0">
                  <c:v>CSH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0"/>
              <c:layout>
                <c:manualLayout>
                  <c:x val="-4.134708197675379E-2"/>
                  <c:y val="-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347081976753804E-2"/>
                  <c:y val="-3.14994227832388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1347081976753804E-2"/>
                  <c:y val="-3.6854172868198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1347081976753804E-2"/>
                  <c:y val="-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(SNI!$BD$18,SNI!$BI$18,SNI!$BN$18,SNI!$BS$18,SNI!$BX$18)</c:f>
              <c:numCache>
                <c:formatCode>#,##0</c:formatCode>
                <c:ptCount val="5"/>
                <c:pt idx="0">
                  <c:v>137</c:v>
                </c:pt>
                <c:pt idx="1">
                  <c:v>134</c:v>
                </c:pt>
                <c:pt idx="2">
                  <c:v>131</c:v>
                </c:pt>
                <c:pt idx="3">
                  <c:v>137</c:v>
                </c:pt>
                <c:pt idx="4">
                  <c:v>139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SNI!$A$19</c:f>
              <c:strCache>
                <c:ptCount val="1"/>
                <c:pt idx="0">
                  <c:v>CBS</c:v>
                </c:pt>
              </c:strCache>
            </c:strRef>
          </c:tx>
          <c:spPr>
            <a:ln w="15875">
              <a:solidFill>
                <a:schemeClr val="accent5">
                  <a:lumMod val="75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5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5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(SNI!$BD$19,SNI!$BI$19,SNI!$BN$19,SNI!$BS$19,SNI!$BX$19)</c:f>
              <c:numCache>
                <c:formatCode>#,##0</c:formatCode>
                <c:ptCount val="5"/>
                <c:pt idx="0">
                  <c:v>114</c:v>
                </c:pt>
                <c:pt idx="1">
                  <c:v>110</c:v>
                </c:pt>
                <c:pt idx="2">
                  <c:v>110</c:v>
                </c:pt>
                <c:pt idx="3">
                  <c:v>120</c:v>
                </c:pt>
                <c:pt idx="4">
                  <c:v>121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226432"/>
        <c:axId val="126227968"/>
      </c:lineChart>
      <c:catAx>
        <c:axId val="12622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26227968"/>
        <c:crosses val="autoZero"/>
        <c:auto val="1"/>
        <c:lblAlgn val="ctr"/>
        <c:lblOffset val="100"/>
        <c:noMultiLvlLbl val="0"/>
      </c:catAx>
      <c:valAx>
        <c:axId val="12622796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622643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9.7110440654744029E-2"/>
          <c:y val="0.88850481555914296"/>
          <c:w val="0.8081839887381228"/>
          <c:h val="9.0362040134484331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AD25A8"/>
                </a:solidFill>
              </a:defRPr>
            </a:pPr>
            <a:r>
              <a:rPr lang="es-MX" sz="1200">
                <a:solidFill>
                  <a:srgbClr val="AD25A8"/>
                </a:solidFill>
              </a:rPr>
              <a:t>Lerma</a:t>
            </a:r>
          </a:p>
        </c:rich>
      </c:tx>
      <c:layout>
        <c:manualLayout>
          <c:xMode val="edge"/>
          <c:yMode val="edge"/>
          <c:x val="0.44527033035622904"/>
          <c:y val="1.13815845506605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SNI!$A$22</c:f>
              <c:strCache>
                <c:ptCount val="1"/>
                <c:pt idx="0">
                  <c:v>CBI</c:v>
                </c:pt>
              </c:strCache>
            </c:strRef>
          </c:tx>
          <c:spPr>
            <a:ln w="15875">
              <a:solidFill>
                <a:schemeClr val="accent6">
                  <a:lumMod val="50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5.3356331366307991E-2"/>
                  <c:y val="5.98382781147569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(SNI!$BD$22,SNI!$BI$22,SNI!$BN$22,SNI!$BS$22,SNI!$BX$22)</c:f>
              <c:numCache>
                <c:formatCode>#,##0</c:formatCode>
                <c:ptCount val="5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9</c:v>
                </c:pt>
                <c:pt idx="4">
                  <c:v>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SNI!$A$23</c:f>
              <c:strCache>
                <c:ptCount val="1"/>
                <c:pt idx="0">
                  <c:v>CSH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0"/>
              <c:layout>
                <c:manualLayout>
                  <c:x val="-4.134708197675379E-2"/>
                  <c:y val="-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347081976753804E-2"/>
                  <c:y val="-3.14994227832388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1347081976753804E-2"/>
                  <c:y val="-3.6854172868198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1347081976753804E-2"/>
                  <c:y val="-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(SNI!$BD$23,SNI!$BI$23,SNI!$BN$23,SNI!$BS$23,SNI!$BX$23)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  <c:pt idx="4">
                  <c:v>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SNI!$A$24</c:f>
              <c:strCache>
                <c:ptCount val="1"/>
                <c:pt idx="0">
                  <c:v>CBS</c:v>
                </c:pt>
              </c:strCache>
            </c:strRef>
          </c:tx>
          <c:spPr>
            <a:ln w="15875">
              <a:solidFill>
                <a:schemeClr val="accent5">
                  <a:lumMod val="75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5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5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(SNI!$BD$24,SNI!$BI$24,SNI!$BN$24,SNI!$BS$24,SNI!$BX$24)</c:f>
              <c:numCache>
                <c:formatCode>#,##0</c:formatCode>
                <c:ptCount val="5"/>
                <c:pt idx="0">
                  <c:v>2</c:v>
                </c:pt>
                <c:pt idx="1">
                  <c:v>7</c:v>
                </c:pt>
                <c:pt idx="2">
                  <c:v>8</c:v>
                </c:pt>
                <c:pt idx="3">
                  <c:v>17</c:v>
                </c:pt>
                <c:pt idx="4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353792"/>
        <c:axId val="126355328"/>
      </c:lineChart>
      <c:catAx>
        <c:axId val="12635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26355328"/>
        <c:crosses val="autoZero"/>
        <c:auto val="1"/>
        <c:lblAlgn val="ctr"/>
        <c:lblOffset val="100"/>
        <c:noMultiLvlLbl val="0"/>
      </c:catAx>
      <c:valAx>
        <c:axId val="1263553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635379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9.7110440654744029E-2"/>
          <c:y val="0.88850481555914296"/>
          <c:w val="0.8081839887381228"/>
          <c:h val="9.0362040134484331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72CE"/>
                </a:solidFill>
              </a:defRPr>
            </a:pPr>
            <a:r>
              <a:rPr lang="es-MX" sz="1200">
                <a:solidFill>
                  <a:srgbClr val="0072CE"/>
                </a:solidFill>
              </a:rPr>
              <a:t>Xochimilco</a:t>
            </a:r>
          </a:p>
        </c:rich>
      </c:tx>
      <c:layout>
        <c:manualLayout>
          <c:xMode val="edge"/>
          <c:yMode val="edge"/>
          <c:x val="0.42396135525081668"/>
          <c:y val="1.13815845506605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SNI!$A$27</c:f>
              <c:strCache>
                <c:ptCount val="1"/>
                <c:pt idx="0">
                  <c:v>CSH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0"/>
              <c:layout>
                <c:manualLayout>
                  <c:x val="-5.3356331366307991E-2"/>
                  <c:y val="5.98382781147569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(SNI!$BD$27,SNI!$BI$27,SNI!$BN$27,SNI!$BS$27,SNI!$BX$27)</c:f>
              <c:numCache>
                <c:formatCode>#,##0</c:formatCode>
                <c:ptCount val="5"/>
                <c:pt idx="0">
                  <c:v>116</c:v>
                </c:pt>
                <c:pt idx="1">
                  <c:v>115</c:v>
                </c:pt>
                <c:pt idx="2">
                  <c:v>120</c:v>
                </c:pt>
                <c:pt idx="3">
                  <c:v>125</c:v>
                </c:pt>
                <c:pt idx="4">
                  <c:v>128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SNI!$A$28</c:f>
              <c:strCache>
                <c:ptCount val="1"/>
                <c:pt idx="0">
                  <c:v>CBS</c:v>
                </c:pt>
              </c:strCache>
            </c:strRef>
          </c:tx>
          <c:spPr>
            <a:ln w="15875">
              <a:solidFill>
                <a:schemeClr val="accent5">
                  <a:lumMod val="75000"/>
                </a:schemeClr>
              </a:solidFill>
            </a:ln>
          </c:spPr>
          <c:marker>
            <c:symbol val="square"/>
            <c:size val="3"/>
            <c:spPr>
              <a:noFill/>
              <a:ln>
                <a:solidFill>
                  <a:schemeClr val="accent5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4.134708197675379E-2"/>
                  <c:y val="-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347081976753804E-2"/>
                  <c:y val="-3.14994227832388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1347081976753804E-2"/>
                  <c:y val="-3.6854172868198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1347081976753804E-2"/>
                  <c:y val="-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5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(SNI!$BD$28,SNI!$BI$28,SNI!$BN$28,SNI!$BS$28,SNI!$BX$28)</c:f>
              <c:numCache>
                <c:formatCode>#,##0</c:formatCode>
                <c:ptCount val="5"/>
                <c:pt idx="0">
                  <c:v>76</c:v>
                </c:pt>
                <c:pt idx="1">
                  <c:v>79</c:v>
                </c:pt>
                <c:pt idx="2">
                  <c:v>86</c:v>
                </c:pt>
                <c:pt idx="3">
                  <c:v>98</c:v>
                </c:pt>
                <c:pt idx="4">
                  <c:v>102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SNI!$A$29</c:f>
              <c:strCache>
                <c:ptCount val="1"/>
                <c:pt idx="0">
                  <c:v>CAD</c:v>
                </c:pt>
              </c:strCache>
            </c:strRef>
          </c:tx>
          <c:spPr>
            <a:ln w="15875">
              <a:solidFill>
                <a:schemeClr val="accent3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3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(SNI!$BD$29,SNI!$BI$29,SNI!$BN$29,SNI!$BS$29,SNI!$BX$29)</c:f>
              <c:numCache>
                <c:formatCode>#,##0</c:formatCode>
                <c:ptCount val="5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20</c:v>
                </c:pt>
                <c:pt idx="4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395136"/>
        <c:axId val="126396672"/>
      </c:lineChart>
      <c:catAx>
        <c:axId val="12639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26396672"/>
        <c:crosses val="autoZero"/>
        <c:auto val="1"/>
        <c:lblAlgn val="ctr"/>
        <c:lblOffset val="100"/>
        <c:noMultiLvlLbl val="0"/>
      </c:catAx>
      <c:valAx>
        <c:axId val="12639667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6395136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9.7110440654744029E-2"/>
          <c:y val="0.88850481555914296"/>
          <c:w val="0.8081839887381228"/>
          <c:h val="9.0362040134484331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1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view3D>
      <c:rotX val="15"/>
      <c:rotY val="20"/>
      <c:rAngAx val="1"/>
    </c:view3D>
    <c:floor>
      <c:thickness val="0"/>
      <c:spPr>
        <a:noFill/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0106219723517026E-2"/>
          <c:y val="6.1406336228389341E-2"/>
          <c:w val="0.96228032576082301"/>
          <c:h val="0.79754505333231385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'Cuerpos Acad'!$Z$136</c:f>
              <c:strCache>
                <c:ptCount val="1"/>
                <c:pt idx="0">
                  <c:v>CAC: Cuerpos Académicos Consolidados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/>
              <a:bevelB/>
              <a:contourClr>
                <a:srgbClr val="000000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Acad'!$Z$42:$Z$54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('Cuerpos Acad'!$B$37,'Cuerpos Acad'!$F$37,'Cuerpos Acad'!$J$37,'Cuerpos Acad'!$N$37,'Cuerpos Acad'!$R$37,'Cuerpos Acad'!$V$37,'Cuerpos Acad'!$Z$37,'Cuerpos Acad'!$AD$37,'Cuerpos Acad'!$AH$37,'Cuerpos Acad'!$AL$37,'Cuerpos Acad'!$AP$37,'Cuerpos Acad'!$AT$37,'Cuerpos Acad'!$AX$37)</c:f>
              <c:numCache>
                <c:formatCode>General</c:formatCode>
                <c:ptCount val="13"/>
                <c:pt idx="0">
                  <c:v>15</c:v>
                </c:pt>
                <c:pt idx="1">
                  <c:v>17</c:v>
                </c:pt>
                <c:pt idx="2">
                  <c:v>23</c:v>
                </c:pt>
                <c:pt idx="3">
                  <c:v>49</c:v>
                </c:pt>
                <c:pt idx="4">
                  <c:v>54</c:v>
                </c:pt>
                <c:pt idx="5">
                  <c:v>57</c:v>
                </c:pt>
                <c:pt idx="6">
                  <c:v>66</c:v>
                </c:pt>
                <c:pt idx="7">
                  <c:v>73</c:v>
                </c:pt>
                <c:pt idx="8">
                  <c:v>72</c:v>
                </c:pt>
                <c:pt idx="9">
                  <c:v>80</c:v>
                </c:pt>
                <c:pt idx="10">
                  <c:v>81</c:v>
                </c:pt>
                <c:pt idx="11">
                  <c:v>84</c:v>
                </c:pt>
                <c:pt idx="12">
                  <c:v>87</c:v>
                </c:pt>
              </c:numCache>
            </c:numRef>
          </c:val>
        </c:ser>
        <c:ser>
          <c:idx val="1"/>
          <c:order val="1"/>
          <c:tx>
            <c:strRef>
              <c:f>'Cuerpos Acad'!$Z$137</c:f>
              <c:strCache>
                <c:ptCount val="1"/>
                <c:pt idx="0">
                  <c:v>CAEC: Cuerpos Académicos en Consolidación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/>
              <a:bevelB/>
              <a:contourClr>
                <a:srgbClr val="000000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Acad'!$Z$42:$Z$54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('Cuerpos Acad'!$C$37,'Cuerpos Acad'!$G$37,'Cuerpos Acad'!$K$37,'Cuerpos Acad'!$O$37,'Cuerpos Acad'!$S$37,'Cuerpos Acad'!$W$37,'Cuerpos Acad'!$AA$37,'Cuerpos Acad'!$AE$37,'Cuerpos Acad'!$AI$37,'Cuerpos Acad'!$AM$37,'Cuerpos Acad'!$AQ$37,'Cuerpos Acad'!$AU$37,'Cuerpos Acad'!$AY$37)</c:f>
              <c:numCache>
                <c:formatCode>General</c:formatCode>
                <c:ptCount val="13"/>
                <c:pt idx="0">
                  <c:v>44</c:v>
                </c:pt>
                <c:pt idx="1">
                  <c:v>54</c:v>
                </c:pt>
                <c:pt idx="2">
                  <c:v>53</c:v>
                </c:pt>
                <c:pt idx="3">
                  <c:v>71</c:v>
                </c:pt>
                <c:pt idx="4">
                  <c:v>85</c:v>
                </c:pt>
                <c:pt idx="5">
                  <c:v>87</c:v>
                </c:pt>
                <c:pt idx="6">
                  <c:v>99</c:v>
                </c:pt>
                <c:pt idx="7">
                  <c:v>111</c:v>
                </c:pt>
                <c:pt idx="8">
                  <c:v>112</c:v>
                </c:pt>
                <c:pt idx="9">
                  <c:v>99</c:v>
                </c:pt>
                <c:pt idx="10">
                  <c:v>96</c:v>
                </c:pt>
                <c:pt idx="11">
                  <c:v>92</c:v>
                </c:pt>
                <c:pt idx="12">
                  <c:v>81</c:v>
                </c:pt>
              </c:numCache>
            </c:numRef>
          </c:val>
        </c:ser>
        <c:ser>
          <c:idx val="2"/>
          <c:order val="2"/>
          <c:tx>
            <c:strRef>
              <c:f>'Cuerpos Acad'!$Z$138</c:f>
              <c:strCache>
                <c:ptCount val="1"/>
                <c:pt idx="0">
                  <c:v>CAEF: Cuerpos Academicos en Formación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/>
              <a:bevelB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5.1435919417059661E-3"/>
                  <c:y val="-2.4933768450497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1435919417059739E-3"/>
                  <c:y val="-2.4933768450497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435919417059583E-3"/>
                  <c:y val="-2.4933768450497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6.8581225889412772E-3"/>
                  <c:y val="4.571138076414139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5.143591941705958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5.1435919417059583E-3"/>
                  <c:y val="-4.98675369009956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5.1435919417059583E-3"/>
                  <c:y val="-2.4933768450497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1.028718388341191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8.5726532361765969E-3"/>
                  <c:y val="-2.4933768450497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5.143591941705958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8.5726532361765969E-3"/>
                  <c:y val="-2.4933768450497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6.8581225889414029E-3"/>
                  <c:y val="-2.4933768450497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Acad'!$Z$42:$Z$54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('Cuerpos Acad'!$D$37,'Cuerpos Acad'!$H$37,'Cuerpos Acad'!$L$37,'Cuerpos Acad'!$P$37,'Cuerpos Acad'!$T$37,'Cuerpos Acad'!$X$37,'Cuerpos Acad'!$AB$37,'Cuerpos Acad'!$AF$37,'Cuerpos Acad'!$AJ$37,'Cuerpos Acad'!$AN$37,'Cuerpos Acad'!$AR$37,'Cuerpos Acad'!$AV$37,'Cuerpos Acad'!$AZ$37)</c:f>
              <c:numCache>
                <c:formatCode>General</c:formatCode>
                <c:ptCount val="13"/>
                <c:pt idx="0">
                  <c:v>154</c:v>
                </c:pt>
                <c:pt idx="1">
                  <c:v>178</c:v>
                </c:pt>
                <c:pt idx="2">
                  <c:v>192</c:v>
                </c:pt>
                <c:pt idx="3">
                  <c:v>171</c:v>
                </c:pt>
                <c:pt idx="4">
                  <c:v>163</c:v>
                </c:pt>
                <c:pt idx="5">
                  <c:v>165</c:v>
                </c:pt>
                <c:pt idx="6">
                  <c:v>146</c:v>
                </c:pt>
                <c:pt idx="7">
                  <c:v>93</c:v>
                </c:pt>
                <c:pt idx="8">
                  <c:v>102</c:v>
                </c:pt>
                <c:pt idx="9">
                  <c:v>107</c:v>
                </c:pt>
                <c:pt idx="10">
                  <c:v>105</c:v>
                </c:pt>
                <c:pt idx="11">
                  <c:v>101</c:v>
                </c:pt>
                <c:pt idx="12">
                  <c:v>111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gapDepth val="95"/>
        <c:shape val="cylinder"/>
        <c:axId val="39016704"/>
        <c:axId val="39038976"/>
        <c:axId val="0"/>
      </c:bar3DChart>
      <c:catAx>
        <c:axId val="3901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9038976"/>
        <c:crosses val="autoZero"/>
        <c:auto val="1"/>
        <c:lblAlgn val="ctr"/>
        <c:lblOffset val="100"/>
        <c:noMultiLvlLbl val="0"/>
      </c:catAx>
      <c:valAx>
        <c:axId val="390389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390167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12975717574912"/>
          <c:y val="0.92021212104570116"/>
          <c:w val="0.31651709143989781"/>
          <c:h val="7.8756253857504774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CD032E"/>
                </a:solidFill>
              </a:defRPr>
            </a:pPr>
            <a:r>
              <a:rPr lang="es-MX" sz="1200">
                <a:solidFill>
                  <a:srgbClr val="CD032E"/>
                </a:solidFill>
              </a:rPr>
              <a:t>CBI</a:t>
            </a:r>
          </a:p>
        </c:rich>
      </c:tx>
      <c:layout>
        <c:manualLayout>
          <c:xMode val="edge"/>
          <c:yMode val="edge"/>
          <c:x val="0.46962344476241452"/>
          <c:y val="1.13815845506605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Acad'!$AD$4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Acad'!$AD$6,'Cuerpos Acad'!$AH$6,'Cuerpos Acad'!$AL$6,'Cuerpos Acad'!$AP$6,'Cuerpos Acad'!$AT$6)</c:f>
              <c:numCache>
                <c:formatCode>General</c:formatCode>
                <c:ptCount val="5"/>
                <c:pt idx="0">
                  <c:v>6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'Cuerpos Acad'!$AE$4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1"/>
              <c:layout>
                <c:manualLayout>
                  <c:x val="-5.0312192065534805E-2"/>
                  <c:y val="1.0080422443401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175149468438145E-2"/>
                  <c:y val="-5.417657857610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307567370757708E-2"/>
                  <c:y val="-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1263428069984523E-2"/>
                  <c:y val="-3.81123283212309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Acad'!$AE$6,'Cuerpos Acad'!$AI$6,'Cuerpos Acad'!$AM$6,'Cuerpos Acad'!$AQ$6,'Cuerpos Acad'!$AU$6)</c:f>
              <c:numCache>
                <c:formatCode>General</c:formatCode>
                <c:ptCount val="5"/>
                <c:pt idx="0">
                  <c:v>12</c:v>
                </c:pt>
                <c:pt idx="1">
                  <c:v>9</c:v>
                </c:pt>
                <c:pt idx="2">
                  <c:v>11</c:v>
                </c:pt>
                <c:pt idx="3">
                  <c:v>11</c:v>
                </c:pt>
                <c:pt idx="4">
                  <c:v>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'Cuerpos Acad'!$AF$4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3.5175149468438145E-2"/>
                  <c:y val="4.346707840619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003216960122494E-2"/>
                  <c:y val="-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003216960122494E-2"/>
                  <c:y val="-3.6854172868198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Acad'!$AF$6,'Cuerpos Acad'!$AJ$6,'Cuerpos Acad'!$AN$6,'Cuerpos Acad'!$AR$6,'Cuerpos Acad'!$AV$6)</c:f>
              <c:numCache>
                <c:formatCode>General</c:formatCode>
                <c:ptCount val="5"/>
                <c:pt idx="0">
                  <c:v>12</c:v>
                </c:pt>
                <c:pt idx="1">
                  <c:v>10</c:v>
                </c:pt>
                <c:pt idx="2">
                  <c:v>9</c:v>
                </c:pt>
                <c:pt idx="3">
                  <c:v>9</c:v>
                </c:pt>
                <c:pt idx="4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45088"/>
        <c:axId val="39559168"/>
      </c:lineChart>
      <c:catAx>
        <c:axId val="3954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39559168"/>
        <c:crosses val="autoZero"/>
        <c:auto val="1"/>
        <c:lblAlgn val="ctr"/>
        <c:lblOffset val="100"/>
        <c:noMultiLvlLbl val="0"/>
      </c:catAx>
      <c:valAx>
        <c:axId val="395591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954508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CD032E"/>
                </a:solidFill>
              </a:defRPr>
            </a:pPr>
            <a:r>
              <a:rPr lang="es-MX" sz="1200">
                <a:solidFill>
                  <a:srgbClr val="CD032E"/>
                </a:solidFill>
              </a:rPr>
              <a:t>CSH</a:t>
            </a:r>
          </a:p>
        </c:rich>
      </c:tx>
      <c:layout>
        <c:manualLayout>
          <c:xMode val="edge"/>
          <c:yMode val="edge"/>
          <c:x val="0.45744688755932178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9866089084489518E-2"/>
          <c:w val="0.93302893538298992"/>
          <c:h val="0.66336372751321193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Acad'!$AD$4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Acad'!$AD$7,'Cuerpos Acad'!$AH$7,'Cuerpos Acad'!$AL$7,'Cuerpos Acad'!$AP$7,'Cuerpos Acad'!$AT$7)</c:f>
              <c:numCache>
                <c:formatCode>General</c:formatCode>
                <c:ptCount val="5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'Cuerpos Acad'!$AE$4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4"/>
              <c:layout>
                <c:manualLayout>
                  <c:x val="-4.4307567370757597E-2"/>
                  <c:y val="3.8112328321231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Acad'!$AE$7,'Cuerpos Acad'!$AI$7,'Cuerpos Acad'!$AM$7,'Cuerpos Acad'!$AQ$7,'Cuerpos Acad'!$AU$7)</c:f>
              <c:numCache>
                <c:formatCode>General</c:formatCode>
                <c:ptCount val="5"/>
                <c:pt idx="0">
                  <c:v>16</c:v>
                </c:pt>
                <c:pt idx="1">
                  <c:v>17</c:v>
                </c:pt>
                <c:pt idx="2">
                  <c:v>15</c:v>
                </c:pt>
                <c:pt idx="3">
                  <c:v>15</c:v>
                </c:pt>
                <c:pt idx="4">
                  <c:v>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'Cuerpos Acad'!$AF$4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3.5175149468438145E-2"/>
                  <c:y val="5.417657857610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Acad'!$AF$7,'Cuerpos Acad'!$AJ$7,'Cuerpos Acad'!$AN$7,'Cuerpos Acad'!$AR$7,'Cuerpos Acad'!$AV$7)</c:f>
              <c:numCache>
                <c:formatCode>General</c:formatCode>
                <c:ptCount val="5"/>
                <c:pt idx="0">
                  <c:v>12</c:v>
                </c:pt>
                <c:pt idx="1">
                  <c:v>11</c:v>
                </c:pt>
                <c:pt idx="2">
                  <c:v>9</c:v>
                </c:pt>
                <c:pt idx="3">
                  <c:v>10</c:v>
                </c:pt>
                <c:pt idx="4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922304"/>
        <c:axId val="39944576"/>
      </c:lineChart>
      <c:catAx>
        <c:axId val="3992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39944576"/>
        <c:crosses val="autoZero"/>
        <c:auto val="1"/>
        <c:lblAlgn val="ctr"/>
        <c:lblOffset val="100"/>
        <c:noMultiLvlLbl val="0"/>
      </c:catAx>
      <c:valAx>
        <c:axId val="399445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9922304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CD032E"/>
                </a:solidFill>
              </a:defRPr>
            </a:pPr>
            <a:r>
              <a:rPr lang="es-MX" sz="1200">
                <a:solidFill>
                  <a:srgbClr val="CD032E"/>
                </a:solidFill>
              </a:rPr>
              <a:t>CAD</a:t>
            </a:r>
          </a:p>
        </c:rich>
      </c:tx>
      <c:layout>
        <c:manualLayout>
          <c:xMode val="edge"/>
          <c:yMode val="edge"/>
          <c:x val="0.46353516616086815"/>
          <c:y val="1.13815845506605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0.11593033933936719"/>
          <c:w val="0.93302893538298992"/>
          <c:h val="0.64729947725833425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Acad'!$AD$4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Acad'!$AD$8,'Cuerpos Acad'!$AH$8,'Cuerpos Acad'!$AL$8,'Cuerpos Acad'!$AP$8,'Cuerpos Acad'!$AT$8)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'Cuerpos Acad'!$AE$4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Acad'!$AE$8,'Cuerpos Acad'!$AI$8,'Cuerpos Acad'!$AM$8,'Cuerpos Acad'!$AQ$8,'Cuerpos Acad'!$AU$8)</c:f>
              <c:numCache>
                <c:formatCode>General</c:formatCode>
                <c:ptCount val="5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'Cuerpos Acad'!$AF$4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Acad'!$AF$8,'Cuerpos Acad'!$AJ$8,'Cuerpos Acad'!$AN$8,'Cuerpos Acad'!$AR$8,'Cuerpos Acad'!$AV$8)</c:f>
              <c:numCache>
                <c:formatCode>General</c:formatCode>
                <c:ptCount val="5"/>
                <c:pt idx="0">
                  <c:v>12</c:v>
                </c:pt>
                <c:pt idx="1">
                  <c:v>15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984128"/>
        <c:axId val="40014592"/>
      </c:lineChart>
      <c:catAx>
        <c:axId val="3998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40014592"/>
        <c:crosses val="autoZero"/>
        <c:auto val="1"/>
        <c:lblAlgn val="ctr"/>
        <c:lblOffset val="100"/>
        <c:noMultiLvlLbl val="0"/>
      </c:catAx>
      <c:valAx>
        <c:axId val="400145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998412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CD032E"/>
                </a:solidFill>
              </a:defRPr>
            </a:pPr>
            <a:r>
              <a:rPr lang="es-MX" sz="1200">
                <a:solidFill>
                  <a:srgbClr val="CD032E"/>
                </a:solidFill>
              </a:rPr>
              <a:t>TOTAL</a:t>
            </a:r>
          </a:p>
        </c:rich>
      </c:tx>
      <c:layout>
        <c:manualLayout>
          <c:xMode val="edge"/>
          <c:yMode val="edge"/>
          <c:x val="0.45135860895777541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0.11057558925440797"/>
          <c:w val="0.93302893538298992"/>
          <c:h val="0.65265422734329348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Acad'!$AD$4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Acad'!$AD$9,'Cuerpos Acad'!$AH$9,'Cuerpos Acad'!$AL$9,'Cuerpos Acad'!$AP$9,'Cuerpos Acad'!$AT$9)</c:f>
              <c:numCache>
                <c:formatCode>General</c:formatCode>
                <c:ptCount val="5"/>
                <c:pt idx="0">
                  <c:v>13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'Cuerpos Acad'!$AE$4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Acad'!$AE$9,'Cuerpos Acad'!$AI$9,'Cuerpos Acad'!$AM$9,'Cuerpos Acad'!$AQ$9,'Cuerpos Acad'!$AU$9)</c:f>
              <c:numCache>
                <c:formatCode>General</c:formatCode>
                <c:ptCount val="5"/>
                <c:pt idx="0">
                  <c:v>32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'Cuerpos Acad'!$AF$4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Acad'!$AF$9,'Cuerpos Acad'!$AJ$9,'Cuerpos Acad'!$AN$9,'Cuerpos Acad'!$AR$9,'Cuerpos Acad'!$AV$9)</c:f>
              <c:numCache>
                <c:formatCode>General</c:formatCode>
                <c:ptCount val="5"/>
                <c:pt idx="0">
                  <c:v>36</c:v>
                </c:pt>
                <c:pt idx="1">
                  <c:v>36</c:v>
                </c:pt>
                <c:pt idx="2">
                  <c:v>34</c:v>
                </c:pt>
                <c:pt idx="3">
                  <c:v>35</c:v>
                </c:pt>
                <c:pt idx="4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52736"/>
        <c:axId val="39666816"/>
      </c:lineChart>
      <c:catAx>
        <c:axId val="3965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39666816"/>
        <c:crosses val="autoZero"/>
        <c:auto val="1"/>
        <c:lblAlgn val="ctr"/>
        <c:lblOffset val="100"/>
        <c:noMultiLvlLbl val="0"/>
      </c:catAx>
      <c:valAx>
        <c:axId val="396668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9652736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F08200"/>
                </a:solidFill>
              </a:defRPr>
            </a:pPr>
            <a:r>
              <a:rPr lang="es-MX" sz="1200">
                <a:solidFill>
                  <a:srgbClr val="F08200"/>
                </a:solidFill>
              </a:rPr>
              <a:t>CSH</a:t>
            </a:r>
          </a:p>
        </c:rich>
      </c:tx>
      <c:layout>
        <c:manualLayout>
          <c:xMode val="edge"/>
          <c:yMode val="edge"/>
          <c:x val="0.46657930546164134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Acad'!$AD$4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dLbl>
              <c:idx val="4"/>
              <c:layout>
                <c:manualLayout>
                  <c:x val="-2.9003216960122494E-2"/>
                  <c:y val="-2.2048078066353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Acad'!$AD$11,'Cuerpos Acad'!$AH$11,'Cuerpos Acad'!$AL$11,'Cuerpos Acad'!$AP$11,'Cuerpos Acad'!$AT$11)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'Cuerpos Acad'!$AE$4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1"/>
              <c:layout>
                <c:manualLayout>
                  <c:x val="-3.5091495561668871E-2"/>
                  <c:y val="-5.4176578576108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175149468438145E-2"/>
                  <c:y val="-5.417657857610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307567370757708E-2"/>
                  <c:y val="-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2131249863672898E-2"/>
                  <c:y val="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Acad'!$AE$11,'Cuerpos Acad'!$AI$11,'Cuerpos Acad'!$AM$11,'Cuerpos Acad'!$AQ$11,'Cuerpos Acad'!$AU$11)</c:f>
              <c:numCache>
                <c:formatCode>General</c:formatCode>
                <c:ptCount val="5"/>
                <c:pt idx="0">
                  <c:v>4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'Cuerpos Acad'!$AF$4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3.5175149468438145E-2"/>
                  <c:y val="4.346707840619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003216960122494E-2"/>
                  <c:y val="-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003216960122494E-2"/>
                  <c:y val="-3.6854172868198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Acad'!$AF$11,'Cuerpos Acad'!$AJ$11,'Cuerpos Acad'!$AN$11,'Cuerpos Acad'!$AR$11,'Cuerpos Acad'!$AV$11)</c:f>
              <c:numCache>
                <c:formatCode>General</c:formatCode>
                <c:ptCount val="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7</c:v>
                </c:pt>
                <c:pt idx="4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18912"/>
        <c:axId val="39720448"/>
      </c:lineChart>
      <c:catAx>
        <c:axId val="3971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39720448"/>
        <c:crosses val="autoZero"/>
        <c:auto val="1"/>
        <c:lblAlgn val="ctr"/>
        <c:lblOffset val="100"/>
        <c:noMultiLvlLbl val="0"/>
      </c:catAx>
      <c:valAx>
        <c:axId val="397204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971891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/>
            </a:pPr>
            <a:r>
              <a:rPr lang="es-MX" sz="1800" b="1" i="0"/>
              <a:t>Estudios del Padre de los admitidos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9686798120551973E-2"/>
          <c:y val="8.0320097681870484E-2"/>
          <c:w val="0.96467499760910458"/>
          <c:h val="0.72783756860064264"/>
        </c:manualLayout>
      </c:layout>
      <c:lineChart>
        <c:grouping val="standard"/>
        <c:varyColors val="0"/>
        <c:ser>
          <c:idx val="0"/>
          <c:order val="0"/>
          <c:tx>
            <c:strRef>
              <c:f>'Admitidos SE'!$B$22</c:f>
              <c:strCache>
                <c:ptCount val="1"/>
                <c:pt idx="0">
                  <c:v>ninguno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0070C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0C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SE'!$E$3:$P$3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('Admitidos SE'!$D$22:$O$22,'Admitidos SE'!$P$22)</c:f>
              <c:numCache>
                <c:formatCode>0%</c:formatCode>
                <c:ptCount val="12"/>
                <c:pt idx="0">
                  <c:v>2.5999999999999999E-2</c:v>
                </c:pt>
                <c:pt idx="1">
                  <c:v>2.3E-2</c:v>
                </c:pt>
                <c:pt idx="2">
                  <c:v>2.1999999999999999E-2</c:v>
                </c:pt>
                <c:pt idx="3">
                  <c:v>2.5999999999999999E-2</c:v>
                </c:pt>
                <c:pt idx="4">
                  <c:v>2.9000000000000001E-2</c:v>
                </c:pt>
                <c:pt idx="5">
                  <c:v>3.2000000000000001E-2</c:v>
                </c:pt>
                <c:pt idx="6">
                  <c:v>3.2000000000000001E-2</c:v>
                </c:pt>
                <c:pt idx="7">
                  <c:v>3.2000000000000001E-2</c:v>
                </c:pt>
                <c:pt idx="8">
                  <c:v>3.4000000000000002E-2</c:v>
                </c:pt>
                <c:pt idx="9">
                  <c:v>0.03</c:v>
                </c:pt>
                <c:pt idx="10">
                  <c:v>3.4000000000000002E-2</c:v>
                </c:pt>
                <c:pt idx="11">
                  <c:v>3.3000000000000002E-2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'Admitidos SE'!$B$23</c:f>
              <c:strCache>
                <c:ptCount val="1"/>
                <c:pt idx="0">
                  <c:v>primaria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00000"/>
                </a:solidFill>
              </a:ln>
            </c:spPr>
          </c:marker>
          <c:dLbls>
            <c:dLbl>
              <c:idx val="0"/>
              <c:layout>
                <c:manualLayout>
                  <c:x val="-2.1476507040602152E-2"/>
                  <c:y val="-2.5610234414307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3266215960652332E-2"/>
                  <c:y val="-1.92076758107302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6845633800752694E-2"/>
                  <c:y val="2.8811513716095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0738253520301076E-2"/>
                  <c:y val="-1.2805117207153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0126983114964879E-2"/>
                  <c:y val="1.8540740202891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2.6845633800752694E-2"/>
                  <c:y val="2.2408955112518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8635342720802873E-2"/>
                  <c:y val="2.56102344143071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3266215960652332E-2"/>
                  <c:y val="1.92076758107302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3266215960652332E-2"/>
                  <c:y val="-1.92076758107302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3266215960652332E-2"/>
                  <c:y val="-2.2408955112518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2.3266215960652332E-2"/>
                  <c:y val="-2.5610234414307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1.8893387314439947E-2"/>
                  <c:y val="-2.4266928571155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SE'!$E$3:$P$3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('Admitidos SE'!$D$23:$O$23,'Admitidos SE'!$P$23)</c:f>
              <c:numCache>
                <c:formatCode>0%</c:formatCode>
                <c:ptCount val="12"/>
                <c:pt idx="0">
                  <c:v>0.219</c:v>
                </c:pt>
                <c:pt idx="1">
                  <c:v>0.188</c:v>
                </c:pt>
                <c:pt idx="2">
                  <c:v>0.17599999999999999</c:v>
                </c:pt>
                <c:pt idx="3">
                  <c:v>0.17</c:v>
                </c:pt>
                <c:pt idx="4">
                  <c:v>0.159</c:v>
                </c:pt>
                <c:pt idx="5">
                  <c:v>0.159</c:v>
                </c:pt>
                <c:pt idx="6">
                  <c:v>0.14599999999999999</c:v>
                </c:pt>
                <c:pt idx="7">
                  <c:v>0.14099999999999999</c:v>
                </c:pt>
                <c:pt idx="8">
                  <c:v>0.129</c:v>
                </c:pt>
                <c:pt idx="9">
                  <c:v>0.126</c:v>
                </c:pt>
                <c:pt idx="10">
                  <c:v>0.112</c:v>
                </c:pt>
                <c:pt idx="11">
                  <c:v>0.10199999999999999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'Admitidos SE'!$B$24</c:f>
              <c:strCache>
                <c:ptCount val="1"/>
                <c:pt idx="0">
                  <c:v>secundaria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00B050"/>
                </a:solidFill>
              </a:ln>
            </c:spPr>
          </c:marker>
          <c:dLbls>
            <c:dLbl>
              <c:idx val="0"/>
              <c:layout>
                <c:manualLayout>
                  <c:x val="-2.5798724543504441E-2"/>
                  <c:y val="2.2785042413169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770155248812522E-2"/>
                  <c:y val="2.21085943992013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B05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SE'!$E$3:$P$3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('Admitidos SE'!$D$24:$N$24,'Admitidos SE'!$O$24,'Admitidos SE'!$P$24)</c:f>
              <c:numCache>
                <c:formatCode>0%</c:formatCode>
                <c:ptCount val="12"/>
                <c:pt idx="0">
                  <c:v>0.20599999999999999</c:v>
                </c:pt>
                <c:pt idx="1">
                  <c:v>0.185</c:v>
                </c:pt>
                <c:pt idx="2">
                  <c:v>0.191</c:v>
                </c:pt>
                <c:pt idx="3">
                  <c:v>0.19900000000000001</c:v>
                </c:pt>
                <c:pt idx="4">
                  <c:v>0.20100000000000001</c:v>
                </c:pt>
                <c:pt idx="5">
                  <c:v>0.20899999999999999</c:v>
                </c:pt>
                <c:pt idx="6">
                  <c:v>0.20899999999999999</c:v>
                </c:pt>
                <c:pt idx="7">
                  <c:v>0.222</c:v>
                </c:pt>
                <c:pt idx="8">
                  <c:v>0.214</c:v>
                </c:pt>
                <c:pt idx="9">
                  <c:v>0.22</c:v>
                </c:pt>
                <c:pt idx="10">
                  <c:v>0.223</c:v>
                </c:pt>
                <c:pt idx="11">
                  <c:v>0.22600000000000001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'Admitidos SE'!$B$25</c:f>
              <c:strCache>
                <c:ptCount val="1"/>
                <c:pt idx="0">
                  <c:v>tecnica</c:v>
                </c:pt>
              </c:strCache>
            </c:strRef>
          </c:tx>
          <c:spPr>
            <a:ln w="12700">
              <a:solidFill>
                <a:srgbClr val="7030A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7030A0"/>
                </a:solidFill>
              </a:ln>
            </c:spPr>
          </c:marker>
          <c:dLbls>
            <c:dLbl>
              <c:idx val="0"/>
              <c:layout>
                <c:manualLayout>
                  <c:x val="-2.8635342720802873E-2"/>
                  <c:y val="-2.2409207181755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6845633800752694E-2"/>
                  <c:y val="-3.2012793017883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1476507040602121E-2"/>
                  <c:y val="-2.5610234414307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1476507040602152E-2"/>
                  <c:y val="-2.5610234414307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9686798120551973E-2"/>
                  <c:y val="-2.2408955112518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2.1476507040602152E-2"/>
                  <c:y val="-2.2408955112518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1476507040602152E-2"/>
                  <c:y val="-2.2408955112518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476507040602152E-2"/>
                  <c:y val="-1.6006396508941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1476507040602152E-2"/>
                  <c:y val="-2.5610234414307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1.9686798120551973E-2"/>
                  <c:y val="-2.8811513716095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2.6845633800752694E-2"/>
                  <c:y val="-2.2408955112518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1.8922396846143219E-2"/>
                  <c:y val="2.4266928571155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7030A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SE'!$E$3:$P$3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('Admitidos SE'!$D$25:$N$25,'Admitidos SE'!$O$25,'Admitidos SE'!$P$25)</c:f>
              <c:numCache>
                <c:formatCode>0%</c:formatCode>
                <c:ptCount val="12"/>
                <c:pt idx="0">
                  <c:v>0.1</c:v>
                </c:pt>
                <c:pt idx="1">
                  <c:v>9.8000000000000004E-2</c:v>
                </c:pt>
                <c:pt idx="2">
                  <c:v>9.4E-2</c:v>
                </c:pt>
                <c:pt idx="3">
                  <c:v>8.8999999999999996E-2</c:v>
                </c:pt>
                <c:pt idx="4">
                  <c:v>9.1999999999999998E-2</c:v>
                </c:pt>
                <c:pt idx="5">
                  <c:v>9.2999999999999999E-2</c:v>
                </c:pt>
                <c:pt idx="6">
                  <c:v>9.0999999999999998E-2</c:v>
                </c:pt>
                <c:pt idx="7">
                  <c:v>8.8999999999999996E-2</c:v>
                </c:pt>
                <c:pt idx="8">
                  <c:v>0.09</c:v>
                </c:pt>
                <c:pt idx="9">
                  <c:v>8.8999999999999996E-2</c:v>
                </c:pt>
                <c:pt idx="10">
                  <c:v>8.3000000000000004E-2</c:v>
                </c:pt>
                <c:pt idx="11">
                  <c:v>9.4E-2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'Admitidos SE'!$B$26</c:f>
              <c:strCache>
                <c:ptCount val="1"/>
                <c:pt idx="0">
                  <c:v>media superior</c:v>
                </c:pt>
              </c:strCache>
            </c:strRef>
          </c:tx>
          <c:spPr>
            <a:ln w="12700">
              <a:solidFill>
                <a:srgbClr val="FFC0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FFC000"/>
                </a:solidFill>
              </a:ln>
            </c:spPr>
          </c:marker>
          <c:dLbls>
            <c:dLbl>
              <c:idx val="1"/>
              <c:layout>
                <c:manualLayout>
                  <c:x val="-1.9686845824433891E-2"/>
                  <c:y val="2.02273235849493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8635342720802839E-2"/>
                  <c:y val="2.8811513716095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6845633800752694E-2"/>
                  <c:y val="2.5610234414307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232788209166162E-2"/>
                  <c:y val="-2.5114891062084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2.1476507040602152E-2"/>
                  <c:y val="-2.8811513716095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6845633800752694E-2"/>
                  <c:y val="-2.8811513716095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6845633800752694E-2"/>
                  <c:y val="2.2408955112518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8635342720802873E-2"/>
                  <c:y val="-2.2408955112518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6845633800752694E-2"/>
                  <c:y val="2.24089551125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0425051640853053E-2"/>
                  <c:y val="2.5610234414307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2.1476507040602024E-2"/>
                  <c:y val="3.8415351621460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FFC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SE'!$E$3:$P$3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('Admitidos SE'!$D$26:$N$26,'Admitidos SE'!$O$26,'Admitidos SE'!$P$26)</c:f>
              <c:numCache>
                <c:formatCode>0%</c:formatCode>
                <c:ptCount val="12"/>
                <c:pt idx="0">
                  <c:v>0.14399999999999999</c:v>
                </c:pt>
                <c:pt idx="1">
                  <c:v>0.151</c:v>
                </c:pt>
                <c:pt idx="2">
                  <c:v>0.155</c:v>
                </c:pt>
                <c:pt idx="3">
                  <c:v>0.157</c:v>
                </c:pt>
                <c:pt idx="4">
                  <c:v>0.16500000000000001</c:v>
                </c:pt>
                <c:pt idx="5">
                  <c:v>0.16700000000000001</c:v>
                </c:pt>
                <c:pt idx="6">
                  <c:v>0.17899999999999999</c:v>
                </c:pt>
                <c:pt idx="7">
                  <c:v>0.17699999999999999</c:v>
                </c:pt>
                <c:pt idx="8">
                  <c:v>0.186</c:v>
                </c:pt>
                <c:pt idx="9">
                  <c:v>0.19400000000000001</c:v>
                </c:pt>
                <c:pt idx="10">
                  <c:v>0.19600000000000001</c:v>
                </c:pt>
                <c:pt idx="11">
                  <c:v>0.19700000000000001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'Admitidos SE'!$B$27</c:f>
              <c:strCache>
                <c:ptCount val="1"/>
                <c:pt idx="0">
                  <c:v>superior </c:v>
                </c:pt>
              </c:strCache>
            </c:strRef>
          </c:tx>
          <c:spPr>
            <a:ln w="12700">
              <a:solidFill>
                <a:schemeClr val="accent6">
                  <a:lumMod val="75000"/>
                </a:schemeClr>
              </a:solidFill>
            </a:ln>
          </c:spPr>
          <c:marker>
            <c:symbol val="square"/>
            <c:size val="3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SE'!$E$3:$P$3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('Admitidos SE'!$D$27:$N$27,'Admitidos SE'!$O$27,'Admitidos SE'!$P$27)</c:f>
              <c:numCache>
                <c:formatCode>0%</c:formatCode>
                <c:ptCount val="12"/>
                <c:pt idx="0">
                  <c:v>0.27300000000000002</c:v>
                </c:pt>
                <c:pt idx="1">
                  <c:v>0.30099999999999999</c:v>
                </c:pt>
                <c:pt idx="2">
                  <c:v>0.30299999999999999</c:v>
                </c:pt>
                <c:pt idx="3">
                  <c:v>0.30399999999999999</c:v>
                </c:pt>
                <c:pt idx="4">
                  <c:v>0.30299999999999999</c:v>
                </c:pt>
                <c:pt idx="5">
                  <c:v>0.29099999999999998</c:v>
                </c:pt>
                <c:pt idx="6">
                  <c:v>0.29199999999999998</c:v>
                </c:pt>
                <c:pt idx="7">
                  <c:v>0.29199999999999998</c:v>
                </c:pt>
                <c:pt idx="8">
                  <c:v>0.29199999999999998</c:v>
                </c:pt>
                <c:pt idx="9">
                  <c:v>0.29199999999999998</c:v>
                </c:pt>
                <c:pt idx="10">
                  <c:v>0.29199999999999998</c:v>
                </c:pt>
                <c:pt idx="11">
                  <c:v>0.29199999999999998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'Admitidos SE'!$B$28</c:f>
              <c:strCache>
                <c:ptCount val="1"/>
                <c:pt idx="0">
                  <c:v>posgrado</c:v>
                </c:pt>
              </c:strCache>
            </c:strRef>
          </c:tx>
          <c:spPr>
            <a:ln w="12700">
              <a:solidFill>
                <a:schemeClr val="bg2">
                  <a:lumMod val="25000"/>
                </a:schemeClr>
              </a:solidFill>
            </a:ln>
          </c:spPr>
          <c:marker>
            <c:symbol val="square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SE'!$E$3:$P$3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('Admitidos SE'!$D$28:$N$28,'Admitidos SE'!$O$28,'Admitidos SE'!$P$28)</c:f>
              <c:numCache>
                <c:formatCode>0%</c:formatCode>
                <c:ptCount val="12"/>
                <c:pt idx="0">
                  <c:v>3.2000000000000001E-2</c:v>
                </c:pt>
                <c:pt idx="1">
                  <c:v>5.2999999999999999E-2</c:v>
                </c:pt>
                <c:pt idx="2">
                  <c:v>5.8999999999999997E-2</c:v>
                </c:pt>
                <c:pt idx="3">
                  <c:v>5.5E-2</c:v>
                </c:pt>
                <c:pt idx="4">
                  <c:v>5.0999999999999997E-2</c:v>
                </c:pt>
                <c:pt idx="5">
                  <c:v>4.9000000000000002E-2</c:v>
                </c:pt>
                <c:pt idx="6">
                  <c:v>5.0999999999999997E-2</c:v>
                </c:pt>
                <c:pt idx="7">
                  <c:v>4.3999999999999997E-2</c:v>
                </c:pt>
                <c:pt idx="8">
                  <c:v>4.4999999999999998E-2</c:v>
                </c:pt>
                <c:pt idx="9">
                  <c:v>4.9000000000000002E-2</c:v>
                </c:pt>
                <c:pt idx="10">
                  <c:v>0.05</c:v>
                </c:pt>
                <c:pt idx="11">
                  <c:v>4.8000000000000001E-2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996160"/>
        <c:axId val="95719424"/>
      </c:lineChart>
      <c:catAx>
        <c:axId val="9599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5719424"/>
        <c:crosses val="autoZero"/>
        <c:auto val="1"/>
        <c:lblAlgn val="ctr"/>
        <c:lblOffset val="100"/>
        <c:noMultiLvlLbl val="0"/>
      </c:catAx>
      <c:valAx>
        <c:axId val="9571942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95996160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4.4902185809769728E-2"/>
          <c:y val="0.93832123808468326"/>
          <c:w val="0.91424421137641199"/>
          <c:h val="4.5500809534546299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F08200"/>
                </a:solidFill>
              </a:defRPr>
            </a:pPr>
            <a:r>
              <a:rPr lang="es-MX" sz="1200">
                <a:solidFill>
                  <a:srgbClr val="F08200"/>
                </a:solidFill>
              </a:rPr>
              <a:t>CCD</a:t>
            </a:r>
          </a:p>
        </c:rich>
      </c:tx>
      <c:layout>
        <c:manualLayout>
          <c:xMode val="edge"/>
          <c:yMode val="edge"/>
          <c:x val="0.46657930546164134"/>
          <c:y val="1.13815845506605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Acad'!$AD$4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Acad'!$AD$12,'Cuerpos Acad'!$AH$12,'Cuerpos Acad'!$AL$12,'Cuerpos Acad'!$AP$12,'Cuerpos Acad'!$AT$12)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'Cuerpos Acad'!$AE$4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1"/>
              <c:layout>
                <c:manualLayout>
                  <c:x val="-3.5091495561668871E-2"/>
                  <c:y val="-5.4176578576108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175149468438145E-2"/>
                  <c:y val="-5.417657857610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307567370757708E-2"/>
                  <c:y val="-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2131249863672898E-2"/>
                  <c:y val="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Acad'!$AE$12,'Cuerpos Acad'!$AI$12,'Cuerpos Acad'!$AM$12,'Cuerpos Acad'!$AQ$12,'Cuerpos Acad'!$AU$12)</c:f>
              <c:numCache>
                <c:formatCode>General</c:formatCode>
                <c:ptCount val="5"/>
                <c:pt idx="4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'Cuerpos Acad'!$AF$4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3.5175149468438145E-2"/>
                  <c:y val="4.346707840619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003216960122494E-2"/>
                  <c:y val="-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003216960122494E-2"/>
                  <c:y val="-3.6854172868198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Acad'!$AF$12,'Cuerpos Acad'!$AJ$12,'Cuerpos Acad'!$AN$12,'Cuerpos Acad'!$AR$12,'Cuerpos Acad'!$AV$12)</c:f>
              <c:numCache>
                <c:formatCode>General</c:formatCode>
                <c:ptCount val="5"/>
                <c:pt idx="0">
                  <c:v>4</c:v>
                </c:pt>
                <c:pt idx="1">
                  <c:v>8</c:v>
                </c:pt>
                <c:pt idx="2">
                  <c:v>9</c:v>
                </c:pt>
                <c:pt idx="3">
                  <c:v>8</c:v>
                </c:pt>
                <c:pt idx="4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05696"/>
        <c:axId val="39807232"/>
      </c:lineChart>
      <c:catAx>
        <c:axId val="3980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39807232"/>
        <c:crosses val="autoZero"/>
        <c:auto val="1"/>
        <c:lblAlgn val="ctr"/>
        <c:lblOffset val="100"/>
        <c:noMultiLvlLbl val="0"/>
      </c:catAx>
      <c:valAx>
        <c:axId val="398072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9805696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F08200"/>
                </a:solidFill>
              </a:defRPr>
            </a:pPr>
            <a:r>
              <a:rPr lang="es-MX" sz="1200">
                <a:solidFill>
                  <a:srgbClr val="F08200"/>
                </a:solidFill>
              </a:rPr>
              <a:t>CNI</a:t>
            </a:r>
          </a:p>
        </c:rich>
      </c:tx>
      <c:layout>
        <c:manualLayout>
          <c:xMode val="edge"/>
          <c:yMode val="edge"/>
          <c:x val="0.46049102686009497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Acad'!$AD$4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dLbl>
              <c:idx val="4"/>
              <c:layout>
                <c:manualLayout>
                  <c:x val="-2.9003216960122494E-2"/>
                  <c:y val="-2.2048078066353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Acad'!$AD$13,'Cuerpos Acad'!$AH$13,'Cuerpos Acad'!$AL$13,'Cuerpos Acad'!$AP$13,'Cuerpos Acad'!$AT$13)</c:f>
              <c:numCache>
                <c:formatCode>General</c:formatCode>
                <c:ptCount val="5"/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'Cuerpos Acad'!$AE$4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1"/>
              <c:layout>
                <c:manualLayout>
                  <c:x val="-3.5091495561668871E-2"/>
                  <c:y val="-5.4176578576108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175149468438145E-2"/>
                  <c:y val="-5.417657857610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307567370757708E-2"/>
                  <c:y val="-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2131249863672898E-2"/>
                  <c:y val="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Acad'!$AE$13,'Cuerpos Acad'!$AI$13,'Cuerpos Acad'!$AM$13,'Cuerpos Acad'!$AQ$13,'Cuerpos Acad'!$AU$13)</c:f>
              <c:numCache>
                <c:formatCode>General</c:formatCode>
                <c:ptCount val="5"/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'Cuerpos Acad'!$AF$4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3.5175149468438145E-2"/>
                  <c:y val="4.346707840619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003216960122494E-2"/>
                  <c:y val="-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003216960122494E-2"/>
                  <c:y val="-3.6854172868198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Acad'!$AF$13,'Cuerpos Acad'!$AJ$13,'Cuerpos Acad'!$AN$13,'Cuerpos Acad'!$AR$13,'Cuerpos Acad'!$AV$13)</c:f>
              <c:numCache>
                <c:formatCode>General</c:formatCode>
                <c:ptCount val="5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59328"/>
        <c:axId val="39860864"/>
      </c:lineChart>
      <c:catAx>
        <c:axId val="3985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39860864"/>
        <c:crosses val="autoZero"/>
        <c:auto val="1"/>
        <c:lblAlgn val="ctr"/>
        <c:lblOffset val="100"/>
        <c:noMultiLvlLbl val="0"/>
      </c:catAx>
      <c:valAx>
        <c:axId val="398608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985932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F08200"/>
                </a:solidFill>
              </a:defRPr>
            </a:pPr>
            <a:r>
              <a:rPr lang="es-MX" sz="1200">
                <a:solidFill>
                  <a:srgbClr val="F08200"/>
                </a:solidFill>
              </a:rPr>
              <a:t>TOTAL</a:t>
            </a:r>
          </a:p>
        </c:rich>
      </c:tx>
      <c:layout>
        <c:manualLayout>
          <c:xMode val="edge"/>
          <c:yMode val="edge"/>
          <c:x val="0.45135860895777541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Acad'!$AD$4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Acad'!$AD$14,'Cuerpos Acad'!$AH$14,'Cuerpos Acad'!$AL$14,'Cuerpos Acad'!$AP$14,'Cuerpos Acad'!$AT$14)</c:f>
              <c:numCache>
                <c:formatCode>General</c:formatCode>
                <c:ptCount val="5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'Cuerpos Acad'!$AE$4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Acad'!$AE$14,'Cuerpos Acad'!$AI$14,'Cuerpos Acad'!$AM$14,'Cuerpos Acad'!$AQ$14,'Cuerpos Acad'!$AU$14)</c:f>
              <c:numCache>
                <c:formatCode>General</c:formatCode>
                <c:ptCount val="5"/>
                <c:pt idx="0">
                  <c:v>4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'Cuerpos Acad'!$AF$4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3.5175149468438145E-2"/>
                  <c:y val="4.346707840619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003216960122494E-2"/>
                  <c:y val="-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003216960122494E-2"/>
                  <c:y val="-3.6854172868198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Acad'!$AF$14,'Cuerpos Acad'!$AJ$14,'Cuerpos Acad'!$AN$14,'Cuerpos Acad'!$AR$14,'Cuerpos Acad'!$AV$14)</c:f>
              <c:numCache>
                <c:formatCode>General</c:formatCode>
                <c:ptCount val="5"/>
                <c:pt idx="0">
                  <c:v>14</c:v>
                </c:pt>
                <c:pt idx="1">
                  <c:v>19</c:v>
                </c:pt>
                <c:pt idx="2">
                  <c:v>21</c:v>
                </c:pt>
                <c:pt idx="3">
                  <c:v>20</c:v>
                </c:pt>
                <c:pt idx="4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96192"/>
        <c:axId val="39897728"/>
      </c:lineChart>
      <c:catAx>
        <c:axId val="3989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39897728"/>
        <c:crosses val="autoZero"/>
        <c:auto val="1"/>
        <c:lblAlgn val="ctr"/>
        <c:lblOffset val="100"/>
        <c:noMultiLvlLbl val="0"/>
      </c:catAx>
      <c:valAx>
        <c:axId val="398977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989619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57A519"/>
                </a:solidFill>
              </a:defRPr>
            </a:pPr>
            <a:r>
              <a:rPr lang="es-MX" sz="1200">
                <a:solidFill>
                  <a:srgbClr val="57A519"/>
                </a:solidFill>
              </a:rPr>
              <a:t>CBI</a:t>
            </a:r>
          </a:p>
        </c:rich>
      </c:tx>
      <c:layout>
        <c:manualLayout>
          <c:xMode val="edge"/>
          <c:yMode val="edge"/>
          <c:x val="0.46657930546164134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Acad'!$AD$4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dLbl>
              <c:idx val="3"/>
              <c:layout>
                <c:manualLayout>
                  <c:x val="-3.5175149468438145E-2"/>
                  <c:y val="-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003216960122494E-2"/>
                  <c:y val="-2.2048078066353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Acad'!$AD$16,'Cuerpos Acad'!$AH$16,'Cuerpos Acad'!$AL$16,'Cuerpos Acad'!$AP$16,'Cuerpos Acad'!$AT$16)</c:f>
              <c:numCache>
                <c:formatCode>General</c:formatCode>
                <c:ptCount val="5"/>
                <c:pt idx="0">
                  <c:v>16</c:v>
                </c:pt>
                <c:pt idx="1">
                  <c:v>16</c:v>
                </c:pt>
                <c:pt idx="2">
                  <c:v>17</c:v>
                </c:pt>
                <c:pt idx="3">
                  <c:v>17</c:v>
                </c:pt>
                <c:pt idx="4">
                  <c:v>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'Cuerpos Acad'!$AE$4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0"/>
              <c:layout>
                <c:manualLayout>
                  <c:x val="-3.5175149468438145E-2"/>
                  <c:y val="-3.27575782362718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091495561668871E-2"/>
                  <c:y val="-5.4176578576108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175149468438145E-2"/>
                  <c:y val="-5.417657857610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086870866891774E-2"/>
                  <c:y val="2.6144672698279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2131249863672898E-2"/>
                  <c:y val="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Acad'!$AE$16,'Cuerpos Acad'!$AI$16,'Cuerpos Acad'!$AM$16,'Cuerpos Acad'!$AQ$16,'Cuerpos Acad'!$AU$16)</c:f>
              <c:numCache>
                <c:formatCode>General</c:formatCode>
                <c:ptCount val="5"/>
                <c:pt idx="0">
                  <c:v>18</c:v>
                </c:pt>
                <c:pt idx="1">
                  <c:v>19</c:v>
                </c:pt>
                <c:pt idx="2">
                  <c:v>17</c:v>
                </c:pt>
                <c:pt idx="3">
                  <c:v>16</c:v>
                </c:pt>
                <c:pt idx="4">
                  <c:v>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'Cuerpos Acad'!$AF$4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Acad'!$AF$16,'Cuerpos Acad'!$AJ$16,'Cuerpos Acad'!$AN$16,'Cuerpos Acad'!$AR$16,'Cuerpos Acad'!$AV$16)</c:f>
              <c:numCache>
                <c:formatCode>General</c:formatCode>
                <c:ptCount val="5"/>
                <c:pt idx="0">
                  <c:v>3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05472"/>
        <c:axId val="40107008"/>
      </c:lineChart>
      <c:catAx>
        <c:axId val="4010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40107008"/>
        <c:crosses val="autoZero"/>
        <c:auto val="1"/>
        <c:lblAlgn val="ctr"/>
        <c:lblOffset val="100"/>
        <c:noMultiLvlLbl val="0"/>
      </c:catAx>
      <c:valAx>
        <c:axId val="401070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010547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57A519"/>
                </a:solidFill>
              </a:defRPr>
            </a:pPr>
            <a:r>
              <a:rPr lang="es-MX" sz="1200">
                <a:solidFill>
                  <a:srgbClr val="57A519"/>
                </a:solidFill>
              </a:rPr>
              <a:t>CSH</a:t>
            </a:r>
          </a:p>
        </c:rich>
      </c:tx>
      <c:layout>
        <c:manualLayout>
          <c:xMode val="edge"/>
          <c:yMode val="edge"/>
          <c:x val="0.46657930546164134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Acad'!$AD$4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dLbl>
              <c:idx val="1"/>
              <c:layout>
                <c:manualLayout>
                  <c:x val="-1.0822035062252648E-2"/>
                  <c:y val="2.6144672698279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5175149468438145E-2"/>
                  <c:y val="-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1179774163215242E-2"/>
                  <c:y val="-3.8112328321231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Acad'!$AD$17,'Cuerpos Acad'!$AH$17,'Cuerpos Acad'!$AL$17,'Cuerpos Acad'!$AP$17,'Cuerpos Acad'!$AT$17)</c:f>
              <c:numCache>
                <c:formatCode>General</c:formatCode>
                <c:ptCount val="5"/>
                <c:pt idx="0">
                  <c:v>17</c:v>
                </c:pt>
                <c:pt idx="1">
                  <c:v>12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'Cuerpos Acad'!$AE$4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0"/>
              <c:layout>
                <c:manualLayout>
                  <c:x val="-3.5175149468438145E-2"/>
                  <c:y val="4.8821828491149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Acad'!$AE$17,'Cuerpos Acad'!$AI$17,'Cuerpos Acad'!$AM$17,'Cuerpos Acad'!$AQ$17,'Cuerpos Acad'!$AU$17)</c:f>
              <c:numCache>
                <c:formatCode>General</c:formatCode>
                <c:ptCount val="5"/>
                <c:pt idx="0">
                  <c:v>12</c:v>
                </c:pt>
                <c:pt idx="1">
                  <c:v>14</c:v>
                </c:pt>
                <c:pt idx="2">
                  <c:v>11</c:v>
                </c:pt>
                <c:pt idx="3">
                  <c:v>12</c:v>
                </c:pt>
                <c:pt idx="4">
                  <c:v>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'Cuerpos Acad'!$AF$4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Acad'!$AF$17,'Cuerpos Acad'!$AJ$17,'Cuerpos Acad'!$AN$17,'Cuerpos Acad'!$AR$17,'Cuerpos Acad'!$AV$17)</c:f>
              <c:numCache>
                <c:formatCode>General</c:formatCode>
                <c:ptCount val="5"/>
                <c:pt idx="0">
                  <c:v>3</c:v>
                </c:pt>
                <c:pt idx="1">
                  <c:v>10</c:v>
                </c:pt>
                <c:pt idx="2">
                  <c:v>9</c:v>
                </c:pt>
                <c:pt idx="3">
                  <c:v>9</c:v>
                </c:pt>
                <c:pt idx="4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59104"/>
        <c:axId val="40160640"/>
      </c:lineChart>
      <c:catAx>
        <c:axId val="4015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40160640"/>
        <c:crosses val="autoZero"/>
        <c:auto val="1"/>
        <c:lblAlgn val="ctr"/>
        <c:lblOffset val="100"/>
        <c:noMultiLvlLbl val="0"/>
      </c:catAx>
      <c:valAx>
        <c:axId val="401606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0159104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57A519"/>
                </a:solidFill>
              </a:defRPr>
            </a:pPr>
            <a:r>
              <a:rPr lang="es-MX" sz="1200">
                <a:solidFill>
                  <a:srgbClr val="57A519"/>
                </a:solidFill>
              </a:rPr>
              <a:t>CBS</a:t>
            </a:r>
          </a:p>
        </c:rich>
      </c:tx>
      <c:layout>
        <c:manualLayout>
          <c:xMode val="edge"/>
          <c:yMode val="edge"/>
          <c:x val="0.46657930546164134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Acad'!$AD$4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3.5175149468438145E-2"/>
                  <c:y val="3.8112328321231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Acad'!$AD$18,'Cuerpos Acad'!$AH$18,'Cuerpos Acad'!$AL$18,'Cuerpos Acad'!$AP$18,'Cuerpos Acad'!$AT$18)</c:f>
              <c:numCache>
                <c:formatCode>General</c:formatCode>
                <c:ptCount val="5"/>
                <c:pt idx="0">
                  <c:v>14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'Cuerpos Acad'!$AE$4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1"/>
              <c:layout>
                <c:manualLayout>
                  <c:x val="-3.5175149468438145E-2"/>
                  <c:y val="3.8112328321231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Acad'!$AE$18,'Cuerpos Acad'!$AI$18,'Cuerpos Acad'!$AM$18,'Cuerpos Acad'!$AQ$18,'Cuerpos Acad'!$AU$18)</c:f>
              <c:numCache>
                <c:formatCode>General</c:formatCode>
                <c:ptCount val="5"/>
                <c:pt idx="0">
                  <c:v>15</c:v>
                </c:pt>
                <c:pt idx="1">
                  <c:v>13</c:v>
                </c:pt>
                <c:pt idx="2">
                  <c:v>9</c:v>
                </c:pt>
                <c:pt idx="3">
                  <c:v>8</c:v>
                </c:pt>
                <c:pt idx="4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'Cuerpos Acad'!$AF$4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Acad'!$AF$18,'Cuerpos Acad'!$AJ$18,'Cuerpos Acad'!$AN$18,'Cuerpos Acad'!$AR$18,'Cuerpos Acad'!$AV$18)</c:f>
              <c:numCache>
                <c:formatCode>General</c:formatCode>
                <c:ptCount val="5"/>
                <c:pt idx="0">
                  <c:v>10</c:v>
                </c:pt>
                <c:pt idx="1">
                  <c:v>4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20928"/>
        <c:axId val="123277312"/>
      </c:lineChart>
      <c:catAx>
        <c:axId val="4022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23277312"/>
        <c:crosses val="autoZero"/>
        <c:auto val="1"/>
        <c:lblAlgn val="ctr"/>
        <c:lblOffset val="100"/>
        <c:noMultiLvlLbl val="0"/>
      </c:catAx>
      <c:valAx>
        <c:axId val="1232773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022092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57A519"/>
                </a:solidFill>
              </a:defRPr>
            </a:pPr>
            <a:r>
              <a:rPr lang="es-MX" sz="1200">
                <a:solidFill>
                  <a:srgbClr val="57A519"/>
                </a:solidFill>
              </a:rPr>
              <a:t>TOTAL</a:t>
            </a:r>
          </a:p>
        </c:rich>
      </c:tx>
      <c:layout>
        <c:manualLayout>
          <c:xMode val="edge"/>
          <c:yMode val="edge"/>
          <c:x val="0.46657930546164134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Acad'!$AD$4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3.5175149468438145E-2"/>
                  <c:y val="-5.417657857610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8219288769211338E-2"/>
                  <c:y val="-3.8112328321231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5175149468438145E-2"/>
                  <c:y val="-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003216960122494E-2"/>
                  <c:y val="-2.2048078066353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Acad'!$AD$19,'Cuerpos Acad'!$AH$19,'Cuerpos Acad'!$AL$19,'Cuerpos Acad'!$AP$19,'Cuerpos Acad'!$AT$19)</c:f>
              <c:numCache>
                <c:formatCode>General</c:formatCode>
                <c:ptCount val="5"/>
                <c:pt idx="0">
                  <c:v>47</c:v>
                </c:pt>
                <c:pt idx="1">
                  <c:v>43</c:v>
                </c:pt>
                <c:pt idx="2">
                  <c:v>48</c:v>
                </c:pt>
                <c:pt idx="3">
                  <c:v>48</c:v>
                </c:pt>
                <c:pt idx="4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'Cuerpos Acad'!$AE$4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0"/>
              <c:layout>
                <c:manualLayout>
                  <c:x val="-3.5175149468438145E-2"/>
                  <c:y val="5.417657857610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Acad'!$AE$19,'Cuerpos Acad'!$AI$19,'Cuerpos Acad'!$AM$19,'Cuerpos Acad'!$AQ$19,'Cuerpos Acad'!$AU$19)</c:f>
              <c:numCache>
                <c:formatCode>General</c:formatCode>
                <c:ptCount val="5"/>
                <c:pt idx="0">
                  <c:v>45</c:v>
                </c:pt>
                <c:pt idx="1">
                  <c:v>46</c:v>
                </c:pt>
                <c:pt idx="2">
                  <c:v>37</c:v>
                </c:pt>
                <c:pt idx="3">
                  <c:v>36</c:v>
                </c:pt>
                <c:pt idx="4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'Cuerpos Acad'!$AF$4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Acad'!$AF$19,'Cuerpos Acad'!$AJ$19,'Cuerpos Acad'!$AN$19,'Cuerpos Acad'!$AR$19,'Cuerpos Acad'!$AV$19)</c:f>
              <c:numCache>
                <c:formatCode>General</c:formatCode>
                <c:ptCount val="5"/>
                <c:pt idx="0">
                  <c:v>16</c:v>
                </c:pt>
                <c:pt idx="1">
                  <c:v>18</c:v>
                </c:pt>
                <c:pt idx="2">
                  <c:v>20</c:v>
                </c:pt>
                <c:pt idx="3">
                  <c:v>20</c:v>
                </c:pt>
                <c:pt idx="4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312768"/>
        <c:axId val="123343232"/>
      </c:lineChart>
      <c:catAx>
        <c:axId val="12331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23343232"/>
        <c:crosses val="autoZero"/>
        <c:auto val="1"/>
        <c:lblAlgn val="ctr"/>
        <c:lblOffset val="100"/>
        <c:noMultiLvlLbl val="0"/>
      </c:catAx>
      <c:valAx>
        <c:axId val="1233432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2331276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72CE"/>
                </a:solidFill>
              </a:defRPr>
            </a:pPr>
            <a:r>
              <a:rPr lang="es-MX" sz="1200">
                <a:solidFill>
                  <a:srgbClr val="0072CE"/>
                </a:solidFill>
              </a:rPr>
              <a:t>CSH</a:t>
            </a:r>
          </a:p>
        </c:rich>
      </c:tx>
      <c:layout>
        <c:manualLayout>
          <c:xMode val="edge"/>
          <c:yMode val="edge"/>
          <c:x val="0.46657930546164134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Acad'!$AD$4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dLbl>
              <c:idx val="3"/>
              <c:layout>
                <c:manualLayout>
                  <c:x val="-3.5175149468438145E-2"/>
                  <c:y val="-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003216960122494E-2"/>
                  <c:y val="-2.2048078066353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Acad'!$AD$26,'Cuerpos Acad'!$AH$26,'Cuerpos Acad'!$AL$26,'Cuerpos Acad'!$AP$26,'Cuerpos Acad'!$AT$26)</c:f>
              <c:numCache>
                <c:formatCode>General</c:formatCode>
                <c:ptCount val="5"/>
                <c:pt idx="0">
                  <c:v>6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'Cuerpos Acad'!$AE$4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0"/>
              <c:layout>
                <c:manualLayout>
                  <c:x val="-3.5175149468438145E-2"/>
                  <c:y val="-3.27575782362718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091495561668871E-2"/>
                  <c:y val="-5.4176578576108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175149468438145E-2"/>
                  <c:y val="4.756367303811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8219288769211338E-2"/>
                  <c:y val="5.2918423123075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2131249863672898E-2"/>
                  <c:y val="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Acad'!$AE$26,'Cuerpos Acad'!$AI$26,'Cuerpos Acad'!$AM$26,'Cuerpos Acad'!$AQ$26,'Cuerpos Acad'!$AU$26)</c:f>
              <c:numCache>
                <c:formatCode>General</c:formatCode>
                <c:ptCount val="5"/>
                <c:pt idx="0">
                  <c:v>17</c:v>
                </c:pt>
                <c:pt idx="1">
                  <c:v>13</c:v>
                </c:pt>
                <c:pt idx="2">
                  <c:v>11</c:v>
                </c:pt>
                <c:pt idx="3">
                  <c:v>11</c:v>
                </c:pt>
                <c:pt idx="4">
                  <c:v>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'Cuerpos Acad'!$AF$4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4.1263428069984523E-2"/>
                  <c:y val="4.8821828491149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175149468438145E-2"/>
                  <c:y val="4.3467078406190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Acad'!$AF$26,'Cuerpos Acad'!$AJ$26,'Cuerpos Acad'!$AN$26,'Cuerpos Acad'!$AR$26,'Cuerpos Acad'!$AV$26)</c:f>
              <c:numCache>
                <c:formatCode>General</c:formatCode>
                <c:ptCount val="5"/>
                <c:pt idx="0">
                  <c:v>12</c:v>
                </c:pt>
                <c:pt idx="1">
                  <c:v>10</c:v>
                </c:pt>
                <c:pt idx="2">
                  <c:v>13</c:v>
                </c:pt>
                <c:pt idx="3">
                  <c:v>12</c:v>
                </c:pt>
                <c:pt idx="4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390976"/>
        <c:axId val="123392768"/>
      </c:lineChart>
      <c:catAx>
        <c:axId val="12339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23392768"/>
        <c:crosses val="autoZero"/>
        <c:auto val="1"/>
        <c:lblAlgn val="ctr"/>
        <c:lblOffset val="100"/>
        <c:noMultiLvlLbl val="0"/>
      </c:catAx>
      <c:valAx>
        <c:axId val="1233927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23390976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72CE"/>
                </a:solidFill>
              </a:defRPr>
            </a:pPr>
            <a:r>
              <a:rPr lang="es-MX" sz="1200">
                <a:solidFill>
                  <a:srgbClr val="0072CE"/>
                </a:solidFill>
              </a:rPr>
              <a:t>CBS</a:t>
            </a:r>
          </a:p>
        </c:rich>
      </c:tx>
      <c:layout>
        <c:manualLayout>
          <c:xMode val="edge"/>
          <c:yMode val="edge"/>
          <c:x val="0.46657930546164134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Acad'!$AD$4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Acad'!$AD$27,'Cuerpos Acad'!$AH$27,'Cuerpos Acad'!$AL$27,'Cuerpos Acad'!$AP$27,'Cuerpos Acad'!$AT$27)</c:f>
              <c:numCache>
                <c:formatCode>General</c:formatCode>
                <c:ptCount val="5"/>
                <c:pt idx="0">
                  <c:v>5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'Cuerpos Acad'!$AE$4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Acad'!$AE$27,'Cuerpos Acad'!$AI$27,'Cuerpos Acad'!$AM$27,'Cuerpos Acad'!$AQ$27,'Cuerpos Acad'!$AU$27)</c:f>
              <c:numCache>
                <c:formatCode>General</c:formatCode>
                <c:ptCount val="5"/>
                <c:pt idx="0">
                  <c:v>11</c:v>
                </c:pt>
                <c:pt idx="1">
                  <c:v>17</c:v>
                </c:pt>
                <c:pt idx="2">
                  <c:v>15</c:v>
                </c:pt>
                <c:pt idx="3">
                  <c:v>13</c:v>
                </c:pt>
                <c:pt idx="4">
                  <c:v>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'Cuerpos Acad'!$AF$4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Acad'!$AF$27,'Cuerpos Acad'!$AJ$27,'Cuerpos Acad'!$AN$27,'Cuerpos Acad'!$AR$27,'Cuerpos Acad'!$AV$27)</c:f>
              <c:numCache>
                <c:formatCode>General</c:formatCode>
                <c:ptCount val="5"/>
                <c:pt idx="0">
                  <c:v>8</c:v>
                </c:pt>
                <c:pt idx="1">
                  <c:v>13</c:v>
                </c:pt>
                <c:pt idx="2">
                  <c:v>14</c:v>
                </c:pt>
                <c:pt idx="3">
                  <c:v>13</c:v>
                </c:pt>
                <c:pt idx="4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446016"/>
        <c:axId val="123447552"/>
      </c:lineChart>
      <c:catAx>
        <c:axId val="12344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23447552"/>
        <c:crosses val="autoZero"/>
        <c:auto val="1"/>
        <c:lblAlgn val="ctr"/>
        <c:lblOffset val="100"/>
        <c:noMultiLvlLbl val="0"/>
      </c:catAx>
      <c:valAx>
        <c:axId val="1234475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23446016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72CE"/>
                </a:solidFill>
              </a:defRPr>
            </a:pPr>
            <a:r>
              <a:rPr lang="es-MX" sz="1200">
                <a:solidFill>
                  <a:srgbClr val="0072CE"/>
                </a:solidFill>
              </a:rPr>
              <a:t>CAD</a:t>
            </a:r>
          </a:p>
        </c:rich>
      </c:tx>
      <c:layout>
        <c:manualLayout>
          <c:xMode val="edge"/>
          <c:yMode val="edge"/>
          <c:x val="0.46657930546164134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Acad'!$AD$4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Acad'!$AD$28,'Cuerpos Acad'!$AH$28,'Cuerpos Acad'!$AL$28,'Cuerpos Acad'!$AP$28,'Cuerpos Acad'!$AT$28)</c:f>
              <c:numCache>
                <c:formatCode>General</c:formatCode>
                <c:ptCount val="5"/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'Cuerpos Acad'!$AE$4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Acad'!$AE$28,'Cuerpos Acad'!$AI$28,'Cuerpos Acad'!$AM$28,'Cuerpos Acad'!$AQ$28,'Cuerpos Acad'!$AU$28)</c:f>
              <c:numCache>
                <c:formatCode>General</c:formatCode>
                <c:ptCount val="5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'Cuerpos Acad'!$AF$4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Acad'!$AF$28,'Cuerpos Acad'!$AJ$28,'Cuerpos Acad'!$AN$28,'Cuerpos Acad'!$AR$28,'Cuerpos Acad'!$AV$28)</c:f>
              <c:numCache>
                <c:formatCode>General</c:formatCode>
                <c:ptCount val="5"/>
                <c:pt idx="0">
                  <c:v>7</c:v>
                </c:pt>
                <c:pt idx="1">
                  <c:v>6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653568"/>
        <c:axId val="126655104"/>
      </c:lineChart>
      <c:catAx>
        <c:axId val="12665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26655104"/>
        <c:crosses val="autoZero"/>
        <c:auto val="1"/>
        <c:lblAlgn val="ctr"/>
        <c:lblOffset val="100"/>
        <c:noMultiLvlLbl val="0"/>
      </c:catAx>
      <c:valAx>
        <c:axId val="126655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2665356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/>
            </a:pPr>
            <a:r>
              <a:rPr lang="es-MX" sz="1800" b="1" i="0"/>
              <a:t>Estudios de la Madre de los admitidos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9686798120551973E-2"/>
          <c:y val="8.0320097681870484E-2"/>
          <c:w val="0.96062640375889607"/>
          <c:h val="0.75554547998680655"/>
        </c:manualLayout>
      </c:layout>
      <c:lineChart>
        <c:grouping val="standard"/>
        <c:varyColors val="0"/>
        <c:ser>
          <c:idx val="0"/>
          <c:order val="0"/>
          <c:tx>
            <c:strRef>
              <c:f>'Admitidos SE'!$B$29</c:f>
              <c:strCache>
                <c:ptCount val="1"/>
                <c:pt idx="0">
                  <c:v>ninguno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0070C0"/>
                </a:solidFill>
              </a:ln>
            </c:spPr>
          </c:marker>
          <c:dLbls>
            <c:dLbl>
              <c:idx val="0"/>
              <c:layout>
                <c:manualLayout>
                  <c:x val="-2.0730146312704426E-2"/>
                  <c:y val="-2.1842836373058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998990946865983E-2"/>
                  <c:y val="1.468799032662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0C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SE'!$E$3:$P$3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('Admitidos SE'!$D$29:$N$29,'Admitidos SE'!$O$29,'Admitidos SE'!$P$29)</c:f>
              <c:numCache>
                <c:formatCode>0%</c:formatCode>
                <c:ptCount val="12"/>
                <c:pt idx="0">
                  <c:v>0.02</c:v>
                </c:pt>
                <c:pt idx="1">
                  <c:v>1.4999999999999999E-2</c:v>
                </c:pt>
                <c:pt idx="2">
                  <c:v>1.2999999999999999E-2</c:v>
                </c:pt>
                <c:pt idx="3">
                  <c:v>1.7000000000000001E-2</c:v>
                </c:pt>
                <c:pt idx="4">
                  <c:v>1.7000000000000001E-2</c:v>
                </c:pt>
                <c:pt idx="5">
                  <c:v>1.6E-2</c:v>
                </c:pt>
                <c:pt idx="6">
                  <c:v>1.6E-2</c:v>
                </c:pt>
                <c:pt idx="7">
                  <c:v>1.6E-2</c:v>
                </c:pt>
                <c:pt idx="8">
                  <c:v>1.6E-2</c:v>
                </c:pt>
                <c:pt idx="9">
                  <c:v>1.0999999999999999E-2</c:v>
                </c:pt>
                <c:pt idx="10">
                  <c:v>0.01</c:v>
                </c:pt>
                <c:pt idx="11">
                  <c:v>1.2E-2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'Admitidos SE'!$B$30</c:f>
              <c:strCache>
                <c:ptCount val="1"/>
                <c:pt idx="0">
                  <c:v>primaria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00000"/>
                </a:solidFill>
              </a:ln>
            </c:spPr>
          </c:marker>
          <c:dLbls>
            <c:dLbl>
              <c:idx val="0"/>
              <c:layout>
                <c:manualLayout>
                  <c:x val="-2.1476507040602152E-2"/>
                  <c:y val="-2.5610234414307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3266215960652332E-2"/>
                  <c:y val="-1.92076758107302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3266270981786023E-2"/>
                  <c:y val="-2.2230539281310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0738253520301076E-2"/>
                  <c:y val="-1.2805117207153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1476507040602152E-2"/>
                  <c:y val="-1.92076758107302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2.6845633800752694E-2"/>
                  <c:y val="1.2805117207153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999603181351791E-2"/>
                  <c:y val="-2.0556699151180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3266215960652332E-2"/>
                  <c:y val="1.92076758107302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3266215960652332E-2"/>
                  <c:y val="-1.92076758107302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3266215960652332E-2"/>
                  <c:y val="-2.2408955112518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2.1476507040602152E-2"/>
                  <c:y val="2.2408955112518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2.1138208675730276E-2"/>
                  <c:y val="2.8811513716095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SE'!$E$3:$P$3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('Admitidos SE'!$D$30:$N$30,'Admitidos SE'!$O$30,'Admitidos SE'!$P$30)</c:f>
              <c:numCache>
                <c:formatCode>0%</c:formatCode>
                <c:ptCount val="12"/>
                <c:pt idx="0">
                  <c:v>0.308</c:v>
                </c:pt>
                <c:pt idx="1">
                  <c:v>0.25900000000000001</c:v>
                </c:pt>
                <c:pt idx="2">
                  <c:v>0.23899999999999999</c:v>
                </c:pt>
                <c:pt idx="3">
                  <c:v>0.22700000000000001</c:v>
                </c:pt>
                <c:pt idx="4">
                  <c:v>0.221</c:v>
                </c:pt>
                <c:pt idx="5">
                  <c:v>0.219</c:v>
                </c:pt>
                <c:pt idx="6">
                  <c:v>0.20399999999999999</c:v>
                </c:pt>
                <c:pt idx="7">
                  <c:v>0.184</c:v>
                </c:pt>
                <c:pt idx="8">
                  <c:v>0.182</c:v>
                </c:pt>
                <c:pt idx="9">
                  <c:v>0.16400000000000001</c:v>
                </c:pt>
                <c:pt idx="10">
                  <c:v>0.151</c:v>
                </c:pt>
                <c:pt idx="11">
                  <c:v>0.14399999999999999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'Admitidos SE'!$B$31</c:f>
              <c:strCache>
                <c:ptCount val="1"/>
                <c:pt idx="0">
                  <c:v>secundaria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00B050"/>
                </a:solidFill>
              </a:ln>
            </c:spPr>
          </c:marker>
          <c:dLbls>
            <c:dLbl>
              <c:idx val="0"/>
              <c:layout>
                <c:manualLayout>
                  <c:x val="-2.5798724543504441E-2"/>
                  <c:y val="-3.163670571723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5798865465466652E-2"/>
                  <c:y val="-2.203311988110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5075650640862118E-2"/>
                  <c:y val="-1.1901327690528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3.0835189877723167E-2"/>
                  <c:y val="-1.1901327690528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960816992908284E-2"/>
                  <c:y val="1.8495156112798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B05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SE'!$E$3:$P$3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('Admitidos SE'!$D$31:$N$31,'Admitidos SE'!$O$31,'Admitidos SE'!$P$31)</c:f>
              <c:numCache>
                <c:formatCode>0%</c:formatCode>
                <c:ptCount val="12"/>
                <c:pt idx="0">
                  <c:v>0.215</c:v>
                </c:pt>
                <c:pt idx="1">
                  <c:v>0.20699999999999999</c:v>
                </c:pt>
                <c:pt idx="2">
                  <c:v>0.20799999999999999</c:v>
                </c:pt>
                <c:pt idx="3">
                  <c:v>0.215</c:v>
                </c:pt>
                <c:pt idx="4">
                  <c:v>0.223</c:v>
                </c:pt>
                <c:pt idx="5">
                  <c:v>0.222</c:v>
                </c:pt>
                <c:pt idx="6">
                  <c:v>0.22800000000000001</c:v>
                </c:pt>
                <c:pt idx="7">
                  <c:v>0.22800000000000001</c:v>
                </c:pt>
                <c:pt idx="8">
                  <c:v>0.22800000000000001</c:v>
                </c:pt>
                <c:pt idx="9">
                  <c:v>0.23699999999999999</c:v>
                </c:pt>
                <c:pt idx="10">
                  <c:v>0.23899999999999999</c:v>
                </c:pt>
                <c:pt idx="11">
                  <c:v>0.23699999999999999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'Admitidos SE'!$B$32</c:f>
              <c:strCache>
                <c:ptCount val="1"/>
                <c:pt idx="0">
                  <c:v>tecnica</c:v>
                </c:pt>
              </c:strCache>
            </c:strRef>
          </c:tx>
          <c:spPr>
            <a:ln w="12700">
              <a:solidFill>
                <a:srgbClr val="7030A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7030A0"/>
                </a:solidFill>
              </a:ln>
            </c:spPr>
          </c:marker>
          <c:dLbls>
            <c:dLbl>
              <c:idx val="0"/>
              <c:layout>
                <c:manualLayout>
                  <c:x val="-2.6845633800752694E-2"/>
                  <c:y val="-1.9207927879966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676649490088037E-2"/>
                  <c:y val="3.30691387525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435627512003764E-2"/>
                  <c:y val="-1.8297849880282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8946616554140237E-2"/>
                  <c:y val="1.65913812875767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6845633800752694E-2"/>
                  <c:y val="2.56102344143071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2.5055924880702511E-2"/>
                  <c:y val="2.56102344143071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6845633800752694E-2"/>
                  <c:y val="2.2408955112518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6845633800752694E-2"/>
                  <c:y val="2.56102344143071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1476507040602152E-2"/>
                  <c:y val="1.2805117207153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1826386172570763E-2"/>
                  <c:y val="-2.71056154543752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2.6845633800752694E-2"/>
                  <c:y val="-2.2408955112518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1.5769154885198665E-2"/>
                  <c:y val="-1.92076758107302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7030A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SE'!$E$3:$P$3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('Admitidos SE'!$D$32:$N$32,'Admitidos SE'!$O$32,'Admitidos SE'!$P$32)</c:f>
              <c:numCache>
                <c:formatCode>0%</c:formatCode>
                <c:ptCount val="12"/>
                <c:pt idx="0">
                  <c:v>0.193</c:v>
                </c:pt>
                <c:pt idx="1">
                  <c:v>0.187</c:v>
                </c:pt>
                <c:pt idx="2">
                  <c:v>0.192</c:v>
                </c:pt>
                <c:pt idx="3">
                  <c:v>0.187</c:v>
                </c:pt>
                <c:pt idx="4">
                  <c:v>0.187</c:v>
                </c:pt>
                <c:pt idx="5">
                  <c:v>0.18</c:v>
                </c:pt>
                <c:pt idx="6">
                  <c:v>0.17899999999999999</c:v>
                </c:pt>
                <c:pt idx="7">
                  <c:v>0.16900000000000001</c:v>
                </c:pt>
                <c:pt idx="8">
                  <c:v>0.18099999999999999</c:v>
                </c:pt>
                <c:pt idx="9">
                  <c:v>0.17899999999999999</c:v>
                </c:pt>
                <c:pt idx="10">
                  <c:v>0.17199999999999999</c:v>
                </c:pt>
                <c:pt idx="11">
                  <c:v>0.17199999999999999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'Admitidos SE'!$B$33</c:f>
              <c:strCache>
                <c:ptCount val="1"/>
                <c:pt idx="0">
                  <c:v>media superior</c:v>
                </c:pt>
              </c:strCache>
            </c:strRef>
          </c:tx>
          <c:spPr>
            <a:ln w="12700">
              <a:solidFill>
                <a:srgbClr val="FFC0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FFC000"/>
                </a:solidFill>
              </a:ln>
            </c:spPr>
          </c:marker>
          <c:dLbls>
            <c:dLbl>
              <c:idx val="10"/>
              <c:layout>
                <c:manualLayout>
                  <c:x val="-2.4090293248980921E-2"/>
                  <c:y val="1.3485343582509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2.1813197386441663E-2"/>
                  <c:y val="1.563030920829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SE'!$E$3:$P$3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('Admitidos SE'!$D$33:$N$33,'Admitidos SE'!$O$33,'Admitidos SE'!$P$33)</c:f>
              <c:numCache>
                <c:formatCode>0%</c:formatCode>
                <c:ptCount val="12"/>
                <c:pt idx="0">
                  <c:v>0.108</c:v>
                </c:pt>
                <c:pt idx="1">
                  <c:v>0.121</c:v>
                </c:pt>
                <c:pt idx="2">
                  <c:v>0.125</c:v>
                </c:pt>
                <c:pt idx="3">
                  <c:v>0.129</c:v>
                </c:pt>
                <c:pt idx="4">
                  <c:v>0.13100000000000001</c:v>
                </c:pt>
                <c:pt idx="5">
                  <c:v>0.13300000000000001</c:v>
                </c:pt>
                <c:pt idx="6">
                  <c:v>0.14099999999999999</c:v>
                </c:pt>
                <c:pt idx="7">
                  <c:v>0.15</c:v>
                </c:pt>
                <c:pt idx="8">
                  <c:v>0.154</c:v>
                </c:pt>
                <c:pt idx="9">
                  <c:v>0.16900000000000001</c:v>
                </c:pt>
                <c:pt idx="10">
                  <c:v>0.16900000000000001</c:v>
                </c:pt>
                <c:pt idx="11">
                  <c:v>0.17199999999999999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'Admitidos SE'!$B$34</c:f>
              <c:strCache>
                <c:ptCount val="1"/>
                <c:pt idx="0">
                  <c:v>superior </c:v>
                </c:pt>
              </c:strCache>
            </c:strRef>
          </c:tx>
          <c:spPr>
            <a:ln w="12700">
              <a:solidFill>
                <a:schemeClr val="accent6">
                  <a:lumMod val="75000"/>
                </a:schemeClr>
              </a:solidFill>
            </a:ln>
          </c:spPr>
          <c:marker>
            <c:symbol val="square"/>
            <c:size val="3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3.116785130365498E-2"/>
                  <c:y val="2.91876010167465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0429597783353903E-2"/>
                  <c:y val="2.5986321714958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7859106704534503E-2"/>
                  <c:y val="-1.95630664996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5798724543504441E-2"/>
                  <c:y val="-1.2429029906502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2.400900211447651E-2"/>
                  <c:y val="1.1182541853200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4009015623454196E-2"/>
                  <c:y val="1.9583763111381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2195881022431592E-2"/>
                  <c:y val="1.0036515088264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1479113167009525E-2"/>
                  <c:y val="-1.6979276127961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5798724543504441E-2"/>
                  <c:y val="-1.56303092082908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2.0039341734550895E-2"/>
                  <c:y val="2.1842836373058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2.3439085405661038E-2"/>
                  <c:y val="2.2785042413169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SE'!$E$3:$P$3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('Admitidos SE'!$D$34:$N$34,'Admitidos SE'!$O$34,'Admitidos SE'!$P$34)</c:f>
              <c:numCache>
                <c:formatCode>0%</c:formatCode>
                <c:ptCount val="12"/>
                <c:pt idx="0">
                  <c:v>0.14099999999999999</c:v>
                </c:pt>
                <c:pt idx="1">
                  <c:v>0.185</c:v>
                </c:pt>
                <c:pt idx="2">
                  <c:v>0.193</c:v>
                </c:pt>
                <c:pt idx="3">
                  <c:v>0.19700000000000001</c:v>
                </c:pt>
                <c:pt idx="4">
                  <c:v>0.19400000000000001</c:v>
                </c:pt>
                <c:pt idx="5">
                  <c:v>0.20100000000000001</c:v>
                </c:pt>
                <c:pt idx="6">
                  <c:v>0.20300000000000001</c:v>
                </c:pt>
                <c:pt idx="7">
                  <c:v>0.217</c:v>
                </c:pt>
                <c:pt idx="8">
                  <c:v>0.21</c:v>
                </c:pt>
                <c:pt idx="9">
                  <c:v>0.20599999999999999</c:v>
                </c:pt>
                <c:pt idx="10">
                  <c:v>0.22500000000000001</c:v>
                </c:pt>
                <c:pt idx="11">
                  <c:v>0.22800000000000001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'Admitidos SE'!$B$35</c:f>
              <c:strCache>
                <c:ptCount val="1"/>
                <c:pt idx="0">
                  <c:v>posgrado</c:v>
                </c:pt>
              </c:strCache>
            </c:strRef>
          </c:tx>
          <c:spPr>
            <a:ln w="12700">
              <a:solidFill>
                <a:schemeClr val="bg2">
                  <a:lumMod val="25000"/>
                </a:schemeClr>
              </a:solidFill>
            </a:ln>
          </c:spPr>
          <c:marker>
            <c:symbol val="square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2.2156312534367329E-2"/>
                  <c:y val="1.73491293478625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859061353831851E-2"/>
                  <c:y val="-2.429189038755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SE'!$E$3:$P$3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('Admitidos SE'!$D$35:$N$35,'Admitidos SE'!$O$35,'Admitidos SE'!$P$35)</c:f>
              <c:numCache>
                <c:formatCode>0%</c:formatCode>
                <c:ptCount val="12"/>
                <c:pt idx="0">
                  <c:v>1.4E-2</c:v>
                </c:pt>
                <c:pt idx="1">
                  <c:v>2.7E-2</c:v>
                </c:pt>
                <c:pt idx="2">
                  <c:v>3.2000000000000001E-2</c:v>
                </c:pt>
                <c:pt idx="3">
                  <c:v>2.8000000000000001E-2</c:v>
                </c:pt>
                <c:pt idx="4">
                  <c:v>2.7E-2</c:v>
                </c:pt>
                <c:pt idx="5">
                  <c:v>2.9000000000000001E-2</c:v>
                </c:pt>
                <c:pt idx="6">
                  <c:v>2.9000000000000001E-2</c:v>
                </c:pt>
                <c:pt idx="7">
                  <c:v>3.1E-2</c:v>
                </c:pt>
                <c:pt idx="8">
                  <c:v>3.1E-2</c:v>
                </c:pt>
                <c:pt idx="9">
                  <c:v>3.4000000000000002E-2</c:v>
                </c:pt>
                <c:pt idx="10">
                  <c:v>3.4000000000000002E-2</c:v>
                </c:pt>
                <c:pt idx="11">
                  <c:v>3.5999999999999997E-2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796608"/>
        <c:axId val="95925376"/>
      </c:lineChart>
      <c:catAx>
        <c:axId val="9579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5925376"/>
        <c:crosses val="autoZero"/>
        <c:auto val="1"/>
        <c:lblAlgn val="ctr"/>
        <c:lblOffset val="100"/>
        <c:noMultiLvlLbl val="0"/>
      </c:catAx>
      <c:valAx>
        <c:axId val="9592537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9579660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3.7097879444090986E-2"/>
          <c:y val="0.94238004370972128"/>
          <c:w val="0.91839134266852673"/>
          <c:h val="4.2506603166782994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72CE"/>
                </a:solidFill>
              </a:defRPr>
            </a:pPr>
            <a:r>
              <a:rPr lang="es-MX" sz="1200">
                <a:solidFill>
                  <a:srgbClr val="0072CE"/>
                </a:solidFill>
              </a:rPr>
              <a:t>TOTAL</a:t>
            </a:r>
          </a:p>
        </c:rich>
      </c:tx>
      <c:layout>
        <c:manualLayout>
          <c:xMode val="edge"/>
          <c:yMode val="edge"/>
          <c:x val="0.46657930546164134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Acad'!$AD$4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Acad'!$AD$29,'Cuerpos Acad'!$AH$29,'Cuerpos Acad'!$AL$29,'Cuerpos Acad'!$AP$29,'Cuerpos Acad'!$AT$29)</c:f>
              <c:numCache>
                <c:formatCode>General</c:formatCode>
                <c:ptCount val="5"/>
                <c:pt idx="0">
                  <c:v>11</c:v>
                </c:pt>
                <c:pt idx="1">
                  <c:v>11</c:v>
                </c:pt>
                <c:pt idx="2">
                  <c:v>13</c:v>
                </c:pt>
                <c:pt idx="3">
                  <c:v>14</c:v>
                </c:pt>
                <c:pt idx="4">
                  <c:v>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'Cuerpos Acad'!$AE$4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0"/>
              <c:layout>
                <c:manualLayout>
                  <c:x val="-3.5175149468438145E-2"/>
                  <c:y val="-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8219288769211338E-2"/>
                  <c:y val="-5.417657857610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Acad'!$AE$29,'Cuerpos Acad'!$AI$29,'Cuerpos Acad'!$AM$29,'Cuerpos Acad'!$AQ$29,'Cuerpos Acad'!$AU$29)</c:f>
              <c:numCache>
                <c:formatCode>General</c:formatCode>
                <c:ptCount val="5"/>
                <c:pt idx="0">
                  <c:v>30</c:v>
                </c:pt>
                <c:pt idx="1">
                  <c:v>32</c:v>
                </c:pt>
                <c:pt idx="2">
                  <c:v>28</c:v>
                </c:pt>
                <c:pt idx="3">
                  <c:v>26</c:v>
                </c:pt>
                <c:pt idx="4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'Cuerpos Acad'!$AF$4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3.5175149468438145E-2"/>
                  <c:y val="3.8112328321231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175149468438145E-2"/>
                  <c:y val="3.8112328321231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175149468438145E-2"/>
                  <c:y val="-5.827317320803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Acad'!$AF$29,'Cuerpos Acad'!$AJ$29,'Cuerpos Acad'!$AN$29,'Cuerpos Acad'!$AR$29,'Cuerpos Acad'!$AV$29)</c:f>
              <c:numCache>
                <c:formatCode>General</c:formatCode>
                <c:ptCount val="5"/>
                <c:pt idx="0">
                  <c:v>27</c:v>
                </c:pt>
                <c:pt idx="1">
                  <c:v>29</c:v>
                </c:pt>
                <c:pt idx="2">
                  <c:v>32</c:v>
                </c:pt>
                <c:pt idx="3">
                  <c:v>30</c:v>
                </c:pt>
                <c:pt idx="4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956480"/>
        <c:axId val="127958016"/>
      </c:lineChart>
      <c:catAx>
        <c:axId val="12795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27958016"/>
        <c:crosses val="autoZero"/>
        <c:auto val="1"/>
        <c:lblAlgn val="ctr"/>
        <c:lblOffset val="100"/>
        <c:noMultiLvlLbl val="0"/>
      </c:catAx>
      <c:valAx>
        <c:axId val="1279580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27956480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'TIPPA PROD TOTAL'!$B$4</c:f>
              <c:strCache>
                <c:ptCount val="1"/>
                <c:pt idx="0">
                  <c:v>Docencia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>
              <a:outerShdw blurRad="76200" dist="12700" dir="2700000" sy="-23000" kx="-800400" algn="bl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9.25008162754822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7.9286413950413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6072011625344434E-3"/>
                  <c:y val="-9.826795708849836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6.60720116253444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7.9286413950413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9286413950413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9.2500816275482203E-3"/>
                  <c:y val="9.826795708849836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7.9286413950413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7.92864139504123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7.9286413950413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5.28576093002755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6.4639332881366975E-3"/>
                  <c:y val="9.67301750132351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7.0788475859085969E-3"/>
                  <c:y val="-8.339322922271107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7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TOTAL'!$A$56:$A$68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('TIPPA PROD TOTAL'!$B$9,'TIPPA PROD TOTAL'!$J$9,'TIPPA PROD TOTAL'!$R$9,'TIPPA PROD TOTAL'!$B$19,'TIPPA PROD TOTAL'!$J$19,'TIPPA PROD TOTAL'!$R$19,'TIPPA PROD TOTAL'!$B$29,'TIPPA PROD TOTAL'!$J$29,'TIPPA PROD TOTAL'!$R$29,'TIPPA PROD TOTAL'!$B$40,'TIPPA PROD TOTAL'!$J$40,'TIPPA PROD TOTAL'!$R$40,'TIPPA PROD TOTAL'!$B$51)</c:f>
              <c:numCache>
                <c:formatCode>#,##0</c:formatCode>
                <c:ptCount val="13"/>
                <c:pt idx="0">
                  <c:v>19851</c:v>
                </c:pt>
                <c:pt idx="1">
                  <c:v>23668</c:v>
                </c:pt>
                <c:pt idx="2">
                  <c:v>15721</c:v>
                </c:pt>
                <c:pt idx="3">
                  <c:v>14794</c:v>
                </c:pt>
                <c:pt idx="4">
                  <c:v>17545</c:v>
                </c:pt>
                <c:pt idx="5">
                  <c:v>16972</c:v>
                </c:pt>
                <c:pt idx="6">
                  <c:v>19209</c:v>
                </c:pt>
                <c:pt idx="7">
                  <c:v>21325</c:v>
                </c:pt>
                <c:pt idx="8">
                  <c:v>22784</c:v>
                </c:pt>
                <c:pt idx="9">
                  <c:v>24207</c:v>
                </c:pt>
                <c:pt idx="10">
                  <c:v>25434</c:v>
                </c:pt>
                <c:pt idx="11">
                  <c:v>24059</c:v>
                </c:pt>
                <c:pt idx="12">
                  <c:v>24163</c:v>
                </c:pt>
              </c:numCache>
            </c:numRef>
          </c:val>
        </c:ser>
        <c:ser>
          <c:idx val="1"/>
          <c:order val="1"/>
          <c:tx>
            <c:strRef>
              <c:f>'TIPPA PROD TOTAL'!$C$4</c:f>
              <c:strCache>
                <c:ptCount val="1"/>
                <c:pt idx="0">
                  <c:v>Investigación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28576093002755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7.9286413950413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28576093002755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28576093002755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6072011625344434E-3"/>
                  <c:y val="-2.68006615331793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6.60720116253444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9286413950413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5.28576093002755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7.92864139504123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7.9286413950413314E-3"/>
                  <c:y val="4.91339785442491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9.2500816275482203E-3"/>
                  <c:y val="4.91339785442491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6.46393328813669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8.258655516893363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7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TOTAL'!$A$56:$A$68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('TIPPA PROD TOTAL'!$C$9,'TIPPA PROD TOTAL'!$K$9,'TIPPA PROD TOTAL'!$S$9,'TIPPA PROD TOTAL'!$C$19,'TIPPA PROD TOTAL'!$K$19,'TIPPA PROD TOTAL'!$S$19,'TIPPA PROD TOTAL'!$C$29,'TIPPA PROD TOTAL'!$K$29,'TIPPA PROD TOTAL'!$S$29,'TIPPA PROD TOTAL'!$C$40,'TIPPA PROD TOTAL'!$K$40,'TIPPA PROD TOTAL'!$S$40,'TIPPA PROD TOTAL'!$C$51)</c:f>
              <c:numCache>
                <c:formatCode>#,##0</c:formatCode>
                <c:ptCount val="13"/>
                <c:pt idx="0">
                  <c:v>10216</c:v>
                </c:pt>
                <c:pt idx="1">
                  <c:v>11832</c:v>
                </c:pt>
                <c:pt idx="2">
                  <c:v>11997</c:v>
                </c:pt>
                <c:pt idx="3">
                  <c:v>10920</c:v>
                </c:pt>
                <c:pt idx="4">
                  <c:v>10308</c:v>
                </c:pt>
                <c:pt idx="5">
                  <c:v>11862</c:v>
                </c:pt>
                <c:pt idx="6">
                  <c:v>13327</c:v>
                </c:pt>
                <c:pt idx="7">
                  <c:v>14597</c:v>
                </c:pt>
                <c:pt idx="8">
                  <c:v>15471</c:v>
                </c:pt>
                <c:pt idx="9">
                  <c:v>15982</c:v>
                </c:pt>
                <c:pt idx="10">
                  <c:v>16010</c:v>
                </c:pt>
                <c:pt idx="11">
                  <c:v>16334</c:v>
                </c:pt>
                <c:pt idx="12">
                  <c:v>16438</c:v>
                </c:pt>
              </c:numCache>
            </c:numRef>
          </c:val>
        </c:ser>
        <c:ser>
          <c:idx val="2"/>
          <c:order val="2"/>
          <c:tx>
            <c:strRef>
              <c:f>'TIPPA PROD TOTAL'!$D$4</c:f>
              <c:strCache>
                <c:ptCount val="1"/>
                <c:pt idx="0">
                  <c:v>Preservación y difusión de la cultura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3.9643206975206657E-3"/>
                  <c:y val="-4.91339785442491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6.60720116253444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9286413950413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7.9286413950413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60720116253444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9286413950413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9286413950413314E-3"/>
                  <c:y val="4.91339785442491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7.9286413950413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1.18929620925619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9.25008162754822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6.60720116253444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9.04950660339137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7.07884758590859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7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TOTAL'!$A$56:$A$68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('TIPPA PROD TOTAL'!$D$9,'TIPPA PROD TOTAL'!$L$9,'TIPPA PROD TOTAL'!$T$9,'TIPPA PROD TOTAL'!$D$19,'TIPPA PROD TOTAL'!$L$19,'TIPPA PROD TOTAL'!$T$19,'TIPPA PROD TOTAL'!$D$29,'TIPPA PROD TOTAL'!$L$29,'TIPPA PROD TOTAL'!$T$29,'TIPPA PROD TOTAL'!$D$40,'TIPPA PROD TOTAL'!$L$40,'TIPPA PROD TOTAL'!$T$40,'TIPPA PROD TOTAL'!$D$51)</c:f>
              <c:numCache>
                <c:formatCode>#,##0</c:formatCode>
                <c:ptCount val="13"/>
                <c:pt idx="0">
                  <c:v>8826</c:v>
                </c:pt>
                <c:pt idx="1">
                  <c:v>10048</c:v>
                </c:pt>
                <c:pt idx="2">
                  <c:v>10354</c:v>
                </c:pt>
                <c:pt idx="3">
                  <c:v>10494</c:v>
                </c:pt>
                <c:pt idx="4">
                  <c:v>10127</c:v>
                </c:pt>
                <c:pt idx="5">
                  <c:v>10210</c:v>
                </c:pt>
                <c:pt idx="6">
                  <c:v>10022</c:v>
                </c:pt>
                <c:pt idx="7">
                  <c:v>11380</c:v>
                </c:pt>
                <c:pt idx="8">
                  <c:v>11720</c:v>
                </c:pt>
                <c:pt idx="9">
                  <c:v>13888</c:v>
                </c:pt>
                <c:pt idx="10">
                  <c:v>12668</c:v>
                </c:pt>
                <c:pt idx="11">
                  <c:v>12500</c:v>
                </c:pt>
                <c:pt idx="12">
                  <c:v>13257</c:v>
                </c:pt>
              </c:numCache>
            </c:numRef>
          </c:val>
        </c:ser>
        <c:ser>
          <c:idx val="3"/>
          <c:order val="3"/>
          <c:tx>
            <c:strRef>
              <c:f>'TIPPA PROD TOTAL'!$E$4</c:f>
              <c:strCache>
                <c:ptCount val="1"/>
                <c:pt idx="0">
                  <c:v>Dirección Académica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3.5319949428629024E-2"/>
                  <c:y val="-9.96920870548395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5634900760810065E-2"/>
                  <c:y val="-1.0683580032750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7013601744345842E-2"/>
                  <c:y val="-9.4419989268850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3.6064879567252441E-2"/>
                  <c:y val="-8.76003292879988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9170252181810084E-2"/>
                  <c:y val="-6.77106620527964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3.4428639194441224E-2"/>
                  <c:y val="-1.47841005329638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3.5721425852068563E-2"/>
                  <c:y val="-1.0683580032750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3.7905624538108702E-2"/>
                  <c:y val="-1.47841005329637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3.5664115703387914E-2"/>
                  <c:y val="-1.47841005329638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3.8335705138776065E-2"/>
                  <c:y val="-1.01565779806203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3.5692821674840745E-2"/>
                  <c:y val="-1.3542103974160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3.4905239755938164E-2"/>
                  <c:y val="-1.0552504630742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3.7753853791512519E-2"/>
                  <c:y val="-9.09754828237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TOTAL'!$A$56:$A$68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('TIPPA PROD TOTAL'!$E$9,'TIPPA PROD TOTAL'!$M$9,'TIPPA PROD TOTAL'!$U$9,'TIPPA PROD TOTAL'!$E$19,'TIPPA PROD TOTAL'!$M$19,'TIPPA PROD TOTAL'!$U$19,'TIPPA PROD TOTAL'!$E$29,'TIPPA PROD TOTAL'!$M$29,'TIPPA PROD TOTAL'!$U$29,'TIPPA PROD TOTAL'!$E$40,'TIPPA PROD TOTAL'!$M$40,'TIPPA PROD TOTAL'!$U$40,'TIPPA PROD TOTAL'!$E$51)</c:f>
              <c:numCache>
                <c:formatCode>#,##0</c:formatCode>
                <c:ptCount val="13"/>
                <c:pt idx="0">
                  <c:v>415</c:v>
                </c:pt>
                <c:pt idx="1">
                  <c:v>406</c:v>
                </c:pt>
                <c:pt idx="2">
                  <c:v>367</c:v>
                </c:pt>
                <c:pt idx="3">
                  <c:v>341</c:v>
                </c:pt>
                <c:pt idx="4">
                  <c:v>441</c:v>
                </c:pt>
                <c:pt idx="5">
                  <c:v>403</c:v>
                </c:pt>
                <c:pt idx="6">
                  <c:v>437</c:v>
                </c:pt>
                <c:pt idx="7">
                  <c:v>463</c:v>
                </c:pt>
                <c:pt idx="8">
                  <c:v>502</c:v>
                </c:pt>
                <c:pt idx="9">
                  <c:v>399</c:v>
                </c:pt>
                <c:pt idx="10">
                  <c:v>376</c:v>
                </c:pt>
                <c:pt idx="11">
                  <c:v>341</c:v>
                </c:pt>
                <c:pt idx="12">
                  <c:v>411</c:v>
                </c:pt>
              </c:numCache>
            </c:numRef>
          </c:val>
        </c:ser>
        <c:ser>
          <c:idx val="4"/>
          <c:order val="4"/>
          <c:tx>
            <c:strRef>
              <c:f>'TIPPA PROD TOTAL'!$F$4</c:f>
              <c:strCache>
                <c:ptCount val="1"/>
                <c:pt idx="0">
                  <c:v>Participación Universitaria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5930542676200902E-3"/>
                  <c:y val="-2.1438765342471342E-3"/>
                </c:manualLayout>
              </c:layout>
              <c:spPr/>
              <c:txPr>
                <a:bodyPr/>
                <a:lstStyle/>
                <a:p>
                  <a:pPr>
                    <a:defRPr sz="7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9151110465234906E-3"/>
                  <c:y val="-5.529619944571307E-3"/>
                </c:manualLayout>
              </c:layout>
              <c:spPr/>
              <c:txPr>
                <a:bodyPr/>
                <a:lstStyle/>
                <a:p>
                  <a:pPr>
                    <a:defRPr sz="7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2371678254268788E-3"/>
                  <c:y val="-3.5731275570785571E-3"/>
                </c:manualLayout>
              </c:layout>
              <c:spPr/>
              <c:txPr>
                <a:bodyPr/>
                <a:lstStyle/>
                <a:p>
                  <a:pPr>
                    <a:defRPr sz="7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9817256261389621E-3"/>
                  <c:y val="-3.5273469096621449E-3"/>
                </c:manualLayout>
              </c:layout>
              <c:spPr/>
              <c:txPr>
                <a:bodyPr/>
                <a:lstStyle/>
                <a:p>
                  <a:pPr>
                    <a:defRPr sz="7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6760825352840635E-3"/>
                  <c:y val="-4.2328162915945744E-3"/>
                </c:manualLayout>
              </c:layout>
              <c:spPr/>
              <c:txPr>
                <a:bodyPr/>
                <a:lstStyle/>
                <a:p>
                  <a:pPr>
                    <a:defRPr sz="7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9981312154885926E-3"/>
                  <c:y val="-4.2238195324523688E-3"/>
                </c:manualLayout>
              </c:layout>
              <c:spPr/>
              <c:txPr>
                <a:bodyPr/>
                <a:lstStyle/>
                <a:p>
                  <a:pPr>
                    <a:defRPr sz="7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2520015657506001E-3"/>
                  <c:y val="-4.2328162915945744E-3"/>
                </c:manualLayout>
              </c:layout>
              <c:spPr/>
              <c:txPr>
                <a:bodyPr/>
                <a:lstStyle/>
                <a:p>
                  <a:pPr>
                    <a:defRPr sz="7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7.9975227677909037E-3"/>
                  <c:y val="-3.5273469096621449E-3"/>
                </c:manualLayout>
              </c:layout>
              <c:spPr/>
              <c:txPr>
                <a:bodyPr/>
                <a:lstStyle/>
                <a:p>
                  <a:pPr>
                    <a:defRPr sz="7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9.3189630002977926E-3"/>
                  <c:y val="-4.2328162915945744E-3"/>
                </c:manualLayout>
              </c:layout>
              <c:spPr/>
              <c:txPr>
                <a:bodyPr/>
                <a:lstStyle/>
                <a:p>
                  <a:pPr>
                    <a:defRPr sz="7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7.9975227677909037E-3"/>
                  <c:y val="-4.2328162915945744E-3"/>
                </c:manualLayout>
              </c:layout>
              <c:spPr/>
              <c:txPr>
                <a:bodyPr/>
                <a:lstStyle/>
                <a:p>
                  <a:pPr>
                    <a:defRPr sz="7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9.3189630002977926E-3"/>
                  <c:y val="-7.6183518268449352E-3"/>
                </c:manualLayout>
              </c:layout>
              <c:spPr/>
              <c:txPr>
                <a:bodyPr/>
                <a:lstStyle/>
                <a:p>
                  <a:pPr>
                    <a:defRPr sz="7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6.4639332881366975E-3"/>
                  <c:y val="-2.6381261576855783E-3"/>
                </c:manualLayout>
              </c:layout>
              <c:spPr/>
              <c:txPr>
                <a:bodyPr/>
                <a:lstStyle/>
                <a:p>
                  <a:pPr>
                    <a:defRPr sz="7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8.2586555168933633E-3"/>
                  <c:y val="-6.823161211779104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7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TOTAL'!$A$56:$A$68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('TIPPA PROD TOTAL'!$F$9,'TIPPA PROD TOTAL'!$N$9,'TIPPA PROD TOTAL'!$V$9,'TIPPA PROD TOTAL'!$F$19,'TIPPA PROD TOTAL'!$N$19,'TIPPA PROD TOTAL'!$V$19,'TIPPA PROD TOTAL'!$F$29,'TIPPA PROD TOTAL'!$N$29,'TIPPA PROD TOTAL'!$V$29,'TIPPA PROD TOTAL'!$F$40,'TIPPA PROD TOTAL'!$N$40,'TIPPA PROD TOTAL'!$V$40,'TIPPA PROD TOTAL'!$F$51)</c:f>
              <c:numCache>
                <c:formatCode>#,##0</c:formatCode>
                <c:ptCount val="13"/>
                <c:pt idx="0">
                  <c:v>1151</c:v>
                </c:pt>
                <c:pt idx="1">
                  <c:v>1408</c:v>
                </c:pt>
                <c:pt idx="2">
                  <c:v>1333</c:v>
                </c:pt>
                <c:pt idx="3">
                  <c:v>1429</c:v>
                </c:pt>
                <c:pt idx="4">
                  <c:v>1575</c:v>
                </c:pt>
                <c:pt idx="5">
                  <c:v>1571</c:v>
                </c:pt>
                <c:pt idx="6">
                  <c:v>1602</c:v>
                </c:pt>
                <c:pt idx="7">
                  <c:v>2174</c:v>
                </c:pt>
                <c:pt idx="8">
                  <c:v>2184</c:v>
                </c:pt>
                <c:pt idx="9">
                  <c:v>2353</c:v>
                </c:pt>
                <c:pt idx="10">
                  <c:v>2229</c:v>
                </c:pt>
                <c:pt idx="11">
                  <c:v>2230</c:v>
                </c:pt>
                <c:pt idx="12">
                  <c:v>2206</c:v>
                </c:pt>
              </c:numCache>
            </c:numRef>
          </c:val>
        </c:ser>
        <c:ser>
          <c:idx val="5"/>
          <c:order val="5"/>
          <c:tx>
            <c:strRef>
              <c:f>'TIPPA PROD TOTAL'!$G$4</c:f>
              <c:strCache>
                <c:ptCount val="1"/>
                <c:pt idx="0">
                  <c:v>Creacion artística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7254309403888945E-3"/>
                  <c:y val="-1.1425733995204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9.7923923749360878E-3"/>
                  <c:y val="-1.4811269530454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8.0982435666150515E-3"/>
                  <c:y val="-1.410580014852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9.0468711728957825E-3"/>
                  <c:y val="-1.4811269530454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5.0825504753751177E-3"/>
                  <c:y val="-1.21312033771365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6.7768033341081618E-3"/>
                  <c:y val="-1.2131414405967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8.470952142429199E-3"/>
                  <c:y val="-1.1425733995204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0468711728957825E-3"/>
                  <c:y val="-1.1425733995204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6.4038866574700941E-3"/>
                  <c:y val="-1.4811269530454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6.7768033341081618E-3"/>
                  <c:y val="-1.1425733995204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6.7768033341081618E-3"/>
                  <c:y val="-1.213120337713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7.756719945764037E-3"/>
                  <c:y val="-1.0552504630742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7.0788475859085969E-3"/>
                  <c:y val="-1.1371935352965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TOTAL'!$A$56:$A$68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('TIPPA PROD TOTAL'!$G$9,'TIPPA PROD TOTAL'!$O$9,'TIPPA PROD TOTAL'!$W$9,'TIPPA PROD TOTAL'!$G$19,'TIPPA PROD TOTAL'!$O$19,'TIPPA PROD TOTAL'!$W$19,'TIPPA PROD TOTAL'!$G$29,'TIPPA PROD TOTAL'!$O$29,'TIPPA PROD TOTAL'!$W$29,'TIPPA PROD TOTAL'!$G$40,'TIPPA PROD TOTAL'!$O$40,'TIPPA PROD TOTAL'!$W$40,'TIPPA PROD TOTAL'!$G$51)</c:f>
              <c:numCache>
                <c:formatCode>#,##0</c:formatCode>
                <c:ptCount val="13"/>
                <c:pt idx="0">
                  <c:v>413</c:v>
                </c:pt>
                <c:pt idx="1">
                  <c:v>418</c:v>
                </c:pt>
                <c:pt idx="2">
                  <c:v>337</c:v>
                </c:pt>
                <c:pt idx="3">
                  <c:v>415</c:v>
                </c:pt>
                <c:pt idx="4">
                  <c:v>422</c:v>
                </c:pt>
                <c:pt idx="5">
                  <c:v>332</c:v>
                </c:pt>
                <c:pt idx="6">
                  <c:v>527</c:v>
                </c:pt>
                <c:pt idx="7">
                  <c:v>449</c:v>
                </c:pt>
                <c:pt idx="8">
                  <c:v>473</c:v>
                </c:pt>
                <c:pt idx="9">
                  <c:v>542</c:v>
                </c:pt>
                <c:pt idx="10">
                  <c:v>604</c:v>
                </c:pt>
                <c:pt idx="11">
                  <c:v>618</c:v>
                </c:pt>
                <c:pt idx="12">
                  <c:v>703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14750592"/>
        <c:axId val="114752128"/>
        <c:axId val="0"/>
      </c:bar3DChart>
      <c:catAx>
        <c:axId val="11475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4752128"/>
        <c:crosses val="autoZero"/>
        <c:auto val="1"/>
        <c:lblAlgn val="ctr"/>
        <c:lblOffset val="100"/>
        <c:noMultiLvlLbl val="0"/>
      </c:catAx>
      <c:valAx>
        <c:axId val="1147521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47505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3.1937589272366652E-2"/>
          <c:y val="0.93827554414311642"/>
          <c:w val="0.93643648977579164"/>
          <c:h val="5.4340768090077228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ACTIVIDADES  EVALUADAS POR LAS COMISIONES DICTAMINADORAS POR UNIDAD</a:t>
            </a: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'TIPPA PROD TOTAL'!$A$35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7.294671650171901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294671650171901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7.294671650171901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7.2946716501719015E-3"/>
                  <c:y val="-2.97891025364365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94671650171847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8.7536059802062818E-3"/>
                  <c:y val="-2.97891025364365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7.294671650171901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6.424857947402571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7.0357778537165757E-3"/>
                  <c:y val="2.42303986568345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TOTAL'!$A$56:$A$68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('TIPPA PROD TOTAL'!$H$5,'TIPPA PROD TOTAL'!$P$5,'TIPPA PROD TOTAL'!$X$5,'TIPPA PROD TOTAL'!$H$15,'TIPPA PROD TOTAL'!$P$15,'TIPPA PROD TOTAL'!$X$15,'TIPPA PROD TOTAL'!$H$25,'TIPPA PROD TOTAL'!$P$25,'TIPPA PROD TOTAL'!$X$25,'TIPPA PROD TOTAL'!$H$35,'TIPPA PROD TOTAL'!$P$35,'TIPPA PROD TOTAL'!$X$35,'TIPPA PROD TOTAL'!$H$46)</c:f>
              <c:numCache>
                <c:formatCode>#,##0</c:formatCode>
                <c:ptCount val="13"/>
                <c:pt idx="0">
                  <c:v>13272</c:v>
                </c:pt>
                <c:pt idx="1">
                  <c:v>16841</c:v>
                </c:pt>
                <c:pt idx="2">
                  <c:v>11620</c:v>
                </c:pt>
                <c:pt idx="3">
                  <c:v>11339</c:v>
                </c:pt>
                <c:pt idx="4">
                  <c:v>10501</c:v>
                </c:pt>
                <c:pt idx="5">
                  <c:v>11064</c:v>
                </c:pt>
                <c:pt idx="6">
                  <c:v>12830</c:v>
                </c:pt>
                <c:pt idx="7">
                  <c:v>13962</c:v>
                </c:pt>
                <c:pt idx="8">
                  <c:v>15267</c:v>
                </c:pt>
                <c:pt idx="9">
                  <c:v>14011</c:v>
                </c:pt>
                <c:pt idx="10">
                  <c:v>16553</c:v>
                </c:pt>
                <c:pt idx="11">
                  <c:v>15909</c:v>
                </c:pt>
                <c:pt idx="12">
                  <c:v>16011</c:v>
                </c:pt>
              </c:numCache>
            </c:numRef>
          </c:val>
        </c:ser>
        <c:ser>
          <c:idx val="1"/>
          <c:order val="1"/>
          <c:tx>
            <c:strRef>
              <c:f>'TIPPA PROD TOTAL'!$A$36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4"/>
              <c:layout>
                <c:manualLayout>
                  <c:x val="2.91786866006876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5.8357373201375212E-3"/>
                  <c:y val="-2.97891025364365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5.8357373201375212E-3"/>
                  <c:y val="-5.95782050728730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4.3768029901031409E-3"/>
                  <c:y val="-5.95782050728730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8.7536059802062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7.7098295368830862E-3"/>
                  <c:y val="-5.63073672869713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1.055366678057486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TOTAL'!$A$56:$A$68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('TIPPA PROD TOTAL'!$H$6,'TIPPA PROD TOTAL'!$P$6,'TIPPA PROD TOTAL'!$X$6,'TIPPA PROD TOTAL'!$H$16,'TIPPA PROD TOTAL'!$P$16,'TIPPA PROD TOTAL'!$X$16,'TIPPA PROD TOTAL'!$H$26,'TIPPA PROD TOTAL'!$P$26,'TIPPA PROD TOTAL'!$X$26,'TIPPA PROD TOTAL'!$H$36,'TIPPA PROD TOTAL'!$P$36,'TIPPA PROD TOTAL'!$X$36,'TIPPA PROD TOTAL'!$H$47)</c:f>
              <c:numCache>
                <c:formatCode>#,##0</c:formatCode>
                <c:ptCount val="13"/>
                <c:pt idx="3">
                  <c:v>18</c:v>
                </c:pt>
                <c:pt idx="4">
                  <c:v>845</c:v>
                </c:pt>
                <c:pt idx="5">
                  <c:v>1841</c:v>
                </c:pt>
                <c:pt idx="6">
                  <c:v>1656</c:v>
                </c:pt>
                <c:pt idx="7">
                  <c:v>2465</c:v>
                </c:pt>
                <c:pt idx="8">
                  <c:v>2577</c:v>
                </c:pt>
                <c:pt idx="9">
                  <c:v>2714</c:v>
                </c:pt>
                <c:pt idx="10">
                  <c:v>3834</c:v>
                </c:pt>
                <c:pt idx="11">
                  <c:v>2876</c:v>
                </c:pt>
                <c:pt idx="12">
                  <c:v>3917</c:v>
                </c:pt>
              </c:numCache>
            </c:numRef>
          </c:val>
        </c:ser>
        <c:ser>
          <c:idx val="2"/>
          <c:order val="2"/>
          <c:tx>
            <c:strRef>
              <c:f>'TIPPA PROD TOTAL'!$A$37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3768029901031409E-3"/>
                  <c:y val="2.97891025364365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91786866006876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7.2946716501719015E-3"/>
                  <c:y val="-5.95782050728730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5.83573732013746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8.7536059802062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8.7536059802062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5.8357373201375212E-3"/>
                  <c:y val="5.461272375928848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8.7536059802062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7.709829536883086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7.03577785371657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TOTAL'!$A$56:$A$68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('TIPPA PROD TOTAL'!$H$7,'TIPPA PROD TOTAL'!$P$7,'TIPPA PROD TOTAL'!$X$7,'TIPPA PROD TOTAL'!$H$17,'TIPPA PROD TOTAL'!$P$17,'TIPPA PROD TOTAL'!$X$17,'TIPPA PROD TOTAL'!$H$27,'TIPPA PROD TOTAL'!$P$27,'TIPPA PROD TOTAL'!$X$27,'TIPPA PROD TOTAL'!$H$37,'TIPPA PROD TOTAL'!$P$37,'TIPPA PROD TOTAL'!$X$37,'TIPPA PROD TOTAL'!$H$48)</c:f>
              <c:numCache>
                <c:formatCode>#,##0</c:formatCode>
                <c:ptCount val="13"/>
                <c:pt idx="0">
                  <c:v>14427</c:v>
                </c:pt>
                <c:pt idx="1">
                  <c:v>14906</c:v>
                </c:pt>
                <c:pt idx="2">
                  <c:v>15771</c:v>
                </c:pt>
                <c:pt idx="3">
                  <c:v>14563</c:v>
                </c:pt>
                <c:pt idx="4">
                  <c:v>15942</c:v>
                </c:pt>
                <c:pt idx="5">
                  <c:v>15541</c:v>
                </c:pt>
                <c:pt idx="6">
                  <c:v>16033</c:v>
                </c:pt>
                <c:pt idx="7">
                  <c:v>17129</c:v>
                </c:pt>
                <c:pt idx="8">
                  <c:v>17999</c:v>
                </c:pt>
                <c:pt idx="9">
                  <c:v>18833</c:v>
                </c:pt>
                <c:pt idx="10">
                  <c:v>19984</c:v>
                </c:pt>
                <c:pt idx="11">
                  <c:v>17478</c:v>
                </c:pt>
                <c:pt idx="12">
                  <c:v>19123</c:v>
                </c:pt>
              </c:numCache>
            </c:numRef>
          </c:val>
        </c:ser>
        <c:ser>
          <c:idx val="3"/>
          <c:order val="3"/>
          <c:tx>
            <c:strRef>
              <c:f>'TIPPA PROD TOTAL'!$A$38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11"/>
              <c:layout>
                <c:manualLayout>
                  <c:x val="7.7098295368830862E-3"/>
                  <c:y val="-5.161449042472594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7.03577785371657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TOTAL'!$A$56:$A$68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('TIPPA PROD TOTAL'!$H$10,'TIPPA PROD TOTAL'!$P$10,'TIPPA PROD TOTAL'!$X$10,'TIPPA PROD TOTAL'!$H$20,'TIPPA PROD TOTAL'!$P$20,'TIPPA PROD TOTAL'!$X$20,'TIPPA PROD TOTAL'!$H$30,'TIPPA PROD TOTAL'!$P$30,'TIPPA PROD TOTAL'!$X$30,'TIPPA PROD TOTAL'!$H$38,'TIPPA PROD TOTAL'!$P$38,'TIPPA PROD TOTAL'!$X$38,'TIPPA PROD TOTAL'!$H$49)</c:f>
              <c:numCache>
                <c:formatCode>General</c:formatCode>
                <c:ptCount val="13"/>
                <c:pt idx="10" formatCode="#,##0">
                  <c:v>71</c:v>
                </c:pt>
                <c:pt idx="11" formatCode="#,##0">
                  <c:v>253</c:v>
                </c:pt>
                <c:pt idx="12" formatCode="#,##0">
                  <c:v>421</c:v>
                </c:pt>
              </c:numCache>
            </c:numRef>
          </c:val>
        </c:ser>
        <c:ser>
          <c:idx val="4"/>
          <c:order val="4"/>
          <c:tx>
            <c:strRef>
              <c:f>'TIPPA PROD TOTAL'!$A$39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294671650171901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5.8357373201374674E-3"/>
                  <c:y val="-2.97891025364365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2946716501719015E-3"/>
                  <c:y val="-2.97891025364365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7.294671650171901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8.7536059802062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5.8357373201375212E-3"/>
                  <c:y val="2.97891025364365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4.37680299010314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5.139886357922057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7.03577785371657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TOTAL'!$A$56:$A$68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('TIPPA PROD TOTAL'!$H$8,'TIPPA PROD TOTAL'!$P$8,'TIPPA PROD TOTAL'!$X$8,'TIPPA PROD TOTAL'!$H$18,'TIPPA PROD TOTAL'!$P$18,'TIPPA PROD TOTAL'!$X$18,'TIPPA PROD TOTAL'!$H$28,'TIPPA PROD TOTAL'!$P$28,'TIPPA PROD TOTAL'!$X$28,'TIPPA PROD TOTAL'!$H$39,'TIPPA PROD TOTAL'!$P$39,'TIPPA PROD TOTAL'!$X$39,'TIPPA PROD TOTAL'!$H$50)</c:f>
              <c:numCache>
                <c:formatCode>#,##0</c:formatCode>
                <c:ptCount val="13"/>
                <c:pt idx="0">
                  <c:v>13173</c:v>
                </c:pt>
                <c:pt idx="1">
                  <c:v>16033</c:v>
                </c:pt>
                <c:pt idx="2">
                  <c:v>12718</c:v>
                </c:pt>
                <c:pt idx="3">
                  <c:v>12473</c:v>
                </c:pt>
                <c:pt idx="4">
                  <c:v>13130</c:v>
                </c:pt>
                <c:pt idx="5">
                  <c:v>12904</c:v>
                </c:pt>
                <c:pt idx="6">
                  <c:v>14605</c:v>
                </c:pt>
                <c:pt idx="7">
                  <c:v>16832</c:v>
                </c:pt>
                <c:pt idx="8">
                  <c:v>17291</c:v>
                </c:pt>
                <c:pt idx="9">
                  <c:v>21813</c:v>
                </c:pt>
                <c:pt idx="10">
                  <c:v>16879</c:v>
                </c:pt>
                <c:pt idx="11">
                  <c:v>19566</c:v>
                </c:pt>
                <c:pt idx="12">
                  <c:v>17706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18935552"/>
        <c:axId val="118937088"/>
        <c:axId val="0"/>
      </c:bar3DChart>
      <c:catAx>
        <c:axId val="11893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8937088"/>
        <c:crosses val="autoZero"/>
        <c:auto val="1"/>
        <c:lblAlgn val="ctr"/>
        <c:lblOffset val="100"/>
        <c:noMultiLvlLbl val="0"/>
      </c:catAx>
      <c:valAx>
        <c:axId val="11893708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89355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8606887253847349E-2"/>
          <c:y val="0.9271043192859082"/>
          <c:w val="0.85801379745564588"/>
          <c:h val="5.4734502401589412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PERSONAL ADMINISTRATIVO DEFINITIVO POR RANGOS DE EDAD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5389996502273523E-2"/>
          <c:y val="8.8835410136839696E-2"/>
          <c:w val="0.97182815421944235"/>
          <c:h val="0.7337969064546543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'ADMI X EDAD'!$A$33</c:f>
              <c:strCache>
                <c:ptCount val="1"/>
                <c:pt idx="0">
                  <c:v>HASTA 30 AÑOS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8.50159404888413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9185263903648607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8.50159404888411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50159404888426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7.7428126362254638E-3"/>
                  <c:y val="-2.58899676375395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9.2915214866435506E-3"/>
                  <c:y val="-2.58899676375414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EDAD'!$C$32:$K$32,'ADMI X EDAD'!$L$32,'ADMI X EDAD'!$M$32)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('ADMI X EDAD'!$C$33:$K$33,'ADMI X EDAD'!$L$33,'ADMI X EDAD'!$M$33)</c:f>
              <c:numCache>
                <c:formatCode>0.0%</c:formatCode>
                <c:ptCount val="11"/>
                <c:pt idx="0">
                  <c:v>3.1791907514450865E-2</c:v>
                </c:pt>
                <c:pt idx="1">
                  <c:v>4.3089975440946643E-2</c:v>
                </c:pt>
                <c:pt idx="2">
                  <c:v>7.0538495772140636E-2</c:v>
                </c:pt>
                <c:pt idx="3">
                  <c:v>7.5578855395369154E-2</c:v>
                </c:pt>
                <c:pt idx="4">
                  <c:v>8.116744780570942E-2</c:v>
                </c:pt>
                <c:pt idx="5">
                  <c:v>9.9023993493289955E-2</c:v>
                </c:pt>
                <c:pt idx="6">
                  <c:v>0.10187774670395526</c:v>
                </c:pt>
                <c:pt idx="7">
                  <c:v>0.11065170309115968</c:v>
                </c:pt>
                <c:pt idx="8">
                  <c:v>0.11241907004120071</c:v>
                </c:pt>
                <c:pt idx="9">
                  <c:v>0.10817634492134395</c:v>
                </c:pt>
                <c:pt idx="10">
                  <c:v>0.11076443057722309</c:v>
                </c:pt>
              </c:numCache>
            </c:numRef>
          </c:val>
        </c:ser>
        <c:ser>
          <c:idx val="1"/>
          <c:order val="1"/>
          <c:tx>
            <c:strRef>
              <c:f>'ADMI X EDAD'!$A$34</c:f>
              <c:strCache>
                <c:ptCount val="1"/>
                <c:pt idx="0">
                  <c:v>31 - 40 AÑOS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8.5015940488841653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7.084661707403471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8.5015940488842694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EDAD'!$C$32:$K$32,'ADMI X EDAD'!$L$32,'ADMI X EDAD'!$M$32)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('ADMI X EDAD'!$C$34:$K$34,'ADMI X EDAD'!$L$34,'ADMI X EDAD'!$M$34)</c:f>
              <c:numCache>
                <c:formatCode>0.0%</c:formatCode>
                <c:ptCount val="11"/>
                <c:pt idx="0">
                  <c:v>0.17407736771898621</c:v>
                </c:pt>
                <c:pt idx="1">
                  <c:v>0.18039741013619112</c:v>
                </c:pt>
                <c:pt idx="2">
                  <c:v>0.20716510903426791</c:v>
                </c:pt>
                <c:pt idx="3">
                  <c:v>0.20816950633464396</c:v>
                </c:pt>
                <c:pt idx="4">
                  <c:v>0.21154665530464423</c:v>
                </c:pt>
                <c:pt idx="5">
                  <c:v>0.20963806425376169</c:v>
                </c:pt>
                <c:pt idx="6">
                  <c:v>0.20455453455852976</c:v>
                </c:pt>
                <c:pt idx="7">
                  <c:v>0.20318960425280566</c:v>
                </c:pt>
                <c:pt idx="8">
                  <c:v>0.20953502060035314</c:v>
                </c:pt>
                <c:pt idx="9">
                  <c:v>0.21829481452709265</c:v>
                </c:pt>
                <c:pt idx="10">
                  <c:v>0.21938377535101405</c:v>
                </c:pt>
              </c:numCache>
            </c:numRef>
          </c:val>
        </c:ser>
        <c:ser>
          <c:idx val="2"/>
          <c:order val="2"/>
          <c:tx>
            <c:strRef>
              <c:f>'ADMI X EDAD'!$A$35</c:f>
              <c:strCache>
                <c:ptCount val="1"/>
                <c:pt idx="0">
                  <c:v>41 -50 AÑOS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7.084661707403471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7.084661707403367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8.5015940488841653E-3"/>
                  <c:y val="-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EDAD'!$C$32:$K$32,'ADMI X EDAD'!$L$32,'ADMI X EDAD'!$M$32)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('ADMI X EDAD'!$C$35:$K$35,'ADMI X EDAD'!$L$35,'ADMI X EDAD'!$M$35)</c:f>
              <c:numCache>
                <c:formatCode>0.0%</c:formatCode>
                <c:ptCount val="11"/>
                <c:pt idx="0">
                  <c:v>0.36082703423743884</c:v>
                </c:pt>
                <c:pt idx="1">
                  <c:v>0.3634739897298504</c:v>
                </c:pt>
                <c:pt idx="2">
                  <c:v>0.37383177570093457</c:v>
                </c:pt>
                <c:pt idx="3">
                  <c:v>0.36194844910441243</c:v>
                </c:pt>
                <c:pt idx="4">
                  <c:v>0.34490839369407755</c:v>
                </c:pt>
                <c:pt idx="5">
                  <c:v>0.32696217974786501</c:v>
                </c:pt>
                <c:pt idx="6">
                  <c:v>0.32121454254894127</c:v>
                </c:pt>
                <c:pt idx="7">
                  <c:v>0.31403819649537312</c:v>
                </c:pt>
                <c:pt idx="8">
                  <c:v>0.3046890327643712</c:v>
                </c:pt>
                <c:pt idx="9">
                  <c:v>0.297533501650806</c:v>
                </c:pt>
                <c:pt idx="10">
                  <c:v>0.28802652106084242</c:v>
                </c:pt>
              </c:numCache>
            </c:numRef>
          </c:val>
        </c:ser>
        <c:ser>
          <c:idx val="3"/>
          <c:order val="3"/>
          <c:tx>
            <c:strRef>
              <c:f>'ADMI X EDAD'!$A$36</c:f>
              <c:strCache>
                <c:ptCount val="1"/>
                <c:pt idx="0">
                  <c:v>51 - 60 AÑOS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7.0846617074033676E-3"/>
                  <c:y val="5.691305954793062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EDAD'!$C$32:$K$32,'ADMI X EDAD'!$L$32,'ADMI X EDAD'!$M$32)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('ADMI X EDAD'!$C$36:$K$36,'ADMI X EDAD'!$L$36,'ADMI X EDAD'!$M$36)</c:f>
              <c:numCache>
                <c:formatCode>0.0%</c:formatCode>
                <c:ptCount val="11"/>
                <c:pt idx="0">
                  <c:v>0.31458425967096487</c:v>
                </c:pt>
                <c:pt idx="1">
                  <c:v>0.30229962045099351</c:v>
                </c:pt>
                <c:pt idx="2">
                  <c:v>0.26479750778816197</c:v>
                </c:pt>
                <c:pt idx="3">
                  <c:v>0.26692878986456969</c:v>
                </c:pt>
                <c:pt idx="4">
                  <c:v>0.26906689390711547</c:v>
                </c:pt>
                <c:pt idx="5">
                  <c:v>0.2686051240341602</c:v>
                </c:pt>
                <c:pt idx="6">
                  <c:v>0.26987614862165399</c:v>
                </c:pt>
                <c:pt idx="7">
                  <c:v>0.26914746997440442</c:v>
                </c:pt>
                <c:pt idx="8">
                  <c:v>0.27251324308416713</c:v>
                </c:pt>
                <c:pt idx="9">
                  <c:v>0.27209166828510389</c:v>
                </c:pt>
                <c:pt idx="10">
                  <c:v>0.27730109204368175</c:v>
                </c:pt>
              </c:numCache>
            </c:numRef>
          </c:val>
        </c:ser>
        <c:ser>
          <c:idx val="4"/>
          <c:order val="4"/>
          <c:tx>
            <c:strRef>
              <c:f>'ADMI X EDAD'!$A$37</c:f>
              <c:strCache>
                <c:ptCount val="1"/>
                <c:pt idx="0">
                  <c:v>61 - 70 AÑOS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1.42282648869826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2507970244420826E-3"/>
                  <c:y val="-1.42282648869826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5.6677293659227771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8.5015940488840612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9.9185263903648607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EDAD'!$C$32:$K$32,'ADMI X EDAD'!$L$32,'ADMI X EDAD'!$M$32)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('ADMI X EDAD'!$C$37:$K$37,'ADMI X EDAD'!$L$37,'ADMI X EDAD'!$M$37)</c:f>
              <c:numCache>
                <c:formatCode>0.0%</c:formatCode>
                <c:ptCount val="11"/>
                <c:pt idx="0">
                  <c:v>9.8932859048465979E-2</c:v>
                </c:pt>
                <c:pt idx="1">
                  <c:v>9.2431346282652371E-2</c:v>
                </c:pt>
                <c:pt idx="2">
                  <c:v>7.0761014686248333E-2</c:v>
                </c:pt>
                <c:pt idx="3">
                  <c:v>7.4705111402359109E-2</c:v>
                </c:pt>
                <c:pt idx="4">
                  <c:v>7.9889220281210052E-2</c:v>
                </c:pt>
                <c:pt idx="5">
                  <c:v>8.255388369255795E-2</c:v>
                </c:pt>
                <c:pt idx="6">
                  <c:v>8.8893328006392325E-2</c:v>
                </c:pt>
                <c:pt idx="7">
                  <c:v>8.8993896436306355E-2</c:v>
                </c:pt>
                <c:pt idx="8">
                  <c:v>8.7894840102020796E-2</c:v>
                </c:pt>
                <c:pt idx="9">
                  <c:v>9.0114585356379881E-2</c:v>
                </c:pt>
                <c:pt idx="10">
                  <c:v>9.1263650546021841E-2</c:v>
                </c:pt>
              </c:numCache>
            </c:numRef>
          </c:val>
        </c:ser>
        <c:ser>
          <c:idx val="5"/>
          <c:order val="5"/>
          <c:tx>
            <c:strRef>
              <c:f>'ADMI X EDAD'!$A$38</c:f>
              <c:strCache>
                <c:ptCount val="1"/>
                <c:pt idx="0">
                  <c:v>MÁS DE 70 AÑOS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6823443046632E-3"/>
                  <c:y val="-1.2417538257262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3818176942441584E-3"/>
                  <c:y val="-1.241753825726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9536810772216689E-3"/>
                  <c:y val="-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7.3705346218695842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7.0846699718090794E-3"/>
                  <c:y val="-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0846699718090794E-3"/>
                  <c:y val="-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8.5016575993134957E-3"/>
                  <c:y val="-9.31315369294655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7.0846617074034716E-3"/>
                  <c:y val="-9.31315369294655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6.5128065888315689E-3"/>
                  <c:y val="-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8.5016202243013445E-3"/>
                  <c:y val="-7.7669902912621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6.8213424541444514E-3"/>
                  <c:y val="-7.7669902912621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EDAD'!$C$32:$K$32,'ADMI X EDAD'!$L$32,'ADMI X EDAD'!$M$32)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('ADMI X EDAD'!$C$38:$K$38,'ADMI X EDAD'!$L$38,'ADMI X EDAD'!$M$38)</c:f>
              <c:numCache>
                <c:formatCode>0.0%</c:formatCode>
                <c:ptCount val="11"/>
                <c:pt idx="0">
                  <c:v>1.9786571809693197E-2</c:v>
                </c:pt>
                <c:pt idx="1">
                  <c:v>1.8307657959365928E-2</c:v>
                </c:pt>
                <c:pt idx="2">
                  <c:v>1.290609701824655E-2</c:v>
                </c:pt>
                <c:pt idx="3">
                  <c:v>1.2669287898645697E-2</c:v>
                </c:pt>
                <c:pt idx="4">
                  <c:v>1.342138900724329E-2</c:v>
                </c:pt>
                <c:pt idx="5">
                  <c:v>1.3216754778365189E-2</c:v>
                </c:pt>
                <c:pt idx="6">
                  <c:v>1.3583699560527367E-2</c:v>
                </c:pt>
                <c:pt idx="7">
                  <c:v>1.3979129749950778E-2</c:v>
                </c:pt>
                <c:pt idx="8">
                  <c:v>1.2948793407886992E-2</c:v>
                </c:pt>
                <c:pt idx="9">
                  <c:v>1.3789085259273645E-2</c:v>
                </c:pt>
                <c:pt idx="10">
                  <c:v>1.3260530421216849E-2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9"/>
        <c:shape val="cylinder"/>
        <c:axId val="39384576"/>
        <c:axId val="39386112"/>
        <c:axId val="0"/>
      </c:bar3DChart>
      <c:catAx>
        <c:axId val="3938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0"/>
            </a:pPr>
            <a:endParaRPr lang="es-MX"/>
          </a:p>
        </c:txPr>
        <c:crossAx val="39386112"/>
        <c:crosses val="autoZero"/>
        <c:auto val="1"/>
        <c:lblAlgn val="ctr"/>
        <c:lblOffset val="100"/>
        <c:noMultiLvlLbl val="0"/>
      </c:catAx>
      <c:valAx>
        <c:axId val="3938611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393845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6267602565005036E-2"/>
          <c:y val="0.91902860629266081"/>
          <c:w val="0.88899262723324324"/>
          <c:h val="5.61363171928150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PERSONAL ADMINISTRATIVO DEFINITIVO POR AÑOS DE ANTIGÜEDAD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'ADMI X ANTIG'!$A$21</c:f>
              <c:strCache>
                <c:ptCount val="1"/>
                <c:pt idx="0">
                  <c:v>HASTA 5 AÑOS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9.23670255503776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4.620716211012706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ANTIG'!$C$20:$K$20,'ADMI X ANTIG'!$L$20,'ADMI X ANTIG'!$M$20)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('ADMI X ANTIG'!$C$21:$K$21,'ADMI X ANTIG'!$L$21,'ADMI X ANTIG'!$M$21)</c:f>
              <c:numCache>
                <c:formatCode>0.0%</c:formatCode>
                <c:ptCount val="11"/>
                <c:pt idx="0">
                  <c:v>0.11116051578479325</c:v>
                </c:pt>
                <c:pt idx="1">
                  <c:v>0.10716677829872739</c:v>
                </c:pt>
                <c:pt idx="2">
                  <c:v>0.14196706720071206</c:v>
                </c:pt>
                <c:pt idx="3">
                  <c:v>0.14591524683267804</c:v>
                </c:pt>
                <c:pt idx="4">
                  <c:v>0.18108223263740947</c:v>
                </c:pt>
                <c:pt idx="5">
                  <c:v>0.23037820252135013</c:v>
                </c:pt>
                <c:pt idx="6">
                  <c:v>0.25149820215741109</c:v>
                </c:pt>
                <c:pt idx="7">
                  <c:v>0.28017326245323881</c:v>
                </c:pt>
                <c:pt idx="8">
                  <c:v>0.28683539336864822</c:v>
                </c:pt>
                <c:pt idx="9">
                  <c:v>0.2913187026607108</c:v>
                </c:pt>
                <c:pt idx="10">
                  <c:v>0.28724648985959439</c:v>
                </c:pt>
              </c:numCache>
            </c:numRef>
          </c:val>
        </c:ser>
        <c:ser>
          <c:idx val="1"/>
          <c:order val="1"/>
          <c:tx>
            <c:strRef>
              <c:f>'ADMI X ANTIG'!$A$22</c:f>
              <c:strCache>
                <c:ptCount val="1"/>
                <c:pt idx="0">
                  <c:v>6 - 10 AÑOS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1.2317167051578136E-2"/>
                  <c:y val="-2.62209084698283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9.24143242202541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ANTIG'!$C$20:$K$20,'ADMI X ANTIG'!$L$20,'ADMI X ANTIG'!$M$20)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('ADMI X ANTIG'!$C$22:$K$22,'ADMI X ANTIG'!$L$22,'ADMI X ANTIG'!$M$22)</c:f>
              <c:numCache>
                <c:formatCode>0.0%</c:formatCode>
                <c:ptCount val="11"/>
                <c:pt idx="0">
                  <c:v>0.13939528679413071</c:v>
                </c:pt>
                <c:pt idx="1">
                  <c:v>0.14221924536726949</c:v>
                </c:pt>
                <c:pt idx="2">
                  <c:v>0.11927013796172675</c:v>
                </c:pt>
                <c:pt idx="3">
                  <c:v>0.12669287898645698</c:v>
                </c:pt>
                <c:pt idx="4">
                  <c:v>0.11717085641244142</c:v>
                </c:pt>
                <c:pt idx="5">
                  <c:v>9.7600650671004471E-2</c:v>
                </c:pt>
                <c:pt idx="6">
                  <c:v>8.6496204554534564E-2</c:v>
                </c:pt>
                <c:pt idx="7">
                  <c:v>8.7812561527859809E-2</c:v>
                </c:pt>
                <c:pt idx="8">
                  <c:v>0.10260937806552874</c:v>
                </c:pt>
                <c:pt idx="9">
                  <c:v>0.12837444163915324</c:v>
                </c:pt>
                <c:pt idx="10">
                  <c:v>0.16107644305772231</c:v>
                </c:pt>
              </c:numCache>
            </c:numRef>
          </c:val>
        </c:ser>
        <c:ser>
          <c:idx val="2"/>
          <c:order val="2"/>
          <c:tx>
            <c:strRef>
              <c:f>'ADMI X ANTIG'!$A$23</c:f>
              <c:strCache>
                <c:ptCount val="1"/>
                <c:pt idx="0">
                  <c:v>11 - 15 AÑOS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1.20853363407559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1.077752117013086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7.7011936850211781E-3"/>
                  <c:y val="-2.62209084698283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ANTIG'!$C$20:$K$20,'ADMI X ANTIG'!$L$20,'ADMI X ANTIG'!$M$20)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('ADMI X ANTIG'!$C$23:$K$23,'ADMI X ANTIG'!$L$23,'ADMI X ANTIG'!$M$23)</c:f>
              <c:numCache>
                <c:formatCode>0.0%</c:formatCode>
                <c:ptCount val="11"/>
                <c:pt idx="0">
                  <c:v>0.19119608714984437</c:v>
                </c:pt>
                <c:pt idx="1">
                  <c:v>0.17369948649252065</c:v>
                </c:pt>
                <c:pt idx="2">
                  <c:v>0.14574988874054295</c:v>
                </c:pt>
                <c:pt idx="3">
                  <c:v>0.14001747487986019</c:v>
                </c:pt>
                <c:pt idx="4">
                  <c:v>0.12760971452918621</c:v>
                </c:pt>
                <c:pt idx="5">
                  <c:v>0.12159414396095974</c:v>
                </c:pt>
                <c:pt idx="6">
                  <c:v>0.12385137834598482</c:v>
                </c:pt>
                <c:pt idx="7">
                  <c:v>0.12010238235873204</c:v>
                </c:pt>
                <c:pt idx="8">
                  <c:v>0.10574847949774377</c:v>
                </c:pt>
                <c:pt idx="9">
                  <c:v>9.6717809283355993E-2</c:v>
                </c:pt>
                <c:pt idx="10">
                  <c:v>8.3853354134165364E-2</c:v>
                </c:pt>
              </c:numCache>
            </c:numRef>
          </c:val>
        </c:ser>
        <c:ser>
          <c:idx val="3"/>
          <c:order val="3"/>
          <c:tx>
            <c:strRef>
              <c:f>'ADMI X ANTIG'!$A$24</c:f>
              <c:strCache>
                <c:ptCount val="1"/>
                <c:pt idx="0">
                  <c:v>16 - 20 AÑOS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20853363407559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9.23787528868360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9.2414324220254137E-3"/>
                  <c:y val="-5.24418169396566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ANTIG'!$C$20:$K$20,'ADMI X ANTIG'!$L$20,'ADMI X ANTIG'!$M$20)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('ADMI X ANTIG'!$C$24:$K$24,'ADMI X ANTIG'!$L$24,'ADMI X ANTIG'!$M$24)</c:f>
              <c:numCache>
                <c:formatCode>0.0%</c:formatCode>
                <c:ptCount val="11"/>
                <c:pt idx="0">
                  <c:v>0.17274344152956869</c:v>
                </c:pt>
                <c:pt idx="1">
                  <c:v>0.17146684527796383</c:v>
                </c:pt>
                <c:pt idx="2">
                  <c:v>0.18513573653760571</c:v>
                </c:pt>
                <c:pt idx="3">
                  <c:v>0.18719965050240281</c:v>
                </c:pt>
                <c:pt idx="4">
                  <c:v>0.17703451214316149</c:v>
                </c:pt>
                <c:pt idx="5">
                  <c:v>0.16104107360715739</c:v>
                </c:pt>
                <c:pt idx="6">
                  <c:v>0.14362764682381143</c:v>
                </c:pt>
                <c:pt idx="7">
                  <c:v>0.11616459933057688</c:v>
                </c:pt>
                <c:pt idx="8">
                  <c:v>0.11457720227584854</c:v>
                </c:pt>
                <c:pt idx="9">
                  <c:v>0.10448630802097494</c:v>
                </c:pt>
                <c:pt idx="10">
                  <c:v>0.10218408736349453</c:v>
                </c:pt>
              </c:numCache>
            </c:numRef>
          </c:val>
        </c:ser>
        <c:ser>
          <c:idx val="4"/>
          <c:order val="4"/>
          <c:tx>
            <c:strRef>
              <c:f>'ADMI X ANTIG'!$A$25</c:f>
              <c:strCache>
                <c:ptCount val="1"/>
                <c:pt idx="0">
                  <c:v>21 - 25 AÑOS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2.984634789978454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79429860323963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9.23787528868360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7.7011936850211781E-3"/>
                  <c:y val="-2.62209084698283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ANTIG'!$C$20:$K$20,'ADMI X ANTIG'!$L$20,'ADMI X ANTIG'!$M$20)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('ADMI X ANTIG'!$C$25:$K$25,'ADMI X ANTIG'!$L$25,'ADMI X ANTIG'!$M$25)</c:f>
              <c:numCache>
                <c:formatCode>0.0%</c:formatCode>
                <c:ptCount val="11"/>
                <c:pt idx="0">
                  <c:v>0.21987550022232102</c:v>
                </c:pt>
                <c:pt idx="1">
                  <c:v>0.22192453672694798</c:v>
                </c:pt>
                <c:pt idx="2">
                  <c:v>0.20850022251891412</c:v>
                </c:pt>
                <c:pt idx="3">
                  <c:v>0.17780690257754478</c:v>
                </c:pt>
                <c:pt idx="4">
                  <c:v>0.14870046868342565</c:v>
                </c:pt>
                <c:pt idx="5">
                  <c:v>0.1464009760065067</c:v>
                </c:pt>
                <c:pt idx="6">
                  <c:v>0.14342788653615662</c:v>
                </c:pt>
                <c:pt idx="7">
                  <c:v>0.15042331167552667</c:v>
                </c:pt>
                <c:pt idx="8">
                  <c:v>0.15224641946242887</c:v>
                </c:pt>
                <c:pt idx="9">
                  <c:v>0.14798990095164111</c:v>
                </c:pt>
                <c:pt idx="10">
                  <c:v>0.14021060842433697</c:v>
                </c:pt>
              </c:numCache>
            </c:numRef>
          </c:val>
        </c:ser>
        <c:ser>
          <c:idx val="5"/>
          <c:order val="5"/>
          <c:tx>
            <c:strRef>
              <c:f>'ADMI X ANTIG'!$A$26</c:f>
              <c:strCache>
                <c:ptCount val="1"/>
                <c:pt idx="0">
                  <c:v>26 - 30 AÑOS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1.2085336340755913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9.2378752886836026E-3"/>
                  <c:y val="2.403555510322569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7.701193685021178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anchor="b" anchorCtr="1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ANTIG'!$C$20:$K$20,'ADMI X ANTIG'!$L$20,'ADMI X ANTIG'!$M$20)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('ADMI X ANTIG'!$C$26:$K$26,'ADMI X ANTIG'!$L$26,'ADMI X ANTIG'!$M$26)</c:f>
              <c:numCache>
                <c:formatCode>0.0%</c:formatCode>
                <c:ptCount val="11"/>
                <c:pt idx="0">
                  <c:v>0.1462872387727879</c:v>
                </c:pt>
                <c:pt idx="1">
                  <c:v>0.14422862246037063</c:v>
                </c:pt>
                <c:pt idx="2">
                  <c:v>0.13840676457498888</c:v>
                </c:pt>
                <c:pt idx="3">
                  <c:v>0.16491917868064657</c:v>
                </c:pt>
                <c:pt idx="4">
                  <c:v>0.18768640818065616</c:v>
                </c:pt>
                <c:pt idx="5">
                  <c:v>0.16856445709638065</c:v>
                </c:pt>
                <c:pt idx="6">
                  <c:v>0.16380343587694765</c:v>
                </c:pt>
                <c:pt idx="7">
                  <c:v>0.15317975979523529</c:v>
                </c:pt>
                <c:pt idx="8">
                  <c:v>0.13125367863449089</c:v>
                </c:pt>
                <c:pt idx="9">
                  <c:v>0.11419693144299864</c:v>
                </c:pt>
                <c:pt idx="10">
                  <c:v>0.11154446177847113</c:v>
                </c:pt>
              </c:numCache>
            </c:numRef>
          </c:val>
        </c:ser>
        <c:ser>
          <c:idx val="6"/>
          <c:order val="6"/>
          <c:tx>
            <c:strRef>
              <c:f>'ADMI X ANTIG'!$A$27</c:f>
              <c:strCache>
                <c:ptCount val="1"/>
                <c:pt idx="0">
                  <c:v>MÁS DE 30 AÑOS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1.20853363407559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20853363407559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1.2085336340755913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9.23787528868360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9.24143242202541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anchor="b" anchorCtr="0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ANTIG'!$C$20:$K$20,'ADMI X ANTIG'!$L$20,'ADMI X ANTIG'!$M$20)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('ADMI X ANTIG'!$C$27:$K$27,'ADMI X ANTIG'!$L$27,'ADMI X ANTIG'!$M$27)</c:f>
              <c:numCache>
                <c:formatCode>0.0%</c:formatCode>
                <c:ptCount val="11"/>
                <c:pt idx="0">
                  <c:v>1.9341929746554024E-2</c:v>
                </c:pt>
                <c:pt idx="1">
                  <c:v>3.9294485376200047E-2</c:v>
                </c:pt>
                <c:pt idx="2">
                  <c:v>6.0970182465509566E-2</c:v>
                </c:pt>
                <c:pt idx="3">
                  <c:v>5.7448667540410663E-2</c:v>
                </c:pt>
                <c:pt idx="4">
                  <c:v>6.0715807413719645E-2</c:v>
                </c:pt>
                <c:pt idx="5">
                  <c:v>7.442049613664091E-2</c:v>
                </c:pt>
                <c:pt idx="6">
                  <c:v>8.7295245705153818E-2</c:v>
                </c:pt>
                <c:pt idx="7">
                  <c:v>9.2144122858830474E-2</c:v>
                </c:pt>
                <c:pt idx="8">
                  <c:v>0.10672944869531097</c:v>
                </c:pt>
                <c:pt idx="9">
                  <c:v>0.11691590600116528</c:v>
                </c:pt>
                <c:pt idx="10">
                  <c:v>0.11388455538221529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9"/>
        <c:gapDepth val="99"/>
        <c:shape val="cylinder"/>
        <c:axId val="118722560"/>
        <c:axId val="118724096"/>
        <c:axId val="0"/>
      </c:bar3DChart>
      <c:catAx>
        <c:axId val="11872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0"/>
            </a:pPr>
            <a:endParaRPr lang="es-MX"/>
          </a:p>
        </c:txPr>
        <c:crossAx val="118724096"/>
        <c:crosses val="autoZero"/>
        <c:auto val="1"/>
        <c:lblAlgn val="ctr"/>
        <c:lblOffset val="100"/>
        <c:noMultiLvlLbl val="0"/>
      </c:catAx>
      <c:valAx>
        <c:axId val="11872409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87225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3.0431219484811249E-2"/>
          <c:y val="0.92551855049932219"/>
          <c:w val="0.93570996845130439"/>
          <c:h val="5.4945432468962857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804070543813605E-2"/>
          <c:y val="8.2958223972003503E-2"/>
          <c:w val="0.89605267762582308"/>
          <c:h val="0.730862860892388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explosion val="3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88900" h="38100" prst="coolSlant"/>
                <a:bevelB w="88900" h="38100" prst="coolSlant"/>
              </a:sp3d>
            </c:spPr>
          </c:dPt>
          <c:dPt>
            <c:idx val="1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>
                <a:bevelT w="88900" h="38100" prst="coolSlant"/>
                <a:bevelB w="88900" h="38100" prst="coolSlant"/>
              </a:sp3d>
            </c:spPr>
          </c:dPt>
          <c:dPt>
            <c:idx val="2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 w="88900" h="38100" prst="coolSlant"/>
                <a:bevelB w="88900" h="38100" prst="coolSlant"/>
              </a:sp3d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200" b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'RECURSOS EXT'!$C$33:$E$33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EXT'!$C$29:$E$29</c:f>
              <c:numCache>
                <c:formatCode>#,##0.00</c:formatCode>
                <c:ptCount val="3"/>
                <c:pt idx="0">
                  <c:v>162654479.56</c:v>
                </c:pt>
                <c:pt idx="1">
                  <c:v>47851416.109999999</c:v>
                </c:pt>
                <c:pt idx="2">
                  <c:v>123763497.50000001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0510433070866141"/>
          <c:y val="0.86998651210265388"/>
          <c:w val="0.65090223097112865"/>
          <c:h val="0.10223571011956839"/>
        </c:manualLayout>
      </c:layout>
      <c:overlay val="0"/>
      <c:txPr>
        <a:bodyPr/>
        <a:lstStyle/>
        <a:p>
          <a:pPr rtl="0"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804070543813605E-2"/>
          <c:y val="8.2958223972003503E-2"/>
          <c:w val="0.89605267762582308"/>
          <c:h val="0.730862860892388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explosion val="3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88900" h="38100" prst="coolSlant"/>
                <a:bevelB w="88900" h="38100" prst="coolSlant"/>
              </a:sp3d>
            </c:spPr>
          </c:dPt>
          <c:dPt>
            <c:idx val="1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>
                <a:bevelT w="88900" h="38100" prst="coolSlant"/>
                <a:bevelB w="88900" h="38100" prst="coolSlant"/>
              </a:sp3d>
            </c:spPr>
          </c:dPt>
          <c:dPt>
            <c:idx val="2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 w="88900" h="38100" prst="coolSlant"/>
                <a:bevelB w="88900" h="38100" prst="coolSlant"/>
              </a:sp3d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200" b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'RECURSOS EXT'!$C$33:$E$33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EXT'!$C$59:$E$59</c:f>
              <c:numCache>
                <c:formatCode>#,##0.00</c:formatCode>
                <c:ptCount val="3"/>
                <c:pt idx="0">
                  <c:v>179510848.91999999</c:v>
                </c:pt>
                <c:pt idx="1">
                  <c:v>16369562.879999999</c:v>
                </c:pt>
                <c:pt idx="2">
                  <c:v>70559754.189999998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0510433070866141"/>
          <c:y val="0.86998651210265388"/>
          <c:w val="0.65090223097112865"/>
          <c:h val="0.10223571011956839"/>
        </c:manualLayout>
      </c:layout>
      <c:overlay val="0"/>
      <c:txPr>
        <a:bodyPr/>
        <a:lstStyle/>
        <a:p>
          <a:pPr rtl="0"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804070543813605E-2"/>
          <c:y val="8.2958223972003503E-2"/>
          <c:w val="0.89605267762582308"/>
          <c:h val="0.730862860892388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explosion val="3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88900" h="38100" prst="coolSlant"/>
                <a:bevelB w="88900" h="38100" prst="coolSlant"/>
              </a:sp3d>
            </c:spPr>
          </c:dPt>
          <c:dPt>
            <c:idx val="1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>
                <a:bevelT w="88900" h="38100" prst="coolSlant"/>
                <a:bevelB w="88900" h="38100" prst="coolSlant"/>
              </a:sp3d>
            </c:spPr>
          </c:dPt>
          <c:dPt>
            <c:idx val="2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 w="88900" h="38100" prst="coolSlant"/>
                <a:bevelB w="88900" h="38100" prst="coolSlant"/>
              </a:sp3d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200" b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'RECURSOS EXT'!$C$33:$E$33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EXT'!$C$87:$E$87</c:f>
              <c:numCache>
                <c:formatCode>#,##0.00</c:formatCode>
                <c:ptCount val="3"/>
                <c:pt idx="0">
                  <c:v>92168755.070000008</c:v>
                </c:pt>
                <c:pt idx="1">
                  <c:v>49403744.32</c:v>
                </c:pt>
                <c:pt idx="2">
                  <c:v>71709453.480000004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0510433070866141"/>
          <c:y val="0.86998651210265388"/>
          <c:w val="0.65090223097112865"/>
          <c:h val="0.10223571011956839"/>
        </c:manualLayout>
      </c:layout>
      <c:overlay val="0"/>
      <c:txPr>
        <a:bodyPr/>
        <a:lstStyle/>
        <a:p>
          <a:pPr rtl="0"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804070543813605E-2"/>
          <c:y val="8.2958223972003503E-2"/>
          <c:w val="0.89605267762582308"/>
          <c:h val="0.730862860892388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explosion val="3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88900" h="38100" prst="coolSlant"/>
                <a:bevelB w="88900" h="38100" prst="coolSlant"/>
              </a:sp3d>
            </c:spPr>
          </c:dPt>
          <c:dPt>
            <c:idx val="1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>
                <a:bevelT w="88900" h="38100" prst="coolSlant"/>
                <a:bevelB w="88900" h="38100" prst="coolSlant"/>
              </a:sp3d>
            </c:spPr>
          </c:dPt>
          <c:dPt>
            <c:idx val="2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 w="88900" h="38100" prst="coolSlant"/>
                <a:bevelB w="88900" h="38100" prst="coolSlant"/>
              </a:sp3d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200" b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'RECURSOS EXT'!$C$33:$E$33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EXT'!$C$114:$E$114</c:f>
              <c:numCache>
                <c:formatCode>#,##0.00</c:formatCode>
                <c:ptCount val="3"/>
                <c:pt idx="0">
                  <c:v>187167814.91000003</c:v>
                </c:pt>
                <c:pt idx="1">
                  <c:v>79421127.200000003</c:v>
                </c:pt>
                <c:pt idx="2">
                  <c:v>217868511.91999996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0510433070866141"/>
          <c:y val="0.86998651210265388"/>
          <c:w val="0.65090223097112865"/>
          <c:h val="0.10223571011956839"/>
        </c:manualLayout>
      </c:layout>
      <c:overlay val="0"/>
      <c:txPr>
        <a:bodyPr/>
        <a:lstStyle/>
        <a:p>
          <a:pPr rtl="0"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804070543813605E-2"/>
          <c:y val="8.2958223972003503E-2"/>
          <c:w val="0.89605267762582308"/>
          <c:h val="0.730862860892388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explosion val="3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88900" h="38100" prst="coolSlant"/>
                <a:bevelB w="88900" h="38100" prst="coolSlant"/>
              </a:sp3d>
            </c:spPr>
          </c:dPt>
          <c:dPt>
            <c:idx val="1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>
                <a:bevelT w="88900" h="38100" prst="coolSlant"/>
                <a:bevelB w="88900" h="38100" prst="coolSlant"/>
              </a:sp3d>
            </c:spPr>
          </c:dPt>
          <c:dPt>
            <c:idx val="2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 w="88900" h="38100" prst="coolSlant"/>
                <a:bevelB w="88900" h="38100" prst="coolSlant"/>
              </a:sp3d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200" b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'RECURSOS EXT'!$C$33:$E$33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EXT'!$C$139:$E$139</c:f>
              <c:numCache>
                <c:formatCode>#,##0.00</c:formatCode>
                <c:ptCount val="3"/>
                <c:pt idx="0">
                  <c:v>84484040.250000015</c:v>
                </c:pt>
                <c:pt idx="1">
                  <c:v>25246906.460000001</c:v>
                </c:pt>
                <c:pt idx="2">
                  <c:v>142612817.78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0510433070866141"/>
          <c:y val="0.86998651210265388"/>
          <c:w val="0.65090223097112865"/>
          <c:h val="0.10223571011956839"/>
        </c:manualLayout>
      </c:layout>
      <c:overlay val="0"/>
      <c:txPr>
        <a:bodyPr/>
        <a:lstStyle/>
        <a:p>
          <a:pPr rtl="0"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INSCRITOS DE PRIMER INGRESO A LICENCIATURA</a:t>
            </a: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  <c:spPr>
        <a:ln w="3175">
          <a:solidFill>
            <a:schemeClr val="bg1">
              <a:lumMod val="85000"/>
            </a:schemeClr>
          </a:solidFill>
        </a:ln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9507339638976544E-2"/>
          <c:y val="0.10807727971506807"/>
          <c:w val="0.96302132700935417"/>
          <c:h val="0.74707120884820155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'Admitidos uni'!$S$57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76200" dist="12700" dir="8100000" sy="-23000" kx="800400" algn="br" rotWithShape="0">
                <a:schemeClr val="bg1">
                  <a:lumMod val="50000"/>
                  <a:alpha val="20000"/>
                </a:scheme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'Inscritos uni'!$U$43:$U$55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('Inscritos uni'!$E$9,'Inscritos uni'!$H$9,'Inscritos uni'!$K$9,'Inscritos uni'!$N$9,'Inscritos uni'!$Q$9,'Inscritos uni'!$T$9,'Inscritos uni'!$W$9,'Inscritos uni'!$Z$9,'Inscritos uni'!$AC$9,'Inscritos uni'!$AF$9,'Inscritos uni'!$AI$9,'Inscritos uni'!$AL$9,'Inscritos uni'!$AO$9)</c:f>
              <c:numCache>
                <c:formatCode>#,##0</c:formatCode>
                <c:ptCount val="13"/>
                <c:pt idx="0">
                  <c:v>2781</c:v>
                </c:pt>
                <c:pt idx="1">
                  <c:v>3279</c:v>
                </c:pt>
                <c:pt idx="2">
                  <c:v>2932</c:v>
                </c:pt>
                <c:pt idx="3">
                  <c:v>2956</c:v>
                </c:pt>
                <c:pt idx="4">
                  <c:v>2930</c:v>
                </c:pt>
                <c:pt idx="5">
                  <c:v>3318</c:v>
                </c:pt>
                <c:pt idx="6">
                  <c:v>3115</c:v>
                </c:pt>
                <c:pt idx="7">
                  <c:v>3329</c:v>
                </c:pt>
                <c:pt idx="8">
                  <c:v>3026</c:v>
                </c:pt>
                <c:pt idx="9">
                  <c:v>2712</c:v>
                </c:pt>
                <c:pt idx="10">
                  <c:v>2865</c:v>
                </c:pt>
                <c:pt idx="11">
                  <c:v>2876</c:v>
                </c:pt>
                <c:pt idx="12">
                  <c:v>2840</c:v>
                </c:pt>
              </c:numCache>
            </c:numRef>
          </c:val>
        </c:ser>
        <c:ser>
          <c:idx val="1"/>
          <c:order val="1"/>
          <c:tx>
            <c:strRef>
              <c:f>'Inscritos uni'!$U$59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'Inscritos uni'!$U$43:$U$55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('Inscritos uni'!$E$14,'Inscritos uni'!$H$14,'Inscritos uni'!$K$14,'Inscritos uni'!$N$14,'Inscritos uni'!$Q$14,'Inscritos uni'!$T$14,'Inscritos uni'!$W$14,'Inscritos uni'!$Z$14,'Inscritos uni'!$AC$14,'Inscritos uni'!$AF$14,'Inscritos uni'!$AI$14,'Inscritos uni'!$AL$14,'Inscritos uni'!$AO$14)</c:f>
              <c:numCache>
                <c:formatCode>#,##0</c:formatCode>
                <c:ptCount val="13"/>
                <c:pt idx="2">
                  <c:v>203</c:v>
                </c:pt>
                <c:pt idx="3">
                  <c:v>101</c:v>
                </c:pt>
                <c:pt idx="4">
                  <c:v>316</c:v>
                </c:pt>
                <c:pt idx="5">
                  <c:v>355</c:v>
                </c:pt>
                <c:pt idx="6">
                  <c:v>260</c:v>
                </c:pt>
                <c:pt idx="7">
                  <c:v>318</c:v>
                </c:pt>
                <c:pt idx="8">
                  <c:v>322</c:v>
                </c:pt>
                <c:pt idx="9">
                  <c:v>356</c:v>
                </c:pt>
                <c:pt idx="10">
                  <c:v>361</c:v>
                </c:pt>
                <c:pt idx="11">
                  <c:v>580</c:v>
                </c:pt>
                <c:pt idx="12">
                  <c:v>608</c:v>
                </c:pt>
              </c:numCache>
            </c:numRef>
          </c:val>
        </c:ser>
        <c:ser>
          <c:idx val="2"/>
          <c:order val="2"/>
          <c:tx>
            <c:strRef>
              <c:f>'Inscritos uni'!$U$60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'Inscritos uni'!$U$43:$U$55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('Inscritos uni'!$E$19,'Inscritos uni'!$H$19,'Inscritos uni'!$K$19,'Inscritos uni'!$N$19,'Inscritos uni'!$Q$19,'Inscritos uni'!$T$19,'Inscritos uni'!$W$19,'Inscritos uni'!$Z$19,'Inscritos uni'!$AC$19,'Inscritos uni'!$AF$19,'Inscritos uni'!$AI$19,'Inscritos uni'!$AL$19,'Inscritos uni'!$AO$19)</c:f>
              <c:numCache>
                <c:formatCode>#,##0</c:formatCode>
                <c:ptCount val="13"/>
                <c:pt idx="0">
                  <c:v>1978</c:v>
                </c:pt>
                <c:pt idx="1">
                  <c:v>2192</c:v>
                </c:pt>
                <c:pt idx="2">
                  <c:v>2254</c:v>
                </c:pt>
                <c:pt idx="3">
                  <c:v>2386</c:v>
                </c:pt>
                <c:pt idx="4">
                  <c:v>2385</c:v>
                </c:pt>
                <c:pt idx="5">
                  <c:v>2567</c:v>
                </c:pt>
                <c:pt idx="6">
                  <c:v>2479</c:v>
                </c:pt>
                <c:pt idx="7">
                  <c:v>2676</c:v>
                </c:pt>
                <c:pt idx="8">
                  <c:v>2689</c:v>
                </c:pt>
                <c:pt idx="9">
                  <c:v>2734</c:v>
                </c:pt>
                <c:pt idx="10">
                  <c:v>2882</c:v>
                </c:pt>
                <c:pt idx="11">
                  <c:v>2617</c:v>
                </c:pt>
                <c:pt idx="12">
                  <c:v>2543</c:v>
                </c:pt>
              </c:numCache>
            </c:numRef>
          </c:val>
        </c:ser>
        <c:ser>
          <c:idx val="3"/>
          <c:order val="3"/>
          <c:tx>
            <c:strRef>
              <c:f>'Inscritos uni'!$U$61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'Inscritos uni'!$U$43:$U$55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('Inscritos uni'!$E$24,'Inscritos uni'!$H$24,'Inscritos uni'!$K$24,'Inscritos uni'!$N$24,'Inscritos uni'!$Q$24,'Inscritos uni'!$T$24,'Inscritos uni'!$W$24,'Inscritos uni'!$Z$24,'Inscritos uni'!$AC$24,'Inscritos uni'!$AF$24,'Inscritos uni'!$AI$24,'Inscritos uni'!$AL$24,'Inscritos uni'!$AO$24)</c:f>
              <c:numCache>
                <c:formatCode>#,##0</c:formatCode>
                <c:ptCount val="13"/>
                <c:pt idx="8">
                  <c:v>173</c:v>
                </c:pt>
                <c:pt idx="9">
                  <c:v>89</c:v>
                </c:pt>
                <c:pt idx="10">
                  <c:v>176</c:v>
                </c:pt>
                <c:pt idx="11">
                  <c:v>144</c:v>
                </c:pt>
                <c:pt idx="12">
                  <c:v>201</c:v>
                </c:pt>
              </c:numCache>
            </c:numRef>
          </c:val>
        </c:ser>
        <c:ser>
          <c:idx val="4"/>
          <c:order val="4"/>
          <c:tx>
            <c:strRef>
              <c:f>'Inscritos uni'!$U$62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'Inscritos uni'!$U$43:$U$55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('Inscritos uni'!$E$29,'Inscritos uni'!$H$29,'Inscritos uni'!$K$29,'Inscritos uni'!$N$29,'Inscritos uni'!$Q$29,'Inscritos uni'!$T$29,'Inscritos uni'!$W$29,'Inscritos uni'!$Z$29,'Inscritos uni'!$AC$29,'Inscritos uni'!$AF$29,'Inscritos uni'!$AI$29,'Inscritos uni'!$AL$29,'Inscritos uni'!$AO$29)</c:f>
              <c:numCache>
                <c:formatCode>#,##0</c:formatCode>
                <c:ptCount val="13"/>
                <c:pt idx="0">
                  <c:v>3558</c:v>
                </c:pt>
                <c:pt idx="1">
                  <c:v>4241</c:v>
                </c:pt>
                <c:pt idx="2">
                  <c:v>4064</c:v>
                </c:pt>
                <c:pt idx="3">
                  <c:v>3739</c:v>
                </c:pt>
                <c:pt idx="4">
                  <c:v>3633</c:v>
                </c:pt>
                <c:pt idx="5">
                  <c:v>3695</c:v>
                </c:pt>
                <c:pt idx="6">
                  <c:v>3399</c:v>
                </c:pt>
                <c:pt idx="7">
                  <c:v>3563</c:v>
                </c:pt>
                <c:pt idx="8">
                  <c:v>3482</c:v>
                </c:pt>
                <c:pt idx="9">
                  <c:v>3512</c:v>
                </c:pt>
                <c:pt idx="10">
                  <c:v>3574</c:v>
                </c:pt>
                <c:pt idx="11">
                  <c:v>3656</c:v>
                </c:pt>
                <c:pt idx="12">
                  <c:v>3657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96813824"/>
        <c:axId val="96815360"/>
        <c:axId val="0"/>
      </c:bar3DChart>
      <c:catAx>
        <c:axId val="9681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</a:ln>
        </c:spPr>
        <c:crossAx val="96815360"/>
        <c:crosses val="autoZero"/>
        <c:auto val="1"/>
        <c:lblAlgn val="ctr"/>
        <c:lblOffset val="100"/>
        <c:noMultiLvlLbl val="0"/>
      </c:catAx>
      <c:valAx>
        <c:axId val="9681536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968138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3434460076050311"/>
          <c:y val="0.93466827895698401"/>
          <c:w val="0.79387178425127225"/>
          <c:h val="4.9055022290746694E-2"/>
        </c:manualLayout>
      </c:layout>
      <c:overlay val="0"/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804070543813605E-2"/>
          <c:y val="8.2958223972003503E-2"/>
          <c:w val="0.89605267762582308"/>
          <c:h val="0.730862860892388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explosion val="3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88900" h="38100" prst="coolSlant"/>
                <a:bevelB w="88900" h="38100" prst="coolSlant"/>
              </a:sp3d>
            </c:spPr>
          </c:dPt>
          <c:dPt>
            <c:idx val="1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>
                <a:bevelT w="88900" h="38100" prst="coolSlant"/>
                <a:bevelB w="88900" h="38100" prst="coolSlant"/>
              </a:sp3d>
            </c:spPr>
          </c:dPt>
          <c:dPt>
            <c:idx val="2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 w="88900" h="38100" prst="coolSlant"/>
                <a:bevelB w="88900" h="38100" prst="coolSlant"/>
              </a:sp3d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200" b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'RECURSOS EXT'!$C$33:$E$33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EXT'!$C$164:$E$164</c:f>
              <c:numCache>
                <c:formatCode>#,##0.00</c:formatCode>
                <c:ptCount val="3"/>
                <c:pt idx="0">
                  <c:v>92512439.519999996</c:v>
                </c:pt>
                <c:pt idx="1">
                  <c:v>70577844.950000003</c:v>
                </c:pt>
                <c:pt idx="2">
                  <c:v>158874723.85999998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0510433070866141"/>
          <c:y val="0.86998651210265388"/>
          <c:w val="0.65090223097112865"/>
          <c:h val="0.10223571011956839"/>
        </c:manualLayout>
      </c:layout>
      <c:overlay val="0"/>
      <c:txPr>
        <a:bodyPr/>
        <a:lstStyle/>
        <a:p>
          <a:pPr rtl="0"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Convenios!$L$21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(Convenios!$M$20:$X$20,Convenios!$Y$20)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(Convenios!$M$21:$X$21,Convenios!$Y$21)</c:f>
              <c:numCache>
                <c:formatCode>General</c:formatCode>
                <c:ptCount val="13"/>
                <c:pt idx="0">
                  <c:v>95</c:v>
                </c:pt>
                <c:pt idx="1">
                  <c:v>48</c:v>
                </c:pt>
                <c:pt idx="2">
                  <c:v>50</c:v>
                </c:pt>
                <c:pt idx="3">
                  <c:v>51</c:v>
                </c:pt>
                <c:pt idx="4">
                  <c:v>135</c:v>
                </c:pt>
                <c:pt idx="5">
                  <c:v>102</c:v>
                </c:pt>
                <c:pt idx="6">
                  <c:v>63</c:v>
                </c:pt>
                <c:pt idx="7">
                  <c:v>90</c:v>
                </c:pt>
                <c:pt idx="8">
                  <c:v>111</c:v>
                </c:pt>
                <c:pt idx="9">
                  <c:v>50</c:v>
                </c:pt>
                <c:pt idx="10">
                  <c:v>23</c:v>
                </c:pt>
                <c:pt idx="11">
                  <c:v>94</c:v>
                </c:pt>
                <c:pt idx="12">
                  <c:v>122</c:v>
                </c:pt>
              </c:numCache>
            </c:numRef>
          </c:val>
        </c:ser>
        <c:ser>
          <c:idx val="1"/>
          <c:order val="1"/>
          <c:tx>
            <c:strRef>
              <c:f>Convenios!$L$22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(Convenios!$M$20:$X$20,Convenios!$Y$20)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(Convenios!$M$22:$X$22,Convenios!$Y$22)</c:f>
              <c:numCache>
                <c:formatCode>General</c:formatCode>
                <c:ptCount val="13"/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46</c:v>
                </c:pt>
                <c:pt idx="6">
                  <c:v>2</c:v>
                </c:pt>
                <c:pt idx="7">
                  <c:v>2</c:v>
                </c:pt>
                <c:pt idx="8">
                  <c:v>19</c:v>
                </c:pt>
                <c:pt idx="9">
                  <c:v>29</c:v>
                </c:pt>
                <c:pt idx="10">
                  <c:v>38</c:v>
                </c:pt>
                <c:pt idx="11">
                  <c:v>26</c:v>
                </c:pt>
                <c:pt idx="12">
                  <c:v>55</c:v>
                </c:pt>
              </c:numCache>
            </c:numRef>
          </c:val>
        </c:ser>
        <c:ser>
          <c:idx val="2"/>
          <c:order val="2"/>
          <c:tx>
            <c:strRef>
              <c:f>Convenios!$L$23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285973454100733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09289601811511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46448009057555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4644800905755504E-3"/>
                  <c:y val="-6.20876761096155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5.46448009057555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5.46448009057555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5.46448009057555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5.46448009057555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9.107466817625916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5.46448009057555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7.285973454100733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(Convenios!$M$20:$X$20,Convenios!$Y$20)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(Convenios!$M$23:$X$23,Convenios!$Y$23)</c:f>
              <c:numCache>
                <c:formatCode>General</c:formatCode>
                <c:ptCount val="13"/>
                <c:pt idx="0">
                  <c:v>178</c:v>
                </c:pt>
                <c:pt idx="1">
                  <c:v>147</c:v>
                </c:pt>
                <c:pt idx="2">
                  <c:v>154</c:v>
                </c:pt>
                <c:pt idx="3">
                  <c:v>164</c:v>
                </c:pt>
                <c:pt idx="4">
                  <c:v>137</c:v>
                </c:pt>
                <c:pt idx="5">
                  <c:v>315</c:v>
                </c:pt>
                <c:pt idx="6">
                  <c:v>117</c:v>
                </c:pt>
                <c:pt idx="7">
                  <c:v>173</c:v>
                </c:pt>
                <c:pt idx="8">
                  <c:v>85</c:v>
                </c:pt>
                <c:pt idx="9">
                  <c:v>366</c:v>
                </c:pt>
                <c:pt idx="10">
                  <c:v>115</c:v>
                </c:pt>
                <c:pt idx="11">
                  <c:v>234</c:v>
                </c:pt>
                <c:pt idx="12">
                  <c:v>286</c:v>
                </c:pt>
              </c:numCache>
            </c:numRef>
          </c:val>
        </c:ser>
        <c:ser>
          <c:idx val="3"/>
          <c:order val="3"/>
          <c:tx>
            <c:strRef>
              <c:f>Convenios!$L$24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(Convenios!$M$20:$X$20,Convenios!$Y$20)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(Convenios!$M$24:$X$24,Convenios!$Y$24)</c:f>
              <c:numCache>
                <c:formatCode>General</c:formatCode>
                <c:ptCount val="13"/>
                <c:pt idx="8">
                  <c:v>4</c:v>
                </c:pt>
                <c:pt idx="10">
                  <c:v>10</c:v>
                </c:pt>
                <c:pt idx="11">
                  <c:v>19</c:v>
                </c:pt>
                <c:pt idx="12">
                  <c:v>20</c:v>
                </c:pt>
              </c:numCache>
            </c:numRef>
          </c:val>
        </c:ser>
        <c:ser>
          <c:idx val="4"/>
          <c:order val="4"/>
          <c:tx>
            <c:strRef>
              <c:f>Convenios!$L$25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285973454100733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46448009057555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46448009057555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7.285973454100733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7.285973454100733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3.64298672705036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5.4644800905755504E-3"/>
                  <c:y val="-3.10438380548077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7.285973454100733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5.46448009057555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5.46448009057555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(Convenios!$M$20:$X$20,Convenios!$Y$20)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(Convenios!$M$25:$X$25,Convenios!$Y$25)</c:f>
              <c:numCache>
                <c:formatCode>General</c:formatCode>
                <c:ptCount val="13"/>
                <c:pt idx="0">
                  <c:v>89</c:v>
                </c:pt>
                <c:pt idx="1">
                  <c:v>113</c:v>
                </c:pt>
                <c:pt idx="2">
                  <c:v>94</c:v>
                </c:pt>
                <c:pt idx="3">
                  <c:v>172</c:v>
                </c:pt>
                <c:pt idx="4">
                  <c:v>100</c:v>
                </c:pt>
                <c:pt idx="5">
                  <c:v>107</c:v>
                </c:pt>
                <c:pt idx="6">
                  <c:v>123</c:v>
                </c:pt>
                <c:pt idx="7">
                  <c:v>22</c:v>
                </c:pt>
                <c:pt idx="8">
                  <c:v>134</c:v>
                </c:pt>
                <c:pt idx="9">
                  <c:v>166</c:v>
                </c:pt>
                <c:pt idx="10">
                  <c:v>135</c:v>
                </c:pt>
                <c:pt idx="11">
                  <c:v>194</c:v>
                </c:pt>
                <c:pt idx="12">
                  <c:v>151</c:v>
                </c:pt>
              </c:numCache>
            </c:numRef>
          </c:val>
        </c:ser>
        <c:ser>
          <c:idx val="5"/>
          <c:order val="5"/>
          <c:tx>
            <c:strRef>
              <c:f>Convenios!$L$26</c:f>
              <c:strCache>
                <c:ptCount val="1"/>
                <c:pt idx="0">
                  <c:v>Rectoría General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11"/>
              <c:layout>
                <c:manualLayout>
                  <c:x val="4.9200492004918845E-3"/>
                  <c:y val="-7.78210116731512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(Convenios!$M$20:$X$20,Convenios!$Y$20)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(Convenios!$M$26:$X$26,Convenios!$Y$26)</c:f>
              <c:numCache>
                <c:formatCode>General</c:formatCode>
                <c:ptCount val="13"/>
                <c:pt idx="0">
                  <c:v>50</c:v>
                </c:pt>
                <c:pt idx="1">
                  <c:v>40</c:v>
                </c:pt>
                <c:pt idx="2">
                  <c:v>59</c:v>
                </c:pt>
                <c:pt idx="3">
                  <c:v>52</c:v>
                </c:pt>
                <c:pt idx="4">
                  <c:v>60</c:v>
                </c:pt>
                <c:pt idx="5">
                  <c:v>66</c:v>
                </c:pt>
                <c:pt idx="6">
                  <c:v>61</c:v>
                </c:pt>
                <c:pt idx="7">
                  <c:v>54</c:v>
                </c:pt>
                <c:pt idx="8">
                  <c:v>121</c:v>
                </c:pt>
                <c:pt idx="9">
                  <c:v>202</c:v>
                </c:pt>
                <c:pt idx="10">
                  <c:v>76</c:v>
                </c:pt>
                <c:pt idx="11">
                  <c:v>88</c:v>
                </c:pt>
                <c:pt idx="12">
                  <c:v>145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28130432"/>
        <c:axId val="128152704"/>
        <c:axId val="0"/>
      </c:bar3DChart>
      <c:catAx>
        <c:axId val="12813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128152704"/>
        <c:crosses val="autoZero"/>
        <c:auto val="1"/>
        <c:lblAlgn val="ctr"/>
        <c:lblOffset val="100"/>
        <c:noMultiLvlLbl val="0"/>
      </c:catAx>
      <c:valAx>
        <c:axId val="1281527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281304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7104237159148118E-2"/>
          <c:y val="0.93407690018129175"/>
          <c:w val="0.91077519031763809"/>
          <c:h val="5.5645642232865222E-2"/>
        </c:manualLayout>
      </c:layout>
      <c:overlay val="0"/>
      <c:txPr>
        <a:bodyPr/>
        <a:lstStyle/>
        <a:p>
          <a:pPr>
            <a:defRPr sz="1100" i="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Convenios!$L$59</c:f>
              <c:strCache>
                <c:ptCount val="1"/>
                <c:pt idx="0">
                  <c:v>Nacional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37196336121067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6.37196336121067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3719633612106729E-3"/>
                  <c:y val="-3.76736436079247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7.964954201513340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37196336121067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9.55794504181606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4.778972520908063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6.37196336121067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7.964954201513340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9.5579450418160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9.5579450418160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Convenios!$M$58:$Y$58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(Convenios!$M$59:$X$59,Convenios!$Y$59)</c:f>
              <c:numCache>
                <c:formatCode>General</c:formatCode>
                <c:ptCount val="13"/>
                <c:pt idx="0">
                  <c:v>367</c:v>
                </c:pt>
                <c:pt idx="1">
                  <c:v>291</c:v>
                </c:pt>
                <c:pt idx="2">
                  <c:v>302</c:v>
                </c:pt>
                <c:pt idx="3">
                  <c:v>395</c:v>
                </c:pt>
                <c:pt idx="4">
                  <c:v>377</c:v>
                </c:pt>
                <c:pt idx="5">
                  <c:v>606</c:v>
                </c:pt>
                <c:pt idx="6">
                  <c:v>320</c:v>
                </c:pt>
                <c:pt idx="7">
                  <c:v>304</c:v>
                </c:pt>
                <c:pt idx="8">
                  <c:v>405</c:v>
                </c:pt>
                <c:pt idx="9">
                  <c:v>698</c:v>
                </c:pt>
                <c:pt idx="10">
                  <c:v>344</c:v>
                </c:pt>
                <c:pt idx="11">
                  <c:v>594</c:v>
                </c:pt>
                <c:pt idx="12">
                  <c:v>693</c:v>
                </c:pt>
              </c:numCache>
            </c:numRef>
          </c:val>
        </c:ser>
        <c:ser>
          <c:idx val="1"/>
          <c:order val="1"/>
          <c:tx>
            <c:strRef>
              <c:f>Convenios!$L$60</c:f>
              <c:strCache>
                <c:ptCount val="1"/>
                <c:pt idx="0">
                  <c:v>Extranjero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37196336121067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4.778972520908004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3719633612106434E-3"/>
                  <c:y val="6.906754874031190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6.37196336121067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37196336121067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4.7789725209080045E-3"/>
                  <c:y val="-1.130209308237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6.371963361210731E-3"/>
                  <c:y val="-3.76736436079247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4.7789725209080045E-3"/>
                  <c:y val="-1.130209308237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9.5579450418160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6.37196336121067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6.3719633612106729E-3"/>
                  <c:y val="-6.906754874031190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Convenios!$M$58:$Y$58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(Convenios!$M$60:$X$60,Convenios!$Y$60)</c:f>
              <c:numCache>
                <c:formatCode>General</c:formatCode>
                <c:ptCount val="13"/>
                <c:pt idx="0">
                  <c:v>45</c:v>
                </c:pt>
                <c:pt idx="1">
                  <c:v>57</c:v>
                </c:pt>
                <c:pt idx="2">
                  <c:v>56</c:v>
                </c:pt>
                <c:pt idx="3">
                  <c:v>46</c:v>
                </c:pt>
                <c:pt idx="4">
                  <c:v>56</c:v>
                </c:pt>
                <c:pt idx="5">
                  <c:v>30</c:v>
                </c:pt>
                <c:pt idx="6">
                  <c:v>46</c:v>
                </c:pt>
                <c:pt idx="7">
                  <c:v>37</c:v>
                </c:pt>
                <c:pt idx="8">
                  <c:v>69</c:v>
                </c:pt>
                <c:pt idx="9">
                  <c:v>115</c:v>
                </c:pt>
                <c:pt idx="10">
                  <c:v>53</c:v>
                </c:pt>
                <c:pt idx="11">
                  <c:v>61</c:v>
                </c:pt>
                <c:pt idx="12">
                  <c:v>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28211584"/>
        <c:axId val="128246144"/>
        <c:axId val="0"/>
      </c:bar3DChart>
      <c:catAx>
        <c:axId val="12821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50"/>
            </a:pPr>
            <a:endParaRPr lang="es-MX"/>
          </a:p>
        </c:txPr>
        <c:crossAx val="128246144"/>
        <c:crosses val="autoZero"/>
        <c:auto val="1"/>
        <c:lblAlgn val="ctr"/>
        <c:lblOffset val="100"/>
        <c:noMultiLvlLbl val="0"/>
      </c:catAx>
      <c:valAx>
        <c:axId val="1282461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28211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070100612423445"/>
          <c:y val="0.88449442021186198"/>
          <c:w val="0.42359798775153107"/>
          <c:h val="8.6728601370871808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Convenios!$L$87</c:f>
              <c:strCache>
                <c:ptCount val="1"/>
                <c:pt idx="0">
                  <c:v>Patrocinado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3834035528667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4.787552664650030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787552664650030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6.3834035528667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3834035528667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97925444108344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97925444108344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7.97925444108338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7.97925444108338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6.3834035528667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6.3834035528667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3.4349506225848005E-3"/>
                  <c:y val="-7.150901750507826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8.58737655646187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(Convenios!$M$86:$X$86,Convenios!$Y$86)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(Convenios!$M$87:$X$87,Convenios!$Y$87)</c:f>
              <c:numCache>
                <c:formatCode>General</c:formatCode>
                <c:ptCount val="13"/>
                <c:pt idx="0">
                  <c:v>125</c:v>
                </c:pt>
                <c:pt idx="1">
                  <c:v>107</c:v>
                </c:pt>
                <c:pt idx="2">
                  <c:v>129</c:v>
                </c:pt>
                <c:pt idx="3">
                  <c:v>166</c:v>
                </c:pt>
                <c:pt idx="4">
                  <c:v>212</c:v>
                </c:pt>
                <c:pt idx="5">
                  <c:v>301</c:v>
                </c:pt>
                <c:pt idx="6">
                  <c:v>181</c:v>
                </c:pt>
                <c:pt idx="7">
                  <c:v>75</c:v>
                </c:pt>
                <c:pt idx="8">
                  <c:v>218</c:v>
                </c:pt>
                <c:pt idx="9">
                  <c:v>441</c:v>
                </c:pt>
                <c:pt idx="10">
                  <c:v>182</c:v>
                </c:pt>
                <c:pt idx="11">
                  <c:v>481</c:v>
                </c:pt>
                <c:pt idx="12">
                  <c:v>563</c:v>
                </c:pt>
              </c:numCache>
            </c:numRef>
          </c:val>
        </c:ser>
        <c:ser>
          <c:idx val="1"/>
          <c:order val="1"/>
          <c:tx>
            <c:strRef>
              <c:f>Convenios!$L$88</c:f>
              <c:strCache>
                <c:ptCount val="1"/>
                <c:pt idx="0">
                  <c:v>No patrocinado</c:v>
                </c:pt>
              </c:strCache>
            </c:strRef>
          </c:tx>
          <c:spPr>
            <a:solidFill>
              <a:srgbClr val="FFC0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3834035528667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6.3834035528667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3834035528667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6.3834035528667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3834035528667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6.38340355286676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6.38340355286676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5751053293000616E-3"/>
                  <c:y val="6.908384085684425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4.787552664650030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4.787552664650030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9.57510532930006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6.3079049845735716E-3"/>
                  <c:y val="-1.1701610768184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(Convenios!$M$86:$X$86,Convenios!$Y$86)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(Convenios!$M$88:$X$88,Convenios!$Y$88)</c:f>
              <c:numCache>
                <c:formatCode>General</c:formatCode>
                <c:ptCount val="13"/>
                <c:pt idx="0">
                  <c:v>287</c:v>
                </c:pt>
                <c:pt idx="1">
                  <c:v>241</c:v>
                </c:pt>
                <c:pt idx="2">
                  <c:v>229</c:v>
                </c:pt>
                <c:pt idx="3">
                  <c:v>275</c:v>
                </c:pt>
                <c:pt idx="4">
                  <c:v>221</c:v>
                </c:pt>
                <c:pt idx="5">
                  <c:v>335</c:v>
                </c:pt>
                <c:pt idx="6">
                  <c:v>185</c:v>
                </c:pt>
                <c:pt idx="7">
                  <c:v>266</c:v>
                </c:pt>
                <c:pt idx="8">
                  <c:v>256</c:v>
                </c:pt>
                <c:pt idx="9">
                  <c:v>372</c:v>
                </c:pt>
                <c:pt idx="10">
                  <c:v>215</c:v>
                </c:pt>
                <c:pt idx="11">
                  <c:v>174</c:v>
                </c:pt>
                <c:pt idx="12">
                  <c:v>216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28669568"/>
        <c:axId val="128671104"/>
        <c:axId val="0"/>
      </c:bar3DChart>
      <c:catAx>
        <c:axId val="12866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128671104"/>
        <c:crosses val="autoZero"/>
        <c:auto val="1"/>
        <c:lblAlgn val="ctr"/>
        <c:lblOffset val="100"/>
        <c:noMultiLvlLbl val="0"/>
      </c:catAx>
      <c:valAx>
        <c:axId val="128671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286695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9444315236565394"/>
          <c:y val="0.95594958003681541"/>
          <c:w val="0.42359798775153107"/>
          <c:h val="4.2069227112076765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CD032E"/>
                </a:solidFill>
              </a:defRPr>
            </a:pPr>
            <a:r>
              <a:rPr lang="es-MX" sz="1200" b="0">
                <a:solidFill>
                  <a:srgbClr val="CD032E"/>
                </a:solidFill>
              </a:rPr>
              <a:t>Azcapotzalco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'Inscritos uni'!$B$6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D032E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2"/>
              <c:layout>
                <c:manualLayout>
                  <c:x val="-4.8881472597382278E-2"/>
                  <c:y val="5.2286719973956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4768153980752403E-2"/>
                  <c:y val="6.2622637286618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2287867990011182E-3"/>
                  <c:y val="5.7750920669799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uni'!$Z$6,'Inscritos uni'!$AC$6,'Inscritos uni'!$AF$6,'Inscritos uni'!$AI$6,'Inscritos uni'!$AL$6)</c:f>
              <c:numCache>
                <c:formatCode>#,##0</c:formatCode>
                <c:ptCount val="5"/>
                <c:pt idx="0">
                  <c:v>1757</c:v>
                </c:pt>
                <c:pt idx="1">
                  <c:v>1445</c:v>
                </c:pt>
                <c:pt idx="2">
                  <c:v>960</c:v>
                </c:pt>
                <c:pt idx="3">
                  <c:v>1077</c:v>
                </c:pt>
                <c:pt idx="4">
                  <c:v>1061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'Inscritos uni'!$B$7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0"/>
              <c:layout>
                <c:manualLayout>
                  <c:x val="-4.8881472597382278E-2"/>
                  <c:y val="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1824813289067344E-2"/>
                  <c:y val="4.590449449632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4768153980752403E-2"/>
                  <c:y val="-4.711876131762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1824813289067344E-2"/>
                  <c:y val="-5.2286719973956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9977982884589758E-2"/>
                  <c:y val="-3.1614885348633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uni'!$Z$7,'Inscritos uni'!$AC$7,'Inscritos uni'!$AF$7,'Inscritos uni'!$AI$7,'Inscritos uni'!$AL$7)</c:f>
              <c:numCache>
                <c:formatCode>#,##0</c:formatCode>
                <c:ptCount val="5"/>
                <c:pt idx="0">
                  <c:v>1039</c:v>
                </c:pt>
                <c:pt idx="1">
                  <c:v>1048</c:v>
                </c:pt>
                <c:pt idx="2">
                  <c:v>1205</c:v>
                </c:pt>
                <c:pt idx="3">
                  <c:v>1201</c:v>
                </c:pt>
                <c:pt idx="4">
                  <c:v>1219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'Inscritos uni'!$B$8</c:f>
              <c:strCache>
                <c:ptCount val="1"/>
                <c:pt idx="0">
                  <c:v>CAD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uni'!$Z$8,'Inscritos uni'!$AC$8,'Inscritos uni'!$AF$8,'Inscritos uni'!$AI$8,'Inscritos uni'!$AL$8)</c:f>
              <c:numCache>
                <c:formatCode>#,##0</c:formatCode>
                <c:ptCount val="5"/>
                <c:pt idx="0">
                  <c:v>533</c:v>
                </c:pt>
                <c:pt idx="1">
                  <c:v>533</c:v>
                </c:pt>
                <c:pt idx="2">
                  <c:v>547</c:v>
                </c:pt>
                <c:pt idx="3">
                  <c:v>587</c:v>
                </c:pt>
                <c:pt idx="4">
                  <c:v>596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928896"/>
        <c:axId val="96930432"/>
      </c:lineChart>
      <c:catAx>
        <c:axId val="9692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6930432"/>
        <c:crosses val="autoZero"/>
        <c:auto val="1"/>
        <c:lblAlgn val="ctr"/>
        <c:lblOffset val="100"/>
        <c:noMultiLvlLbl val="0"/>
      </c:catAx>
      <c:valAx>
        <c:axId val="9693043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9692889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F08200"/>
                </a:solidFill>
              </a:defRPr>
            </a:pPr>
            <a:r>
              <a:rPr lang="es-MX" sz="1200" b="0">
                <a:solidFill>
                  <a:srgbClr val="F08200"/>
                </a:solidFill>
              </a:rPr>
              <a:t>Cuajimalpa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'Inscritos uni'!$B$11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uni'!$Z$11,'Inscritos uni'!$AC$11,'Inscritos uni'!$AF$11,'Inscritos uni'!$AI$11,'Inscritos uni'!$AL$11)</c:f>
              <c:numCache>
                <c:formatCode>#,##0</c:formatCode>
                <c:ptCount val="5"/>
                <c:pt idx="0">
                  <c:v>94</c:v>
                </c:pt>
                <c:pt idx="1">
                  <c:v>87</c:v>
                </c:pt>
                <c:pt idx="2">
                  <c:v>86</c:v>
                </c:pt>
                <c:pt idx="3">
                  <c:v>94</c:v>
                </c:pt>
                <c:pt idx="4">
                  <c:v>196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'Inscritos uni'!$B$12</c:f>
              <c:strCache>
                <c:ptCount val="1"/>
                <c:pt idx="0">
                  <c:v>CCD</c:v>
                </c:pt>
              </c:strCache>
            </c:strRef>
          </c:tx>
          <c:spPr>
            <a:ln w="12700">
              <a:solidFill>
                <a:srgbClr val="F082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0"/>
              <c:layout>
                <c:manualLayout>
                  <c:x val="-4.2994791214012153E-2"/>
                  <c:y val="-5.2286719973956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881472597382278E-2"/>
                  <c:y val="-3.6782844004964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2994791214012153E-2"/>
                  <c:y val="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1824813289067344E-2"/>
                  <c:y val="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9977982884589758E-2"/>
                  <c:y val="-3.1614885348633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F082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uni'!$Z$12,'Inscritos uni'!$AC$12,'Inscritos uni'!$AF$12,'Inscritos uni'!$AI$12,'Inscritos uni'!$AL$12)</c:f>
              <c:numCache>
                <c:formatCode>#,##0</c:formatCode>
                <c:ptCount val="5"/>
                <c:pt idx="0">
                  <c:v>117</c:v>
                </c:pt>
                <c:pt idx="1">
                  <c:v>125</c:v>
                </c:pt>
                <c:pt idx="2">
                  <c:v>134</c:v>
                </c:pt>
                <c:pt idx="3">
                  <c:v>122</c:v>
                </c:pt>
                <c:pt idx="4">
                  <c:v>155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'Inscritos uni'!$B$13</c:f>
              <c:strCache>
                <c:ptCount val="1"/>
                <c:pt idx="0">
                  <c:v>CNI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7.5298071184810508E-2"/>
                  <c:y val="2.1278968035972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808004959644942E-2"/>
                  <c:y val="4.711876131762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tx1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uni'!$Z$13,'Inscritos uni'!$AC$13,'Inscritos uni'!$AF$13,'Inscritos uni'!$AI$13,'Inscritos uni'!$AL$13)</c:f>
              <c:numCache>
                <c:formatCode>#,##0</c:formatCode>
                <c:ptCount val="5"/>
                <c:pt idx="0">
                  <c:v>107</c:v>
                </c:pt>
                <c:pt idx="1">
                  <c:v>110</c:v>
                </c:pt>
                <c:pt idx="2">
                  <c:v>136</c:v>
                </c:pt>
                <c:pt idx="3">
                  <c:v>145</c:v>
                </c:pt>
                <c:pt idx="4">
                  <c:v>229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991104"/>
        <c:axId val="96992640"/>
      </c:lineChart>
      <c:catAx>
        <c:axId val="9699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6992640"/>
        <c:crosses val="autoZero"/>
        <c:auto val="1"/>
        <c:lblAlgn val="ctr"/>
        <c:lblOffset val="100"/>
        <c:noMultiLvlLbl val="0"/>
      </c:catAx>
      <c:valAx>
        <c:axId val="9699264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9699110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57A519"/>
                </a:solidFill>
              </a:defRPr>
            </a:pPr>
            <a:r>
              <a:rPr lang="es-MX" sz="1200" b="0">
                <a:solidFill>
                  <a:srgbClr val="57A519"/>
                </a:solidFill>
              </a:rPr>
              <a:t>Iztapalapa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'Inscritos uni'!$B$16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0"/>
              <c:layout>
                <c:manualLayout>
                  <c:x val="-3.9977982884589758E-2"/>
                  <c:y val="5.2286719973956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0654835364122528E-2"/>
                  <c:y val="3.6782844004964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uni'!$Z$16,'Inscritos uni'!$AC$16,'Inscritos uni'!$AF$16,'Inscritos uni'!$AI$16,'Inscritos uni'!$AL$16)</c:f>
              <c:numCache>
                <c:formatCode>#,##0</c:formatCode>
                <c:ptCount val="5"/>
                <c:pt idx="0">
                  <c:v>770</c:v>
                </c:pt>
                <c:pt idx="1">
                  <c:v>808</c:v>
                </c:pt>
                <c:pt idx="2">
                  <c:v>838</c:v>
                </c:pt>
                <c:pt idx="3">
                  <c:v>981</c:v>
                </c:pt>
                <c:pt idx="4">
                  <c:v>812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'Inscritos uni'!$B$17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0"/>
              <c:layout>
                <c:manualLayout>
                  <c:x val="-4.8881472597382278E-2"/>
                  <c:y val="-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4768153980752403E-2"/>
                  <c:y val="-4.07365358399967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881472597382278E-2"/>
                  <c:y val="-3.5568577183665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4768153980752403E-2"/>
                  <c:y val="-3.04006185273352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uni'!$Z$17,'Inscritos uni'!$AC$17,'Inscritos uni'!$AF$17,'Inscritos uni'!$AI$17,'Inscritos uni'!$AL$17)</c:f>
              <c:numCache>
                <c:formatCode>#,##0</c:formatCode>
                <c:ptCount val="5"/>
                <c:pt idx="0">
                  <c:v>1103</c:v>
                </c:pt>
                <c:pt idx="1">
                  <c:v>1075</c:v>
                </c:pt>
                <c:pt idx="2">
                  <c:v>1092</c:v>
                </c:pt>
                <c:pt idx="3">
                  <c:v>1095</c:v>
                </c:pt>
                <c:pt idx="4">
                  <c:v>1070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'Inscritos uni'!$B$18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0"/>
              <c:layout>
                <c:manualLayout>
                  <c:x val="-4.2921323576274817E-2"/>
                  <c:y val="-3.6782844004964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uni'!$Z$18,'Inscritos uni'!$AC$18,'Inscritos uni'!$AF$18,'Inscritos uni'!$AI$18,'Inscritos uni'!$AL$18)</c:f>
              <c:numCache>
                <c:formatCode>#,##0</c:formatCode>
                <c:ptCount val="5"/>
                <c:pt idx="0">
                  <c:v>803</c:v>
                </c:pt>
                <c:pt idx="1">
                  <c:v>806</c:v>
                </c:pt>
                <c:pt idx="2">
                  <c:v>804</c:v>
                </c:pt>
                <c:pt idx="3">
                  <c:v>806</c:v>
                </c:pt>
                <c:pt idx="4">
                  <c:v>735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048832"/>
        <c:axId val="97058816"/>
      </c:lineChart>
      <c:catAx>
        <c:axId val="9704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7058816"/>
        <c:crosses val="autoZero"/>
        <c:auto val="1"/>
        <c:lblAlgn val="ctr"/>
        <c:lblOffset val="100"/>
        <c:noMultiLvlLbl val="0"/>
      </c:catAx>
      <c:valAx>
        <c:axId val="9705881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9704883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AD25A8"/>
                </a:solidFill>
              </a:defRPr>
            </a:pPr>
            <a:r>
              <a:rPr lang="es-MX" sz="1200" b="0">
                <a:solidFill>
                  <a:srgbClr val="AD25A8"/>
                </a:solidFill>
              </a:rPr>
              <a:t>Lerma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'Inscritos uni'!$B$21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0"/>
              <c:layout>
                <c:manualLayout>
                  <c:x val="-3.401041757197569E-2"/>
                  <c:y val="-6.7790595942948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9897098955345815E-2"/>
                  <c:y val="-8.3294471911941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uni'!$S$51:$S$54</c:f>
              <c:numCache>
                <c:formatCode>General</c:formatCod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numCache>
            </c:numRef>
          </c:cat>
          <c:val>
            <c:numRef>
              <c:f>('Inscritos uni'!$AC$21,'Inscritos uni'!$AF$21,'Inscritos uni'!$AI$21,'Inscritos uni'!$AL$21)</c:f>
              <c:numCache>
                <c:formatCode>#,##0</c:formatCode>
                <c:ptCount val="4"/>
                <c:pt idx="0">
                  <c:v>59</c:v>
                </c:pt>
                <c:pt idx="1">
                  <c:v>30</c:v>
                </c:pt>
                <c:pt idx="2">
                  <c:v>52</c:v>
                </c:pt>
                <c:pt idx="3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'Inscritos uni'!$B$22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0"/>
              <c:layout>
                <c:manualLayout>
                  <c:x val="-6.050048379714125E-2"/>
                  <c:y val="-4.560825245681498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9897098955345815E-2"/>
                  <c:y val="-0.11825591568495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4164769138956858E-2"/>
                  <c:y val="3.6782844004964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uni'!$S$51:$S$54</c:f>
              <c:numCache>
                <c:formatCode>General</c:formatCod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numCache>
            </c:numRef>
          </c:cat>
          <c:val>
            <c:numRef>
              <c:f>('Inscritos uni'!$AC$22,'Inscritos uni'!$AF$22,'Inscritos uni'!$AI$22,'Inscritos uni'!$AL$22)</c:f>
              <c:numCache>
                <c:formatCode>#,##0</c:formatCode>
                <c:ptCount val="4"/>
                <c:pt idx="0">
                  <c:v>58</c:v>
                </c:pt>
                <c:pt idx="1">
                  <c:v>33</c:v>
                </c:pt>
                <c:pt idx="2">
                  <c:v>69</c:v>
                </c:pt>
                <c:pt idx="3">
                  <c:v>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'Inscritos uni'!$B$23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0"/>
              <c:layout>
                <c:manualLayout>
                  <c:x val="-3.6953758263660749E-2"/>
                  <c:y val="5.1072453152658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953758263660749E-2"/>
                  <c:y val="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401041757197569E-2"/>
                  <c:y val="-4.1950802661295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401041757197569E-2"/>
                  <c:y val="-5.2286719973956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uni'!$S$51:$S$54</c:f>
              <c:numCache>
                <c:formatCode>General</c:formatCod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numCache>
            </c:numRef>
          </c:cat>
          <c:val>
            <c:numRef>
              <c:f>('Inscritos uni'!$AC$23,'Inscritos uni'!$AF$23,'Inscritos uni'!$AI$23,'Inscritos uni'!$AL$23)</c:f>
              <c:numCache>
                <c:formatCode>#,##0</c:formatCode>
                <c:ptCount val="4"/>
                <c:pt idx="0">
                  <c:v>56</c:v>
                </c:pt>
                <c:pt idx="1">
                  <c:v>26</c:v>
                </c:pt>
                <c:pt idx="2">
                  <c:v>55</c:v>
                </c:pt>
                <c:pt idx="3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114368"/>
        <c:axId val="98189312"/>
      </c:lineChart>
      <c:catAx>
        <c:axId val="9711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8189312"/>
        <c:crosses val="autoZero"/>
        <c:auto val="1"/>
        <c:lblAlgn val="ctr"/>
        <c:lblOffset val="100"/>
        <c:noMultiLvlLbl val="0"/>
      </c:catAx>
      <c:valAx>
        <c:axId val="9818931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97114368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0072CE"/>
                </a:solidFill>
              </a:defRPr>
            </a:pPr>
            <a:r>
              <a:rPr lang="es-MX" sz="1200" b="0">
                <a:solidFill>
                  <a:srgbClr val="0072CE"/>
                </a:solidFill>
              </a:rPr>
              <a:t>Xochimilco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'Inscritos uni'!$B$26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uni'!$Z$26,'Inscritos uni'!$AC$26,'Inscritos uni'!$AF$26,'Inscritos uni'!$AI$26,'Inscritos uni'!$AL$26)</c:f>
              <c:numCache>
                <c:formatCode>#,##0</c:formatCode>
                <c:ptCount val="5"/>
                <c:pt idx="0">
                  <c:v>1306</c:v>
                </c:pt>
                <c:pt idx="1">
                  <c:v>1262</c:v>
                </c:pt>
                <c:pt idx="2">
                  <c:v>1305</c:v>
                </c:pt>
                <c:pt idx="3">
                  <c:v>1279</c:v>
                </c:pt>
                <c:pt idx="4">
                  <c:v>1357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'Inscritos uni'!$B$27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3"/>
              <c:layout>
                <c:manualLayout>
                  <c:x val="-5.4768153980752403E-2"/>
                  <c:y val="-6.140837046531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uni'!$Z$27,'Inscritos uni'!$AC$27,'Inscritos uni'!$AF$27,'Inscritos uni'!$AI$27,'Inscritos uni'!$AL$27)</c:f>
              <c:numCache>
                <c:formatCode>#,##0</c:formatCode>
                <c:ptCount val="5"/>
                <c:pt idx="0">
                  <c:v>1636</c:v>
                </c:pt>
                <c:pt idx="1">
                  <c:v>1579</c:v>
                </c:pt>
                <c:pt idx="2">
                  <c:v>1576</c:v>
                </c:pt>
                <c:pt idx="3">
                  <c:v>1660</c:v>
                </c:pt>
                <c:pt idx="4">
                  <c:v>1674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'Inscritos uni'!$B$28</c:f>
              <c:strCache>
                <c:ptCount val="1"/>
                <c:pt idx="0">
                  <c:v>CAD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uni'!$Z$28,'Inscritos uni'!$AC$28,'Inscritos uni'!$AF$28,'Inscritos uni'!$AI$28,'Inscritos uni'!$AL$28)</c:f>
              <c:numCache>
                <c:formatCode>#,##0</c:formatCode>
                <c:ptCount val="5"/>
                <c:pt idx="0">
                  <c:v>621</c:v>
                </c:pt>
                <c:pt idx="1">
                  <c:v>641</c:v>
                </c:pt>
                <c:pt idx="2">
                  <c:v>631</c:v>
                </c:pt>
                <c:pt idx="3">
                  <c:v>635</c:v>
                </c:pt>
                <c:pt idx="4">
                  <c:v>625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220672"/>
        <c:axId val="98247040"/>
      </c:lineChart>
      <c:catAx>
        <c:axId val="98220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8247040"/>
        <c:crosses val="autoZero"/>
        <c:auto val="1"/>
        <c:lblAlgn val="ctr"/>
        <c:lblOffset val="100"/>
        <c:noMultiLvlLbl val="0"/>
      </c:catAx>
      <c:valAx>
        <c:axId val="9824704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9822067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Aspirantes</a:t>
            </a:r>
            <a:r>
              <a:rPr lang="es-MX" baseline="0"/>
              <a:t> a licenciatura por género</a:t>
            </a:r>
            <a:endParaRPr lang="es-MX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'Asp x gen'!$C$4</c:f>
              <c:strCache>
                <c:ptCount val="1"/>
                <c:pt idx="0">
                  <c:v>Femenino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diamond"/>
            <c:size val="5"/>
            <c:spPr>
              <a:noFill/>
              <a:ln>
                <a:solidFill>
                  <a:schemeClr val="accent5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5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 x gen'!$S$41:$S$50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('Asp x gen'!$C$37,'Asp x gen'!$F$37,'Asp x gen'!$I$37,'Asp x gen'!$L$37,'Asp x gen'!$O$37,'Asp x gen'!$R$37,'Asp x gen'!$U$37,'Asp x gen'!$X$37,'Asp x gen'!$AA$37,'Asp x gen'!$AD$37)</c:f>
              <c:numCache>
                <c:formatCode>#,##0</c:formatCode>
                <c:ptCount val="10"/>
                <c:pt idx="0">
                  <c:v>30697</c:v>
                </c:pt>
                <c:pt idx="1">
                  <c:v>32320</c:v>
                </c:pt>
                <c:pt idx="2">
                  <c:v>35147</c:v>
                </c:pt>
                <c:pt idx="3">
                  <c:v>38053</c:v>
                </c:pt>
                <c:pt idx="4">
                  <c:v>41577</c:v>
                </c:pt>
                <c:pt idx="5">
                  <c:v>42701</c:v>
                </c:pt>
                <c:pt idx="6">
                  <c:v>46619</c:v>
                </c:pt>
                <c:pt idx="7">
                  <c:v>47411</c:v>
                </c:pt>
                <c:pt idx="8">
                  <c:v>46359</c:v>
                </c:pt>
                <c:pt idx="9">
                  <c:v>50302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'Asp x gen'!$D$4</c:f>
              <c:strCache>
                <c:ptCount val="1"/>
                <c:pt idx="0">
                  <c:v>Masculino</c:v>
                </c:pt>
              </c:strCache>
            </c:strRef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quare"/>
            <c:size val="5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 x gen'!$S$41:$S$50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('Asp x gen'!$D$37,'Asp x gen'!$G$37,'Asp x gen'!$J$37,'Asp x gen'!$M$37,'Asp x gen'!$P$37,'Asp x gen'!$S$37,'Asp x gen'!$V$37,'Asp x gen'!$Y$37,'Asp x gen'!$AB$37,'Asp x gen'!$AE$37)</c:f>
              <c:numCache>
                <c:formatCode>#,##0</c:formatCode>
                <c:ptCount val="10"/>
                <c:pt idx="0">
                  <c:v>25838</c:v>
                </c:pt>
                <c:pt idx="1">
                  <c:v>27263</c:v>
                </c:pt>
                <c:pt idx="2">
                  <c:v>30048</c:v>
                </c:pt>
                <c:pt idx="3">
                  <c:v>31937</c:v>
                </c:pt>
                <c:pt idx="4">
                  <c:v>35414</c:v>
                </c:pt>
                <c:pt idx="5">
                  <c:v>36326</c:v>
                </c:pt>
                <c:pt idx="6">
                  <c:v>40450</c:v>
                </c:pt>
                <c:pt idx="7">
                  <c:v>40707</c:v>
                </c:pt>
                <c:pt idx="8">
                  <c:v>39794</c:v>
                </c:pt>
                <c:pt idx="9">
                  <c:v>42388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'Asp x gen'!$E$4</c:f>
              <c:strCache>
                <c:ptCount val="1"/>
                <c:pt idx="0">
                  <c:v>Total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 x gen'!$S$41:$S$50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('Asp x gen'!$E$37,'Asp x gen'!$H$37,'Asp x gen'!$K$37,'Asp x gen'!$N$37,'Asp x gen'!$Q$37,'Asp x gen'!$T$37,'Asp x gen'!$W$37,'Asp x gen'!$Z$37,'Asp x gen'!$AC$37,'Asp x gen'!$AF$37)</c:f>
              <c:numCache>
                <c:formatCode>#,##0</c:formatCode>
                <c:ptCount val="10"/>
                <c:pt idx="0">
                  <c:v>56535</c:v>
                </c:pt>
                <c:pt idx="1">
                  <c:v>59583</c:v>
                </c:pt>
                <c:pt idx="2">
                  <c:v>65195</c:v>
                </c:pt>
                <c:pt idx="3">
                  <c:v>69990</c:v>
                </c:pt>
                <c:pt idx="4">
                  <c:v>76991</c:v>
                </c:pt>
                <c:pt idx="5">
                  <c:v>79027</c:v>
                </c:pt>
                <c:pt idx="6">
                  <c:v>87069</c:v>
                </c:pt>
                <c:pt idx="7">
                  <c:v>88118</c:v>
                </c:pt>
                <c:pt idx="8">
                  <c:v>86153</c:v>
                </c:pt>
                <c:pt idx="9">
                  <c:v>92690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053376"/>
        <c:axId val="82071552"/>
      </c:lineChart>
      <c:catAx>
        <c:axId val="8205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2071552"/>
        <c:crosses val="autoZero"/>
        <c:auto val="1"/>
        <c:lblAlgn val="ctr"/>
        <c:lblOffset val="100"/>
        <c:noMultiLvlLbl val="0"/>
      </c:catAx>
      <c:valAx>
        <c:axId val="8207155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82053376"/>
        <c:crosses val="autoZero"/>
        <c:crossBetween val="between"/>
      </c:valAx>
      <c:spPr>
        <a:noFill/>
      </c:spPr>
    </c:plotArea>
    <c:legend>
      <c:legendPos val="l"/>
      <c:layout>
        <c:manualLayout>
          <c:xMode val="edge"/>
          <c:yMode val="edge"/>
          <c:x val="7.2002564230802646E-2"/>
          <c:y val="7.635366419942298E-2"/>
          <c:w val="0.14301539692628423"/>
          <c:h val="0.16518458653580209"/>
        </c:manualLayout>
      </c:layout>
      <c:overlay val="1"/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Estado laboral de los inscritos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'Inscritos SE'!$B$4</c:f>
              <c:strCache>
                <c:ptCount val="1"/>
                <c:pt idx="0">
                  <c:v>No trabajan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'Inscritos SE'!$E$3:$P$3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('Inscritos SE'!$E$4:$N$4,'Inscritos SE'!$O$4,'Inscritos SE'!$P$4)</c:f>
              <c:numCache>
                <c:formatCode>0%</c:formatCode>
                <c:ptCount val="12"/>
                <c:pt idx="0">
                  <c:v>0.63124806760795626</c:v>
                </c:pt>
                <c:pt idx="1">
                  <c:v>0.61490420239229382</c:v>
                </c:pt>
                <c:pt idx="2">
                  <c:v>0.62113289760348589</c:v>
                </c:pt>
                <c:pt idx="3">
                  <c:v>0.59876810028095961</c:v>
                </c:pt>
                <c:pt idx="4">
                  <c:v>0.63076278290025145</c:v>
                </c:pt>
                <c:pt idx="5">
                  <c:v>0.64</c:v>
                </c:pt>
                <c:pt idx="6">
                  <c:v>0.64</c:v>
                </c:pt>
                <c:pt idx="7">
                  <c:v>0.64</c:v>
                </c:pt>
                <c:pt idx="8">
                  <c:v>0.64400000000000002</c:v>
                </c:pt>
                <c:pt idx="9">
                  <c:v>0.65800000000000003</c:v>
                </c:pt>
                <c:pt idx="10">
                  <c:v>0.67300000000000004</c:v>
                </c:pt>
                <c:pt idx="11">
                  <c:v>0.67300000000000004</c:v>
                </c:pt>
              </c:numCache>
            </c:numRef>
          </c:val>
        </c:ser>
        <c:ser>
          <c:idx val="1"/>
          <c:order val="1"/>
          <c:tx>
            <c:strRef>
              <c:f>'Inscritos SE'!$B$5</c:f>
              <c:strCache>
                <c:ptCount val="1"/>
                <c:pt idx="0">
                  <c:v>Trabajan</c:v>
                </c:pt>
              </c:strCache>
            </c:strRef>
          </c:tx>
          <c:spPr>
            <a:solidFill>
              <a:srgbClr val="FFC0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'Inscritos SE'!$E$3:$P$3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('Inscritos SE'!$E$5:$N$5,'Inscritos SE'!$O$5,'Inscritos SE'!$P$5)</c:f>
              <c:numCache>
                <c:formatCode>0%</c:formatCode>
                <c:ptCount val="12"/>
                <c:pt idx="0">
                  <c:v>0.36875193239204368</c:v>
                </c:pt>
                <c:pt idx="1">
                  <c:v>0.38509579760770613</c:v>
                </c:pt>
                <c:pt idx="2">
                  <c:v>0.37886710239651417</c:v>
                </c:pt>
                <c:pt idx="3">
                  <c:v>0.40123189971904044</c:v>
                </c:pt>
                <c:pt idx="4">
                  <c:v>0.36923721709974855</c:v>
                </c:pt>
                <c:pt idx="5">
                  <c:v>0.36</c:v>
                </c:pt>
                <c:pt idx="6">
                  <c:v>0.36</c:v>
                </c:pt>
                <c:pt idx="7">
                  <c:v>0.36</c:v>
                </c:pt>
                <c:pt idx="8">
                  <c:v>0.35599999999999998</c:v>
                </c:pt>
                <c:pt idx="9">
                  <c:v>0.34200000000000003</c:v>
                </c:pt>
                <c:pt idx="10">
                  <c:v>0.32700000000000001</c:v>
                </c:pt>
                <c:pt idx="11">
                  <c:v>0.32700000000000001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98388992"/>
        <c:axId val="98390784"/>
        <c:axId val="0"/>
      </c:bar3DChart>
      <c:catAx>
        <c:axId val="9838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8390784"/>
        <c:crosses val="autoZero"/>
        <c:auto val="1"/>
        <c:lblAlgn val="ctr"/>
        <c:lblOffset val="100"/>
        <c:noMultiLvlLbl val="0"/>
      </c:catAx>
      <c:valAx>
        <c:axId val="9839078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983889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 sz="1800" b="1" i="0" baseline="0">
                <a:effectLst/>
              </a:rPr>
              <a:t>Tipo de trabajo de los inscritos</a:t>
            </a:r>
            <a:endParaRPr lang="es-MX">
              <a:effectLst/>
            </a:endParaRP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'Inscritos SE'!$B$7</c:f>
              <c:strCache>
                <c:ptCount val="1"/>
                <c:pt idx="0">
                  <c:v>Permanente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SE'!$P$3)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('Inscritos SE'!$E$7:$N$7,'Inscritos SE'!$O$7,'Inscritos SE'!$P$7)</c:f>
              <c:numCache>
                <c:formatCode>0%</c:formatCode>
                <c:ptCount val="12"/>
                <c:pt idx="0">
                  <c:v>0.38680827277808832</c:v>
                </c:pt>
                <c:pt idx="1">
                  <c:v>0.38812534359538209</c:v>
                </c:pt>
                <c:pt idx="2">
                  <c:v>0.36831512363427255</c:v>
                </c:pt>
                <c:pt idx="3">
                  <c:v>0.37678427147858873</c:v>
                </c:pt>
                <c:pt idx="4">
                  <c:v>0.36152099886492622</c:v>
                </c:pt>
                <c:pt idx="5">
                  <c:v>0.33333333333333331</c:v>
                </c:pt>
                <c:pt idx="6">
                  <c:v>0.33333333333333331</c:v>
                </c:pt>
                <c:pt idx="7">
                  <c:v>0.33333333333333331</c:v>
                </c:pt>
                <c:pt idx="8">
                  <c:v>0.32303370786516855</c:v>
                </c:pt>
                <c:pt idx="9">
                  <c:v>0.30701754385964908</c:v>
                </c:pt>
                <c:pt idx="10">
                  <c:v>0.31</c:v>
                </c:pt>
                <c:pt idx="11">
                  <c:v>0.28999999999999998</c:v>
                </c:pt>
              </c:numCache>
            </c:numRef>
          </c:val>
        </c:ser>
        <c:ser>
          <c:idx val="1"/>
          <c:order val="1"/>
          <c:tx>
            <c:strRef>
              <c:f>'Inscritos SE'!$B$11</c:f>
              <c:strCache>
                <c:ptCount val="1"/>
                <c:pt idx="0">
                  <c:v>Eventual</c:v>
                </c:pt>
              </c:strCache>
            </c:strRef>
          </c:tx>
          <c:spPr>
            <a:solidFill>
              <a:srgbClr val="FFC0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SE'!$P$3)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('Inscritos SE'!$E$11:$N$11,'Inscritos SE'!$O$11,'Inscritos SE'!$P$11)</c:f>
              <c:numCache>
                <c:formatCode>0%</c:formatCode>
                <c:ptCount val="12"/>
                <c:pt idx="0">
                  <c:v>0.61319172722191173</c:v>
                </c:pt>
                <c:pt idx="1">
                  <c:v>0.61187465640461791</c:v>
                </c:pt>
                <c:pt idx="2">
                  <c:v>0.63168487636572745</c:v>
                </c:pt>
                <c:pt idx="3">
                  <c:v>0.62321572852141127</c:v>
                </c:pt>
                <c:pt idx="4">
                  <c:v>0.63847900113507383</c:v>
                </c:pt>
                <c:pt idx="5">
                  <c:v>0.66666666666666663</c:v>
                </c:pt>
                <c:pt idx="6">
                  <c:v>0.66666666666666663</c:v>
                </c:pt>
                <c:pt idx="7">
                  <c:v>0.66666666666666663</c:v>
                </c:pt>
                <c:pt idx="8">
                  <c:v>0.6769662921348315</c:v>
                </c:pt>
                <c:pt idx="9">
                  <c:v>0.69298245614035081</c:v>
                </c:pt>
                <c:pt idx="10">
                  <c:v>0.69</c:v>
                </c:pt>
                <c:pt idx="11">
                  <c:v>0.71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98433664"/>
        <c:axId val="98443648"/>
        <c:axId val="0"/>
      </c:bar3DChart>
      <c:catAx>
        <c:axId val="9843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8443648"/>
        <c:crosses val="autoZero"/>
        <c:auto val="1"/>
        <c:lblAlgn val="ctr"/>
        <c:lblOffset val="100"/>
        <c:noMultiLvlLbl val="0"/>
      </c:catAx>
      <c:valAx>
        <c:axId val="9844364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9843366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 i="0"/>
            </a:pPr>
            <a:r>
              <a:rPr lang="es-MX" b="1" i="0"/>
              <a:t>Estudios del Padre de</a:t>
            </a:r>
            <a:r>
              <a:rPr lang="es-MX" b="1" i="0" baseline="0"/>
              <a:t> los inscritos</a:t>
            </a:r>
            <a:endParaRPr lang="es-MX" b="1" i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3266215960652332E-2"/>
          <c:y val="9.9159752407513277E-2"/>
          <c:w val="0.96062640375889607"/>
          <c:h val="0.70833270316024244"/>
        </c:manualLayout>
      </c:layout>
      <c:lineChart>
        <c:grouping val="standard"/>
        <c:varyColors val="0"/>
        <c:ser>
          <c:idx val="0"/>
          <c:order val="0"/>
          <c:tx>
            <c:strRef>
              <c:f>'Inscritos SE'!$B$22</c:f>
              <c:strCache>
                <c:ptCount val="1"/>
                <c:pt idx="0">
                  <c:v>ninguno</c:v>
                </c:pt>
              </c:strCache>
            </c:strRef>
          </c:tx>
          <c:spPr>
            <a:ln w="12700">
              <a:solidFill>
                <a:srgbClr val="FFC000"/>
              </a:solidFill>
            </a:ln>
          </c:spPr>
          <c:marker>
            <c:symbol val="circle"/>
            <c:size val="3"/>
            <c:spPr>
              <a:noFill/>
              <a:ln>
                <a:solidFill>
                  <a:srgbClr val="FFC0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FFC0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SE'!$P$3)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('Inscritos SE'!$E$22:$N$22,'Inscritos SE'!$O$22,'Inscritos SE'!$P$22)</c:f>
              <c:numCache>
                <c:formatCode>0%</c:formatCode>
                <c:ptCount val="12"/>
                <c:pt idx="0">
                  <c:v>2.1999999999999999E-2</c:v>
                </c:pt>
                <c:pt idx="1">
                  <c:v>2.4E-2</c:v>
                </c:pt>
                <c:pt idx="2">
                  <c:v>2.4E-2</c:v>
                </c:pt>
                <c:pt idx="3">
                  <c:v>0.03</c:v>
                </c:pt>
                <c:pt idx="4">
                  <c:v>0.03</c:v>
                </c:pt>
                <c:pt idx="5">
                  <c:v>0.03</c:v>
                </c:pt>
                <c:pt idx="6">
                  <c:v>0.03</c:v>
                </c:pt>
                <c:pt idx="7">
                  <c:v>0.03</c:v>
                </c:pt>
                <c:pt idx="8">
                  <c:v>3.7999999999999999E-2</c:v>
                </c:pt>
                <c:pt idx="9">
                  <c:v>0.03</c:v>
                </c:pt>
                <c:pt idx="10">
                  <c:v>0.03</c:v>
                </c:pt>
                <c:pt idx="11">
                  <c:v>0.03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'Inscritos SE'!$B$23</c:f>
              <c:strCache>
                <c:ptCount val="1"/>
                <c:pt idx="0">
                  <c:v>primaria</c:v>
                </c:pt>
              </c:strCache>
            </c:strRef>
          </c:tx>
          <c:spPr>
            <a:ln w="12700">
              <a:solidFill>
                <a:srgbClr val="CD032E"/>
              </a:solidFill>
            </a:ln>
          </c:spPr>
          <c:marker>
            <c:symbol val="circle"/>
            <c:size val="3"/>
            <c:spPr>
              <a:noFill/>
            </c:spPr>
          </c:marker>
          <c:dLbls>
            <c:dLbl>
              <c:idx val="0"/>
              <c:layout>
                <c:manualLayout>
                  <c:x val="-2.5798724543504441E-2"/>
                  <c:y val="-3.87914389221116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5798724543504441E-2"/>
                  <c:y val="-3.2388880318534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3781423836048E-2"/>
                  <c:y val="2.5234147113656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2.7588433463554621E-2"/>
                  <c:y val="-2.5986321714958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2.3260738946404153E-2"/>
                  <c:y val="-2.9447096755675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SE'!$P$3)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('Inscritos SE'!$E$23:$N$23,'Inscritos SE'!$O$23,'Inscritos SE'!$P$23)</c:f>
              <c:numCache>
                <c:formatCode>0%</c:formatCode>
                <c:ptCount val="12"/>
                <c:pt idx="0">
                  <c:v>0.20499999999999999</c:v>
                </c:pt>
                <c:pt idx="1">
                  <c:v>0.20300000000000001</c:v>
                </c:pt>
                <c:pt idx="2">
                  <c:v>0.19500000000000001</c:v>
                </c:pt>
                <c:pt idx="3">
                  <c:v>0.18</c:v>
                </c:pt>
                <c:pt idx="4">
                  <c:v>0.17</c:v>
                </c:pt>
                <c:pt idx="5">
                  <c:v>0.17</c:v>
                </c:pt>
                <c:pt idx="6">
                  <c:v>0.16</c:v>
                </c:pt>
                <c:pt idx="7">
                  <c:v>0.15</c:v>
                </c:pt>
                <c:pt idx="8">
                  <c:v>0.13600000000000001</c:v>
                </c:pt>
                <c:pt idx="9">
                  <c:v>0.13</c:v>
                </c:pt>
                <c:pt idx="10">
                  <c:v>0.12</c:v>
                </c:pt>
                <c:pt idx="11">
                  <c:v>0.11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'Inscritos SE'!$B$24</c:f>
              <c:strCache>
                <c:ptCount val="1"/>
                <c:pt idx="0">
                  <c:v>secundaria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circle"/>
            <c:size val="3"/>
            <c:spPr>
              <a:noFill/>
            </c:spPr>
          </c:marker>
          <c:dLbls>
            <c:dLbl>
              <c:idx val="0"/>
              <c:layout>
                <c:manualLayout>
                  <c:x val="-2.93781423836048E-2"/>
                  <c:y val="3.2388880318534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93781423836048E-2"/>
                  <c:y val="2.5986321714958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SE'!$P$3)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('Inscritos SE'!$E$24:$N$24,'Inscritos SE'!$O$24,'Inscritos SE'!$P$24)</c:f>
              <c:numCache>
                <c:formatCode>0%</c:formatCode>
                <c:ptCount val="12"/>
                <c:pt idx="0">
                  <c:v>0.20100000000000001</c:v>
                </c:pt>
                <c:pt idx="1">
                  <c:v>0.19500000000000001</c:v>
                </c:pt>
                <c:pt idx="2">
                  <c:v>0.2</c:v>
                </c:pt>
                <c:pt idx="3">
                  <c:v>0.21</c:v>
                </c:pt>
                <c:pt idx="4">
                  <c:v>0.21</c:v>
                </c:pt>
                <c:pt idx="5">
                  <c:v>0.22</c:v>
                </c:pt>
                <c:pt idx="6">
                  <c:v>0.22</c:v>
                </c:pt>
                <c:pt idx="7">
                  <c:v>0.24</c:v>
                </c:pt>
                <c:pt idx="8">
                  <c:v>0.222</c:v>
                </c:pt>
                <c:pt idx="9">
                  <c:v>0.23</c:v>
                </c:pt>
                <c:pt idx="10">
                  <c:v>0.23</c:v>
                </c:pt>
                <c:pt idx="11">
                  <c:v>0.23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'Inscritos SE'!$B$25</c:f>
              <c:strCache>
                <c:ptCount val="1"/>
                <c:pt idx="0">
                  <c:v>tecnica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circ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0"/>
              <c:layout>
                <c:manualLayout>
                  <c:x val="-2.5798724543504441E-2"/>
                  <c:y val="1.6382483809592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5798724543504441E-2"/>
                  <c:y val="2.2785042413169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2169984016631047E-2"/>
                  <c:y val="2.2785042413169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3959692936681227E-2"/>
                  <c:y val="2.2785042413169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1.4758509342689505E-2"/>
                  <c:y val="1.72964284689202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SE'!$P$3)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('Inscritos SE'!$E$25:$N$25,'Inscritos SE'!$O$25,'Inscritos SE'!$P$25)</c:f>
              <c:numCache>
                <c:formatCode>0%</c:formatCode>
                <c:ptCount val="12"/>
                <c:pt idx="0">
                  <c:v>0.1</c:v>
                </c:pt>
                <c:pt idx="1">
                  <c:v>0.10199999999999999</c:v>
                </c:pt>
                <c:pt idx="2">
                  <c:v>9.7000000000000003E-2</c:v>
                </c:pt>
                <c:pt idx="3">
                  <c:v>0.09</c:v>
                </c:pt>
                <c:pt idx="4">
                  <c:v>0.09</c:v>
                </c:pt>
                <c:pt idx="5">
                  <c:v>0.1</c:v>
                </c:pt>
                <c:pt idx="6">
                  <c:v>0.09</c:v>
                </c:pt>
                <c:pt idx="7">
                  <c:v>0.09</c:v>
                </c:pt>
                <c:pt idx="8">
                  <c:v>9.1999999999999998E-2</c:v>
                </c:pt>
                <c:pt idx="9">
                  <c:v>0.09</c:v>
                </c:pt>
                <c:pt idx="10">
                  <c:v>0.08</c:v>
                </c:pt>
                <c:pt idx="11">
                  <c:v>0.1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'Inscritos SE'!$B$26</c:f>
              <c:strCache>
                <c:ptCount val="1"/>
                <c:pt idx="0">
                  <c:v>media superior</c:v>
                </c:pt>
              </c:strCache>
            </c:strRef>
          </c:tx>
          <c:spPr>
            <a:ln w="12700">
              <a:solidFill>
                <a:srgbClr val="7030A0"/>
              </a:solidFill>
            </a:ln>
          </c:spPr>
          <c:marker>
            <c:symbol val="circle"/>
            <c:size val="3"/>
            <c:spPr>
              <a:noFill/>
              <a:ln>
                <a:solidFill>
                  <a:srgbClr val="7030A0"/>
                </a:solidFill>
              </a:ln>
            </c:spPr>
          </c:marker>
          <c:dLbls>
            <c:dLbl>
              <c:idx val="4"/>
              <c:layout>
                <c:manualLayout>
                  <c:x val="-3.116785130365498E-2"/>
                  <c:y val="-3.559015962032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2.7588433463554621E-2"/>
                  <c:y val="-3.2388880318534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5798724543504441E-2"/>
                  <c:y val="1.8831588510079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5798724543504441E-2"/>
                  <c:y val="2.5234147113656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7030A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SE'!$P$3)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('Inscritos SE'!$E$26:$N$26,'Inscritos SE'!$O$26,'Inscritos SE'!$P$26)</c:f>
              <c:numCache>
                <c:formatCode>0%</c:formatCode>
                <c:ptCount val="12"/>
                <c:pt idx="0">
                  <c:v>0.14799999999999999</c:v>
                </c:pt>
                <c:pt idx="1">
                  <c:v>0.152</c:v>
                </c:pt>
                <c:pt idx="2">
                  <c:v>0.159</c:v>
                </c:pt>
                <c:pt idx="3">
                  <c:v>0.16</c:v>
                </c:pt>
                <c:pt idx="4">
                  <c:v>0.17</c:v>
                </c:pt>
                <c:pt idx="5">
                  <c:v>0.17</c:v>
                </c:pt>
                <c:pt idx="6">
                  <c:v>0.18</c:v>
                </c:pt>
                <c:pt idx="7">
                  <c:v>0.18</c:v>
                </c:pt>
                <c:pt idx="8">
                  <c:v>0.189</c:v>
                </c:pt>
                <c:pt idx="9">
                  <c:v>0.2</c:v>
                </c:pt>
                <c:pt idx="10">
                  <c:v>0.2</c:v>
                </c:pt>
                <c:pt idx="11">
                  <c:v>0.2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'Inscritos SE'!$B$27</c:f>
              <c:strCache>
                <c:ptCount val="1"/>
                <c:pt idx="0">
                  <c:v>superior </c:v>
                </c:pt>
              </c:strCache>
            </c:strRef>
          </c:tx>
          <c:spPr>
            <a:ln w="12700"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SE'!$P$3)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('Inscritos SE'!$E$27:$N$27,'Inscritos SE'!$O$27,'Inscritos SE'!$P$27)</c:f>
              <c:numCache>
                <c:formatCode>0%</c:formatCode>
                <c:ptCount val="12"/>
                <c:pt idx="0">
                  <c:v>0.28299999999999997</c:v>
                </c:pt>
                <c:pt idx="1">
                  <c:v>0.28000000000000003</c:v>
                </c:pt>
                <c:pt idx="2">
                  <c:v>0.28000000000000003</c:v>
                </c:pt>
                <c:pt idx="3">
                  <c:v>0.28000000000000003</c:v>
                </c:pt>
                <c:pt idx="4">
                  <c:v>0.28999999999999998</c:v>
                </c:pt>
                <c:pt idx="5">
                  <c:v>0.27</c:v>
                </c:pt>
                <c:pt idx="6">
                  <c:v>0.28000000000000003</c:v>
                </c:pt>
                <c:pt idx="7">
                  <c:v>0.27</c:v>
                </c:pt>
                <c:pt idx="8">
                  <c:v>0.28499999999999998</c:v>
                </c:pt>
                <c:pt idx="9">
                  <c:v>0.28000000000000003</c:v>
                </c:pt>
                <c:pt idx="10">
                  <c:v>0.28999999999999998</c:v>
                </c:pt>
                <c:pt idx="11">
                  <c:v>0.28999999999999998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'Inscritos SE'!$B$28</c:f>
              <c:strCache>
                <c:ptCount val="1"/>
                <c:pt idx="0">
                  <c:v>posgrado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dLbls>
            <c:dLbl>
              <c:idx val="3"/>
              <c:layout>
                <c:manualLayout>
                  <c:x val="-2.2169984016631047E-2"/>
                  <c:y val="-2.20328678118676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2169984016631047E-2"/>
                  <c:y val="-2.5234147113656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SE'!$P$3)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('Inscritos SE'!$E$28:$N$28,'Inscritos SE'!$O$28,'Inscritos SE'!$P$28)</c:f>
              <c:numCache>
                <c:formatCode>0%</c:formatCode>
                <c:ptCount val="12"/>
                <c:pt idx="0">
                  <c:v>4.2000000000000003E-2</c:v>
                </c:pt>
                <c:pt idx="1">
                  <c:v>4.3999999999999997E-2</c:v>
                </c:pt>
                <c:pt idx="2">
                  <c:v>4.5999999999999999E-2</c:v>
                </c:pt>
                <c:pt idx="3">
                  <c:v>0.05</c:v>
                </c:pt>
                <c:pt idx="4">
                  <c:v>0.04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3.9E-2</c:v>
                </c:pt>
                <c:pt idx="9">
                  <c:v>0.04</c:v>
                </c:pt>
                <c:pt idx="10">
                  <c:v>0.05</c:v>
                </c:pt>
                <c:pt idx="11">
                  <c:v>0.04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541568"/>
        <c:axId val="98543104"/>
      </c:lineChart>
      <c:catAx>
        <c:axId val="9854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8543104"/>
        <c:crosses val="autoZero"/>
        <c:auto val="1"/>
        <c:lblAlgn val="ctr"/>
        <c:lblOffset val="100"/>
        <c:noMultiLvlLbl val="0"/>
      </c:catAx>
      <c:valAx>
        <c:axId val="9854310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9854156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1.778519716250811E-2"/>
          <c:y val="0.92290386785119038"/>
          <c:w val="0.9680088825931219"/>
          <c:h val="5.7888456338079292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 i="0"/>
            </a:pPr>
            <a:r>
              <a:rPr lang="es-MX" b="1" i="0"/>
              <a:t>Estudios de la Madre de los inscritos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7581196363399559E-2"/>
          <c:y val="9.4299518756996187E-2"/>
          <c:w val="0.96062640375889607"/>
          <c:h val="0.75450521904689005"/>
        </c:manualLayout>
      </c:layout>
      <c:lineChart>
        <c:grouping val="standard"/>
        <c:varyColors val="0"/>
        <c:ser>
          <c:idx val="0"/>
          <c:order val="0"/>
          <c:tx>
            <c:strRef>
              <c:f>'Inscritos SE'!$B$29</c:f>
              <c:strCache>
                <c:ptCount val="1"/>
                <c:pt idx="0">
                  <c:v>ninguno</c:v>
                </c:pt>
              </c:strCache>
            </c:strRef>
          </c:tx>
          <c:spPr>
            <a:ln w="12700">
              <a:solidFill>
                <a:srgbClr val="FFC000"/>
              </a:solidFill>
            </a:ln>
          </c:spPr>
          <c:marker>
            <c:symbol val="circle"/>
            <c:size val="3"/>
            <c:spPr>
              <a:noFill/>
              <a:ln>
                <a:solidFill>
                  <a:srgbClr val="FFC000"/>
                </a:solidFill>
              </a:ln>
            </c:spPr>
          </c:marker>
          <c:dLbls>
            <c:dLbl>
              <c:idx val="7"/>
              <c:layout>
                <c:manualLayout>
                  <c:x val="-1.7817303581388895E-2"/>
                  <c:y val="1.6725442733996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1.7817303581388895E-2"/>
                  <c:y val="1.91555763913471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2.2132298187645744E-2"/>
                  <c:y val="-1.72964284689202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1.6890315894979042E-2"/>
                  <c:y val="-1.8508242362778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1.7817303581388791E-2"/>
                  <c:y val="-1.972656212627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SE'!$P$3)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('Inscritos SE'!$E$29:$N$29,'Inscritos SE'!$O$29,'Inscritos SE'!$P$29)</c:f>
              <c:numCache>
                <c:formatCode>0%</c:formatCode>
                <c:ptCount val="12"/>
                <c:pt idx="0">
                  <c:v>1.7000000000000001E-2</c:v>
                </c:pt>
                <c:pt idx="1">
                  <c:v>1.4999999999999999E-2</c:v>
                </c:pt>
                <c:pt idx="2">
                  <c:v>1.6E-2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0.01</c:v>
                </c:pt>
                <c:pt idx="8">
                  <c:v>1.2999999999999999E-2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'Inscritos SE'!$B$30</c:f>
              <c:strCache>
                <c:ptCount val="1"/>
                <c:pt idx="0">
                  <c:v>primaria</c:v>
                </c:pt>
              </c:strCache>
            </c:strRef>
          </c:tx>
          <c:spPr>
            <a:ln w="12700">
              <a:solidFill>
                <a:srgbClr val="CD032E"/>
              </a:solidFill>
            </a:ln>
          </c:spPr>
          <c:marker>
            <c:symbol val="circle"/>
            <c:size val="3"/>
            <c:spPr>
              <a:noFill/>
            </c:spPr>
          </c:marker>
          <c:dLbls>
            <c:dLbl>
              <c:idx val="0"/>
              <c:layout>
                <c:manualLayout>
                  <c:x val="-2.5798724543504441E-2"/>
                  <c:y val="-3.87914389221116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5798724543504441E-2"/>
                  <c:y val="-3.2388880318534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579872454350441E-2"/>
                  <c:y val="-1.9583763111381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2957560223705162E-2"/>
                  <c:y val="-2.91876010167464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5798724543504441E-2"/>
                  <c:y val="-2.2785042413169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5798724543504441E-2"/>
                  <c:y val="2.20328678118676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5798724543504441E-2"/>
                  <c:y val="-2.2785042413169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3695813744006239E-2"/>
                  <c:y val="-2.2785042413169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SE'!$P$3)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('Inscritos SE'!$E$30:$N$30,'Inscritos SE'!$O$30,'Inscritos SE'!$P$30)</c:f>
              <c:numCache>
                <c:formatCode>0%</c:formatCode>
                <c:ptCount val="12"/>
                <c:pt idx="0">
                  <c:v>0.29199999999999998</c:v>
                </c:pt>
                <c:pt idx="1">
                  <c:v>0.25900000000000001</c:v>
                </c:pt>
                <c:pt idx="2">
                  <c:v>0.26100000000000001</c:v>
                </c:pt>
                <c:pt idx="3">
                  <c:v>0.25</c:v>
                </c:pt>
                <c:pt idx="4">
                  <c:v>0.23</c:v>
                </c:pt>
                <c:pt idx="5">
                  <c:v>0.23</c:v>
                </c:pt>
                <c:pt idx="6">
                  <c:v>0.22</c:v>
                </c:pt>
                <c:pt idx="7">
                  <c:v>0.21</c:v>
                </c:pt>
                <c:pt idx="8">
                  <c:v>0.192</c:v>
                </c:pt>
                <c:pt idx="9">
                  <c:v>0.17</c:v>
                </c:pt>
                <c:pt idx="10">
                  <c:v>0.16</c:v>
                </c:pt>
                <c:pt idx="11">
                  <c:v>0.15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'Inscritos SE'!$B$31</c:f>
              <c:strCache>
                <c:ptCount val="1"/>
                <c:pt idx="0">
                  <c:v>secundaria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circle"/>
            <c:size val="3"/>
            <c:spPr>
              <a:noFill/>
            </c:spPr>
          </c:marker>
          <c:dLbls>
            <c:dLbl>
              <c:idx val="3"/>
              <c:layout>
                <c:manualLayout>
                  <c:x val="-2.5798724543504441E-2"/>
                  <c:y val="-1.8831588510079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5798724543504441E-2"/>
                  <c:y val="1.9583763111381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SE'!$P$3)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('Inscritos SE'!$E$31:$N$31,'Inscritos SE'!$O$31,'Inscritos SE'!$P$31)</c:f>
              <c:numCache>
                <c:formatCode>0%</c:formatCode>
                <c:ptCount val="12"/>
                <c:pt idx="0">
                  <c:v>0.21299999999999999</c:v>
                </c:pt>
                <c:pt idx="1">
                  <c:v>0.20699999999999999</c:v>
                </c:pt>
                <c:pt idx="2">
                  <c:v>0.22</c:v>
                </c:pt>
                <c:pt idx="3">
                  <c:v>0.23</c:v>
                </c:pt>
                <c:pt idx="4">
                  <c:v>0.23</c:v>
                </c:pt>
                <c:pt idx="5">
                  <c:v>0.24</c:v>
                </c:pt>
                <c:pt idx="6">
                  <c:v>0.24</c:v>
                </c:pt>
                <c:pt idx="7">
                  <c:v>0.25</c:v>
                </c:pt>
                <c:pt idx="8">
                  <c:v>0.23699999999999999</c:v>
                </c:pt>
                <c:pt idx="9">
                  <c:v>0.24</c:v>
                </c:pt>
                <c:pt idx="10">
                  <c:v>0.25</c:v>
                </c:pt>
                <c:pt idx="11">
                  <c:v>0.25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'Inscritos SE'!$B$32</c:f>
              <c:strCache>
                <c:ptCount val="1"/>
                <c:pt idx="0">
                  <c:v>tecnica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circ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0"/>
              <c:layout>
                <c:manualLayout>
                  <c:x val="-2.5798724543504441E-2"/>
                  <c:y val="1.883158851007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5798724543504441E-2"/>
                  <c:y val="-1.31812045078045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579872454350441E-2"/>
                  <c:y val="-2.2785042413169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5798724543504441E-2"/>
                  <c:y val="-1.9583763111381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5798724543504441E-2"/>
                  <c:y val="-1.6382483809593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2.5798724543504441E-2"/>
                  <c:y val="-2.59863217149580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5798724543504441E-2"/>
                  <c:y val="-2.2785042413169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5798724543504441E-2"/>
                  <c:y val="-2.59863217149580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6536978063805521E-2"/>
                  <c:y val="2.20328678118676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0429597783353903E-2"/>
                  <c:y val="-1.6382483809592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1.3682989093785404E-2"/>
                  <c:y val="6.026471302925716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2.0733605710289343E-2"/>
                  <c:y val="1.91555763913471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SE'!$P$3)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('Inscritos SE'!$E$32:$N$32,'Inscritos SE'!$O$32,'Inscritos SE'!$P$32)</c:f>
              <c:numCache>
                <c:formatCode>0%</c:formatCode>
                <c:ptCount val="12"/>
                <c:pt idx="0">
                  <c:v>0.192</c:v>
                </c:pt>
                <c:pt idx="1">
                  <c:v>0.187</c:v>
                </c:pt>
                <c:pt idx="2">
                  <c:v>0.188</c:v>
                </c:pt>
                <c:pt idx="3">
                  <c:v>0.18</c:v>
                </c:pt>
                <c:pt idx="4">
                  <c:v>0.19</c:v>
                </c:pt>
                <c:pt idx="5">
                  <c:v>0.18</c:v>
                </c:pt>
                <c:pt idx="6">
                  <c:v>0.18</c:v>
                </c:pt>
                <c:pt idx="7">
                  <c:v>0.18</c:v>
                </c:pt>
                <c:pt idx="8">
                  <c:v>0.183</c:v>
                </c:pt>
                <c:pt idx="9">
                  <c:v>0.18</c:v>
                </c:pt>
                <c:pt idx="10">
                  <c:v>0.17</c:v>
                </c:pt>
                <c:pt idx="11">
                  <c:v>0.17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'Inscritos SE'!$B$33</c:f>
              <c:strCache>
                <c:ptCount val="1"/>
                <c:pt idx="0">
                  <c:v>media superior</c:v>
                </c:pt>
              </c:strCache>
            </c:strRef>
          </c:tx>
          <c:spPr>
            <a:ln w="12700">
              <a:solidFill>
                <a:srgbClr val="7030A0"/>
              </a:solidFill>
            </a:ln>
          </c:spPr>
          <c:marker>
            <c:symbol val="circle"/>
            <c:size val="3"/>
            <c:spPr>
              <a:noFill/>
              <a:ln>
                <a:solidFill>
                  <a:srgbClr val="7030A0"/>
                </a:solidFill>
              </a:ln>
            </c:spPr>
          </c:marker>
          <c:dLbls>
            <c:dLbl>
              <c:idx val="10"/>
              <c:layout>
                <c:manualLayout>
                  <c:x val="-2.3439085405660916E-2"/>
                  <c:y val="-2.5986321714958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2.0733605710289343E-2"/>
                  <c:y val="-2.70169630983247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7030A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SE'!$P$3)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('Inscritos SE'!$E$33:$N$33,'Inscritos SE'!$O$33,'Inscritos SE'!$P$33)</c:f>
              <c:numCache>
                <c:formatCode>0%</c:formatCode>
                <c:ptCount val="12"/>
                <c:pt idx="0">
                  <c:v>0.112</c:v>
                </c:pt>
                <c:pt idx="1">
                  <c:v>0.121</c:v>
                </c:pt>
                <c:pt idx="2">
                  <c:v>0.125</c:v>
                </c:pt>
                <c:pt idx="3">
                  <c:v>0.13</c:v>
                </c:pt>
                <c:pt idx="4">
                  <c:v>0.13</c:v>
                </c:pt>
                <c:pt idx="5">
                  <c:v>0.13</c:v>
                </c:pt>
                <c:pt idx="6">
                  <c:v>0.14000000000000001</c:v>
                </c:pt>
                <c:pt idx="7">
                  <c:v>0.15</c:v>
                </c:pt>
                <c:pt idx="8">
                  <c:v>0.154</c:v>
                </c:pt>
                <c:pt idx="9">
                  <c:v>0.17</c:v>
                </c:pt>
                <c:pt idx="10">
                  <c:v>0.17</c:v>
                </c:pt>
                <c:pt idx="11">
                  <c:v>0.17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'Inscritos SE'!$B$34</c:f>
              <c:strCache>
                <c:ptCount val="1"/>
                <c:pt idx="0">
                  <c:v>superior </c:v>
                </c:pt>
              </c:strCache>
            </c:strRef>
          </c:tx>
          <c:spPr>
            <a:ln w="12700"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2.5798724543504441E-2"/>
                  <c:y val="2.2785042413169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7588433463554621E-2"/>
                  <c:y val="2.2785042413169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758843346355459E-2"/>
                  <c:y val="2.2785042413169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5798724543504441E-2"/>
                  <c:y val="2.2785042413169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4009015623454262E-2"/>
                  <c:y val="2.5986321714958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2.7588433463554621E-2"/>
                  <c:y val="2.5986321714958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7588574385516831E-2"/>
                  <c:y val="2.2785042413169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7588433463554621E-2"/>
                  <c:y val="2.91876010167465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9.6913442630528271E-3"/>
                  <c:y val="-2.5234147113656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SE'!$P$3)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('Inscritos SE'!$E$34:$N$34,'Inscritos SE'!$O$34,'Inscritos SE'!$P$34)</c:f>
              <c:numCache>
                <c:formatCode>0%</c:formatCode>
                <c:ptCount val="12"/>
                <c:pt idx="0">
                  <c:v>0.155</c:v>
                </c:pt>
                <c:pt idx="1">
                  <c:v>0.185</c:v>
                </c:pt>
                <c:pt idx="2">
                  <c:v>0.16700000000000001</c:v>
                </c:pt>
                <c:pt idx="3">
                  <c:v>0.17</c:v>
                </c:pt>
                <c:pt idx="4">
                  <c:v>0.18</c:v>
                </c:pt>
                <c:pt idx="5">
                  <c:v>0.18</c:v>
                </c:pt>
                <c:pt idx="6">
                  <c:v>0.18</c:v>
                </c:pt>
                <c:pt idx="7">
                  <c:v>0.18</c:v>
                </c:pt>
                <c:pt idx="8">
                  <c:v>0.19400000000000001</c:v>
                </c:pt>
                <c:pt idx="9">
                  <c:v>0.2</c:v>
                </c:pt>
                <c:pt idx="10">
                  <c:v>0.21</c:v>
                </c:pt>
                <c:pt idx="11">
                  <c:v>0.22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'Inscritos SE'!$B$35</c:f>
              <c:strCache>
                <c:ptCount val="1"/>
                <c:pt idx="0">
                  <c:v>posgrado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dLbls>
            <c:dLbl>
              <c:idx val="3"/>
              <c:layout>
                <c:manualLayout>
                  <c:x val="-2.2169984016631047E-2"/>
                  <c:y val="-2.20328678118676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2169984016631047E-2"/>
                  <c:y val="-2.5234147113656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SE'!$P$3)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('Inscritos SE'!$E$35:$N$35,'Inscritos SE'!$O$35,'Inscritos SE'!$P$35)</c:f>
              <c:numCache>
                <c:formatCode>0%</c:formatCode>
                <c:ptCount val="12"/>
                <c:pt idx="0">
                  <c:v>1.9E-2</c:v>
                </c:pt>
                <c:pt idx="1">
                  <c:v>2.7E-2</c:v>
                </c:pt>
                <c:pt idx="2">
                  <c:v>2.4E-2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0.02</c:v>
                </c:pt>
                <c:pt idx="8">
                  <c:v>2.7E-2</c:v>
                </c:pt>
                <c:pt idx="9">
                  <c:v>0.03</c:v>
                </c:pt>
                <c:pt idx="10">
                  <c:v>0.03</c:v>
                </c:pt>
                <c:pt idx="11">
                  <c:v>0.03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747520"/>
        <c:axId val="98749056"/>
      </c:lineChart>
      <c:catAx>
        <c:axId val="98747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8749056"/>
        <c:crosses val="autoZero"/>
        <c:auto val="1"/>
        <c:lblAlgn val="ctr"/>
        <c:lblOffset val="100"/>
        <c:noMultiLvlLbl val="0"/>
      </c:catAx>
      <c:valAx>
        <c:axId val="987490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98747520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1.778519716250811E-2"/>
          <c:y val="0.92290386785119038"/>
          <c:w val="0.9680088825931219"/>
          <c:h val="5.7888456338079292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Inscritos de</a:t>
            </a:r>
            <a:r>
              <a:rPr lang="es-MX" baseline="0"/>
              <a:t> primer ingreso y reinscritos de licencitura</a:t>
            </a:r>
            <a:endParaRPr lang="es-MX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  <c:spPr>
        <a:noFill/>
        <a:effectLst>
          <a:outerShdw blurRad="76200" dist="12700" dir="8100000" sy="-23000" kx="800400" algn="br" rotWithShape="0">
            <a:prstClr val="black">
              <a:alpha val="20000"/>
            </a:prstClr>
          </a:outerShdw>
        </a:effectLst>
      </c:spPr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'Matricula uni'!$U$64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84760070485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8.84760070485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8.84760070485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8.8476007048542121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84760070485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8.8476007048542121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84760070485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7.0780805638833693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8.4388185654008432E-3"/>
                  <c:y val="-9.347671917169554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7.03234880450070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7.03234880450070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7.032348804500806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'Matricula uni'!$U$48:$U$60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('Matricula uni'!$E$9,'Matricula uni'!$H$9,'Matricula uni'!$K$9,'Matricula uni'!$N$9,'Matricula uni'!$Q$9,'Matricula uni'!$T$9,'Matricula uni'!$W$9,'Matricula uni'!$Z$9,'Matricula uni'!$AC$9,'Matricula uni'!$AF$9,'Matricula uni'!$AI$9,'Matricula uni'!$AL$9,'Matricula uni'!$AO$9)</c:f>
              <c:numCache>
                <c:formatCode>#,##0</c:formatCode>
                <c:ptCount val="13"/>
                <c:pt idx="0">
                  <c:v>12329</c:v>
                </c:pt>
                <c:pt idx="1">
                  <c:v>12690</c:v>
                </c:pt>
                <c:pt idx="2">
                  <c:v>12956</c:v>
                </c:pt>
                <c:pt idx="3">
                  <c:v>13214</c:v>
                </c:pt>
                <c:pt idx="4">
                  <c:v>13271</c:v>
                </c:pt>
                <c:pt idx="5">
                  <c:v>13426</c:v>
                </c:pt>
                <c:pt idx="6">
                  <c:v>13765</c:v>
                </c:pt>
                <c:pt idx="7">
                  <c:v>14704</c:v>
                </c:pt>
                <c:pt idx="8">
                  <c:v>14648</c:v>
                </c:pt>
                <c:pt idx="9">
                  <c:v>15075</c:v>
                </c:pt>
                <c:pt idx="10">
                  <c:v>15257</c:v>
                </c:pt>
                <c:pt idx="11">
                  <c:v>15208</c:v>
                </c:pt>
                <c:pt idx="12">
                  <c:v>15120</c:v>
                </c:pt>
              </c:numCache>
            </c:numRef>
          </c:val>
        </c:ser>
        <c:ser>
          <c:idx val="1"/>
          <c:order val="1"/>
          <c:tx>
            <c:strRef>
              <c:f>'Matricula uni'!$U$65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2"/>
              <c:layout>
                <c:manualLayout>
                  <c:x val="3.53904028194168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3.53904028194168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3.5390402819416846E-3"/>
                  <c:y val="-6.565128575666531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8.43881856540084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'Matricula uni'!$U$48:$U$60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('Matricula uni'!$E$14,'Matricula uni'!$H$14,'Matricula uni'!$K$14,'Matricula uni'!$N$14,'Matricula uni'!$Q$14,'Matricula uni'!$T$14,'Matricula uni'!$W$14,'Matricula uni'!$Z$14,'Matricula uni'!$AC$14,'Matricula uni'!$AF$14,'Matricula uni'!$AI$14,'Matricula uni'!$AL$14,'Matricula uni'!$AO$14)</c:f>
              <c:numCache>
                <c:formatCode>#,##0</c:formatCode>
                <c:ptCount val="13"/>
                <c:pt idx="2">
                  <c:v>203</c:v>
                </c:pt>
                <c:pt idx="3">
                  <c:v>265</c:v>
                </c:pt>
                <c:pt idx="4">
                  <c:v>546</c:v>
                </c:pt>
                <c:pt idx="5">
                  <c:v>825</c:v>
                </c:pt>
                <c:pt idx="6">
                  <c:v>969</c:v>
                </c:pt>
                <c:pt idx="7">
                  <c:v>1124</c:v>
                </c:pt>
                <c:pt idx="8">
                  <c:v>1227</c:v>
                </c:pt>
                <c:pt idx="9">
                  <c:v>1347</c:v>
                </c:pt>
                <c:pt idx="10">
                  <c:v>1490</c:v>
                </c:pt>
                <c:pt idx="11">
                  <c:v>1782</c:v>
                </c:pt>
                <c:pt idx="12">
                  <c:v>2089</c:v>
                </c:pt>
              </c:numCache>
            </c:numRef>
          </c:val>
        </c:ser>
        <c:ser>
          <c:idx val="2"/>
          <c:order val="2"/>
          <c:tx>
            <c:strRef>
              <c:f>'Matricula uni'!$U$66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0780805638833693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3085604229125274E-3"/>
                  <c:y val="-6.565128575666531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0780805638833693E-3"/>
                  <c:y val="6.565128575666531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8.4845565190427141E-3"/>
                  <c:y val="-3.5809959701500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7.03234880450070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7.03234880450070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7.03234880450070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8.438818565400947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'Matricula uni'!$U$48:$U$60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('Matricula uni'!$E$19,'Matricula uni'!$H$19,'Matricula uni'!$K$19,'Matricula uni'!$N$19,'Matricula uni'!$Q$19,'Matricula uni'!$T$19,'Matricula uni'!$W$19,'Matricula uni'!$Z$19,'Matricula uni'!$AC$19,'Matricula uni'!$AF$19,'Matricula uni'!$AI$19,'Matricula uni'!$AL$19,'Matricula uni'!$AO$19)</c:f>
              <c:numCache>
                <c:formatCode>#,##0</c:formatCode>
                <c:ptCount val="13"/>
                <c:pt idx="0">
                  <c:v>10121</c:v>
                </c:pt>
                <c:pt idx="1">
                  <c:v>9961</c:v>
                </c:pt>
                <c:pt idx="2">
                  <c:v>9974</c:v>
                </c:pt>
                <c:pt idx="3">
                  <c:v>10039</c:v>
                </c:pt>
                <c:pt idx="4">
                  <c:v>10243</c:v>
                </c:pt>
                <c:pt idx="5">
                  <c:v>10369</c:v>
                </c:pt>
                <c:pt idx="6">
                  <c:v>10789</c:v>
                </c:pt>
                <c:pt idx="7">
                  <c:v>11399</c:v>
                </c:pt>
                <c:pt idx="8">
                  <c:v>11743</c:v>
                </c:pt>
                <c:pt idx="9">
                  <c:v>12168</c:v>
                </c:pt>
                <c:pt idx="10">
                  <c:v>13176</c:v>
                </c:pt>
                <c:pt idx="11">
                  <c:v>13328</c:v>
                </c:pt>
                <c:pt idx="12">
                  <c:v>13384</c:v>
                </c:pt>
              </c:numCache>
            </c:numRef>
          </c:val>
        </c:ser>
        <c:ser>
          <c:idx val="3"/>
          <c:order val="3"/>
          <c:tx>
            <c:strRef>
              <c:f>'Matricula uni'!$U$67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8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5.62587904360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8.4388185654009473E-3"/>
                  <c:y val="-2.55918106206014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5.6258790436005627E-3"/>
                  <c:y val="-4.691777747293356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'Matricula uni'!$U$48:$U$60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('Matricula uni'!$E$24,'Matricula uni'!$H$24,'Matricula uni'!$K$24,'Matricula uni'!$N$24,'Matricula uni'!$Q$24,'Matricula uni'!$T$24,'Matricula uni'!$W$24,'Matricula uni'!$Z$24,'Matricula uni'!$AC$24,'Matricula uni'!$AF$24,'Matricula uni'!$AI$24,'Matricula uni'!$AL$24,'Matricula uni'!$AO$24)</c:f>
              <c:numCache>
                <c:formatCode>#,##0</c:formatCode>
                <c:ptCount val="13"/>
                <c:pt idx="8">
                  <c:v>161</c:v>
                </c:pt>
                <c:pt idx="9">
                  <c:v>220</c:v>
                </c:pt>
                <c:pt idx="10">
                  <c:v>348</c:v>
                </c:pt>
                <c:pt idx="11">
                  <c:v>416</c:v>
                </c:pt>
                <c:pt idx="12">
                  <c:v>495</c:v>
                </c:pt>
              </c:numCache>
            </c:numRef>
          </c:val>
        </c:ser>
        <c:ser>
          <c:idx val="4"/>
          <c:order val="4"/>
          <c:tx>
            <c:strRef>
              <c:f>'Matricula uni'!$U$68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7.0780805638833693E-3"/>
                  <c:y val="-3.28256428783326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8476007048542121E-3"/>
                  <c:y val="-3.28256428783326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5.3085604229125274E-3"/>
                  <c:y val="3.28256428783326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5.3085604229125274E-3"/>
                  <c:y val="3.28256428783326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1.061712084582505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8.43881856540084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8.43881856540084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8.43881856540084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7.0323488045008061E-3"/>
                  <c:y val="-2.55918106206014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'Matricula uni'!$U$48:$U$60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('Matricula uni'!$E$29,'Matricula uni'!$H$29,'Matricula uni'!$K$29,'Matricula uni'!$N$29,'Matricula uni'!$Q$29,'Matricula uni'!$T$29,'Matricula uni'!$W$29,'Matricula uni'!$Z$29,'Matricula uni'!$AC$29,'Matricula uni'!$AF$29,'Matricula uni'!$AI$29,'Matricula uni'!$AL$29,'Matricula uni'!$AO$29)</c:f>
              <c:numCache>
                <c:formatCode>#,##0</c:formatCode>
                <c:ptCount val="13"/>
                <c:pt idx="0">
                  <c:v>11859</c:v>
                </c:pt>
                <c:pt idx="1">
                  <c:v>12916</c:v>
                </c:pt>
                <c:pt idx="2">
                  <c:v>13875</c:v>
                </c:pt>
                <c:pt idx="3">
                  <c:v>14227</c:v>
                </c:pt>
                <c:pt idx="4">
                  <c:v>14343</c:v>
                </c:pt>
                <c:pt idx="5">
                  <c:v>13745</c:v>
                </c:pt>
                <c:pt idx="6">
                  <c:v>13387</c:v>
                </c:pt>
                <c:pt idx="7">
                  <c:v>13485</c:v>
                </c:pt>
                <c:pt idx="8">
                  <c:v>13456</c:v>
                </c:pt>
                <c:pt idx="9">
                  <c:v>13432</c:v>
                </c:pt>
                <c:pt idx="10">
                  <c:v>13491</c:v>
                </c:pt>
                <c:pt idx="11">
                  <c:v>13567</c:v>
                </c:pt>
                <c:pt idx="12">
                  <c:v>13624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shape val="cylinder"/>
        <c:axId val="96628096"/>
        <c:axId val="96744576"/>
        <c:axId val="0"/>
      </c:bar3DChart>
      <c:catAx>
        <c:axId val="9662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96744576"/>
        <c:crosses val="autoZero"/>
        <c:auto val="1"/>
        <c:lblAlgn val="ctr"/>
        <c:lblOffset val="100"/>
        <c:noMultiLvlLbl val="0"/>
      </c:catAx>
      <c:valAx>
        <c:axId val="9674457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966280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79256939160884E-2"/>
          <c:y val="0.93913430993209979"/>
          <c:w val="0.83696395096754084"/>
          <c:h val="3.6174302303990206E-2"/>
        </c:manualLayout>
      </c:layout>
      <c:overlay val="0"/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CD032E"/>
                </a:solidFill>
              </a:defRPr>
            </a:pPr>
            <a:r>
              <a:rPr lang="es-MX" sz="1200" b="0">
                <a:solidFill>
                  <a:srgbClr val="CD032E"/>
                </a:solidFill>
              </a:rPr>
              <a:t>Azcapotzalco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'Matricula uni'!$B$6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D032E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('Matricula uni'!$Z$6,'Matricula uni'!$AC$6,'Matricula uni'!$AF$6,'Matricula uni'!$AI$6,'Matricula uni'!$AL$6)</c:f>
              <c:numCache>
                <c:formatCode>#,##0</c:formatCode>
                <c:ptCount val="5"/>
                <c:pt idx="0">
                  <c:v>7272</c:v>
                </c:pt>
                <c:pt idx="1">
                  <c:v>7261</c:v>
                </c:pt>
                <c:pt idx="2">
                  <c:v>7200</c:v>
                </c:pt>
                <c:pt idx="3">
                  <c:v>7158</c:v>
                </c:pt>
                <c:pt idx="4">
                  <c:v>6918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'Matricula uni'!$B$7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('Matricula uni'!$Z$7,'Matricula uni'!$AC$7,'Matricula uni'!$AF$7,'Matricula uni'!$AI$7,'Matricula uni'!$AL$7)</c:f>
              <c:numCache>
                <c:formatCode>#,##0</c:formatCode>
                <c:ptCount val="5"/>
                <c:pt idx="0">
                  <c:v>4785</c:v>
                </c:pt>
                <c:pt idx="1">
                  <c:v>4840</c:v>
                </c:pt>
                <c:pt idx="2">
                  <c:v>5201</c:v>
                </c:pt>
                <c:pt idx="3">
                  <c:v>5297</c:v>
                </c:pt>
                <c:pt idx="4">
                  <c:v>5452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'Matricula uni'!$B$8</c:f>
              <c:strCache>
                <c:ptCount val="1"/>
                <c:pt idx="0">
                  <c:v>CAD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('Matricula uni'!$Z$8,'Matricula uni'!$AC$8,'Matricula uni'!$AF$8,'Matricula uni'!$AI$8,'Matricula uni'!$AL$8)</c:f>
              <c:numCache>
                <c:formatCode>#,##0</c:formatCode>
                <c:ptCount val="5"/>
                <c:pt idx="0">
                  <c:v>2647</c:v>
                </c:pt>
                <c:pt idx="1">
                  <c:v>2547</c:v>
                </c:pt>
                <c:pt idx="2">
                  <c:v>2674</c:v>
                </c:pt>
                <c:pt idx="3">
                  <c:v>2802</c:v>
                </c:pt>
                <c:pt idx="4">
                  <c:v>2838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979840"/>
        <c:axId val="98981376"/>
      </c:lineChart>
      <c:catAx>
        <c:axId val="9897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8981376"/>
        <c:crosses val="autoZero"/>
        <c:auto val="1"/>
        <c:lblAlgn val="ctr"/>
        <c:lblOffset val="100"/>
        <c:noMultiLvlLbl val="0"/>
      </c:catAx>
      <c:valAx>
        <c:axId val="9898137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98979840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F08200"/>
                </a:solidFill>
              </a:defRPr>
            </a:pPr>
            <a:r>
              <a:rPr lang="es-MX" sz="1200" b="0">
                <a:solidFill>
                  <a:srgbClr val="F08200"/>
                </a:solidFill>
              </a:rPr>
              <a:t>Cuajimalpa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'Matricula uni'!$B$11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1"/>
              <c:layout>
                <c:manualLayout>
                  <c:x val="-4.2921323576274817E-2"/>
                  <c:y val="-4.19508026612952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('Matricula uni'!$Z$11,'Matricula uni'!$AC$11,'Matricula uni'!$AF$11,'Matricula uni'!$AI$11,'Matricula uni'!$AL$11)</c:f>
              <c:numCache>
                <c:formatCode>#,##0</c:formatCode>
                <c:ptCount val="5"/>
                <c:pt idx="0">
                  <c:v>405</c:v>
                </c:pt>
                <c:pt idx="1">
                  <c:v>373</c:v>
                </c:pt>
                <c:pt idx="2">
                  <c:v>378</c:v>
                </c:pt>
                <c:pt idx="3">
                  <c:v>389</c:v>
                </c:pt>
                <c:pt idx="4">
                  <c:v>488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'Matricula uni'!$B$12</c:f>
              <c:strCache>
                <c:ptCount val="1"/>
                <c:pt idx="0">
                  <c:v>CCD</c:v>
                </c:pt>
              </c:strCache>
            </c:strRef>
          </c:tx>
          <c:spPr>
            <a:ln w="12700">
              <a:solidFill>
                <a:srgbClr val="F082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4"/>
              <c:layout>
                <c:manualLayout>
                  <c:x val="-3.9977982884589758E-2"/>
                  <c:y val="5.2286719973956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F082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('Matricula uni'!$Z$12,'Matricula uni'!$AC$12,'Matricula uni'!$AF$12,'Matricula uni'!$AI$12,'Matricula uni'!$AL$12)</c:f>
              <c:numCache>
                <c:formatCode>#,##0</c:formatCode>
                <c:ptCount val="5"/>
                <c:pt idx="0">
                  <c:v>423</c:v>
                </c:pt>
                <c:pt idx="1">
                  <c:v>498</c:v>
                </c:pt>
                <c:pt idx="2">
                  <c:v>520</c:v>
                </c:pt>
                <c:pt idx="3">
                  <c:v>576</c:v>
                </c:pt>
                <c:pt idx="4">
                  <c:v>644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'Matricula uni'!$B$13</c:f>
              <c:strCache>
                <c:ptCount val="1"/>
                <c:pt idx="0">
                  <c:v>CNI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7.5298071184810508E-2"/>
                  <c:y val="2.1278968035972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921323576274817E-2"/>
                  <c:y val="4.711876131762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9977982884589758E-2"/>
                  <c:y val="-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1751345651330008E-2"/>
                  <c:y val="4.711876131762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7034642192904692E-2"/>
                  <c:y val="-3.04010254532136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tx1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('Matricula uni'!$Z$13,'Matricula uni'!$AC$13,'Matricula uni'!$AF$13,'Matricula uni'!$AI$13,'Matricula uni'!$AL$13)</c:f>
              <c:numCache>
                <c:formatCode>#,##0</c:formatCode>
                <c:ptCount val="5"/>
                <c:pt idx="0">
                  <c:v>296</c:v>
                </c:pt>
                <c:pt idx="1">
                  <c:v>356</c:v>
                </c:pt>
                <c:pt idx="2">
                  <c:v>449</c:v>
                </c:pt>
                <c:pt idx="3">
                  <c:v>525</c:v>
                </c:pt>
                <c:pt idx="4">
                  <c:v>650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422592"/>
        <c:axId val="99424128"/>
      </c:lineChart>
      <c:catAx>
        <c:axId val="9942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9424128"/>
        <c:crosses val="autoZero"/>
        <c:auto val="1"/>
        <c:lblAlgn val="ctr"/>
        <c:lblOffset val="100"/>
        <c:noMultiLvlLbl val="0"/>
      </c:catAx>
      <c:valAx>
        <c:axId val="994241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9942259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57A519"/>
                </a:solidFill>
              </a:defRPr>
            </a:pPr>
            <a:r>
              <a:rPr lang="es-MX" sz="1200" b="0">
                <a:solidFill>
                  <a:srgbClr val="57A519"/>
                </a:solidFill>
              </a:rPr>
              <a:t>Iztapalapa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'Matricula uni'!$B$16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('Matricula uni'!$Z$16,'Matricula uni'!$AC$16,'Matricula uni'!$AF$16,'Matricula uni'!$AI$16,'Matricula uni'!$AL$16)</c:f>
              <c:numCache>
                <c:formatCode>#,##0</c:formatCode>
                <c:ptCount val="5"/>
                <c:pt idx="0">
                  <c:v>2868</c:v>
                </c:pt>
                <c:pt idx="1">
                  <c:v>3016</c:v>
                </c:pt>
                <c:pt idx="2">
                  <c:v>3114</c:v>
                </c:pt>
                <c:pt idx="3">
                  <c:v>3623</c:v>
                </c:pt>
                <c:pt idx="4">
                  <c:v>3750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'Matricula uni'!$B$17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3"/>
              <c:layout>
                <c:manualLayout>
                  <c:x val="-5.4768153980752403E-2"/>
                  <c:y val="4.07365358399967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('Matricula uni'!$Z$17,'Matricula uni'!$AC$17,'Matricula uni'!$AF$17,'Matricula uni'!$AI$17,'Matricula uni'!$AL$17)</c:f>
              <c:numCache>
                <c:formatCode>#,##0</c:formatCode>
                <c:ptCount val="5"/>
                <c:pt idx="0">
                  <c:v>5289</c:v>
                </c:pt>
                <c:pt idx="1">
                  <c:v>5318</c:v>
                </c:pt>
                <c:pt idx="2">
                  <c:v>5362</c:v>
                </c:pt>
                <c:pt idx="3">
                  <c:v>5492</c:v>
                </c:pt>
                <c:pt idx="4">
                  <c:v>5510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'Matricula uni'!$B$18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3"/>
              <c:layout>
                <c:manualLayout>
                  <c:x val="-5.4768153980752403E-2"/>
                  <c:y val="-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('Matricula uni'!$Z$18,'Matricula uni'!$AC$18,'Matricula uni'!$AF$18,'Matricula uni'!$AI$18,'Matricula uni'!$AL$18)</c:f>
              <c:numCache>
                <c:formatCode>#,##0</c:formatCode>
                <c:ptCount val="5"/>
                <c:pt idx="0">
                  <c:v>3242</c:v>
                </c:pt>
                <c:pt idx="1">
                  <c:v>3409</c:v>
                </c:pt>
                <c:pt idx="2">
                  <c:v>3692</c:v>
                </c:pt>
                <c:pt idx="3">
                  <c:v>4061</c:v>
                </c:pt>
                <c:pt idx="4">
                  <c:v>4068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488512"/>
        <c:axId val="99490048"/>
      </c:lineChart>
      <c:catAx>
        <c:axId val="9948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9490048"/>
        <c:crosses val="autoZero"/>
        <c:auto val="1"/>
        <c:lblAlgn val="ctr"/>
        <c:lblOffset val="100"/>
        <c:noMultiLvlLbl val="0"/>
      </c:catAx>
      <c:valAx>
        <c:axId val="9949004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9948851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AD25A8"/>
                </a:solidFill>
              </a:defRPr>
            </a:pPr>
            <a:r>
              <a:rPr lang="es-MX" sz="1200" b="0">
                <a:solidFill>
                  <a:srgbClr val="AD25A8"/>
                </a:solidFill>
              </a:rPr>
              <a:t>Lerma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'Matricula uni'!$B$21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0"/>
              <c:layout>
                <c:manualLayout>
                  <c:x val="-3.401041757197569E-2"/>
                  <c:y val="-5.2286719973956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9897098955345815E-2"/>
                  <c:y val="-8.3294471911941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uni'!$S$51:$S$54</c:f>
              <c:numCache>
                <c:formatCode>General</c:formatCod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numCache>
            </c:numRef>
          </c:cat>
          <c:val>
            <c:numRef>
              <c:f>('Matricula uni'!$AC$21,'Matricula uni'!$AF$21,'Matricula uni'!$AI$21,'Matricula uni'!$AL$21)</c:f>
              <c:numCache>
                <c:formatCode>#,##0</c:formatCode>
                <c:ptCount val="4"/>
                <c:pt idx="0">
                  <c:v>57</c:v>
                </c:pt>
                <c:pt idx="1">
                  <c:v>78</c:v>
                </c:pt>
                <c:pt idx="2">
                  <c:v>106</c:v>
                </c:pt>
                <c:pt idx="3">
                  <c:v>118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'Matricula uni'!$B$22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0"/>
              <c:layout>
                <c:manualLayout>
                  <c:x val="-6.9330505872196441E-2"/>
                  <c:y val="-9.728783902012249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9897098955345815E-2"/>
                  <c:y val="-4.590449449632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4164769138956858E-2"/>
                  <c:y val="3.6782844004964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uni'!$S$51:$S$54</c:f>
              <c:numCache>
                <c:formatCode>General</c:formatCod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numCache>
            </c:numRef>
          </c:cat>
          <c:val>
            <c:numRef>
              <c:f>('Matricula uni'!$AC$22,'Matricula uni'!$AF$22,'Matricula uni'!$AI$22,'Matricula uni'!$AL$22)</c:f>
              <c:numCache>
                <c:formatCode>#,##0</c:formatCode>
                <c:ptCount val="4"/>
                <c:pt idx="0">
                  <c:v>51</c:v>
                </c:pt>
                <c:pt idx="1">
                  <c:v>76</c:v>
                </c:pt>
                <c:pt idx="2">
                  <c:v>132</c:v>
                </c:pt>
                <c:pt idx="3">
                  <c:v>163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'Matricula uni'!$B$23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0"/>
              <c:layout>
                <c:manualLayout>
                  <c:x val="-3.6953758263660749E-2"/>
                  <c:y val="5.1072453152658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953758263660749E-2"/>
                  <c:y val="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401041757197569E-2"/>
                  <c:y val="-4.1950802661295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401041757197569E-2"/>
                  <c:y val="-5.2286719973956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uni'!$S$51:$S$54</c:f>
              <c:numCache>
                <c:formatCode>General</c:formatCod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numCache>
            </c:numRef>
          </c:cat>
          <c:val>
            <c:numRef>
              <c:f>('Matricula uni'!$AC$23,'Matricula uni'!$AF$23,'Matricula uni'!$AI$23,'Matricula uni'!$AL$23)</c:f>
              <c:numCache>
                <c:formatCode>#,##0</c:formatCode>
                <c:ptCount val="4"/>
                <c:pt idx="0">
                  <c:v>53</c:v>
                </c:pt>
                <c:pt idx="1">
                  <c:v>66</c:v>
                </c:pt>
                <c:pt idx="2">
                  <c:v>110</c:v>
                </c:pt>
                <c:pt idx="3">
                  <c:v>135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546240"/>
        <c:axId val="99547776"/>
      </c:lineChart>
      <c:catAx>
        <c:axId val="9954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9547776"/>
        <c:crosses val="autoZero"/>
        <c:auto val="1"/>
        <c:lblAlgn val="ctr"/>
        <c:lblOffset val="100"/>
        <c:noMultiLvlLbl val="0"/>
      </c:catAx>
      <c:valAx>
        <c:axId val="9954777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99546240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0072CE"/>
                </a:solidFill>
              </a:defRPr>
            </a:pPr>
            <a:r>
              <a:rPr lang="es-MX" sz="1200" b="0">
                <a:solidFill>
                  <a:srgbClr val="0072CE"/>
                </a:solidFill>
              </a:rPr>
              <a:t>Xochimilco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'Matricula uni'!$B$26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('Matricula uni'!$Z$26,'Matricula uni'!$AC$26,'Matricula uni'!$AF$26,'Matricula uni'!$AI$26,'Matricula uni'!$AL$26)</c:f>
              <c:numCache>
                <c:formatCode>#,##0</c:formatCode>
                <c:ptCount val="5"/>
                <c:pt idx="0">
                  <c:v>4746</c:v>
                </c:pt>
                <c:pt idx="1">
                  <c:v>4733</c:v>
                </c:pt>
                <c:pt idx="2">
                  <c:v>4841</c:v>
                </c:pt>
                <c:pt idx="3">
                  <c:v>4753</c:v>
                </c:pt>
                <c:pt idx="4">
                  <c:v>4782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'Matricula uni'!$B$27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('Matricula uni'!$Z$27,'Matricula uni'!$AC$27,'Matricula uni'!$AF$27,'Matricula uni'!$AI$27,'Matricula uni'!$AL$27)</c:f>
              <c:numCache>
                <c:formatCode>#,##0</c:formatCode>
                <c:ptCount val="5"/>
                <c:pt idx="0">
                  <c:v>6339</c:v>
                </c:pt>
                <c:pt idx="1">
                  <c:v>6294</c:v>
                </c:pt>
                <c:pt idx="2">
                  <c:v>6161</c:v>
                </c:pt>
                <c:pt idx="3">
                  <c:v>6284</c:v>
                </c:pt>
                <c:pt idx="4">
                  <c:v>6362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'Matricula uni'!$B$28</c:f>
              <c:strCache>
                <c:ptCount val="1"/>
                <c:pt idx="0">
                  <c:v>CAD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('Matricula uni'!$Z$28,'Matricula uni'!$AC$28,'Matricula uni'!$AF$28,'Matricula uni'!$AI$28,'Matricula uni'!$AL$28)</c:f>
              <c:numCache>
                <c:formatCode>#,##0</c:formatCode>
                <c:ptCount val="5"/>
                <c:pt idx="0">
                  <c:v>2400</c:v>
                </c:pt>
                <c:pt idx="1">
                  <c:v>2429</c:v>
                </c:pt>
                <c:pt idx="2">
                  <c:v>2430</c:v>
                </c:pt>
                <c:pt idx="3">
                  <c:v>2454</c:v>
                </c:pt>
                <c:pt idx="4">
                  <c:v>2423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587584"/>
        <c:axId val="99589120"/>
      </c:lineChart>
      <c:catAx>
        <c:axId val="9958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9589120"/>
        <c:crosses val="autoZero"/>
        <c:auto val="1"/>
        <c:lblAlgn val="ctr"/>
        <c:lblOffset val="100"/>
        <c:noMultiLvlLbl val="0"/>
      </c:catAx>
      <c:valAx>
        <c:axId val="9958912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9958758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Admitidos</a:t>
            </a:r>
            <a:r>
              <a:rPr lang="es-MX" baseline="0"/>
              <a:t> a licenciatura</a:t>
            </a:r>
            <a:endParaRPr lang="es-MX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  <c:spPr>
        <a:ln w="3175">
          <a:solidFill>
            <a:schemeClr val="bg1">
              <a:lumMod val="85000"/>
            </a:schemeClr>
          </a:solidFill>
        </a:ln>
      </c:spPr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4293915605748563E-2"/>
          <c:y val="4.2970558271059923E-2"/>
          <c:w val="0.96823475104258216"/>
          <c:h val="0.81217800385727867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'Admitidos uni'!$S$57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76200" dist="12700" dir="8100000" sy="-23000" kx="800400" algn="br" rotWithShape="0">
                <a:schemeClr val="bg1">
                  <a:lumMod val="50000"/>
                  <a:alpha val="20000"/>
                </a:scheme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uni'!$S$43:$S$55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('Admitidos uni'!$E$9,'Admitidos uni'!$H$9,'Admitidos uni'!$K$9,'Admitidos uni'!$N$9,'Admitidos uni'!$Q$9,'Admitidos uni'!$T$9,'Admitidos uni'!$W$9,'Admitidos uni'!$Z$9,'Admitidos uni'!$AC$9,'Admitidos uni'!$AF$9,'Admitidos uni'!$AI$9,'Admitidos uni'!$AL$9,'Admitidos uni'!$AO$9)</c:f>
              <c:numCache>
                <c:formatCode>#,##0</c:formatCode>
                <c:ptCount val="13"/>
                <c:pt idx="0">
                  <c:v>3442</c:v>
                </c:pt>
                <c:pt idx="1">
                  <c:v>3997</c:v>
                </c:pt>
                <c:pt idx="2">
                  <c:v>4015</c:v>
                </c:pt>
                <c:pt idx="3">
                  <c:v>4052</c:v>
                </c:pt>
                <c:pt idx="4">
                  <c:v>4088</c:v>
                </c:pt>
                <c:pt idx="5">
                  <c:v>4133</c:v>
                </c:pt>
                <c:pt idx="6">
                  <c:v>4132</c:v>
                </c:pt>
                <c:pt idx="7">
                  <c:v>4356</c:v>
                </c:pt>
                <c:pt idx="8">
                  <c:v>4099</c:v>
                </c:pt>
                <c:pt idx="9">
                  <c:v>3675</c:v>
                </c:pt>
                <c:pt idx="10">
                  <c:v>3751</c:v>
                </c:pt>
                <c:pt idx="11">
                  <c:v>3575</c:v>
                </c:pt>
                <c:pt idx="12">
                  <c:v>3590</c:v>
                </c:pt>
              </c:numCache>
            </c:numRef>
          </c:val>
        </c:ser>
        <c:ser>
          <c:idx val="1"/>
          <c:order val="1"/>
          <c:tx>
            <c:strRef>
              <c:f>'Admitidos uni'!$S$58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2"/>
              <c:layout>
                <c:manualLayout>
                  <c:x val="5.21342403322798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0671201661403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910068024920988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5.21342403322798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3.9100680249209881E-3"/>
                  <c:y val="-2.71278312537821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3.910068024920892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3.910068024920892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5.213424033227888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6.5167800415349801E-3"/>
                  <c:y val="-2.71278312537821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uni'!$S$43:$S$55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('Admitidos uni'!$E$14,'Admitidos uni'!$H$14,'Admitidos uni'!$K$14,'Admitidos uni'!$N$14,'Admitidos uni'!$Q$14,'Admitidos uni'!$T$14,'Admitidos uni'!$W$14,'Admitidos uni'!$Z$14,'Admitidos uni'!$AC$14,'Admitidos uni'!$AF$14,'Admitidos uni'!$AI$14,'Admitidos uni'!$AL$14,'Admitidos uni'!$AO$14)</c:f>
              <c:numCache>
                <c:formatCode>#,##0</c:formatCode>
                <c:ptCount val="13"/>
                <c:pt idx="2">
                  <c:v>252</c:v>
                </c:pt>
                <c:pt idx="3">
                  <c:v>123</c:v>
                </c:pt>
                <c:pt idx="4">
                  <c:v>382</c:v>
                </c:pt>
                <c:pt idx="5">
                  <c:v>403</c:v>
                </c:pt>
                <c:pt idx="6">
                  <c:v>315</c:v>
                </c:pt>
                <c:pt idx="7">
                  <c:v>399</c:v>
                </c:pt>
                <c:pt idx="8">
                  <c:v>429</c:v>
                </c:pt>
                <c:pt idx="9">
                  <c:v>434</c:v>
                </c:pt>
                <c:pt idx="10">
                  <c:v>503</c:v>
                </c:pt>
                <c:pt idx="11">
                  <c:v>709</c:v>
                </c:pt>
                <c:pt idx="12">
                  <c:v>792</c:v>
                </c:pt>
              </c:numCache>
            </c:numRef>
          </c:val>
        </c:ser>
        <c:ser>
          <c:idx val="2"/>
          <c:order val="2"/>
          <c:tx>
            <c:strRef>
              <c:f>'Admitidos uni'!$S$59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uni'!$S$43:$S$55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('Admitidos uni'!$E$19,'Admitidos uni'!$H$19,'Admitidos uni'!$K$19,'Admitidos uni'!$N$19,'Admitidos uni'!$Q$19,'Admitidos uni'!$T$19,'Admitidos uni'!$W$19,'Admitidos uni'!$Z$19,'Admitidos uni'!$AC$19,'Admitidos uni'!$AF$19,'Admitidos uni'!$AI$19,'Admitidos uni'!$AL$19,'Admitidos uni'!$AO$19)</c:f>
              <c:numCache>
                <c:formatCode>#,##0</c:formatCode>
                <c:ptCount val="13"/>
                <c:pt idx="0">
                  <c:v>2494</c:v>
                </c:pt>
                <c:pt idx="1">
                  <c:v>2672</c:v>
                </c:pt>
                <c:pt idx="2">
                  <c:v>2928</c:v>
                </c:pt>
                <c:pt idx="3">
                  <c:v>3083</c:v>
                </c:pt>
                <c:pt idx="4">
                  <c:v>3093</c:v>
                </c:pt>
                <c:pt idx="5">
                  <c:v>2967</c:v>
                </c:pt>
                <c:pt idx="6">
                  <c:v>3166</c:v>
                </c:pt>
                <c:pt idx="7">
                  <c:v>3382</c:v>
                </c:pt>
                <c:pt idx="8">
                  <c:v>3479</c:v>
                </c:pt>
                <c:pt idx="9">
                  <c:v>3510</c:v>
                </c:pt>
                <c:pt idx="10">
                  <c:v>3570</c:v>
                </c:pt>
                <c:pt idx="11">
                  <c:v>3228</c:v>
                </c:pt>
                <c:pt idx="12">
                  <c:v>3089</c:v>
                </c:pt>
              </c:numCache>
            </c:numRef>
          </c:val>
        </c:ser>
        <c:ser>
          <c:idx val="3"/>
          <c:order val="3"/>
          <c:tx>
            <c:strRef>
              <c:f>'Admitidos uni'!$S$60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uni'!$S$43:$S$55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('Admitidos uni'!$E$24,'Admitidos uni'!$H$24,'Admitidos uni'!$K$24,'Admitidos uni'!$N$24,'Admitidos uni'!$Q$24,'Admitidos uni'!$T$24,'Admitidos uni'!$W$24,'Admitidos uni'!$Z$24,'Admitidos uni'!$AC$24,'Admitidos uni'!$AF$24,'Admitidos uni'!$AI$24,'Admitidos uni'!$AL$24,'Admitidos uni'!$AO$24)</c:f>
              <c:numCache>
                <c:formatCode>#,##0</c:formatCode>
                <c:ptCount val="13"/>
                <c:pt idx="8">
                  <c:v>238</c:v>
                </c:pt>
                <c:pt idx="9">
                  <c:v>107</c:v>
                </c:pt>
                <c:pt idx="10">
                  <c:v>234</c:v>
                </c:pt>
                <c:pt idx="11">
                  <c:v>187</c:v>
                </c:pt>
                <c:pt idx="12">
                  <c:v>240</c:v>
                </c:pt>
              </c:numCache>
            </c:numRef>
          </c:val>
        </c:ser>
        <c:ser>
          <c:idx val="4"/>
          <c:order val="4"/>
          <c:tx>
            <c:strRef>
              <c:f>'Admitidos uni'!$S$61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uni'!$S$43:$S$55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('Admitidos uni'!$E$29,'Admitidos uni'!$H$29,'Admitidos uni'!$K$29,'Admitidos uni'!$N$29,'Admitidos uni'!$Q$29,'Admitidos uni'!$T$29,'Admitidos uni'!$W$29,'Admitidos uni'!$Z$29,'Admitidos uni'!$AC$29,'Admitidos uni'!$AF$29,'Admitidos uni'!$AI$29,'Admitidos uni'!$AL$29,'Admitidos uni'!$AO$29)</c:f>
              <c:numCache>
                <c:formatCode>#,##0</c:formatCode>
                <c:ptCount val="13"/>
                <c:pt idx="0">
                  <c:v>4393</c:v>
                </c:pt>
                <c:pt idx="1">
                  <c:v>4794</c:v>
                </c:pt>
                <c:pt idx="2">
                  <c:v>5169</c:v>
                </c:pt>
                <c:pt idx="3">
                  <c:v>4769</c:v>
                </c:pt>
                <c:pt idx="4">
                  <c:v>4675</c:v>
                </c:pt>
                <c:pt idx="5">
                  <c:v>4201</c:v>
                </c:pt>
                <c:pt idx="6">
                  <c:v>4237</c:v>
                </c:pt>
                <c:pt idx="7">
                  <c:v>4510</c:v>
                </c:pt>
                <c:pt idx="8">
                  <c:v>4468</c:v>
                </c:pt>
                <c:pt idx="9">
                  <c:v>4501</c:v>
                </c:pt>
                <c:pt idx="10">
                  <c:v>4352</c:v>
                </c:pt>
                <c:pt idx="11">
                  <c:v>4212</c:v>
                </c:pt>
                <c:pt idx="12">
                  <c:v>4374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91740032"/>
        <c:axId val="91741568"/>
        <c:axId val="0"/>
      </c:bar3DChart>
      <c:catAx>
        <c:axId val="9174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</a:ln>
        </c:spPr>
        <c:crossAx val="91741568"/>
        <c:crosses val="autoZero"/>
        <c:auto val="1"/>
        <c:lblAlgn val="ctr"/>
        <c:lblOffset val="100"/>
        <c:noMultiLvlLbl val="0"/>
      </c:catAx>
      <c:valAx>
        <c:axId val="9174156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917400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3434460076050311"/>
          <c:y val="0.93466827895698401"/>
          <c:w val="0.79387178425127225"/>
          <c:h val="4.9055022290746694E-2"/>
        </c:manualLayout>
      </c:layout>
      <c:overlay val="0"/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BAJAS DEFINITIVAS DE LICENCIATURA</a:t>
            </a:r>
          </a:p>
        </c:rich>
      </c:tx>
      <c:layout>
        <c:manualLayout>
          <c:xMode val="edge"/>
          <c:yMode val="edge"/>
          <c:x val="0.29949012702526107"/>
          <c:y val="2.0395156150414276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noFill/>
        <a:effectLst>
          <a:outerShdw blurRad="76200" dist="12700" dir="8100000" sy="-23000" kx="800400" algn="br" rotWithShape="0">
            <a:prstClr val="black">
              <a:alpha val="20000"/>
            </a:prstClr>
          </a:outerShdw>
        </a:effectLst>
      </c:spPr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'BAJAS-DEF uni'!$A$6:$A$9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('BAJAS-DEF uni'!$C$4:$O$4,'BAJAS-DEF uni'!$P$4)</c:f>
              <c:numCache>
                <c:formatCode>General</c:formatCode>
                <c:ptCount val="14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('BAJAS-DEF uni'!$C$9:$O$9,'BAJAS-DEF uni'!$P$9)</c:f>
              <c:numCache>
                <c:formatCode>General</c:formatCode>
                <c:ptCount val="14"/>
                <c:pt idx="0">
                  <c:v>297</c:v>
                </c:pt>
                <c:pt idx="1">
                  <c:v>300</c:v>
                </c:pt>
                <c:pt idx="2">
                  <c:v>251</c:v>
                </c:pt>
                <c:pt idx="3">
                  <c:v>205</c:v>
                </c:pt>
                <c:pt idx="4">
                  <c:v>218</c:v>
                </c:pt>
                <c:pt idx="5">
                  <c:v>231</c:v>
                </c:pt>
                <c:pt idx="6">
                  <c:v>221</c:v>
                </c:pt>
                <c:pt idx="7">
                  <c:v>222</c:v>
                </c:pt>
                <c:pt idx="8">
                  <c:v>204</c:v>
                </c:pt>
                <c:pt idx="9">
                  <c:v>197</c:v>
                </c:pt>
                <c:pt idx="10">
                  <c:v>201</c:v>
                </c:pt>
                <c:pt idx="11">
                  <c:v>227</c:v>
                </c:pt>
                <c:pt idx="12">
                  <c:v>168</c:v>
                </c:pt>
                <c:pt idx="13">
                  <c:v>242</c:v>
                </c:pt>
              </c:numCache>
            </c:numRef>
          </c:val>
        </c:ser>
        <c:ser>
          <c:idx val="1"/>
          <c:order val="1"/>
          <c:tx>
            <c:strRef>
              <c:f>'BAJAS-DEF uni'!$A$11:$A$14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2"/>
              <c:layout>
                <c:manualLayout>
                  <c:x val="3.53904028194168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3.53904028194168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3.5390402819416846E-3"/>
                  <c:y val="-6.565128575666531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('BAJAS-DEF uni'!$C$4:$O$4,'BAJAS-DEF uni'!$P$4)</c:f>
              <c:numCache>
                <c:formatCode>General</c:formatCode>
                <c:ptCount val="14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('BAJAS-DEF uni'!$C$14:$O$14,'BAJAS-DEF uni'!$P$14)</c:f>
              <c:numCache>
                <c:formatCode>General</c:formatCode>
                <c:ptCount val="14"/>
                <c:pt idx="4">
                  <c:v>1</c:v>
                </c:pt>
                <c:pt idx="5">
                  <c:v>3</c:v>
                </c:pt>
                <c:pt idx="6">
                  <c:v>12</c:v>
                </c:pt>
                <c:pt idx="7">
                  <c:v>17</c:v>
                </c:pt>
                <c:pt idx="8">
                  <c:v>12</c:v>
                </c:pt>
                <c:pt idx="9">
                  <c:v>16</c:v>
                </c:pt>
                <c:pt idx="10">
                  <c:v>23</c:v>
                </c:pt>
                <c:pt idx="11">
                  <c:v>27</c:v>
                </c:pt>
                <c:pt idx="12">
                  <c:v>19</c:v>
                </c:pt>
                <c:pt idx="13">
                  <c:v>32</c:v>
                </c:pt>
              </c:numCache>
            </c:numRef>
          </c:val>
        </c:ser>
        <c:ser>
          <c:idx val="2"/>
          <c:order val="2"/>
          <c:tx>
            <c:strRef>
              <c:f>'BAJAS-DEF uni'!$A$16:$A$19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0780805638833693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3085604229125274E-3"/>
                  <c:y val="-6.565128575666531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0780805638833693E-3"/>
                  <c:y val="6.565128575666531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7.0780805638833693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('BAJAS-DEF uni'!$C$4:$O$4,'BAJAS-DEF uni'!$P$4)</c:f>
              <c:numCache>
                <c:formatCode>General</c:formatCode>
                <c:ptCount val="14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('BAJAS-DEF uni'!$C$19:$O$19,'BAJAS-DEF uni'!$P$19)</c:f>
              <c:numCache>
                <c:formatCode>General</c:formatCode>
                <c:ptCount val="14"/>
                <c:pt idx="0">
                  <c:v>319</c:v>
                </c:pt>
                <c:pt idx="1">
                  <c:v>337</c:v>
                </c:pt>
                <c:pt idx="2">
                  <c:v>302</c:v>
                </c:pt>
                <c:pt idx="3">
                  <c:v>245</c:v>
                </c:pt>
                <c:pt idx="4">
                  <c:v>262</c:v>
                </c:pt>
                <c:pt idx="5">
                  <c:v>293</c:v>
                </c:pt>
                <c:pt idx="6">
                  <c:v>295</c:v>
                </c:pt>
                <c:pt idx="7">
                  <c:v>285</c:v>
                </c:pt>
                <c:pt idx="8">
                  <c:v>229</c:v>
                </c:pt>
                <c:pt idx="9">
                  <c:v>253</c:v>
                </c:pt>
                <c:pt idx="10">
                  <c:v>269</c:v>
                </c:pt>
                <c:pt idx="11">
                  <c:v>234</c:v>
                </c:pt>
                <c:pt idx="12">
                  <c:v>192</c:v>
                </c:pt>
                <c:pt idx="13">
                  <c:v>256</c:v>
                </c:pt>
              </c:numCache>
            </c:numRef>
          </c:val>
        </c:ser>
        <c:ser>
          <c:idx val="3"/>
          <c:order val="3"/>
          <c:tx>
            <c:strRef>
              <c:f>'BAJAS-DEF uni'!$A$21:$A$24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8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4">
                        <a:lumMod val="20000"/>
                        <a:lumOff val="8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('BAJAS-DEF uni'!$C$4:$O$4,'BAJAS-DEF uni'!$P$4)</c:f>
              <c:numCache>
                <c:formatCode>General</c:formatCode>
                <c:ptCount val="14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('BAJAS-DEF uni'!$C$24:$O$24,'BAJAS-DEF uni'!$P$24)</c:f>
              <c:numCache>
                <c:formatCode>General</c:formatCode>
                <c:ptCount val="14"/>
                <c:pt idx="9">
                  <c:v>1</c:v>
                </c:pt>
                <c:pt idx="10">
                  <c:v>2</c:v>
                </c:pt>
                <c:pt idx="11">
                  <c:v>9</c:v>
                </c:pt>
                <c:pt idx="12">
                  <c:v>14</c:v>
                </c:pt>
                <c:pt idx="13">
                  <c:v>16</c:v>
                </c:pt>
              </c:numCache>
            </c:numRef>
          </c:val>
        </c:ser>
        <c:ser>
          <c:idx val="4"/>
          <c:order val="4"/>
          <c:tx>
            <c:strRef>
              <c:f>'BAJAS-DEF uni'!$A$26:$A$29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('BAJAS-DEF uni'!$C$4:$O$4,'BAJAS-DEF uni'!$P$4)</c:f>
              <c:numCache>
                <c:formatCode>General</c:formatCode>
                <c:ptCount val="14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('BAJAS-DEF uni'!$C$29:$O$29,'BAJAS-DEF uni'!$P$29)</c:f>
              <c:numCache>
                <c:formatCode>General</c:formatCode>
                <c:ptCount val="14"/>
                <c:pt idx="0">
                  <c:v>201</c:v>
                </c:pt>
                <c:pt idx="1">
                  <c:v>205</c:v>
                </c:pt>
                <c:pt idx="2">
                  <c:v>240</c:v>
                </c:pt>
                <c:pt idx="3">
                  <c:v>214</c:v>
                </c:pt>
                <c:pt idx="4">
                  <c:v>177</c:v>
                </c:pt>
                <c:pt idx="5">
                  <c:v>242</c:v>
                </c:pt>
                <c:pt idx="6">
                  <c:v>207</c:v>
                </c:pt>
                <c:pt idx="7">
                  <c:v>204</c:v>
                </c:pt>
                <c:pt idx="8">
                  <c:v>228</c:v>
                </c:pt>
                <c:pt idx="9">
                  <c:v>226</c:v>
                </c:pt>
                <c:pt idx="10">
                  <c:v>237</c:v>
                </c:pt>
                <c:pt idx="11">
                  <c:v>238</c:v>
                </c:pt>
                <c:pt idx="12">
                  <c:v>209</c:v>
                </c:pt>
                <c:pt idx="13">
                  <c:v>219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91678592"/>
        <c:axId val="91680128"/>
        <c:axId val="0"/>
      </c:bar3DChart>
      <c:catAx>
        <c:axId val="9167859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91680128"/>
        <c:crosses val="autoZero"/>
        <c:auto val="1"/>
        <c:lblAlgn val="ctr"/>
        <c:lblOffset val="100"/>
        <c:noMultiLvlLbl val="0"/>
      </c:catAx>
      <c:valAx>
        <c:axId val="916801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16785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79256939160884E-2"/>
          <c:y val="0.93913430993209979"/>
          <c:w val="0.83696395096754084"/>
          <c:h val="3.6174302303990206E-2"/>
        </c:manualLayout>
      </c:layout>
      <c:overlay val="0"/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BAJAS REGLAMENTARIAS  DE LICENCIATURA 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  <c:spPr>
        <a:noFill/>
        <a:effectLst>
          <a:outerShdw blurRad="76200" dist="12700" dir="8100000" sy="-23000" kx="800400" algn="br" rotWithShape="0">
            <a:prstClr val="black">
              <a:alpha val="20000"/>
            </a:prstClr>
          </a:outerShdw>
        </a:effectLst>
      </c:spPr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'BAJAS-REG uni'!$A$6:$A$9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84760070485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8.84760070485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8.84760070485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8.8476007048542121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84760070485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8.8476007048542121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84760070485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7.0780805638833693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('BAJAS-REG uni'!$C$4:$O$4,'BAJAS-REG uni'!$P$4)</c:f>
              <c:numCache>
                <c:formatCode>General</c:formatCode>
                <c:ptCount val="14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'BAJAS-REG uni'!$C$9:$P$9</c:f>
              <c:numCache>
                <c:formatCode>#,##0</c:formatCode>
                <c:ptCount val="14"/>
                <c:pt idx="0">
                  <c:v>1717</c:v>
                </c:pt>
                <c:pt idx="1">
                  <c:v>1610</c:v>
                </c:pt>
                <c:pt idx="2">
                  <c:v>1626</c:v>
                </c:pt>
                <c:pt idx="3">
                  <c:v>1507</c:v>
                </c:pt>
                <c:pt idx="4">
                  <c:v>1743</c:v>
                </c:pt>
                <c:pt idx="5">
                  <c:v>1469</c:v>
                </c:pt>
                <c:pt idx="6">
                  <c:v>1569</c:v>
                </c:pt>
                <c:pt idx="7">
                  <c:v>1534</c:v>
                </c:pt>
                <c:pt idx="8">
                  <c:v>1526</c:v>
                </c:pt>
                <c:pt idx="9">
                  <c:v>1391</c:v>
                </c:pt>
                <c:pt idx="10">
                  <c:v>1294</c:v>
                </c:pt>
                <c:pt idx="11">
                  <c:v>1270</c:v>
                </c:pt>
                <c:pt idx="12">
                  <c:v>1575</c:v>
                </c:pt>
                <c:pt idx="13">
                  <c:v>1494</c:v>
                </c:pt>
              </c:numCache>
            </c:numRef>
          </c:val>
        </c:ser>
        <c:ser>
          <c:idx val="1"/>
          <c:order val="1"/>
          <c:tx>
            <c:strRef>
              <c:f>'BAJAS-REG uni'!$A$11:$A$14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2"/>
              <c:layout>
                <c:manualLayout>
                  <c:x val="9.1648670498466166E-3"/>
                  <c:y val="-5.0987890376035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7.7583972889464763E-3"/>
                  <c:y val="-2.54939451880178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5.308592755019598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0571336810746759E-2"/>
                  <c:y val="-2.54939451880178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0934471798620109E-2"/>
                  <c:y val="-7.64818355640535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48455651904271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8.121532276819828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9.84528832630098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('BAJAS-REG uni'!$C$4:$O$4,'BAJAS-REG uni'!$P$4)</c:f>
              <c:numCache>
                <c:formatCode>General</c:formatCode>
                <c:ptCount val="14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'BAJAS-REG uni'!$C$14:$P$14</c:f>
              <c:numCache>
                <c:formatCode>#,##0</c:formatCode>
                <c:ptCount val="14"/>
                <c:pt idx="4">
                  <c:v>3</c:v>
                </c:pt>
                <c:pt idx="5">
                  <c:v>5</c:v>
                </c:pt>
                <c:pt idx="6">
                  <c:v>10</c:v>
                </c:pt>
                <c:pt idx="7">
                  <c:v>12</c:v>
                </c:pt>
                <c:pt idx="8">
                  <c:v>8</c:v>
                </c:pt>
                <c:pt idx="9">
                  <c:v>2</c:v>
                </c:pt>
                <c:pt idx="11">
                  <c:v>3</c:v>
                </c:pt>
                <c:pt idx="12">
                  <c:v>2</c:v>
                </c:pt>
                <c:pt idx="13">
                  <c:v>73</c:v>
                </c:pt>
              </c:numCache>
            </c:numRef>
          </c:val>
        </c:ser>
        <c:ser>
          <c:idx val="2"/>
          <c:order val="2"/>
          <c:tx>
            <c:strRef>
              <c:f>'BAJAS-REG uni'!$A$16:$A$19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0780805638833693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3085604229125274E-3"/>
                  <c:y val="-6.565128575666531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0780805638833693E-3"/>
                  <c:y val="6.565128575666531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7.0780805638833693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('BAJAS-REG uni'!$C$4:$O$4,'BAJAS-REG uni'!$P$4)</c:f>
              <c:numCache>
                <c:formatCode>General</c:formatCode>
                <c:ptCount val="14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'BAJAS-REG uni'!$C$19:$P$19</c:f>
              <c:numCache>
                <c:formatCode>#,##0</c:formatCode>
                <c:ptCount val="14"/>
                <c:pt idx="0">
                  <c:v>1591</c:v>
                </c:pt>
                <c:pt idx="1">
                  <c:v>1212</c:v>
                </c:pt>
                <c:pt idx="2">
                  <c:v>1315</c:v>
                </c:pt>
                <c:pt idx="3">
                  <c:v>1586</c:v>
                </c:pt>
                <c:pt idx="4">
                  <c:v>1794</c:v>
                </c:pt>
                <c:pt idx="5">
                  <c:v>1639</c:v>
                </c:pt>
                <c:pt idx="6">
                  <c:v>1567</c:v>
                </c:pt>
                <c:pt idx="7">
                  <c:v>1435</c:v>
                </c:pt>
                <c:pt idx="8">
                  <c:v>1164</c:v>
                </c:pt>
                <c:pt idx="9">
                  <c:v>1005</c:v>
                </c:pt>
                <c:pt idx="10">
                  <c:v>1048</c:v>
                </c:pt>
                <c:pt idx="11">
                  <c:v>930</c:v>
                </c:pt>
                <c:pt idx="12">
                  <c:v>1064</c:v>
                </c:pt>
                <c:pt idx="13">
                  <c:v>1118</c:v>
                </c:pt>
              </c:numCache>
            </c:numRef>
          </c:val>
        </c:ser>
        <c:ser>
          <c:idx val="3"/>
          <c:order val="3"/>
          <c:tx>
            <c:strRef>
              <c:f>'BAJAS-REG uni'!$A$21:$A$24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8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2.8955529431281699E-2"/>
                  <c:y val="-9.3240093240093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2.8955529431281699E-2"/>
                  <c:y val="-6.9930069930069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2.757669469645866E-2"/>
                  <c:y val="-9.3240093240093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('BAJAS-REG uni'!$C$4:$O$4,'BAJAS-REG uni'!$P$4)</c:f>
              <c:numCache>
                <c:formatCode>General</c:formatCode>
                <c:ptCount val="14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'BAJAS-REG uni'!$C$24:$P$24</c:f>
              <c:numCache>
                <c:formatCode>#,##0</c:formatCode>
                <c:ptCount val="14"/>
                <c:pt idx="9">
                  <c:v>3</c:v>
                </c:pt>
                <c:pt idx="11">
                  <c:v>7</c:v>
                </c:pt>
                <c:pt idx="12">
                  <c:v>6</c:v>
                </c:pt>
              </c:numCache>
            </c:numRef>
          </c:val>
        </c:ser>
        <c:ser>
          <c:idx val="4"/>
          <c:order val="4"/>
          <c:tx>
            <c:strRef>
              <c:f>'BAJAS-REG uni'!$A$26:$A$29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7.0780805638833693E-3"/>
                  <c:y val="-3.28256428783326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8476007048542121E-3"/>
                  <c:y val="-3.28256428783326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5.3085604229125274E-3"/>
                  <c:y val="3.28256428783326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5.3085604229125274E-3"/>
                  <c:y val="3.28256428783326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1.061712084582505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('BAJAS-REG uni'!$C$4:$O$4,'BAJAS-REG uni'!$P$4)</c:f>
              <c:numCache>
                <c:formatCode>General</c:formatCode>
                <c:ptCount val="14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'BAJAS-REG uni'!$C$29:$P$29</c:f>
              <c:numCache>
                <c:formatCode>#,##0</c:formatCode>
                <c:ptCount val="14"/>
                <c:pt idx="0">
                  <c:v>1340</c:v>
                </c:pt>
                <c:pt idx="1">
                  <c:v>1199</c:v>
                </c:pt>
                <c:pt idx="2">
                  <c:v>1121</c:v>
                </c:pt>
                <c:pt idx="3">
                  <c:v>1225</c:v>
                </c:pt>
                <c:pt idx="4">
                  <c:v>1148</c:v>
                </c:pt>
                <c:pt idx="5">
                  <c:v>1228</c:v>
                </c:pt>
                <c:pt idx="6">
                  <c:v>1281</c:v>
                </c:pt>
                <c:pt idx="7">
                  <c:v>1306</c:v>
                </c:pt>
                <c:pt idx="8">
                  <c:v>1338</c:v>
                </c:pt>
                <c:pt idx="9">
                  <c:v>1207</c:v>
                </c:pt>
                <c:pt idx="10">
                  <c:v>1190</c:v>
                </c:pt>
                <c:pt idx="11">
                  <c:v>1007</c:v>
                </c:pt>
                <c:pt idx="12">
                  <c:v>1115</c:v>
                </c:pt>
                <c:pt idx="13">
                  <c:v>1108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00001664"/>
        <c:axId val="100003200"/>
        <c:axId val="0"/>
      </c:bar3DChart>
      <c:catAx>
        <c:axId val="10000166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100003200"/>
        <c:crosses val="autoZero"/>
        <c:auto val="1"/>
        <c:lblAlgn val="ctr"/>
        <c:lblOffset val="100"/>
        <c:noMultiLvlLbl val="0"/>
      </c:catAx>
      <c:valAx>
        <c:axId val="10000320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00001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79256939160884E-2"/>
          <c:y val="0.93913430993209979"/>
          <c:w val="0.83696395096754084"/>
          <c:h val="3.6174302303990206E-2"/>
        </c:manualLayout>
      </c:layout>
      <c:overlay val="0"/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>
      <a:bevelB w="165100" prst="coolSlant"/>
    </a:sp3d>
  </c:sp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ALUMNOS QUE REGISTRARON ACTIVIDAD ACADÉMICA A NIVEL LICENCIATURA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3994910941475827E-2"/>
          <c:y val="0.10014235530154704"/>
          <c:w val="0.97201017811704837"/>
          <c:h val="0.78276821261165042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'ACTIVOS uni'!$A$7:$A$10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99887620333397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9992508022226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9992508022226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8.9988762033339775E-3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9988762033339775E-3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8.99887620333397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1.049857080840151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5.722461302700186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8.58369195405054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ln>
                <a:noFill/>
              </a:ln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'ACTIVOS uni'!$C$5:$O$5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('ACTIVOS uni'!$C$10:$M$10,'ACTIVOS uni'!$N$10,'ACTIVOS uni'!$O$10)</c:f>
              <c:numCache>
                <c:formatCode>#,##0</c:formatCode>
                <c:ptCount val="13"/>
                <c:pt idx="0">
                  <c:v>14809</c:v>
                </c:pt>
                <c:pt idx="1">
                  <c:v>15053</c:v>
                </c:pt>
                <c:pt idx="2">
                  <c:v>15326</c:v>
                </c:pt>
                <c:pt idx="3">
                  <c:v>15516</c:v>
                </c:pt>
                <c:pt idx="4">
                  <c:v>15714</c:v>
                </c:pt>
                <c:pt idx="5">
                  <c:v>16179</c:v>
                </c:pt>
                <c:pt idx="6">
                  <c:v>16371</c:v>
                </c:pt>
                <c:pt idx="7">
                  <c:v>17035</c:v>
                </c:pt>
                <c:pt idx="8">
                  <c:v>17391</c:v>
                </c:pt>
                <c:pt idx="9">
                  <c:v>17855</c:v>
                </c:pt>
                <c:pt idx="10">
                  <c:v>18138</c:v>
                </c:pt>
                <c:pt idx="11">
                  <c:v>17966</c:v>
                </c:pt>
                <c:pt idx="12">
                  <c:v>17808</c:v>
                </c:pt>
              </c:numCache>
            </c:numRef>
          </c:val>
        </c:ser>
        <c:ser>
          <c:idx val="3"/>
          <c:order val="1"/>
          <c:tx>
            <c:strRef>
              <c:f>'ACTIVOS uni'!$A$12:$A$15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2"/>
              <c:layout>
                <c:manualLayout>
                  <c:x val="8.9988762033339775E-3"/>
                  <c:y val="-9.58083470947816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9992508022227069E-3"/>
                  <c:y val="-9.58083470947816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4994381016669888E-3"/>
                  <c:y val="-9.58083470947816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4.7070623620991021E-3"/>
                  <c:y val="-9.58086816283262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4.7070623620991021E-3"/>
                  <c:y val="-9.58086816283262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5.9992508022226514E-3"/>
                  <c:y val="-9.58083470947816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5.9992508022226514E-3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5.99925080222276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5.722461302700396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5.72246130270029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'ACTIVOS uni'!$C$5:$O$5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('ACTIVOS uni'!$C$15:$M$15,'ACTIVOS uni'!$N$15,'ACTIVOS uni'!$O$15)</c:f>
              <c:numCache>
                <c:formatCode>#,##0</c:formatCode>
                <c:ptCount val="13"/>
                <c:pt idx="2">
                  <c:v>203</c:v>
                </c:pt>
                <c:pt idx="3">
                  <c:v>287</c:v>
                </c:pt>
                <c:pt idx="4">
                  <c:v>562</c:v>
                </c:pt>
                <c:pt idx="5">
                  <c:v>871</c:v>
                </c:pt>
                <c:pt idx="6">
                  <c:v>1054</c:v>
                </c:pt>
                <c:pt idx="7">
                  <c:v>1205</c:v>
                </c:pt>
                <c:pt idx="8">
                  <c:v>1388</c:v>
                </c:pt>
                <c:pt idx="9">
                  <c:v>1528</c:v>
                </c:pt>
                <c:pt idx="10">
                  <c:v>1654</c:v>
                </c:pt>
                <c:pt idx="11">
                  <c:v>2009</c:v>
                </c:pt>
                <c:pt idx="12">
                  <c:v>2326</c:v>
                </c:pt>
              </c:numCache>
            </c:numRef>
          </c:val>
        </c:ser>
        <c:ser>
          <c:idx val="1"/>
          <c:order val="2"/>
          <c:tx>
            <c:strRef>
              <c:f>'ACTIVOS uni'!$A$17:$A$20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99887620333397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9992508022226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7.499063502778314E-3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499063502778314E-3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9988762033339775E-3"/>
                  <c:y val="3.19361156982599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8.99887620333397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1.0498570808401518E-2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8.58369195405054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'ACTIVOS uni'!$C$5:$O$5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('ACTIVOS uni'!$C$20:$M$20,'ACTIVOS uni'!$N$20,'ACTIVOS uni'!$O$20)</c:f>
              <c:numCache>
                <c:formatCode>#,##0</c:formatCode>
                <c:ptCount val="13"/>
                <c:pt idx="0">
                  <c:v>12203</c:v>
                </c:pt>
                <c:pt idx="1">
                  <c:v>12093</c:v>
                </c:pt>
                <c:pt idx="2">
                  <c:v>11948</c:v>
                </c:pt>
                <c:pt idx="3">
                  <c:v>12096</c:v>
                </c:pt>
                <c:pt idx="4">
                  <c:v>12200</c:v>
                </c:pt>
                <c:pt idx="5">
                  <c:v>12545</c:v>
                </c:pt>
                <c:pt idx="6">
                  <c:v>12769</c:v>
                </c:pt>
                <c:pt idx="7">
                  <c:v>13388</c:v>
                </c:pt>
                <c:pt idx="8">
                  <c:v>13841</c:v>
                </c:pt>
                <c:pt idx="9">
                  <c:v>14547</c:v>
                </c:pt>
                <c:pt idx="10">
                  <c:v>15315</c:v>
                </c:pt>
                <c:pt idx="11">
                  <c:v>15582</c:v>
                </c:pt>
                <c:pt idx="12">
                  <c:v>15677</c:v>
                </c:pt>
              </c:numCache>
            </c:numRef>
          </c:val>
        </c:ser>
        <c:ser>
          <c:idx val="4"/>
          <c:order val="3"/>
          <c:tx>
            <c:strRef>
              <c:f>'ACTIVOS uni'!$A$22:$A$25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</c:spPr>
          <c:invertIfNegative val="0"/>
          <c:dLbls>
            <c:dLbl>
              <c:idx val="8"/>
              <c:layout>
                <c:manualLayout>
                  <c:x val="0"/>
                  <c:y val="3.19310863887017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2.9996254011113257E-3"/>
                  <c:y val="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4.29184597702521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'ACTIVOS uni'!$C$5:$O$5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('ACTIVOS uni'!$C$25:$M$25,'ACTIVOS uni'!$N$25,'ACTIVOS uni'!$O$25)</c:f>
              <c:numCache>
                <c:formatCode>#,##0</c:formatCode>
                <c:ptCount val="13"/>
                <c:pt idx="8">
                  <c:v>173</c:v>
                </c:pt>
                <c:pt idx="9">
                  <c:v>228</c:v>
                </c:pt>
                <c:pt idx="10">
                  <c:v>377</c:v>
                </c:pt>
                <c:pt idx="11">
                  <c:v>458</c:v>
                </c:pt>
                <c:pt idx="12">
                  <c:v>594</c:v>
                </c:pt>
              </c:numCache>
            </c:numRef>
          </c:val>
        </c:ser>
        <c:ser>
          <c:idx val="2"/>
          <c:order val="4"/>
          <c:tx>
            <c:strRef>
              <c:f>'ACTIVOS uni'!$A$27:$A$30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8.99887620333397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994381016669888E-3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4994381016669888E-3"/>
                  <c:y val="2.927443454263956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4.499438101666988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5.9992508022226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5.9992508022226514E-3"/>
                  <c:y val="-6.38722313965213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8.99887620333397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7.49906350277820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5.7224613027003967E-3"/>
                  <c:y val="-2.636909193242219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'ACTIVOS uni'!$C$5:$O$5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('ACTIVOS uni'!$C$30:$M$30,'ACTIVOS uni'!$N$30,'ACTIVOS uni'!$O$30)</c:f>
              <c:numCache>
                <c:formatCode>#,##0</c:formatCode>
                <c:ptCount val="13"/>
                <c:pt idx="0">
                  <c:v>15223</c:v>
                </c:pt>
                <c:pt idx="1">
                  <c:v>16100</c:v>
                </c:pt>
                <c:pt idx="2">
                  <c:v>17019</c:v>
                </c:pt>
                <c:pt idx="3">
                  <c:v>17549</c:v>
                </c:pt>
                <c:pt idx="4">
                  <c:v>17791</c:v>
                </c:pt>
                <c:pt idx="5">
                  <c:v>17791</c:v>
                </c:pt>
                <c:pt idx="6">
                  <c:v>17149</c:v>
                </c:pt>
                <c:pt idx="7">
                  <c:v>16968</c:v>
                </c:pt>
                <c:pt idx="8">
                  <c:v>16715</c:v>
                </c:pt>
                <c:pt idx="9">
                  <c:v>16770</c:v>
                </c:pt>
                <c:pt idx="10">
                  <c:v>16975</c:v>
                </c:pt>
                <c:pt idx="11">
                  <c:v>16883</c:v>
                </c:pt>
                <c:pt idx="12">
                  <c:v>16969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shape val="cylinder"/>
        <c:axId val="99285632"/>
        <c:axId val="99320192"/>
        <c:axId val="0"/>
      </c:bar3DChart>
      <c:catAx>
        <c:axId val="9928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0"/>
            </a:pPr>
            <a:endParaRPr lang="es-MX"/>
          </a:p>
        </c:txPr>
        <c:crossAx val="99320192"/>
        <c:crosses val="autoZero"/>
        <c:auto val="1"/>
        <c:lblAlgn val="ctr"/>
        <c:lblOffset val="100"/>
        <c:noMultiLvlLbl val="0"/>
      </c:catAx>
      <c:valAx>
        <c:axId val="9932019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992856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67241634233709"/>
          <c:y val="0.92308852917590489"/>
          <c:w val="0.73355567564554536"/>
          <c:h val="5.7749801405138801E-2"/>
        </c:manualLayout>
      </c:layout>
      <c:overlay val="0"/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ESTUDIANTES QUE TERMINARON ESTUDIOS DE LICENCIATURA</a:t>
            </a: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  <c:spPr>
        <a:noFill/>
        <a:effectLst>
          <a:outerShdw blurRad="76200" dist="12700" dir="8100000" sy="-23000" kx="800400" algn="br" rotWithShape="0">
            <a:prstClr val="black">
              <a:alpha val="20000"/>
            </a:prstClr>
          </a:outerShdw>
        </a:effectLst>
      </c:spPr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'EGRESO uni'!$AP$67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101600" dist="12700" dir="8100000" sx="124000" sy="124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 uni'!$AP$45:$AP$61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('EGRESO uni'!$F$9,'EGRESO uni'!$J$9,'EGRESO uni'!$N$9,'EGRESO uni'!$R$9,'EGRESO uni'!$V$9,'EGRESO uni'!$Z$9,'EGRESO uni'!$AD$9,'EGRESO uni'!$AH$9,'EGRESO uni'!$AL$9,'EGRESO uni'!$AP$9,'EGRESO uni'!$AT$9,'EGRESO uni'!$AX$9,'EGRESO uni'!$BB$9,'EGRESO uni'!$BF$9,'EGRESO uni'!$BJ$9,'EGRESO uni'!$BN$9,'EGRESO uni'!$BR$9)</c:f>
              <c:numCache>
                <c:formatCode>#,##0</c:formatCode>
                <c:ptCount val="17"/>
                <c:pt idx="0">
                  <c:v>1409</c:v>
                </c:pt>
                <c:pt idx="1">
                  <c:v>1366</c:v>
                </c:pt>
                <c:pt idx="2">
                  <c:v>1296</c:v>
                </c:pt>
                <c:pt idx="3">
                  <c:v>1258</c:v>
                </c:pt>
                <c:pt idx="4">
                  <c:v>1467</c:v>
                </c:pt>
                <c:pt idx="5">
                  <c:v>1278</c:v>
                </c:pt>
                <c:pt idx="6">
                  <c:v>1291</c:v>
                </c:pt>
                <c:pt idx="7">
                  <c:v>1247</c:v>
                </c:pt>
                <c:pt idx="8">
                  <c:v>1196</c:v>
                </c:pt>
                <c:pt idx="9">
                  <c:v>1193</c:v>
                </c:pt>
                <c:pt idx="10">
                  <c:v>1214</c:v>
                </c:pt>
                <c:pt idx="11">
                  <c:v>1192</c:v>
                </c:pt>
                <c:pt idx="12">
                  <c:v>1085</c:v>
                </c:pt>
                <c:pt idx="13">
                  <c:v>1139</c:v>
                </c:pt>
                <c:pt idx="14">
                  <c:v>1579</c:v>
                </c:pt>
                <c:pt idx="15">
                  <c:v>1480</c:v>
                </c:pt>
                <c:pt idx="16">
                  <c:v>1499</c:v>
                </c:pt>
              </c:numCache>
            </c:numRef>
          </c:val>
        </c:ser>
        <c:ser>
          <c:idx val="1"/>
          <c:order val="1"/>
          <c:tx>
            <c:strRef>
              <c:f>'EGRESO uni'!$AP$68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 uni'!$AP$45:$AP$61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('EGRESO uni'!$F$14,'EGRESO uni'!$J$14,'EGRESO uni'!$N$14,'EGRESO uni'!$R$14,'EGRESO uni'!$V$14,'EGRESO uni'!$Z$14,'EGRESO uni'!$AD$14,'EGRESO uni'!$AH$14,'EGRESO uni'!$AL$14,'EGRESO uni'!$AP$14,'EGRESO uni'!$AT$14,'EGRESO uni'!$AX$14,'EGRESO uni'!$BB$14,'EGRESO uni'!$BF$14,'EGRESO uni'!$BJ$14,'EGRESO uni'!$BN$14,'EGRESO uni'!$BR$14)</c:f>
              <c:numCache>
                <c:formatCode>#,##0</c:formatCode>
                <c:ptCount val="17"/>
                <c:pt idx="10">
                  <c:v>67</c:v>
                </c:pt>
                <c:pt idx="11">
                  <c:v>53</c:v>
                </c:pt>
                <c:pt idx="12">
                  <c:v>94</c:v>
                </c:pt>
                <c:pt idx="13">
                  <c:v>120</c:v>
                </c:pt>
                <c:pt idx="14">
                  <c:v>79</c:v>
                </c:pt>
                <c:pt idx="15">
                  <c:v>86</c:v>
                </c:pt>
                <c:pt idx="16">
                  <c:v>81</c:v>
                </c:pt>
              </c:numCache>
            </c:numRef>
          </c:val>
        </c:ser>
        <c:ser>
          <c:idx val="2"/>
          <c:order val="2"/>
          <c:tx>
            <c:strRef>
              <c:f>'EGRESO uni'!$AP$69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 uni'!$AP$45:$AP$61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('EGRESO uni'!$F$19,'EGRESO uni'!$J$19,'EGRESO uni'!$N$19,'EGRESO uni'!$R$19,'EGRESO uni'!$V$19,'EGRESO uni'!$Z$19,'EGRESO uni'!$AD$19,'EGRESO uni'!$AH$19,'EGRESO uni'!$AL$19,'EGRESO uni'!$AP$19,'EGRESO uni'!$AT$19,'EGRESO uni'!$AX$19,'EGRESO uni'!$BB$19,'EGRESO uni'!$BF$19,'EGRESO uni'!$BJ$19,'EGRESO uni'!$BN$19,'EGRESO uni'!$BR$19)</c:f>
              <c:numCache>
                <c:formatCode>#,##0</c:formatCode>
                <c:ptCount val="17"/>
                <c:pt idx="0">
                  <c:v>990</c:v>
                </c:pt>
                <c:pt idx="1">
                  <c:v>852</c:v>
                </c:pt>
                <c:pt idx="2">
                  <c:v>943</c:v>
                </c:pt>
                <c:pt idx="3">
                  <c:v>952</c:v>
                </c:pt>
                <c:pt idx="4">
                  <c:v>1040</c:v>
                </c:pt>
                <c:pt idx="5">
                  <c:v>1188</c:v>
                </c:pt>
                <c:pt idx="6">
                  <c:v>1097</c:v>
                </c:pt>
                <c:pt idx="7">
                  <c:v>1150</c:v>
                </c:pt>
                <c:pt idx="8">
                  <c:v>953</c:v>
                </c:pt>
                <c:pt idx="9">
                  <c:v>946</c:v>
                </c:pt>
                <c:pt idx="10">
                  <c:v>896</c:v>
                </c:pt>
                <c:pt idx="11">
                  <c:v>1089</c:v>
                </c:pt>
                <c:pt idx="12">
                  <c:v>916</c:v>
                </c:pt>
                <c:pt idx="13">
                  <c:v>1064</c:v>
                </c:pt>
                <c:pt idx="14">
                  <c:v>1185</c:v>
                </c:pt>
                <c:pt idx="15">
                  <c:v>1109</c:v>
                </c:pt>
                <c:pt idx="16">
                  <c:v>1132</c:v>
                </c:pt>
              </c:numCache>
            </c:numRef>
          </c:val>
        </c:ser>
        <c:ser>
          <c:idx val="4"/>
          <c:order val="3"/>
          <c:tx>
            <c:strRef>
              <c:f>'EGRESO uni'!$A$21:$A$24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  <a:latin typeface="+mn-lt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'EGRESO uni'!$AP$45:$AP$61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('EGRESO uni'!$F$24,'EGRESO uni'!$J$24,'EGRESO uni'!$N$24,'EGRESO uni'!$R$24,'EGRESO uni'!$V$24,'EGRESO uni'!$Z$24,'EGRESO uni'!$AD$24,'EGRESO uni'!$AH$24,'EGRESO uni'!$AL$24,'EGRESO uni'!$AP$24,'EGRESO uni'!$AT$24,'EGRESO uni'!$AX$24,'EGRESO uni'!$BB$24,'EGRESO uni'!$BF$24,'EGRESO uni'!$BJ$24,'EGRESO uni'!$BN$24,'EGRESO uni'!$BR$24)</c:f>
              <c:numCache>
                <c:formatCode>#,##0</c:formatCode>
                <c:ptCount val="17"/>
                <c:pt idx="16">
                  <c:v>75</c:v>
                </c:pt>
              </c:numCache>
            </c:numRef>
          </c:val>
        </c:ser>
        <c:ser>
          <c:idx val="3"/>
          <c:order val="4"/>
          <c:tx>
            <c:strRef>
              <c:f>'EGRESO uni'!$AP$70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 uni'!$AP$45:$AP$61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('EGRESO uni'!$F$29,'EGRESO uni'!$J$29,'EGRESO uni'!$N$29,'EGRESO uni'!$R$29,'EGRESO uni'!$V$29,'EGRESO uni'!$Z$29,'EGRESO uni'!$AD$29,'EGRESO uni'!$AH$29,'EGRESO uni'!$AL$29,'EGRESO uni'!$AP$29,'EGRESO uni'!$AT$29,'EGRESO uni'!$AX$29,'EGRESO uni'!$BB$29,'EGRESO uni'!$BF$29,'EGRESO uni'!$BJ$29,'EGRESO uni'!$BN$29,'EGRESO uni'!$BR$29)</c:f>
              <c:numCache>
                <c:formatCode>#,##0</c:formatCode>
                <c:ptCount val="17"/>
                <c:pt idx="0">
                  <c:v>2127</c:v>
                </c:pt>
                <c:pt idx="1">
                  <c:v>2344</c:v>
                </c:pt>
                <c:pt idx="2">
                  <c:v>2252</c:v>
                </c:pt>
                <c:pt idx="3">
                  <c:v>2522</c:v>
                </c:pt>
                <c:pt idx="4">
                  <c:v>2186</c:v>
                </c:pt>
                <c:pt idx="5">
                  <c:v>1979</c:v>
                </c:pt>
                <c:pt idx="6">
                  <c:v>2046</c:v>
                </c:pt>
                <c:pt idx="7">
                  <c:v>2143</c:v>
                </c:pt>
                <c:pt idx="8">
                  <c:v>2277</c:v>
                </c:pt>
                <c:pt idx="9">
                  <c:v>2718</c:v>
                </c:pt>
                <c:pt idx="10">
                  <c:v>2674</c:v>
                </c:pt>
                <c:pt idx="11">
                  <c:v>2520</c:v>
                </c:pt>
                <c:pt idx="12">
                  <c:v>2353</c:v>
                </c:pt>
                <c:pt idx="13">
                  <c:v>2351</c:v>
                </c:pt>
                <c:pt idx="14">
                  <c:v>2491</c:v>
                </c:pt>
                <c:pt idx="15">
                  <c:v>2388</c:v>
                </c:pt>
                <c:pt idx="16">
                  <c:v>2360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01073280"/>
        <c:axId val="101074816"/>
        <c:axId val="0"/>
      </c:bar3DChart>
      <c:catAx>
        <c:axId val="10107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101074816"/>
        <c:crosses val="autoZero"/>
        <c:auto val="1"/>
        <c:lblAlgn val="ctr"/>
        <c:lblOffset val="100"/>
        <c:noMultiLvlLbl val="0"/>
      </c:catAx>
      <c:valAx>
        <c:axId val="10107481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01073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45034718761422"/>
          <c:y val="0.93913430993209979"/>
          <c:w val="0.59161324713928831"/>
          <c:h val="4.9192273527950497E-2"/>
        </c:manualLayout>
      </c:layout>
      <c:overlay val="0"/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CD032E"/>
                </a:solidFill>
              </a:defRPr>
            </a:pPr>
            <a:r>
              <a:rPr lang="es-MX" sz="1200" b="0">
                <a:solidFill>
                  <a:srgbClr val="CD032E"/>
                </a:solidFill>
              </a:rPr>
              <a:t>Azcapotzalco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'EGRESO uni'!$B$6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D032E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0"/>
              <c:layout>
                <c:manualLayout>
                  <c:x val="-6.9411389801440376E-2"/>
                  <c:y val="4.560825245681498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uni'!$AX$6,'EGRESO uni'!$BB$6,'EGRESO uni'!$BF$6,'EGRESO uni'!$BJ$6,'EGRESO uni'!$BN$6)</c:f>
              <c:numCache>
                <c:formatCode>#,##0</c:formatCode>
                <c:ptCount val="5"/>
                <c:pt idx="0">
                  <c:v>368</c:v>
                </c:pt>
                <c:pt idx="1">
                  <c:v>404</c:v>
                </c:pt>
                <c:pt idx="2">
                  <c:v>362</c:v>
                </c:pt>
                <c:pt idx="3">
                  <c:v>522</c:v>
                </c:pt>
                <c:pt idx="4">
                  <c:v>574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'EGRESO uni'!$B$7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uni'!$AX$7,'EGRESO uni'!$BB$7,'EGRESO uni'!$BF$7,'EGRESO uni'!$BJ$7,'EGRESO uni'!$BN$7)</c:f>
              <c:numCache>
                <c:formatCode>#,##0</c:formatCode>
                <c:ptCount val="5"/>
                <c:pt idx="0">
                  <c:v>503</c:v>
                </c:pt>
                <c:pt idx="1">
                  <c:v>439</c:v>
                </c:pt>
                <c:pt idx="2">
                  <c:v>524</c:v>
                </c:pt>
                <c:pt idx="3">
                  <c:v>724</c:v>
                </c:pt>
                <c:pt idx="4">
                  <c:v>561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'EGRESO uni'!$B$8</c:f>
              <c:strCache>
                <c:ptCount val="1"/>
                <c:pt idx="0">
                  <c:v>CAD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uni'!$AX$8,'EGRESO uni'!$BB$8,'EGRESO uni'!$BF$8,'EGRESO uni'!$BJ$8,'EGRESO uni'!$BN$8)</c:f>
              <c:numCache>
                <c:formatCode>#,##0</c:formatCode>
                <c:ptCount val="5"/>
                <c:pt idx="0">
                  <c:v>321</c:v>
                </c:pt>
                <c:pt idx="1">
                  <c:v>242</c:v>
                </c:pt>
                <c:pt idx="2">
                  <c:v>253</c:v>
                </c:pt>
                <c:pt idx="3">
                  <c:v>333</c:v>
                </c:pt>
                <c:pt idx="4">
                  <c:v>345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401344"/>
        <c:axId val="101402880"/>
      </c:lineChart>
      <c:catAx>
        <c:axId val="10140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1402880"/>
        <c:crosses val="autoZero"/>
        <c:auto val="1"/>
        <c:lblAlgn val="ctr"/>
        <c:lblOffset val="100"/>
        <c:noMultiLvlLbl val="0"/>
      </c:catAx>
      <c:valAx>
        <c:axId val="10140288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0140134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F08200"/>
                </a:solidFill>
              </a:defRPr>
            </a:pPr>
            <a:r>
              <a:rPr lang="es-MX" sz="1200" b="0">
                <a:solidFill>
                  <a:srgbClr val="F08200"/>
                </a:solidFill>
              </a:rPr>
              <a:t>Cuajimalpa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'EGRESO uni'!$B$11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2"/>
              <c:layout>
                <c:manualLayout>
                  <c:x val="-3.401041757197569E-2"/>
                  <c:y val="-3.04006185273352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uni'!$AX$11,'EGRESO uni'!$BB$11,'EGRESO uni'!$BF$11,'EGRESO uni'!$BJ$11,'EGRESO uni'!$BN$11)</c:f>
              <c:numCache>
                <c:formatCode>#,##0</c:formatCode>
                <c:ptCount val="5"/>
                <c:pt idx="0">
                  <c:v>28</c:v>
                </c:pt>
                <c:pt idx="1">
                  <c:v>51</c:v>
                </c:pt>
                <c:pt idx="2">
                  <c:v>54</c:v>
                </c:pt>
                <c:pt idx="3">
                  <c:v>43</c:v>
                </c:pt>
                <c:pt idx="4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'EGRESO uni'!$B$12</c:f>
              <c:strCache>
                <c:ptCount val="1"/>
                <c:pt idx="0">
                  <c:v>CCD</c:v>
                </c:pt>
              </c:strCache>
            </c:strRef>
          </c:tx>
          <c:spPr>
            <a:ln w="12700">
              <a:solidFill>
                <a:srgbClr val="F082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2"/>
              <c:layout>
                <c:manualLayout>
                  <c:x val="-3.401041757197569E-2"/>
                  <c:y val="4.1950802661295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F082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uni'!$AX$12,'EGRESO uni'!$BB$12,'EGRESO uni'!$BF$12,'EGRESO uni'!$BJ$12,'EGRESO uni'!$BN$12)</c:f>
              <c:numCache>
                <c:formatCode>#,##0</c:formatCode>
                <c:ptCount val="5"/>
                <c:pt idx="0">
                  <c:v>15</c:v>
                </c:pt>
                <c:pt idx="1">
                  <c:v>32</c:v>
                </c:pt>
                <c:pt idx="2">
                  <c:v>48</c:v>
                </c:pt>
                <c:pt idx="3">
                  <c:v>21</c:v>
                </c:pt>
                <c:pt idx="4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'EGRESO uni'!$B$13</c:f>
              <c:strCache>
                <c:ptCount val="1"/>
                <c:pt idx="0">
                  <c:v>CNI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7.5298071184810508E-2"/>
                  <c:y val="2.1278968035972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921323576274817E-2"/>
                  <c:y val="4.711876131762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9977982884589758E-2"/>
                  <c:y val="5.2286719973956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1751345651330008E-2"/>
                  <c:y val="4.711876131762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tx1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uni'!$AX$13,'EGRESO uni'!$BB$13,'EGRESO uni'!$BF$13,'EGRESO uni'!$BJ$13,'EGRESO uni'!$BN$13)</c:f>
              <c:numCache>
                <c:formatCode>#,##0</c:formatCode>
                <c:ptCount val="5"/>
                <c:pt idx="0">
                  <c:v>10</c:v>
                </c:pt>
                <c:pt idx="1">
                  <c:v>11</c:v>
                </c:pt>
                <c:pt idx="2">
                  <c:v>18</c:v>
                </c:pt>
                <c:pt idx="3">
                  <c:v>15</c:v>
                </c:pt>
                <c:pt idx="4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459072"/>
        <c:axId val="101460608"/>
      </c:lineChart>
      <c:catAx>
        <c:axId val="10145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1460608"/>
        <c:crosses val="autoZero"/>
        <c:auto val="1"/>
        <c:lblAlgn val="ctr"/>
        <c:lblOffset val="100"/>
        <c:noMultiLvlLbl val="0"/>
      </c:catAx>
      <c:valAx>
        <c:axId val="10146060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0145907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57A519"/>
                </a:solidFill>
              </a:defRPr>
            </a:pPr>
            <a:r>
              <a:rPr lang="es-MX" sz="1200" b="0">
                <a:solidFill>
                  <a:srgbClr val="57A519"/>
                </a:solidFill>
              </a:rPr>
              <a:t>Iztapalapa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'EGRESO uni'!$B$16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uni'!$AX$16,'EGRESO uni'!$BB$16,'EGRESO uni'!$BF$16,'EGRESO uni'!$BJ$16,'EGRESO uni'!$BN$16)</c:f>
              <c:numCache>
                <c:formatCode>#,##0</c:formatCode>
                <c:ptCount val="5"/>
                <c:pt idx="0">
                  <c:v>239</c:v>
                </c:pt>
                <c:pt idx="1">
                  <c:v>179</c:v>
                </c:pt>
                <c:pt idx="2">
                  <c:v>202</c:v>
                </c:pt>
                <c:pt idx="3">
                  <c:v>163</c:v>
                </c:pt>
                <c:pt idx="4">
                  <c:v>212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'EGRESO uni'!$B$17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3"/>
              <c:layout>
                <c:manualLayout>
                  <c:x val="-5.4768153980752403E-2"/>
                  <c:y val="4.07365358399967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uni'!$AX$17,'EGRESO uni'!$BB$17,'EGRESO uni'!$BF$17,'EGRESO uni'!$BJ$17,'EGRESO uni'!$BN$17)</c:f>
              <c:numCache>
                <c:formatCode>#,##0</c:formatCode>
                <c:ptCount val="5"/>
                <c:pt idx="0">
                  <c:v>547</c:v>
                </c:pt>
                <c:pt idx="1">
                  <c:v>482</c:v>
                </c:pt>
                <c:pt idx="2">
                  <c:v>565</c:v>
                </c:pt>
                <c:pt idx="3">
                  <c:v>668</c:v>
                </c:pt>
                <c:pt idx="4">
                  <c:v>552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'EGRESO uni'!$B$18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3"/>
              <c:layout>
                <c:manualLayout>
                  <c:x val="-5.4768153980752403E-2"/>
                  <c:y val="-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uni'!$AX$18,'EGRESO uni'!$BB$18,'EGRESO uni'!$BF$18,'EGRESO uni'!$BJ$18,'EGRESO uni'!$BN$18)</c:f>
              <c:numCache>
                <c:formatCode>#,##0</c:formatCode>
                <c:ptCount val="5"/>
                <c:pt idx="0">
                  <c:v>303</c:v>
                </c:pt>
                <c:pt idx="1">
                  <c:v>255</c:v>
                </c:pt>
                <c:pt idx="2">
                  <c:v>297</c:v>
                </c:pt>
                <c:pt idx="3">
                  <c:v>354</c:v>
                </c:pt>
                <c:pt idx="4">
                  <c:v>345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517184"/>
        <c:axId val="101518720"/>
      </c:lineChart>
      <c:catAx>
        <c:axId val="10151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1518720"/>
        <c:crosses val="autoZero"/>
        <c:auto val="1"/>
        <c:lblAlgn val="ctr"/>
        <c:lblOffset val="100"/>
        <c:noMultiLvlLbl val="0"/>
      </c:catAx>
      <c:valAx>
        <c:axId val="10151872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0151718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0072CE"/>
                </a:solidFill>
              </a:defRPr>
            </a:pPr>
            <a:r>
              <a:rPr lang="es-MX" sz="1200" b="0">
                <a:solidFill>
                  <a:srgbClr val="0072CE"/>
                </a:solidFill>
              </a:rPr>
              <a:t>Xochimilco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'EGRESO uni'!$B$26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uni'!$AX$26,'EGRESO uni'!$BB$26,'EGRESO uni'!$BF$26,'EGRESO uni'!$BJ$26,'EGRESO uni'!$BN$26)</c:f>
              <c:numCache>
                <c:formatCode>#,##0</c:formatCode>
                <c:ptCount val="5"/>
                <c:pt idx="0">
                  <c:v>885</c:v>
                </c:pt>
                <c:pt idx="1">
                  <c:v>816</c:v>
                </c:pt>
                <c:pt idx="2">
                  <c:v>794</c:v>
                </c:pt>
                <c:pt idx="3">
                  <c:v>910</c:v>
                </c:pt>
                <c:pt idx="4">
                  <c:v>808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'EGRESO uni'!$B$27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uni'!$AX$27,'EGRESO uni'!$BB$27,'EGRESO uni'!$BF$27,'EGRESO uni'!$BJ$27,'EGRESO uni'!$BN$27)</c:f>
              <c:numCache>
                <c:formatCode>#,##0</c:formatCode>
                <c:ptCount val="5"/>
                <c:pt idx="0">
                  <c:v>1190</c:v>
                </c:pt>
                <c:pt idx="1">
                  <c:v>1160</c:v>
                </c:pt>
                <c:pt idx="2">
                  <c:v>1185</c:v>
                </c:pt>
                <c:pt idx="3">
                  <c:v>1145</c:v>
                </c:pt>
                <c:pt idx="4">
                  <c:v>1127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'EGRESO uni'!$B$28</c:f>
              <c:strCache>
                <c:ptCount val="1"/>
                <c:pt idx="0">
                  <c:v>CAD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uni'!$AX$28,'EGRESO uni'!$BB$28,'EGRESO uni'!$BF$28,'EGRESO uni'!$BJ$28,'EGRESO uni'!$BN$28)</c:f>
              <c:numCache>
                <c:formatCode>#,##0</c:formatCode>
                <c:ptCount val="5"/>
                <c:pt idx="0">
                  <c:v>445</c:v>
                </c:pt>
                <c:pt idx="1">
                  <c:v>377</c:v>
                </c:pt>
                <c:pt idx="2">
                  <c:v>372</c:v>
                </c:pt>
                <c:pt idx="3">
                  <c:v>436</c:v>
                </c:pt>
                <c:pt idx="4">
                  <c:v>453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558528"/>
        <c:axId val="101842944"/>
      </c:lineChart>
      <c:catAx>
        <c:axId val="101558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1842944"/>
        <c:crosses val="autoZero"/>
        <c:auto val="1"/>
        <c:lblAlgn val="ctr"/>
        <c:lblOffset val="100"/>
        <c:noMultiLvlLbl val="0"/>
      </c:catAx>
      <c:valAx>
        <c:axId val="10184294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01558528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ESTUDIANTES QUE TERMINARON ESTUDIOS DE LICENCIATURA GÉNERO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'egresados x gen'!$C$4</c:f>
              <c:strCache>
                <c:ptCount val="1"/>
                <c:pt idx="0">
                  <c:v>Femenino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diamond"/>
            <c:size val="5"/>
            <c:spPr>
              <a:noFill/>
              <a:ln>
                <a:solidFill>
                  <a:schemeClr val="accent5"/>
                </a:solidFill>
              </a:ln>
            </c:spPr>
          </c:marker>
          <c:dLbls>
            <c:dLbl>
              <c:idx val="0"/>
              <c:layout>
                <c:manualLayout>
                  <c:x val="-2.8723827812860085E-2"/>
                  <c:y val="4.068050849137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5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'egresados x gen'!$S$50:$S$59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('egresados x gen'!$C$37,'egresados x gen'!$F$37,'egresados x gen'!$I$37,'egresados x gen'!$L$37,'egresados x gen'!$O$37,'egresados x gen'!$R$37,'egresados x gen'!$U$37,'egresados x gen'!$X$37,'egresados x gen'!$AA$37,'egresados x gen'!$AD$37)</c:f>
              <c:numCache>
                <c:formatCode>#,##0</c:formatCode>
                <c:ptCount val="10"/>
                <c:pt idx="0">
                  <c:v>2160</c:v>
                </c:pt>
                <c:pt idx="1">
                  <c:v>2287</c:v>
                </c:pt>
                <c:pt idx="2">
                  <c:v>2556</c:v>
                </c:pt>
                <c:pt idx="3">
                  <c:v>2557</c:v>
                </c:pt>
                <c:pt idx="4">
                  <c:v>2462</c:v>
                </c:pt>
                <c:pt idx="5">
                  <c:v>2265</c:v>
                </c:pt>
                <c:pt idx="6">
                  <c:v>2462</c:v>
                </c:pt>
                <c:pt idx="7">
                  <c:v>2859</c:v>
                </c:pt>
                <c:pt idx="8">
                  <c:v>2685</c:v>
                </c:pt>
                <c:pt idx="9">
                  <c:v>2832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'egresados x gen'!$D$4</c:f>
              <c:strCache>
                <c:ptCount val="1"/>
                <c:pt idx="0">
                  <c:v>Masculino</c:v>
                </c:pt>
              </c:strCache>
            </c:strRef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quare"/>
            <c:size val="5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3.0036163635257029E-2"/>
                  <c:y val="-4.068050849137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'egresados x gen'!$S$50:$S$59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('egresados x gen'!$D$37,'egresados x gen'!$G$37,'egresados x gen'!$J$37,'egresados x gen'!$M$37,'egresados x gen'!$P$37,'egresados x gen'!$S$37,'egresados x gen'!$V$37,'egresados x gen'!$Y$37,'egresados x gen'!$AB$37,'egresados x gen'!$AE$37)</c:f>
              <c:numCache>
                <c:formatCode>#,##0</c:formatCode>
                <c:ptCount val="10"/>
                <c:pt idx="0">
                  <c:v>2338</c:v>
                </c:pt>
                <c:pt idx="1">
                  <c:v>2139</c:v>
                </c:pt>
                <c:pt idx="2">
                  <c:v>2301</c:v>
                </c:pt>
                <c:pt idx="3">
                  <c:v>2294</c:v>
                </c:pt>
                <c:pt idx="4">
                  <c:v>2394</c:v>
                </c:pt>
                <c:pt idx="5">
                  <c:v>2183</c:v>
                </c:pt>
                <c:pt idx="6">
                  <c:v>2212</c:v>
                </c:pt>
                <c:pt idx="7">
                  <c:v>2475</c:v>
                </c:pt>
                <c:pt idx="8">
                  <c:v>2378</c:v>
                </c:pt>
                <c:pt idx="9">
                  <c:v>2315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'egresados x gen'!$E$4</c:f>
              <c:strCache>
                <c:ptCount val="1"/>
                <c:pt idx="0">
                  <c:v>Total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'egresados x gen'!$S$50:$S$59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('egresados x gen'!$E$37,'egresados x gen'!$H$37,'egresados x gen'!$K$37,'egresados x gen'!$N$37,'egresados x gen'!$Q$37,'egresados x gen'!$T$37,'egresados x gen'!$W$37,'egresados x gen'!$Z$37,'egresados x gen'!$AC$37,'egresados x gen'!$AF$37)</c:f>
              <c:numCache>
                <c:formatCode>#,##0</c:formatCode>
                <c:ptCount val="10"/>
                <c:pt idx="0">
                  <c:v>4498</c:v>
                </c:pt>
                <c:pt idx="1">
                  <c:v>4426</c:v>
                </c:pt>
                <c:pt idx="2">
                  <c:v>4857</c:v>
                </c:pt>
                <c:pt idx="3">
                  <c:v>4851</c:v>
                </c:pt>
                <c:pt idx="4">
                  <c:v>4856</c:v>
                </c:pt>
                <c:pt idx="5">
                  <c:v>4448</c:v>
                </c:pt>
                <c:pt idx="6">
                  <c:v>4674</c:v>
                </c:pt>
                <c:pt idx="7">
                  <c:v>5334</c:v>
                </c:pt>
                <c:pt idx="8">
                  <c:v>5063</c:v>
                </c:pt>
                <c:pt idx="9">
                  <c:v>5147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47744"/>
        <c:axId val="102049280"/>
      </c:lineChart>
      <c:catAx>
        <c:axId val="10204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2049280"/>
        <c:crosses val="autoZero"/>
        <c:auto val="1"/>
        <c:lblAlgn val="ctr"/>
        <c:lblOffset val="100"/>
        <c:noMultiLvlLbl val="0"/>
      </c:catAx>
      <c:valAx>
        <c:axId val="10204928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02047744"/>
        <c:crosses val="autoZero"/>
        <c:crossBetween val="between"/>
      </c:valAx>
      <c:spPr>
        <a:noFill/>
      </c:spPr>
    </c:plotArea>
    <c:legend>
      <c:legendPos val="l"/>
      <c:layout>
        <c:manualLayout>
          <c:xMode val="edge"/>
          <c:yMode val="edge"/>
          <c:x val="0.27907947411385037"/>
          <c:y val="0.86090725431530579"/>
          <c:w val="0.43998671019639263"/>
          <c:h val="5.7121620431790268E-2"/>
        </c:manualLayout>
      </c:layout>
      <c:overlay val="1"/>
      <c:txPr>
        <a:bodyPr/>
        <a:lstStyle/>
        <a:p>
          <a:pPr>
            <a:defRPr sz="1200" i="1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ESTUDIANTES QUE TERMINARON ESTUDIOS DE LICENCIATURA ACUMULADO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9400352733686066E-2"/>
          <c:y val="4.62033462033462E-2"/>
          <c:w val="0.96119929453262787"/>
          <c:h val="0.8242025152261373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'EGR-ACUM uni'!$B$6:$B$9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99887620333397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9992508022226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9992508022226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8.9988762033339775E-3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9988762033339775E-3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8.99887620333397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1.049857080840151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ln>
                <a:noFill/>
              </a:ln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'EGR-ACUM uni'!$R$49:$R$56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'EGR-ACUM uni'!$D$9:$O$9</c:f>
              <c:numCache>
                <c:formatCode>#,##0</c:formatCode>
                <c:ptCount val="8"/>
                <c:pt idx="0">
                  <c:v>34119</c:v>
                </c:pt>
                <c:pt idx="1">
                  <c:v>35375</c:v>
                </c:pt>
                <c:pt idx="2">
                  <c:v>36633</c:v>
                </c:pt>
                <c:pt idx="3">
                  <c:v>37743</c:v>
                </c:pt>
                <c:pt idx="4">
                  <c:v>38914</c:v>
                </c:pt>
                <c:pt idx="5">
                  <c:v>40551</c:v>
                </c:pt>
                <c:pt idx="6">
                  <c:v>42043</c:v>
                </c:pt>
                <c:pt idx="7">
                  <c:v>43555</c:v>
                </c:pt>
              </c:numCache>
            </c:numRef>
          </c:val>
        </c:ser>
        <c:ser>
          <c:idx val="1"/>
          <c:order val="1"/>
          <c:tx>
            <c:strRef>
              <c:f>'EGR-ACUM uni'!$B$11:$B$14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'EGR-ACUM uni'!$R$49:$R$56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('EGR-ACUM uni'!$D$14:$G$14,'EGR-ACUM uni'!$J$14,'EGR-ACUM uni'!$M$14,'EGR-ACUM uni'!$N$14,'EGR-ACUM uni'!$O$14)</c:f>
              <c:numCache>
                <c:formatCode>#,##0</c:formatCode>
                <c:ptCount val="8"/>
                <c:pt idx="1">
                  <c:v>67</c:v>
                </c:pt>
                <c:pt idx="2">
                  <c:v>122</c:v>
                </c:pt>
                <c:pt idx="3">
                  <c:v>217</c:v>
                </c:pt>
                <c:pt idx="5">
                  <c:v>422</c:v>
                </c:pt>
                <c:pt idx="6">
                  <c:v>526</c:v>
                </c:pt>
                <c:pt idx="7">
                  <c:v>626</c:v>
                </c:pt>
              </c:numCache>
            </c:numRef>
          </c:val>
        </c:ser>
        <c:ser>
          <c:idx val="2"/>
          <c:order val="2"/>
          <c:tx>
            <c:strRef>
              <c:f>'EGR-ACUM uni'!$B$16:$B$19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'EGR-ACUM uni'!$R$49:$R$56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('EGR-ACUM uni'!$D$19:$G$19,'EGR-ACUM uni'!$J$19,'EGR-ACUM uni'!$M$19,'EGR-ACUM uni'!$N$19,'EGR-ACUM uni'!$O$19)</c:f>
              <c:numCache>
                <c:formatCode>#,##0</c:formatCode>
                <c:ptCount val="8"/>
                <c:pt idx="0">
                  <c:v>24047</c:v>
                </c:pt>
                <c:pt idx="1">
                  <c:v>24949</c:v>
                </c:pt>
                <c:pt idx="2">
                  <c:v>26082</c:v>
                </c:pt>
                <c:pt idx="3">
                  <c:v>27025</c:v>
                </c:pt>
                <c:pt idx="4">
                  <c:v>28116</c:v>
                </c:pt>
                <c:pt idx="5">
                  <c:v>29317</c:v>
                </c:pt>
                <c:pt idx="6">
                  <c:v>30416</c:v>
                </c:pt>
                <c:pt idx="7">
                  <c:v>31541</c:v>
                </c:pt>
              </c:numCache>
            </c:numRef>
          </c:val>
        </c:ser>
        <c:ser>
          <c:idx val="4"/>
          <c:order val="3"/>
          <c:tx>
            <c:strRef>
              <c:f>'EGR-ACUM uni'!$R$67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'EGR-ACUM uni'!$R$49:$R$56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'EGR-ACUM uni'!$D$24:$O$24</c:f>
              <c:numCache>
                <c:formatCode>#,##0</c:formatCode>
                <c:ptCount val="8"/>
                <c:pt idx="7">
                  <c:v>75</c:v>
                </c:pt>
              </c:numCache>
            </c:numRef>
          </c:val>
        </c:ser>
        <c:ser>
          <c:idx val="3"/>
          <c:order val="4"/>
          <c:tx>
            <c:strRef>
              <c:f>'EGR-ACUM uni'!$B$26:$B$29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'EGR-ACUM uni'!$R$49:$R$56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('EGR-ACUM uni'!$D$29:$G$29,'EGR-ACUM uni'!$J$29,'EGR-ACUM uni'!$M$29,'EGR-ACUM uni'!$N$29,'EGR-ACUM uni'!$O$29)</c:f>
              <c:numCache>
                <c:formatCode>#,##0</c:formatCode>
                <c:ptCount val="8"/>
                <c:pt idx="0">
                  <c:v>53543</c:v>
                </c:pt>
                <c:pt idx="1">
                  <c:v>56227</c:v>
                </c:pt>
                <c:pt idx="2">
                  <c:v>58752</c:v>
                </c:pt>
                <c:pt idx="3">
                  <c:v>61105</c:v>
                </c:pt>
                <c:pt idx="4">
                  <c:v>63462</c:v>
                </c:pt>
                <c:pt idx="5">
                  <c:v>65946</c:v>
                </c:pt>
                <c:pt idx="6">
                  <c:v>68337</c:v>
                </c:pt>
                <c:pt idx="7">
                  <c:v>70700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02675200"/>
        <c:axId val="102676736"/>
        <c:axId val="0"/>
      </c:bar3DChart>
      <c:catAx>
        <c:axId val="1026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0"/>
            </a:pPr>
            <a:endParaRPr lang="es-MX"/>
          </a:p>
        </c:txPr>
        <c:crossAx val="102676736"/>
        <c:crosses val="autoZero"/>
        <c:auto val="1"/>
        <c:lblAlgn val="ctr"/>
        <c:lblOffset val="100"/>
        <c:noMultiLvlLbl val="0"/>
      </c:catAx>
      <c:valAx>
        <c:axId val="10267673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026752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8.4633157697393088E-2"/>
          <c:y val="0.92597758309655376"/>
          <c:w val="0.77529267174936467"/>
          <c:h val="4.9667102423007932E-2"/>
        </c:manualLayout>
      </c:layout>
      <c:overlay val="0"/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CD032E"/>
                </a:solidFill>
              </a:defRPr>
            </a:pPr>
            <a:r>
              <a:rPr lang="es-MX" sz="1200" b="0">
                <a:solidFill>
                  <a:srgbClr val="CD032E"/>
                </a:solidFill>
              </a:rPr>
              <a:t>Azcapotzalco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'Admitidos uni'!$B$6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D032E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2"/>
              <c:layout>
                <c:manualLayout>
                  <c:x val="-4.8881472597382278E-2"/>
                  <c:y val="5.2286719973956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2287867990011182E-3"/>
                  <c:y val="5.7750920669799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uni'!$Z$6,'Admitidos uni'!$AC$6,'Admitidos uni'!$AF$6,'Admitidos uni'!$AI$6,'Admitidos uni'!$AL$6)</c:f>
              <c:numCache>
                <c:formatCode>#,##0</c:formatCode>
                <c:ptCount val="5"/>
                <c:pt idx="0">
                  <c:v>2385</c:v>
                </c:pt>
                <c:pt idx="1">
                  <c:v>2036</c:v>
                </c:pt>
                <c:pt idx="2">
                  <c:v>1449</c:v>
                </c:pt>
                <c:pt idx="3">
                  <c:v>1548</c:v>
                </c:pt>
                <c:pt idx="4">
                  <c:v>1454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'Admitidos uni'!$B$7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0"/>
              <c:layout>
                <c:manualLayout>
                  <c:x val="-4.8881472597382278E-2"/>
                  <c:y val="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1824813289067344E-2"/>
                  <c:y val="4.590449449632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4768153980752403E-2"/>
                  <c:y val="-4.711876131762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1824813289067344E-2"/>
                  <c:y val="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9977982884589758E-2"/>
                  <c:y val="-3.1614885348633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uni'!$Z$7,'Admitidos uni'!$AC$7,'Admitidos uni'!$AF$7,'Admitidos uni'!$AI$7,'Admitidos uni'!$AL$7)</c:f>
              <c:numCache>
                <c:formatCode>#,##0</c:formatCode>
                <c:ptCount val="5"/>
                <c:pt idx="0">
                  <c:v>1349</c:v>
                </c:pt>
                <c:pt idx="1">
                  <c:v>1405</c:v>
                </c:pt>
                <c:pt idx="2">
                  <c:v>1586</c:v>
                </c:pt>
                <c:pt idx="3">
                  <c:v>1512</c:v>
                </c:pt>
                <c:pt idx="4">
                  <c:v>1454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'Admitidos uni'!$B$8</c:f>
              <c:strCache>
                <c:ptCount val="1"/>
                <c:pt idx="0">
                  <c:v>CAD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uni'!$Z$8,'Admitidos uni'!$AC$8,'Admitidos uni'!$AF$8,'Admitidos uni'!$AI$8,'Admitidos uni'!$AL$8)</c:f>
              <c:numCache>
                <c:formatCode>#,##0</c:formatCode>
                <c:ptCount val="5"/>
                <c:pt idx="0">
                  <c:v>622</c:v>
                </c:pt>
                <c:pt idx="1">
                  <c:v>658</c:v>
                </c:pt>
                <c:pt idx="2">
                  <c:v>640</c:v>
                </c:pt>
                <c:pt idx="3">
                  <c:v>691</c:v>
                </c:pt>
                <c:pt idx="4">
                  <c:v>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346816"/>
        <c:axId val="91348352"/>
      </c:lineChart>
      <c:catAx>
        <c:axId val="9134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1348352"/>
        <c:crosses val="autoZero"/>
        <c:auto val="1"/>
        <c:lblAlgn val="ctr"/>
        <c:lblOffset val="100"/>
        <c:noMultiLvlLbl val="0"/>
      </c:catAx>
      <c:valAx>
        <c:axId val="9134835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9134681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TITULADOS DE LICENCIATURA </a:t>
            </a: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  <c:spPr>
        <a:noFill/>
        <a:ln w="6350">
          <a:solidFill>
            <a:schemeClr val="bg1">
              <a:lumMod val="65000"/>
            </a:schemeClr>
          </a:solidFill>
        </a:ln>
      </c:spPr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'TITULADOS uni'!$A$5:$A$8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99887620333397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9992508022226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9992508022226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8.9988762033339775E-3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9988762033339775E-3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8.99887620333397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1.049857080840151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ln>
                <a:noFill/>
              </a:ln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'TITULADOS uni'!$H$3:$X$3</c:f>
              <c:numCache>
                <c:formatCode>0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('TITULADOS uni'!$H$8:$V$8,'TITULADOS uni'!$W$8,'TITULADOS uni'!$X$8)</c:f>
              <c:numCache>
                <c:formatCode>#,##0</c:formatCode>
                <c:ptCount val="17"/>
                <c:pt idx="0">
                  <c:v>1391</c:v>
                </c:pt>
                <c:pt idx="1">
                  <c:v>1223</c:v>
                </c:pt>
                <c:pt idx="2">
                  <c:v>1314</c:v>
                </c:pt>
                <c:pt idx="3">
                  <c:v>1184</c:v>
                </c:pt>
                <c:pt idx="4">
                  <c:v>1334</c:v>
                </c:pt>
                <c:pt idx="5">
                  <c:v>1179</c:v>
                </c:pt>
                <c:pt idx="6">
                  <c:v>1073</c:v>
                </c:pt>
                <c:pt idx="7">
                  <c:v>1110</c:v>
                </c:pt>
                <c:pt idx="8">
                  <c:v>1141</c:v>
                </c:pt>
                <c:pt idx="9">
                  <c:v>870</c:v>
                </c:pt>
                <c:pt idx="10">
                  <c:v>1143</c:v>
                </c:pt>
                <c:pt idx="11">
                  <c:v>1084</c:v>
                </c:pt>
                <c:pt idx="12">
                  <c:v>1027</c:v>
                </c:pt>
                <c:pt idx="13">
                  <c:v>934</c:v>
                </c:pt>
                <c:pt idx="14">
                  <c:v>1118</c:v>
                </c:pt>
                <c:pt idx="15">
                  <c:v>1241</c:v>
                </c:pt>
                <c:pt idx="16">
                  <c:v>1001</c:v>
                </c:pt>
              </c:numCache>
            </c:numRef>
          </c:val>
        </c:ser>
        <c:ser>
          <c:idx val="1"/>
          <c:order val="1"/>
          <c:tx>
            <c:strRef>
              <c:f>'TITULADOS uni'!$A$10:$A$13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11"/>
              <c:layout>
                <c:manualLayout>
                  <c:x val="4.29184597702521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4.29184597702532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7.15307662837526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5.7224613027002918E-3"/>
                  <c:y val="-2.88912800656992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'TITULADOS uni'!$H$3:$X$3</c:f>
              <c:numCache>
                <c:formatCode>0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('TITULADOS uni'!$H$13:$V$13,'TITULADOS uni'!$W$13,'TITULADOS uni'!$X$13)</c:f>
              <c:numCache>
                <c:formatCode>General</c:formatCode>
                <c:ptCount val="17"/>
                <c:pt idx="11" formatCode="#,##0">
                  <c:v>18</c:v>
                </c:pt>
                <c:pt idx="12" formatCode="#,##0">
                  <c:v>67</c:v>
                </c:pt>
                <c:pt idx="13" formatCode="#,##0">
                  <c:v>76</c:v>
                </c:pt>
                <c:pt idx="14" formatCode="#,##0">
                  <c:v>92</c:v>
                </c:pt>
                <c:pt idx="15" formatCode="#,##0">
                  <c:v>81</c:v>
                </c:pt>
                <c:pt idx="16" formatCode="#,##0">
                  <c:v>88</c:v>
                </c:pt>
              </c:numCache>
            </c:numRef>
          </c:val>
        </c:ser>
        <c:ser>
          <c:idx val="2"/>
          <c:order val="2"/>
          <c:tx>
            <c:strRef>
              <c:f>'TITULADOS uni'!$A$15:$A$18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'TITULADOS uni'!$H$3:$X$3</c:f>
              <c:numCache>
                <c:formatCode>0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('TITULADOS uni'!$H$18:$V$18,'TITULADOS uni'!$W$18,'TITULADOS uni'!$X$18)</c:f>
              <c:numCache>
                <c:formatCode>#,##0</c:formatCode>
                <c:ptCount val="17"/>
                <c:pt idx="0">
                  <c:v>791</c:v>
                </c:pt>
                <c:pt idx="1">
                  <c:v>821</c:v>
                </c:pt>
                <c:pt idx="2">
                  <c:v>865</c:v>
                </c:pt>
                <c:pt idx="3">
                  <c:v>856</c:v>
                </c:pt>
                <c:pt idx="4">
                  <c:v>972</c:v>
                </c:pt>
                <c:pt idx="5">
                  <c:v>1037</c:v>
                </c:pt>
                <c:pt idx="6">
                  <c:v>1062</c:v>
                </c:pt>
                <c:pt idx="7">
                  <c:v>1036</c:v>
                </c:pt>
                <c:pt idx="8">
                  <c:v>1056</c:v>
                </c:pt>
                <c:pt idx="9">
                  <c:v>930</c:v>
                </c:pt>
                <c:pt idx="10">
                  <c:v>870</c:v>
                </c:pt>
                <c:pt idx="11">
                  <c:v>1004</c:v>
                </c:pt>
                <c:pt idx="12">
                  <c:v>1025</c:v>
                </c:pt>
                <c:pt idx="13">
                  <c:v>966</c:v>
                </c:pt>
                <c:pt idx="14">
                  <c:v>965</c:v>
                </c:pt>
                <c:pt idx="15">
                  <c:v>1211</c:v>
                </c:pt>
                <c:pt idx="16">
                  <c:v>874</c:v>
                </c:pt>
              </c:numCache>
            </c:numRef>
          </c:val>
        </c:ser>
        <c:ser>
          <c:idx val="4"/>
          <c:order val="3"/>
          <c:tx>
            <c:strRef>
              <c:f>'TITULADOS uni'!$A$20:$A$23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'TITULADOS uni'!$H$3:$X$3</c:f>
              <c:numCache>
                <c:formatCode>0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'TITULADOS uni'!$H$23:$X$23</c:f>
              <c:numCache>
                <c:formatCode>#,##0</c:formatCode>
                <c:ptCount val="17"/>
                <c:pt idx="16">
                  <c:v>12</c:v>
                </c:pt>
              </c:numCache>
            </c:numRef>
          </c:val>
        </c:ser>
        <c:ser>
          <c:idx val="3"/>
          <c:order val="4"/>
          <c:tx>
            <c:strRef>
              <c:f>'TITULADOS uni'!$A$25:$A$28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'TITULADOS uni'!$H$3:$X$3</c:f>
              <c:numCache>
                <c:formatCode>0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('TITULADOS uni'!$H$28:$V$28,'TITULADOS uni'!$W$28,'TITULADOS uni'!$X$28)</c:f>
              <c:numCache>
                <c:formatCode>#,##0</c:formatCode>
                <c:ptCount val="17"/>
                <c:pt idx="0">
                  <c:v>1832</c:v>
                </c:pt>
                <c:pt idx="1">
                  <c:v>1744</c:v>
                </c:pt>
                <c:pt idx="2">
                  <c:v>1894</c:v>
                </c:pt>
                <c:pt idx="3">
                  <c:v>2117</c:v>
                </c:pt>
                <c:pt idx="4">
                  <c:v>2100</c:v>
                </c:pt>
                <c:pt idx="5">
                  <c:v>1943</c:v>
                </c:pt>
                <c:pt idx="6">
                  <c:v>1915</c:v>
                </c:pt>
                <c:pt idx="7">
                  <c:v>1667</c:v>
                </c:pt>
                <c:pt idx="8">
                  <c:v>1851</c:v>
                </c:pt>
                <c:pt idx="9">
                  <c:v>1687</c:v>
                </c:pt>
                <c:pt idx="10">
                  <c:v>2167</c:v>
                </c:pt>
                <c:pt idx="11">
                  <c:v>2431</c:v>
                </c:pt>
                <c:pt idx="12">
                  <c:v>2420</c:v>
                </c:pt>
                <c:pt idx="13">
                  <c:v>2229</c:v>
                </c:pt>
                <c:pt idx="14">
                  <c:v>2093</c:v>
                </c:pt>
                <c:pt idx="15">
                  <c:v>2157</c:v>
                </c:pt>
                <c:pt idx="16">
                  <c:v>1948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02376576"/>
        <c:axId val="102378112"/>
        <c:axId val="0"/>
      </c:bar3DChart>
      <c:catAx>
        <c:axId val="10237657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b="0"/>
            </a:pPr>
            <a:endParaRPr lang="es-MX"/>
          </a:p>
        </c:txPr>
        <c:crossAx val="102378112"/>
        <c:crosses val="autoZero"/>
        <c:auto val="1"/>
        <c:lblAlgn val="ctr"/>
        <c:lblOffset val="100"/>
        <c:noMultiLvlLbl val="0"/>
      </c:catAx>
      <c:valAx>
        <c:axId val="10237811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023765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42992074300526"/>
          <c:y val="0.9317516734049941"/>
          <c:w val="0.70287542412958137"/>
          <c:h val="5.9194606003912277E-2"/>
        </c:manualLayout>
      </c:layout>
      <c:overlay val="0"/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TRIMESTRES CURSADOS PROMEDIO PARA TERMINAR ESTUDIOS DE LICENCIATURA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0686097768059646E-2"/>
          <c:y val="0.11688948462126922"/>
          <c:w val="0.93780233157709048"/>
          <c:h val="0.70408844927947722"/>
        </c:manualLayout>
      </c:layout>
      <c:lineChart>
        <c:grouping val="standard"/>
        <c:varyColors val="0"/>
        <c:ser>
          <c:idx val="0"/>
          <c:order val="0"/>
          <c:tx>
            <c:strRef>
              <c:f>'TRIM EGRESO uni'!$A$5:$A$8</c:f>
              <c:strCache>
                <c:ptCount val="1"/>
                <c:pt idx="0">
                  <c:v>Azcapotzalco</c:v>
                </c:pt>
              </c:strCache>
            </c:strRef>
          </c:tx>
          <c:spPr>
            <a:ln w="9525">
              <a:solidFill>
                <a:srgbClr val="CD032E"/>
              </a:solidFill>
            </a:ln>
          </c:spPr>
          <c:marker>
            <c:symbol val="diamond"/>
            <c:size val="4"/>
            <c:spPr>
              <a:noFill/>
              <a:ln w="3175">
                <a:solidFill>
                  <a:srgbClr val="CD032E"/>
                </a:solidFill>
              </a:ln>
            </c:spPr>
          </c:marker>
          <c:dLbls>
            <c:dLbl>
              <c:idx val="8"/>
              <c:layout>
                <c:manualLayout>
                  <c:x val="-3.3717380600689316E-2"/>
                  <c:y val="-4.6926930608809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2.8095864422261942E-2"/>
                  <c:y val="-3.6067859210113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'TRIM EGRESO uni'!$C$3:$O$3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('TRIM EGRESO uni'!$C$8:$M$8,'TRIM EGRESO uni'!$N$8,'TRIM EGRESO uni'!$O$8)</c:f>
              <c:numCache>
                <c:formatCode>#,##0.0</c:formatCode>
                <c:ptCount val="13"/>
                <c:pt idx="0">
                  <c:v>18.575323790047715</c:v>
                </c:pt>
                <c:pt idx="1">
                  <c:v>18.727699530516432</c:v>
                </c:pt>
                <c:pt idx="2">
                  <c:v>18.514329976762198</c:v>
                </c:pt>
                <c:pt idx="3">
                  <c:v>18.741780272654371</c:v>
                </c:pt>
                <c:pt idx="4">
                  <c:v>17.784280936454874</c:v>
                </c:pt>
                <c:pt idx="5">
                  <c:v>17.637049455155072</c:v>
                </c:pt>
                <c:pt idx="6">
                  <c:v>17.510000000000002</c:v>
                </c:pt>
                <c:pt idx="7">
                  <c:v>17.630033557046996</c:v>
                </c:pt>
                <c:pt idx="8">
                  <c:v>17.967741935483861</c:v>
                </c:pt>
                <c:pt idx="9">
                  <c:v>17.540825285338023</c:v>
                </c:pt>
                <c:pt idx="10">
                  <c:v>17.55</c:v>
                </c:pt>
                <c:pt idx="11">
                  <c:v>17.837162162162194</c:v>
                </c:pt>
                <c:pt idx="12">
                  <c:v>17.991994663108716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'TRIM EGRESO uni'!$A$10:$A$13</c:f>
              <c:strCache>
                <c:ptCount val="1"/>
                <c:pt idx="0">
                  <c:v>Cuajimalpa</c:v>
                </c:pt>
              </c:strCache>
            </c:strRef>
          </c:tx>
          <c:spPr>
            <a:ln w="9525">
              <a:solidFill>
                <a:srgbClr val="F08200"/>
              </a:solidFill>
            </a:ln>
          </c:spPr>
          <c:marker>
            <c:symbol val="triangle"/>
            <c:size val="4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9"/>
              <c:layout>
                <c:manualLayout>
                  <c:x val="-3.3717380600689316E-2"/>
                  <c:y val="-3.2050131299467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2.983878405143452E-2"/>
                  <c:y val="-2.9273806734350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2.2604498314520122E-2"/>
                  <c:y val="-3.2631419037662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F082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'TRIM EGRESO uni'!$C$3:$O$3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('TRIM EGRESO uni'!$C$13:$M$13,'TRIM EGRESO uni'!$N$13,'TRIM EGRESO uni'!$O$13)</c:f>
              <c:numCache>
                <c:formatCode>#,##0.0</c:formatCode>
                <c:ptCount val="13"/>
                <c:pt idx="6">
                  <c:v>12.61</c:v>
                </c:pt>
                <c:pt idx="7">
                  <c:v>13.584905660377357</c:v>
                </c:pt>
                <c:pt idx="8">
                  <c:v>13.13829787234042</c:v>
                </c:pt>
                <c:pt idx="9">
                  <c:v>13.748617609527864</c:v>
                </c:pt>
                <c:pt idx="10">
                  <c:v>14.62</c:v>
                </c:pt>
                <c:pt idx="11">
                  <c:v>15.441860465116276</c:v>
                </c:pt>
                <c:pt idx="12">
                  <c:v>15.975308641975314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'TRIM EGRESO uni'!$A$15:$A$18</c:f>
              <c:strCache>
                <c:ptCount val="1"/>
                <c:pt idx="0">
                  <c:v>Iztapalapa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circle"/>
            <c:size val="4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8"/>
              <c:layout>
                <c:manualLayout>
                  <c:x val="-3.5686853766617427E-2"/>
                  <c:y val="3.576933112680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2.983878405143452E-2"/>
                  <c:y val="2.5876780496468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'TRIM EGRESO uni'!$C$3:$O$3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('TRIM EGRESO uni'!$C$18:$M$18,'TRIM EGRESO uni'!$N$18,'TRIM EGRESO uni'!$O$18)</c:f>
              <c:numCache>
                <c:formatCode>#,##0.0</c:formatCode>
                <c:ptCount val="13"/>
                <c:pt idx="0">
                  <c:v>19.565384615384616</c:v>
                </c:pt>
                <c:pt idx="1">
                  <c:v>19.156565656565657</c:v>
                </c:pt>
                <c:pt idx="2">
                  <c:v>19.314494074749316</c:v>
                </c:pt>
                <c:pt idx="3">
                  <c:v>19.681739130434782</c:v>
                </c:pt>
                <c:pt idx="4">
                  <c:v>19.219307450157412</c:v>
                </c:pt>
                <c:pt idx="5">
                  <c:v>18.842494714587744</c:v>
                </c:pt>
                <c:pt idx="6">
                  <c:v>17.98</c:v>
                </c:pt>
                <c:pt idx="7">
                  <c:v>17.807162534435271</c:v>
                </c:pt>
                <c:pt idx="8">
                  <c:v>17.68449781659389</c:v>
                </c:pt>
                <c:pt idx="9">
                  <c:v>17.710526315789497</c:v>
                </c:pt>
                <c:pt idx="10">
                  <c:v>17.54</c:v>
                </c:pt>
                <c:pt idx="11">
                  <c:v>17.979260595130754</c:v>
                </c:pt>
                <c:pt idx="12">
                  <c:v>18.018551236749143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'TRIM EGRESO uni'!$A$25:$A$28</c:f>
              <c:strCache>
                <c:ptCount val="1"/>
                <c:pt idx="0">
                  <c:v>Xochimilco</c:v>
                </c:pt>
              </c:strCache>
            </c:strRef>
          </c:tx>
          <c:spPr>
            <a:ln w="9525">
              <a:solidFill>
                <a:srgbClr val="0072CE"/>
              </a:solidFill>
            </a:ln>
          </c:spPr>
          <c:marker>
            <c:symbol val="square"/>
            <c:size val="4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8"/>
              <c:layout>
                <c:manualLayout>
                  <c:x val="-2.983878405143452E-2"/>
                  <c:y val="-3.1872665547520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3717380600689316E-2"/>
                  <c:y val="3.2050131299467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2.4610025163916787E-2"/>
                  <c:y val="2.927380673435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3.3324623309779672E-2"/>
                  <c:y val="2.927380673435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2.1199839581336487E-2"/>
                  <c:y val="2.48727972947050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'TRIM EGRESO uni'!$C$3:$O$3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('TRIM EGRESO uni'!$C$28:$M$28,'TRIM EGRESO uni'!$N$28,'TRIM EGRESO uni'!$O$28)</c:f>
              <c:numCache>
                <c:formatCode>#,##0.0</c:formatCode>
                <c:ptCount val="13"/>
                <c:pt idx="0">
                  <c:v>13.608874656907593</c:v>
                </c:pt>
                <c:pt idx="1">
                  <c:v>13.718039413845377</c:v>
                </c:pt>
                <c:pt idx="2">
                  <c:v>13.740957966764418</c:v>
                </c:pt>
                <c:pt idx="3">
                  <c:v>13.648156789547363</c:v>
                </c:pt>
                <c:pt idx="4">
                  <c:v>13.535792709705744</c:v>
                </c:pt>
                <c:pt idx="5">
                  <c:v>13.463944076526859</c:v>
                </c:pt>
                <c:pt idx="6">
                  <c:v>13.5</c:v>
                </c:pt>
                <c:pt idx="7">
                  <c:v>13.781349206349185</c:v>
                </c:pt>
                <c:pt idx="8">
                  <c:v>13.886527836804103</c:v>
                </c:pt>
                <c:pt idx="9">
                  <c:v>13.558333333333332</c:v>
                </c:pt>
                <c:pt idx="10">
                  <c:v>13.8</c:v>
                </c:pt>
                <c:pt idx="11">
                  <c:v>13.662060301507545</c:v>
                </c:pt>
                <c:pt idx="12">
                  <c:v>13.775423728813557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'TRIM EGRESO uni'!$A$30:$A$36</c:f>
              <c:strCache>
                <c:ptCount val="1"/>
                <c:pt idx="0">
                  <c:v>UAM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tar"/>
            <c:size val="4"/>
            <c:spPr>
              <a:ln>
                <a:solidFill>
                  <a:schemeClr val="tx1"/>
                </a:solidFill>
              </a:ln>
            </c:spPr>
          </c:marker>
          <c:dLbls>
            <c:dLbl>
              <c:idx val="12"/>
              <c:layout>
                <c:manualLayout>
                  <c:x val="-2.1199839581336487E-2"/>
                  <c:y val="2.228659004705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'TRIM EGRESO uni'!$C$3:$O$3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('TRIM EGRESO uni'!$C$36:$M$36,'TRIM EGRESO uni'!$N$36,'TRIM EGRESO uni'!$O$36)</c:f>
              <c:numCache>
                <c:formatCode>#,##0.0</c:formatCode>
                <c:ptCount val="13"/>
                <c:pt idx="0">
                  <c:v>16.481355209887067</c:v>
                </c:pt>
                <c:pt idx="1">
                  <c:v>16.611923509561304</c:v>
                </c:pt>
                <c:pt idx="2">
                  <c:v>16.509697789806044</c:v>
                </c:pt>
                <c:pt idx="3">
                  <c:v>16.575550660792953</c:v>
                </c:pt>
                <c:pt idx="4">
                  <c:v>15.90759150474473</c:v>
                </c:pt>
                <c:pt idx="5">
                  <c:v>15.536545192505656</c:v>
                </c:pt>
                <c:pt idx="6">
                  <c:v>15.32</c:v>
                </c:pt>
                <c:pt idx="7">
                  <c:v>15.627523691800636</c:v>
                </c:pt>
                <c:pt idx="8">
                  <c:v>15.648381294964095</c:v>
                </c:pt>
                <c:pt idx="9">
                  <c:v>15.57</c:v>
                </c:pt>
                <c:pt idx="10">
                  <c:v>15.751781027371603</c:v>
                </c:pt>
                <c:pt idx="11">
                  <c:v>15.858384357100615</c:v>
                </c:pt>
                <c:pt idx="12">
                  <c:v>15.948707985234114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'TRIM EGRESO uni'!$A$20:$A$23</c:f>
              <c:strCache>
                <c:ptCount val="1"/>
                <c:pt idx="0">
                  <c:v>Lerma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plus"/>
            <c:size val="4"/>
            <c:spPr>
              <a:ln>
                <a:solidFill>
                  <a:srgbClr val="AD25A8"/>
                </a:solidFill>
              </a:ln>
            </c:spPr>
          </c:marker>
          <c:dLbls>
            <c:dLbl>
              <c:idx val="1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'TRIM EGRESO uni'!$C$3:$O$3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'TRIM EGRESO uni'!$C$23:$O$23</c:f>
              <c:numCache>
                <c:formatCode>#,##0.0</c:formatCode>
                <c:ptCount val="13"/>
                <c:pt idx="12">
                  <c:v>12.226666666666667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00704"/>
        <c:axId val="105255296"/>
      </c:lineChart>
      <c:catAx>
        <c:axId val="10300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5255296"/>
        <c:crosses val="autoZero"/>
        <c:auto val="1"/>
        <c:lblAlgn val="ctr"/>
        <c:lblOffset val="100"/>
        <c:noMultiLvlLbl val="0"/>
      </c:catAx>
      <c:valAx>
        <c:axId val="105255296"/>
        <c:scaling>
          <c:orientation val="minMax"/>
          <c:min val="10"/>
        </c:scaling>
        <c:delete val="1"/>
        <c:axPos val="l"/>
        <c:numFmt formatCode="#,##0.0" sourceLinked="1"/>
        <c:majorTickMark val="out"/>
        <c:minorTickMark val="none"/>
        <c:tickLblPos val="nextTo"/>
        <c:crossAx val="10300070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18406570820438489"/>
          <c:y val="0.93453509888131781"/>
          <c:w val="0.6315417556376034"/>
          <c:h val="4.6766161657094983E-2"/>
        </c:manualLayout>
      </c:layout>
      <c:overlay val="0"/>
      <c:txPr>
        <a:bodyPr/>
        <a:lstStyle/>
        <a:p>
          <a:pPr>
            <a:defRPr i="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MX" sz="1200"/>
              <a:t>EFICIENCIA TERMINAL 2014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'Eficiencia terminal'!$A$39:$A$42</c:f>
              <c:strCache>
                <c:ptCount val="1"/>
                <c:pt idx="0">
                  <c:v>Azcapotzalco</c:v>
                </c:pt>
              </c:strCache>
            </c:strRef>
          </c:tx>
          <c:spPr>
            <a:ln w="12700">
              <a:solidFill>
                <a:srgbClr val="CD032E"/>
              </a:solidFill>
            </a:ln>
          </c:spPr>
          <c:marker>
            <c:symbol val="diamond"/>
            <c:size val="4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5"/>
              <c:layout>
                <c:manualLayout>
                  <c:x val="-3.4377047696624127E-2"/>
                  <c:y val="-4.00068355460554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4377047696624127E-2"/>
                  <c:y val="-3.1733827137117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C000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terminal'!$D$37:$J$37</c:f>
              <c:numCache>
                <c:formatCode>General</c:formatCode>
                <c:ptCount val="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</c:numCache>
            </c:numRef>
          </c:cat>
          <c:val>
            <c:numRef>
              <c:f>'Eficiencia terminal'!$D$42:$J$42</c:f>
              <c:numCache>
                <c:formatCode>0.0%</c:formatCode>
                <c:ptCount val="7"/>
                <c:pt idx="0">
                  <c:v>0.45231874591770083</c:v>
                </c:pt>
                <c:pt idx="1">
                  <c:v>0.40036363636363637</c:v>
                </c:pt>
                <c:pt idx="2">
                  <c:v>0.35623678646934459</c:v>
                </c:pt>
                <c:pt idx="3">
                  <c:v>0.33915834522111271</c:v>
                </c:pt>
                <c:pt idx="4">
                  <c:v>0.33598472796691059</c:v>
                </c:pt>
                <c:pt idx="5">
                  <c:v>0.27563468513023409</c:v>
                </c:pt>
                <c:pt idx="6">
                  <c:v>0.13277880468268638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'Eficiencia terminal'!$A$44:$A$47</c:f>
              <c:strCache>
                <c:ptCount val="1"/>
                <c:pt idx="0">
                  <c:v>Cuajimalpa</c:v>
                </c:pt>
              </c:strCache>
            </c:strRef>
          </c:tx>
          <c:spPr>
            <a:ln w="12700">
              <a:solidFill>
                <a:srgbClr val="F08200"/>
              </a:solidFill>
            </a:ln>
          </c:spPr>
          <c:marker>
            <c:symbol val="square"/>
            <c:size val="4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1"/>
              <c:layout>
                <c:manualLayout>
                  <c:x val="-3.5296587926509186E-2"/>
                  <c:y val="-2.4839653463003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1618427006968958E-2"/>
                  <c:y val="-2.4839653463003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296587926509186E-2"/>
                  <c:y val="-3.311266187194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1388541949497693E-2"/>
                  <c:y val="-2.0628236190264429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F082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terminal'!$D$37:$J$37</c:f>
              <c:numCache>
                <c:formatCode>General</c:formatCode>
                <c:ptCount val="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</c:numCache>
            </c:numRef>
          </c:cat>
          <c:val>
            <c:numRef>
              <c:f>'Eficiencia terminal'!$D$47:$J$47</c:f>
              <c:numCache>
                <c:formatCode>0.0%</c:formatCode>
                <c:ptCount val="7"/>
                <c:pt idx="1">
                  <c:v>0.62352941176470589</c:v>
                </c:pt>
                <c:pt idx="2">
                  <c:v>0.63440860215053763</c:v>
                </c:pt>
                <c:pt idx="3">
                  <c:v>0.49829351535836175</c:v>
                </c:pt>
                <c:pt idx="4">
                  <c:v>0.38750000000000001</c:v>
                </c:pt>
                <c:pt idx="5">
                  <c:v>0.23580786026200873</c:v>
                </c:pt>
                <c:pt idx="6">
                  <c:v>0.12847222222222221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'Eficiencia terminal'!$A$49:$A$52</c:f>
              <c:strCache>
                <c:ptCount val="1"/>
                <c:pt idx="0">
                  <c:v>Iztapalapa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triangle"/>
            <c:size val="4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4"/>
              <c:layout>
                <c:manualLayout>
                  <c:x val="-3.5296587926509186E-2"/>
                  <c:y val="-2.75560664602684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5296587926509186E-2"/>
                  <c:y val="2.7597322932649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terminal'!$D$37:$J$37</c:f>
              <c:numCache>
                <c:formatCode>General</c:formatCode>
                <c:ptCount val="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</c:numCache>
            </c:numRef>
          </c:cat>
          <c:val>
            <c:numRef>
              <c:f>'Eficiencia terminal'!$D$52:$J$52</c:f>
              <c:numCache>
                <c:formatCode>0.0%</c:formatCode>
                <c:ptCount val="7"/>
                <c:pt idx="0">
                  <c:v>0.48972431077694234</c:v>
                </c:pt>
                <c:pt idx="1">
                  <c:v>0.45689235265465172</c:v>
                </c:pt>
                <c:pt idx="2">
                  <c:v>0.43040380047505938</c:v>
                </c:pt>
                <c:pt idx="3">
                  <c:v>0.38863000931966452</c:v>
                </c:pt>
                <c:pt idx="4">
                  <c:v>0.33820369574559517</c:v>
                </c:pt>
                <c:pt idx="5">
                  <c:v>0.26002587322121606</c:v>
                </c:pt>
                <c:pt idx="6">
                  <c:v>0.1001980198019802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'Eficiencia terminal'!$A$54:$A$57</c:f>
              <c:strCache>
                <c:ptCount val="1"/>
                <c:pt idx="0">
                  <c:v>Xochimilco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circle"/>
            <c:size val="4"/>
            <c:spPr>
              <a:noFill/>
              <a:ln>
                <a:solidFill>
                  <a:srgbClr val="0072C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terminal'!$D$37:$J$37</c:f>
              <c:numCache>
                <c:formatCode>General</c:formatCode>
                <c:ptCount val="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</c:numCache>
            </c:numRef>
          </c:cat>
          <c:val>
            <c:numRef>
              <c:f>'Eficiencia terminal'!$D$57:$J$57</c:f>
              <c:numCache>
                <c:formatCode>0.0%</c:formatCode>
                <c:ptCount val="7"/>
                <c:pt idx="0">
                  <c:v>0.72020460358056271</c:v>
                </c:pt>
                <c:pt idx="1">
                  <c:v>0.70861977789529351</c:v>
                </c:pt>
                <c:pt idx="2">
                  <c:v>0.69351166761525329</c:v>
                </c:pt>
                <c:pt idx="3">
                  <c:v>0.65065243179122179</c:v>
                </c:pt>
                <c:pt idx="4">
                  <c:v>0.68734413965087282</c:v>
                </c:pt>
                <c:pt idx="5">
                  <c:v>0.63243581715716968</c:v>
                </c:pt>
                <c:pt idx="6">
                  <c:v>0.48381294964028776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'Eficiencia terminal'!$A$59:$B$59</c:f>
              <c:strCache>
                <c:ptCount val="1"/>
                <c:pt idx="0">
                  <c:v>TOTAL UAM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x"/>
            <c:size val="4"/>
            <c:spPr>
              <a:noFill/>
              <a:ln>
                <a:solidFill>
                  <a:schemeClr val="tx1"/>
                </a:solidFill>
              </a:ln>
            </c:spPr>
          </c:marker>
          <c:dLbls>
            <c:dLbl>
              <c:idx val="3"/>
              <c:layout>
                <c:manualLayout>
                  <c:x val="-3.5296587926509186E-2"/>
                  <c:y val="1.656664505406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terminal'!$D$37:$J$37</c:f>
              <c:numCache>
                <c:formatCode>General</c:formatCode>
                <c:ptCount val="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</c:numCache>
            </c:numRef>
          </c:cat>
          <c:val>
            <c:numRef>
              <c:f>'Eficiencia terminal'!$D$59:$J$59</c:f>
              <c:numCache>
                <c:formatCode>0.0%</c:formatCode>
                <c:ptCount val="7"/>
                <c:pt idx="0">
                  <c:v>0.57745065239210436</c:v>
                </c:pt>
                <c:pt idx="1">
                  <c:v>0.55111364934323248</c:v>
                </c:pt>
                <c:pt idx="2">
                  <c:v>0.51614035087719301</c:v>
                </c:pt>
                <c:pt idx="3">
                  <c:v>0.4788160185722577</c:v>
                </c:pt>
                <c:pt idx="4">
                  <c:v>0.46365859079795513</c:v>
                </c:pt>
                <c:pt idx="5">
                  <c:v>0.40034188034188034</c:v>
                </c:pt>
                <c:pt idx="6">
                  <c:v>0.24853645556146886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235520"/>
        <c:axId val="100500608"/>
      </c:lineChart>
      <c:catAx>
        <c:axId val="10223552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100500608"/>
        <c:crosses val="autoZero"/>
        <c:auto val="1"/>
        <c:lblAlgn val="ctr"/>
        <c:lblOffset val="100"/>
        <c:noMultiLvlLbl val="0"/>
      </c:catAx>
      <c:valAx>
        <c:axId val="1005006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102235520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6.5411313241017288E-2"/>
          <c:y val="0.93358728501577948"/>
          <c:w val="0.87101630916825057"/>
          <c:h val="4.98666981663452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'Eficiencia terminal'!$A$7:$A$10</c:f>
              <c:strCache>
                <c:ptCount val="1"/>
                <c:pt idx="0">
                  <c:v>Azcapotzalco</c:v>
                </c:pt>
              </c:strCache>
            </c:strRef>
          </c:tx>
          <c:spPr>
            <a:ln w="12700">
              <a:solidFill>
                <a:srgbClr val="CD032E"/>
              </a:solidFill>
            </a:ln>
          </c:spPr>
          <c:marker>
            <c:symbol val="diamond"/>
            <c:size val="4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4"/>
              <c:layout>
                <c:manualLayout>
                  <c:x val="-3.3894469438118364E-2"/>
                  <c:y val="-2.4865370089608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3.4377047696624127E-2"/>
                  <c:y val="-4.00068355460554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4377047696624127E-2"/>
                  <c:y val="-3.1733827137117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C000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terminal'!$D$5:$J$5</c:f>
              <c:numCache>
                <c:formatCode>General</c:formatCod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numCache>
            </c:numRef>
          </c:cat>
          <c:val>
            <c:numRef>
              <c:f>'Eficiencia terminal'!$D$10:$J$10</c:f>
              <c:numCache>
                <c:formatCode>0.0%</c:formatCode>
                <c:ptCount val="7"/>
                <c:pt idx="0">
                  <c:v>0.43099630996309962</c:v>
                </c:pt>
                <c:pt idx="1">
                  <c:v>0.3763213530655391</c:v>
                </c:pt>
                <c:pt idx="2">
                  <c:v>0.38072378138847857</c:v>
                </c:pt>
                <c:pt idx="3">
                  <c:v>0.38975501113585748</c:v>
                </c:pt>
                <c:pt idx="4">
                  <c:v>0.35761371127224784</c:v>
                </c:pt>
                <c:pt idx="5">
                  <c:v>0.25292307692307692</c:v>
                </c:pt>
                <c:pt idx="6">
                  <c:v>0.13919784293899562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'Eficiencia terminal'!$A$12:$A$15</c:f>
              <c:strCache>
                <c:ptCount val="1"/>
                <c:pt idx="0">
                  <c:v>Cuajimalpa</c:v>
                </c:pt>
              </c:strCache>
            </c:strRef>
          </c:tx>
          <c:spPr>
            <a:ln w="12700">
              <a:solidFill>
                <a:srgbClr val="F08200"/>
              </a:solidFill>
            </a:ln>
          </c:spPr>
          <c:marker>
            <c:symbol val="square"/>
            <c:size val="4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0"/>
              <c:layout>
                <c:manualLayout>
                  <c:x val="-3.3894469438118371E-2"/>
                  <c:y val="-2.4865370089608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0498536900384805E-2"/>
                  <c:y val="2.4849502507838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7497029220182261E-2"/>
                  <c:y val="-3.3146943588573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3.1618427006968958E-2"/>
                  <c:y val="-2.4839653463003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3697257009352853E-2"/>
                  <c:y val="3.03794634366356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7382177537529549E-2"/>
                  <c:y val="2.75845954038353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F082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terminal'!$D$5:$J$5</c:f>
              <c:numCache>
                <c:formatCode>General</c:formatCod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numCache>
            </c:numRef>
          </c:cat>
          <c:val>
            <c:numRef>
              <c:f>'Eficiencia terminal'!$D$15:$J$15</c:f>
              <c:numCache>
                <c:formatCode>0.0%</c:formatCode>
                <c:ptCount val="7"/>
                <c:pt idx="0">
                  <c:v>0.62941176470588234</c:v>
                </c:pt>
                <c:pt idx="1">
                  <c:v>0.65934065934065933</c:v>
                </c:pt>
                <c:pt idx="2">
                  <c:v>0.54285714285714282</c:v>
                </c:pt>
                <c:pt idx="3">
                  <c:v>0.42633228840125392</c:v>
                </c:pt>
                <c:pt idx="4">
                  <c:v>0.3056768558951965</c:v>
                </c:pt>
                <c:pt idx="5">
                  <c:v>0.27681660899653981</c:v>
                </c:pt>
                <c:pt idx="6">
                  <c:v>7.0000000000000007E-2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'Eficiencia terminal'!$A$17:$A$20</c:f>
              <c:strCache>
                <c:ptCount val="1"/>
                <c:pt idx="0">
                  <c:v>Iztapalapa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triangle"/>
            <c:size val="4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2"/>
              <c:layout>
                <c:manualLayout>
                  <c:x val="-3.3894469438118364E-2"/>
                  <c:y val="2.48653700896083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3490629765022527E-2"/>
                  <c:y val="-2.20635464045255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2097896954868831E-2"/>
                  <c:y val="2.2133320291485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3894469438118364E-2"/>
                  <c:y val="2.7625894589263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5700582670795166E-2"/>
                  <c:y val="-1.9331713970536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terminal'!$D$5:$J$5</c:f>
              <c:numCache>
                <c:formatCode>General</c:formatCod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numCache>
            </c:numRef>
          </c:cat>
          <c:val>
            <c:numRef>
              <c:f>'Eficiencia terminal'!$D$20:$J$20</c:f>
              <c:numCache>
                <c:formatCode>0.0%</c:formatCode>
                <c:ptCount val="7"/>
                <c:pt idx="0">
                  <c:v>0.48045522018802572</c:v>
                </c:pt>
                <c:pt idx="1">
                  <c:v>0.45437262357414449</c:v>
                </c:pt>
                <c:pt idx="2">
                  <c:v>0.44239183276616434</c:v>
                </c:pt>
                <c:pt idx="3">
                  <c:v>0.3904639175257732</c:v>
                </c:pt>
                <c:pt idx="4">
                  <c:v>0.3544358311800172</c:v>
                </c:pt>
                <c:pt idx="5">
                  <c:v>0.22310126582278481</c:v>
                </c:pt>
                <c:pt idx="6">
                  <c:v>0.10011778563015312</c:v>
                </c:pt>
              </c:numCache>
            </c:numRef>
          </c:val>
          <c:smooth val="0"/>
        </c:ser>
        <c:ser>
          <c:idx val="5"/>
          <c:order val="3"/>
          <c:tx>
            <c:strRef>
              <c:f>'Eficiencia terminal'!$A$22:$A$25</c:f>
              <c:strCache>
                <c:ptCount val="1"/>
                <c:pt idx="0">
                  <c:v>Lerma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plus"/>
            <c:size val="4"/>
            <c:spPr>
              <a:noFill/>
              <a:ln>
                <a:solidFill>
                  <a:srgbClr val="AD25A8"/>
                </a:solidFill>
              </a:ln>
            </c:spPr>
          </c:marker>
          <c:dLbls>
            <c:txPr>
              <a:bodyPr/>
              <a:lstStyle/>
              <a:p>
                <a:pPr>
                  <a:defRPr sz="9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'Eficiencia terminal'!$D$5:$J$5</c:f>
              <c:numCache>
                <c:formatCode>General</c:formatCod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numCache>
            </c:numRef>
          </c:cat>
          <c:val>
            <c:numRef>
              <c:f>'Eficiencia terminal'!$D$25:$J$25</c:f>
              <c:numCache>
                <c:formatCode>0.0%</c:formatCode>
                <c:ptCount val="7"/>
                <c:pt idx="6">
                  <c:v>0.55147058823529416</c:v>
                </c:pt>
              </c:numCache>
            </c:numRef>
          </c:val>
          <c:smooth val="0"/>
        </c:ser>
        <c:ser>
          <c:idx val="3"/>
          <c:order val="4"/>
          <c:tx>
            <c:strRef>
              <c:f>'Eficiencia terminal'!$A$27:$A$30</c:f>
              <c:strCache>
                <c:ptCount val="1"/>
                <c:pt idx="0">
                  <c:v>Xochimilco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circle"/>
            <c:size val="4"/>
            <c:spPr>
              <a:noFill/>
              <a:ln>
                <a:solidFill>
                  <a:srgbClr val="0072C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terminal'!$D$5:$J$5</c:f>
              <c:numCache>
                <c:formatCode>General</c:formatCod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numCache>
            </c:numRef>
          </c:cat>
          <c:val>
            <c:numRef>
              <c:f>'Eficiencia terminal'!$D$30:$J$30</c:f>
              <c:numCache>
                <c:formatCode>0.0%</c:formatCode>
                <c:ptCount val="7"/>
                <c:pt idx="0">
                  <c:v>0.71443708609271528</c:v>
                </c:pt>
                <c:pt idx="1">
                  <c:v>0.69691780821917804</c:v>
                </c:pt>
                <c:pt idx="2">
                  <c:v>0.66495468277945624</c:v>
                </c:pt>
                <c:pt idx="3">
                  <c:v>0.70977627949739508</c:v>
                </c:pt>
                <c:pt idx="4">
                  <c:v>0.671608832807571</c:v>
                </c:pt>
                <c:pt idx="5">
                  <c:v>0.65083632019115889</c:v>
                </c:pt>
                <c:pt idx="6">
                  <c:v>0.44129287598944589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'Eficiencia terminal'!$A$59:$B$59</c:f>
              <c:strCache>
                <c:ptCount val="1"/>
                <c:pt idx="0">
                  <c:v>TOTAL UAM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tar"/>
            <c:size val="4"/>
            <c:spPr>
              <a:noFill/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3.2295109383634349E-2"/>
                  <c:y val="-2.206354640452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0695749329150313E-2"/>
                  <c:y val="-2.206354640452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8692549601570446E-2"/>
                  <c:y val="2.2104845589953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3.5296617063836883E-2"/>
                  <c:y val="-3.5883340669372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terminal'!$D$5:$J$5</c:f>
              <c:numCache>
                <c:formatCode>General</c:formatCod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numCache>
            </c:numRef>
          </c:cat>
          <c:val>
            <c:numRef>
              <c:f>'Eficiencia terminal'!$D$32:$J$32</c:f>
              <c:numCache>
                <c:formatCode>0.0%</c:formatCode>
                <c:ptCount val="7"/>
                <c:pt idx="0">
                  <c:v>0.5697325956662056</c:v>
                </c:pt>
                <c:pt idx="1">
                  <c:v>0.53016282066299636</c:v>
                </c:pt>
                <c:pt idx="2">
                  <c:v>0.51394374625972472</c:v>
                </c:pt>
                <c:pt idx="3">
                  <c:v>0.50657240693692696</c:v>
                </c:pt>
                <c:pt idx="4">
                  <c:v>0.46910336950314108</c:v>
                </c:pt>
                <c:pt idx="5">
                  <c:v>0.38714816781731282</c:v>
                </c:pt>
                <c:pt idx="6">
                  <c:v>0.2340236027610777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813632"/>
        <c:axId val="102847616"/>
      </c:lineChart>
      <c:catAx>
        <c:axId val="10181363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102847616"/>
        <c:crosses val="autoZero"/>
        <c:auto val="1"/>
        <c:lblAlgn val="ctr"/>
        <c:lblOffset val="100"/>
        <c:noMultiLvlLbl val="0"/>
      </c:catAx>
      <c:valAx>
        <c:axId val="1028476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10181363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6.5411313241017288E-2"/>
          <c:y val="0.93358728501577948"/>
          <c:w val="0.86517268806837111"/>
          <c:h val="4.991832542671296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Activos de Licenciatura y Posgrado</a:t>
            </a: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'Activos Lic-Pos'!$A$4</c:f>
              <c:strCache>
                <c:ptCount val="1"/>
                <c:pt idx="0">
                  <c:v>Licenciatura</c:v>
                </c:pt>
              </c:strCache>
            </c:strRef>
          </c:tx>
          <c:spPr>
            <a:solidFill>
              <a:srgbClr val="CC9900"/>
            </a:solidFill>
            <a:ln w="3175">
              <a:solidFill>
                <a:schemeClr val="bg1"/>
              </a:solidFill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'Activos Lic-Pos'!$B$4:$B$16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('ACTIVOS uni'!$C$38:$M$38,'ACTIVOS uni'!$N$38,'ACTIVOS uni'!$O$38)</c:f>
              <c:numCache>
                <c:formatCode>#,##0</c:formatCode>
                <c:ptCount val="13"/>
                <c:pt idx="0">
                  <c:v>42235</c:v>
                </c:pt>
                <c:pt idx="1">
                  <c:v>43246</c:v>
                </c:pt>
                <c:pt idx="2">
                  <c:v>44496</c:v>
                </c:pt>
                <c:pt idx="3">
                  <c:v>45448</c:v>
                </c:pt>
                <c:pt idx="4">
                  <c:v>46267</c:v>
                </c:pt>
                <c:pt idx="5">
                  <c:v>47386</c:v>
                </c:pt>
                <c:pt idx="6">
                  <c:v>47343</c:v>
                </c:pt>
                <c:pt idx="7">
                  <c:v>48596</c:v>
                </c:pt>
                <c:pt idx="8">
                  <c:v>49508</c:v>
                </c:pt>
                <c:pt idx="9">
                  <c:v>50928</c:v>
                </c:pt>
                <c:pt idx="10">
                  <c:v>52459</c:v>
                </c:pt>
                <c:pt idx="11">
                  <c:v>52898</c:v>
                </c:pt>
                <c:pt idx="12">
                  <c:v>53374</c:v>
                </c:pt>
              </c:numCache>
            </c:numRef>
          </c:val>
        </c:ser>
        <c:ser>
          <c:idx val="1"/>
          <c:order val="1"/>
          <c:tx>
            <c:strRef>
              <c:f>'Activos Lic-Pos'!$A$5</c:f>
              <c:strCache>
                <c:ptCount val="1"/>
                <c:pt idx="0">
                  <c:v>Posgrado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03318250377073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9.0497737556561094E-3"/>
                  <c:y val="-2.46002460024600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541478129713423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9.04977375565610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04977375565610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5414781297134794E-3"/>
                  <c:y val="2.254996500313504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9.0497737556561094E-3"/>
                  <c:y val="-2.460024600245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04977375565610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7.541478129713423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7.5414781297134239E-3"/>
                  <c:y val="-2.46002460024600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6.03318250377073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6.03318250377073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6.03318250377073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'Activos Lic-Pos'!$B$4:$B$16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('ACTIVOS-POS uni'!$D$84:$N$84,'ACTIVOS-POS uni'!$O$84,'ACTIVOS-POS uni'!$P$84)</c:f>
              <c:numCache>
                <c:formatCode>#,##0</c:formatCode>
                <c:ptCount val="13"/>
                <c:pt idx="0">
                  <c:v>2154</c:v>
                </c:pt>
                <c:pt idx="1">
                  <c:v>2264</c:v>
                </c:pt>
                <c:pt idx="2">
                  <c:v>2341</c:v>
                </c:pt>
                <c:pt idx="3">
                  <c:v>2344</c:v>
                </c:pt>
                <c:pt idx="4">
                  <c:v>2617</c:v>
                </c:pt>
                <c:pt idx="5">
                  <c:v>2744</c:v>
                </c:pt>
                <c:pt idx="6">
                  <c:v>3049</c:v>
                </c:pt>
                <c:pt idx="7">
                  <c:v>3326</c:v>
                </c:pt>
                <c:pt idx="8">
                  <c:v>3380</c:v>
                </c:pt>
                <c:pt idx="9">
                  <c:v>3436</c:v>
                </c:pt>
                <c:pt idx="10">
                  <c:v>3508</c:v>
                </c:pt>
                <c:pt idx="11">
                  <c:v>3708</c:v>
                </c:pt>
                <c:pt idx="12">
                  <c:v>3718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05870464"/>
        <c:axId val="105872000"/>
        <c:axId val="0"/>
      </c:bar3DChart>
      <c:catAx>
        <c:axId val="10587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5872000"/>
        <c:crosses val="autoZero"/>
        <c:auto val="1"/>
        <c:lblAlgn val="ctr"/>
        <c:lblOffset val="100"/>
        <c:noMultiLvlLbl val="0"/>
      </c:catAx>
      <c:valAx>
        <c:axId val="10587200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058704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524649350957828"/>
          <c:y val="0.95356411733106194"/>
          <c:w val="0.38850926837270339"/>
          <c:h val="4.2880331415241807E-2"/>
        </c:manualLayout>
      </c:layout>
      <c:overlay val="0"/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Egresados de Licenciatura y Posgrado</a:t>
            </a: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'Egresados Lic-Pos'!$A$4</c:f>
              <c:strCache>
                <c:ptCount val="1"/>
                <c:pt idx="0">
                  <c:v>Licenciatura</c:v>
                </c:pt>
              </c:strCache>
            </c:strRef>
          </c:tx>
          <c:spPr>
            <a:solidFill>
              <a:srgbClr val="CC9900"/>
            </a:solidFill>
            <a:ln w="3175">
              <a:solidFill>
                <a:schemeClr val="bg1"/>
              </a:solidFill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dLbl>
              <c:idx val="11"/>
              <c:layout>
                <c:manualLayout>
                  <c:x val="5.7971007877324222E-3"/>
                  <c:y val="-2.21852468108707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'Egresados Lic-Pos'!$B$4:$B$16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('EGRESO uni'!$V$37,'EGRESO uni'!$Z$37,'EGRESO uni'!$AD$37,'EGRESO uni'!$AH$37,'EGRESO uni'!$AL$37,'EGRESO uni'!$AP$37,'EGRESO uni'!$AT$37,'EGRESO uni'!$AX$37,'EGRESO uni'!$BB$37,'EGRESO uni'!$BF$37,'EGRESO uni'!$BJ$37,'EGRESO uni'!$BN$37,'EGRESO uni'!$BR$37)</c:f>
              <c:numCache>
                <c:formatCode>#,##0</c:formatCode>
                <c:ptCount val="13"/>
                <c:pt idx="0">
                  <c:v>4693</c:v>
                </c:pt>
                <c:pt idx="1">
                  <c:v>4445</c:v>
                </c:pt>
                <c:pt idx="2">
                  <c:v>4434</c:v>
                </c:pt>
                <c:pt idx="3">
                  <c:v>4540</c:v>
                </c:pt>
                <c:pt idx="4">
                  <c:v>4426</c:v>
                </c:pt>
                <c:pt idx="5">
                  <c:v>4857</c:v>
                </c:pt>
                <c:pt idx="6">
                  <c:v>4851</c:v>
                </c:pt>
                <c:pt idx="7">
                  <c:v>4854</c:v>
                </c:pt>
                <c:pt idx="8">
                  <c:v>4448</c:v>
                </c:pt>
                <c:pt idx="9">
                  <c:v>4674</c:v>
                </c:pt>
                <c:pt idx="10">
                  <c:v>5334</c:v>
                </c:pt>
                <c:pt idx="11">
                  <c:v>5063</c:v>
                </c:pt>
                <c:pt idx="12">
                  <c:v>5147</c:v>
                </c:pt>
              </c:numCache>
            </c:numRef>
          </c:val>
        </c:ser>
        <c:ser>
          <c:idx val="1"/>
          <c:order val="1"/>
          <c:tx>
            <c:strRef>
              <c:f>'Egresados Lic-Pos'!$A$5</c:f>
              <c:strCache>
                <c:ptCount val="1"/>
                <c:pt idx="0">
                  <c:v>Posgrado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3175">
              <a:solidFill>
                <a:schemeClr val="bg1"/>
              </a:solidFill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'Egresados Lic-Pos'!$B$4:$B$16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('EGRESO-POs uni'!$V$77,'EGRESO-POs uni'!$Z$77,'EGRESO-POs uni'!$AD$77,'EGRESO-POs uni'!$AH$77,'EGRESO-POs uni'!$AL$77,'EGRESO-POs uni'!$AP$77,'EGRESO-POs uni'!$AT$77,'EGRESO-POs uni'!$AX$77,'EGRESO-POs uni'!$BB$77,'EGRESO-POs uni'!$BF$77,'EGRESO-POs uni'!$BJ$77,'EGRESO-POs uni'!$BN$77,'EGRESO-POs uni'!$BR$77)</c:f>
              <c:numCache>
                <c:formatCode>0</c:formatCode>
                <c:ptCount val="13"/>
                <c:pt idx="0">
                  <c:v>389</c:v>
                </c:pt>
                <c:pt idx="1">
                  <c:v>475</c:v>
                </c:pt>
                <c:pt idx="2">
                  <c:v>501</c:v>
                </c:pt>
                <c:pt idx="3">
                  <c:v>521</c:v>
                </c:pt>
                <c:pt idx="4">
                  <c:v>540</c:v>
                </c:pt>
                <c:pt idx="5" formatCode="#,##0">
                  <c:v>562</c:v>
                </c:pt>
                <c:pt idx="6" formatCode="#,##0">
                  <c:v>627</c:v>
                </c:pt>
                <c:pt idx="7" formatCode="#,##0">
                  <c:v>737</c:v>
                </c:pt>
                <c:pt idx="8" formatCode="#,##0">
                  <c:v>861</c:v>
                </c:pt>
                <c:pt idx="9" formatCode="#,##0">
                  <c:v>663</c:v>
                </c:pt>
                <c:pt idx="10" formatCode="#,##0">
                  <c:v>732</c:v>
                </c:pt>
                <c:pt idx="11" formatCode="#,##0">
                  <c:v>815</c:v>
                </c:pt>
                <c:pt idx="12" formatCode="#,##0">
                  <c:v>659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05956864"/>
        <c:axId val="105958400"/>
        <c:axId val="0"/>
      </c:bar3DChart>
      <c:catAx>
        <c:axId val="10595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5958400"/>
        <c:crosses val="autoZero"/>
        <c:auto val="1"/>
        <c:lblAlgn val="ctr"/>
        <c:lblOffset val="100"/>
        <c:noMultiLvlLbl val="0"/>
      </c:catAx>
      <c:valAx>
        <c:axId val="10595840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059568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519430501034978"/>
          <c:y val="0.9597984112218918"/>
          <c:w val="0.40066204615048118"/>
          <c:h val="3.9643289181198443E-2"/>
        </c:manualLayout>
      </c:layout>
      <c:overlay val="0"/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ASPIRANTES DE PRIMER INGRESO A POSGRADO POR</a:t>
            </a:r>
            <a:r>
              <a:rPr lang="es-MX" sz="1400" baseline="0"/>
              <a:t> UNIDAD</a:t>
            </a:r>
            <a:endParaRPr lang="es-MX" sz="1400"/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'ASPI-POS uni'!$A$18:$A$21</c:f>
              <c:strCache>
                <c:ptCount val="1"/>
                <c:pt idx="0">
                  <c:v>Unidad 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517241379310378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1034482758620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9.19540229885057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9.19540229885057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'ASPI-POS uni'!$AD$87:$AD$98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('ASPI-POS uni'!$J$21,'ASPI-POS uni'!$N$21,'ASPI-POS uni'!$R$21,'ASPI-POS uni'!$V$21,'ASPI-POS uni'!$Z$21,'ASPI-POS uni'!$AD$21,'ASPI-POS uni'!$AH$21,'ASPI-POS uni'!$AL$21,'ASPI-POS uni'!$AP$21,'ASPI-POS uni'!$AT$21,'ASPI-POS uni'!$AX$21,'ASPI-POS uni'!$BB$21)</c:f>
              <c:numCache>
                <c:formatCode>#,##0</c:formatCode>
                <c:ptCount val="12"/>
                <c:pt idx="0">
                  <c:v>200</c:v>
                </c:pt>
                <c:pt idx="1">
                  <c:v>433</c:v>
                </c:pt>
                <c:pt idx="2">
                  <c:v>275</c:v>
                </c:pt>
                <c:pt idx="3">
                  <c:v>378</c:v>
                </c:pt>
                <c:pt idx="4">
                  <c:v>360</c:v>
                </c:pt>
                <c:pt idx="5">
                  <c:v>529</c:v>
                </c:pt>
                <c:pt idx="6">
                  <c:v>527</c:v>
                </c:pt>
                <c:pt idx="7">
                  <c:v>656</c:v>
                </c:pt>
                <c:pt idx="8">
                  <c:v>372</c:v>
                </c:pt>
                <c:pt idx="9">
                  <c:v>458</c:v>
                </c:pt>
                <c:pt idx="10">
                  <c:v>682</c:v>
                </c:pt>
                <c:pt idx="11">
                  <c:v>521</c:v>
                </c:pt>
              </c:numCache>
            </c:numRef>
          </c:val>
        </c:ser>
        <c:ser>
          <c:idx val="1"/>
          <c:order val="1"/>
          <c:tx>
            <c:strRef>
              <c:f>'ASPI-POS uni'!$A$35:$A$38</c:f>
              <c:strCache>
                <c:ptCount val="1"/>
                <c:pt idx="0">
                  <c:v>Unidad 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7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'ASPI-POS uni'!$AD$87:$AD$98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('ASPI-POS uni'!$J$38,'ASPI-POS uni'!$N$38,'ASPI-POS uni'!$R$38,'ASPI-POS uni'!$V$38,'ASPI-POS uni'!$Z$38,'ASPI-POS uni'!$AD$38,'ASPI-POS uni'!$AH$38,'ASPI-POS uni'!$AL$38,'ASPI-POS uni'!$AP$38,'ASPI-POS uni'!$AT$38,'ASPI-POS uni'!$AX$38,'ASPI-POS uni'!$BB$38)</c:f>
              <c:numCache>
                <c:formatCode>#,##0</c:formatCode>
                <c:ptCount val="12"/>
                <c:pt idx="7">
                  <c:v>171</c:v>
                </c:pt>
                <c:pt idx="8">
                  <c:v>232</c:v>
                </c:pt>
                <c:pt idx="9">
                  <c:v>329</c:v>
                </c:pt>
                <c:pt idx="10">
                  <c:v>329</c:v>
                </c:pt>
                <c:pt idx="11">
                  <c:v>215</c:v>
                </c:pt>
              </c:numCache>
            </c:numRef>
          </c:val>
        </c:ser>
        <c:ser>
          <c:idx val="2"/>
          <c:order val="2"/>
          <c:tx>
            <c:strRef>
              <c:f>'ASPI-POS uni'!$A$52:$A$55</c:f>
              <c:strCache>
                <c:ptCount val="1"/>
                <c:pt idx="0">
                  <c:v>Unidad 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anchor="ctr" anchorCtr="1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'ASPI-POS uni'!$AD$87:$AD$98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('ASPI-POS uni'!$J$55,'ASPI-POS uni'!$N$55,'ASPI-POS uni'!$R$55,'ASPI-POS uni'!$V$55,'ASPI-POS uni'!$Z$55,'ASPI-POS uni'!$AD$55,'ASPI-POS uni'!$AH$55,'ASPI-POS uni'!$AL$55,'ASPI-POS uni'!$AP$55,'ASPI-POS uni'!$AT$55,'ASPI-POS uni'!$AX$55,'ASPI-POS uni'!$BB$55)</c:f>
              <c:numCache>
                <c:formatCode>#,##0</c:formatCode>
                <c:ptCount val="12"/>
                <c:pt idx="0">
                  <c:v>728</c:v>
                </c:pt>
                <c:pt idx="1">
                  <c:v>653</c:v>
                </c:pt>
                <c:pt idx="2">
                  <c:v>781</c:v>
                </c:pt>
                <c:pt idx="3">
                  <c:v>851</c:v>
                </c:pt>
                <c:pt idx="4">
                  <c:v>1036</c:v>
                </c:pt>
                <c:pt idx="5">
                  <c:v>859</c:v>
                </c:pt>
                <c:pt idx="6">
                  <c:v>1117</c:v>
                </c:pt>
                <c:pt idx="7">
                  <c:v>761</c:v>
                </c:pt>
                <c:pt idx="8">
                  <c:v>1127</c:v>
                </c:pt>
                <c:pt idx="9">
                  <c:v>675</c:v>
                </c:pt>
                <c:pt idx="10">
                  <c:v>1229</c:v>
                </c:pt>
                <c:pt idx="11">
                  <c:v>793</c:v>
                </c:pt>
              </c:numCache>
            </c:numRef>
          </c:val>
        </c:ser>
        <c:ser>
          <c:idx val="3"/>
          <c:order val="3"/>
          <c:tx>
            <c:strRef>
              <c:f>'ASPI-POS uni'!$A$69:$A$72</c:f>
              <c:strCache>
                <c:ptCount val="1"/>
                <c:pt idx="0">
                  <c:v>Unidad 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'ASPI-POS uni'!$AD$87:$AD$98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('ASPI-POS uni'!$J$72,'ASPI-POS uni'!$N$72,'ASPI-POS uni'!$R$72,'ASPI-POS uni'!$V$72,'ASPI-POS uni'!$Z$72,'ASPI-POS uni'!$AD$72,'ASPI-POS uni'!$AH$72,'ASPI-POS uni'!$AL$72,'ASPI-POS uni'!$AP$72,'ASPI-POS uni'!$AT$72,'ASPI-POS uni'!$AX$72,'ASPI-POS uni'!$BB$72)</c:f>
              <c:numCache>
                <c:formatCode>#,##0</c:formatCode>
                <c:ptCount val="12"/>
                <c:pt idx="0">
                  <c:v>668</c:v>
                </c:pt>
                <c:pt idx="1">
                  <c:v>459</c:v>
                </c:pt>
                <c:pt idx="2">
                  <c:v>658</c:v>
                </c:pt>
                <c:pt idx="3">
                  <c:v>664</c:v>
                </c:pt>
                <c:pt idx="4">
                  <c:v>735</c:v>
                </c:pt>
                <c:pt idx="5">
                  <c:v>795</c:v>
                </c:pt>
                <c:pt idx="6">
                  <c:v>930</c:v>
                </c:pt>
                <c:pt idx="7">
                  <c:v>880</c:v>
                </c:pt>
                <c:pt idx="8">
                  <c:v>1298</c:v>
                </c:pt>
                <c:pt idx="9">
                  <c:v>1031</c:v>
                </c:pt>
                <c:pt idx="10">
                  <c:v>1323</c:v>
                </c:pt>
                <c:pt idx="11">
                  <c:v>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shape val="cylinder"/>
        <c:axId val="105744256"/>
        <c:axId val="105745792"/>
        <c:axId val="0"/>
      </c:bar3DChart>
      <c:catAx>
        <c:axId val="10574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5745792"/>
        <c:crosses val="autoZero"/>
        <c:auto val="1"/>
        <c:lblAlgn val="ctr"/>
        <c:lblOffset val="100"/>
        <c:noMultiLvlLbl val="0"/>
      </c:catAx>
      <c:valAx>
        <c:axId val="10574579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05744256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4.0396777988958278E-2"/>
          <c:y val="0.9588017074083367"/>
          <c:w val="0.91185012218300299"/>
          <c:h val="3.796390435176198E-2"/>
        </c:manualLayout>
      </c:layout>
      <c:overlay val="0"/>
      <c:txPr>
        <a:bodyPr/>
        <a:lstStyle/>
        <a:p>
          <a:pPr>
            <a:defRPr sz="1100" i="1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'ASPI-POS uni'!$B$74</c:f>
              <c:strCache>
                <c:ptCount val="1"/>
                <c:pt idx="0">
                  <c:v>Especialización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1"/>
              <c:layout>
                <c:manualLayout>
                  <c:x val="9.19540229885057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034482758620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1034482758620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1034482758620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9.19540229885057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19540229885057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1.1034482758620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'ASPI-POS uni'!$AD$87:$AD$98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('ASPI-POS uni'!$J$74,'ASPI-POS uni'!$N$74,'ASPI-POS uni'!$R$74,'ASPI-POS uni'!$V$74,'ASPI-POS uni'!$Z$74,'ASPI-POS uni'!$AD$74,'ASPI-POS uni'!$AH$74,'ASPI-POS uni'!$AL$74,'ASPI-POS uni'!$AP$74,'ASPI-POS uni'!$AT$74,'ASPI-POS uni'!$AX$74,'ASPI-POS uni'!$BB$74)</c:f>
              <c:numCache>
                <c:formatCode>#,##0</c:formatCode>
                <c:ptCount val="12"/>
                <c:pt idx="0">
                  <c:v>358</c:v>
                </c:pt>
                <c:pt idx="1">
                  <c:v>267</c:v>
                </c:pt>
                <c:pt idx="2">
                  <c:v>419</c:v>
                </c:pt>
                <c:pt idx="3">
                  <c:v>412</c:v>
                </c:pt>
                <c:pt idx="4">
                  <c:v>430</c:v>
                </c:pt>
                <c:pt idx="5">
                  <c:v>563</c:v>
                </c:pt>
                <c:pt idx="6">
                  <c:v>449</c:v>
                </c:pt>
                <c:pt idx="7">
                  <c:v>287</c:v>
                </c:pt>
                <c:pt idx="8">
                  <c:v>604</c:v>
                </c:pt>
                <c:pt idx="9">
                  <c:v>226</c:v>
                </c:pt>
                <c:pt idx="10">
                  <c:v>318</c:v>
                </c:pt>
                <c:pt idx="11">
                  <c:v>266</c:v>
                </c:pt>
              </c:numCache>
            </c:numRef>
          </c:val>
        </c:ser>
        <c:ser>
          <c:idx val="1"/>
          <c:order val="1"/>
          <c:tx>
            <c:strRef>
              <c:f>'ASPI-POS uni'!$B$75</c:f>
              <c:strCache>
                <c:ptCount val="1"/>
                <c:pt idx="0">
                  <c:v>Maestría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'ASPI-POS uni'!$AD$87:$AD$98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('ASPI-POS uni'!$J$75,'ASPI-POS uni'!$N$75,'ASPI-POS uni'!$R$75,'ASPI-POS uni'!$V$75,'ASPI-POS uni'!$Z$75,'ASPI-POS uni'!$AD$75,'ASPI-POS uni'!$AH$75,'ASPI-POS uni'!$AL$75,'ASPI-POS uni'!$AP$75,'ASPI-POS uni'!$AT$75,'ASPI-POS uni'!$AX$75,'ASPI-POS uni'!$BB$75)</c:f>
              <c:numCache>
                <c:formatCode>#,##0</c:formatCode>
                <c:ptCount val="12"/>
                <c:pt idx="0">
                  <c:v>1176</c:v>
                </c:pt>
                <c:pt idx="1">
                  <c:v>1032</c:v>
                </c:pt>
                <c:pt idx="2">
                  <c:v>1177</c:v>
                </c:pt>
                <c:pt idx="3">
                  <c:v>1110</c:v>
                </c:pt>
                <c:pt idx="4">
                  <c:v>1355</c:v>
                </c:pt>
                <c:pt idx="5">
                  <c:v>1213</c:v>
                </c:pt>
                <c:pt idx="6">
                  <c:v>1615</c:v>
                </c:pt>
                <c:pt idx="7">
                  <c:v>1500</c:v>
                </c:pt>
                <c:pt idx="8">
                  <c:v>1870</c:v>
                </c:pt>
                <c:pt idx="9">
                  <c:v>1486</c:v>
                </c:pt>
                <c:pt idx="10">
                  <c:v>2570</c:v>
                </c:pt>
                <c:pt idx="11">
                  <c:v>1611</c:v>
                </c:pt>
              </c:numCache>
            </c:numRef>
          </c:val>
        </c:ser>
        <c:ser>
          <c:idx val="2"/>
          <c:order val="2"/>
          <c:tx>
            <c:strRef>
              <c:f>'ASPI-POS uni'!$B$76</c:f>
              <c:strCache>
                <c:ptCount val="1"/>
                <c:pt idx="0">
                  <c:v>Doctorado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1.8390804597701149E-3"/>
                  <c:y val="-1.05124821239518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9.19540229885057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3563218390804595E-3"/>
                  <c:y val="-7.00832141596788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1034482758620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1034482758620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9.19540229885057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3563218390804595E-3"/>
                  <c:y val="3.50416070798394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9.19540229885057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1.1034482758620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anchor="ctr" anchorCtr="1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'ASPI-POS uni'!$AD$87:$AD$98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('ASPI-POS uni'!$J$76,'ASPI-POS uni'!$N$76,'ASPI-POS uni'!$R$76,'ASPI-POS uni'!$V$76,'ASPI-POS uni'!$Z$76,'ASPI-POS uni'!$AD$76,'ASPI-POS uni'!$AH$76,'ASPI-POS uni'!$AL$76,'ASPI-POS uni'!$AP$76,'ASPI-POS uni'!$AT$76,'ASPI-POS uni'!$AX$76,'ASPI-POS uni'!$BB$76)</c:f>
              <c:numCache>
                <c:formatCode>#,##0</c:formatCode>
                <c:ptCount val="12"/>
                <c:pt idx="0">
                  <c:v>62</c:v>
                </c:pt>
                <c:pt idx="1">
                  <c:v>234</c:v>
                </c:pt>
                <c:pt idx="2">
                  <c:v>118</c:v>
                </c:pt>
                <c:pt idx="3">
                  <c:v>371</c:v>
                </c:pt>
                <c:pt idx="4">
                  <c:v>346</c:v>
                </c:pt>
                <c:pt idx="5">
                  <c:v>407</c:v>
                </c:pt>
                <c:pt idx="6">
                  <c:v>510</c:v>
                </c:pt>
                <c:pt idx="7">
                  <c:v>681</c:v>
                </c:pt>
                <c:pt idx="8">
                  <c:v>555</c:v>
                </c:pt>
                <c:pt idx="9">
                  <c:v>781</c:v>
                </c:pt>
                <c:pt idx="10">
                  <c:v>675</c:v>
                </c:pt>
                <c:pt idx="11">
                  <c:v>651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shape val="cylinder"/>
        <c:axId val="106490880"/>
        <c:axId val="106705664"/>
        <c:axId val="0"/>
      </c:bar3DChart>
      <c:catAx>
        <c:axId val="10649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6705664"/>
        <c:crosses val="autoZero"/>
        <c:auto val="1"/>
        <c:lblAlgn val="ctr"/>
        <c:lblOffset val="100"/>
        <c:noMultiLvlLbl val="0"/>
      </c:catAx>
      <c:valAx>
        <c:axId val="10670566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064908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265450266992488"/>
          <c:y val="0.94845026494655738"/>
          <c:w val="0.56526556249434334"/>
          <c:h val="4.4047327139787984E-2"/>
        </c:manualLayout>
      </c:layout>
      <c:overlay val="0"/>
      <c:txPr>
        <a:bodyPr/>
        <a:lstStyle/>
        <a:p>
          <a:pPr>
            <a:defRPr sz="1200" i="1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>
      <a:bevelT w="152400" h="50800" prst="softRound"/>
    </a:sp3d>
  </c:spPr>
  <c:printSettings>
    <c:headerFooter/>
    <c:pageMargins b="0.75" l="0.7" r="0.7" t="0.75" header="0.3" footer="0.3"/>
    <c:pageSetup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s-MX" sz="1800"/>
              <a:t>INSCRITOS DE PRIMER INGRESO A POSGRADO POR UNIDAD</a:t>
            </a: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'INSC-POSG uni'!$A$18:$A$21</c:f>
              <c:strCache>
                <c:ptCount val="1"/>
                <c:pt idx="0">
                  <c:v>Unidad Azcapotzalco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6.1092019854906456E-3"/>
                  <c:y val="-3.57302316866385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63650248186330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6.10920198549064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7.63650248186330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7.6365024818633069E-3"/>
                  <c:y val="-3.57302316866385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7.63650248186330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6.08828006088268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txPr>
              <a:bodyPr rot="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'INSC-POSG uni'!$AS$86:$AS$98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('INSC-POSG uni'!$V$21,'INSC-POSG uni'!$Z$21,'INSC-POSG uni'!$AD$21,'INSC-POSG uni'!$AH$21,'INSC-POSG uni'!$AL$21,'INSC-POSG uni'!$AP$21,'INSC-POSG uni'!$AT$21,'INSC-POSG uni'!$AX$21,'INSC-POSG uni'!$BB$21,'INSC-POSG uni'!$BF$21,'INSC-POSG uni'!$BJ$21,'INSC-POSG uni'!$BN$21,'INSC-POSG uni'!$BR$21)</c:f>
              <c:numCache>
                <c:formatCode>0</c:formatCode>
                <c:ptCount val="13"/>
                <c:pt idx="0">
                  <c:v>104</c:v>
                </c:pt>
                <c:pt idx="1">
                  <c:v>158</c:v>
                </c:pt>
                <c:pt idx="2">
                  <c:v>154</c:v>
                </c:pt>
                <c:pt idx="3">
                  <c:v>136</c:v>
                </c:pt>
                <c:pt idx="4">
                  <c:v>201</c:v>
                </c:pt>
                <c:pt idx="5" formatCode="#,##0">
                  <c:v>158</c:v>
                </c:pt>
                <c:pt idx="6" formatCode="#,##0">
                  <c:v>210</c:v>
                </c:pt>
                <c:pt idx="7" formatCode="#,##0">
                  <c:v>196</c:v>
                </c:pt>
                <c:pt idx="8" formatCode="#,##0">
                  <c:v>186</c:v>
                </c:pt>
                <c:pt idx="9" formatCode="#,##0">
                  <c:v>217</c:v>
                </c:pt>
                <c:pt idx="10" formatCode="#,##0">
                  <c:v>217</c:v>
                </c:pt>
                <c:pt idx="11" formatCode="#,##0">
                  <c:v>280</c:v>
                </c:pt>
                <c:pt idx="12" formatCode="#,##0">
                  <c:v>222</c:v>
                </c:pt>
              </c:numCache>
            </c:numRef>
          </c:val>
        </c:ser>
        <c:ser>
          <c:idx val="1"/>
          <c:order val="1"/>
          <c:tx>
            <c:strRef>
              <c:f>'INSC-POSG uni'!$A$35:$A$38</c:f>
              <c:strCache>
                <c:ptCount val="1"/>
                <c:pt idx="0">
                  <c:v>Unidad 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9"/>
              <c:layout>
                <c:manualLayout>
                  <c:x val="9.1324200913242004E-3"/>
                  <c:y val="-3.0616161090186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9.13242009132420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7.61035007610361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'INSC-POSG uni'!$AS$86:$AS$98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('INSC-POSG uni'!$V$38,'INSC-POSG uni'!$Z$38,'INSC-POSG uni'!$AD$38,'INSC-POSG uni'!$AH$38,'INSC-POSG uni'!$AL$38,'INSC-POSG uni'!$AP$38,'INSC-POSG uni'!$AT$38,'INSC-POSG uni'!$AX$38,'INSC-POSG uni'!$BB$38,'INSC-POSG uni'!$BF$38,'INSC-POSG uni'!$BJ$38,'INSC-POSG uni'!$BN$38,'INSC-POSG uni'!$BR$38)</c:f>
              <c:numCache>
                <c:formatCode>#,##0</c:formatCode>
                <c:ptCount val="13"/>
                <c:pt idx="9">
                  <c:v>54</c:v>
                </c:pt>
                <c:pt idx="10">
                  <c:v>73</c:v>
                </c:pt>
                <c:pt idx="11">
                  <c:v>73</c:v>
                </c:pt>
                <c:pt idx="12">
                  <c:v>90</c:v>
                </c:pt>
              </c:numCache>
            </c:numRef>
          </c:val>
        </c:ser>
        <c:ser>
          <c:idx val="2"/>
          <c:order val="2"/>
          <c:tx>
            <c:strRef>
              <c:f>'INSC-POSG uni'!$A$52:$A$55</c:f>
              <c:strCache>
                <c:ptCount val="1"/>
                <c:pt idx="0">
                  <c:v>Unidad 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chemeClr val="bg1"/>
              </a:solidFill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3.05460099274532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05460099274532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56621004566210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5662100456621002E-3"/>
                  <c:y val="6.424220418161419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4.56621004566210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6.0882800608828003E-3"/>
                  <c:y val="6.424220418161419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7.61035007610350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6.08828006088280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4.56621004566210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6.0882800608826892E-3"/>
                  <c:y val="6.424220418161419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9.13242009132408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anchor="ctr" anchorCtr="1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'INSC-POSG uni'!$AS$86:$AS$98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('INSC-POSG uni'!$V$55,'INSC-POSG uni'!$Z$55,'INSC-POSG uni'!$AD$55,'INSC-POSG uni'!$AH$55,'INSC-POSG uni'!$AL$55,'INSC-POSG uni'!$AP$55,'INSC-POSG uni'!$AT$55,'INSC-POSG uni'!$AX$55,'INSC-POSG uni'!$BB$55,'INSC-POSG uni'!$BF$55,'INSC-POSG uni'!$BJ$55,'INSC-POSG uni'!$BN$55,'INSC-POSG uni'!$BR$55)</c:f>
              <c:numCache>
                <c:formatCode>0</c:formatCode>
                <c:ptCount val="13"/>
                <c:pt idx="0">
                  <c:v>247</c:v>
                </c:pt>
                <c:pt idx="1">
                  <c:v>317</c:v>
                </c:pt>
                <c:pt idx="2">
                  <c:v>333</c:v>
                </c:pt>
                <c:pt idx="3">
                  <c:v>320</c:v>
                </c:pt>
                <c:pt idx="4">
                  <c:v>416</c:v>
                </c:pt>
                <c:pt idx="5" formatCode="#,##0">
                  <c:v>514</c:v>
                </c:pt>
                <c:pt idx="6" formatCode="#,##0">
                  <c:v>402</c:v>
                </c:pt>
                <c:pt idx="7" formatCode="#,##0">
                  <c:v>529</c:v>
                </c:pt>
                <c:pt idx="8" formatCode="#,##0">
                  <c:v>472</c:v>
                </c:pt>
                <c:pt idx="9" formatCode="#,##0">
                  <c:v>490</c:v>
                </c:pt>
                <c:pt idx="10" formatCode="#,##0">
                  <c:v>404</c:v>
                </c:pt>
                <c:pt idx="11" formatCode="#,##0">
                  <c:v>508</c:v>
                </c:pt>
                <c:pt idx="12" formatCode="#,##0">
                  <c:v>445</c:v>
                </c:pt>
              </c:numCache>
            </c:numRef>
          </c:val>
        </c:ser>
        <c:ser>
          <c:idx val="3"/>
          <c:order val="3"/>
          <c:tx>
            <c:strRef>
              <c:f>'INSC-POSG uni'!$A$69:$A$72</c:f>
              <c:strCache>
                <c:ptCount val="1"/>
                <c:pt idx="0">
                  <c:v>Unidad 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63650248186330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7.6365024818633069E-3"/>
                  <c:y val="3.57302316866385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7.63650248186330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7.6365024818633069E-3"/>
                  <c:y val="-3.27523340216611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4.5819014891179842E-3"/>
                  <c:y val="-3.27523340216611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7.61035007610338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'INSC-POSG uni'!$AS$86:$AS$98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('INSC-POSG uni'!$V$72,'INSC-POSG uni'!$Z$72,'INSC-POSG uni'!$AD$72,'INSC-POSG uni'!$AH$72,'INSC-POSG uni'!$AL$72,'INSC-POSG uni'!$AP$72,'INSC-POSG uni'!$AT$72,'INSC-POSG uni'!$AX$72,'INSC-POSG uni'!$BB$72,'INSC-POSG uni'!$BF$72,'INSC-POSG uni'!$BJ$72,'INSC-POSG uni'!$BN$72,'INSC-POSG uni'!$BR$72)</c:f>
              <c:numCache>
                <c:formatCode>0</c:formatCode>
                <c:ptCount val="13"/>
                <c:pt idx="0">
                  <c:v>230</c:v>
                </c:pt>
                <c:pt idx="1">
                  <c:v>219</c:v>
                </c:pt>
                <c:pt idx="2">
                  <c:v>209</c:v>
                </c:pt>
                <c:pt idx="3">
                  <c:v>261</c:v>
                </c:pt>
                <c:pt idx="4">
                  <c:v>279</c:v>
                </c:pt>
                <c:pt idx="5" formatCode="#,##0">
                  <c:v>268</c:v>
                </c:pt>
                <c:pt idx="6" formatCode="#,##0">
                  <c:v>280</c:v>
                </c:pt>
                <c:pt idx="7" formatCode="#,##0">
                  <c:v>241</c:v>
                </c:pt>
                <c:pt idx="8" formatCode="#,##0">
                  <c:v>300</c:v>
                </c:pt>
                <c:pt idx="9" formatCode="#,##0">
                  <c:v>287</c:v>
                </c:pt>
                <c:pt idx="10" formatCode="#,##0">
                  <c:v>294</c:v>
                </c:pt>
                <c:pt idx="11" formatCode="#,##0">
                  <c:v>307</c:v>
                </c:pt>
                <c:pt idx="12" formatCode="#,##0">
                  <c:v>315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shape val="cylinder"/>
        <c:axId val="107792640"/>
        <c:axId val="107962368"/>
        <c:axId val="0"/>
      </c:bar3DChart>
      <c:catAx>
        <c:axId val="10779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7962368"/>
        <c:crosses val="autoZero"/>
        <c:auto val="1"/>
        <c:lblAlgn val="ctr"/>
        <c:lblOffset val="100"/>
        <c:noMultiLvlLbl val="0"/>
      </c:catAx>
      <c:valAx>
        <c:axId val="107962368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1077926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6689557640911332E-2"/>
          <c:y val="0.96800836858790762"/>
          <c:w val="0.85922350459617192"/>
          <c:h val="2.4845597418262162E-2"/>
        </c:manualLayout>
      </c:layout>
      <c:overlay val="0"/>
      <c:txPr>
        <a:bodyPr/>
        <a:lstStyle/>
        <a:p>
          <a:pPr>
            <a:defRPr sz="1100" i="1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 sz="1800" b="1" i="0" u="none" strike="noStrike" baseline="0">
                <a:effectLst/>
              </a:rPr>
              <a:t>INSCRITOS DE PRIMER INGRESO A POSGRADO POR NIVEL</a:t>
            </a:r>
            <a:endParaRPr lang="es-MX"/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'INSC-POSG uni'!$B$74</c:f>
              <c:strCache>
                <c:ptCount val="1"/>
                <c:pt idx="0">
                  <c:v>Especialización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54129190515126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6.54129190515126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6.5411631395625837E-3"/>
                  <c:y val="-7.14604633732771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6.54129190515126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6.54129190515126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6.54129190515126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4.88997555012212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'INSC-POSG uni'!$AS$86:$AS$98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('INSC-POSG uni'!$V$74,'INSC-POSG uni'!$Z$74,'INSC-POSG uni'!$AD$74,'INSC-POSG uni'!$AH$74,'INSC-POSG uni'!$AL$74,'INSC-POSG uni'!$AP$74,'INSC-POSG uni'!$AT$74,'INSC-POSG uni'!$AX$74,'INSC-POSG uni'!$BB$74,'INSC-POSG uni'!$BF$74,'INSC-POSG uni'!$BJ$74,'INSC-POSG uni'!$BN$74,'INSC-POSG uni'!$BR$74)</c:f>
              <c:numCache>
                <c:formatCode>0</c:formatCode>
                <c:ptCount val="13"/>
                <c:pt idx="0">
                  <c:v>113</c:v>
                </c:pt>
                <c:pt idx="1">
                  <c:v>167</c:v>
                </c:pt>
                <c:pt idx="2">
                  <c:v>64</c:v>
                </c:pt>
                <c:pt idx="3">
                  <c:v>184</c:v>
                </c:pt>
                <c:pt idx="4">
                  <c:v>254</c:v>
                </c:pt>
                <c:pt idx="5" formatCode="#,##0">
                  <c:v>231</c:v>
                </c:pt>
                <c:pt idx="6" formatCode="#,##0">
                  <c:v>221</c:v>
                </c:pt>
                <c:pt idx="7" formatCode="#,##0">
                  <c:v>260</c:v>
                </c:pt>
                <c:pt idx="8" formatCode="#,##0">
                  <c:v>199</c:v>
                </c:pt>
                <c:pt idx="9" formatCode="#,##0">
                  <c:v>129</c:v>
                </c:pt>
                <c:pt idx="10" formatCode="#,##0">
                  <c:v>135</c:v>
                </c:pt>
                <c:pt idx="11" formatCode="#,##0">
                  <c:v>122</c:v>
                </c:pt>
                <c:pt idx="12" formatCode="#,##0">
                  <c:v>113</c:v>
                </c:pt>
              </c:numCache>
            </c:numRef>
          </c:val>
        </c:ser>
        <c:ser>
          <c:idx val="1"/>
          <c:order val="1"/>
          <c:tx>
            <c:strRef>
              <c:f>'INSC-POSG uni'!$B$75</c:f>
              <c:strCache>
                <c:ptCount val="1"/>
                <c:pt idx="0">
                  <c:v>Maestría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17661488143908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4.9059689288634507E-3"/>
                  <c:y val="6.550466804332237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8.17661488143908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8.17661488143908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9059689288634507E-3"/>
                  <c:y val="6.550466804332237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4.90596892886339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6.54129190515126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8.17661488143908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8.1499592502036287E-3"/>
                  <c:y val="6.424220418161419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'INSC-POSG uni'!$AS$86:$AS$98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('INSC-POSG uni'!$V$75,'INSC-POSG uni'!$Z$75,'INSC-POSG uni'!$AD$75,'INSC-POSG uni'!$AH$75,'INSC-POSG uni'!$AL$75,'INSC-POSG uni'!$AP$75,'INSC-POSG uni'!$AT$75,'INSC-POSG uni'!$AX$75,'INSC-POSG uni'!$BB$75,'INSC-POSG uni'!$BF$75,'INSC-POSG uni'!$BJ$75,'INSC-POSG uni'!$BN$75,'INSC-POSG uni'!$BR$75)</c:f>
              <c:numCache>
                <c:formatCode>0</c:formatCode>
                <c:ptCount val="13"/>
                <c:pt idx="0">
                  <c:v>270</c:v>
                </c:pt>
                <c:pt idx="1">
                  <c:v>346</c:v>
                </c:pt>
                <c:pt idx="2">
                  <c:v>408</c:v>
                </c:pt>
                <c:pt idx="3">
                  <c:v>403</c:v>
                </c:pt>
                <c:pt idx="4">
                  <c:v>393</c:v>
                </c:pt>
                <c:pt idx="5" formatCode="#,##0">
                  <c:v>532</c:v>
                </c:pt>
                <c:pt idx="6" formatCode="#,##0">
                  <c:v>452</c:v>
                </c:pt>
                <c:pt idx="7" formatCode="#,##0">
                  <c:v>469</c:v>
                </c:pt>
                <c:pt idx="8" formatCode="#,##0">
                  <c:v>486</c:v>
                </c:pt>
                <c:pt idx="9" formatCode="#,##0">
                  <c:v>636</c:v>
                </c:pt>
                <c:pt idx="10" formatCode="#,##0">
                  <c:v>571</c:v>
                </c:pt>
                <c:pt idx="11" formatCode="#,##0">
                  <c:v>709</c:v>
                </c:pt>
                <c:pt idx="12" formatCode="#,##0">
                  <c:v>647</c:v>
                </c:pt>
              </c:numCache>
            </c:numRef>
          </c:val>
        </c:ser>
        <c:ser>
          <c:idx val="2"/>
          <c:order val="2"/>
          <c:tx>
            <c:strRef>
              <c:f>'INSC-POSG uni'!$B$76</c:f>
              <c:strCache>
                <c:ptCount val="1"/>
                <c:pt idx="0">
                  <c:v>Doctorado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17661488143902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17661488143908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6.54129190515126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4.88997555012212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anchor="ctr" anchorCtr="1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'INSC-POSG uni'!$AS$86:$AS$98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('INSC-POSG uni'!$V$76,'INSC-POSG uni'!$Z$76,'INSC-POSG uni'!$AD$76,'INSC-POSG uni'!$AH$76,'INSC-POSG uni'!$AL$76,'INSC-POSG uni'!$AP$76,'INSC-POSG uni'!$AT$76,'INSC-POSG uni'!$AX$76,'INSC-POSG uni'!$BB$76,'INSC-POSG uni'!$BF$76,'INSC-POSG uni'!$BJ$76,'INSC-POSG uni'!$BN$76,'INSC-POSG uni'!$BR$76)</c:f>
              <c:numCache>
                <c:formatCode>0</c:formatCode>
                <c:ptCount val="13"/>
                <c:pt idx="0">
                  <c:v>198</c:v>
                </c:pt>
                <c:pt idx="1">
                  <c:v>181</c:v>
                </c:pt>
                <c:pt idx="2">
                  <c:v>224</c:v>
                </c:pt>
                <c:pt idx="3">
                  <c:v>130</c:v>
                </c:pt>
                <c:pt idx="4">
                  <c:v>249</c:v>
                </c:pt>
                <c:pt idx="5" formatCode="#,##0">
                  <c:v>177</c:v>
                </c:pt>
                <c:pt idx="6" formatCode="#,##0">
                  <c:v>219</c:v>
                </c:pt>
                <c:pt idx="7" formatCode="#,##0">
                  <c:v>237</c:v>
                </c:pt>
                <c:pt idx="8" formatCode="#,##0">
                  <c:v>305</c:v>
                </c:pt>
                <c:pt idx="9" formatCode="#,##0">
                  <c:v>283</c:v>
                </c:pt>
                <c:pt idx="10" formatCode="#,##0">
                  <c:v>282</c:v>
                </c:pt>
                <c:pt idx="11" formatCode="#,##0">
                  <c:v>337</c:v>
                </c:pt>
                <c:pt idx="12" formatCode="#,##0">
                  <c:v>312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shape val="cylinder"/>
        <c:axId val="108289024"/>
        <c:axId val="108323584"/>
        <c:axId val="0"/>
      </c:bar3DChart>
      <c:catAx>
        <c:axId val="10828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8323584"/>
        <c:crosses val="autoZero"/>
        <c:auto val="1"/>
        <c:lblAlgn val="ctr"/>
        <c:lblOffset val="100"/>
        <c:noMultiLvlLbl val="0"/>
      </c:catAx>
      <c:valAx>
        <c:axId val="108323584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1082890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778383742858158"/>
          <c:y val="0.96258341691028448"/>
          <c:w val="0.53013623000424259"/>
          <c:h val="3.7416583089715405E-2"/>
        </c:manualLayout>
      </c:layout>
      <c:overlay val="0"/>
      <c:txPr>
        <a:bodyPr/>
        <a:lstStyle/>
        <a:p>
          <a:pPr>
            <a:defRPr i="1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>
      <a:bevelT w="152400" h="50800" prst="softRound"/>
    </a:sp3d>
  </c:spPr>
  <c:printSettings>
    <c:headerFooter/>
    <c:pageMargins b="0.75" l="0.7" r="0.7" t="0.75" header="0.3" footer="0.3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F08200"/>
                </a:solidFill>
              </a:defRPr>
            </a:pPr>
            <a:r>
              <a:rPr lang="es-MX" sz="1200" b="0">
                <a:solidFill>
                  <a:srgbClr val="F08200"/>
                </a:solidFill>
              </a:rPr>
              <a:t>Cuajimalpa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'Admitidos uni'!$B$11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4"/>
              <c:layout>
                <c:manualLayout>
                  <c:x val="-4.2921323576274817E-2"/>
                  <c:y val="-4.7118761317625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uni'!$Z$11,'Admitidos uni'!$AC$11,'Admitidos uni'!$AF$11,'Admitidos uni'!$AI$11,'Admitidos uni'!$AL$11)</c:f>
              <c:numCache>
                <c:formatCode>#,##0</c:formatCode>
                <c:ptCount val="5"/>
                <c:pt idx="0">
                  <c:v>94</c:v>
                </c:pt>
                <c:pt idx="1">
                  <c:v>105</c:v>
                </c:pt>
                <c:pt idx="2">
                  <c:v>106</c:v>
                </c:pt>
                <c:pt idx="3">
                  <c:v>123</c:v>
                </c:pt>
                <c:pt idx="4">
                  <c:v>227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'Admitidos uni'!$B$12</c:f>
              <c:strCache>
                <c:ptCount val="1"/>
                <c:pt idx="0">
                  <c:v>CCD</c:v>
                </c:pt>
              </c:strCache>
            </c:strRef>
          </c:tx>
          <c:spPr>
            <a:ln w="12700">
              <a:solidFill>
                <a:srgbClr val="F082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0"/>
              <c:layout>
                <c:manualLayout>
                  <c:x val="-4.2994791214012153E-2"/>
                  <c:y val="-5.2286719973956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1824813289067344E-2"/>
                  <c:y val="4.590449449632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2994791214012153E-2"/>
                  <c:y val="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1824813289067344E-2"/>
                  <c:y val="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8808004959644942E-2"/>
                  <c:y val="4.59044944963275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F082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uni'!$Z$12,'Admitidos uni'!$AC$12,'Admitidos uni'!$AF$12,'Admitidos uni'!$AI$12,'Admitidos uni'!$AL$12)</c:f>
              <c:numCache>
                <c:formatCode>#,##0</c:formatCode>
                <c:ptCount val="5"/>
                <c:pt idx="0">
                  <c:v>159</c:v>
                </c:pt>
                <c:pt idx="1">
                  <c:v>158</c:v>
                </c:pt>
                <c:pt idx="2">
                  <c:v>153</c:v>
                </c:pt>
                <c:pt idx="3">
                  <c:v>158</c:v>
                </c:pt>
                <c:pt idx="4">
                  <c:v>189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'Admitidos uni'!$B$13</c:f>
              <c:strCache>
                <c:ptCount val="1"/>
                <c:pt idx="0">
                  <c:v>CNI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3.4091301501219633E-2"/>
                  <c:y val="6.77905959429489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tx1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uni'!$Z$13,'Admitidos uni'!$AC$13,'Admitidos uni'!$AF$13,'Admitidos uni'!$AI$13,'Admitidos uni'!$AL$13)</c:f>
              <c:numCache>
                <c:formatCode>#,##0</c:formatCode>
                <c:ptCount val="5"/>
                <c:pt idx="0">
                  <c:v>146</c:v>
                </c:pt>
                <c:pt idx="1">
                  <c:v>166</c:v>
                </c:pt>
                <c:pt idx="2">
                  <c:v>175</c:v>
                </c:pt>
                <c:pt idx="3">
                  <c:v>222</c:v>
                </c:pt>
                <c:pt idx="4">
                  <c:v>293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197440"/>
        <c:axId val="95236096"/>
      </c:lineChart>
      <c:catAx>
        <c:axId val="9519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5236096"/>
        <c:crosses val="autoZero"/>
        <c:auto val="1"/>
        <c:lblAlgn val="ctr"/>
        <c:lblOffset val="100"/>
        <c:noMultiLvlLbl val="0"/>
      </c:catAx>
      <c:valAx>
        <c:axId val="9523609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95197440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INSCRITOS DE PRIMER INGRESO Y REINSCRITOS DE POSGRADO POR</a:t>
            </a:r>
            <a:r>
              <a:rPr lang="es-MX" sz="1400" baseline="0"/>
              <a:t> UNIDAD</a:t>
            </a:r>
            <a:endParaRPr lang="es-MX" sz="1400"/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'MATRICULA-POS uni'!$A$18:$A$21</c:f>
              <c:strCache>
                <c:ptCount val="1"/>
                <c:pt idx="0">
                  <c:v>Unidad Azcapotzalco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'MATRICULA-POS uni'!$U$84:$U$96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('MATRICULA-POS uni'!$E$21,'MATRICULA-POS uni'!$H$21,'MATRICULA-POS uni'!$K$21,'MATRICULA-POS uni'!$N$21,'MATRICULA-POS uni'!$Q$21,'MATRICULA-POS uni'!$T$21,'MATRICULA-POS uni'!$W$21,'MATRICULA-POS uni'!$Z$21,'MATRICULA-POS uni'!$AC$21,'MATRICULA-POS uni'!$AF$21,'MATRICULA-POS uni'!$AI$21,'MATRICULA-POS uni'!$AL$21,'MATRICULA-POS uni'!$AO$21)</c:f>
              <c:numCache>
                <c:formatCode>#,##0</c:formatCode>
                <c:ptCount val="13"/>
                <c:pt idx="0">
                  <c:v>226</c:v>
                </c:pt>
                <c:pt idx="1">
                  <c:v>269</c:v>
                </c:pt>
                <c:pt idx="2">
                  <c:v>281</c:v>
                </c:pt>
                <c:pt idx="3">
                  <c:v>288</c:v>
                </c:pt>
                <c:pt idx="4">
                  <c:v>365</c:v>
                </c:pt>
                <c:pt idx="5">
                  <c:v>365</c:v>
                </c:pt>
                <c:pt idx="6">
                  <c:v>469</c:v>
                </c:pt>
                <c:pt idx="7">
                  <c:v>519</c:v>
                </c:pt>
                <c:pt idx="8">
                  <c:v>416</c:v>
                </c:pt>
                <c:pt idx="9">
                  <c:v>450</c:v>
                </c:pt>
                <c:pt idx="10">
                  <c:v>469</c:v>
                </c:pt>
                <c:pt idx="11">
                  <c:v>597</c:v>
                </c:pt>
                <c:pt idx="12">
                  <c:v>509</c:v>
                </c:pt>
              </c:numCache>
            </c:numRef>
          </c:val>
        </c:ser>
        <c:ser>
          <c:idx val="1"/>
          <c:order val="1"/>
          <c:tx>
            <c:strRef>
              <c:f>'MATRICULA-POS uni'!$A$35:$A$38</c:f>
              <c:strCache>
                <c:ptCount val="1"/>
                <c:pt idx="0">
                  <c:v>Unidad 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>
              <a:bevelT w="152400" h="50800" prst="softRound"/>
            </a:sp3d>
          </c:spPr>
          <c:invertIfNegative val="0"/>
          <c:dLbls>
            <c:dLbl>
              <c:idx val="8"/>
              <c:layout>
                <c:manualLayout>
                  <c:x val="9.19540229885057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'MATRICULA-POS uni'!$U$84:$U$96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('MATRICULA-POS uni'!$E$38,'MATRICULA-POS uni'!$H$38,'MATRICULA-POS uni'!$K$38,'MATRICULA-POS uni'!$N$38,'MATRICULA-POS uni'!$Q$38,'MATRICULA-POS uni'!$T$38,'MATRICULA-POS uni'!$W$38,'MATRICULA-POS uni'!$Z$38,'MATRICULA-POS uni'!$AC$38,'MATRICULA-POS uni'!$AF$38,'MATRICULA-POS uni'!$AI$38,'MATRICULA-POS uni'!$AL$38,'MATRICULA-POS uni'!$AO$38)</c:f>
              <c:numCache>
                <c:formatCode>#,##0</c:formatCode>
                <c:ptCount val="13"/>
                <c:pt idx="8">
                  <c:v>30</c:v>
                </c:pt>
                <c:pt idx="9">
                  <c:v>80</c:v>
                </c:pt>
                <c:pt idx="10">
                  <c:v>123</c:v>
                </c:pt>
                <c:pt idx="11">
                  <c:v>160</c:v>
                </c:pt>
                <c:pt idx="12">
                  <c:v>201</c:v>
                </c:pt>
              </c:numCache>
            </c:numRef>
          </c:val>
        </c:ser>
        <c:ser>
          <c:idx val="2"/>
          <c:order val="2"/>
          <c:tx>
            <c:strRef>
              <c:f>'MATRICULA-POS uni'!$A$52:$A$55</c:f>
              <c:strCache>
                <c:ptCount val="1"/>
                <c:pt idx="0">
                  <c:v>Unidad 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anchor="ctr" anchorCtr="1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'MATRICULA-POS uni'!$U$84:$U$96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('MATRICULA-POS uni'!$E$55,'MATRICULA-POS uni'!$H$55,'MATRICULA-POS uni'!$K$55,'MATRICULA-POS uni'!$N$55,'MATRICULA-POS uni'!$Q$55,'MATRICULA-POS uni'!$T$55,'MATRICULA-POS uni'!$W$55,'MATRICULA-POS uni'!$Z$55,'MATRICULA-POS uni'!$AC$55,'MATRICULA-POS uni'!$AF$55,'MATRICULA-POS uni'!$AI$55,'MATRICULA-POS uni'!$AL$55,'MATRICULA-POS uni'!$AO$55)</c:f>
              <c:numCache>
                <c:formatCode>#,##0</c:formatCode>
                <c:ptCount val="13"/>
                <c:pt idx="0">
                  <c:v>950</c:v>
                </c:pt>
                <c:pt idx="1">
                  <c:v>947</c:v>
                </c:pt>
                <c:pt idx="2">
                  <c:v>930</c:v>
                </c:pt>
                <c:pt idx="3">
                  <c:v>1022</c:v>
                </c:pt>
                <c:pt idx="4">
                  <c:v>1091</c:v>
                </c:pt>
                <c:pt idx="5">
                  <c:v>1252</c:v>
                </c:pt>
                <c:pt idx="6">
                  <c:v>1303</c:v>
                </c:pt>
                <c:pt idx="7">
                  <c:v>1434</c:v>
                </c:pt>
                <c:pt idx="8">
                  <c:v>1552</c:v>
                </c:pt>
                <c:pt idx="9">
                  <c:v>1522</c:v>
                </c:pt>
                <c:pt idx="10">
                  <c:v>1616</c:v>
                </c:pt>
                <c:pt idx="11">
                  <c:v>1679</c:v>
                </c:pt>
                <c:pt idx="12">
                  <c:v>1657</c:v>
                </c:pt>
              </c:numCache>
            </c:numRef>
          </c:val>
        </c:ser>
        <c:ser>
          <c:idx val="3"/>
          <c:order val="3"/>
          <c:tx>
            <c:strRef>
              <c:f>'MATRICULA-POS uni'!$A$69:$A$72</c:f>
              <c:strCache>
                <c:ptCount val="1"/>
                <c:pt idx="0">
                  <c:v>Unidad 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'MATRICULA-POS uni'!$U$84:$U$96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('MATRICULA-POS uni'!$E$72,'MATRICULA-POS uni'!$H$72,'MATRICULA-POS uni'!$K$72,'MATRICULA-POS uni'!$N$72,'MATRICULA-POS uni'!$Q$72,'MATRICULA-POS uni'!$T$72,'MATRICULA-POS uni'!$W$72,'MATRICULA-POS uni'!$Z$72,'MATRICULA-POS uni'!$AC$72,'MATRICULA-POS uni'!$AF$72,'MATRICULA-POS uni'!$AI$72,'MATRICULA-POS uni'!$AL$72,'MATRICULA-POS uni'!$AO$72)</c:f>
              <c:numCache>
                <c:formatCode>#,##0</c:formatCode>
                <c:ptCount val="13"/>
                <c:pt idx="0">
                  <c:v>516</c:v>
                </c:pt>
                <c:pt idx="1">
                  <c:v>476</c:v>
                </c:pt>
                <c:pt idx="2">
                  <c:v>530</c:v>
                </c:pt>
                <c:pt idx="3">
                  <c:v>547</c:v>
                </c:pt>
                <c:pt idx="4">
                  <c:v>590</c:v>
                </c:pt>
                <c:pt idx="5">
                  <c:v>630</c:v>
                </c:pt>
                <c:pt idx="6">
                  <c:v>747</c:v>
                </c:pt>
                <c:pt idx="7">
                  <c:v>685</c:v>
                </c:pt>
                <c:pt idx="8">
                  <c:v>687</c:v>
                </c:pt>
                <c:pt idx="9">
                  <c:v>746</c:v>
                </c:pt>
                <c:pt idx="10">
                  <c:v>739</c:v>
                </c:pt>
                <c:pt idx="11">
                  <c:v>814</c:v>
                </c:pt>
                <c:pt idx="12">
                  <c:v>786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1"/>
        <c:shape val="cylinder"/>
        <c:axId val="109127936"/>
        <c:axId val="109154304"/>
        <c:axId val="0"/>
      </c:bar3DChart>
      <c:catAx>
        <c:axId val="10912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9154304"/>
        <c:crosses val="autoZero"/>
        <c:auto val="1"/>
        <c:lblAlgn val="ctr"/>
        <c:lblOffset val="100"/>
        <c:noMultiLvlLbl val="0"/>
      </c:catAx>
      <c:valAx>
        <c:axId val="10915430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0912793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i="1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INSCRITOS DE PRIMER INGRESO Y REINSCRITOS DE POSGRADO POR NIVEL</a:t>
            </a: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  <a:scene3d>
          <a:camera prst="orthographicFront"/>
          <a:lightRig rig="threePt" dir="t"/>
        </a:scene3d>
        <a:sp3d>
          <a:bevelT w="165100" prst="coolSlant"/>
        </a:sp3d>
      </c:spPr>
    </c:sideWall>
    <c:backWall>
      <c:thickness val="0"/>
      <c:spPr>
        <a:noFill/>
        <a:ln>
          <a:noFill/>
        </a:ln>
        <a:scene3d>
          <a:camera prst="orthographicFront"/>
          <a:lightRig rig="threePt" dir="t"/>
        </a:scene3d>
        <a:sp3d>
          <a:bevelT w="165100" prst="coolSlant"/>
        </a:sp3d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'MATRICULA-POS uni'!$B$74</c:f>
              <c:strCache>
                <c:ptCount val="1"/>
                <c:pt idx="0">
                  <c:v>Especialización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3.6781609195402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5.51724137931027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3.67816091954022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'MATRICULA-POS uni'!$U$84:$U$96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('MATRICULA-POS uni'!$E$74,'MATRICULA-POS uni'!$H$74,'MATRICULA-POS uni'!$K$74,'MATRICULA-POS uni'!$N$74,'MATRICULA-POS uni'!$Q$74,'MATRICULA-POS uni'!$T$74,'MATRICULA-POS uni'!$W$74,'MATRICULA-POS uni'!$Z$74,'MATRICULA-POS uni'!$AC$74,'MATRICULA-POS uni'!$AF$74,'MATRICULA-POS uni'!$AI$74,'MATRICULA-POS uni'!$AL$74,'MATRICULA-POS uni'!$AO$74)</c:f>
              <c:numCache>
                <c:formatCode>#,##0</c:formatCode>
                <c:ptCount val="13"/>
                <c:pt idx="0">
                  <c:v>147</c:v>
                </c:pt>
                <c:pt idx="1">
                  <c:v>195</c:v>
                </c:pt>
                <c:pt idx="2">
                  <c:v>82</c:v>
                </c:pt>
                <c:pt idx="3">
                  <c:v>180</c:v>
                </c:pt>
                <c:pt idx="4">
                  <c:v>253</c:v>
                </c:pt>
                <c:pt idx="5">
                  <c:v>242</c:v>
                </c:pt>
                <c:pt idx="6">
                  <c:v>237</c:v>
                </c:pt>
                <c:pt idx="7">
                  <c:v>283</c:v>
                </c:pt>
                <c:pt idx="8">
                  <c:v>277</c:v>
                </c:pt>
                <c:pt idx="9">
                  <c:v>210</c:v>
                </c:pt>
                <c:pt idx="10">
                  <c:v>200</c:v>
                </c:pt>
                <c:pt idx="11">
                  <c:v>214</c:v>
                </c:pt>
                <c:pt idx="12">
                  <c:v>145</c:v>
                </c:pt>
              </c:numCache>
            </c:numRef>
          </c:val>
        </c:ser>
        <c:ser>
          <c:idx val="1"/>
          <c:order val="1"/>
          <c:tx>
            <c:strRef>
              <c:f>'MATRICULA-POS uni'!$B$75</c:f>
              <c:strCache>
                <c:ptCount val="1"/>
                <c:pt idx="0">
                  <c:v>Maestría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'MATRICULA-POS uni'!$U$84:$U$96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('MATRICULA-POS uni'!$E$75,'MATRICULA-POS uni'!$H$75,'MATRICULA-POS uni'!$K$75,'MATRICULA-POS uni'!$N$75,'MATRICULA-POS uni'!$Q$75,'MATRICULA-POS uni'!$T$75,'MATRICULA-POS uni'!$W$75,'MATRICULA-POS uni'!$Z$75,'MATRICULA-POS uni'!$AC$75,'MATRICULA-POS uni'!$AF$75,'MATRICULA-POS uni'!$AI$75,'MATRICULA-POS uni'!$AL$75,'MATRICULA-POS uni'!$AO$75)</c:f>
              <c:numCache>
                <c:formatCode>#,##0</c:formatCode>
                <c:ptCount val="13"/>
                <c:pt idx="0">
                  <c:v>728</c:v>
                </c:pt>
                <c:pt idx="1">
                  <c:v>731</c:v>
                </c:pt>
                <c:pt idx="2">
                  <c:v>832</c:v>
                </c:pt>
                <c:pt idx="3">
                  <c:v>884</c:v>
                </c:pt>
                <c:pt idx="4">
                  <c:v>914</c:v>
                </c:pt>
                <c:pt idx="5">
                  <c:v>1118</c:v>
                </c:pt>
                <c:pt idx="6">
                  <c:v>1231</c:v>
                </c:pt>
                <c:pt idx="7">
                  <c:v>1243</c:v>
                </c:pt>
                <c:pt idx="8">
                  <c:v>1249</c:v>
                </c:pt>
                <c:pt idx="9">
                  <c:v>1418</c:v>
                </c:pt>
                <c:pt idx="10">
                  <c:v>1443</c:v>
                </c:pt>
                <c:pt idx="11">
                  <c:v>1629</c:v>
                </c:pt>
                <c:pt idx="12">
                  <c:v>1629</c:v>
                </c:pt>
              </c:numCache>
            </c:numRef>
          </c:val>
        </c:ser>
        <c:ser>
          <c:idx val="2"/>
          <c:order val="2"/>
          <c:tx>
            <c:strRef>
              <c:f>'MATRICULA-POS uni'!$B$76</c:f>
              <c:strCache>
                <c:ptCount val="1"/>
                <c:pt idx="0">
                  <c:v>Doctorado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anchor="ctr" anchorCtr="1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'MATRICULA-POS uni'!$U$84:$U$96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('MATRICULA-POS uni'!$E$76,'MATRICULA-POS uni'!$H$76,'MATRICULA-POS uni'!$K$76,'MATRICULA-POS uni'!$N$76,'MATRICULA-POS uni'!$Q$76,'MATRICULA-POS uni'!$T$76,'MATRICULA-POS uni'!$W$76,'MATRICULA-POS uni'!$Z$76,'MATRICULA-POS uni'!$AC$76,'MATRICULA-POS uni'!$AF$76,'MATRICULA-POS uni'!$AI$76,'MATRICULA-POS uni'!$AL$76,'MATRICULA-POS uni'!$AO$76)</c:f>
              <c:numCache>
                <c:formatCode>#,##0</c:formatCode>
                <c:ptCount val="13"/>
                <c:pt idx="0">
                  <c:v>817</c:v>
                </c:pt>
                <c:pt idx="1">
                  <c:v>766</c:v>
                </c:pt>
                <c:pt idx="2">
                  <c:v>827</c:v>
                </c:pt>
                <c:pt idx="3">
                  <c:v>793</c:v>
                </c:pt>
                <c:pt idx="4">
                  <c:v>879</c:v>
                </c:pt>
                <c:pt idx="5">
                  <c:v>887</c:v>
                </c:pt>
                <c:pt idx="6">
                  <c:v>1051</c:v>
                </c:pt>
                <c:pt idx="7">
                  <c:v>1112</c:v>
                </c:pt>
                <c:pt idx="8">
                  <c:v>1159</c:v>
                </c:pt>
                <c:pt idx="9">
                  <c:v>1170</c:v>
                </c:pt>
                <c:pt idx="10">
                  <c:v>1304</c:v>
                </c:pt>
                <c:pt idx="11">
                  <c:v>1407</c:v>
                </c:pt>
                <c:pt idx="12">
                  <c:v>1379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1"/>
        <c:shape val="cylinder"/>
        <c:axId val="109190144"/>
        <c:axId val="109220608"/>
        <c:axId val="0"/>
      </c:bar3DChart>
      <c:catAx>
        <c:axId val="10919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9220608"/>
        <c:crosses val="autoZero"/>
        <c:auto val="1"/>
        <c:lblAlgn val="ctr"/>
        <c:lblOffset val="100"/>
        <c:noMultiLvlLbl val="0"/>
      </c:catAx>
      <c:valAx>
        <c:axId val="10922060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091901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265450266992488"/>
          <c:y val="0.91560960117960533"/>
          <c:w val="0.56526556249434334"/>
          <c:h val="6.3365434572491011E-2"/>
        </c:manualLayout>
      </c:layout>
      <c:overlay val="0"/>
      <c:txPr>
        <a:bodyPr/>
        <a:lstStyle/>
        <a:p>
          <a:pPr>
            <a:defRPr i="1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>
      <a:bevelT w="152400" h="50800" prst="softRound"/>
    </a:sp3d>
  </c:spPr>
  <c:printSettings>
    <c:headerFooter/>
    <c:pageMargins b="0.75" l="0.7" r="0.7" t="0.75" header="0.3" footer="0.3"/>
    <c:pageSetup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ALUMNOS DE POSGRADO QUE REGISTRARON ACTIVIDAD ACADEMICA POR</a:t>
            </a:r>
            <a:r>
              <a:rPr lang="es-MX" sz="1400" baseline="0"/>
              <a:t> UNIDAD</a:t>
            </a:r>
            <a:endParaRPr lang="es-MX" sz="1400"/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'ACTIVOS-POS uni'!$C$105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'ACTIVOS-POS uni'!$C$92:$C$104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('ACTIVOS-POS uni'!$D$20:$N$20,'ACTIVOS-POS uni'!$O$20,'ACTIVOS-POS uni'!$P$20)</c:f>
              <c:numCache>
                <c:formatCode>#,##0</c:formatCode>
                <c:ptCount val="13"/>
                <c:pt idx="0">
                  <c:v>374</c:v>
                </c:pt>
                <c:pt idx="1">
                  <c:v>381</c:v>
                </c:pt>
                <c:pt idx="2">
                  <c:v>398</c:v>
                </c:pt>
                <c:pt idx="3">
                  <c:v>395</c:v>
                </c:pt>
                <c:pt idx="4">
                  <c:v>510</c:v>
                </c:pt>
                <c:pt idx="5">
                  <c:v>462</c:v>
                </c:pt>
                <c:pt idx="6">
                  <c:v>553</c:v>
                </c:pt>
                <c:pt idx="7">
                  <c:v>599</c:v>
                </c:pt>
                <c:pt idx="8">
                  <c:v>575</c:v>
                </c:pt>
                <c:pt idx="9">
                  <c:v>589</c:v>
                </c:pt>
                <c:pt idx="10">
                  <c:v>607</c:v>
                </c:pt>
                <c:pt idx="11">
                  <c:v>698</c:v>
                </c:pt>
                <c:pt idx="12">
                  <c:v>707</c:v>
                </c:pt>
              </c:numCache>
            </c:numRef>
          </c:val>
        </c:ser>
        <c:ser>
          <c:idx val="1"/>
          <c:order val="1"/>
          <c:tx>
            <c:strRef>
              <c:f>'ACTIVOS-POS uni'!$C$106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8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5.5172413793103444E-3"/>
                  <c:y val="-3.50416070798394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'ACTIVOS-POS uni'!$C$92:$C$104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('ACTIVOS-POS uni'!$D$71:$N$71,'ACTIVOS-POS uni'!$O$71,'ACTIVOS-POS uni'!$P$71)</c:f>
              <c:numCache>
                <c:formatCode>#,##0</c:formatCode>
                <c:ptCount val="13"/>
                <c:pt idx="8">
                  <c:v>32</c:v>
                </c:pt>
                <c:pt idx="9">
                  <c:v>85</c:v>
                </c:pt>
                <c:pt idx="10">
                  <c:v>138</c:v>
                </c:pt>
                <c:pt idx="11">
                  <c:v>179</c:v>
                </c:pt>
                <c:pt idx="12">
                  <c:v>219</c:v>
                </c:pt>
              </c:numCache>
            </c:numRef>
          </c:val>
        </c:ser>
        <c:ser>
          <c:idx val="2"/>
          <c:order val="2"/>
          <c:tx>
            <c:strRef>
              <c:f>'ACTIVOS-POS uni'!$C$107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anchor="ctr" anchorCtr="1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'ACTIVOS-POS uni'!$C$92:$C$104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('ACTIVOS-POS uni'!$D$37:$N$37,'ACTIVOS-POS uni'!$O$37,'ACTIVOS-POS uni'!$P$37)</c:f>
              <c:numCache>
                <c:formatCode>#,##0</c:formatCode>
                <c:ptCount val="13"/>
                <c:pt idx="0">
                  <c:v>1142</c:v>
                </c:pt>
                <c:pt idx="1">
                  <c:v>1209</c:v>
                </c:pt>
                <c:pt idx="2">
                  <c:v>1213</c:v>
                </c:pt>
                <c:pt idx="3">
                  <c:v>1210</c:v>
                </c:pt>
                <c:pt idx="4">
                  <c:v>1314</c:v>
                </c:pt>
                <c:pt idx="5">
                  <c:v>1459</c:v>
                </c:pt>
                <c:pt idx="6">
                  <c:v>1563</c:v>
                </c:pt>
                <c:pt idx="7">
                  <c:v>1781</c:v>
                </c:pt>
                <c:pt idx="8">
                  <c:v>1821</c:v>
                </c:pt>
                <c:pt idx="9">
                  <c:v>1826</c:v>
                </c:pt>
                <c:pt idx="10">
                  <c:v>1773</c:v>
                </c:pt>
                <c:pt idx="11">
                  <c:v>1875</c:v>
                </c:pt>
                <c:pt idx="12">
                  <c:v>1802</c:v>
                </c:pt>
              </c:numCache>
            </c:numRef>
          </c:val>
        </c:ser>
        <c:ser>
          <c:idx val="3"/>
          <c:order val="3"/>
          <c:tx>
            <c:strRef>
              <c:f>'ACTIVOS-POS uni'!$C$108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'ACTIVOS-POS uni'!$C$92:$C$104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('ACTIVOS-POS uni'!$D$54:$N$54,'ACTIVOS-POS uni'!$O$54,'ACTIVOS-POS uni'!$P$54)</c:f>
              <c:numCache>
                <c:formatCode>#,##0</c:formatCode>
                <c:ptCount val="13"/>
                <c:pt idx="0">
                  <c:v>638</c:v>
                </c:pt>
                <c:pt idx="1">
                  <c:v>642</c:v>
                </c:pt>
                <c:pt idx="2">
                  <c:v>645</c:v>
                </c:pt>
                <c:pt idx="3">
                  <c:v>739</c:v>
                </c:pt>
                <c:pt idx="4">
                  <c:v>793</c:v>
                </c:pt>
                <c:pt idx="5">
                  <c:v>823</c:v>
                </c:pt>
                <c:pt idx="6">
                  <c:v>933</c:v>
                </c:pt>
                <c:pt idx="7">
                  <c:v>946</c:v>
                </c:pt>
                <c:pt idx="8">
                  <c:v>952</c:v>
                </c:pt>
                <c:pt idx="9">
                  <c:v>936</c:v>
                </c:pt>
                <c:pt idx="10">
                  <c:v>990</c:v>
                </c:pt>
                <c:pt idx="11">
                  <c:v>956</c:v>
                </c:pt>
                <c:pt idx="12">
                  <c:v>990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shape val="cylinder"/>
        <c:axId val="108608128"/>
        <c:axId val="108642688"/>
        <c:axId val="0"/>
      </c:bar3DChart>
      <c:catAx>
        <c:axId val="10860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8642688"/>
        <c:crosses val="autoZero"/>
        <c:auto val="1"/>
        <c:lblAlgn val="ctr"/>
        <c:lblOffset val="100"/>
        <c:noMultiLvlLbl val="0"/>
      </c:catAx>
      <c:valAx>
        <c:axId val="10864268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086081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958801701511451"/>
          <c:y val="0.92612208330355716"/>
          <c:w val="0.72036405104534351"/>
          <c:h val="6.3365434572491011E-2"/>
        </c:manualLayout>
      </c:layout>
      <c:overlay val="0"/>
      <c:txPr>
        <a:bodyPr/>
        <a:lstStyle/>
        <a:p>
          <a:pPr>
            <a:defRPr sz="1100" i="1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 b="1" i="0" u="none" strike="noStrike" baseline="0">
                <a:effectLst/>
              </a:rPr>
              <a:t>ALUMNOS DE POSGRADO QUE REGISTRARON ACTIVIDAD ACADEMICA POR NIVEL</a:t>
            </a:r>
            <a:endParaRPr lang="es-MX" sz="1400"/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'ACTIVOS-POS uni'!$C$73</c:f>
              <c:strCache>
                <c:ptCount val="1"/>
                <c:pt idx="0">
                  <c:v>Especialización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3.6781609195402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5.51724137931027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3.67816091954022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'ACTIVOS-POS uni'!$C$92:$C$104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('ACTIVOS-POS uni'!$D$73:$N$73,'ACTIVOS-POS uni'!$O$73,'ACTIVOS-POS uni'!$P$73)</c:f>
              <c:numCache>
                <c:formatCode>#,##0</c:formatCode>
                <c:ptCount val="13"/>
                <c:pt idx="0">
                  <c:v>223</c:v>
                </c:pt>
                <c:pt idx="1">
                  <c:v>282</c:v>
                </c:pt>
                <c:pt idx="2">
                  <c:v>225</c:v>
                </c:pt>
                <c:pt idx="3">
                  <c:v>254</c:v>
                </c:pt>
                <c:pt idx="4">
                  <c:v>336</c:v>
                </c:pt>
                <c:pt idx="5">
                  <c:v>322</c:v>
                </c:pt>
                <c:pt idx="6">
                  <c:v>365</c:v>
                </c:pt>
                <c:pt idx="7">
                  <c:v>394</c:v>
                </c:pt>
                <c:pt idx="8">
                  <c:v>363</c:v>
                </c:pt>
                <c:pt idx="9">
                  <c:v>349</c:v>
                </c:pt>
                <c:pt idx="10">
                  <c:v>221</c:v>
                </c:pt>
                <c:pt idx="11">
                  <c:v>221</c:v>
                </c:pt>
                <c:pt idx="12">
                  <c:v>190</c:v>
                </c:pt>
              </c:numCache>
            </c:numRef>
          </c:val>
        </c:ser>
        <c:ser>
          <c:idx val="1"/>
          <c:order val="1"/>
          <c:tx>
            <c:strRef>
              <c:f>'ACTIVOS-POS uni'!$C$74</c:f>
              <c:strCache>
                <c:ptCount val="1"/>
                <c:pt idx="0">
                  <c:v>Maestría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'ACTIVOS-POS uni'!$C$92:$C$104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('ACTIVOS-POS uni'!$D$74:$N$74,'ACTIVOS-POS uni'!$O$74,'ACTIVOS-POS uni'!$P$74)</c:f>
              <c:numCache>
                <c:formatCode>#,##0</c:formatCode>
                <c:ptCount val="13"/>
                <c:pt idx="0">
                  <c:v>956</c:v>
                </c:pt>
                <c:pt idx="1">
                  <c:v>1012</c:v>
                </c:pt>
                <c:pt idx="2">
                  <c:v>1073</c:v>
                </c:pt>
                <c:pt idx="3">
                  <c:v>1172</c:v>
                </c:pt>
                <c:pt idx="4">
                  <c:v>1232</c:v>
                </c:pt>
                <c:pt idx="5">
                  <c:v>1404</c:v>
                </c:pt>
                <c:pt idx="6">
                  <c:v>1561</c:v>
                </c:pt>
                <c:pt idx="7">
                  <c:v>1630</c:v>
                </c:pt>
                <c:pt idx="8">
                  <c:v>1625</c:v>
                </c:pt>
                <c:pt idx="9">
                  <c:v>1759</c:v>
                </c:pt>
                <c:pt idx="10">
                  <c:v>1791</c:v>
                </c:pt>
                <c:pt idx="11">
                  <c:v>1914</c:v>
                </c:pt>
                <c:pt idx="12">
                  <c:v>1943</c:v>
                </c:pt>
              </c:numCache>
            </c:numRef>
          </c:val>
        </c:ser>
        <c:ser>
          <c:idx val="2"/>
          <c:order val="2"/>
          <c:tx>
            <c:strRef>
              <c:f>'ACTIVOS-POS uni'!$C$75</c:f>
              <c:strCache>
                <c:ptCount val="1"/>
                <c:pt idx="0">
                  <c:v>Doctorado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anchor="ctr" anchorCtr="1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'ACTIVOS-POS uni'!$C$92:$C$104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('ACTIVOS-POS uni'!$D$75:$N$75,'ACTIVOS-POS uni'!$O$75,'ACTIVOS-POS uni'!$P$75)</c:f>
              <c:numCache>
                <c:formatCode>#,##0</c:formatCode>
                <c:ptCount val="13"/>
                <c:pt idx="0">
                  <c:v>975</c:v>
                </c:pt>
                <c:pt idx="1">
                  <c:v>938</c:v>
                </c:pt>
                <c:pt idx="2">
                  <c:v>958</c:v>
                </c:pt>
                <c:pt idx="3">
                  <c:v>918</c:v>
                </c:pt>
                <c:pt idx="4">
                  <c:v>1049</c:v>
                </c:pt>
                <c:pt idx="5">
                  <c:v>1018</c:v>
                </c:pt>
                <c:pt idx="6">
                  <c:v>1123</c:v>
                </c:pt>
                <c:pt idx="7">
                  <c:v>1302</c:v>
                </c:pt>
                <c:pt idx="8">
                  <c:v>1392</c:v>
                </c:pt>
                <c:pt idx="9">
                  <c:v>1328</c:v>
                </c:pt>
                <c:pt idx="10">
                  <c:v>1496</c:v>
                </c:pt>
                <c:pt idx="11">
                  <c:v>1573</c:v>
                </c:pt>
                <c:pt idx="12">
                  <c:v>1585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09264256"/>
        <c:axId val="109290624"/>
        <c:axId val="0"/>
      </c:bar3DChart>
      <c:catAx>
        <c:axId val="10926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9290624"/>
        <c:crosses val="autoZero"/>
        <c:auto val="1"/>
        <c:lblAlgn val="ctr"/>
        <c:lblOffset val="100"/>
        <c:noMultiLvlLbl val="0"/>
      </c:catAx>
      <c:valAx>
        <c:axId val="10929062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092642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265450266992488"/>
          <c:y val="0.91560960117960533"/>
          <c:w val="0.56526556249434334"/>
          <c:h val="6.3365434572491011E-2"/>
        </c:manualLayout>
      </c:layout>
      <c:overlay val="0"/>
      <c:txPr>
        <a:bodyPr/>
        <a:lstStyle/>
        <a:p>
          <a:pPr>
            <a:defRPr sz="1100" i="1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>
      <a:bevelT w="152400" h="50800" prst="softRound"/>
    </a:sp3d>
  </c:spPr>
  <c:printSettings>
    <c:headerFooter/>
    <c:pageMargins b="0.75" l="0.7" r="0.7" t="0.75" header="0.3" footer="0.3"/>
    <c:pageSetup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 sz="1800" b="1" i="0" u="none" strike="noStrike" baseline="0">
                <a:effectLst/>
              </a:rPr>
              <a:t>ESTUDIANTES QUE TERMINARON ESTUDIOS DE POSGRADO POR  UNIDAD </a:t>
            </a: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'EGRESO-POs uni'!$C$104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ln w="3175"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uni'!$C$87:$C$99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('EGRESO-POs uni'!$V$21,'EGRESO-POs uni'!$Z$21,'EGRESO-POs uni'!$AD$21,'EGRESO-POs uni'!$AH$21,'EGRESO-POs uni'!$AL$21,'EGRESO-POs uni'!$AP$21,'EGRESO-POs uni'!$AT$21,'EGRESO-POs uni'!$AX$21,'EGRESO-POs uni'!$BB$21,'EGRESO-POs uni'!$BF$21,'EGRESO-POs uni'!$BJ$21,'EGRESO-POs uni'!$BN$21,'EGRESO-POs uni'!$BR$21)</c:f>
              <c:numCache>
                <c:formatCode>0</c:formatCode>
                <c:ptCount val="13"/>
                <c:pt idx="0">
                  <c:v>69</c:v>
                </c:pt>
                <c:pt idx="1">
                  <c:v>84</c:v>
                </c:pt>
                <c:pt idx="2">
                  <c:v>103</c:v>
                </c:pt>
                <c:pt idx="3">
                  <c:v>107</c:v>
                </c:pt>
                <c:pt idx="4">
                  <c:v>97</c:v>
                </c:pt>
                <c:pt idx="5" formatCode="#,##0">
                  <c:v>84</c:v>
                </c:pt>
                <c:pt idx="6" formatCode="#,##0">
                  <c:v>121</c:v>
                </c:pt>
                <c:pt idx="7" formatCode="#,##0">
                  <c:v>104</c:v>
                </c:pt>
                <c:pt idx="8" formatCode="#,##0">
                  <c:v>158</c:v>
                </c:pt>
                <c:pt idx="9" formatCode="#,##0">
                  <c:v>121</c:v>
                </c:pt>
                <c:pt idx="10" formatCode="#,##0">
                  <c:v>154</c:v>
                </c:pt>
                <c:pt idx="11" formatCode="#,##0">
                  <c:v>138</c:v>
                </c:pt>
                <c:pt idx="12" formatCode="#,##0">
                  <c:v>105</c:v>
                </c:pt>
              </c:numCache>
            </c:numRef>
          </c:val>
        </c:ser>
        <c:ser>
          <c:idx val="1"/>
          <c:order val="1"/>
          <c:tx>
            <c:strRef>
              <c:f>'EGRESO-POs uni'!$C$105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>
              <a:bevelT w="152400" h="50800" prst="softRound"/>
            </a:sp3d>
          </c:spPr>
          <c:invertIfNegative val="0"/>
          <c:dLbls>
            <c:dLbl>
              <c:idx val="10"/>
              <c:layout>
                <c:manualLayout>
                  <c:x val="7.3698761000463176E-3"/>
                  <c:y val="3.5041607079839407E-3"/>
                </c:manualLayout>
              </c:layout>
              <c:spPr/>
              <c:txPr>
                <a:bodyPr/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spPr/>
              <c:txPr>
                <a:bodyPr/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uni'!$C$87:$C$99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('EGRESO-POs uni'!$V$72,'EGRESO-POs uni'!$Z$72,'EGRESO-POs uni'!$AD$72,'EGRESO-POs uni'!$AH$72,'EGRESO-POs uni'!$AL$72,'EGRESO-POs uni'!$AP$72,'EGRESO-POs uni'!$AT$72,'EGRESO-POs uni'!$AX$72,'EGRESO-POs uni'!$BB$72,'EGRESO-POs uni'!$BF$72,'EGRESO-POs uni'!$BJ$72,'EGRESO-POs uni'!$BN$72,'EGRESO-POs uni'!$BR$72)</c:f>
              <c:numCache>
                <c:formatCode>0</c:formatCode>
                <c:ptCount val="13"/>
                <c:pt idx="10" formatCode="#,##0">
                  <c:v>12</c:v>
                </c:pt>
                <c:pt idx="11" formatCode="#,##0">
                  <c:v>19</c:v>
                </c:pt>
                <c:pt idx="12" formatCode="#,##0">
                  <c:v>31</c:v>
                </c:pt>
              </c:numCache>
            </c:numRef>
          </c:val>
        </c:ser>
        <c:ser>
          <c:idx val="2"/>
          <c:order val="2"/>
          <c:tx>
            <c:strRef>
              <c:f>'EGRESO-POs uni'!$C$106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3175"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anchor="ctr" anchorCtr="1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uni'!$C$87:$C$99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('EGRESO-POs uni'!$V$38,'EGRESO-POs uni'!$Z$38,'EGRESO-POs uni'!$AD$38,'EGRESO-POs uni'!$AH$38,'EGRESO-POs uni'!$AL$38,'EGRESO-POs uni'!$AP$38,'EGRESO-POs uni'!$AT$38,'EGRESO-POs uni'!$AX$38,'EGRESO-POs uni'!$BB$38,'EGRESO-POs uni'!$BF$38,'EGRESO-POs uni'!$BJ$38,'EGRESO-POs uni'!$BN$38,'EGRESO-POs uni'!$BR$38)</c:f>
              <c:numCache>
                <c:formatCode>0</c:formatCode>
                <c:ptCount val="13"/>
                <c:pt idx="0">
                  <c:v>196</c:v>
                </c:pt>
                <c:pt idx="1">
                  <c:v>255</c:v>
                </c:pt>
                <c:pt idx="2">
                  <c:v>234</c:v>
                </c:pt>
                <c:pt idx="3">
                  <c:v>277</c:v>
                </c:pt>
                <c:pt idx="4">
                  <c:v>238</c:v>
                </c:pt>
                <c:pt idx="5" formatCode="#,##0">
                  <c:v>283</c:v>
                </c:pt>
                <c:pt idx="6" formatCode="#,##0">
                  <c:v>304</c:v>
                </c:pt>
                <c:pt idx="7" formatCode="#,##0">
                  <c:v>335</c:v>
                </c:pt>
                <c:pt idx="8" formatCode="#,##0">
                  <c:v>437</c:v>
                </c:pt>
                <c:pt idx="9" formatCode="#,##0">
                  <c:v>377</c:v>
                </c:pt>
                <c:pt idx="10" formatCode="#,##0">
                  <c:v>341</c:v>
                </c:pt>
                <c:pt idx="11" formatCode="#,##0">
                  <c:v>437</c:v>
                </c:pt>
                <c:pt idx="12" formatCode="#,##0">
                  <c:v>282</c:v>
                </c:pt>
              </c:numCache>
            </c:numRef>
          </c:val>
        </c:ser>
        <c:ser>
          <c:idx val="3"/>
          <c:order val="3"/>
          <c:tx>
            <c:strRef>
              <c:f>'EGRESO-POs uni'!$C$107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uni'!$C$87:$C$99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('EGRESO-POs uni'!$V$55,'EGRESO-POs uni'!$Z$55,'EGRESO-POs uni'!$AD$55,'EGRESO-POs uni'!$AH$55,'EGRESO-POs uni'!$AL$55,'EGRESO-POs uni'!$AP$55,'EGRESO-POs uni'!$AT$55,'EGRESO-POs uni'!$AX$55,'EGRESO-POs uni'!$BB$55,'EGRESO-POs uni'!$BF$55,'EGRESO-POs uni'!$BJ$55,'EGRESO-POs uni'!$BN$55,'EGRESO-POs uni'!$BR$55)</c:f>
              <c:numCache>
                <c:formatCode>0</c:formatCode>
                <c:ptCount val="13"/>
                <c:pt idx="0">
                  <c:v>124</c:v>
                </c:pt>
                <c:pt idx="1">
                  <c:v>136</c:v>
                </c:pt>
                <c:pt idx="2">
                  <c:v>164</c:v>
                </c:pt>
                <c:pt idx="3">
                  <c:v>137</c:v>
                </c:pt>
                <c:pt idx="4">
                  <c:v>205</c:v>
                </c:pt>
                <c:pt idx="5" formatCode="#,##0">
                  <c:v>195</c:v>
                </c:pt>
                <c:pt idx="6" formatCode="#,##0">
                  <c:v>202</c:v>
                </c:pt>
                <c:pt idx="7" formatCode="#,##0">
                  <c:v>298</c:v>
                </c:pt>
                <c:pt idx="8" formatCode="#,##0">
                  <c:v>266</c:v>
                </c:pt>
                <c:pt idx="9" formatCode="#,##0">
                  <c:v>165</c:v>
                </c:pt>
                <c:pt idx="10" formatCode="#,##0">
                  <c:v>225</c:v>
                </c:pt>
                <c:pt idx="11" formatCode="#,##0">
                  <c:v>221</c:v>
                </c:pt>
                <c:pt idx="12" formatCode="#,##0">
                  <c:v>241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11009792"/>
        <c:axId val="111011328"/>
        <c:axId val="0"/>
      </c:bar3DChart>
      <c:catAx>
        <c:axId val="11100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1011328"/>
        <c:crosses val="autoZero"/>
        <c:auto val="1"/>
        <c:lblAlgn val="ctr"/>
        <c:lblOffset val="100"/>
        <c:noMultiLvlLbl val="0"/>
      </c:catAx>
      <c:valAx>
        <c:axId val="111011328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111009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9927159127725078"/>
          <c:y val="0.95914202158685613"/>
          <c:w val="0.60557507063857796"/>
          <c:h val="3.6157669858096673E-2"/>
        </c:manualLayout>
      </c:layout>
      <c:overlay val="0"/>
      <c:txPr>
        <a:bodyPr/>
        <a:lstStyle/>
        <a:p>
          <a:pPr>
            <a:defRPr sz="1100" i="1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ESTUDIANTES QUE TERMINARON ESTUDIOS DE POSGRADO POR NIVEL</a:t>
            </a: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'EGRESO-POs uni'!$C$112</c:f>
              <c:strCache>
                <c:ptCount val="1"/>
                <c:pt idx="0">
                  <c:v>Especialización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3.67816091954022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3.6781609195402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5.51724137931027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3.67816091954022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uni'!$C$87:$C$99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('EGRESO-POs uni'!$V$74,'EGRESO-POs uni'!$Z$74,'EGRESO-POs uni'!$AD$74,'EGRESO-POs uni'!$AH$74,'EGRESO-POs uni'!$AL$74,'EGRESO-POs uni'!$AP$74,'EGRESO-POs uni'!$AT$74,'EGRESO-POs uni'!$AX$74,'EGRESO-POs uni'!$BB$74,'EGRESO-POs uni'!$BF$74,'EGRESO-POs uni'!$BJ$74,'EGRESO-POs uni'!$BN$74,'EGRESO-POs uni'!$BR$74)</c:f>
              <c:numCache>
                <c:formatCode>0</c:formatCode>
                <c:ptCount val="13"/>
                <c:pt idx="0">
                  <c:v>75</c:v>
                </c:pt>
                <c:pt idx="1">
                  <c:v>125</c:v>
                </c:pt>
                <c:pt idx="2">
                  <c:v>159</c:v>
                </c:pt>
                <c:pt idx="3">
                  <c:v>124</c:v>
                </c:pt>
                <c:pt idx="4">
                  <c:v>124</c:v>
                </c:pt>
                <c:pt idx="5" formatCode="#,##0">
                  <c:v>166</c:v>
                </c:pt>
                <c:pt idx="6" formatCode="#,##0">
                  <c:v>133</c:v>
                </c:pt>
                <c:pt idx="7" formatCode="#,##0">
                  <c:v>116</c:v>
                </c:pt>
                <c:pt idx="8" formatCode="#,##0">
                  <c:v>205</c:v>
                </c:pt>
                <c:pt idx="9" formatCode="#,##0">
                  <c:v>155</c:v>
                </c:pt>
                <c:pt idx="10" formatCode="#,##0">
                  <c:v>92</c:v>
                </c:pt>
                <c:pt idx="11" formatCode="#,##0">
                  <c:v>99</c:v>
                </c:pt>
                <c:pt idx="12" formatCode="#,##0">
                  <c:v>59</c:v>
                </c:pt>
              </c:numCache>
            </c:numRef>
          </c:val>
        </c:ser>
        <c:ser>
          <c:idx val="1"/>
          <c:order val="1"/>
          <c:tx>
            <c:strRef>
              <c:f>'EGRESO-POs uni'!$C$113</c:f>
              <c:strCache>
                <c:ptCount val="1"/>
                <c:pt idx="0">
                  <c:v>Maestría</c:v>
                </c:pt>
              </c:strCache>
            </c:strRef>
          </c:tx>
          <c:spPr>
            <a:solidFill>
              <a:srgbClr val="CC9900"/>
            </a:solidFill>
            <a:ln w="3175"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uni'!$C$87:$C$99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('EGRESO-POs uni'!$V$75,'EGRESO-POs uni'!$Z$75,'EGRESO-POs uni'!$AD$75,'EGRESO-POs uni'!$AH$75,'EGRESO-POs uni'!$AL$75,'EGRESO-POs uni'!$AP$75,'EGRESO-POs uni'!$AT$75,'EGRESO-POs uni'!$AX$75,'EGRESO-POs uni'!$BB$75,'EGRESO-POs uni'!$BF$75,'EGRESO-POs uni'!$BJ$75,'EGRESO-POs uni'!$BN$75,'EGRESO-POs uni'!$BR$75)</c:f>
              <c:numCache>
                <c:formatCode>0</c:formatCode>
                <c:ptCount val="13"/>
                <c:pt idx="0">
                  <c:v>213</c:v>
                </c:pt>
                <c:pt idx="1">
                  <c:v>222</c:v>
                </c:pt>
                <c:pt idx="2">
                  <c:v>225</c:v>
                </c:pt>
                <c:pt idx="3">
                  <c:v>266</c:v>
                </c:pt>
                <c:pt idx="4">
                  <c:v>279</c:v>
                </c:pt>
                <c:pt idx="5" formatCode="#,##0">
                  <c:v>268</c:v>
                </c:pt>
                <c:pt idx="6" formatCode="#,##0">
                  <c:v>335</c:v>
                </c:pt>
                <c:pt idx="7" formatCode="#,##0">
                  <c:v>432</c:v>
                </c:pt>
                <c:pt idx="8" formatCode="#,##0">
                  <c:v>465</c:v>
                </c:pt>
                <c:pt idx="9" formatCode="#,##0">
                  <c:v>346</c:v>
                </c:pt>
                <c:pt idx="10" formatCode="#,##0">
                  <c:v>451</c:v>
                </c:pt>
                <c:pt idx="11" formatCode="#,##0">
                  <c:v>491</c:v>
                </c:pt>
                <c:pt idx="12" formatCode="#,##0">
                  <c:v>428</c:v>
                </c:pt>
              </c:numCache>
            </c:numRef>
          </c:val>
        </c:ser>
        <c:ser>
          <c:idx val="2"/>
          <c:order val="2"/>
          <c:tx>
            <c:strRef>
              <c:f>'EGRESO-POs uni'!$C$114</c:f>
              <c:strCache>
                <c:ptCount val="1"/>
                <c:pt idx="0">
                  <c:v>Doctorado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anchor="ctr" anchorCtr="1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uni'!$C$87:$C$99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('EGRESO-POs uni'!$V$76,'EGRESO-POs uni'!$Z$76,'EGRESO-POs uni'!$AD$76,'EGRESO-POs uni'!$AH$76,'EGRESO-POs uni'!$AL$76,'EGRESO-POs uni'!$AP$76,'EGRESO-POs uni'!$AT$76,'EGRESO-POs uni'!$AX$76,'EGRESO-POs uni'!$BB$76,'EGRESO-POs uni'!$BF$76,'EGRESO-POs uni'!$BJ$76,'EGRESO-POs uni'!$BN$76,'EGRESO-POs uni'!$BR$76)</c:f>
              <c:numCache>
                <c:formatCode>0</c:formatCode>
                <c:ptCount val="13"/>
                <c:pt idx="0">
                  <c:v>101</c:v>
                </c:pt>
                <c:pt idx="1">
                  <c:v>128</c:v>
                </c:pt>
                <c:pt idx="2">
                  <c:v>117</c:v>
                </c:pt>
                <c:pt idx="3">
                  <c:v>131</c:v>
                </c:pt>
                <c:pt idx="4">
                  <c:v>137</c:v>
                </c:pt>
                <c:pt idx="5" formatCode="#,##0">
                  <c:v>128</c:v>
                </c:pt>
                <c:pt idx="6" formatCode="#,##0">
                  <c:v>159</c:v>
                </c:pt>
                <c:pt idx="7" formatCode="#,##0">
                  <c:v>189</c:v>
                </c:pt>
                <c:pt idx="8" formatCode="#,##0">
                  <c:v>191</c:v>
                </c:pt>
                <c:pt idx="9" formatCode="#,##0">
                  <c:v>162</c:v>
                </c:pt>
                <c:pt idx="10" formatCode="#,##0">
                  <c:v>189</c:v>
                </c:pt>
                <c:pt idx="11" formatCode="#,##0">
                  <c:v>225</c:v>
                </c:pt>
                <c:pt idx="12" formatCode="#,##0">
                  <c:v>172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299200"/>
        <c:axId val="1300736"/>
        <c:axId val="0"/>
      </c:bar3DChart>
      <c:catAx>
        <c:axId val="129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00736"/>
        <c:crosses val="autoZero"/>
        <c:auto val="1"/>
        <c:lblAlgn val="ctr"/>
        <c:lblOffset val="100"/>
        <c:noMultiLvlLbl val="0"/>
      </c:catAx>
      <c:valAx>
        <c:axId val="1300736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12992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907844255562396"/>
          <c:y val="0.95346287851335221"/>
          <c:w val="0.47227203907644066"/>
          <c:h val="4.344265766846913E-2"/>
        </c:manualLayout>
      </c:layout>
      <c:overlay val="0"/>
      <c:txPr>
        <a:bodyPr/>
        <a:lstStyle/>
        <a:p>
          <a:pPr>
            <a:defRPr sz="1100" i="1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>
      <a:bevelT w="152400" h="50800" prst="softRound"/>
    </a:sp3d>
  </c:spPr>
  <c:printSettings>
    <c:headerFooter/>
    <c:pageMargins b="0.75" l="0.7" r="0.7" t="0.75" header="0.3" footer="0.3"/>
    <c:pageSetup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ALUMNOS QUE TERMINARON ESTUDIOS DE POSGRADO ACUMULADO POR UNIDAD</a:t>
            </a: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8390804597701149E-2"/>
          <c:y val="4.2049928495807284E-2"/>
          <c:w val="0.95954022988505749"/>
          <c:h val="0.78927881337529859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'EGRESO-POS ACUM uni'!$B$54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ACUM uni'!$B$43:$B$49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('EGRESO-POS ACUM uni'!$F$9,'EGRESO-POS ACUM uni'!$J$9,'EGRESO-POS ACUM uni'!$N$9,'EGRESO-POS ACUM uni'!$R$9,'EGRESO-POS ACUM uni'!$V$9,'EGRESO-POS ACUM uni'!$Z$9,'EGRESO-POS ACUM uni'!$AD$9)</c:f>
              <c:numCache>
                <c:formatCode>#,##0</c:formatCode>
                <c:ptCount val="7"/>
                <c:pt idx="0">
                  <c:v>1221</c:v>
                </c:pt>
                <c:pt idx="1">
                  <c:v>1346</c:v>
                </c:pt>
                <c:pt idx="2">
                  <c:v>1524</c:v>
                </c:pt>
                <c:pt idx="3">
                  <c:v>1655</c:v>
                </c:pt>
                <c:pt idx="4">
                  <c:v>1821</c:v>
                </c:pt>
                <c:pt idx="5">
                  <c:v>1970</c:v>
                </c:pt>
                <c:pt idx="6">
                  <c:v>2067</c:v>
                </c:pt>
              </c:numCache>
            </c:numRef>
          </c:val>
        </c:ser>
        <c:ser>
          <c:idx val="1"/>
          <c:order val="1"/>
          <c:tx>
            <c:strRef>
              <c:f>'EGRESO-POS ACUM uni'!$B$55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dLbl>
              <c:idx val="4"/>
              <c:layout>
                <c:manualLayout>
                  <c:x val="6.2528794387592943E-2"/>
                  <c:y val="-1.9826279884949023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accent6">
                          <a:lumMod val="75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6.1830716853277234E-2"/>
                  <c:y val="-2.2731145534912713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rgbClr val="F082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6.1064902949961378E-2"/>
                  <c:y val="-1.818648847726644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rgbClr val="F082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ACUM uni'!$B$43:$B$49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('EGRESO-POS ACUM uni'!$F$14,'EGRESO-POS ACUM uni'!$J$14,'EGRESO-POS ACUM uni'!$N$14,'EGRESO-POS ACUM uni'!$R$14,'EGRESO-POS ACUM uni'!$V$14,'EGRESO-POS ACUM uni'!$Z$14,'EGRESO-POS ACUM uni'!$AD$14)</c:f>
              <c:numCache>
                <c:formatCode>#,##0</c:formatCode>
                <c:ptCount val="7"/>
                <c:pt idx="4">
                  <c:v>12</c:v>
                </c:pt>
                <c:pt idx="5">
                  <c:v>31</c:v>
                </c:pt>
                <c:pt idx="6">
                  <c:v>65</c:v>
                </c:pt>
              </c:numCache>
            </c:numRef>
          </c:val>
        </c:ser>
        <c:ser>
          <c:idx val="2"/>
          <c:order val="2"/>
          <c:tx>
            <c:strRef>
              <c:f>'EGRESO-POS ACUM uni'!$B$56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anchor="ctr" anchorCtr="1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ACUM uni'!$B$43:$B$49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('EGRESO-POS ACUM uni'!$F$19,'EGRESO-POS ACUM uni'!$J$19,'EGRESO-POS ACUM uni'!$N$19,'EGRESO-POS ACUM uni'!$R$19,'EGRESO-POS ACUM uni'!$V$19,'EGRESO-POS ACUM uni'!$Z$19,'EGRESO-POS ACUM uni'!$AD$19)</c:f>
              <c:numCache>
                <c:formatCode>#,##0</c:formatCode>
                <c:ptCount val="7"/>
                <c:pt idx="0">
                  <c:v>3487</c:v>
                </c:pt>
                <c:pt idx="1">
                  <c:v>3812</c:v>
                </c:pt>
                <c:pt idx="2">
                  <c:v>4268</c:v>
                </c:pt>
                <c:pt idx="3">
                  <c:v>4631</c:v>
                </c:pt>
                <c:pt idx="4">
                  <c:v>4976</c:v>
                </c:pt>
                <c:pt idx="5">
                  <c:v>5399</c:v>
                </c:pt>
                <c:pt idx="6">
                  <c:v>5677</c:v>
                </c:pt>
              </c:numCache>
            </c:numRef>
          </c:val>
        </c:ser>
        <c:ser>
          <c:idx val="3"/>
          <c:order val="3"/>
          <c:tx>
            <c:strRef>
              <c:f>'EGRESO-POS ACUM uni'!$B$57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ACUM uni'!$B$43:$B$49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('EGRESO-POS ACUM uni'!$F$24,'EGRESO-POS ACUM uni'!$J$24,'EGRESO-POS ACUM uni'!$N$24,'EGRESO-POS ACUM uni'!$R$24,'EGRESO-POS ACUM uni'!$V$24,'EGRESO-POS ACUM uni'!$Z$24,'EGRESO-POS ACUM uni'!$AD$24)</c:f>
              <c:numCache>
                <c:formatCode>#,##0</c:formatCode>
                <c:ptCount val="7"/>
                <c:pt idx="0">
                  <c:v>2041</c:v>
                </c:pt>
                <c:pt idx="1">
                  <c:v>2335</c:v>
                </c:pt>
                <c:pt idx="2">
                  <c:v>2616</c:v>
                </c:pt>
                <c:pt idx="3">
                  <c:v>2783</c:v>
                </c:pt>
                <c:pt idx="4">
                  <c:v>3053</c:v>
                </c:pt>
                <c:pt idx="5">
                  <c:v>3273</c:v>
                </c:pt>
                <c:pt idx="6">
                  <c:v>3523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08488576"/>
        <c:axId val="108490112"/>
        <c:axId val="0"/>
      </c:bar3DChart>
      <c:catAx>
        <c:axId val="10848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8490112"/>
        <c:crosses val="autoZero"/>
        <c:auto val="1"/>
        <c:lblAlgn val="ctr"/>
        <c:lblOffset val="100"/>
        <c:noMultiLvlLbl val="0"/>
      </c:catAx>
      <c:valAx>
        <c:axId val="10849011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084885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6809137758175713"/>
          <c:y val="0.936069480978025"/>
          <c:w val="0.67473139650647118"/>
          <c:h val="6.3365434572491011E-2"/>
        </c:manualLayout>
      </c:layout>
      <c:overlay val="0"/>
      <c:txPr>
        <a:bodyPr/>
        <a:lstStyle/>
        <a:p>
          <a:pPr>
            <a:defRPr sz="1100" i="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 b="1" i="0" baseline="0">
                <a:effectLst/>
              </a:rPr>
              <a:t>ALUMNOS QUE TERMINARON ESTUDIOS DE POSGRADO ACUMULADO POR NIVEL</a:t>
            </a:r>
            <a:endParaRPr lang="es-MX" sz="1400">
              <a:effectLst/>
            </a:endParaRP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'EGRESO-POS ACUM uni'!$B$70</c:f>
              <c:strCache>
                <c:ptCount val="1"/>
                <c:pt idx="0">
                  <c:v>Especialización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3.67816091954022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3.6781609195402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5.51724137931027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3.67816091954022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ACUM uni'!$B$43:$B$49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('EGRESO-POS ACUM uni'!$C$32,'EGRESO-POS ACUM uni'!$G$32,'EGRESO-POS ACUM uni'!$K$32,'EGRESO-POS ACUM uni'!$O$32,'EGRESO-POS ACUM uni'!$S$32,'EGRESO-POS ACUM uni'!$W$32,'EGRESO-POS ACUM uni'!$AA$32)</c:f>
              <c:numCache>
                <c:formatCode>#,##0</c:formatCode>
                <c:ptCount val="7"/>
                <c:pt idx="0">
                  <c:v>1537</c:v>
                </c:pt>
                <c:pt idx="1">
                  <c:v>1672</c:v>
                </c:pt>
                <c:pt idx="2">
                  <c:v>1891</c:v>
                </c:pt>
                <c:pt idx="3">
                  <c:v>2055</c:v>
                </c:pt>
                <c:pt idx="4">
                  <c:v>2186</c:v>
                </c:pt>
                <c:pt idx="5">
                  <c:v>2258</c:v>
                </c:pt>
                <c:pt idx="6">
                  <c:v>2331</c:v>
                </c:pt>
              </c:numCache>
            </c:numRef>
          </c:val>
        </c:ser>
        <c:ser>
          <c:idx val="1"/>
          <c:order val="1"/>
          <c:tx>
            <c:strRef>
              <c:f>'EGRESO-POS ACUM uni'!$B$71</c:f>
              <c:strCache>
                <c:ptCount val="1"/>
                <c:pt idx="0">
                  <c:v>Maestría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ACUM uni'!$B$43:$B$49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('EGRESO-POS ACUM uni'!$D$32,'EGRESO-POS ACUM uni'!$H$32,'EGRESO-POS ACUM uni'!$L$32,'EGRESO-POS ACUM uni'!$P$32,'EGRESO-POS ACUM uni'!$T$32,'EGRESO-POS ACUM uni'!$X$32,'EGRESO-POS ACUM uni'!$AB$32)</c:f>
              <c:numCache>
                <c:formatCode>#,##0</c:formatCode>
                <c:ptCount val="7"/>
                <c:pt idx="0">
                  <c:v>3861</c:v>
                </c:pt>
                <c:pt idx="1">
                  <c:v>4286</c:v>
                </c:pt>
                <c:pt idx="2">
                  <c:v>4781</c:v>
                </c:pt>
                <c:pt idx="3">
                  <c:v>5114</c:v>
                </c:pt>
                <c:pt idx="4">
                  <c:v>5583</c:v>
                </c:pt>
                <c:pt idx="5">
                  <c:v>6097</c:v>
                </c:pt>
                <c:pt idx="6">
                  <c:v>6506</c:v>
                </c:pt>
              </c:numCache>
            </c:numRef>
          </c:val>
        </c:ser>
        <c:ser>
          <c:idx val="2"/>
          <c:order val="2"/>
          <c:tx>
            <c:strRef>
              <c:f>'EGRESO-POS ACUM uni'!$B$72</c:f>
              <c:strCache>
                <c:ptCount val="1"/>
                <c:pt idx="0">
                  <c:v>Doctorado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anchor="ctr" anchorCtr="1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ACUM uni'!$B$43:$B$49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('EGRESO-POS ACUM uni'!$E$32,'EGRESO-POS ACUM uni'!$I$32,'EGRESO-POS ACUM uni'!$M$32,'EGRESO-POS ACUM uni'!$Q$32,'EGRESO-POS ACUM uni'!$U$32,'EGRESO-POS ACUM uni'!$Y$32,'EGRESO-POS ACUM uni'!$AC$32)</c:f>
              <c:numCache>
                <c:formatCode>#,##0</c:formatCode>
                <c:ptCount val="7"/>
                <c:pt idx="0">
                  <c:v>1351</c:v>
                </c:pt>
                <c:pt idx="1">
                  <c:v>1535</c:v>
                </c:pt>
                <c:pt idx="2">
                  <c:v>1736</c:v>
                </c:pt>
                <c:pt idx="3">
                  <c:v>1900</c:v>
                </c:pt>
                <c:pt idx="4">
                  <c:v>2093</c:v>
                </c:pt>
                <c:pt idx="5">
                  <c:v>2318</c:v>
                </c:pt>
                <c:pt idx="6">
                  <c:v>2495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09734144"/>
        <c:axId val="109764608"/>
        <c:axId val="0"/>
      </c:bar3DChart>
      <c:catAx>
        <c:axId val="10973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9764608"/>
        <c:crosses val="autoZero"/>
        <c:auto val="1"/>
        <c:lblAlgn val="ctr"/>
        <c:lblOffset val="100"/>
        <c:noMultiLvlLbl val="0"/>
      </c:catAx>
      <c:valAx>
        <c:axId val="10976460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097341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606728327275468"/>
          <c:y val="0.93251110236150114"/>
          <c:w val="0.56526556249434334"/>
          <c:h val="6.3365434572491011E-2"/>
        </c:manualLayout>
      </c:layout>
      <c:overlay val="0"/>
      <c:txPr>
        <a:bodyPr/>
        <a:lstStyle/>
        <a:p>
          <a:pPr>
            <a:defRPr sz="1100" i="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>
      <a:bevelT w="152400" h="50800" prst="softRound"/>
    </a:sp3d>
  </c:spPr>
  <c:printSettings>
    <c:headerFooter/>
    <c:pageMargins b="0.75" l="0.7" r="0.7" t="0.75" header="0.3" footer="0.3"/>
    <c:pageSetup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  <c:spPr>
        <a:noFill/>
      </c:spPr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'1 pronabes uni'!$A$6:$A$9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609600" dist="317500" dir="5400000" sx="90000" sy="-19000" rotWithShape="0">
                <a:prstClr val="black"/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0"/>
                  <c:y val="8.1135902636916835E-3"/>
                </c:manualLayout>
              </c:layout>
              <c:spPr/>
              <c:txPr>
                <a:bodyPr/>
                <a:lstStyle/>
                <a:p>
                  <a:pPr>
                    <a:defRPr sz="800">
                      <a:solidFill>
                        <a:srgbClr val="CD032E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67229033832900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3.11486022555267E-3"/>
                  <c:y val="9.91649576608453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7.78715056388167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6.2297204511053399E-3"/>
                  <c:y val="9.91649576608453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8715056388167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6.22972045110533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6.22972045110533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6.22972045110533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4.67229033832900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9.3445806766580108E-3"/>
                  <c:y val="9.91649576608453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7.7871505638817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5.6192931128372864E-3"/>
                  <c:y val="9.91649576608453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 pronabes uni'!$R$43:$R$57</c:f>
              <c:numCache>
                <c:formatCode>General</c:formatCode>
                <c:ptCount val="1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</c:numCache>
            </c:numRef>
          </c:cat>
          <c:val>
            <c:numRef>
              <c:f>('1 pronabes uni'!$D$9,'1 pronabes uni'!$F$9,'1 pronabes uni'!$H$9,'1 pronabes uni'!$J$9,'1 pronabes uni'!$L$9,'1 pronabes uni'!$N$9,'1 pronabes uni'!$P$9,'1 pronabes uni'!$R$9,'1 pronabes uni'!$T$9,'1 pronabes uni'!$V$9,'1 pronabes uni'!$X$9,'1 pronabes uni'!$Z$9,'1 pronabes uni'!$AB$9,'1 pronabes uni'!$AD$9,'1 pronabes uni'!$AF$9)</c:f>
              <c:numCache>
                <c:formatCode>#,##0</c:formatCode>
                <c:ptCount val="15"/>
                <c:pt idx="0">
                  <c:v>51</c:v>
                </c:pt>
                <c:pt idx="1">
                  <c:v>299</c:v>
                </c:pt>
                <c:pt idx="2">
                  <c:v>558</c:v>
                </c:pt>
                <c:pt idx="3">
                  <c:v>811</c:v>
                </c:pt>
                <c:pt idx="4">
                  <c:v>1092</c:v>
                </c:pt>
                <c:pt idx="5">
                  <c:v>1645</c:v>
                </c:pt>
                <c:pt idx="6">
                  <c:v>2231</c:v>
                </c:pt>
                <c:pt idx="7">
                  <c:v>2234</c:v>
                </c:pt>
                <c:pt idx="8">
                  <c:v>2381</c:v>
                </c:pt>
                <c:pt idx="9">
                  <c:v>2915</c:v>
                </c:pt>
                <c:pt idx="10">
                  <c:v>3523</c:v>
                </c:pt>
                <c:pt idx="11">
                  <c:v>3788</c:v>
                </c:pt>
                <c:pt idx="12">
                  <c:v>3742</c:v>
                </c:pt>
                <c:pt idx="13">
                  <c:v>3964</c:v>
                </c:pt>
                <c:pt idx="14">
                  <c:v>3994</c:v>
                </c:pt>
              </c:numCache>
            </c:numRef>
          </c:val>
        </c:ser>
        <c:ser>
          <c:idx val="1"/>
          <c:order val="1"/>
          <c:tx>
            <c:strRef>
              <c:f>'1 pronabes uni'!$A$11:$A$14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4"/>
              <c:layout>
                <c:manualLayout>
                  <c:x val="4.67229033832900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4.67229033832900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4.67229033832900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6.2297204511053399E-3"/>
                  <c:y val="-9.91649576608453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4.67229033832900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4.6722903383290054E-3"/>
                  <c:y val="9.91649576608453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6.22972045110533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6.2297204511053399E-3"/>
                  <c:y val="-2.70453008789722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7.7871505638816754E-3"/>
                  <c:y val="-2.70453008789722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8.428939669255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  <a:latin typeface="+mn-lt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 pronabes uni'!$R$43:$R$57</c:f>
              <c:numCache>
                <c:formatCode>General</c:formatCode>
                <c:ptCount val="1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</c:numCache>
            </c:numRef>
          </c:cat>
          <c:val>
            <c:numRef>
              <c:f>('1 pronabes uni'!$D$14,'1 pronabes uni'!$F$14,'1 pronabes uni'!$H$14,'1 pronabes uni'!$J$14,'1 pronabes uni'!$L$14,'1 pronabes uni'!$N$14,'1 pronabes uni'!$P$14,'1 pronabes uni'!$R$14,'1 pronabes uni'!$T$14,'1 pronabes uni'!$V$14,'1 pronabes uni'!$X$14,'1 pronabes uni'!$Z$14,'1 pronabes uni'!$AB$14,'1 pronabes uni'!$AD$14,'1 pronabes uni'!$AF$14)</c:f>
              <c:numCache>
                <c:formatCode>#,##0</c:formatCode>
                <c:ptCount val="15"/>
                <c:pt idx="4">
                  <c:v>28</c:v>
                </c:pt>
                <c:pt idx="5">
                  <c:v>99</c:v>
                </c:pt>
                <c:pt idx="6">
                  <c:v>162</c:v>
                </c:pt>
                <c:pt idx="7">
                  <c:v>225</c:v>
                </c:pt>
                <c:pt idx="8">
                  <c:v>263</c:v>
                </c:pt>
                <c:pt idx="9">
                  <c:v>283</c:v>
                </c:pt>
                <c:pt idx="10">
                  <c:v>339</c:v>
                </c:pt>
                <c:pt idx="11">
                  <c:v>311</c:v>
                </c:pt>
                <c:pt idx="12">
                  <c:v>326</c:v>
                </c:pt>
                <c:pt idx="13">
                  <c:v>497</c:v>
                </c:pt>
                <c:pt idx="14">
                  <c:v>614</c:v>
                </c:pt>
              </c:numCache>
            </c:numRef>
          </c:val>
        </c:ser>
        <c:ser>
          <c:idx val="2"/>
          <c:order val="2"/>
          <c:tx>
            <c:strRef>
              <c:f>'1 pronabes uni'!$A$16:$A$19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-1.557430112776335E-3"/>
                  <c:y val="-2.434077079107505E-2"/>
                </c:manualLayout>
              </c:layout>
              <c:spPr/>
              <c:txPr>
                <a:bodyPr/>
                <a:lstStyle/>
                <a:p>
                  <a:pPr>
                    <a:defRPr sz="800">
                      <a:solidFill>
                        <a:srgbClr val="57A519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7.7871505638816754E-3"/>
                  <c:y val="-9.91649576608453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67229033832900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4.6722903383290054E-3"/>
                  <c:y val="-9.91649576608453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4.67229033832900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6.2297204511053399E-3"/>
                  <c:y val="9.91649576608453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4.67229033832900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7.78715056388167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7.78715056388167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6.22972045110533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6.22972045110545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7.024116391046607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 pronabes uni'!$R$43:$R$57</c:f>
              <c:numCache>
                <c:formatCode>General</c:formatCode>
                <c:ptCount val="1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</c:numCache>
            </c:numRef>
          </c:cat>
          <c:val>
            <c:numRef>
              <c:f>('1 pronabes uni'!$D$19,'1 pronabes uni'!$F$19,'1 pronabes uni'!$H$19,'1 pronabes uni'!$J$19,'1 pronabes uni'!$L$19,'1 pronabes uni'!$N$19,'1 pronabes uni'!$P$19,'1 pronabes uni'!$R$19,'1 pronabes uni'!$T$19,'1 pronabes uni'!$V$19,'1 pronabes uni'!$X$19,'1 pronabes uni'!$Z$19,'1 pronabes uni'!$AB$19,'1 pronabes uni'!$AD$19,'1 pronabes uni'!$AF$19)</c:f>
              <c:numCache>
                <c:formatCode>#,##0</c:formatCode>
                <c:ptCount val="15"/>
                <c:pt idx="0">
                  <c:v>58</c:v>
                </c:pt>
                <c:pt idx="1">
                  <c:v>325</c:v>
                </c:pt>
                <c:pt idx="2">
                  <c:v>565</c:v>
                </c:pt>
                <c:pt idx="3">
                  <c:v>767</c:v>
                </c:pt>
                <c:pt idx="4">
                  <c:v>1005</c:v>
                </c:pt>
                <c:pt idx="5">
                  <c:v>1515</c:v>
                </c:pt>
                <c:pt idx="6">
                  <c:v>1776</c:v>
                </c:pt>
                <c:pt idx="7">
                  <c:v>1809</c:v>
                </c:pt>
                <c:pt idx="8">
                  <c:v>2042</c:v>
                </c:pt>
                <c:pt idx="9">
                  <c:v>2801</c:v>
                </c:pt>
                <c:pt idx="10">
                  <c:v>3345</c:v>
                </c:pt>
                <c:pt idx="11">
                  <c:v>3333</c:v>
                </c:pt>
                <c:pt idx="12">
                  <c:v>3498</c:v>
                </c:pt>
                <c:pt idx="13">
                  <c:v>3693</c:v>
                </c:pt>
                <c:pt idx="14">
                  <c:v>3663</c:v>
                </c:pt>
              </c:numCache>
            </c:numRef>
          </c:val>
        </c:ser>
        <c:ser>
          <c:idx val="3"/>
          <c:order val="3"/>
          <c:tx>
            <c:strRef>
              <c:f>'1 pronabes uni'!$A$21:$A$24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11"/>
              <c:layout>
                <c:manualLayout>
                  <c:x val="9.3445806766580108E-3"/>
                  <c:y val="-2.70453008789722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7.78715056388167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  <a:latin typeface="+mn-lt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 pronabes uni'!$R$43:$R$57</c:f>
              <c:numCache>
                <c:formatCode>General</c:formatCode>
                <c:ptCount val="1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</c:numCache>
            </c:numRef>
          </c:cat>
          <c:val>
            <c:numRef>
              <c:f>('1 pronabes uni'!$D$24,'1 pronabes uni'!$F$24,'1 pronabes uni'!$H$24,'1 pronabes uni'!$J$24,'1 pronabes uni'!$L$24,'1 pronabes uni'!$N$24,'1 pronabes uni'!$P$24,'1 pronabes uni'!$R$24,'1 pronabes uni'!$T$24,'1 pronabes uni'!$V$24,'1 pronabes uni'!$X$24,'1 pronabes uni'!$Z$24,'1 pronabes uni'!$AB$24,'1 pronabes uni'!$AD$24,'1 pronabes uni'!$AF$23)</c:f>
              <c:numCache>
                <c:formatCode>#,##0</c:formatCode>
                <c:ptCount val="15"/>
                <c:pt idx="10">
                  <c:v>73</c:v>
                </c:pt>
                <c:pt idx="11">
                  <c:v>113</c:v>
                </c:pt>
                <c:pt idx="12">
                  <c:v>145</c:v>
                </c:pt>
                <c:pt idx="13">
                  <c:v>172</c:v>
                </c:pt>
                <c:pt idx="14">
                  <c:v>89</c:v>
                </c:pt>
              </c:numCache>
            </c:numRef>
          </c:val>
        </c:ser>
        <c:ser>
          <c:idx val="4"/>
          <c:order val="4"/>
          <c:tx>
            <c:strRef>
              <c:f>'1 pronabes uni'!$A$26:$A$29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-1.557430112776335E-3"/>
                  <c:y val="-4.8681541582150101E-2"/>
                </c:manualLayout>
              </c:layout>
              <c:spPr/>
              <c:txPr>
                <a:bodyPr/>
                <a:lstStyle/>
                <a:p>
                  <a:pPr>
                    <a:defRPr sz="800">
                      <a:solidFill>
                        <a:srgbClr val="0072CE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6.22972045110533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6722903383290054E-3"/>
                  <c:y val="-9.91649576608453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6.22972045110533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6.22972045110533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6.22972045110533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7.78715056388167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4.6722903383290054E-3"/>
                  <c:y val="4.958247883042269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4.67229033832900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6.22972045110533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9.344580676658123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5.619293112837286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 pronabes uni'!$R$43:$R$57</c:f>
              <c:numCache>
                <c:formatCode>General</c:formatCode>
                <c:ptCount val="1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</c:numCache>
            </c:numRef>
          </c:cat>
          <c:val>
            <c:numRef>
              <c:f>('1 pronabes uni'!$D$29,'1 pronabes uni'!$F$29,'1 pronabes uni'!$H$29,'1 pronabes uni'!$J$29,'1 pronabes uni'!$L$29,'1 pronabes uni'!$N$29,'1 pronabes uni'!$P$29,'1 pronabes uni'!$R$29,'1 pronabes uni'!$T$29,'1 pronabes uni'!$V$29,'1 pronabes uni'!$X$29,'1 pronabes uni'!$Z$29,'1 pronabes uni'!$AB$29,'1 pronabes uni'!$AD$29,'1 pronabes uni'!$AF$29)</c:f>
              <c:numCache>
                <c:formatCode>#,##0</c:formatCode>
                <c:ptCount val="15"/>
                <c:pt idx="0">
                  <c:v>44</c:v>
                </c:pt>
                <c:pt idx="1">
                  <c:v>336</c:v>
                </c:pt>
                <c:pt idx="2">
                  <c:v>635</c:v>
                </c:pt>
                <c:pt idx="3">
                  <c:v>877</c:v>
                </c:pt>
                <c:pt idx="4">
                  <c:v>1061</c:v>
                </c:pt>
                <c:pt idx="5">
                  <c:v>2004</c:v>
                </c:pt>
                <c:pt idx="6">
                  <c:v>2354</c:v>
                </c:pt>
                <c:pt idx="7">
                  <c:v>2359</c:v>
                </c:pt>
                <c:pt idx="8">
                  <c:v>3194</c:v>
                </c:pt>
                <c:pt idx="9">
                  <c:v>3881</c:v>
                </c:pt>
                <c:pt idx="10">
                  <c:v>4251</c:v>
                </c:pt>
                <c:pt idx="11">
                  <c:v>4418</c:v>
                </c:pt>
                <c:pt idx="12">
                  <c:v>4332</c:v>
                </c:pt>
                <c:pt idx="13">
                  <c:v>4644</c:v>
                </c:pt>
                <c:pt idx="14">
                  <c:v>4807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09517440"/>
        <c:axId val="109543808"/>
        <c:axId val="0"/>
      </c:bar3DChart>
      <c:catAx>
        <c:axId val="10951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9543808"/>
        <c:crosses val="autoZero"/>
        <c:auto val="1"/>
        <c:lblAlgn val="ctr"/>
        <c:lblOffset val="100"/>
        <c:noMultiLvlLbl val="0"/>
      </c:catAx>
      <c:valAx>
        <c:axId val="10954380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09517440"/>
        <c:crosses val="autoZero"/>
        <c:crossBetween val="between"/>
      </c:valAx>
    </c:plotArea>
    <c:legend>
      <c:legendPos val="l"/>
      <c:layout>
        <c:manualLayout>
          <c:xMode val="edge"/>
          <c:yMode val="edge"/>
          <c:x val="7.2075080639187536E-2"/>
          <c:y val="0.17353918001629107"/>
          <c:w val="0.11925585743946962"/>
          <c:h val="0.26092859082269887"/>
        </c:manualLayout>
      </c:layout>
      <c:overlay val="1"/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BECAS DE DE POSGRADO UAM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'9 Posg_uni'!$P$4</c:f>
              <c:strCache>
                <c:ptCount val="1"/>
                <c:pt idx="0">
                  <c:v>Pagadas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1.1111111111111112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 Posg_uni'!$A$37:$A$44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('9 Posg_uni'!$D$32,'9 Posg_uni'!$F$32,'9 Posg_uni'!$H$32,'9 Posg_uni'!$J$32,'9 Posg_uni'!$L$32,'9 Posg_uni'!$N$32,'9 Posg_uni'!$P$32,'9 Posg_uni'!$R$32)</c:f>
              <c:numCache>
                <c:formatCode>General</c:formatCode>
                <c:ptCount val="8"/>
                <c:pt idx="0">
                  <c:v>11</c:v>
                </c:pt>
                <c:pt idx="1">
                  <c:v>24</c:v>
                </c:pt>
                <c:pt idx="2">
                  <c:v>19</c:v>
                </c:pt>
                <c:pt idx="3">
                  <c:v>70</c:v>
                </c:pt>
                <c:pt idx="4">
                  <c:v>125</c:v>
                </c:pt>
                <c:pt idx="5">
                  <c:v>199</c:v>
                </c:pt>
                <c:pt idx="6">
                  <c:v>93</c:v>
                </c:pt>
                <c:pt idx="7">
                  <c:v>143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12989696"/>
        <c:axId val="112991232"/>
        <c:axId val="0"/>
      </c:bar3DChart>
      <c:catAx>
        <c:axId val="11298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2991232"/>
        <c:crosses val="autoZero"/>
        <c:auto val="1"/>
        <c:lblAlgn val="ctr"/>
        <c:lblOffset val="100"/>
        <c:noMultiLvlLbl val="0"/>
      </c:catAx>
      <c:valAx>
        <c:axId val="1129912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298969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57A519"/>
                </a:solidFill>
              </a:defRPr>
            </a:pPr>
            <a:r>
              <a:rPr lang="es-MX" sz="1200" b="0">
                <a:solidFill>
                  <a:srgbClr val="57A519"/>
                </a:solidFill>
              </a:rPr>
              <a:t>Iztapalapa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3255813953488371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'Admitidos uni'!$B$16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3"/>
              <c:layout>
                <c:manualLayout>
                  <c:x val="-6.0654835364122528E-2"/>
                  <c:y val="3.6782844004964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uni'!$Z$16,'Admitidos uni'!$AC$16,'Admitidos uni'!$AF$16,'Admitidos uni'!$AI$16,'Admitidos uni'!$AL$16)</c:f>
              <c:numCache>
                <c:formatCode>#,##0</c:formatCode>
                <c:ptCount val="5"/>
                <c:pt idx="0">
                  <c:v>1032</c:v>
                </c:pt>
                <c:pt idx="1">
                  <c:v>1098</c:v>
                </c:pt>
                <c:pt idx="2">
                  <c:v>1119</c:v>
                </c:pt>
                <c:pt idx="3">
                  <c:v>1290</c:v>
                </c:pt>
                <c:pt idx="4">
                  <c:v>1052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'Admitidos uni'!$B$17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3"/>
              <c:layout>
                <c:manualLayout>
                  <c:x val="-5.4768153980752403E-2"/>
                  <c:y val="-6.140837046531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uni'!$Z$17,'Admitidos uni'!$AC$17,'Admitidos uni'!$AF$17,'Admitidos uni'!$AI$17,'Admitidos uni'!$AL$17)</c:f>
              <c:numCache>
                <c:formatCode>#,##0</c:formatCode>
                <c:ptCount val="5"/>
                <c:pt idx="0">
                  <c:v>1392</c:v>
                </c:pt>
                <c:pt idx="1">
                  <c:v>1375</c:v>
                </c:pt>
                <c:pt idx="2">
                  <c:v>1385</c:v>
                </c:pt>
                <c:pt idx="3">
                  <c:v>1312</c:v>
                </c:pt>
                <c:pt idx="4">
                  <c:v>1315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'Admitidos uni'!$B$18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uni'!$Z$18,'Admitidos uni'!$AC$18,'Admitidos uni'!$AF$18,'Admitidos uni'!$AI$18,'Admitidos uni'!$AL$18)</c:f>
              <c:numCache>
                <c:formatCode>#,##0</c:formatCode>
                <c:ptCount val="5"/>
                <c:pt idx="0">
                  <c:v>958</c:v>
                </c:pt>
                <c:pt idx="1">
                  <c:v>1006</c:v>
                </c:pt>
                <c:pt idx="2">
                  <c:v>1006</c:v>
                </c:pt>
                <c:pt idx="3">
                  <c:v>968</c:v>
                </c:pt>
                <c:pt idx="4">
                  <c:v>861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81920"/>
        <c:axId val="95283456"/>
      </c:lineChart>
      <c:catAx>
        <c:axId val="9528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5283456"/>
        <c:crosses val="autoZero"/>
        <c:auto val="1"/>
        <c:lblAlgn val="ctr"/>
        <c:lblOffset val="100"/>
        <c:noMultiLvlLbl val="0"/>
      </c:catAx>
      <c:valAx>
        <c:axId val="9528345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95281920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7.311744972275816E-2"/>
          <c:y val="0.91171620989236812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'Definitivo x categoría'!$AD$164</c:f>
              <c:strCache>
                <c:ptCount val="1"/>
                <c:pt idx="0">
                  <c:v>Titular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bg1"/>
              </a:solidFill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6.40474051660284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4.8035553874521296E-3"/>
                  <c:y val="-2.28800548256557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803429309882905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803555387452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5.045435493999979E-3"/>
                  <c:y val="-2.28808713122986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6.404740516602898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6.40474051660284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6.40474051660284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8.00592564575355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9.607110774904259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8.00592564575355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6.4218776685398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categoría'!$AD$148:$AD$160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('Definitivo x categoría'!$E$31,'Definitivo x categoría'!$I$31,'Definitivo x categoría'!$M$31,'Definitivo x categoría'!$Q$31,'Definitivo x categoría'!$U$31,'Definitivo x categoría'!$Y$31,'Definitivo x categoría'!$AC$31,'Definitivo x categoría'!$AG$31,'Definitivo x categoría'!$AK$31,'Definitivo x categoría'!$AO$31,'Definitivo x categoría'!$AS$31,'Definitivo x categoría'!$AW$31,'Definitivo x categoría'!$BA$31)</c:f>
              <c:numCache>
                <c:formatCode>_(* #,##0_);_(* \(#,##0\);_(* "-"??_);_(@_)</c:formatCode>
                <c:ptCount val="13"/>
                <c:pt idx="0">
                  <c:v>2469</c:v>
                </c:pt>
                <c:pt idx="1">
                  <c:v>2571</c:v>
                </c:pt>
                <c:pt idx="2">
                  <c:v>2593</c:v>
                </c:pt>
                <c:pt idx="3">
                  <c:v>2578</c:v>
                </c:pt>
                <c:pt idx="4">
                  <c:v>2581</c:v>
                </c:pt>
                <c:pt idx="5">
                  <c:v>2563</c:v>
                </c:pt>
                <c:pt idx="6">
                  <c:v>2570</c:v>
                </c:pt>
                <c:pt idx="7">
                  <c:v>2595</c:v>
                </c:pt>
                <c:pt idx="8">
                  <c:v>2638</c:v>
                </c:pt>
                <c:pt idx="9">
                  <c:v>2651</c:v>
                </c:pt>
                <c:pt idx="10">
                  <c:v>2657</c:v>
                </c:pt>
                <c:pt idx="11">
                  <c:v>2680</c:v>
                </c:pt>
                <c:pt idx="12">
                  <c:v>2670</c:v>
                </c:pt>
              </c:numCache>
            </c:numRef>
          </c:val>
        </c:ser>
        <c:ser>
          <c:idx val="1"/>
          <c:order val="1"/>
          <c:tx>
            <c:strRef>
              <c:f>'Definitivo x categoría'!$AD$165</c:f>
              <c:strCache>
                <c:ptCount val="1"/>
                <c:pt idx="0">
                  <c:v>Asociado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categoría'!$AD$148:$AD$160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('Definitivo x categoría'!$D$31,'Definitivo x categoría'!$H$31,'Definitivo x categoría'!$L$31,'Definitivo x categoría'!$P$31,'Definitivo x categoría'!$T$31,'Definitivo x categoría'!$X$31,'Definitivo x categoría'!$AB$31,'Definitivo x categoría'!$AF$31,'Definitivo x categoría'!$AJ$31,'Definitivo x categoría'!$AN$31,'Definitivo x categoría'!$AR$31,'Definitivo x categoría'!$AV$31,'Definitivo x categoría'!$AZ$31)</c:f>
              <c:numCache>
                <c:formatCode>_(* #,##0_);_(* \(#,##0\);_(* "-"??_);_(@_)</c:formatCode>
                <c:ptCount val="13"/>
                <c:pt idx="0">
                  <c:v>305</c:v>
                </c:pt>
                <c:pt idx="1">
                  <c:v>218</c:v>
                </c:pt>
                <c:pt idx="2">
                  <c:v>226</c:v>
                </c:pt>
                <c:pt idx="3">
                  <c:v>251</c:v>
                </c:pt>
                <c:pt idx="4">
                  <c:v>267</c:v>
                </c:pt>
                <c:pt idx="5">
                  <c:v>296</c:v>
                </c:pt>
                <c:pt idx="6">
                  <c:v>304</c:v>
                </c:pt>
                <c:pt idx="7">
                  <c:v>329</c:v>
                </c:pt>
                <c:pt idx="8">
                  <c:v>335</c:v>
                </c:pt>
                <c:pt idx="9">
                  <c:v>345</c:v>
                </c:pt>
                <c:pt idx="10">
                  <c:v>367</c:v>
                </c:pt>
                <c:pt idx="11">
                  <c:v>408</c:v>
                </c:pt>
                <c:pt idx="12">
                  <c:v>390</c:v>
                </c:pt>
              </c:numCache>
            </c:numRef>
          </c:val>
        </c:ser>
        <c:ser>
          <c:idx val="2"/>
          <c:order val="2"/>
          <c:tx>
            <c:strRef>
              <c:f>'Definitivo x categoría'!$AD$166</c:f>
              <c:strCache>
                <c:ptCount val="1"/>
                <c:pt idx="0">
                  <c:v>Asistente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bg1"/>
              </a:solidFill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4.8034293098829055E-3"/>
                  <c:y val="-4.5760109651311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6.4047405166028403E-3"/>
                  <c:y val="-4.5760109651311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8035553874521296E-3"/>
                  <c:y val="-4.5760109651311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8035553874521296E-3"/>
                  <c:y val="-4.5760109651311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8035553874521296E-3"/>
                  <c:y val="-4.57601096513113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4.8035553874520714E-3"/>
                  <c:y val="-4.5760109651311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8.0059256457535501E-3"/>
                  <c:y val="-4.57601096513117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0059256457535501E-3"/>
                  <c:y val="-6.8640164476967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6.4047405166028403E-3"/>
                  <c:y val="-4.5760109651311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9.6071107749042591E-3"/>
                  <c:y val="-6.86401644769673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8.0059256457536681E-3"/>
                  <c:y val="-6.86419660560874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categoría'!$AD$148:$AD$160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('Definitivo x categoría'!$C$31,'Definitivo x categoría'!$G$31,'Definitivo x categoría'!$K$31,'Definitivo x categoría'!$O$31,'Definitivo x categoría'!$S$31,'Definitivo x categoría'!$W$31,'Definitivo x categoría'!$AA$31,'Definitivo x categoría'!$AE$31,'Definitivo x categoría'!$AI$31,'Definitivo x categoría'!$AM$31,'Definitivo x categoría'!$AQ$31,'Definitivo x categoría'!$AU$31,'Definitivo x categoría'!$AY$31)</c:f>
              <c:numCache>
                <c:formatCode>_(* #,##0_);_(* \(#,##0\);_(* "-"??_);_(@_)</c:formatCode>
                <c:ptCount val="13"/>
                <c:pt idx="0">
                  <c:v>41</c:v>
                </c:pt>
                <c:pt idx="1">
                  <c:v>28</c:v>
                </c:pt>
                <c:pt idx="2">
                  <c:v>34</c:v>
                </c:pt>
                <c:pt idx="3">
                  <c:v>36</c:v>
                </c:pt>
                <c:pt idx="4">
                  <c:v>34</c:v>
                </c:pt>
                <c:pt idx="5">
                  <c:v>33</c:v>
                </c:pt>
                <c:pt idx="6">
                  <c:v>37</c:v>
                </c:pt>
                <c:pt idx="7">
                  <c:v>34</c:v>
                </c:pt>
                <c:pt idx="8">
                  <c:v>31</c:v>
                </c:pt>
                <c:pt idx="9">
                  <c:v>30</c:v>
                </c:pt>
                <c:pt idx="10">
                  <c:v>33</c:v>
                </c:pt>
                <c:pt idx="11">
                  <c:v>36</c:v>
                </c:pt>
                <c:pt idx="12">
                  <c:v>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14944640"/>
        <c:axId val="115380608"/>
        <c:axId val="0"/>
      </c:bar3DChart>
      <c:catAx>
        <c:axId val="11494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50"/>
            </a:pPr>
            <a:endParaRPr lang="es-MX"/>
          </a:p>
        </c:txPr>
        <c:crossAx val="115380608"/>
        <c:crosses val="autoZero"/>
        <c:auto val="1"/>
        <c:lblAlgn val="ctr"/>
        <c:lblOffset val="100"/>
        <c:tickMarkSkip val="1"/>
        <c:noMultiLvlLbl val="0"/>
      </c:catAx>
      <c:valAx>
        <c:axId val="115380608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149446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679109589041095"/>
          <c:y val="0.94427662716664962"/>
          <c:w val="0.49258307965499748"/>
          <c:h val="4.1840491155219726E-2"/>
        </c:manualLayout>
      </c:layout>
      <c:overlay val="0"/>
      <c:txPr>
        <a:bodyPr/>
        <a:lstStyle/>
        <a:p>
          <a:pPr>
            <a:defRPr sz="1200" b="0" i="0">
              <a:latin typeface="+mn-lt"/>
            </a:defRPr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'Definitivo x categoría'!$AD$176</c:f>
              <c:strCache>
                <c:ptCount val="1"/>
                <c:pt idx="0">
                  <c:v>Tiempo Completo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86564102623314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7.3320512827914448E-3"/>
                  <c:y val="-7.975256790668314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8.798461539349706E-3"/>
                  <c:y val="7.975256790668314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86564102623315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7.332051282791444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4.3992307696749207E-3"/>
                  <c:y val="-7.975256790668314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5.86564102623315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7.332051282791444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4.39923076967486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4.39923076967486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4.39923076967486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5.8656410262332634E-3"/>
                  <c:y val="-2.17509516041326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categoría'!$AD$148:$AD$159</c:f>
              <c:numCache>
                <c:formatCode>General</c:formatCode>
                <c:ptCount val="12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</c:numCache>
            </c:numRef>
          </c:cat>
          <c:val>
            <c:numRef>
              <c:f>('Definitivo x categoría'!$F$66,'Definitivo x categoría'!$J$66,'Definitivo x categoría'!$N$66,'Definitivo x categoría'!$R$66,'Definitivo x categoría'!$V$66,'Definitivo x categoría'!$Z$66,'Definitivo x categoría'!$AD$66,'Definitivo x categoría'!$AH$66,'Definitivo x categoría'!$AL$66,'Definitivo x categoría'!$AP$66,'Definitivo x categoría'!$AT$66,'Definitivo x categoría'!$AX$66)</c:f>
              <c:numCache>
                <c:formatCode>_(* #,##0_);_(* \(#,##0\);_(* "-"??_);_(@_)</c:formatCode>
                <c:ptCount val="12"/>
                <c:pt idx="0">
                  <c:v>2421</c:v>
                </c:pt>
                <c:pt idx="1">
                  <c:v>2429</c:v>
                </c:pt>
                <c:pt idx="2">
                  <c:v>2467</c:v>
                </c:pt>
                <c:pt idx="3">
                  <c:v>2468</c:v>
                </c:pt>
                <c:pt idx="4">
                  <c:v>2495</c:v>
                </c:pt>
                <c:pt idx="5">
                  <c:v>2520</c:v>
                </c:pt>
                <c:pt idx="6">
                  <c:v>2538</c:v>
                </c:pt>
                <c:pt idx="7">
                  <c:v>2575</c:v>
                </c:pt>
                <c:pt idx="8">
                  <c:v>2623</c:v>
                </c:pt>
                <c:pt idx="9">
                  <c:v>2663</c:v>
                </c:pt>
                <c:pt idx="10">
                  <c:v>2705</c:v>
                </c:pt>
                <c:pt idx="11">
                  <c:v>2759</c:v>
                </c:pt>
              </c:numCache>
            </c:numRef>
          </c:val>
        </c:ser>
        <c:ser>
          <c:idx val="1"/>
          <c:order val="1"/>
          <c:tx>
            <c:strRef>
              <c:f>'Definitivo x categoría'!$AD$177</c:f>
              <c:strCache>
                <c:ptCount val="1"/>
                <c:pt idx="0">
                  <c:v>Medio Tiempo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categoría'!$AD$148:$AD$159</c:f>
              <c:numCache>
                <c:formatCode>General</c:formatCode>
                <c:ptCount val="12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</c:numCache>
            </c:numRef>
          </c:cat>
          <c:val>
            <c:numRef>
              <c:f>('Definitivo x categoría'!$F$101,'Definitivo x categoría'!$J$101,'Definitivo x categoría'!$N$101,'Definitivo x categoría'!$R$101,'Definitivo x categoría'!$V$101,'Definitivo x categoría'!$Z$101,'Definitivo x categoría'!$AD$101,'Definitivo x categoría'!$AH$101,'Definitivo x categoría'!$AL$101,'Definitivo x categoría'!$AP$101,'Definitivo x categoría'!$AT$101,'Definitivo x categoría'!$AX$101)</c:f>
              <c:numCache>
                <c:formatCode>_(* #,##0_);_(* \(#,##0\);_(* "-"??_);_(@_)</c:formatCode>
                <c:ptCount val="12"/>
                <c:pt idx="0">
                  <c:v>223</c:v>
                </c:pt>
                <c:pt idx="1">
                  <c:v>213</c:v>
                </c:pt>
                <c:pt idx="2">
                  <c:v>216</c:v>
                </c:pt>
                <c:pt idx="3">
                  <c:v>232</c:v>
                </c:pt>
                <c:pt idx="4">
                  <c:v>227</c:v>
                </c:pt>
                <c:pt idx="5">
                  <c:v>221</c:v>
                </c:pt>
                <c:pt idx="6">
                  <c:v>225</c:v>
                </c:pt>
                <c:pt idx="7">
                  <c:v>221</c:v>
                </c:pt>
                <c:pt idx="8">
                  <c:v>215</c:v>
                </c:pt>
                <c:pt idx="9">
                  <c:v>196</c:v>
                </c:pt>
                <c:pt idx="10">
                  <c:v>192</c:v>
                </c:pt>
                <c:pt idx="11">
                  <c:v>194</c:v>
                </c:pt>
              </c:numCache>
            </c:numRef>
          </c:val>
        </c:ser>
        <c:ser>
          <c:idx val="2"/>
          <c:order val="2"/>
          <c:tx>
            <c:strRef>
              <c:f>'Definitivo x categoría'!$AD$178</c:f>
              <c:strCache>
                <c:ptCount val="1"/>
                <c:pt idx="0">
                  <c:v>Tiempo Parcial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bg1"/>
              </a:solidFill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categoría'!$AD$148:$AD$159</c:f>
              <c:numCache>
                <c:formatCode>General</c:formatCode>
                <c:ptCount val="12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</c:numCache>
            </c:numRef>
          </c:cat>
          <c:val>
            <c:numRef>
              <c:f>('Definitivo x categoría'!$F$136,'Definitivo x categoría'!$J$136,'Definitivo x categoría'!$N$136,'Definitivo x categoría'!$R$136,'Definitivo x categoría'!$V$136,'Definitivo x categoría'!$Z$136,'Definitivo x categoría'!$AD$136,'Definitivo x categoría'!$AH$136,'Definitivo x categoría'!$AL$136,'Definitivo x categoría'!$AP$136,'Definitivo x categoría'!$AT$136,'Definitivo x categoría'!$AX$136)</c:f>
              <c:numCache>
                <c:formatCode>_(* #,##0_);_(* \(#,##0\);_(* "-"??_);_(@_)</c:formatCode>
                <c:ptCount val="12"/>
                <c:pt idx="0">
                  <c:v>171</c:v>
                </c:pt>
                <c:pt idx="1">
                  <c:v>175</c:v>
                </c:pt>
                <c:pt idx="2">
                  <c:v>170</c:v>
                </c:pt>
                <c:pt idx="3">
                  <c:v>165</c:v>
                </c:pt>
                <c:pt idx="4">
                  <c:v>160</c:v>
                </c:pt>
                <c:pt idx="5">
                  <c:v>151</c:v>
                </c:pt>
                <c:pt idx="6">
                  <c:v>148</c:v>
                </c:pt>
                <c:pt idx="7">
                  <c:v>162</c:v>
                </c:pt>
                <c:pt idx="8">
                  <c:v>166</c:v>
                </c:pt>
                <c:pt idx="9">
                  <c:v>167</c:v>
                </c:pt>
                <c:pt idx="10">
                  <c:v>160</c:v>
                </c:pt>
                <c:pt idx="11">
                  <c:v>171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15416448"/>
        <c:axId val="115455104"/>
        <c:axId val="0"/>
      </c:bar3DChart>
      <c:catAx>
        <c:axId val="11541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50"/>
            </a:pPr>
            <a:endParaRPr lang="es-MX"/>
          </a:p>
        </c:txPr>
        <c:crossAx val="115455104"/>
        <c:crosses val="autoZero"/>
        <c:auto val="1"/>
        <c:lblAlgn val="ctr"/>
        <c:lblOffset val="100"/>
        <c:tickMarkSkip val="1"/>
        <c:noMultiLvlLbl val="0"/>
      </c:catAx>
      <c:valAx>
        <c:axId val="115455104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154164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0308992897006597"/>
          <c:y val="0.94427662716664962"/>
          <c:w val="0.72293569254185697"/>
          <c:h val="4.1840491155219726E-2"/>
        </c:manualLayout>
      </c:layout>
      <c:overlay val="0"/>
      <c:txPr>
        <a:bodyPr/>
        <a:lstStyle/>
        <a:p>
          <a:pPr>
            <a:defRPr sz="1200" b="0" i="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PERSONAL ACADÉMICO DEFINITIVO POR RANGOS DE EDAD</a:t>
            </a:r>
          </a:p>
        </c:rich>
      </c:tx>
      <c:layout>
        <c:manualLayout>
          <c:xMode val="edge"/>
          <c:yMode val="edge"/>
          <c:x val="0.27612921608749741"/>
          <c:y val="8.3073718876790995E-3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5389949208311214E-2"/>
          <c:y val="9.9068958725473236E-2"/>
          <c:w val="0.97182815421944235"/>
          <c:h val="0.7706384956180552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'ACAD x EDAD'!$A$33</c:f>
              <c:strCache>
                <c:ptCount val="1"/>
                <c:pt idx="0">
                  <c:v>HASTA 30 AÑOS</c:v>
                </c:pt>
              </c:strCache>
            </c:strRef>
          </c:tx>
          <c:spPr>
            <a:solidFill>
              <a:schemeClr val="tx1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503017818974E-3"/>
                  <c:y val="1.2417538257262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4.2507503017818974E-3"/>
                  <c:y val="1.241753825726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2507970244420826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6677293659227771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2507970244421347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5.6677408994761733E-3"/>
                  <c:y val="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0846617074034716E-3"/>
                  <c:y val="1.241753825726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7.0742106603763136E-3"/>
                  <c:y val="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7.0846207515199841E-3"/>
                  <c:y val="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5.6677408994761733E-3"/>
                  <c:y val="1.241753825726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8.5015940488841653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1.4064697609001407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3.8387719798662957E-3"/>
                  <c:y val="7.51173634870071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cene3d>
                <a:camera prst="orthographicFront"/>
                <a:lightRig rig="threePt" dir="t"/>
              </a:scene3d>
              <a:sp3d>
                <a:bevelB w="165100" prst="coolSlant"/>
              </a:sp3d>
            </c:spPr>
            <c:txPr>
              <a:bodyPr/>
              <a:lstStyle/>
              <a:p>
                <a:pPr>
                  <a:defRPr sz="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EDAD'!$C$32:$O$32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('ACAD x EDAD'!$C$33:$M$33,'ACAD x EDAD'!$N$33,'ACAD x EDAD'!$O$33)</c:f>
              <c:numCache>
                <c:formatCode>0.0%</c:formatCode>
                <c:ptCount val="13"/>
                <c:pt idx="0">
                  <c:v>4.6181172291296629E-3</c:v>
                </c:pt>
                <c:pt idx="1">
                  <c:v>3.9048633297834577E-3</c:v>
                </c:pt>
                <c:pt idx="2">
                  <c:v>4.5566070802663863E-3</c:v>
                </c:pt>
                <c:pt idx="3">
                  <c:v>4.1884816753926706E-3</c:v>
                </c:pt>
                <c:pt idx="4">
                  <c:v>3.4698126301179735E-3</c:v>
                </c:pt>
                <c:pt idx="5">
                  <c:v>4.8409405255878286E-3</c:v>
                </c:pt>
                <c:pt idx="6">
                  <c:v>3.7787701820680177E-3</c:v>
                </c:pt>
                <c:pt idx="7">
                  <c:v>2.7045300878972278E-3</c:v>
                </c:pt>
                <c:pt idx="8">
                  <c:v>3.9946737683089215E-3</c:v>
                </c:pt>
                <c:pt idx="9">
                  <c:v>3.6351619299405157E-3</c:v>
                </c:pt>
                <c:pt idx="10">
                  <c:v>3.9254170755642784E-3</c:v>
                </c:pt>
                <c:pt idx="11">
                  <c:v>5.7618437900128043E-3</c:v>
                </c:pt>
                <c:pt idx="12">
                  <c:v>3.5598705501618125E-3</c:v>
                </c:pt>
              </c:numCache>
            </c:numRef>
          </c:val>
        </c:ser>
        <c:ser>
          <c:idx val="1"/>
          <c:order val="1"/>
          <c:tx>
            <c:strRef>
              <c:f>'ACAD x EDAD'!$A$34</c:f>
              <c:strCache>
                <c:ptCount val="1"/>
                <c:pt idx="0">
                  <c:v>31 - 40 AÑOS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8.5015940488841653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7.084661707403471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8.5015940488842694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8.438818565400740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1.023672527964345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EDAD'!$C$32:$O$32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('ACAD x EDAD'!$C$34:$M$34,'ACAD x EDAD'!$N$34,'ACAD x EDAD'!$O$34)</c:f>
              <c:numCache>
                <c:formatCode>0.0%</c:formatCode>
                <c:ptCount val="13"/>
                <c:pt idx="0">
                  <c:v>0.12753108348134992</c:v>
                </c:pt>
                <c:pt idx="1">
                  <c:v>0.10898118565850196</c:v>
                </c:pt>
                <c:pt idx="2">
                  <c:v>9.3235191026989128E-2</c:v>
                </c:pt>
                <c:pt idx="3">
                  <c:v>8.5165794066317621E-2</c:v>
                </c:pt>
                <c:pt idx="4">
                  <c:v>8.5357390700902147E-2</c:v>
                </c:pt>
                <c:pt idx="5">
                  <c:v>8.7136929460580909E-2</c:v>
                </c:pt>
                <c:pt idx="6">
                  <c:v>8.2102370319477841E-2</c:v>
                </c:pt>
                <c:pt idx="7">
                  <c:v>7.9107505070993914E-2</c:v>
                </c:pt>
                <c:pt idx="8">
                  <c:v>7.3901464713715045E-2</c:v>
                </c:pt>
                <c:pt idx="9">
                  <c:v>7.3364177131526764E-2</c:v>
                </c:pt>
                <c:pt idx="10">
                  <c:v>7.4910042525351647E-2</c:v>
                </c:pt>
                <c:pt idx="11">
                  <c:v>7.6184379001280403E-2</c:v>
                </c:pt>
                <c:pt idx="12">
                  <c:v>7.4110032362459541E-2</c:v>
                </c:pt>
              </c:numCache>
            </c:numRef>
          </c:val>
        </c:ser>
        <c:ser>
          <c:idx val="2"/>
          <c:order val="2"/>
          <c:tx>
            <c:strRef>
              <c:f>'ACAD x EDAD'!$A$35</c:f>
              <c:strCache>
                <c:ptCount val="1"/>
                <c:pt idx="0">
                  <c:v>41 - 50 AÑOS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7.084661707403471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7.084661707403367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8.5015940488841653E-3"/>
                  <c:y val="-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7.03234880450070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7.67754395973259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EDAD'!$C$32:$O$32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('ACAD x EDAD'!$C$35:$M$35,'ACAD x EDAD'!$N$35,'ACAD x EDAD'!$O$35)</c:f>
              <c:numCache>
                <c:formatCode>0.0%</c:formatCode>
                <c:ptCount val="13"/>
                <c:pt idx="0">
                  <c:v>0.39751332149200713</c:v>
                </c:pt>
                <c:pt idx="1">
                  <c:v>0.38019169329073482</c:v>
                </c:pt>
                <c:pt idx="2">
                  <c:v>0.36172450052576238</c:v>
                </c:pt>
                <c:pt idx="3">
                  <c:v>0.33752181500872602</c:v>
                </c:pt>
                <c:pt idx="4">
                  <c:v>0.32234559333795976</c:v>
                </c:pt>
                <c:pt idx="5">
                  <c:v>0.29045643153526973</c:v>
                </c:pt>
                <c:pt idx="6">
                  <c:v>0.27310202679491585</c:v>
                </c:pt>
                <c:pt idx="7">
                  <c:v>0.25185936443542933</c:v>
                </c:pt>
                <c:pt idx="8">
                  <c:v>0.23668442077230359</c:v>
                </c:pt>
                <c:pt idx="9">
                  <c:v>0.21943159286186384</c:v>
                </c:pt>
                <c:pt idx="10">
                  <c:v>0.20804710500490678</c:v>
                </c:pt>
                <c:pt idx="11">
                  <c:v>0.19878361075544174</c:v>
                </c:pt>
                <c:pt idx="12">
                  <c:v>0.18284789644012944</c:v>
                </c:pt>
              </c:numCache>
            </c:numRef>
          </c:val>
        </c:ser>
        <c:ser>
          <c:idx val="3"/>
          <c:order val="3"/>
          <c:tx>
            <c:strRef>
              <c:f>'ACAD x EDAD'!$A$36</c:f>
              <c:strCache>
                <c:ptCount val="1"/>
                <c:pt idx="0">
                  <c:v>51 - 60 AÑOS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7.0846617074033676E-3"/>
                  <c:y val="5.691305954793062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8.4388185654008432E-3"/>
                  <c:y val="5.691305954793062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7.6775439597325914E-3"/>
                  <c:y val="-2.50391211623357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EDAD'!$C$32:$O$32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'ACAD x EDAD'!$C$36:$O$36</c:f>
              <c:numCache>
                <c:formatCode>0.0%</c:formatCode>
                <c:ptCount val="13"/>
                <c:pt idx="0">
                  <c:v>0.35808170515097693</c:v>
                </c:pt>
                <c:pt idx="1">
                  <c:v>0.37344692935747248</c:v>
                </c:pt>
                <c:pt idx="2">
                  <c:v>0.39046617595513494</c:v>
                </c:pt>
                <c:pt idx="3">
                  <c:v>0.40244328097731241</c:v>
                </c:pt>
                <c:pt idx="4">
                  <c:v>0.40874392782789731</c:v>
                </c:pt>
                <c:pt idx="5">
                  <c:v>0.41874135546334718</c:v>
                </c:pt>
                <c:pt idx="6">
                  <c:v>0.41841291652353141</c:v>
                </c:pt>
                <c:pt idx="7">
                  <c:v>0.41717376605814738</c:v>
                </c:pt>
                <c:pt idx="8">
                  <c:v>0.40545938748335553</c:v>
                </c:pt>
                <c:pt idx="9">
                  <c:v>0.40085922009253139</c:v>
                </c:pt>
                <c:pt idx="10">
                  <c:v>0.39090611710827611</c:v>
                </c:pt>
                <c:pt idx="11">
                  <c:v>0.37419974391805377</c:v>
                </c:pt>
                <c:pt idx="12">
                  <c:v>0.36634304207119739</c:v>
                </c:pt>
              </c:numCache>
            </c:numRef>
          </c:val>
        </c:ser>
        <c:ser>
          <c:idx val="4"/>
          <c:order val="4"/>
          <c:tx>
            <c:strRef>
              <c:f>'ACAD x EDAD'!$A$37</c:f>
              <c:strCache>
                <c:ptCount val="1"/>
                <c:pt idx="0">
                  <c:v>61 -70 AÑOS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1.42282648869826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2507970244420826E-3"/>
                  <c:y val="-1.42282648869826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5.6677293659227771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8.5015940488840612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9.9185263903648607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8.4388185654008432E-3"/>
                  <c:y val="3.10438456431554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7.67754395973259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EDAD'!$C$32:$O$32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('ACAD x EDAD'!$C$37:$M$37,'ACAD x EDAD'!$N$37,'ACAD x EDAD'!$O$37)</c:f>
              <c:numCache>
                <c:formatCode>0.0%</c:formatCode>
                <c:ptCount val="13"/>
                <c:pt idx="0">
                  <c:v>9.6980461811722915E-2</c:v>
                </c:pt>
                <c:pt idx="1">
                  <c:v>0.11501597444089456</c:v>
                </c:pt>
                <c:pt idx="2">
                  <c:v>0.12828601472134596</c:v>
                </c:pt>
                <c:pt idx="3">
                  <c:v>0.15148342059336825</c:v>
                </c:pt>
                <c:pt idx="4">
                  <c:v>0.16204024982650936</c:v>
                </c:pt>
                <c:pt idx="5">
                  <c:v>0.17807745504840941</c:v>
                </c:pt>
                <c:pt idx="6">
                  <c:v>0.19649604946753693</c:v>
                </c:pt>
                <c:pt idx="7">
                  <c:v>0.2194050033806626</c:v>
                </c:pt>
                <c:pt idx="8">
                  <c:v>0.24234354194407456</c:v>
                </c:pt>
                <c:pt idx="9">
                  <c:v>0.25842696629213485</c:v>
                </c:pt>
                <c:pt idx="10">
                  <c:v>0.27052666012430487</c:v>
                </c:pt>
                <c:pt idx="11">
                  <c:v>0.28104993597951344</c:v>
                </c:pt>
                <c:pt idx="12">
                  <c:v>0.29676375404530747</c:v>
                </c:pt>
              </c:numCache>
            </c:numRef>
          </c:val>
        </c:ser>
        <c:ser>
          <c:idx val="5"/>
          <c:order val="5"/>
          <c:tx>
            <c:strRef>
              <c:f>'ACAD x EDAD'!$A$38</c:f>
              <c:strCache>
                <c:ptCount val="1"/>
                <c:pt idx="0">
                  <c:v>MÁS DE 70 AÑOS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7.08466170740352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7.0846617074034716E-3"/>
                  <c:y val="-9.31315369294655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9.9185263903648607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8.50159404888426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7.10555167945778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8.43870781975048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5.1183626398217281E-3"/>
                  <c:y val="-7.51173634870071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EDAD'!$C$32:$O$32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('ACAD x EDAD'!$C$38:$M$38,'ACAD x EDAD'!$N$38,'ACAD x EDAD'!$O$38)</c:f>
              <c:numCache>
                <c:formatCode>0.0%</c:formatCode>
                <c:ptCount val="13"/>
                <c:pt idx="0">
                  <c:v>1.52753108348135E-2</c:v>
                </c:pt>
                <c:pt idx="1">
                  <c:v>1.845935392261271E-2</c:v>
                </c:pt>
                <c:pt idx="2">
                  <c:v>2.1731510690501228E-2</c:v>
                </c:pt>
                <c:pt idx="3">
                  <c:v>1.9197207678883072E-2</c:v>
                </c:pt>
                <c:pt idx="4">
                  <c:v>1.8043025676613464E-2</c:v>
                </c:pt>
                <c:pt idx="5">
                  <c:v>2.0746887966804978E-2</c:v>
                </c:pt>
                <c:pt idx="6">
                  <c:v>2.6107866712469941E-2</c:v>
                </c:pt>
                <c:pt idx="7">
                  <c:v>2.9749830966869506E-2</c:v>
                </c:pt>
                <c:pt idx="8">
                  <c:v>3.7616511318242341E-2</c:v>
                </c:pt>
                <c:pt idx="9">
                  <c:v>4.4282881692002646E-2</c:v>
                </c:pt>
                <c:pt idx="10">
                  <c:v>5.1684658161596335E-2</c:v>
                </c:pt>
                <c:pt idx="11">
                  <c:v>6.4020486555697823E-2</c:v>
                </c:pt>
                <c:pt idx="12">
                  <c:v>7.6375404530744331E-2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9"/>
        <c:shape val="cylinder"/>
        <c:axId val="114037888"/>
        <c:axId val="114039424"/>
        <c:axId val="0"/>
      </c:bar3DChart>
      <c:catAx>
        <c:axId val="11403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0"/>
            </a:pPr>
            <a:endParaRPr lang="es-MX"/>
          </a:p>
        </c:txPr>
        <c:crossAx val="114039424"/>
        <c:crosses val="autoZero"/>
        <c:auto val="1"/>
        <c:lblAlgn val="ctr"/>
        <c:lblOffset val="100"/>
        <c:noMultiLvlLbl val="0"/>
      </c:catAx>
      <c:valAx>
        <c:axId val="11403942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40378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3309080035881591E-2"/>
          <c:y val="0.92523737542129192"/>
          <c:w val="0.85664385306267099"/>
          <c:h val="5.61363171928150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5389996502273523E-2"/>
          <c:y val="3.4466490735245374E-2"/>
          <c:w val="0.97182815421944235"/>
          <c:h val="0.78816584160109993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'ACAD x EDAD'!$A$33</c:f>
              <c:strCache>
                <c:ptCount val="1"/>
                <c:pt idx="0">
                  <c:v>HASTA 30 AÑOS</c:v>
                </c:pt>
              </c:strCache>
            </c:strRef>
          </c:tx>
          <c:spPr>
            <a:solidFill>
              <a:schemeClr val="tx1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503017818974E-3"/>
                  <c:y val="1.2417538257262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4.2507503017818974E-3"/>
                  <c:y val="1.241753825726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2507970244420826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6677293659227771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2507970244421347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5.6677408994761733E-3"/>
                  <c:y val="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0846617074034716E-3"/>
                  <c:y val="1.241753825726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7.0742106603763136E-3"/>
                  <c:y val="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7.0846207515199841E-3"/>
                  <c:y val="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5.6677408994761733E-3"/>
                  <c:y val="1.241753825726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8.5015940488841653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1.4064697609001407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cene3d>
                <a:camera prst="orthographicFront"/>
                <a:lightRig rig="threePt" dir="t"/>
              </a:scene3d>
              <a:sp3d>
                <a:bevelB w="165100" prst="coolSlant"/>
              </a:sp3d>
            </c:spPr>
            <c:txPr>
              <a:bodyPr/>
              <a:lstStyle/>
              <a:p>
                <a:pPr>
                  <a:defRPr sz="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EDAD'!$J$32:$N$32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EDAD'!$J$33:$N$33</c:f>
              <c:numCache>
                <c:formatCode>0.0%</c:formatCode>
                <c:ptCount val="5"/>
                <c:pt idx="0">
                  <c:v>2.7045300878972278E-3</c:v>
                </c:pt>
                <c:pt idx="1">
                  <c:v>3.9946737683089215E-3</c:v>
                </c:pt>
                <c:pt idx="2">
                  <c:v>3.6351619299405157E-3</c:v>
                </c:pt>
                <c:pt idx="3">
                  <c:v>3.9254170755642784E-3</c:v>
                </c:pt>
                <c:pt idx="4">
                  <c:v>5.7618437900128043E-3</c:v>
                </c:pt>
              </c:numCache>
            </c:numRef>
          </c:val>
        </c:ser>
        <c:ser>
          <c:idx val="1"/>
          <c:order val="1"/>
          <c:tx>
            <c:strRef>
              <c:f>'ACAD x EDAD'!$A$34</c:f>
              <c:strCache>
                <c:ptCount val="1"/>
                <c:pt idx="0">
                  <c:v>31 - 40 AÑOS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8.5015940488841653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7.084661707403471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8.5015940488842694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8.438818565400740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EDAD'!$J$32:$N$32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EDAD'!$J$34:$N$34</c:f>
              <c:numCache>
                <c:formatCode>0.0%</c:formatCode>
                <c:ptCount val="5"/>
                <c:pt idx="0">
                  <c:v>7.9107505070993914E-2</c:v>
                </c:pt>
                <c:pt idx="1">
                  <c:v>7.3901464713715045E-2</c:v>
                </c:pt>
                <c:pt idx="2">
                  <c:v>7.3364177131526764E-2</c:v>
                </c:pt>
                <c:pt idx="3">
                  <c:v>7.4910042525351647E-2</c:v>
                </c:pt>
                <c:pt idx="4">
                  <c:v>7.6184379001280403E-2</c:v>
                </c:pt>
              </c:numCache>
            </c:numRef>
          </c:val>
        </c:ser>
        <c:ser>
          <c:idx val="2"/>
          <c:order val="2"/>
          <c:tx>
            <c:strRef>
              <c:f>'ACAD x EDAD'!$A$35</c:f>
              <c:strCache>
                <c:ptCount val="1"/>
                <c:pt idx="0">
                  <c:v>41 - 50 AÑOS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7.084661707403471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7.084661707403367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8.5015940488841653E-3"/>
                  <c:y val="-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7.03234880450070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EDAD'!$J$32:$N$32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EDAD'!$J$35:$N$35</c:f>
              <c:numCache>
                <c:formatCode>0.0%</c:formatCode>
                <c:ptCount val="5"/>
                <c:pt idx="0">
                  <c:v>0.25185936443542933</c:v>
                </c:pt>
                <c:pt idx="1">
                  <c:v>0.23668442077230359</c:v>
                </c:pt>
                <c:pt idx="2">
                  <c:v>0.21943159286186384</c:v>
                </c:pt>
                <c:pt idx="3">
                  <c:v>0.20804710500490678</c:v>
                </c:pt>
                <c:pt idx="4">
                  <c:v>0.19878361075544174</c:v>
                </c:pt>
              </c:numCache>
            </c:numRef>
          </c:val>
        </c:ser>
        <c:ser>
          <c:idx val="3"/>
          <c:order val="3"/>
          <c:tx>
            <c:strRef>
              <c:f>'ACAD x EDAD'!$A$36</c:f>
              <c:strCache>
                <c:ptCount val="1"/>
                <c:pt idx="0">
                  <c:v>51 - 60 AÑOS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7.0846617074033676E-3"/>
                  <c:y val="5.691305954793062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8.4388185654008432E-3"/>
                  <c:y val="5.691305954793062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EDAD'!$J$32:$N$32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EDAD'!$J$36:$N$36</c:f>
              <c:numCache>
                <c:formatCode>0.0%</c:formatCode>
                <c:ptCount val="5"/>
                <c:pt idx="0">
                  <c:v>0.41717376605814738</c:v>
                </c:pt>
                <c:pt idx="1">
                  <c:v>0.40545938748335553</c:v>
                </c:pt>
                <c:pt idx="2">
                  <c:v>0.40085922009253139</c:v>
                </c:pt>
                <c:pt idx="3">
                  <c:v>0.39090611710827611</c:v>
                </c:pt>
                <c:pt idx="4">
                  <c:v>0.37419974391805377</c:v>
                </c:pt>
              </c:numCache>
            </c:numRef>
          </c:val>
        </c:ser>
        <c:ser>
          <c:idx val="4"/>
          <c:order val="4"/>
          <c:tx>
            <c:strRef>
              <c:f>'ACAD x EDAD'!$A$37</c:f>
              <c:strCache>
                <c:ptCount val="1"/>
                <c:pt idx="0">
                  <c:v>61 -70 AÑOS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1.42282648869826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2507970244420826E-3"/>
                  <c:y val="-1.42282648869826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5.6677293659227771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8.5015940488840612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9.9185263903648607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8.4388185654008432E-3"/>
                  <c:y val="3.10438456431554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EDAD'!$J$32:$N$32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EDAD'!$J$37:$N$37</c:f>
              <c:numCache>
                <c:formatCode>0.0%</c:formatCode>
                <c:ptCount val="5"/>
                <c:pt idx="0">
                  <c:v>0.2194050033806626</c:v>
                </c:pt>
                <c:pt idx="1">
                  <c:v>0.24234354194407456</c:v>
                </c:pt>
                <c:pt idx="2">
                  <c:v>0.25842696629213485</c:v>
                </c:pt>
                <c:pt idx="3">
                  <c:v>0.27052666012430487</c:v>
                </c:pt>
                <c:pt idx="4">
                  <c:v>0.28104993597951344</c:v>
                </c:pt>
              </c:numCache>
            </c:numRef>
          </c:val>
        </c:ser>
        <c:ser>
          <c:idx val="5"/>
          <c:order val="5"/>
          <c:tx>
            <c:strRef>
              <c:f>'ACAD x EDAD'!$A$38</c:f>
              <c:strCache>
                <c:ptCount val="1"/>
                <c:pt idx="0">
                  <c:v>MÁS DE 70 AÑOS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7.08466170740352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7.0846617074034716E-3"/>
                  <c:y val="-9.31315369294655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9.9185263903648607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8.50159404888426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7.10555167945778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8.43870781975048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EDAD'!$J$32:$N$32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EDAD'!$J$38:$N$38</c:f>
              <c:numCache>
                <c:formatCode>0.0%</c:formatCode>
                <c:ptCount val="5"/>
                <c:pt idx="0">
                  <c:v>2.9749830966869506E-2</c:v>
                </c:pt>
                <c:pt idx="1">
                  <c:v>3.7616511318242341E-2</c:v>
                </c:pt>
                <c:pt idx="2">
                  <c:v>4.4282881692002646E-2</c:v>
                </c:pt>
                <c:pt idx="3">
                  <c:v>5.1684658161596335E-2</c:v>
                </c:pt>
                <c:pt idx="4">
                  <c:v>6.4020486555697823E-2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9"/>
        <c:shape val="cylinder"/>
        <c:axId val="116233728"/>
        <c:axId val="116235264"/>
        <c:axId val="0"/>
      </c:bar3DChart>
      <c:catAx>
        <c:axId val="11623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0"/>
            </a:pPr>
            <a:endParaRPr lang="es-MX"/>
          </a:p>
        </c:txPr>
        <c:crossAx val="116235264"/>
        <c:crosses val="autoZero"/>
        <c:auto val="1"/>
        <c:lblAlgn val="ctr"/>
        <c:lblOffset val="100"/>
        <c:noMultiLvlLbl val="0"/>
      </c:catAx>
      <c:valAx>
        <c:axId val="11623526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62337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3309080035881591E-2"/>
          <c:y val="0.92523737542129192"/>
          <c:w val="0.85664385306267099"/>
          <c:h val="5.61363171928150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538999764803152E-2"/>
          <c:y val="2.8651891523377465E-2"/>
          <c:w val="0.97182815421944235"/>
          <c:h val="0.7706384956180552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'ACAD x EDAD'!$A$33</c:f>
              <c:strCache>
                <c:ptCount val="1"/>
                <c:pt idx="0">
                  <c:v>HASTA 30 AÑOS</c:v>
                </c:pt>
              </c:strCache>
            </c:strRef>
          </c:tx>
          <c:spPr>
            <a:solidFill>
              <a:schemeClr val="tx1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503017818974E-3"/>
                  <c:y val="1.2417538257262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4.2507503017818974E-3"/>
                  <c:y val="1.241753825726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2507970244420826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6677293659227771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2507970244421347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5.6677408994761733E-3"/>
                  <c:y val="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0846617074034716E-3"/>
                  <c:y val="1.241753825726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7.0742106603763136E-3"/>
                  <c:y val="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7.0846207515199841E-3"/>
                  <c:y val="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5.6677408994761733E-3"/>
                  <c:y val="1.241753825726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8.5015940488841653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1.4064697609001407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3.8387719798662957E-3"/>
                  <c:y val="7.51173634870071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cene3d>
                <a:camera prst="orthographicFront"/>
                <a:lightRig rig="threePt" dir="t"/>
              </a:scene3d>
              <a:sp3d>
                <a:bevelB w="165100" prst="coolSlant"/>
              </a:sp3d>
            </c:spPr>
            <c:txPr>
              <a:bodyPr/>
              <a:lstStyle/>
              <a:p>
                <a:pPr>
                  <a:defRPr sz="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EDAD'!$K$32:$O$32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'ACAD x EDAD'!$K$33:$O$33</c:f>
              <c:numCache>
                <c:formatCode>0.0%</c:formatCode>
                <c:ptCount val="5"/>
                <c:pt idx="0">
                  <c:v>3.9946737683089215E-3</c:v>
                </c:pt>
                <c:pt idx="1">
                  <c:v>3.6351619299405157E-3</c:v>
                </c:pt>
                <c:pt idx="2">
                  <c:v>3.9254170755642784E-3</c:v>
                </c:pt>
                <c:pt idx="3">
                  <c:v>5.7618437900128043E-3</c:v>
                </c:pt>
                <c:pt idx="4">
                  <c:v>3.5598705501618125E-3</c:v>
                </c:pt>
              </c:numCache>
            </c:numRef>
          </c:val>
        </c:ser>
        <c:ser>
          <c:idx val="1"/>
          <c:order val="1"/>
          <c:tx>
            <c:strRef>
              <c:f>'ACAD x EDAD'!$A$34</c:f>
              <c:strCache>
                <c:ptCount val="1"/>
                <c:pt idx="0">
                  <c:v>31 - 40 AÑOS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8.5015940488841653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7.084661707403471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8.5015940488842694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8.438818565400740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1.023672527964345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EDAD'!$K$32:$O$32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'ACAD x EDAD'!$K$34:$O$34</c:f>
              <c:numCache>
                <c:formatCode>0.0%</c:formatCode>
                <c:ptCount val="5"/>
                <c:pt idx="0">
                  <c:v>7.3901464713715045E-2</c:v>
                </c:pt>
                <c:pt idx="1">
                  <c:v>7.3364177131526764E-2</c:v>
                </c:pt>
                <c:pt idx="2">
                  <c:v>7.4910042525351647E-2</c:v>
                </c:pt>
                <c:pt idx="3">
                  <c:v>7.6184379001280403E-2</c:v>
                </c:pt>
                <c:pt idx="4">
                  <c:v>7.4110032362459541E-2</c:v>
                </c:pt>
              </c:numCache>
            </c:numRef>
          </c:val>
        </c:ser>
        <c:ser>
          <c:idx val="2"/>
          <c:order val="2"/>
          <c:tx>
            <c:strRef>
              <c:f>'ACAD x EDAD'!$A$35</c:f>
              <c:strCache>
                <c:ptCount val="1"/>
                <c:pt idx="0">
                  <c:v>41 - 50 AÑOS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7.084661707403471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7.084661707403367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8.5015940488841653E-3"/>
                  <c:y val="-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7.03234880450070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7.67754395973259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EDAD'!$K$32:$O$32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'ACAD x EDAD'!$K$35:$O$35</c:f>
              <c:numCache>
                <c:formatCode>0.0%</c:formatCode>
                <c:ptCount val="5"/>
                <c:pt idx="0">
                  <c:v>0.23668442077230359</c:v>
                </c:pt>
                <c:pt idx="1">
                  <c:v>0.21943159286186384</c:v>
                </c:pt>
                <c:pt idx="2">
                  <c:v>0.20804710500490678</c:v>
                </c:pt>
                <c:pt idx="3">
                  <c:v>0.19878361075544174</c:v>
                </c:pt>
                <c:pt idx="4">
                  <c:v>0.18284789644012944</c:v>
                </c:pt>
              </c:numCache>
            </c:numRef>
          </c:val>
        </c:ser>
        <c:ser>
          <c:idx val="3"/>
          <c:order val="3"/>
          <c:tx>
            <c:strRef>
              <c:f>'ACAD x EDAD'!$A$36</c:f>
              <c:strCache>
                <c:ptCount val="1"/>
                <c:pt idx="0">
                  <c:v>51 - 60 AÑOS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7.0846617074033676E-3"/>
                  <c:y val="5.691305954793062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8.4388185654008432E-3"/>
                  <c:y val="5.691305954793062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7.6775439597325914E-3"/>
                  <c:y val="-2.50391211623357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EDAD'!$K$32:$O$32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'ACAD x EDAD'!$K$36:$O$36</c:f>
              <c:numCache>
                <c:formatCode>0.0%</c:formatCode>
                <c:ptCount val="5"/>
                <c:pt idx="0">
                  <c:v>0.40545938748335553</c:v>
                </c:pt>
                <c:pt idx="1">
                  <c:v>0.40085922009253139</c:v>
                </c:pt>
                <c:pt idx="2">
                  <c:v>0.39090611710827611</c:v>
                </c:pt>
                <c:pt idx="3">
                  <c:v>0.37419974391805377</c:v>
                </c:pt>
                <c:pt idx="4">
                  <c:v>0.36634304207119739</c:v>
                </c:pt>
              </c:numCache>
            </c:numRef>
          </c:val>
        </c:ser>
        <c:ser>
          <c:idx val="4"/>
          <c:order val="4"/>
          <c:tx>
            <c:strRef>
              <c:f>'ACAD x EDAD'!$A$37</c:f>
              <c:strCache>
                <c:ptCount val="1"/>
                <c:pt idx="0">
                  <c:v>61 -70 AÑOS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1.42282648869826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2507970244420826E-3"/>
                  <c:y val="-1.42282648869826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5.6677293659227771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8.5015940488840612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9.9185263903648607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8.4388185654008432E-3"/>
                  <c:y val="3.10438456431554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7.67754395973259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EDAD'!$K$32:$O$32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'ACAD x EDAD'!$K$37:$O$37</c:f>
              <c:numCache>
                <c:formatCode>0.0%</c:formatCode>
                <c:ptCount val="5"/>
                <c:pt idx="0">
                  <c:v>0.24234354194407456</c:v>
                </c:pt>
                <c:pt idx="1">
                  <c:v>0.25842696629213485</c:v>
                </c:pt>
                <c:pt idx="2">
                  <c:v>0.27052666012430487</c:v>
                </c:pt>
                <c:pt idx="3">
                  <c:v>0.28104993597951344</c:v>
                </c:pt>
                <c:pt idx="4">
                  <c:v>0.29676375404530747</c:v>
                </c:pt>
              </c:numCache>
            </c:numRef>
          </c:val>
        </c:ser>
        <c:ser>
          <c:idx val="5"/>
          <c:order val="5"/>
          <c:tx>
            <c:strRef>
              <c:f>'ACAD x EDAD'!$A$38</c:f>
              <c:strCache>
                <c:ptCount val="1"/>
                <c:pt idx="0">
                  <c:v>MÁS DE 70 AÑOS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7.08466170740352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7.0846617074034716E-3"/>
                  <c:y val="-9.31315369294655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9.9185263903648607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8.50159404888426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7.10555167945778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8.43870781975048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5.1183626398217281E-3"/>
                  <c:y val="-7.51173634870071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EDAD'!$K$32:$O$32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'ACAD x EDAD'!$K$38:$O$38</c:f>
              <c:numCache>
                <c:formatCode>0.0%</c:formatCode>
                <c:ptCount val="5"/>
                <c:pt idx="0">
                  <c:v>3.7616511318242341E-2</c:v>
                </c:pt>
                <c:pt idx="1">
                  <c:v>4.4282881692002646E-2</c:v>
                </c:pt>
                <c:pt idx="2">
                  <c:v>5.1684658161596335E-2</c:v>
                </c:pt>
                <c:pt idx="3">
                  <c:v>6.4020486555697823E-2</c:v>
                </c:pt>
                <c:pt idx="4">
                  <c:v>7.6375404530744331E-2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9"/>
        <c:shape val="cylinder"/>
        <c:axId val="116405760"/>
        <c:axId val="116407296"/>
        <c:axId val="0"/>
      </c:bar3DChart>
      <c:catAx>
        <c:axId val="11640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0"/>
            </a:pPr>
            <a:endParaRPr lang="es-MX"/>
          </a:p>
        </c:txPr>
        <c:crossAx val="116407296"/>
        <c:crosses val="autoZero"/>
        <c:auto val="1"/>
        <c:lblAlgn val="ctr"/>
        <c:lblOffset val="100"/>
        <c:noMultiLvlLbl val="0"/>
      </c:catAx>
      <c:valAx>
        <c:axId val="11640729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64057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3309080035881591E-2"/>
          <c:y val="0.88237469438094884"/>
          <c:w val="0.85664385306267099"/>
          <c:h val="9.8998876122250515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PERSONAL ACADÉMICO DEFINITIVO POR AÑOS DE ANTIGÜEDAD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'ACAD x ANTIG'!$A$22</c:f>
              <c:strCache>
                <c:ptCount val="1"/>
                <c:pt idx="0">
                  <c:v>HASTA 5 AÑOS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effectLst>
              <a:outerShdw blurRad="76200" dist="12700" dir="8100000" sy="-23000" kx="800400" algn="br" rotWithShape="0">
                <a:schemeClr val="tx1">
                  <a:alpha val="20000"/>
                </a:scheme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5.979073243647234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7.47384155455904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8.31600831600831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5.91016548463356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('ACAD x ANTIG'!$C$21:$N$21,'ACAD x ANTIG'!$O$21)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('ACAD x ANTIG'!$C$22:$M$22,'ACAD x ANTIG'!$N$22,'ACAD x ANTIG'!$O$22)</c:f>
              <c:numCache>
                <c:formatCode>0.0%</c:formatCode>
                <c:ptCount val="13"/>
                <c:pt idx="0">
                  <c:v>5.3641207815275309E-2</c:v>
                </c:pt>
                <c:pt idx="1">
                  <c:v>4.1533546325878593E-2</c:v>
                </c:pt>
                <c:pt idx="2">
                  <c:v>4.1710480196284615E-2</c:v>
                </c:pt>
                <c:pt idx="3">
                  <c:v>4.5724258289703314E-2</c:v>
                </c:pt>
                <c:pt idx="4">
                  <c:v>5.6557945870922971E-2</c:v>
                </c:pt>
                <c:pt idx="5">
                  <c:v>6.3969571230982014E-2</c:v>
                </c:pt>
                <c:pt idx="6">
                  <c:v>6.870491240123669E-2</c:v>
                </c:pt>
                <c:pt idx="7">
                  <c:v>8.0459770114942528E-2</c:v>
                </c:pt>
                <c:pt idx="8">
                  <c:v>8.1557922769640481E-2</c:v>
                </c:pt>
                <c:pt idx="9">
                  <c:v>7.8321216126900198E-2</c:v>
                </c:pt>
                <c:pt idx="10">
                  <c:v>8.4723585214262348E-2</c:v>
                </c:pt>
                <c:pt idx="11">
                  <c:v>8.7387964148527522E-2</c:v>
                </c:pt>
                <c:pt idx="12">
                  <c:v>7.5728155339805828E-2</c:v>
                </c:pt>
              </c:numCache>
            </c:numRef>
          </c:val>
        </c:ser>
        <c:ser>
          <c:idx val="1"/>
          <c:order val="1"/>
          <c:tx>
            <c:strRef>
              <c:f>'ACAD x ANTIG'!$A$23</c:f>
              <c:strCache>
                <c:ptCount val="1"/>
                <c:pt idx="0">
                  <c:v>6 - 10 AÑOS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7.47384155455904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7.473841554559042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8.3160083160083165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9.45626477541371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('ACAD x ANTIG'!$C$21:$N$21,'ACAD x ANTIG'!$O$21)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('ACAD x ANTIG'!$C$23:$M$23,'ACAD x ANTIG'!$N$23,'ACAD x ANTIG'!$O$23)</c:f>
              <c:numCache>
                <c:formatCode>0.0%</c:formatCode>
                <c:ptCount val="13"/>
                <c:pt idx="0">
                  <c:v>0.10124333925399645</c:v>
                </c:pt>
                <c:pt idx="1">
                  <c:v>0.10046148384806532</c:v>
                </c:pt>
                <c:pt idx="2">
                  <c:v>9.0431125131440596E-2</c:v>
                </c:pt>
                <c:pt idx="3">
                  <c:v>8.0279232111692841E-2</c:v>
                </c:pt>
                <c:pt idx="4">
                  <c:v>7.7376821651630817E-2</c:v>
                </c:pt>
                <c:pt idx="5">
                  <c:v>7.1576763485477174E-2</c:v>
                </c:pt>
                <c:pt idx="6">
                  <c:v>6.6300240467193405E-2</c:v>
                </c:pt>
                <c:pt idx="7">
                  <c:v>6.4232589587559161E-2</c:v>
                </c:pt>
                <c:pt idx="8">
                  <c:v>6.6910785619174434E-2</c:v>
                </c:pt>
                <c:pt idx="9">
                  <c:v>7.7329808327825517E-2</c:v>
                </c:pt>
                <c:pt idx="10">
                  <c:v>8.4069349035001642E-2</c:v>
                </c:pt>
                <c:pt idx="11">
                  <c:v>9.4750320102432783E-2</c:v>
                </c:pt>
                <c:pt idx="12">
                  <c:v>0.10097087378640776</c:v>
                </c:pt>
              </c:numCache>
            </c:numRef>
          </c:val>
        </c:ser>
        <c:ser>
          <c:idx val="2"/>
          <c:order val="2"/>
          <c:tx>
            <c:strRef>
              <c:f>'ACAD x ANTIG'!$A$24</c:f>
              <c:strCache>
                <c:ptCount val="1"/>
                <c:pt idx="0">
                  <c:v>11 - 15 AÑOS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1.20853363407559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8.96860986547085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8.9686098654708519E-3"/>
                  <c:y val="-6.51200567723833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8.31600831600831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8.2742316784869974E-3"/>
                  <c:y val="-8.221129287391800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('ACAD x ANTIG'!$C$21:$N$21,'ACAD x ANTIG'!$O$21)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('ACAD x ANTIG'!$C$24:$M$24,'ACAD x ANTIG'!$N$24,'ACAD x ANTIG'!$O$24)</c:f>
              <c:numCache>
                <c:formatCode>0.0%</c:formatCode>
                <c:ptCount val="13"/>
                <c:pt idx="0">
                  <c:v>0.17797513321492006</c:v>
                </c:pt>
                <c:pt idx="1">
                  <c:v>0.15654952076677317</c:v>
                </c:pt>
                <c:pt idx="2">
                  <c:v>0.13739922888187872</c:v>
                </c:pt>
                <c:pt idx="3">
                  <c:v>0.12390924956369982</c:v>
                </c:pt>
                <c:pt idx="4">
                  <c:v>0.11693268563497571</c:v>
                </c:pt>
                <c:pt idx="5">
                  <c:v>0.10926694329183956</c:v>
                </c:pt>
                <c:pt idx="6">
                  <c:v>0.10271384403984885</c:v>
                </c:pt>
                <c:pt idx="7">
                  <c:v>9.1615956727518599E-2</c:v>
                </c:pt>
                <c:pt idx="8">
                  <c:v>8.2556591211717711E-2</c:v>
                </c:pt>
                <c:pt idx="9">
                  <c:v>7.9312623925974879E-2</c:v>
                </c:pt>
                <c:pt idx="10">
                  <c:v>7.098462544978737E-2</c:v>
                </c:pt>
                <c:pt idx="11">
                  <c:v>6.5941101152368758E-2</c:v>
                </c:pt>
                <c:pt idx="12">
                  <c:v>6.4724919093851127E-2</c:v>
                </c:pt>
              </c:numCache>
            </c:numRef>
          </c:val>
        </c:ser>
        <c:ser>
          <c:idx val="3"/>
          <c:order val="3"/>
          <c:tx>
            <c:strRef>
              <c:f>'ACAD x ANTIG'!$A$25</c:f>
              <c:strCache>
                <c:ptCount val="1"/>
                <c:pt idx="0">
                  <c:v>16 - 20 AÑOS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20853363407559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7.473841554559042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7.47384155455893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5.5440055440055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7.0921985815602835E-3"/>
                  <c:y val="-2.2421520705215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('ACAD x ANTIG'!$C$21:$N$21,'ACAD x ANTIG'!$O$21)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('ACAD x ANTIG'!$C$25:$M$25,'ACAD x ANTIG'!$N$25,'ACAD x ANTIG'!$O$25)</c:f>
              <c:numCache>
                <c:formatCode>0.0%</c:formatCode>
                <c:ptCount val="13"/>
                <c:pt idx="0">
                  <c:v>0.21740674955595027</c:v>
                </c:pt>
                <c:pt idx="1">
                  <c:v>0.21547745828895989</c:v>
                </c:pt>
                <c:pt idx="2">
                  <c:v>0.20820189274447951</c:v>
                </c:pt>
                <c:pt idx="3">
                  <c:v>0.19930191972076788</c:v>
                </c:pt>
                <c:pt idx="4">
                  <c:v>0.19049271339347676</c:v>
                </c:pt>
                <c:pt idx="5">
                  <c:v>0.17116182572614108</c:v>
                </c:pt>
                <c:pt idx="6">
                  <c:v>0.1556166265888011</c:v>
                </c:pt>
                <c:pt idx="7">
                  <c:v>0.13590263691683571</c:v>
                </c:pt>
                <c:pt idx="8">
                  <c:v>0.12083888149134488</c:v>
                </c:pt>
                <c:pt idx="9">
                  <c:v>0.10806345009914078</c:v>
                </c:pt>
                <c:pt idx="10">
                  <c:v>0.10075237160614982</c:v>
                </c:pt>
                <c:pt idx="11">
                  <c:v>9.2829705505761848E-2</c:v>
                </c:pt>
                <c:pt idx="12">
                  <c:v>8.8025889967637536E-2</c:v>
                </c:pt>
              </c:numCache>
            </c:numRef>
          </c:val>
        </c:ser>
        <c:ser>
          <c:idx val="4"/>
          <c:order val="4"/>
          <c:tx>
            <c:strRef>
              <c:f>'ACAD x ANTIG'!$A$26</c:f>
              <c:strCache>
                <c:ptCount val="1"/>
                <c:pt idx="0">
                  <c:v>21 - 25 AÑOS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2.984634789978454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79429860323963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8.9686098654708519E-3"/>
                  <c:y val="5.96926957995690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7.4738415545589337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8.3160083160083165E-3"/>
                  <c:y val="5.96926957995690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7.092198581560283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('ACAD x ANTIG'!$C$21:$N$21,'ACAD x ANTIG'!$O$21)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('ACAD x ANTIG'!$C$26:$M$26,'ACAD x ANTIG'!$N$26,'ACAD x ANTIG'!$O$26)</c:f>
              <c:numCache>
                <c:formatCode>0.0%</c:formatCode>
                <c:ptCount val="13"/>
                <c:pt idx="0">
                  <c:v>0.2714031971580817</c:v>
                </c:pt>
                <c:pt idx="1">
                  <c:v>0.25985090521831739</c:v>
                </c:pt>
                <c:pt idx="2">
                  <c:v>0.24675779880827201</c:v>
                </c:pt>
                <c:pt idx="3">
                  <c:v>0.23699825479930192</c:v>
                </c:pt>
                <c:pt idx="4">
                  <c:v>0.21859819569743233</c:v>
                </c:pt>
                <c:pt idx="5">
                  <c:v>0.21092669432918396</c:v>
                </c:pt>
                <c:pt idx="6">
                  <c:v>0.20577121264170389</c:v>
                </c:pt>
                <c:pt idx="7">
                  <c:v>0.19641649763353616</c:v>
                </c:pt>
                <c:pt idx="8">
                  <c:v>0.18641810918774968</c:v>
                </c:pt>
                <c:pt idx="9">
                  <c:v>0.17382683410442828</c:v>
                </c:pt>
                <c:pt idx="10">
                  <c:v>0.15767091920183185</c:v>
                </c:pt>
                <c:pt idx="11">
                  <c:v>0.14116517285531371</c:v>
                </c:pt>
                <c:pt idx="12">
                  <c:v>0.12524271844660195</c:v>
                </c:pt>
              </c:numCache>
            </c:numRef>
          </c:val>
        </c:ser>
        <c:ser>
          <c:idx val="5"/>
          <c:order val="5"/>
          <c:tx>
            <c:strRef>
              <c:f>'ACAD x ANTIG'!$A$27</c:f>
              <c:strCache>
                <c:ptCount val="1"/>
                <c:pt idx="0">
                  <c:v>26 - 30 AÑOS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1.2085336340755913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8.96860986547085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7.4738415545589337E-3"/>
                  <c:y val="-6.51200567723833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6.930006930006929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8.2742316784869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anchor="b" anchorCtr="1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('ACAD x ANTIG'!$C$21:$N$21,'ACAD x ANTIG'!$O$21)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('ACAD x ANTIG'!$C$27:$M$27,'ACAD x ANTIG'!$N$27,'ACAD x ANTIG'!$O$27)</c:f>
              <c:numCache>
                <c:formatCode>0.0%</c:formatCode>
                <c:ptCount val="13"/>
                <c:pt idx="0">
                  <c:v>0.15523978685612788</c:v>
                </c:pt>
                <c:pt idx="1">
                  <c:v>0.20269790557330494</c:v>
                </c:pt>
                <c:pt idx="2">
                  <c:v>0.21556256572029442</c:v>
                </c:pt>
                <c:pt idx="3">
                  <c:v>0.21047120418848167</c:v>
                </c:pt>
                <c:pt idx="4">
                  <c:v>0.21859819569743233</c:v>
                </c:pt>
                <c:pt idx="5">
                  <c:v>0.23858921161825727</c:v>
                </c:pt>
                <c:pt idx="6">
                  <c:v>0.23359670216420475</c:v>
                </c:pt>
                <c:pt idx="7">
                  <c:v>0.22413793103448276</c:v>
                </c:pt>
                <c:pt idx="8">
                  <c:v>0.21438082556591212</c:v>
                </c:pt>
                <c:pt idx="9">
                  <c:v>0.19662921348314608</c:v>
                </c:pt>
                <c:pt idx="10">
                  <c:v>0.18711154726856394</c:v>
                </c:pt>
                <c:pt idx="11">
                  <c:v>0.1795774647887324</c:v>
                </c:pt>
                <c:pt idx="12">
                  <c:v>0.17896440129449839</c:v>
                </c:pt>
              </c:numCache>
            </c:numRef>
          </c:val>
        </c:ser>
        <c:ser>
          <c:idx val="6"/>
          <c:order val="6"/>
          <c:tx>
            <c:strRef>
              <c:f>'ACAD x ANTIG'!$A$28</c:f>
              <c:strCache>
                <c:ptCount val="1"/>
                <c:pt idx="0">
                  <c:v>MÁS DE 30 AÑOS</c:v>
                </c:pt>
              </c:strCache>
            </c:strRef>
          </c:tx>
          <c:spPr>
            <a:solidFill>
              <a:srgbClr val="FFC0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9273822580909203E-3"/>
                  <c:y val="-9.76800851585750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4288801217935076E-3"/>
                  <c:y val="-9.76800851585750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54138087208953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6.9570967090652131E-3"/>
                  <c:y val="-3.2559420436471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6.5126186149809138E-3"/>
                  <c:y val="-3.2559420436471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6.4045023218251562E-3"/>
                  <c:y val="-3.2559420436471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7.4738415545589337E-3"/>
                  <c:y val="-6.51200567723833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8.31600831600831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9.45626477541371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anchor="b" anchorCtr="0"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('ACAD x ANTIG'!$C$21:$N$21,'ACAD x ANTIG'!$O$21)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('ACAD x ANTIG'!$C$28:$M$28,'ACAD x ANTIG'!$N$28,'ACAD x ANTIG'!$O$28)</c:f>
              <c:numCache>
                <c:formatCode>0.0%</c:formatCode>
                <c:ptCount val="13"/>
                <c:pt idx="0">
                  <c:v>2.3090586145648313E-2</c:v>
                </c:pt>
                <c:pt idx="1">
                  <c:v>2.3429179978700747E-2</c:v>
                </c:pt>
                <c:pt idx="2">
                  <c:v>5.993690851735016E-2</c:v>
                </c:pt>
                <c:pt idx="3">
                  <c:v>0.10331588132635253</c:v>
                </c:pt>
                <c:pt idx="4">
                  <c:v>0.12144344205412907</c:v>
                </c:pt>
                <c:pt idx="5">
                  <c:v>0.13450899031811894</c:v>
                </c:pt>
                <c:pt idx="6">
                  <c:v>0.16729646169701134</c:v>
                </c:pt>
                <c:pt idx="7">
                  <c:v>0.20723461798512507</c:v>
                </c:pt>
                <c:pt idx="8">
                  <c:v>0.24733688415446073</c:v>
                </c:pt>
                <c:pt idx="9">
                  <c:v>0.28651685393258425</c:v>
                </c:pt>
                <c:pt idx="10">
                  <c:v>0.31468760222440301</c:v>
                </c:pt>
                <c:pt idx="11">
                  <c:v>0.33834827144686297</c:v>
                </c:pt>
                <c:pt idx="12">
                  <c:v>0.36634304207119739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9"/>
        <c:gapDepth val="99"/>
        <c:shape val="cylinder"/>
        <c:axId val="115121536"/>
        <c:axId val="115184768"/>
        <c:axId val="0"/>
      </c:bar3DChart>
      <c:catAx>
        <c:axId val="11512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0"/>
            </a:pPr>
            <a:endParaRPr lang="es-MX"/>
          </a:p>
        </c:txPr>
        <c:crossAx val="115184768"/>
        <c:crosses val="autoZero"/>
        <c:auto val="1"/>
        <c:lblAlgn val="ctr"/>
        <c:lblOffset val="100"/>
        <c:noMultiLvlLbl val="0"/>
      </c:catAx>
      <c:valAx>
        <c:axId val="11518476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5121536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5.6488723732818227E-2"/>
          <c:y val="0.92551855049932219"/>
          <c:w val="0.85791641429436705"/>
          <c:h val="5.4945432468962857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'ACAD x ANTIG'!$A$22</c:f>
              <c:strCache>
                <c:ptCount val="1"/>
                <c:pt idx="0">
                  <c:v>HASTA 5 AÑOS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effectLst>
              <a:outerShdw blurRad="76200" dist="12700" dir="8100000" sy="-23000" kx="800400" algn="br" rotWithShape="0">
                <a:schemeClr val="tx1">
                  <a:alpha val="20000"/>
                </a:scheme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5.979073243647234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7.47384155455904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8.31600831600831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ANTIG'!$J$21:$N$21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ANTIG'!$J$22:$N$22</c:f>
              <c:numCache>
                <c:formatCode>0.0%</c:formatCode>
                <c:ptCount val="5"/>
                <c:pt idx="0">
                  <c:v>8.0459770114942528E-2</c:v>
                </c:pt>
                <c:pt idx="1">
                  <c:v>8.1557922769640481E-2</c:v>
                </c:pt>
                <c:pt idx="2">
                  <c:v>7.8321216126900198E-2</c:v>
                </c:pt>
                <c:pt idx="3">
                  <c:v>8.4723585214262348E-2</c:v>
                </c:pt>
                <c:pt idx="4">
                  <c:v>8.7387964148527522E-2</c:v>
                </c:pt>
              </c:numCache>
            </c:numRef>
          </c:val>
        </c:ser>
        <c:ser>
          <c:idx val="1"/>
          <c:order val="1"/>
          <c:tx>
            <c:strRef>
              <c:f>'ACAD x ANTIG'!$A$23</c:f>
              <c:strCache>
                <c:ptCount val="1"/>
                <c:pt idx="0">
                  <c:v>6 - 10 AÑOS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7.47384155455904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7.473841554559042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8.3160083160083165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ANTIG'!$J$21:$N$21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ANTIG'!$J$23:$N$23</c:f>
              <c:numCache>
                <c:formatCode>0.0%</c:formatCode>
                <c:ptCount val="5"/>
                <c:pt idx="0">
                  <c:v>6.4232589587559161E-2</c:v>
                </c:pt>
                <c:pt idx="1">
                  <c:v>6.6910785619174434E-2</c:v>
                </c:pt>
                <c:pt idx="2">
                  <c:v>7.7329808327825517E-2</c:v>
                </c:pt>
                <c:pt idx="3">
                  <c:v>8.4069349035001642E-2</c:v>
                </c:pt>
                <c:pt idx="4">
                  <c:v>9.4750320102432783E-2</c:v>
                </c:pt>
              </c:numCache>
            </c:numRef>
          </c:val>
        </c:ser>
        <c:ser>
          <c:idx val="2"/>
          <c:order val="2"/>
          <c:tx>
            <c:strRef>
              <c:f>'ACAD x ANTIG'!$A$24</c:f>
              <c:strCache>
                <c:ptCount val="1"/>
                <c:pt idx="0">
                  <c:v>11 - 15 AÑOS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1.20853363407559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8.96860986547085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8.9686098654708519E-3"/>
                  <c:y val="-6.51200567723833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8.31600831600831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ANTIG'!$J$21:$N$21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ANTIG'!$J$24:$N$24</c:f>
              <c:numCache>
                <c:formatCode>0.0%</c:formatCode>
                <c:ptCount val="5"/>
                <c:pt idx="0">
                  <c:v>9.1615956727518599E-2</c:v>
                </c:pt>
                <c:pt idx="1">
                  <c:v>8.2556591211717711E-2</c:v>
                </c:pt>
                <c:pt idx="2">
                  <c:v>7.9312623925974879E-2</c:v>
                </c:pt>
                <c:pt idx="3">
                  <c:v>7.098462544978737E-2</c:v>
                </c:pt>
                <c:pt idx="4">
                  <c:v>6.5941101152368758E-2</c:v>
                </c:pt>
              </c:numCache>
            </c:numRef>
          </c:val>
        </c:ser>
        <c:ser>
          <c:idx val="3"/>
          <c:order val="3"/>
          <c:tx>
            <c:strRef>
              <c:f>'ACAD x ANTIG'!$A$25</c:f>
              <c:strCache>
                <c:ptCount val="1"/>
                <c:pt idx="0">
                  <c:v>16 - 20 AÑOS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20853363407559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7.473841554559042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7.47384155455893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5.5440055440055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ANTIG'!$J$21:$N$21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ANTIG'!$J$25:$N$25</c:f>
              <c:numCache>
                <c:formatCode>0.0%</c:formatCode>
                <c:ptCount val="5"/>
                <c:pt idx="0">
                  <c:v>0.13590263691683571</c:v>
                </c:pt>
                <c:pt idx="1">
                  <c:v>0.12083888149134488</c:v>
                </c:pt>
                <c:pt idx="2">
                  <c:v>0.10806345009914078</c:v>
                </c:pt>
                <c:pt idx="3">
                  <c:v>0.10075237160614982</c:v>
                </c:pt>
                <c:pt idx="4">
                  <c:v>9.2829705505761848E-2</c:v>
                </c:pt>
              </c:numCache>
            </c:numRef>
          </c:val>
        </c:ser>
        <c:ser>
          <c:idx val="4"/>
          <c:order val="4"/>
          <c:tx>
            <c:strRef>
              <c:f>'ACAD x ANTIG'!$A$26</c:f>
              <c:strCache>
                <c:ptCount val="1"/>
                <c:pt idx="0">
                  <c:v>21 - 25 AÑOS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2.984634789978454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79429860323963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8.9686098654708519E-3"/>
                  <c:y val="5.96926957995690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7.4738415545589337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8.3160083160083165E-3"/>
                  <c:y val="5.96926957995690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ANTIG'!$J$21:$N$21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ANTIG'!$J$26:$N$26</c:f>
              <c:numCache>
                <c:formatCode>0.0%</c:formatCode>
                <c:ptCount val="5"/>
                <c:pt idx="0">
                  <c:v>0.19641649763353616</c:v>
                </c:pt>
                <c:pt idx="1">
                  <c:v>0.18641810918774968</c:v>
                </c:pt>
                <c:pt idx="2">
                  <c:v>0.17382683410442828</c:v>
                </c:pt>
                <c:pt idx="3">
                  <c:v>0.15767091920183185</c:v>
                </c:pt>
                <c:pt idx="4">
                  <c:v>0.14116517285531371</c:v>
                </c:pt>
              </c:numCache>
            </c:numRef>
          </c:val>
        </c:ser>
        <c:ser>
          <c:idx val="5"/>
          <c:order val="5"/>
          <c:tx>
            <c:strRef>
              <c:f>'ACAD x ANTIG'!$A$27</c:f>
              <c:strCache>
                <c:ptCount val="1"/>
                <c:pt idx="0">
                  <c:v>26 - 30 AÑOS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1.2085336340755913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8.96860986547085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7.4738415545589337E-3"/>
                  <c:y val="-6.51200567723833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6.930006930006929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anchor="b" anchorCtr="1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ANTIG'!$J$21:$N$21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ANTIG'!$J$27:$N$27</c:f>
              <c:numCache>
                <c:formatCode>0.0%</c:formatCode>
                <c:ptCount val="5"/>
                <c:pt idx="0">
                  <c:v>0.22413793103448276</c:v>
                </c:pt>
                <c:pt idx="1">
                  <c:v>0.21438082556591212</c:v>
                </c:pt>
                <c:pt idx="2">
                  <c:v>0.19662921348314608</c:v>
                </c:pt>
                <c:pt idx="3">
                  <c:v>0.18711154726856394</c:v>
                </c:pt>
                <c:pt idx="4">
                  <c:v>0.1795774647887324</c:v>
                </c:pt>
              </c:numCache>
            </c:numRef>
          </c:val>
        </c:ser>
        <c:ser>
          <c:idx val="6"/>
          <c:order val="6"/>
          <c:tx>
            <c:strRef>
              <c:f>'ACAD x ANTIG'!$A$28</c:f>
              <c:strCache>
                <c:ptCount val="1"/>
                <c:pt idx="0">
                  <c:v>MÁS DE 30 AÑOS</c:v>
                </c:pt>
              </c:strCache>
            </c:strRef>
          </c:tx>
          <c:spPr>
            <a:solidFill>
              <a:srgbClr val="FFC0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9273822580909203E-3"/>
                  <c:y val="-9.76800851585750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4288801217935076E-3"/>
                  <c:y val="-9.76800851585750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54138087208953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6.9570967090652131E-3"/>
                  <c:y val="-3.2559420436471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6.5126186149809138E-3"/>
                  <c:y val="-3.2559420436471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6.4045023218251562E-3"/>
                  <c:y val="-3.2559420436471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7.4738415545589337E-3"/>
                  <c:y val="-6.51200567723833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8.31600831600831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anchor="b" anchorCtr="0"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ANTIG'!$J$21:$N$21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ANTIG'!$J$28:$N$28</c:f>
              <c:numCache>
                <c:formatCode>0.0%</c:formatCode>
                <c:ptCount val="5"/>
                <c:pt idx="0">
                  <c:v>0.20723461798512507</c:v>
                </c:pt>
                <c:pt idx="1">
                  <c:v>0.24733688415446073</c:v>
                </c:pt>
                <c:pt idx="2">
                  <c:v>0.28651685393258425</c:v>
                </c:pt>
                <c:pt idx="3">
                  <c:v>0.31468760222440301</c:v>
                </c:pt>
                <c:pt idx="4">
                  <c:v>0.33834827144686297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9"/>
        <c:gapDepth val="99"/>
        <c:shape val="cylinder"/>
        <c:axId val="116925568"/>
        <c:axId val="116927104"/>
        <c:axId val="0"/>
      </c:bar3DChart>
      <c:catAx>
        <c:axId val="11692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0"/>
            </a:pPr>
            <a:endParaRPr lang="es-MX"/>
          </a:p>
        </c:txPr>
        <c:crossAx val="116927104"/>
        <c:crosses val="autoZero"/>
        <c:auto val="1"/>
        <c:lblAlgn val="ctr"/>
        <c:lblOffset val="100"/>
        <c:noMultiLvlLbl val="0"/>
      </c:catAx>
      <c:valAx>
        <c:axId val="11692710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692556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5.6488723732818227E-2"/>
          <c:y val="0.92551855049932219"/>
          <c:w val="0.85791641429436705"/>
          <c:h val="5.4945432468962857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4774774774774775E-2"/>
          <c:y val="3.290949112550931E-2"/>
          <c:w val="0.9504504504504504"/>
          <c:h val="0.75418518267241086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'ACAD x ANTIG'!$A$22</c:f>
              <c:strCache>
                <c:ptCount val="1"/>
                <c:pt idx="0">
                  <c:v>HASTA 5 AÑOS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effectLst>
              <a:outerShdw blurRad="76200" dist="12700" dir="8100000" sy="-23000" kx="800400" algn="br" rotWithShape="0">
                <a:schemeClr val="tx1">
                  <a:alpha val="20000"/>
                </a:scheme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5.979073243647234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7.47384155455904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8.31600831600831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5.91016548463356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ANTIG'!$K$21:$O$21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'ACAD x ANTIG'!$K$22:$O$22</c:f>
              <c:numCache>
                <c:formatCode>0.0%</c:formatCode>
                <c:ptCount val="5"/>
                <c:pt idx="0">
                  <c:v>8.1557922769640481E-2</c:v>
                </c:pt>
                <c:pt idx="1">
                  <c:v>7.8321216126900198E-2</c:v>
                </c:pt>
                <c:pt idx="2">
                  <c:v>8.4723585214262348E-2</c:v>
                </c:pt>
                <c:pt idx="3">
                  <c:v>8.7387964148527522E-2</c:v>
                </c:pt>
                <c:pt idx="4">
                  <c:v>7.5728155339805828E-2</c:v>
                </c:pt>
              </c:numCache>
            </c:numRef>
          </c:val>
        </c:ser>
        <c:ser>
          <c:idx val="1"/>
          <c:order val="1"/>
          <c:tx>
            <c:strRef>
              <c:f>'ACAD x ANTIG'!$A$23</c:f>
              <c:strCache>
                <c:ptCount val="1"/>
                <c:pt idx="0">
                  <c:v>6 - 10 AÑOS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7.47384155455904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7.473841554559042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8.3160083160083165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9.45626477541371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ANTIG'!$K$21:$O$21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'ACAD x ANTIG'!$K$23:$O$23</c:f>
              <c:numCache>
                <c:formatCode>0.0%</c:formatCode>
                <c:ptCount val="5"/>
                <c:pt idx="0">
                  <c:v>6.6910785619174434E-2</c:v>
                </c:pt>
                <c:pt idx="1">
                  <c:v>7.7329808327825517E-2</c:v>
                </c:pt>
                <c:pt idx="2">
                  <c:v>8.4069349035001642E-2</c:v>
                </c:pt>
                <c:pt idx="3">
                  <c:v>9.4750320102432783E-2</c:v>
                </c:pt>
                <c:pt idx="4">
                  <c:v>0.10097087378640776</c:v>
                </c:pt>
              </c:numCache>
            </c:numRef>
          </c:val>
        </c:ser>
        <c:ser>
          <c:idx val="2"/>
          <c:order val="2"/>
          <c:tx>
            <c:strRef>
              <c:f>'ACAD x ANTIG'!$A$24</c:f>
              <c:strCache>
                <c:ptCount val="1"/>
                <c:pt idx="0">
                  <c:v>11 - 15 AÑOS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1.20853363407559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8.96860986547085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8.9686098654708519E-3"/>
                  <c:y val="-6.51200567723833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8.31600831600831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8.2742316784869974E-3"/>
                  <c:y val="-8.221129287391800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ANTIG'!$K$21:$O$21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'ACAD x ANTIG'!$K$24:$O$24</c:f>
              <c:numCache>
                <c:formatCode>0.0%</c:formatCode>
                <c:ptCount val="5"/>
                <c:pt idx="0">
                  <c:v>8.2556591211717711E-2</c:v>
                </c:pt>
                <c:pt idx="1">
                  <c:v>7.9312623925974879E-2</c:v>
                </c:pt>
                <c:pt idx="2">
                  <c:v>7.098462544978737E-2</c:v>
                </c:pt>
                <c:pt idx="3">
                  <c:v>6.5941101152368758E-2</c:v>
                </c:pt>
                <c:pt idx="4">
                  <c:v>6.4724919093851127E-2</c:v>
                </c:pt>
              </c:numCache>
            </c:numRef>
          </c:val>
        </c:ser>
        <c:ser>
          <c:idx val="3"/>
          <c:order val="3"/>
          <c:tx>
            <c:strRef>
              <c:f>'ACAD x ANTIG'!$A$25</c:f>
              <c:strCache>
                <c:ptCount val="1"/>
                <c:pt idx="0">
                  <c:v>16 - 20 AÑOS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20853363407559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7.473841554559042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7.47384155455893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5.5440055440055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7.0921985815602835E-3"/>
                  <c:y val="-2.2421520705215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ANTIG'!$K$21:$O$21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'ACAD x ANTIG'!$K$25:$O$25</c:f>
              <c:numCache>
                <c:formatCode>0.0%</c:formatCode>
                <c:ptCount val="5"/>
                <c:pt idx="0">
                  <c:v>0.12083888149134488</c:v>
                </c:pt>
                <c:pt idx="1">
                  <c:v>0.10806345009914078</c:v>
                </c:pt>
                <c:pt idx="2">
                  <c:v>0.10075237160614982</c:v>
                </c:pt>
                <c:pt idx="3">
                  <c:v>9.2829705505761848E-2</c:v>
                </c:pt>
                <c:pt idx="4">
                  <c:v>8.8025889967637536E-2</c:v>
                </c:pt>
              </c:numCache>
            </c:numRef>
          </c:val>
        </c:ser>
        <c:ser>
          <c:idx val="4"/>
          <c:order val="4"/>
          <c:tx>
            <c:strRef>
              <c:f>'ACAD x ANTIG'!$A$26</c:f>
              <c:strCache>
                <c:ptCount val="1"/>
                <c:pt idx="0">
                  <c:v>21 - 25 AÑOS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2.984634789978454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79429860323963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8.9686098654708519E-3"/>
                  <c:y val="5.96926957995690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7.4738415545589337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8.3160083160083165E-3"/>
                  <c:y val="5.96926957995690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7.092198581560283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ANTIG'!$K$21:$O$21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'ACAD x ANTIG'!$K$26:$O$26</c:f>
              <c:numCache>
                <c:formatCode>0.0%</c:formatCode>
                <c:ptCount val="5"/>
                <c:pt idx="0">
                  <c:v>0.18641810918774968</c:v>
                </c:pt>
                <c:pt idx="1">
                  <c:v>0.17382683410442828</c:v>
                </c:pt>
                <c:pt idx="2">
                  <c:v>0.15767091920183185</c:v>
                </c:pt>
                <c:pt idx="3">
                  <c:v>0.14116517285531371</c:v>
                </c:pt>
                <c:pt idx="4">
                  <c:v>0.12524271844660195</c:v>
                </c:pt>
              </c:numCache>
            </c:numRef>
          </c:val>
        </c:ser>
        <c:ser>
          <c:idx val="5"/>
          <c:order val="5"/>
          <c:tx>
            <c:strRef>
              <c:f>'ACAD x ANTIG'!$A$27</c:f>
              <c:strCache>
                <c:ptCount val="1"/>
                <c:pt idx="0">
                  <c:v>26 - 30 AÑOS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1.2085336340755913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8.96860986547085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7.4738415545589337E-3"/>
                  <c:y val="-6.51200567723833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6.930006930006929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8.2742316784869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anchor="b" anchorCtr="1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ANTIG'!$K$21:$O$21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'ACAD x ANTIG'!$K$27:$O$27</c:f>
              <c:numCache>
                <c:formatCode>0.0%</c:formatCode>
                <c:ptCount val="5"/>
                <c:pt idx="0">
                  <c:v>0.21438082556591212</c:v>
                </c:pt>
                <c:pt idx="1">
                  <c:v>0.19662921348314608</c:v>
                </c:pt>
                <c:pt idx="2">
                  <c:v>0.18711154726856394</c:v>
                </c:pt>
                <c:pt idx="3">
                  <c:v>0.1795774647887324</c:v>
                </c:pt>
                <c:pt idx="4">
                  <c:v>0.17896440129449839</c:v>
                </c:pt>
              </c:numCache>
            </c:numRef>
          </c:val>
        </c:ser>
        <c:ser>
          <c:idx val="6"/>
          <c:order val="6"/>
          <c:tx>
            <c:strRef>
              <c:f>'ACAD x ANTIG'!$A$28</c:f>
              <c:strCache>
                <c:ptCount val="1"/>
                <c:pt idx="0">
                  <c:v>MÁS DE 30 AÑOS</c:v>
                </c:pt>
              </c:strCache>
            </c:strRef>
          </c:tx>
          <c:spPr>
            <a:solidFill>
              <a:srgbClr val="FFC0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9273822580909203E-3"/>
                  <c:y val="-9.76800851585750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4288801217935076E-3"/>
                  <c:y val="-9.76800851585750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54138087208953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6.9570967090652131E-3"/>
                  <c:y val="-3.2559420436471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6.5126186149809138E-3"/>
                  <c:y val="-3.2559420436471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6.4045023218251562E-3"/>
                  <c:y val="-3.2559420436471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7.4738415545589337E-3"/>
                  <c:y val="-6.51200567723833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8.31600831600831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9.45626477541371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anchor="b" anchorCtr="0"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ANTIG'!$K$21:$O$21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'ACAD x ANTIG'!$K$28:$O$28</c:f>
              <c:numCache>
                <c:formatCode>0.0%</c:formatCode>
                <c:ptCount val="5"/>
                <c:pt idx="0">
                  <c:v>0.24733688415446073</c:v>
                </c:pt>
                <c:pt idx="1">
                  <c:v>0.28651685393258425</c:v>
                </c:pt>
                <c:pt idx="2">
                  <c:v>0.31468760222440301</c:v>
                </c:pt>
                <c:pt idx="3">
                  <c:v>0.33834827144686297</c:v>
                </c:pt>
                <c:pt idx="4">
                  <c:v>0.36634304207119739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9"/>
        <c:gapDepth val="99"/>
        <c:shape val="cylinder"/>
        <c:axId val="117098752"/>
        <c:axId val="117141504"/>
        <c:axId val="0"/>
      </c:bar3DChart>
      <c:catAx>
        <c:axId val="11709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0"/>
            </a:pPr>
            <a:endParaRPr lang="es-MX"/>
          </a:p>
        </c:txPr>
        <c:crossAx val="117141504"/>
        <c:crosses val="autoZero"/>
        <c:auto val="1"/>
        <c:lblAlgn val="ctr"/>
        <c:lblOffset val="100"/>
        <c:noMultiLvlLbl val="0"/>
      </c:catAx>
      <c:valAx>
        <c:axId val="11714150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709875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5.6488723732818227E-2"/>
          <c:y val="0.87166664782085945"/>
          <c:w val="0.85791641429436705"/>
          <c:h val="0.10879731711086235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Alumno</a:t>
            </a:r>
            <a:r>
              <a:rPr lang="es-MX" sz="1400" baseline="0"/>
              <a:t> atendidos de </a:t>
            </a:r>
            <a:r>
              <a:rPr lang="es-MX" sz="1400"/>
              <a:t> </a:t>
            </a:r>
            <a:r>
              <a:rPr lang="es-MX" sz="1400">
                <a:solidFill>
                  <a:srgbClr val="CC9900"/>
                </a:solidFill>
              </a:rPr>
              <a:t>Licenciatura</a:t>
            </a:r>
            <a:r>
              <a:rPr lang="es-MX" sz="1400"/>
              <a:t> por personal académico definitivo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'Alumnos x PTC'!$A$74:$A$77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9.828008560427493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anchor="ctr" anchorCtr="0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PTC'!$C$72:$M$72,'Alumnos x PTC'!$N$72)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('Alumnos x PTC'!$C$77:$M$77,'Alumnos x PTC'!$N$77)</c:f>
              <c:numCache>
                <c:formatCode>0.0</c:formatCode>
                <c:ptCount val="12"/>
                <c:pt idx="0">
                  <c:v>17.086265607264473</c:v>
                </c:pt>
                <c:pt idx="1">
                  <c:v>17.462210406380553</c:v>
                </c:pt>
                <c:pt idx="2">
                  <c:v>17.239999999999998</c:v>
                </c:pt>
                <c:pt idx="3">
                  <c:v>17.252333028362305</c:v>
                </c:pt>
                <c:pt idx="4">
                  <c:v>17.801943884100496</c:v>
                </c:pt>
                <c:pt idx="5">
                  <c:v>17.901585565882996</c:v>
                </c:pt>
                <c:pt idx="6">
                  <c:v>18.593778424595236</c:v>
                </c:pt>
                <c:pt idx="7">
                  <c:v>18.824824102471585</c:v>
                </c:pt>
                <c:pt idx="8">
                  <c:v>19.216143497757848</c:v>
                </c:pt>
                <c:pt idx="9">
                  <c:v>19.224165341812402</c:v>
                </c:pt>
                <c:pt idx="10">
                  <c:v>18.682149046793761</c:v>
                </c:pt>
                <c:pt idx="11">
                  <c:v>18.924548352816153</c:v>
                </c:pt>
              </c:numCache>
            </c:numRef>
          </c:val>
        </c:ser>
        <c:ser>
          <c:idx val="1"/>
          <c:order val="1"/>
          <c:tx>
            <c:strRef>
              <c:f>'Alumnos x PTC'!$A$79:$A$82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1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6.5520057069516227E-3"/>
                  <c:y val="-2.74630875559992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PTC'!$C$72:$M$72,'Alumnos x PTC'!$N$72)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('Alumnos x PTC'!$C$82:$M$82,'Alumnos x PTC'!$N$82)</c:f>
              <c:numCache>
                <c:formatCode>0.0</c:formatCode>
                <c:ptCount val="12"/>
                <c:pt idx="1">
                  <c:v>15.615384615384615</c:v>
                </c:pt>
                <c:pt idx="2">
                  <c:v>13.045454545454545</c:v>
                </c:pt>
                <c:pt idx="3">
                  <c:v>10.704761904761904</c:v>
                </c:pt>
                <c:pt idx="4">
                  <c:v>12.267605633802816</c:v>
                </c:pt>
                <c:pt idx="5">
                  <c:v>12.622754491017965</c:v>
                </c:pt>
                <c:pt idx="6">
                  <c:v>11.5311004784689</c:v>
                </c:pt>
                <c:pt idx="7">
                  <c:v>11.455295735900963</c:v>
                </c:pt>
                <c:pt idx="8">
                  <c:v>11.575757575757576</c:v>
                </c:pt>
                <c:pt idx="9">
                  <c:v>12.117216117216117</c:v>
                </c:pt>
                <c:pt idx="10">
                  <c:v>13.776</c:v>
                </c:pt>
                <c:pt idx="11">
                  <c:v>15.506666666666666</c:v>
                </c:pt>
              </c:numCache>
            </c:numRef>
          </c:val>
        </c:ser>
        <c:ser>
          <c:idx val="2"/>
          <c:order val="2"/>
          <c:tx>
            <c:strRef>
              <c:f>'Alumnos x PTC'!$A$84:$A$87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87210718635807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87210718635809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442143727161992E-3"/>
                  <c:y val="-2.8828825556776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6.4961429151441296E-3"/>
                  <c:y val="-5.2852236300546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1201786439301597E-3"/>
                  <c:y val="-5.2852236300546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9.7442143727161992E-3"/>
                  <c:y val="-5.2852236300546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4.87210718635809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4.87210718635809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8.190007133689558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PTC'!$C$72:$M$72,'Alumnos x PTC'!$N$72)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('Alumnos x PTC'!$C$87:$M$87,'Alumnos x PTC'!$N$87)</c:f>
              <c:numCache>
                <c:formatCode>0.0</c:formatCode>
                <c:ptCount val="12"/>
                <c:pt idx="0">
                  <c:v>14.581591639871382</c:v>
                </c:pt>
                <c:pt idx="1">
                  <c:v>14.441579371474617</c:v>
                </c:pt>
                <c:pt idx="2">
                  <c:v>14.564720048163757</c:v>
                </c:pt>
                <c:pt idx="3">
                  <c:v>14.648789273564137</c:v>
                </c:pt>
                <c:pt idx="4">
                  <c:v>15.090216519647152</c:v>
                </c:pt>
                <c:pt idx="5">
                  <c:v>15.440145102781136</c:v>
                </c:pt>
                <c:pt idx="6">
                  <c:v>16.146331658291459</c:v>
                </c:pt>
                <c:pt idx="7">
                  <c:v>16.612522504500902</c:v>
                </c:pt>
                <c:pt idx="8">
                  <c:v>17.508926780341021</c:v>
                </c:pt>
                <c:pt idx="9">
                  <c:v>18.192437141160166</c:v>
                </c:pt>
                <c:pt idx="10">
                  <c:v>18.256590509666079</c:v>
                </c:pt>
                <c:pt idx="11">
                  <c:v>18.523434423001181</c:v>
                </c:pt>
              </c:numCache>
            </c:numRef>
          </c:val>
        </c:ser>
        <c:ser>
          <c:idx val="3"/>
          <c:order val="3"/>
          <c:tx>
            <c:strRef>
              <c:f>'Alumnos x PTC'!$A$89:$A$92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7"/>
              <c:layout>
                <c:manualLayout>
                  <c:x val="9.82800856042761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1.310401141390348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9.82800856042761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8.1900071336896783E-3"/>
                  <c:y val="-5.034841222351096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4.9140042802136869E-3"/>
                  <c:y val="-5.49261751119985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PTC'!$C$72:$M$72,'Alumnos x PTC'!$N$72)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('Alumnos x PTC'!$C$92:$M$92,'Alumnos x PTC'!$N$92)</c:f>
              <c:numCache>
                <c:formatCode>0.0</c:formatCode>
                <c:ptCount val="12"/>
                <c:pt idx="7">
                  <c:v>13.307692307692308</c:v>
                </c:pt>
                <c:pt idx="8">
                  <c:v>10.363636363636363</c:v>
                </c:pt>
                <c:pt idx="9">
                  <c:v>13.464285714285714</c:v>
                </c:pt>
                <c:pt idx="10">
                  <c:v>12.722222222222221</c:v>
                </c:pt>
                <c:pt idx="11">
                  <c:v>14.142857142857142</c:v>
                </c:pt>
              </c:numCache>
            </c:numRef>
          </c:val>
        </c:ser>
        <c:ser>
          <c:idx val="4"/>
          <c:order val="4"/>
          <c:tx>
            <c:strRef>
              <c:f>'Alumnos x PTC'!$A$94:$A$97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8721071863580996E-3"/>
                  <c:y val="-5.2852236300546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4.9140042802136869E-3"/>
                  <c:y val="-2.74630875559992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PTC'!$C$72:$M$72,'Alumnos x PTC'!$N$72)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('Alumnos x PTC'!$C$97:$M$97,'Alumnos x PTC'!$N$97)</c:f>
              <c:numCache>
                <c:formatCode>0.0</c:formatCode>
                <c:ptCount val="12"/>
                <c:pt idx="0">
                  <c:v>18.222976796830785</c:v>
                </c:pt>
                <c:pt idx="1">
                  <c:v>19.391188758070644</c:v>
                </c:pt>
                <c:pt idx="2">
                  <c:v>19.795826283135927</c:v>
                </c:pt>
                <c:pt idx="3">
                  <c:v>20.551790527531768</c:v>
                </c:pt>
                <c:pt idx="4">
                  <c:v>20.45726331927942</c:v>
                </c:pt>
                <c:pt idx="5">
                  <c:v>19.625023841312224</c:v>
                </c:pt>
                <c:pt idx="6">
                  <c:v>19.289124668435015</c:v>
                </c:pt>
                <c:pt idx="7">
                  <c:v>18.682935916542476</c:v>
                </c:pt>
                <c:pt idx="8">
                  <c:v>18.578286558345642</c:v>
                </c:pt>
                <c:pt idx="9">
                  <c:v>18.767274737423993</c:v>
                </c:pt>
                <c:pt idx="10">
                  <c:v>18.431222707423579</c:v>
                </c:pt>
                <c:pt idx="11">
                  <c:v>18.637012630422845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16660096"/>
        <c:axId val="116661632"/>
        <c:axId val="0"/>
      </c:bar3DChart>
      <c:catAx>
        <c:axId val="11666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6661632"/>
        <c:crosses val="autoZero"/>
        <c:auto val="1"/>
        <c:lblAlgn val="ctr"/>
        <c:lblOffset val="100"/>
        <c:noMultiLvlLbl val="0"/>
      </c:catAx>
      <c:valAx>
        <c:axId val="116661632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extTo"/>
        <c:crossAx val="116660096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7.1407188595944401E-2"/>
          <c:y val="0.93057178911010396"/>
          <c:w val="0.87342585221914304"/>
          <c:h val="5.213091555583E-2"/>
        </c:manualLayout>
      </c:layout>
      <c:overlay val="0"/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>
      <a:bevelT w="165100" prst="coolSlant"/>
    </a:sp3d>
  </c:spPr>
  <c:printSettings>
    <c:headerFooter/>
    <c:pageMargins b="0.75" l="0.7" r="0.7" t="0.75" header="0.3" footer="0.3"/>
    <c:pageSetup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 b="1" i="0" baseline="0">
                <a:effectLst/>
              </a:rPr>
              <a:t>Alumno atendidos de  </a:t>
            </a:r>
            <a:r>
              <a:rPr lang="es-MX" sz="1400" b="1" i="0" baseline="0">
                <a:solidFill>
                  <a:srgbClr val="CC9900"/>
                </a:solidFill>
                <a:effectLst/>
              </a:rPr>
              <a:t>Posgrado</a:t>
            </a:r>
            <a:r>
              <a:rPr lang="es-MX" sz="1400" b="1" i="0" baseline="0">
                <a:effectLst/>
              </a:rPr>
              <a:t> por personal académico definitivo</a:t>
            </a:r>
            <a:endParaRPr lang="es-MX" sz="1400">
              <a:effectLst/>
            </a:endParaRPr>
          </a:p>
        </c:rich>
      </c:tx>
      <c:layout>
        <c:manualLayout>
          <c:xMode val="edge"/>
          <c:yMode val="edge"/>
          <c:x val="0.15043584001541091"/>
          <c:y val="2.7414330218068536E-2"/>
        </c:manualLayout>
      </c:layout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'Alumnos x PTC'!$A$74:$A$77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anchor="ctr" anchorCtr="0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PTC'!$C$72:$M$72,'Alumnos x PTC'!$N$72)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('Alumnos x PTC'!$C$143:$M$143,'Alumnos x PTC'!$N$143)</c:f>
              <c:numCache>
                <c:formatCode>0.0</c:formatCode>
                <c:ptCount val="12"/>
                <c:pt idx="0">
                  <c:v>0.82746878547105562</c:v>
                </c:pt>
                <c:pt idx="1">
                  <c:v>0.84998101025446249</c:v>
                </c:pt>
                <c:pt idx="2">
                  <c:v>0.81333333333333335</c:v>
                </c:pt>
                <c:pt idx="3">
                  <c:v>1.0825251601097896</c:v>
                </c:pt>
                <c:pt idx="4">
                  <c:v>0.99688245002750775</c:v>
                </c:pt>
                <c:pt idx="5">
                  <c:v>1.1448879168944779</c:v>
                </c:pt>
                <c:pt idx="6">
                  <c:v>1.235583045297435</c:v>
                </c:pt>
                <c:pt idx="7">
                  <c:v>1.364964820494317</c:v>
                </c:pt>
                <c:pt idx="8">
                  <c:v>1.2495067264573991</c:v>
                </c:pt>
                <c:pt idx="9">
                  <c:v>1.3926868044515104</c:v>
                </c:pt>
                <c:pt idx="10">
                  <c:v>1.5140381282495667</c:v>
                </c:pt>
                <c:pt idx="11">
                  <c:v>1.5324123273113708</c:v>
                </c:pt>
              </c:numCache>
            </c:numRef>
          </c:val>
        </c:ser>
        <c:ser>
          <c:idx val="1"/>
          <c:order val="1"/>
          <c:tx>
            <c:strRef>
              <c:f>'Alumnos x PTC'!$A$79:$A$82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1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PTC'!$C$72:$M$72,'Alumnos x PTC'!$N$72)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('Alumnos x PTC'!$C$148:$M$148,'Alumnos x PTC'!$N$148)</c:f>
              <c:numCache>
                <c:formatCode>0.0</c:formatCode>
                <c:ptCount val="12"/>
                <c:pt idx="7">
                  <c:v>1.2544704264099036</c:v>
                </c:pt>
                <c:pt idx="8">
                  <c:v>2.6515151515151514</c:v>
                </c:pt>
                <c:pt idx="9">
                  <c:v>4.0439560439560438</c:v>
                </c:pt>
                <c:pt idx="10">
                  <c:v>4.7931428571428567</c:v>
                </c:pt>
                <c:pt idx="11">
                  <c:v>5.7333333333333334</c:v>
                </c:pt>
              </c:numCache>
            </c:numRef>
          </c:val>
        </c:ser>
        <c:ser>
          <c:idx val="2"/>
          <c:order val="2"/>
          <c:tx>
            <c:strRef>
              <c:f>'Alumnos x PTC'!$A$84:$A$87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87210718635807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87210718635809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442143727161992E-3"/>
                  <c:y val="-2.8828825556776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6.4961429151441296E-3"/>
                  <c:y val="-5.2852236300546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1201786439301597E-3"/>
                  <c:y val="-5.2852236300546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9.7442143727161992E-3"/>
                  <c:y val="-5.2852236300546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4.87210718635809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4.87210718635809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PTC'!$C$72:$M$72,'Alumnos x PTC'!$N$72)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('Alumnos x PTC'!$C$153:$M$153,'Alumnos x PTC'!$N$153)</c:f>
              <c:numCache>
                <c:formatCode>0.0</c:formatCode>
                <c:ptCount val="12"/>
                <c:pt idx="0">
                  <c:v>3.565514469453376</c:v>
                </c:pt>
                <c:pt idx="1">
                  <c:v>3.5922643029814663</c:v>
                </c:pt>
                <c:pt idx="2">
                  <c:v>3.5063214930764599</c:v>
                </c:pt>
                <c:pt idx="3">
                  <c:v>3.6826095657394435</c:v>
                </c:pt>
                <c:pt idx="4">
                  <c:v>4.0597433841218926</c:v>
                </c:pt>
                <c:pt idx="5">
                  <c:v>4.3591293833131806</c:v>
                </c:pt>
                <c:pt idx="6">
                  <c:v>5.0122613065326638</c:v>
                </c:pt>
                <c:pt idx="7">
                  <c:v>5.1634326865373081</c:v>
                </c:pt>
                <c:pt idx="8">
                  <c:v>5.2465396188565698</c:v>
                </c:pt>
                <c:pt idx="9">
                  <c:v>5.2350029697089679</c:v>
                </c:pt>
                <c:pt idx="10">
                  <c:v>5.4715875805506737</c:v>
                </c:pt>
                <c:pt idx="11">
                  <c:v>5.2863332020480502</c:v>
                </c:pt>
              </c:numCache>
            </c:numRef>
          </c:val>
        </c:ser>
        <c:ser>
          <c:idx val="4"/>
          <c:order val="3"/>
          <c:tx>
            <c:strRef>
              <c:f>'Alumnos x PTC'!$A$94:$A$97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8721071863580996E-3"/>
                  <c:y val="-5.2852236300546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PTC'!$C$72:$M$72,'Alumnos x PTC'!$N$72)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('Alumnos x PTC'!$C$158:$M$158,'Alumnos x PTC'!$N$158)</c:f>
              <c:numCache>
                <c:formatCode>0.0</c:formatCode>
                <c:ptCount val="12"/>
                <c:pt idx="0">
                  <c:v>1.6479909451046972</c:v>
                </c:pt>
                <c:pt idx="1">
                  <c:v>1.7238890998860616</c:v>
                </c:pt>
                <c:pt idx="2">
                  <c:v>1.9052453468697124</c:v>
                </c:pt>
                <c:pt idx="3">
                  <c:v>2.1659607239122063</c:v>
                </c:pt>
                <c:pt idx="4">
                  <c:v>2.1755461862782677</c:v>
                </c:pt>
                <c:pt idx="5">
                  <c:v>2.4958992942971578</c:v>
                </c:pt>
                <c:pt idx="6">
                  <c:v>2.4929897688518379</c:v>
                </c:pt>
                <c:pt idx="7">
                  <c:v>2.3673621460506706</c:v>
                </c:pt>
                <c:pt idx="8">
                  <c:v>2.346381093057607</c:v>
                </c:pt>
                <c:pt idx="9">
                  <c:v>2.5163073521282477</c:v>
                </c:pt>
                <c:pt idx="10">
                  <c:v>2.4388646288209608</c:v>
                </c:pt>
                <c:pt idx="11">
                  <c:v>2.5601317957166394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17579776"/>
        <c:axId val="117581312"/>
        <c:axId val="0"/>
      </c:bar3DChart>
      <c:catAx>
        <c:axId val="11757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7581312"/>
        <c:crosses val="autoZero"/>
        <c:auto val="1"/>
        <c:lblAlgn val="ctr"/>
        <c:lblOffset val="100"/>
        <c:noMultiLvlLbl val="0"/>
      </c:catAx>
      <c:valAx>
        <c:axId val="117581312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extTo"/>
        <c:crossAx val="117579776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7.1407188595944401E-2"/>
          <c:y val="0.93057178911010396"/>
          <c:w val="0.87342585221914304"/>
          <c:h val="5.213091555583E-2"/>
        </c:manualLayout>
      </c:layout>
      <c:overlay val="0"/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>
      <a:bevelT w="165100" prst="coolSlant"/>
    </a:sp3d>
  </c:spPr>
  <c:printSettings>
    <c:headerFooter/>
    <c:pageMargins b="0.75" l="0.7" r="0.7" t="0.75" header="0.3" footer="0.3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AD25A8"/>
                </a:solidFill>
              </a:defRPr>
            </a:pPr>
            <a:r>
              <a:rPr lang="es-MX" sz="1200" b="0">
                <a:solidFill>
                  <a:srgbClr val="AD25A8"/>
                </a:solidFill>
              </a:rPr>
              <a:t>Lerma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'Admitidos uni'!$B$21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uni'!$S$51:$S$54</c:f>
              <c:numCache>
                <c:formatCode>General</c:formatCod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numCache>
            </c:numRef>
          </c:cat>
          <c:val>
            <c:numRef>
              <c:f>('Admitidos uni'!$AC$21,'Admitidos uni'!$AF$21,'Admitidos uni'!$AI$21,'Admitidos uni'!$AL$21)</c:f>
              <c:numCache>
                <c:formatCode>#,##0</c:formatCode>
                <c:ptCount val="4"/>
                <c:pt idx="0">
                  <c:v>77</c:v>
                </c:pt>
                <c:pt idx="1">
                  <c:v>32</c:v>
                </c:pt>
                <c:pt idx="2">
                  <c:v>73</c:v>
                </c:pt>
                <c:pt idx="3">
                  <c:v>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'Admitidos uni'!$B$22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1"/>
              <c:layout>
                <c:manualLayout>
                  <c:x val="-3.6953758263660749E-2"/>
                  <c:y val="-5.6240411808988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4164769138956858E-2"/>
                  <c:y val="-4.5904901422205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uni'!$S$51:$S$54</c:f>
              <c:numCache>
                <c:formatCode>General</c:formatCod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numCache>
            </c:numRef>
          </c:cat>
          <c:val>
            <c:numRef>
              <c:f>('Admitidos uni'!$AC$22,'Admitidos uni'!$AF$22,'Admitidos uni'!$AI$22,'Admitidos uni'!$AL$22)</c:f>
              <c:numCache>
                <c:formatCode>#,##0</c:formatCode>
                <c:ptCount val="4"/>
                <c:pt idx="0">
                  <c:v>81</c:v>
                </c:pt>
                <c:pt idx="1">
                  <c:v>37</c:v>
                </c:pt>
                <c:pt idx="2">
                  <c:v>88</c:v>
                </c:pt>
                <c:pt idx="3">
                  <c:v>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'Admitidos uni'!$B$23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0"/>
              <c:layout>
                <c:manualLayout>
                  <c:x val="-6.9330505872196441E-2"/>
                  <c:y val="-6.0713341064922658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9897098955345815E-2"/>
                  <c:y val="-0.11430222384992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401041757197569E-2"/>
                  <c:y val="-4.1950802661295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0463692038495188E-2"/>
                  <c:y val="3.5568577183665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uni'!$S$51:$S$54</c:f>
              <c:numCache>
                <c:formatCode>General</c:formatCod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numCache>
            </c:numRef>
          </c:cat>
          <c:val>
            <c:numRef>
              <c:f>('Admitidos uni'!$AC$23,'Admitidos uni'!$AF$23,'Admitidos uni'!$AI$23,'Admitidos uni'!$AL$23)</c:f>
              <c:numCache>
                <c:formatCode>#,##0</c:formatCode>
                <c:ptCount val="4"/>
                <c:pt idx="0">
                  <c:v>80</c:v>
                </c:pt>
                <c:pt idx="1">
                  <c:v>38</c:v>
                </c:pt>
                <c:pt idx="2">
                  <c:v>73</c:v>
                </c:pt>
                <c:pt idx="3">
                  <c:v>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331456"/>
        <c:axId val="95332992"/>
      </c:lineChart>
      <c:catAx>
        <c:axId val="9533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5332992"/>
        <c:crosses val="autoZero"/>
        <c:auto val="1"/>
        <c:lblAlgn val="ctr"/>
        <c:lblOffset val="100"/>
        <c:noMultiLvlLbl val="0"/>
      </c:catAx>
      <c:valAx>
        <c:axId val="9533299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9533145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Alumnos</a:t>
            </a:r>
            <a:r>
              <a:rPr lang="es-MX" sz="1400" baseline="0"/>
              <a:t> atendidos de </a:t>
            </a:r>
            <a:r>
              <a:rPr lang="es-MX" sz="1400"/>
              <a:t> </a:t>
            </a:r>
            <a:r>
              <a:rPr lang="es-MX" sz="1400">
                <a:solidFill>
                  <a:srgbClr val="CC9900"/>
                </a:solidFill>
              </a:rPr>
              <a:t>Licenciatura y</a:t>
            </a:r>
            <a:r>
              <a:rPr lang="es-MX" sz="1400" baseline="0">
                <a:solidFill>
                  <a:srgbClr val="CC9900"/>
                </a:solidFill>
              </a:rPr>
              <a:t> Posgrado </a:t>
            </a:r>
            <a:r>
              <a:rPr lang="es-MX" sz="1400"/>
              <a:t>por Personal Académico Definitivo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'Alumnos x PTC'!$A$74:$A$77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9.828008560427493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anchor="ctr" anchorCtr="0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PTC'!$C$72:$M$72,'Alumnos x PTC'!$N$72)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'Alumnos x PTC'!$C$9:$N$9</c:f>
              <c:numCache>
                <c:formatCode>0.0</c:formatCode>
                <c:ptCount val="12"/>
                <c:pt idx="0">
                  <c:v>17.913734392735527</c:v>
                </c:pt>
                <c:pt idx="1">
                  <c:v>18.312191416635017</c:v>
                </c:pt>
                <c:pt idx="2">
                  <c:v>18.053333333333335</c:v>
                </c:pt>
                <c:pt idx="3">
                  <c:v>18.334858188472094</c:v>
                </c:pt>
                <c:pt idx="4">
                  <c:v>18.798826334128002</c:v>
                </c:pt>
                <c:pt idx="5">
                  <c:v>19.046473482777476</c:v>
                </c:pt>
                <c:pt idx="6">
                  <c:v>19.829361469892671</c:v>
                </c:pt>
                <c:pt idx="7">
                  <c:v>20.189788922965903</c:v>
                </c:pt>
                <c:pt idx="8">
                  <c:v>20.465650224215249</c:v>
                </c:pt>
                <c:pt idx="9">
                  <c:v>20.616852146263913</c:v>
                </c:pt>
                <c:pt idx="10">
                  <c:v>20.196187175043327</c:v>
                </c:pt>
                <c:pt idx="11">
                  <c:v>20.456960680127523</c:v>
                </c:pt>
              </c:numCache>
            </c:numRef>
          </c:val>
        </c:ser>
        <c:ser>
          <c:idx val="1"/>
          <c:order val="1"/>
          <c:tx>
            <c:strRef>
              <c:f>'Alumnos x PTC'!$A$79:$A$82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1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6.5520057069516227E-3"/>
                  <c:y val="-2.74630875559992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PTC'!$C$72:$M$72,'Alumnos x PTC'!$N$72)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'Alumnos x PTC'!$C$14:$N$14</c:f>
              <c:numCache>
                <c:formatCode>0.0</c:formatCode>
                <c:ptCount val="12"/>
                <c:pt idx="1">
                  <c:v>15.615384615384615</c:v>
                </c:pt>
                <c:pt idx="2">
                  <c:v>13.045454545454545</c:v>
                </c:pt>
                <c:pt idx="3">
                  <c:v>10.704761904761904</c:v>
                </c:pt>
                <c:pt idx="4">
                  <c:v>12.267605633802816</c:v>
                </c:pt>
                <c:pt idx="5">
                  <c:v>12.622754491017965</c:v>
                </c:pt>
                <c:pt idx="6">
                  <c:v>11.5311004784689</c:v>
                </c:pt>
                <c:pt idx="7">
                  <c:v>12.709766162310865</c:v>
                </c:pt>
                <c:pt idx="8">
                  <c:v>14.227272727272727</c:v>
                </c:pt>
                <c:pt idx="9">
                  <c:v>16.161172161172161</c:v>
                </c:pt>
                <c:pt idx="10">
                  <c:v>18.569142857142857</c:v>
                </c:pt>
                <c:pt idx="11">
                  <c:v>21.24</c:v>
                </c:pt>
              </c:numCache>
            </c:numRef>
          </c:val>
        </c:ser>
        <c:ser>
          <c:idx val="2"/>
          <c:order val="2"/>
          <c:tx>
            <c:strRef>
              <c:f>'Alumnos x PTC'!$A$84:$A$87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87210718635807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87210718635809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442143727161992E-3"/>
                  <c:y val="-2.8828825556776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6.4961429151441296E-3"/>
                  <c:y val="-5.2852236300546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1201786439301597E-3"/>
                  <c:y val="-5.2852236300546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9.7442143727161992E-3"/>
                  <c:y val="-5.2852236300546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4.87210718635809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4.87210718635809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8.190007133689558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PTC'!$C$72:$M$72,'Alumnos x PTC'!$N$72)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'Alumnos x PTC'!$C$19:$N$19</c:f>
              <c:numCache>
                <c:formatCode>0.0</c:formatCode>
                <c:ptCount val="12"/>
                <c:pt idx="0">
                  <c:v>18.147106109324756</c:v>
                </c:pt>
                <c:pt idx="1">
                  <c:v>18.033843674456083</c:v>
                </c:pt>
                <c:pt idx="2">
                  <c:v>18.071041541240216</c:v>
                </c:pt>
                <c:pt idx="3">
                  <c:v>18.331398839303581</c:v>
                </c:pt>
                <c:pt idx="4">
                  <c:v>19.149959903769044</c:v>
                </c:pt>
                <c:pt idx="5">
                  <c:v>19.799274486094316</c:v>
                </c:pt>
                <c:pt idx="6">
                  <c:v>21.158592964824123</c:v>
                </c:pt>
                <c:pt idx="7">
                  <c:v>21.775955191038207</c:v>
                </c:pt>
                <c:pt idx="8">
                  <c:v>22.755466399197591</c:v>
                </c:pt>
                <c:pt idx="9">
                  <c:v>23.427440110869135</c:v>
                </c:pt>
                <c:pt idx="10">
                  <c:v>23.728178090216755</c:v>
                </c:pt>
                <c:pt idx="11">
                  <c:v>23.809767625049229</c:v>
                </c:pt>
              </c:numCache>
            </c:numRef>
          </c:val>
        </c:ser>
        <c:ser>
          <c:idx val="3"/>
          <c:order val="3"/>
          <c:tx>
            <c:strRef>
              <c:f>'Alumnos x PTC'!$A$89:$A$92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7"/>
              <c:layout>
                <c:manualLayout>
                  <c:x val="9.82800856042761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1.310401141390348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9.82800856042761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8.1900071336896783E-3"/>
                  <c:y val="-5.034841222351096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4.9140042802136869E-3"/>
                  <c:y val="-5.49261751119985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PTC'!$C$72:$M$72,'Alumnos x PTC'!$N$72)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'Alumnos x PTC'!$C$24:$N$24</c:f>
              <c:numCache>
                <c:formatCode>0.0</c:formatCode>
                <c:ptCount val="12"/>
                <c:pt idx="7">
                  <c:v>13.307692307692308</c:v>
                </c:pt>
                <c:pt idx="8">
                  <c:v>10.363636363636363</c:v>
                </c:pt>
                <c:pt idx="9">
                  <c:v>13.464285714285714</c:v>
                </c:pt>
                <c:pt idx="10">
                  <c:v>12.722222222222221</c:v>
                </c:pt>
                <c:pt idx="11">
                  <c:v>14.142857142857142</c:v>
                </c:pt>
              </c:numCache>
            </c:numRef>
          </c:val>
        </c:ser>
        <c:ser>
          <c:idx val="4"/>
          <c:order val="4"/>
          <c:tx>
            <c:strRef>
              <c:f>'Alumnos x PTC'!$A$94:$A$97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8721071863580996E-3"/>
                  <c:y val="-5.2852236300546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4.9140042802136869E-3"/>
                  <c:y val="-2.74630875559992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PTC'!$C$72:$M$72,'Alumnos x PTC'!$N$72)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'Alumnos x PTC'!$C$29:$N$29</c:f>
              <c:numCache>
                <c:formatCode>0.0</c:formatCode>
                <c:ptCount val="12"/>
                <c:pt idx="0">
                  <c:v>19.870967741935484</c:v>
                </c:pt>
                <c:pt idx="1">
                  <c:v>21.115077857956706</c:v>
                </c:pt>
                <c:pt idx="2">
                  <c:v>21.701071630005639</c:v>
                </c:pt>
                <c:pt idx="3">
                  <c:v>22.717751251443975</c:v>
                </c:pt>
                <c:pt idx="4">
                  <c:v>22.632809505557685</c:v>
                </c:pt>
                <c:pt idx="5">
                  <c:v>22.120923135609385</c:v>
                </c:pt>
                <c:pt idx="6">
                  <c:v>21.78211443728685</c:v>
                </c:pt>
                <c:pt idx="7">
                  <c:v>21.130774962742176</c:v>
                </c:pt>
                <c:pt idx="8">
                  <c:v>20.924667651403251</c:v>
                </c:pt>
                <c:pt idx="9">
                  <c:v>21.28358208955224</c:v>
                </c:pt>
                <c:pt idx="10">
                  <c:v>20.870087336244541</c:v>
                </c:pt>
                <c:pt idx="11">
                  <c:v>21.197144426139484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17640192"/>
        <c:axId val="117666560"/>
        <c:axId val="0"/>
      </c:bar3DChart>
      <c:catAx>
        <c:axId val="11764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7666560"/>
        <c:crosses val="autoZero"/>
        <c:auto val="1"/>
        <c:lblAlgn val="ctr"/>
        <c:lblOffset val="100"/>
        <c:noMultiLvlLbl val="0"/>
      </c:catAx>
      <c:valAx>
        <c:axId val="117666560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extTo"/>
        <c:crossAx val="11764019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7.1407188595944401E-2"/>
          <c:y val="0.93057178911010396"/>
          <c:w val="0.87342585221914304"/>
          <c:h val="5.213091555583E-2"/>
        </c:manualLayout>
      </c:layout>
      <c:overlay val="0"/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>
      <a:bevelT w="165100" prst="coolSlant"/>
    </a:sp3d>
  </c:spPr>
  <c:printSettings>
    <c:headerFooter/>
    <c:pageMargins b="0.75" l="0.7" r="0.7" t="0.75" header="0.3" footer="0.3"/>
    <c:pageSetup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Becas y Estímulos al Personal Académico</a:t>
            </a: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1"/>
          <c:order val="0"/>
          <c:tx>
            <c:strRef>
              <c:f>'becas y estímulos'!$A$6</c:f>
              <c:strCache>
                <c:ptCount val="1"/>
                <c:pt idx="0">
                  <c:v>Estímulo a la Docencia e Investigación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  <a:latin typeface="+mn-lt"/>
                    <a:cs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('becas y estímulos'!$B$5:$Z$5,'becas y estímulos'!$AA$5)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('becas y estímulos'!$B$6:$Z$6,'becas y estímulos'!$AA$6)</c:f>
              <c:numCache>
                <c:formatCode>_(* #,##0_);_(* \(#,##0\);_(* "-"_);_(@_)</c:formatCode>
                <c:ptCount val="26"/>
                <c:pt idx="0">
                  <c:v>315</c:v>
                </c:pt>
                <c:pt idx="1">
                  <c:v>517</c:v>
                </c:pt>
                <c:pt idx="2">
                  <c:v>530</c:v>
                </c:pt>
                <c:pt idx="3">
                  <c:v>634</c:v>
                </c:pt>
                <c:pt idx="4">
                  <c:v>693</c:v>
                </c:pt>
                <c:pt idx="5">
                  <c:v>751</c:v>
                </c:pt>
                <c:pt idx="6">
                  <c:v>773</c:v>
                </c:pt>
                <c:pt idx="7">
                  <c:v>795</c:v>
                </c:pt>
                <c:pt idx="8">
                  <c:v>805</c:v>
                </c:pt>
                <c:pt idx="9">
                  <c:v>780</c:v>
                </c:pt>
                <c:pt idx="10">
                  <c:v>821</c:v>
                </c:pt>
                <c:pt idx="11">
                  <c:v>876</c:v>
                </c:pt>
                <c:pt idx="12">
                  <c:v>898</c:v>
                </c:pt>
                <c:pt idx="13">
                  <c:v>888</c:v>
                </c:pt>
                <c:pt idx="14">
                  <c:v>924</c:v>
                </c:pt>
                <c:pt idx="15">
                  <c:v>1010</c:v>
                </c:pt>
                <c:pt idx="16">
                  <c:v>970</c:v>
                </c:pt>
                <c:pt idx="17">
                  <c:v>1059</c:v>
                </c:pt>
                <c:pt idx="18">
                  <c:v>1010</c:v>
                </c:pt>
                <c:pt idx="19">
                  <c:v>1076</c:v>
                </c:pt>
                <c:pt idx="20">
                  <c:v>1066</c:v>
                </c:pt>
                <c:pt idx="21">
                  <c:v>1217</c:v>
                </c:pt>
                <c:pt idx="22">
                  <c:v>1288</c:v>
                </c:pt>
                <c:pt idx="23">
                  <c:v>1383</c:v>
                </c:pt>
                <c:pt idx="24">
                  <c:v>1385</c:v>
                </c:pt>
                <c:pt idx="25">
                  <c:v>1392</c:v>
                </c:pt>
              </c:numCache>
            </c:numRef>
          </c:val>
        </c:ser>
        <c:ser>
          <c:idx val="2"/>
          <c:order val="1"/>
          <c:tx>
            <c:strRef>
              <c:f>'becas y estímulos'!$A$7</c:f>
              <c:strCache>
                <c:ptCount val="1"/>
                <c:pt idx="0">
                  <c:v>Beca de Apoyo a la Permanencia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latin typeface="+mn-lt"/>
                    <a:cs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('becas y estímulos'!$B$5:$Z$5,'becas y estímulos'!$AA$5)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('becas y estímulos'!$B$7:$Z$7,'becas y estímulos'!$AA$7)</c:f>
              <c:numCache>
                <c:formatCode>_(* #,##0_);_(* \(#,##0\);_(* "-"_);_(@_)</c:formatCode>
                <c:ptCount val="26"/>
                <c:pt idx="0">
                  <c:v>585</c:v>
                </c:pt>
                <c:pt idx="1">
                  <c:v>857</c:v>
                </c:pt>
                <c:pt idx="2">
                  <c:v>886</c:v>
                </c:pt>
                <c:pt idx="3">
                  <c:v>994</c:v>
                </c:pt>
                <c:pt idx="4">
                  <c:v>1128</c:v>
                </c:pt>
                <c:pt idx="5">
                  <c:v>1289</c:v>
                </c:pt>
                <c:pt idx="6">
                  <c:v>1378</c:v>
                </c:pt>
                <c:pt idx="7">
                  <c:v>1447</c:v>
                </c:pt>
                <c:pt idx="8">
                  <c:v>1491</c:v>
                </c:pt>
                <c:pt idx="9">
                  <c:v>1500</c:v>
                </c:pt>
                <c:pt idx="10">
                  <c:v>1544</c:v>
                </c:pt>
                <c:pt idx="11">
                  <c:v>1538</c:v>
                </c:pt>
                <c:pt idx="12">
                  <c:v>1587</c:v>
                </c:pt>
                <c:pt idx="13">
                  <c:v>1620</c:v>
                </c:pt>
                <c:pt idx="14">
                  <c:v>1649</c:v>
                </c:pt>
                <c:pt idx="15">
                  <c:v>1659</c:v>
                </c:pt>
                <c:pt idx="16">
                  <c:v>1651</c:v>
                </c:pt>
                <c:pt idx="17">
                  <c:v>1692</c:v>
                </c:pt>
                <c:pt idx="18">
                  <c:v>1744</c:v>
                </c:pt>
                <c:pt idx="19">
                  <c:v>1783</c:v>
                </c:pt>
                <c:pt idx="20">
                  <c:v>1801</c:v>
                </c:pt>
                <c:pt idx="21">
                  <c:v>1879</c:v>
                </c:pt>
                <c:pt idx="22">
                  <c:v>1967</c:v>
                </c:pt>
                <c:pt idx="23">
                  <c:v>2012</c:v>
                </c:pt>
                <c:pt idx="24">
                  <c:v>2047</c:v>
                </c:pt>
                <c:pt idx="25">
                  <c:v>2070</c:v>
                </c:pt>
              </c:numCache>
            </c:numRef>
          </c:val>
        </c:ser>
        <c:ser>
          <c:idx val="3"/>
          <c:order val="2"/>
          <c:tx>
            <c:strRef>
              <c:f>'becas y estímulos'!$A$8</c:f>
              <c:strCache>
                <c:ptCount val="1"/>
                <c:pt idx="0">
                  <c:v>Beca a la Carrera Docente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  <a:latin typeface="+mn-lt"/>
                    <a:cs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('becas y estímulos'!$B$5:$Z$5,'becas y estímulos'!$AA$5)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('becas y estímulos'!$B$8:$Z$8,'becas y estímulos'!$AA$8)</c:f>
              <c:numCache>
                <c:formatCode>_(* #,##0_);_(* \(#,##0\);_(* "-"_);_(@_)</c:formatCode>
                <c:ptCount val="26"/>
                <c:pt idx="2">
                  <c:v>1276</c:v>
                </c:pt>
                <c:pt idx="3">
                  <c:v>1613</c:v>
                </c:pt>
                <c:pt idx="4">
                  <c:v>1709</c:v>
                </c:pt>
                <c:pt idx="5">
                  <c:v>1912</c:v>
                </c:pt>
                <c:pt idx="6">
                  <c:v>2001</c:v>
                </c:pt>
                <c:pt idx="7">
                  <c:v>2122</c:v>
                </c:pt>
                <c:pt idx="8">
                  <c:v>2197</c:v>
                </c:pt>
                <c:pt idx="9">
                  <c:v>2263</c:v>
                </c:pt>
                <c:pt idx="10">
                  <c:v>2332</c:v>
                </c:pt>
                <c:pt idx="11">
                  <c:v>2341</c:v>
                </c:pt>
                <c:pt idx="12">
                  <c:v>2416</c:v>
                </c:pt>
                <c:pt idx="13">
                  <c:v>2454</c:v>
                </c:pt>
                <c:pt idx="14">
                  <c:v>2496</c:v>
                </c:pt>
                <c:pt idx="15">
                  <c:v>2601</c:v>
                </c:pt>
                <c:pt idx="16">
                  <c:v>2576</c:v>
                </c:pt>
                <c:pt idx="17">
                  <c:v>2633</c:v>
                </c:pt>
                <c:pt idx="18">
                  <c:v>2606</c:v>
                </c:pt>
                <c:pt idx="19">
                  <c:v>2645</c:v>
                </c:pt>
                <c:pt idx="20">
                  <c:v>2598</c:v>
                </c:pt>
                <c:pt idx="21">
                  <c:v>2669</c:v>
                </c:pt>
                <c:pt idx="22">
                  <c:v>2743</c:v>
                </c:pt>
                <c:pt idx="23">
                  <c:v>2761</c:v>
                </c:pt>
                <c:pt idx="24">
                  <c:v>2813</c:v>
                </c:pt>
                <c:pt idx="25">
                  <c:v>2826</c:v>
                </c:pt>
              </c:numCache>
            </c:numRef>
          </c:val>
        </c:ser>
        <c:ser>
          <c:idx val="4"/>
          <c:order val="3"/>
          <c:tx>
            <c:strRef>
              <c:f>'becas y estímulos'!$A$9</c:f>
              <c:strCache>
                <c:ptCount val="1"/>
                <c:pt idx="0">
                  <c:v>Estímulo a los Grados Académicos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latin typeface="+mn-lt"/>
                    <a:cs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('becas y estímulos'!$B$5:$Z$5,'becas y estímulos'!$AA$5)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('becas y estímulos'!$B$9:$Z$9,'becas y estímulos'!$AA$9)</c:f>
              <c:numCache>
                <c:formatCode>_(* #,##0_);_(* \(#,##0\);_(* "-"_);_(@_)</c:formatCode>
                <c:ptCount val="26"/>
                <c:pt idx="5">
                  <c:v>1817</c:v>
                </c:pt>
                <c:pt idx="6">
                  <c:v>1875</c:v>
                </c:pt>
                <c:pt idx="7">
                  <c:v>1931</c:v>
                </c:pt>
                <c:pt idx="8">
                  <c:v>2016</c:v>
                </c:pt>
                <c:pt idx="9">
                  <c:v>2045</c:v>
                </c:pt>
                <c:pt idx="10">
                  <c:v>2095</c:v>
                </c:pt>
                <c:pt idx="11">
                  <c:v>2111</c:v>
                </c:pt>
                <c:pt idx="12">
                  <c:v>2158</c:v>
                </c:pt>
                <c:pt idx="13">
                  <c:v>1611</c:v>
                </c:pt>
                <c:pt idx="14">
                  <c:v>1677</c:v>
                </c:pt>
                <c:pt idx="15">
                  <c:v>1729</c:v>
                </c:pt>
                <c:pt idx="16">
                  <c:v>1776</c:v>
                </c:pt>
                <c:pt idx="17">
                  <c:v>1884</c:v>
                </c:pt>
                <c:pt idx="18">
                  <c:v>1952</c:v>
                </c:pt>
                <c:pt idx="19">
                  <c:v>1990</c:v>
                </c:pt>
                <c:pt idx="20">
                  <c:v>1987</c:v>
                </c:pt>
                <c:pt idx="21">
                  <c:v>2093</c:v>
                </c:pt>
                <c:pt idx="22">
                  <c:v>2171</c:v>
                </c:pt>
                <c:pt idx="23">
                  <c:v>2203</c:v>
                </c:pt>
                <c:pt idx="24">
                  <c:v>2280</c:v>
                </c:pt>
                <c:pt idx="25">
                  <c:v>2295</c:v>
                </c:pt>
              </c:numCache>
            </c:numRef>
          </c:val>
        </c:ser>
        <c:ser>
          <c:idx val="5"/>
          <c:order val="4"/>
          <c:tx>
            <c:strRef>
              <c:f>'becas y estímulos'!$A$10</c:f>
              <c:strCache>
                <c:ptCount val="1"/>
                <c:pt idx="0">
                  <c:v>Estímulo a la trayectoria Académica sobresaliente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  <a:latin typeface="+mn-lt"/>
                    <a:cs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('becas y estímulos'!$B$5:$Z$5,'becas y estímulos'!$AA$5)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('becas y estímulos'!$B$10:$Z$10,'becas y estímulos'!$AA$10)</c:f>
              <c:numCache>
                <c:formatCode>_(* #,##0_);_(* \(#,##0\);_(* "-"_);_(@_)</c:formatCode>
                <c:ptCount val="26"/>
                <c:pt idx="5">
                  <c:v>388</c:v>
                </c:pt>
                <c:pt idx="6">
                  <c:v>553</c:v>
                </c:pt>
                <c:pt idx="7">
                  <c:v>658</c:v>
                </c:pt>
                <c:pt idx="8">
                  <c:v>753</c:v>
                </c:pt>
                <c:pt idx="9">
                  <c:v>838</c:v>
                </c:pt>
                <c:pt idx="10">
                  <c:v>934</c:v>
                </c:pt>
                <c:pt idx="11">
                  <c:v>1049</c:v>
                </c:pt>
                <c:pt idx="12">
                  <c:v>1173</c:v>
                </c:pt>
                <c:pt idx="13">
                  <c:v>1280</c:v>
                </c:pt>
                <c:pt idx="14">
                  <c:v>1372</c:v>
                </c:pt>
                <c:pt idx="15">
                  <c:v>1453</c:v>
                </c:pt>
                <c:pt idx="16">
                  <c:v>1522</c:v>
                </c:pt>
                <c:pt idx="17">
                  <c:v>1588</c:v>
                </c:pt>
                <c:pt idx="18">
                  <c:v>1601</c:v>
                </c:pt>
                <c:pt idx="19">
                  <c:v>1639</c:v>
                </c:pt>
                <c:pt idx="20">
                  <c:v>1630</c:v>
                </c:pt>
                <c:pt idx="21">
                  <c:v>1690</c:v>
                </c:pt>
                <c:pt idx="22">
                  <c:v>1756</c:v>
                </c:pt>
                <c:pt idx="23">
                  <c:v>1778</c:v>
                </c:pt>
                <c:pt idx="24">
                  <c:v>1756</c:v>
                </c:pt>
                <c:pt idx="25">
                  <c:v>1798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17764096"/>
        <c:axId val="117765632"/>
        <c:axId val="0"/>
      </c:bar3DChart>
      <c:catAx>
        <c:axId val="11776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7765632"/>
        <c:crosses val="autoZero"/>
        <c:auto val="1"/>
        <c:lblAlgn val="ctr"/>
        <c:lblOffset val="100"/>
        <c:noMultiLvlLbl val="0"/>
      </c:catAx>
      <c:valAx>
        <c:axId val="117765632"/>
        <c:scaling>
          <c:orientation val="minMax"/>
        </c:scaling>
        <c:delete val="1"/>
        <c:axPos val="l"/>
        <c:numFmt formatCode="_(* #,##0_);_(* \(#,##0\);_(* &quot;-&quot;_);_(@_)" sourceLinked="1"/>
        <c:majorTickMark val="out"/>
        <c:minorTickMark val="none"/>
        <c:tickLblPos val="nextTo"/>
        <c:crossAx val="117764096"/>
        <c:crosses val="autoZero"/>
        <c:crossBetween val="between"/>
        <c:majorUnit val="1000"/>
      </c:valAx>
    </c:plotArea>
    <c:legend>
      <c:legendPos val="b"/>
      <c:layout>
        <c:manualLayout>
          <c:xMode val="edge"/>
          <c:yMode val="edge"/>
          <c:x val="1.6478582588368183E-2"/>
          <c:y val="0.94047508147129799"/>
          <c:w val="0.95206147203383973"/>
          <c:h val="4.9222279173674242E-2"/>
        </c:manualLayout>
      </c:layout>
      <c:overlay val="0"/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3623537589644798E-2"/>
          <c:y val="2.8354471598171799E-2"/>
          <c:w val="0.96467991393225694"/>
          <c:h val="0.83075533387969547"/>
        </c:manualLayout>
      </c:layout>
      <c:lineChart>
        <c:grouping val="standard"/>
        <c:varyColors val="0"/>
        <c:ser>
          <c:idx val="0"/>
          <c:order val="0"/>
          <c:tx>
            <c:strRef>
              <c:f>'PTC-GRADO'!$C$34</c:f>
              <c:strCache>
                <c:ptCount val="1"/>
                <c:pt idx="0">
                  <c:v>Licenciatura</c:v>
                </c:pt>
              </c:strCache>
            </c:strRef>
          </c:tx>
          <c:spPr>
            <a:ln w="15875">
              <a:solidFill>
                <a:schemeClr val="accent5">
                  <a:lumMod val="75000"/>
                </a:schemeClr>
              </a:solidFill>
            </a:ln>
          </c:spPr>
          <c:marker>
            <c:symbol val="diamond"/>
            <c:size val="4"/>
            <c:spPr>
              <a:noFill/>
              <a:ln>
                <a:solidFill>
                  <a:schemeClr val="accent5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5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'PTC-GRADO'!$AP$40:$AP$52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('PTC-GRADO'!$C$31,'PTC-GRADO'!$H$31,'PTC-GRADO'!$M$31,'PTC-GRADO'!$R$31,'PTC-GRADO'!$W$31,'PTC-GRADO'!$AB$31,'PTC-GRADO'!$AG$31,'PTC-GRADO'!$AL$31,'PTC-GRADO'!$AQ$31,'PTC-GRADO'!$AV$31,'PTC-GRADO'!$BA$31,'PTC-GRADO'!$BF$31,'PTC-GRADO'!$BK$31)</c:f>
              <c:numCache>
                <c:formatCode>_(* #,##0_);_(* \(#,##0\);_(* "-"??_);_(@_)</c:formatCode>
                <c:ptCount val="13"/>
                <c:pt idx="0">
                  <c:v>765</c:v>
                </c:pt>
                <c:pt idx="1">
                  <c:v>756</c:v>
                </c:pt>
                <c:pt idx="2">
                  <c:v>593</c:v>
                </c:pt>
                <c:pt idx="3">
                  <c:v>574</c:v>
                </c:pt>
                <c:pt idx="4">
                  <c:v>520</c:v>
                </c:pt>
                <c:pt idx="5">
                  <c:v>493</c:v>
                </c:pt>
                <c:pt idx="6">
                  <c:v>462</c:v>
                </c:pt>
                <c:pt idx="7">
                  <c:v>457</c:v>
                </c:pt>
                <c:pt idx="8">
                  <c:v>449</c:v>
                </c:pt>
                <c:pt idx="9">
                  <c:v>422</c:v>
                </c:pt>
                <c:pt idx="10">
                  <c:v>396</c:v>
                </c:pt>
                <c:pt idx="11">
                  <c:v>397</c:v>
                </c:pt>
                <c:pt idx="12">
                  <c:v>394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'PTC-GRADO'!$C$35</c:f>
              <c:strCache>
                <c:ptCount val="1"/>
                <c:pt idx="0">
                  <c:v>Especialidad</c:v>
                </c:pt>
              </c:strCache>
            </c:strRef>
          </c:tx>
          <c:spPr>
            <a:ln w="15875">
              <a:solidFill>
                <a:srgbClr val="AD25A8"/>
              </a:solidFill>
            </a:ln>
          </c:spPr>
          <c:marker>
            <c:symbol val="square"/>
            <c:size val="4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'PTC-GRADO'!$AP$40:$AP$52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('PTC-GRADO'!$D$31,'PTC-GRADO'!$I$31,'PTC-GRADO'!$N$31,'PTC-GRADO'!$S$31,'PTC-GRADO'!$X$31,'PTC-GRADO'!$AC$31,'PTC-GRADO'!$AH$31,'PTC-GRADO'!$AM$31,'PTC-GRADO'!$AR$31,'PTC-GRADO'!$AW$31,'PTC-GRADO'!$BB$31,'PTC-GRADO'!$BG$31,'PTC-GRADO'!$BL$31)</c:f>
              <c:numCache>
                <c:formatCode>_(* #,##0_);_(* \(#,##0\);_(* "-"??_);_(@_)</c:formatCode>
                <c:ptCount val="13"/>
                <c:pt idx="0">
                  <c:v>48</c:v>
                </c:pt>
                <c:pt idx="1">
                  <c:v>44</c:v>
                </c:pt>
                <c:pt idx="2">
                  <c:v>50</c:v>
                </c:pt>
                <c:pt idx="3">
                  <c:v>50</c:v>
                </c:pt>
                <c:pt idx="4">
                  <c:v>46</c:v>
                </c:pt>
                <c:pt idx="5">
                  <c:v>44</c:v>
                </c:pt>
                <c:pt idx="6">
                  <c:v>45</c:v>
                </c:pt>
                <c:pt idx="7">
                  <c:v>45</c:v>
                </c:pt>
                <c:pt idx="8">
                  <c:v>50</c:v>
                </c:pt>
                <c:pt idx="9">
                  <c:v>41</c:v>
                </c:pt>
                <c:pt idx="10">
                  <c:v>38</c:v>
                </c:pt>
                <c:pt idx="11">
                  <c:v>39</c:v>
                </c:pt>
                <c:pt idx="12">
                  <c:v>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'PTC-GRADO'!$C$36</c:f>
              <c:strCache>
                <c:ptCount val="1"/>
                <c:pt idx="0">
                  <c:v>Maestría</c:v>
                </c:pt>
              </c:strCache>
            </c:strRef>
          </c:tx>
          <c:spPr>
            <a:ln w="15875">
              <a:solidFill>
                <a:schemeClr val="accent3">
                  <a:lumMod val="50000"/>
                </a:schemeClr>
              </a:solidFill>
            </a:ln>
          </c:spPr>
          <c:marker>
            <c:symbol val="triangle"/>
            <c:size val="4"/>
            <c:spPr>
              <a:noFill/>
              <a:ln>
                <a:solidFill>
                  <a:schemeClr val="accent3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3.042748302164474E-2"/>
                  <c:y val="-2.9310405647548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'PTC-GRADO'!$AP$40:$AP$52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('PTC-GRADO'!$E$31,'PTC-GRADO'!$J$31,'PTC-GRADO'!$O$31,'PTC-GRADO'!$T$31,'PTC-GRADO'!$Y$31,'PTC-GRADO'!$AD$31,'PTC-GRADO'!$AI$31,'PTC-GRADO'!$AN$31,'PTC-GRADO'!$AS$31,'PTC-GRADO'!$AX$31,'PTC-GRADO'!$BC$31,'PTC-GRADO'!$BH$31,'PTC-GRADO'!$BM$31)</c:f>
              <c:numCache>
                <c:formatCode>_(* #,##0_);_(* \(#,##0\);_(* "-"??_);_(@_)</c:formatCode>
                <c:ptCount val="13"/>
                <c:pt idx="0">
                  <c:v>931</c:v>
                </c:pt>
                <c:pt idx="1">
                  <c:v>889</c:v>
                </c:pt>
                <c:pt idx="2">
                  <c:v>929</c:v>
                </c:pt>
                <c:pt idx="3">
                  <c:v>941</c:v>
                </c:pt>
                <c:pt idx="4">
                  <c:v>921</c:v>
                </c:pt>
                <c:pt idx="5">
                  <c:v>908</c:v>
                </c:pt>
                <c:pt idx="6">
                  <c:v>881</c:v>
                </c:pt>
                <c:pt idx="7">
                  <c:v>891</c:v>
                </c:pt>
                <c:pt idx="8">
                  <c:v>865</c:v>
                </c:pt>
                <c:pt idx="9">
                  <c:v>880</c:v>
                </c:pt>
                <c:pt idx="10">
                  <c:v>895</c:v>
                </c:pt>
                <c:pt idx="11">
                  <c:v>911</c:v>
                </c:pt>
                <c:pt idx="12">
                  <c:v>938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'PTC-GRADO'!$C$37</c:f>
              <c:strCache>
                <c:ptCount val="1"/>
                <c:pt idx="0">
                  <c:v>Doctorado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circle"/>
            <c:size val="4"/>
            <c:spPr>
              <a:noFill/>
              <a:ln>
                <a:solidFill>
                  <a:srgbClr val="CC9900"/>
                </a:solidFill>
              </a:ln>
              <a:scene3d>
                <a:camera prst="orthographicFront"/>
                <a:lightRig rig="threePt" dir="t"/>
              </a:scene3d>
            </c:spPr>
          </c:marker>
          <c:dLbls>
            <c:dLbl>
              <c:idx val="0"/>
              <c:layout>
                <c:manualLayout>
                  <c:x val="-3.3638399936894103E-2"/>
                  <c:y val="2.01675517957069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'PTC-GRADO'!$AP$40:$AP$52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('PTC-GRADO'!$F$31,'PTC-GRADO'!$K$31,'PTC-GRADO'!$P$31,'PTC-GRADO'!$U$31,'PTC-GRADO'!$Z$31,'PTC-GRADO'!$AE$31,'PTC-GRADO'!$AJ$31,'PTC-GRADO'!$AO$31,'PTC-GRADO'!$AT$31,'PTC-GRADO'!$AY$31,'PTC-GRADO'!$BD$31,'PTC-GRADO'!$BI$31,'PTC-GRADO'!$BN$31)</c:f>
              <c:numCache>
                <c:formatCode>_(* #,##0_);_(* \(#,##0\);_(* "-"??_);_(@_)</c:formatCode>
                <c:ptCount val="13"/>
                <c:pt idx="0">
                  <c:v>875</c:v>
                </c:pt>
                <c:pt idx="1">
                  <c:v>938</c:v>
                </c:pt>
                <c:pt idx="2">
                  <c:v>1033</c:v>
                </c:pt>
                <c:pt idx="3">
                  <c:v>1110</c:v>
                </c:pt>
                <c:pt idx="4">
                  <c:v>1162</c:v>
                </c:pt>
                <c:pt idx="5">
                  <c:v>1251</c:v>
                </c:pt>
                <c:pt idx="6">
                  <c:v>1310</c:v>
                </c:pt>
                <c:pt idx="7">
                  <c:v>1371</c:v>
                </c:pt>
                <c:pt idx="8">
                  <c:v>1467</c:v>
                </c:pt>
                <c:pt idx="9">
                  <c:v>1562</c:v>
                </c:pt>
                <c:pt idx="10">
                  <c:v>1682</c:v>
                </c:pt>
                <c:pt idx="11">
                  <c:v>1728</c:v>
                </c:pt>
                <c:pt idx="12">
                  <c:v>1767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353856"/>
        <c:axId val="114369664"/>
      </c:lineChart>
      <c:catAx>
        <c:axId val="11735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4369664"/>
        <c:crosses val="autoZero"/>
        <c:auto val="1"/>
        <c:lblAlgn val="ctr"/>
        <c:lblOffset val="100"/>
        <c:noMultiLvlLbl val="0"/>
      </c:catAx>
      <c:valAx>
        <c:axId val="114369664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1735385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19125859572412074"/>
          <c:y val="0.93966044925368342"/>
          <c:w val="0.60837591290407467"/>
          <c:h val="5.6965258835152424E-2"/>
        </c:manualLayout>
      </c:layout>
      <c:overlay val="0"/>
      <c:txPr>
        <a:bodyPr/>
        <a:lstStyle/>
        <a:p>
          <a:pPr>
            <a:defRPr sz="1050" b="0" i="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400187342890949"/>
          <c:y val="0"/>
        </c:manualLayout>
      </c:layout>
      <c:overlay val="0"/>
      <c:txPr>
        <a:bodyPr/>
        <a:lstStyle/>
        <a:p>
          <a:pPr>
            <a:defRPr sz="1200">
              <a:solidFill>
                <a:srgbClr val="CD032E"/>
              </a:solidFill>
            </a:defRPr>
          </a:pPr>
          <a:endParaRPr lang="es-MX"/>
        </a:p>
      </c:txPr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4313626492684483E-2"/>
          <c:y val="0.16876948025278066"/>
          <c:w val="0.91628552624701221"/>
          <c:h val="0.64427085592665778"/>
        </c:manualLayout>
      </c:layout>
      <c:pie3DChart>
        <c:varyColors val="1"/>
        <c:ser>
          <c:idx val="0"/>
          <c:order val="0"/>
          <c:tx>
            <c:strRef>
              <c:f>'PTC-GRADO'!$A$6:$A$9</c:f>
              <c:strCache>
                <c:ptCount val="1"/>
                <c:pt idx="0">
                  <c:v>Azcapotzalco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dPt>
            <c:idx val="0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dPt>
          <c:dPt>
            <c:idx val="1"/>
            <c:bubble3D val="0"/>
            <c:spPr>
              <a:solidFill>
                <a:schemeClr val="bg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dPt>
          <c:dPt>
            <c:idx val="3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dPt>
          <c:dLbls>
            <c:dLbl>
              <c:idx val="1"/>
              <c:spPr/>
              <c:txPr>
                <a:bodyPr/>
                <a:lstStyle/>
                <a:p>
                  <a:pPr>
                    <a:defRPr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'PTC-GRADO'!$C$34:$C$37</c:f>
              <c:strCache>
                <c:ptCount val="4"/>
                <c:pt idx="0">
                  <c:v>Licenciatura</c:v>
                </c:pt>
                <c:pt idx="1">
                  <c:v>Especialidad</c:v>
                </c:pt>
                <c:pt idx="2">
                  <c:v>Maestría</c:v>
                </c:pt>
                <c:pt idx="3">
                  <c:v>Doctorado</c:v>
                </c:pt>
              </c:strCache>
            </c:strRef>
          </c:cat>
          <c:val>
            <c:numRef>
              <c:f>'PTC-GRADO'!$BF$9:$BI$9</c:f>
              <c:numCache>
                <c:formatCode>_(* #,##0_);_(* \(#,##0\);_(* "-"??_);_(@_)</c:formatCode>
                <c:ptCount val="4"/>
                <c:pt idx="0">
                  <c:v>167</c:v>
                </c:pt>
                <c:pt idx="1">
                  <c:v>14</c:v>
                </c:pt>
                <c:pt idx="2">
                  <c:v>357</c:v>
                </c:pt>
                <c:pt idx="3">
                  <c:v>424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714755895895801"/>
          <c:y val="1.1721609016963107E-2"/>
        </c:manualLayout>
      </c:layout>
      <c:overlay val="0"/>
      <c:txPr>
        <a:bodyPr/>
        <a:lstStyle/>
        <a:p>
          <a:pPr>
            <a:defRPr sz="1200">
              <a:solidFill>
                <a:srgbClr val="F08200"/>
              </a:solidFill>
            </a:defRPr>
          </a:pPr>
          <a:endParaRPr lang="es-MX"/>
        </a:p>
      </c:txPr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4313626492684483E-2"/>
          <c:y val="0.16876948025278066"/>
          <c:w val="0.91628552624701221"/>
          <c:h val="0.64427085592665778"/>
        </c:manualLayout>
      </c:layout>
      <c:pie3DChart>
        <c:varyColors val="1"/>
        <c:ser>
          <c:idx val="0"/>
          <c:order val="0"/>
          <c:tx>
            <c:strRef>
              <c:f>'PTC-GRADO'!$A$11:$A$14</c:f>
              <c:strCache>
                <c:ptCount val="1"/>
                <c:pt idx="0">
                  <c:v>Cuajiamalpa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dPt>
            <c:idx val="0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dPt>
          <c:dPt>
            <c:idx val="1"/>
            <c:bubble3D val="0"/>
            <c:spPr>
              <a:solidFill>
                <a:schemeClr val="bg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dPt>
          <c:dPt>
            <c:idx val="3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dPt>
          <c:dLbls>
            <c:dLbl>
              <c:idx val="0"/>
              <c:layout>
                <c:manualLayout>
                  <c:x val="-0.16316591666151881"/>
                  <c:y val="1.3863802286913609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accent2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3543097180709265"/>
                  <c:y val="1.3863802286913609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'PTC-GRADO'!$C$34:$C$37</c:f>
              <c:strCache>
                <c:ptCount val="4"/>
                <c:pt idx="0">
                  <c:v>Licenciatura</c:v>
                </c:pt>
                <c:pt idx="1">
                  <c:v>Especialidad</c:v>
                </c:pt>
                <c:pt idx="2">
                  <c:v>Maestría</c:v>
                </c:pt>
                <c:pt idx="3">
                  <c:v>Doctorado</c:v>
                </c:pt>
              </c:strCache>
            </c:strRef>
          </c:cat>
          <c:val>
            <c:numRef>
              <c:f>'PTC-GRADO'!$BF$14:$BI$14</c:f>
              <c:numCache>
                <c:formatCode>_(* #,##0_);_(* \(#,##0\);_(* "-"??_);_(@_)</c:formatCode>
                <c:ptCount val="4"/>
                <c:pt idx="0">
                  <c:v>2</c:v>
                </c:pt>
                <c:pt idx="1">
                  <c:v>1</c:v>
                </c:pt>
                <c:pt idx="2">
                  <c:v>27</c:v>
                </c:pt>
                <c:pt idx="3">
                  <c:v>179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714755895895801"/>
          <c:y val="1.1721609016963107E-2"/>
        </c:manualLayout>
      </c:layout>
      <c:overlay val="0"/>
      <c:txPr>
        <a:bodyPr/>
        <a:lstStyle/>
        <a:p>
          <a:pPr>
            <a:defRPr sz="1200">
              <a:solidFill>
                <a:srgbClr val="57A519"/>
              </a:solidFill>
            </a:defRPr>
          </a:pPr>
          <a:endParaRPr lang="es-MX"/>
        </a:p>
      </c:txPr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4313626492684483E-2"/>
          <c:y val="0.16876948025278066"/>
          <c:w val="0.91628552624701221"/>
          <c:h val="0.64427085592665778"/>
        </c:manualLayout>
      </c:layout>
      <c:pie3DChart>
        <c:varyColors val="1"/>
        <c:ser>
          <c:idx val="0"/>
          <c:order val="0"/>
          <c:tx>
            <c:strRef>
              <c:f>'PTC-GRADO'!$A$16:$A$19</c:f>
              <c:strCache>
                <c:ptCount val="1"/>
                <c:pt idx="0">
                  <c:v>Iztapalapa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dPt>
            <c:idx val="0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dPt>
          <c:dPt>
            <c:idx val="1"/>
            <c:bubble3D val="0"/>
            <c:spPr>
              <a:solidFill>
                <a:schemeClr val="bg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dPt>
          <c:dPt>
            <c:idx val="3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dPt>
          <c:dLbls>
            <c:dLbl>
              <c:idx val="0"/>
              <c:layout>
                <c:manualLayout>
                  <c:x val="-5.7555371288187301E-2"/>
                  <c:y val="9.59150654056553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1669430677190567E-2"/>
                  <c:y val="2.1421932699505018E-3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'PTC-GRADO'!$C$34:$C$37</c:f>
              <c:strCache>
                <c:ptCount val="4"/>
                <c:pt idx="0">
                  <c:v>Licenciatura</c:v>
                </c:pt>
                <c:pt idx="1">
                  <c:v>Especialidad</c:v>
                </c:pt>
                <c:pt idx="2">
                  <c:v>Maestría</c:v>
                </c:pt>
                <c:pt idx="3">
                  <c:v>Doctorado</c:v>
                </c:pt>
              </c:strCache>
            </c:strRef>
          </c:cat>
          <c:val>
            <c:numRef>
              <c:f>'PTC-GRADO'!$BF$19:$BI$19</c:f>
              <c:numCache>
                <c:formatCode>_(* #,##0_);_(* \(#,##0\);_(* "-"??_);_(@_)</c:formatCode>
                <c:ptCount val="4"/>
                <c:pt idx="0">
                  <c:v>62</c:v>
                </c:pt>
                <c:pt idx="1">
                  <c:v>6</c:v>
                </c:pt>
                <c:pt idx="2">
                  <c:v>178</c:v>
                </c:pt>
                <c:pt idx="3">
                  <c:v>661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714755895895801"/>
          <c:y val="1.1721609016963107E-2"/>
        </c:manualLayout>
      </c:layout>
      <c:overlay val="0"/>
      <c:txPr>
        <a:bodyPr/>
        <a:lstStyle/>
        <a:p>
          <a:pPr>
            <a:defRPr sz="1200">
              <a:solidFill>
                <a:srgbClr val="AD25A8"/>
              </a:solidFill>
            </a:defRPr>
          </a:pPr>
          <a:endParaRPr lang="es-MX"/>
        </a:p>
      </c:txPr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4313626492684483E-2"/>
          <c:y val="0.16876948025278066"/>
          <c:w val="0.91628552624701221"/>
          <c:h val="0.64427085592665778"/>
        </c:manualLayout>
      </c:layout>
      <c:pie3DChart>
        <c:varyColors val="1"/>
        <c:ser>
          <c:idx val="0"/>
          <c:order val="0"/>
          <c:tx>
            <c:strRef>
              <c:f>'PTC-GRADO'!$A$21:$A$24</c:f>
              <c:strCache>
                <c:ptCount val="1"/>
                <c:pt idx="0">
                  <c:v>Lerma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dPt>
            <c:idx val="0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dPt>
          <c:dPt>
            <c:idx val="1"/>
            <c:bubble3D val="0"/>
            <c:spPr>
              <a:solidFill>
                <a:schemeClr val="bg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dPt>
          <c:dPt>
            <c:idx val="3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dPt>
          <c:dLbls>
            <c:dLbl>
              <c:idx val="0"/>
              <c:layout>
                <c:manualLayout>
                  <c:x val="-5.7555371288187301E-2"/>
                  <c:y val="9.59150654056553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1669430677190567E-2"/>
                  <c:y val="2.1421932699505018E-3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'PTC-GRADO'!$C$34:$C$37</c:f>
              <c:strCache>
                <c:ptCount val="4"/>
                <c:pt idx="0">
                  <c:v>Licenciatura</c:v>
                </c:pt>
                <c:pt idx="1">
                  <c:v>Especialidad</c:v>
                </c:pt>
                <c:pt idx="2">
                  <c:v>Maestría</c:v>
                </c:pt>
                <c:pt idx="3">
                  <c:v>Doctorado</c:v>
                </c:pt>
              </c:strCache>
            </c:strRef>
          </c:cat>
          <c:val>
            <c:numRef>
              <c:f>'PTC-GRADO'!$BF$24:$BI$24</c:f>
              <c:numCache>
                <c:formatCode>_(* #,##0_);_(* \(#,##0\);_(* "-"??_);_(@_)</c:formatCode>
                <c:ptCount val="4"/>
                <c:pt idx="2">
                  <c:v>7</c:v>
                </c:pt>
                <c:pt idx="3">
                  <c:v>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714755895895801"/>
          <c:y val="1.1721609016963107E-2"/>
        </c:manualLayout>
      </c:layout>
      <c:overlay val="0"/>
      <c:txPr>
        <a:bodyPr/>
        <a:lstStyle/>
        <a:p>
          <a:pPr>
            <a:defRPr sz="1200">
              <a:solidFill>
                <a:srgbClr val="0072CE"/>
              </a:solidFill>
            </a:defRPr>
          </a:pPr>
          <a:endParaRPr lang="es-MX"/>
        </a:p>
      </c:txPr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4313626492684483E-2"/>
          <c:y val="0.16876948025278066"/>
          <c:w val="0.91628552624701221"/>
          <c:h val="0.64427085592665778"/>
        </c:manualLayout>
      </c:layout>
      <c:pie3DChart>
        <c:varyColors val="1"/>
        <c:ser>
          <c:idx val="0"/>
          <c:order val="0"/>
          <c:tx>
            <c:strRef>
              <c:f>'PTC-GRADO'!$A$26:$A$29</c:f>
              <c:strCache>
                <c:ptCount val="1"/>
                <c:pt idx="0">
                  <c:v>Xochimilco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dPt>
            <c:idx val="0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dPt>
          <c:dPt>
            <c:idx val="1"/>
            <c:bubble3D val="0"/>
            <c:spPr>
              <a:solidFill>
                <a:schemeClr val="bg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dPt>
          <c:dPt>
            <c:idx val="3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dPt>
          <c:dLbls>
            <c:dLbl>
              <c:idx val="0"/>
              <c:layout>
                <c:manualLayout>
                  <c:x val="-5.7555371288187301E-2"/>
                  <c:y val="9.59150654056553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1669430677190567E-2"/>
                  <c:y val="2.1421932699505018E-3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'PTC-GRADO'!$C$34:$C$37</c:f>
              <c:strCache>
                <c:ptCount val="4"/>
                <c:pt idx="0">
                  <c:v>Licenciatura</c:v>
                </c:pt>
                <c:pt idx="1">
                  <c:v>Especialidad</c:v>
                </c:pt>
                <c:pt idx="2">
                  <c:v>Maestría</c:v>
                </c:pt>
                <c:pt idx="3">
                  <c:v>Doctorado</c:v>
                </c:pt>
              </c:strCache>
            </c:strRef>
          </c:cat>
          <c:val>
            <c:numRef>
              <c:f>'PTC-GRADO'!$BF$29:$BI$29</c:f>
              <c:numCache>
                <c:formatCode>_(* #,##0_);_(* \(#,##0\);_(* "-"??_);_(@_)</c:formatCode>
                <c:ptCount val="4"/>
                <c:pt idx="0">
                  <c:v>166</c:v>
                </c:pt>
                <c:pt idx="1">
                  <c:v>18</c:v>
                </c:pt>
                <c:pt idx="2">
                  <c:v>342</c:v>
                </c:pt>
                <c:pt idx="3">
                  <c:v>435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714755895895801"/>
          <c:y val="1.1721609016963107E-2"/>
        </c:manualLayout>
      </c:layout>
      <c:overlay val="0"/>
      <c:txPr>
        <a:bodyPr/>
        <a:lstStyle/>
        <a:p>
          <a:pPr>
            <a:defRPr sz="1200">
              <a:solidFill>
                <a:schemeClr val="tx1"/>
              </a:solidFill>
            </a:defRPr>
          </a:pPr>
          <a:endParaRPr lang="es-MX"/>
        </a:p>
      </c:txPr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4313626492684483E-2"/>
          <c:y val="0.16876948025278066"/>
          <c:w val="0.91628552624701221"/>
          <c:h val="0.64427085592665778"/>
        </c:manualLayout>
      </c:layout>
      <c:pie3DChart>
        <c:varyColors val="1"/>
        <c:ser>
          <c:idx val="0"/>
          <c:order val="0"/>
          <c:tx>
            <c:strRef>
              <c:f>'PTC-GRADO'!$A$31:$B$31</c:f>
              <c:strCache>
                <c:ptCount val="1"/>
                <c:pt idx="0">
                  <c:v>Total UAM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dPt>
            <c:idx val="0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dPt>
          <c:dPt>
            <c:idx val="1"/>
            <c:bubble3D val="0"/>
            <c:spPr>
              <a:solidFill>
                <a:schemeClr val="bg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dPt>
          <c:dPt>
            <c:idx val="3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dPt>
          <c:dLbls>
            <c:dLbl>
              <c:idx val="0"/>
              <c:layout>
                <c:manualLayout>
                  <c:x val="-5.7555371288187301E-2"/>
                  <c:y val="9.59150654056553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1669430677190567E-2"/>
                  <c:y val="2.1421932699505018E-3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'PTC-GRADO'!$C$34:$C$37</c:f>
              <c:strCache>
                <c:ptCount val="4"/>
                <c:pt idx="0">
                  <c:v>Licenciatura</c:v>
                </c:pt>
                <c:pt idx="1">
                  <c:v>Especialidad</c:v>
                </c:pt>
                <c:pt idx="2">
                  <c:v>Maestría</c:v>
                </c:pt>
                <c:pt idx="3">
                  <c:v>Doctorado</c:v>
                </c:pt>
              </c:strCache>
            </c:strRef>
          </c:cat>
          <c:val>
            <c:numRef>
              <c:f>'PTC-GRADO'!$BF$31:$BI$31</c:f>
              <c:numCache>
                <c:formatCode>_(* #,##0_);_(* \(#,##0\);_(* "-"??_);_(@_)</c:formatCode>
                <c:ptCount val="4"/>
                <c:pt idx="0">
                  <c:v>397</c:v>
                </c:pt>
                <c:pt idx="1">
                  <c:v>39</c:v>
                </c:pt>
                <c:pt idx="2">
                  <c:v>911</c:v>
                </c:pt>
                <c:pt idx="3">
                  <c:v>1728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s-MX" sz="1800"/>
              <a:t>PERSONAL ACADÉMICO DE TIEMPO COMPLETO REGISTRADO EN PROMEP</a:t>
            </a: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'PTC-GRADO (2)'!$BF$4</c:f>
              <c:strCache>
                <c:ptCount val="1"/>
                <c:pt idx="0">
                  <c:v>Licenciatura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1413881748071976E-3"/>
                  <c:y val="-8.42992344036459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6.85518423307627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0282776349614395E-2"/>
                  <c:y val="-1.030312073791565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5.1413881748071976E-3"/>
                  <c:y val="-1.030312073791565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0282776349614395E-2"/>
                  <c:y val="1.030312073791565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8.56898029134533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0282776349614333E-2"/>
                  <c:y val="-5.6199489602429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5.1413881748071976E-3"/>
                  <c:y val="-2.8099744801214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6.85518423307626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6.8551842330762643E-3"/>
                  <c:y val="-1.030312073791565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1.0282776349614395E-2"/>
                  <c:y val="-5.61994896024316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1.02827763496143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'PTC-GRADO (2)'!$BA$63:$BA$75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('PTC-GRADO (2)'!$C$52,'PTC-GRADO (2)'!$H$52,'PTC-GRADO (2)'!$M$52,'PTC-GRADO (2)'!$R$52,'PTC-GRADO (2)'!$W$52,'PTC-GRADO (2)'!$AB$52,'PTC-GRADO (2)'!$AG$52,'PTC-GRADO (2)'!$AL$52,'PTC-GRADO (2)'!$AQ$52,'PTC-GRADO (2)'!$AV$52,'PTC-GRADO (2)'!$BA$52,'PTC-GRADO (2)'!$BF$52,'PTC-GRADO (2)'!$BK$52)</c:f>
              <c:numCache>
                <c:formatCode>0.0%</c:formatCode>
                <c:ptCount val="13"/>
                <c:pt idx="0">
                  <c:v>0.29209621993127149</c:v>
                </c:pt>
                <c:pt idx="1">
                  <c:v>0.28778073848496383</c:v>
                </c:pt>
                <c:pt idx="2">
                  <c:v>0.22763915547024952</c:v>
                </c:pt>
                <c:pt idx="3">
                  <c:v>0.21457943925233644</c:v>
                </c:pt>
                <c:pt idx="4">
                  <c:v>0.19630049075122688</c:v>
                </c:pt>
                <c:pt idx="5">
                  <c:v>0.18286350148367952</c:v>
                </c:pt>
                <c:pt idx="6">
                  <c:v>0.17123795404002964</c:v>
                </c:pt>
                <c:pt idx="7">
                  <c:v>0.16521519336158569</c:v>
                </c:pt>
                <c:pt idx="8">
                  <c:v>0.15848689629766122</c:v>
                </c:pt>
                <c:pt idx="9">
                  <c:v>0.14517297726382114</c:v>
                </c:pt>
                <c:pt idx="10">
                  <c:v>0.1315177681833278</c:v>
                </c:pt>
                <c:pt idx="11">
                  <c:v>0.12910569105691058</c:v>
                </c:pt>
                <c:pt idx="12">
                  <c:v>0.12555768005098789</c:v>
                </c:pt>
              </c:numCache>
            </c:numRef>
          </c:val>
        </c:ser>
        <c:ser>
          <c:idx val="1"/>
          <c:order val="1"/>
          <c:tx>
            <c:strRef>
              <c:f>'PTC-GRADO (2)'!$C$53</c:f>
              <c:strCache>
                <c:ptCount val="1"/>
                <c:pt idx="0">
                  <c:v>Especialización + Maestría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14138817480719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5.14138817480721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02827763496143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85518423307626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6.85518423307626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1.199657240788346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8.568980291345267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8.56898029134533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8.56898029134533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1.02827763496143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1.199657240788346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1.02827763496143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'PTC-GRADO (2)'!$BA$63:$BA$75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('PTC-GRADO (2)'!$E$53,'PTC-GRADO (2)'!$J$53,'PTC-GRADO (2)'!$O$53,'PTC-GRADO (2)'!$T$53,'PTC-GRADO (2)'!$Y$53,'PTC-GRADO (2)'!$AD$53,'PTC-GRADO (2)'!$AI$53,'PTC-GRADO (2)'!$AN$53,'PTC-GRADO (2)'!$AS$53,'PTC-GRADO (2)'!$AX$53,'PTC-GRADO (2)'!$BC$53,'PTC-GRADO (2)'!$BH$53,'PTC-GRADO (2)'!$BM$53)</c:f>
              <c:numCache>
                <c:formatCode>0.0%</c:formatCode>
                <c:ptCount val="13"/>
                <c:pt idx="0">
                  <c:v>0.37380679648720883</c:v>
                </c:pt>
                <c:pt idx="1">
                  <c:v>0.35515797487628475</c:v>
                </c:pt>
                <c:pt idx="2">
                  <c:v>0.37581573896353165</c:v>
                </c:pt>
                <c:pt idx="3">
                  <c:v>0.37046728971962617</c:v>
                </c:pt>
                <c:pt idx="4">
                  <c:v>0.36504341260853151</c:v>
                </c:pt>
                <c:pt idx="5">
                  <c:v>0.35311572700296739</c:v>
                </c:pt>
                <c:pt idx="6">
                  <c:v>0.34321719792438843</c:v>
                </c:pt>
                <c:pt idx="7">
                  <c:v>0.33851407326210059</c:v>
                </c:pt>
                <c:pt idx="8">
                  <c:v>0.32309481043336646</c:v>
                </c:pt>
                <c:pt idx="9">
                  <c:v>0.31691346263055953</c:v>
                </c:pt>
                <c:pt idx="10">
                  <c:v>0.30986383261374956</c:v>
                </c:pt>
                <c:pt idx="11">
                  <c:v>0.30894308943089432</c:v>
                </c:pt>
                <c:pt idx="12">
                  <c:v>0.31134480560866795</c:v>
                </c:pt>
              </c:numCache>
            </c:numRef>
          </c:val>
        </c:ser>
        <c:ser>
          <c:idx val="2"/>
          <c:order val="2"/>
          <c:tx>
            <c:strRef>
              <c:f>'PTC-GRADO (2)'!$BI$4</c:f>
              <c:strCache>
                <c:ptCount val="1"/>
                <c:pt idx="0">
                  <c:v>Doctorado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1.02827763496143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199657240788346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56898029134533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02827763496143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3710368466152529E-2"/>
                  <c:y val="2.80997448012153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1.02827763496143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6.8551842330762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8.56898029134533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8.56898029134533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1.02827763496143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1.02827763496143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1.02827763496143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'PTC-GRADO (2)'!$BA$63:$BA$75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('PTC-GRADO (2)'!$F$52,'PTC-GRADO (2)'!$K$52,'PTC-GRADO (2)'!$P$52,'PTC-GRADO (2)'!$U$52,'PTC-GRADO (2)'!$Z$52,'PTC-GRADO (2)'!$AE$52,'PTC-GRADO (2)'!$AJ$52,'PTC-GRADO (2)'!$AO$52,'PTC-GRADO (2)'!$AT$52,'PTC-GRADO (2)'!$AY$52,'PTC-GRADO (2)'!$BD$52,'PTC-GRADO (2)'!$BI$52,'PTC-GRADO (2)'!$BN$52)</c:f>
              <c:numCache>
                <c:formatCode>0.0%</c:formatCode>
                <c:ptCount val="13"/>
                <c:pt idx="0">
                  <c:v>0.33409698358151968</c:v>
                </c:pt>
                <c:pt idx="1">
                  <c:v>0.35706128663875142</c:v>
                </c:pt>
                <c:pt idx="2">
                  <c:v>0.3965451055662188</c:v>
                </c:pt>
                <c:pt idx="3">
                  <c:v>0.41495327102803736</c:v>
                </c:pt>
                <c:pt idx="4">
                  <c:v>0.43865609664024158</c:v>
                </c:pt>
                <c:pt idx="5">
                  <c:v>0.46402077151335314</c:v>
                </c:pt>
                <c:pt idx="6">
                  <c:v>0.4855448480355819</c:v>
                </c:pt>
                <c:pt idx="7">
                  <c:v>0.49627073337631367</c:v>
                </c:pt>
                <c:pt idx="8">
                  <c:v>0.51881838455664753</c:v>
                </c:pt>
                <c:pt idx="9">
                  <c:v>0.53791356010561919</c:v>
                </c:pt>
                <c:pt idx="10">
                  <c:v>0.55861839920292267</c:v>
                </c:pt>
                <c:pt idx="11">
                  <c:v>0.56195121951219518</c:v>
                </c:pt>
                <c:pt idx="12">
                  <c:v>0.56309751434034416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18524928"/>
        <c:axId val="118235904"/>
        <c:axId val="0"/>
      </c:bar3DChart>
      <c:catAx>
        <c:axId val="11852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8235904"/>
        <c:crosses val="autoZero"/>
        <c:auto val="1"/>
        <c:lblAlgn val="ctr"/>
        <c:lblOffset val="100"/>
        <c:noMultiLvlLbl val="0"/>
      </c:catAx>
      <c:valAx>
        <c:axId val="1182359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11852492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2175967758128593"/>
          <c:y val="0.94019628827829727"/>
          <c:w val="0.7516533245844268"/>
          <c:h val="4.7229233315951254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0072CE"/>
                </a:solidFill>
              </a:defRPr>
            </a:pPr>
            <a:r>
              <a:rPr lang="es-MX" sz="1200" b="0">
                <a:solidFill>
                  <a:srgbClr val="0072CE"/>
                </a:solidFill>
              </a:rPr>
              <a:t>Xochimilco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'Admitidos uni'!$B$26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uni'!$Z$26,'Admitidos uni'!$AC$26,'Admitidos uni'!$AF$26,'Admitidos uni'!$AI$26,'Admitidos uni'!$AL$26)</c:f>
              <c:numCache>
                <c:formatCode>#,##0</c:formatCode>
                <c:ptCount val="5"/>
                <c:pt idx="0">
                  <c:v>1616</c:v>
                </c:pt>
                <c:pt idx="1">
                  <c:v>1611</c:v>
                </c:pt>
                <c:pt idx="2">
                  <c:v>1663</c:v>
                </c:pt>
                <c:pt idx="3">
                  <c:v>1547</c:v>
                </c:pt>
                <c:pt idx="4">
                  <c:v>1572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'Admitidos uni'!$B$27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3"/>
              <c:layout>
                <c:manualLayout>
                  <c:x val="-5.4768153980752403E-2"/>
                  <c:y val="-6.140837046531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uni'!$Z$27,'Admitidos uni'!$AC$27,'Admitidos uni'!$AF$27,'Admitidos uni'!$AI$27,'Admitidos uni'!$AL$27)</c:f>
              <c:numCache>
                <c:formatCode>#,##0</c:formatCode>
                <c:ptCount val="5"/>
                <c:pt idx="0">
                  <c:v>2150</c:v>
                </c:pt>
                <c:pt idx="1">
                  <c:v>2081</c:v>
                </c:pt>
                <c:pt idx="2">
                  <c:v>2067</c:v>
                </c:pt>
                <c:pt idx="3">
                  <c:v>2087</c:v>
                </c:pt>
                <c:pt idx="4">
                  <c:v>1944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'Admitidos uni'!$B$28</c:f>
              <c:strCache>
                <c:ptCount val="1"/>
                <c:pt idx="0">
                  <c:v>CAD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uni'!$Z$28,'Admitidos uni'!$AC$28,'Admitidos uni'!$AF$28,'Admitidos uni'!$AI$28,'Admitidos uni'!$AL$28)</c:f>
              <c:numCache>
                <c:formatCode>#,##0</c:formatCode>
                <c:ptCount val="5"/>
                <c:pt idx="0">
                  <c:v>744</c:v>
                </c:pt>
                <c:pt idx="1">
                  <c:v>776</c:v>
                </c:pt>
                <c:pt idx="2">
                  <c:v>771</c:v>
                </c:pt>
                <c:pt idx="3">
                  <c:v>718</c:v>
                </c:pt>
                <c:pt idx="4">
                  <c:v>696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38624"/>
        <c:axId val="94940160"/>
      </c:lineChart>
      <c:catAx>
        <c:axId val="9493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4940160"/>
        <c:crosses val="autoZero"/>
        <c:auto val="1"/>
        <c:lblAlgn val="ctr"/>
        <c:lblOffset val="100"/>
        <c:noMultiLvlLbl val="0"/>
      </c:catAx>
      <c:valAx>
        <c:axId val="9494016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9493862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PERSONAL ACADÉMICO CON PERFIL DESEABLE VIGENTE PROMEP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'PROMEP PERFIL'!$D$69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ln w="3175">
              <a:noFill/>
            </a:ln>
            <a:effectLst/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'PROMEP PERFIL'!$C$3:$O$3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('PROMEP PERFIL'!$C$8:$M$8,'PROMEP PERFIL'!$N$8,'PROMEP PERFIL'!$O$8)</c:f>
              <c:numCache>
                <c:formatCode>#,##0</c:formatCode>
                <c:ptCount val="12"/>
                <c:pt idx="0">
                  <c:v>250</c:v>
                </c:pt>
                <c:pt idx="1">
                  <c:v>276</c:v>
                </c:pt>
                <c:pt idx="2">
                  <c:v>374</c:v>
                </c:pt>
                <c:pt idx="3">
                  <c:v>376</c:v>
                </c:pt>
                <c:pt idx="4">
                  <c:v>388</c:v>
                </c:pt>
                <c:pt idx="5">
                  <c:v>432</c:v>
                </c:pt>
                <c:pt idx="6">
                  <c:v>447</c:v>
                </c:pt>
                <c:pt idx="7">
                  <c:v>426</c:v>
                </c:pt>
                <c:pt idx="8">
                  <c:v>473</c:v>
                </c:pt>
                <c:pt idx="9">
                  <c:v>503</c:v>
                </c:pt>
                <c:pt idx="10">
                  <c:v>515</c:v>
                </c:pt>
                <c:pt idx="11">
                  <c:v>468</c:v>
                </c:pt>
              </c:numCache>
            </c:numRef>
          </c:val>
        </c:ser>
        <c:ser>
          <c:idx val="1"/>
          <c:order val="1"/>
          <c:tx>
            <c:strRef>
              <c:f>'PROMEP PERFIL'!$D$70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'PROMEP PERFIL'!$C$3:$O$3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('PROMEP PERFIL'!$C$13:$M$13,'PROMEP PERFIL'!$N$13,'PROMEP PERFIL'!$O$13)</c:f>
              <c:numCache>
                <c:formatCode>#,##0</c:formatCode>
                <c:ptCount val="12"/>
                <c:pt idx="1">
                  <c:v>11</c:v>
                </c:pt>
                <c:pt idx="2">
                  <c:v>24</c:v>
                </c:pt>
                <c:pt idx="3">
                  <c:v>47</c:v>
                </c:pt>
                <c:pt idx="4">
                  <c:v>61</c:v>
                </c:pt>
                <c:pt idx="5">
                  <c:v>70</c:v>
                </c:pt>
                <c:pt idx="6">
                  <c:v>93</c:v>
                </c:pt>
                <c:pt idx="7">
                  <c:v>110</c:v>
                </c:pt>
                <c:pt idx="8">
                  <c:v>123</c:v>
                </c:pt>
                <c:pt idx="9">
                  <c:v>124</c:v>
                </c:pt>
                <c:pt idx="10">
                  <c:v>115</c:v>
                </c:pt>
                <c:pt idx="11">
                  <c:v>114</c:v>
                </c:pt>
              </c:numCache>
            </c:numRef>
          </c:val>
        </c:ser>
        <c:ser>
          <c:idx val="2"/>
          <c:order val="2"/>
          <c:tx>
            <c:strRef>
              <c:f>'PROMEP PERFIL'!$D$71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3175"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'PROMEP PERFIL'!$C$3:$O$3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('PROMEP PERFIL'!$C$18:$M$18,'PROMEP PERFIL'!$N$18,'PROMEP PERFIL'!$O$18)</c:f>
              <c:numCache>
                <c:formatCode>#,##0</c:formatCode>
                <c:ptCount val="12"/>
                <c:pt idx="0">
                  <c:v>470</c:v>
                </c:pt>
                <c:pt idx="1">
                  <c:v>492</c:v>
                </c:pt>
                <c:pt idx="2">
                  <c:v>504</c:v>
                </c:pt>
                <c:pt idx="3">
                  <c:v>467</c:v>
                </c:pt>
                <c:pt idx="4">
                  <c:v>497</c:v>
                </c:pt>
                <c:pt idx="5">
                  <c:v>525</c:v>
                </c:pt>
                <c:pt idx="6">
                  <c:v>476</c:v>
                </c:pt>
                <c:pt idx="7">
                  <c:v>458</c:v>
                </c:pt>
                <c:pt idx="8">
                  <c:v>411</c:v>
                </c:pt>
                <c:pt idx="9">
                  <c:v>430</c:v>
                </c:pt>
                <c:pt idx="10">
                  <c:v>416</c:v>
                </c:pt>
                <c:pt idx="11">
                  <c:v>331</c:v>
                </c:pt>
              </c:numCache>
            </c:numRef>
          </c:val>
        </c:ser>
        <c:ser>
          <c:idx val="4"/>
          <c:order val="3"/>
          <c:tx>
            <c:strRef>
              <c:f>'PROMEP PERFIL'!$D$72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</c:spPr>
          <c:invertIfNegative val="0"/>
          <c:dLbls>
            <c:dLbl>
              <c:idx val="9"/>
              <c:layout>
                <c:manualLayout>
                  <c:x val="4.0422883196837671E-2"/>
                  <c:y val="-1.0309275560982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3.5572137213217031E-2"/>
                  <c:y val="-2.0618551121965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3.6737759293188656E-2"/>
                  <c:y val="-1.1251977086287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AD25A8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'PROMEP PERFIL'!$C$3:$O$3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('PROMEP PERFIL'!$C$23:$M$23,'PROMEP PERFIL'!$N$23,'PROMEP PERFIL'!$O$23)</c:f>
              <c:numCache>
                <c:formatCode>#,##0</c:formatCode>
                <c:ptCount val="12"/>
                <c:pt idx="9">
                  <c:v>6</c:v>
                </c:pt>
                <c:pt idx="10">
                  <c:v>3</c:v>
                </c:pt>
                <c:pt idx="11">
                  <c:v>5</c:v>
                </c:pt>
              </c:numCache>
            </c:numRef>
          </c:val>
        </c:ser>
        <c:ser>
          <c:idx val="3"/>
          <c:order val="4"/>
          <c:tx>
            <c:strRef>
              <c:f>'PROMEP PERFIL'!$D$73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3175"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'PROMEP PERFIL'!$C$3:$O$3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('PROMEP PERFIL'!$C$28:$M$28,'PROMEP PERFIL'!$N$28,'PROMEP PERFIL'!$O$28)</c:f>
              <c:numCache>
                <c:formatCode>#,##0</c:formatCode>
                <c:ptCount val="12"/>
                <c:pt idx="0">
                  <c:v>264</c:v>
                </c:pt>
                <c:pt idx="1">
                  <c:v>287</c:v>
                </c:pt>
                <c:pt idx="2">
                  <c:v>331</c:v>
                </c:pt>
                <c:pt idx="3">
                  <c:v>300</c:v>
                </c:pt>
                <c:pt idx="4">
                  <c:v>329</c:v>
                </c:pt>
                <c:pt idx="5">
                  <c:v>369</c:v>
                </c:pt>
                <c:pt idx="6">
                  <c:v>400</c:v>
                </c:pt>
                <c:pt idx="7">
                  <c:v>380</c:v>
                </c:pt>
                <c:pt idx="8">
                  <c:v>387</c:v>
                </c:pt>
                <c:pt idx="9">
                  <c:v>397</c:v>
                </c:pt>
                <c:pt idx="10">
                  <c:v>393</c:v>
                </c:pt>
                <c:pt idx="11">
                  <c:v>371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gapDepth val="95"/>
        <c:shape val="cylinder"/>
        <c:axId val="117390336"/>
        <c:axId val="118285056"/>
        <c:axId val="0"/>
      </c:bar3DChart>
      <c:catAx>
        <c:axId val="11739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118285056"/>
        <c:crosses val="autoZero"/>
        <c:auto val="1"/>
        <c:lblAlgn val="ctr"/>
        <c:lblOffset val="100"/>
        <c:noMultiLvlLbl val="0"/>
      </c:catAx>
      <c:valAx>
        <c:axId val="11828505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117390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7240124148541303E-2"/>
          <c:y val="0.91724086986474285"/>
          <c:w val="0.83055389407956914"/>
          <c:h val="6.6308123952668246E-2"/>
        </c:manualLayout>
      </c:layout>
      <c:overlay val="0"/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'PROMEP PERFIL'!$D$69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ln w="3175"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'PROMEP PERFIL'!$J$3:$N$3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'PROMEP PERFIL'!$J$8:$N$8</c:f>
              <c:numCache>
                <c:formatCode>#,##0</c:formatCode>
                <c:ptCount val="5"/>
                <c:pt idx="0">
                  <c:v>447</c:v>
                </c:pt>
                <c:pt idx="1">
                  <c:v>426</c:v>
                </c:pt>
                <c:pt idx="2">
                  <c:v>473</c:v>
                </c:pt>
                <c:pt idx="3">
                  <c:v>503</c:v>
                </c:pt>
                <c:pt idx="4">
                  <c:v>515</c:v>
                </c:pt>
              </c:numCache>
            </c:numRef>
          </c:val>
        </c:ser>
        <c:ser>
          <c:idx val="1"/>
          <c:order val="1"/>
          <c:tx>
            <c:strRef>
              <c:f>'PROMEP PERFIL'!$D$70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'PROMEP PERFIL'!$J$3:$N$3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'PROMEP PERFIL'!$J$13:$N$13</c:f>
              <c:numCache>
                <c:formatCode>#,##0</c:formatCode>
                <c:ptCount val="5"/>
                <c:pt idx="0">
                  <c:v>93</c:v>
                </c:pt>
                <c:pt idx="1">
                  <c:v>110</c:v>
                </c:pt>
                <c:pt idx="2">
                  <c:v>123</c:v>
                </c:pt>
                <c:pt idx="3">
                  <c:v>124</c:v>
                </c:pt>
                <c:pt idx="4">
                  <c:v>115</c:v>
                </c:pt>
              </c:numCache>
            </c:numRef>
          </c:val>
        </c:ser>
        <c:ser>
          <c:idx val="2"/>
          <c:order val="2"/>
          <c:tx>
            <c:strRef>
              <c:f>'PROMEP PERFIL'!$D$71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3175"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'PROMEP PERFIL'!$J$3:$N$3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'PROMEP PERFIL'!$J$18:$N$18</c:f>
              <c:numCache>
                <c:formatCode>#,##0</c:formatCode>
                <c:ptCount val="5"/>
                <c:pt idx="0">
                  <c:v>476</c:v>
                </c:pt>
                <c:pt idx="1">
                  <c:v>458</c:v>
                </c:pt>
                <c:pt idx="2">
                  <c:v>411</c:v>
                </c:pt>
                <c:pt idx="3">
                  <c:v>430</c:v>
                </c:pt>
                <c:pt idx="4">
                  <c:v>416</c:v>
                </c:pt>
              </c:numCache>
            </c:numRef>
          </c:val>
        </c:ser>
        <c:ser>
          <c:idx val="4"/>
          <c:order val="3"/>
          <c:tx>
            <c:strRef>
              <c:f>'PROMEP PERFIL'!$D$72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</c:spPr>
          <c:invertIfNegative val="0"/>
          <c:dLbls>
            <c:dLbl>
              <c:idx val="3"/>
              <c:layout>
                <c:manualLayout>
                  <c:x val="6.9636456733230934E-2"/>
                  <c:y val="-2.749140149595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7.3732718894009217E-2"/>
                  <c:y val="-2.4054976308960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AD25A8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'PROMEP PERFIL'!$J$3:$N$3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'PROMEP PERFIL'!$J$23:$N$23</c:f>
              <c:numCache>
                <c:formatCode>#,##0</c:formatCode>
                <c:ptCount val="5"/>
                <c:pt idx="3">
                  <c:v>6</c:v>
                </c:pt>
                <c:pt idx="4">
                  <c:v>3</c:v>
                </c:pt>
              </c:numCache>
            </c:numRef>
          </c:val>
        </c:ser>
        <c:ser>
          <c:idx val="3"/>
          <c:order val="4"/>
          <c:tx>
            <c:strRef>
              <c:f>'PROMEP PERFIL'!$D$73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3175"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'PROMEP PERFIL'!$J$3:$N$3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'PROMEP PERFIL'!$J$28:$N$28</c:f>
              <c:numCache>
                <c:formatCode>#,##0</c:formatCode>
                <c:ptCount val="5"/>
                <c:pt idx="0">
                  <c:v>400</c:v>
                </c:pt>
                <c:pt idx="1">
                  <c:v>380</c:v>
                </c:pt>
                <c:pt idx="2">
                  <c:v>387</c:v>
                </c:pt>
                <c:pt idx="3">
                  <c:v>397</c:v>
                </c:pt>
                <c:pt idx="4">
                  <c:v>393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gapDepth val="95"/>
        <c:shape val="cylinder"/>
        <c:axId val="115972352"/>
        <c:axId val="115994624"/>
        <c:axId val="0"/>
      </c:bar3DChart>
      <c:catAx>
        <c:axId val="11597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115994624"/>
        <c:crosses val="autoZero"/>
        <c:auto val="1"/>
        <c:lblAlgn val="ctr"/>
        <c:lblOffset val="100"/>
        <c:noMultiLvlLbl val="0"/>
      </c:catAx>
      <c:valAx>
        <c:axId val="11599462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1159723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0530135345984981E-2"/>
          <c:y val="0.91724086986474296"/>
          <c:w val="0.82266394120089825"/>
          <c:h val="6.6308123952668246E-2"/>
        </c:manualLayout>
      </c:layout>
      <c:overlay val="0"/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rgbClr val="CD032E"/>
                </a:solidFill>
              </a:defRPr>
            </a:pPr>
            <a:r>
              <a:rPr lang="en-US" sz="1400">
                <a:solidFill>
                  <a:srgbClr val="CD032E"/>
                </a:solidFill>
              </a:rPr>
              <a:t>Azcapotzalco</a:t>
            </a:r>
          </a:p>
        </c:rich>
      </c:tx>
      <c:layout>
        <c:manualLayout>
          <c:xMode val="edge"/>
          <c:yMode val="edge"/>
          <c:x val="0.38690266841644799"/>
          <c:y val="0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'PROMEP PERFIL'!$B$5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diamond"/>
            <c:size val="4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'PROMEP PERFIL'!$J$3:$N$3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'PROMEP PERFIL'!$J$5:$N$5</c:f>
              <c:numCache>
                <c:formatCode>#,##0</c:formatCode>
                <c:ptCount val="5"/>
                <c:pt idx="0">
                  <c:v>182</c:v>
                </c:pt>
                <c:pt idx="1">
                  <c:v>167</c:v>
                </c:pt>
                <c:pt idx="2">
                  <c:v>198</c:v>
                </c:pt>
                <c:pt idx="3">
                  <c:v>214</c:v>
                </c:pt>
                <c:pt idx="4">
                  <c:v>213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'PROMEP PERFIL'!$B$6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CC9900"/>
              </a:solidFill>
            </a:ln>
          </c:spPr>
          <c:marker>
            <c:symbol val="square"/>
            <c:size val="4"/>
            <c:spPr>
              <a:noFill/>
              <a:ln>
                <a:solidFill>
                  <a:srgbClr val="CC99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'PROMEP PERFIL'!$J$3:$N$3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'PROMEP PERFIL'!$J$6:$N$6</c:f>
              <c:numCache>
                <c:formatCode>#,##0</c:formatCode>
                <c:ptCount val="5"/>
                <c:pt idx="0">
                  <c:v>175</c:v>
                </c:pt>
                <c:pt idx="1">
                  <c:v>167</c:v>
                </c:pt>
                <c:pt idx="2">
                  <c:v>172</c:v>
                </c:pt>
                <c:pt idx="3">
                  <c:v>182</c:v>
                </c:pt>
                <c:pt idx="4">
                  <c:v>194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'PROMEP PERFIL'!$B$7</c:f>
              <c:strCache>
                <c:ptCount val="1"/>
                <c:pt idx="0">
                  <c:v>CAD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triangle"/>
            <c:size val="4"/>
            <c:spPr>
              <a:solidFill>
                <a:schemeClr val="accent1"/>
              </a:solidFill>
              <a:ln>
                <a:solidFill>
                  <a:schemeClr val="accent3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'PROMEP PERFIL'!$J$3:$N$3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'PROMEP PERFIL'!$J$7:$N$7</c:f>
              <c:numCache>
                <c:formatCode>#,##0</c:formatCode>
                <c:ptCount val="5"/>
                <c:pt idx="0">
                  <c:v>90</c:v>
                </c:pt>
                <c:pt idx="1">
                  <c:v>92</c:v>
                </c:pt>
                <c:pt idx="2">
                  <c:v>103</c:v>
                </c:pt>
                <c:pt idx="3">
                  <c:v>107</c:v>
                </c:pt>
                <c:pt idx="4">
                  <c:v>108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029696"/>
        <c:axId val="116060160"/>
      </c:lineChart>
      <c:catAx>
        <c:axId val="11602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6060160"/>
        <c:crosses val="autoZero"/>
        <c:auto val="1"/>
        <c:lblAlgn val="ctr"/>
        <c:lblOffset val="100"/>
        <c:noMultiLvlLbl val="0"/>
      </c:catAx>
      <c:valAx>
        <c:axId val="11606016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6029696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8.8260936132983359E-2"/>
          <c:y val="0.88850503062117236"/>
          <c:w val="0.81236679790026245"/>
          <c:h val="8.371719160104987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rgbClr val="F08200"/>
                </a:solidFill>
              </a:defRPr>
            </a:pPr>
            <a:r>
              <a:rPr lang="en-US" sz="1400">
                <a:solidFill>
                  <a:srgbClr val="F08200"/>
                </a:solidFill>
              </a:rPr>
              <a:t>Cuajimalpa</a:t>
            </a:r>
          </a:p>
        </c:rich>
      </c:tx>
      <c:layout>
        <c:manualLayout>
          <c:xMode val="edge"/>
          <c:yMode val="edge"/>
          <c:x val="0.40136811023622054"/>
          <c:y val="4.6296296296296294E-3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'PROMEP PERFIL'!$B$10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CC9900"/>
              </a:solidFill>
            </a:ln>
          </c:spPr>
          <c:marker>
            <c:symbol val="diamond"/>
            <c:size val="4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3"/>
              <c:layout>
                <c:manualLayout>
                  <c:x val="-3.6305555555555556E-2"/>
                  <c:y val="4.8136482939632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3527777777777774E-2"/>
                  <c:y val="4.8136482939632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'PROMEP PERFIL'!$J$3:$N$3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'PROMEP PERFIL'!$J$10:$N$10</c:f>
              <c:numCache>
                <c:formatCode>#,##0</c:formatCode>
                <c:ptCount val="5"/>
                <c:pt idx="0">
                  <c:v>39</c:v>
                </c:pt>
                <c:pt idx="1">
                  <c:v>43</c:v>
                </c:pt>
                <c:pt idx="2">
                  <c:v>45</c:v>
                </c:pt>
                <c:pt idx="3">
                  <c:v>45</c:v>
                </c:pt>
                <c:pt idx="4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'PROMEP PERFIL'!$B$11</c:f>
              <c:strCache>
                <c:ptCount val="1"/>
                <c:pt idx="0">
                  <c:v>CCD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square"/>
            <c:size val="4"/>
            <c:spPr>
              <a:noFill/>
              <a:ln>
                <a:solidFill>
                  <a:srgbClr val="C000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'PROMEP PERFIL'!$J$3:$N$3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'PROMEP PERFIL'!$J$11:$N$11</c:f>
              <c:numCache>
                <c:formatCode>#,##0</c:formatCode>
                <c:ptCount val="5"/>
                <c:pt idx="0">
                  <c:v>24</c:v>
                </c:pt>
                <c:pt idx="1">
                  <c:v>28</c:v>
                </c:pt>
                <c:pt idx="2">
                  <c:v>34</c:v>
                </c:pt>
                <c:pt idx="3">
                  <c:v>32</c:v>
                </c:pt>
                <c:pt idx="4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'PROMEP PERFIL'!$B$12</c:f>
              <c:strCache>
                <c:ptCount val="1"/>
                <c:pt idx="0">
                  <c:v>CNI</c:v>
                </c:pt>
              </c:strCache>
            </c:strRef>
          </c:tx>
          <c:spPr>
            <a:ln w="12700">
              <a:solidFill>
                <a:schemeClr val="bg1">
                  <a:lumMod val="65000"/>
                </a:schemeClr>
              </a:solidFill>
            </a:ln>
          </c:spPr>
          <c:marker>
            <c:symbol val="triangle"/>
            <c:size val="4"/>
            <c:spPr>
              <a:solidFill>
                <a:schemeClr val="accent1"/>
              </a:solidFill>
              <a:ln>
                <a:solidFill>
                  <a:schemeClr val="bg1">
                    <a:lumMod val="6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3.630555555555557E-2"/>
                  <c:y val="3.51968503937007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6305555555555556E-2"/>
                  <c:y val="-4.35068533100029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6305555555555556E-2"/>
                  <c:y val="-3.8877223680373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6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'PROMEP PERFIL'!$J$3:$N$3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'PROMEP PERFIL'!$J$12:$N$12</c:f>
              <c:numCache>
                <c:formatCode>#,##0</c:formatCode>
                <c:ptCount val="5"/>
                <c:pt idx="0">
                  <c:v>30</c:v>
                </c:pt>
                <c:pt idx="1">
                  <c:v>39</c:v>
                </c:pt>
                <c:pt idx="2">
                  <c:v>44</c:v>
                </c:pt>
                <c:pt idx="3">
                  <c:v>47</c:v>
                </c:pt>
                <c:pt idx="4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311552"/>
        <c:axId val="118321536"/>
      </c:lineChart>
      <c:catAx>
        <c:axId val="11831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8321536"/>
        <c:crosses val="autoZero"/>
        <c:auto val="1"/>
        <c:lblAlgn val="ctr"/>
        <c:lblOffset val="100"/>
        <c:noMultiLvlLbl val="0"/>
      </c:catAx>
      <c:valAx>
        <c:axId val="11832153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831155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8.8260936132983359E-2"/>
          <c:y val="0.88850503062117236"/>
          <c:w val="0.81236679790026245"/>
          <c:h val="8.371719160104987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rgbClr val="57A519"/>
                </a:solidFill>
              </a:defRPr>
            </a:pPr>
            <a:r>
              <a:rPr lang="en-US" sz="1400">
                <a:solidFill>
                  <a:srgbClr val="57A519"/>
                </a:solidFill>
              </a:rPr>
              <a:t>Iztapalapa</a:t>
            </a:r>
          </a:p>
        </c:rich>
      </c:tx>
      <c:layout>
        <c:manualLayout>
          <c:xMode val="edge"/>
          <c:yMode val="edge"/>
          <c:x val="0.39704855643044618"/>
          <c:y val="0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'PROMEP PERFIL'!$B$15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diamond"/>
            <c:size val="4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8.5013998250218728E-2"/>
                  <c:y val="1.5729075532225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'PROMEP PERFIL'!$J$3:$N$3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'PROMEP PERFIL'!$J$15:$N$15</c:f>
              <c:numCache>
                <c:formatCode>#,##0</c:formatCode>
                <c:ptCount val="5"/>
                <c:pt idx="0">
                  <c:v>159</c:v>
                </c:pt>
                <c:pt idx="1">
                  <c:v>159</c:v>
                </c:pt>
                <c:pt idx="2">
                  <c:v>163</c:v>
                </c:pt>
                <c:pt idx="3">
                  <c:v>172</c:v>
                </c:pt>
                <c:pt idx="4">
                  <c:v>156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'PROMEP PERFIL'!$B$16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CC9900"/>
              </a:solidFill>
            </a:ln>
          </c:spPr>
          <c:marker>
            <c:symbol val="square"/>
            <c:size val="4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0"/>
              <c:layout>
                <c:manualLayout>
                  <c:x val="-4.3347331583552057E-2"/>
                  <c:y val="-4.8136482939632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347331583552057E-2"/>
                  <c:y val="7.2233887430737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'PROMEP PERFIL'!$J$3:$N$3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'PROMEP PERFIL'!$J$16:$N$16</c:f>
              <c:numCache>
                <c:formatCode>#,##0</c:formatCode>
                <c:ptCount val="5"/>
                <c:pt idx="0">
                  <c:v>173</c:v>
                </c:pt>
                <c:pt idx="1">
                  <c:v>156</c:v>
                </c:pt>
                <c:pt idx="2">
                  <c:v>116</c:v>
                </c:pt>
                <c:pt idx="3">
                  <c:v>123</c:v>
                </c:pt>
                <c:pt idx="4">
                  <c:v>121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'PROMEP PERFIL'!$B$17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chemeClr val="accent5">
                  <a:lumMod val="75000"/>
                </a:schemeClr>
              </a:solidFill>
            </a:ln>
          </c:spPr>
          <c:marker>
            <c:symbol val="triangle"/>
            <c:size val="4"/>
            <c:spPr>
              <a:solidFill>
                <a:schemeClr val="accent1"/>
              </a:solidFill>
              <a:ln>
                <a:solidFill>
                  <a:schemeClr val="accent5">
                    <a:lumMod val="75000"/>
                  </a:schemeClr>
                </a:solidFill>
              </a:ln>
            </c:spPr>
          </c:marker>
          <c:dLbls>
            <c:dLbl>
              <c:idx val="1"/>
              <c:layout>
                <c:manualLayout>
                  <c:x val="-4.3347331583552057E-2"/>
                  <c:y val="8.61227763196267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6125109361329832E-2"/>
                  <c:y val="-3.4247594050743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347331583552057E-2"/>
                  <c:y val="-3.42475940507436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5569553805774279E-2"/>
                  <c:y val="2.789442986293337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5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'PROMEP PERFIL'!$J$3:$N$3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'PROMEP PERFIL'!$J$17:$N$17</c:f>
              <c:numCache>
                <c:formatCode>#,##0</c:formatCode>
                <c:ptCount val="5"/>
                <c:pt idx="0">
                  <c:v>144</c:v>
                </c:pt>
                <c:pt idx="1">
                  <c:v>143</c:v>
                </c:pt>
                <c:pt idx="2">
                  <c:v>132</c:v>
                </c:pt>
                <c:pt idx="3">
                  <c:v>135</c:v>
                </c:pt>
                <c:pt idx="4">
                  <c:v>139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365184"/>
        <c:axId val="118395648"/>
      </c:lineChart>
      <c:catAx>
        <c:axId val="11836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8395648"/>
        <c:crosses val="autoZero"/>
        <c:auto val="1"/>
        <c:lblAlgn val="ctr"/>
        <c:lblOffset val="100"/>
        <c:noMultiLvlLbl val="0"/>
      </c:catAx>
      <c:valAx>
        <c:axId val="11839564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8365184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8.8260936132983359E-2"/>
          <c:y val="0.88850503062117236"/>
          <c:w val="0.81236679790026245"/>
          <c:h val="8.371719160104987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rgbClr val="AD25A8"/>
                </a:solidFill>
              </a:defRPr>
            </a:pPr>
            <a:r>
              <a:rPr lang="en-US" sz="1400">
                <a:solidFill>
                  <a:srgbClr val="AD25A8"/>
                </a:solidFill>
              </a:rPr>
              <a:t>Lerma</a:t>
            </a:r>
          </a:p>
        </c:rich>
      </c:tx>
      <c:layout>
        <c:manualLayout>
          <c:xMode val="edge"/>
          <c:yMode val="edge"/>
          <c:x val="0.4442707786526684"/>
          <c:y val="0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'PROMEP PERFIL'!$B$20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diamond"/>
            <c:size val="4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'PROMEP PERFIL'!$J$3:$N$3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'PROMEP PERFIL'!$J$20:$N$20</c:f>
              <c:numCache>
                <c:formatCode>#,##0</c:formatCode>
                <c:ptCount val="5"/>
                <c:pt idx="3">
                  <c:v>3</c:v>
                </c:pt>
                <c:pt idx="4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'PROMEP PERFIL'!$B$21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CC9900"/>
              </a:solidFill>
            </a:ln>
          </c:spPr>
          <c:marker>
            <c:symbol val="square"/>
            <c:size val="4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0"/>
              <c:layout>
                <c:manualLayout>
                  <c:x val="-4.3347331583552057E-2"/>
                  <c:y val="-4.8136482939632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347331583552057E-2"/>
                  <c:y val="7.2233887430737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'PROMEP PERFIL'!$J$3:$N$3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'PROMEP PERFIL'!$J$21:$N$21</c:f>
              <c:numCache>
                <c:formatCode>#,##0</c:formatCode>
                <c:ptCount val="5"/>
              </c:numCache>
            </c:numRef>
          </c:val>
          <c:smooth val="0"/>
        </c:ser>
        <c:ser>
          <c:idx val="2"/>
          <c:order val="2"/>
          <c:tx>
            <c:strRef>
              <c:f>'PROMEP PERFIL'!$B$22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chemeClr val="accent5">
                  <a:lumMod val="75000"/>
                </a:schemeClr>
              </a:solidFill>
            </a:ln>
          </c:spPr>
          <c:marker>
            <c:symbol val="triangle"/>
            <c:size val="4"/>
            <c:spPr>
              <a:solidFill>
                <a:schemeClr val="accent1"/>
              </a:solidFill>
              <a:ln>
                <a:solidFill>
                  <a:schemeClr val="accent5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5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'PROMEP PERFIL'!$J$3:$N$3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'PROMEP PERFIL'!$J$22:$N$22</c:f>
              <c:numCache>
                <c:formatCode>#,##0</c:formatCode>
                <c:ptCount val="5"/>
                <c:pt idx="3">
                  <c:v>3</c:v>
                </c:pt>
                <c:pt idx="4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587392"/>
        <c:axId val="118588928"/>
      </c:lineChart>
      <c:catAx>
        <c:axId val="11858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8588928"/>
        <c:crosses val="autoZero"/>
        <c:auto val="1"/>
        <c:lblAlgn val="ctr"/>
        <c:lblOffset val="100"/>
        <c:noMultiLvlLbl val="0"/>
      </c:catAx>
      <c:valAx>
        <c:axId val="1185889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858739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8.8260936132983359E-2"/>
          <c:y val="0.88850503062117236"/>
          <c:w val="0.81236679790026245"/>
          <c:h val="8.371719160104987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rgbClr val="0072CE"/>
                </a:solidFill>
              </a:defRPr>
            </a:pPr>
            <a:r>
              <a:rPr lang="en-US" sz="1400">
                <a:solidFill>
                  <a:srgbClr val="0072CE"/>
                </a:solidFill>
              </a:rPr>
              <a:t>Xochimilco</a:t>
            </a:r>
          </a:p>
        </c:rich>
      </c:tx>
      <c:layout>
        <c:manualLayout>
          <c:xMode val="edge"/>
          <c:yMode val="edge"/>
          <c:x val="0.41093744531933507"/>
          <c:y val="0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'PROMEP PERFIL'!$B$25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CC9900"/>
              </a:solidFill>
            </a:ln>
          </c:spPr>
          <c:marker>
            <c:symbol val="diamond"/>
            <c:size val="4"/>
            <c:spPr>
              <a:noFill/>
              <a:ln>
                <a:solidFill>
                  <a:srgbClr val="CC99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'PROMEP PERFIL'!$J$3:$N$3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'PROMEP PERFIL'!$J$25:$N$25</c:f>
              <c:numCache>
                <c:formatCode>#,##0</c:formatCode>
                <c:ptCount val="5"/>
                <c:pt idx="0">
                  <c:v>155</c:v>
                </c:pt>
                <c:pt idx="1">
                  <c:v>154</c:v>
                </c:pt>
                <c:pt idx="2">
                  <c:v>166</c:v>
                </c:pt>
                <c:pt idx="3">
                  <c:v>165</c:v>
                </c:pt>
                <c:pt idx="4">
                  <c:v>159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'PROMEP PERFIL'!$B$26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4BACC6">
                  <a:lumMod val="75000"/>
                </a:srgbClr>
              </a:solidFill>
            </a:ln>
          </c:spPr>
          <c:marker>
            <c:symbol val="square"/>
            <c:size val="4"/>
            <c:spPr>
              <a:noFill/>
              <a:ln>
                <a:solidFill>
                  <a:srgbClr val="4BACC6">
                    <a:lumMod val="75000"/>
                  </a:srgb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5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'PROMEP PERFIL'!$J$3:$N$3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'PROMEP PERFIL'!$J$26:$N$26</c:f>
              <c:numCache>
                <c:formatCode>#,##0</c:formatCode>
                <c:ptCount val="5"/>
                <c:pt idx="0">
                  <c:v>199</c:v>
                </c:pt>
                <c:pt idx="1">
                  <c:v>185</c:v>
                </c:pt>
                <c:pt idx="2">
                  <c:v>191</c:v>
                </c:pt>
                <c:pt idx="3">
                  <c:v>195</c:v>
                </c:pt>
                <c:pt idx="4">
                  <c:v>191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'PROMEP PERFIL'!$B$27</c:f>
              <c:strCache>
                <c:ptCount val="1"/>
                <c:pt idx="0">
                  <c:v>CAD</c:v>
                </c:pt>
              </c:strCache>
            </c:strRef>
          </c:tx>
          <c:spPr>
            <a:ln w="12700">
              <a:solidFill>
                <a:srgbClr val="9BBB59">
                  <a:lumMod val="50000"/>
                </a:srgbClr>
              </a:solidFill>
            </a:ln>
          </c:spPr>
          <c:marker>
            <c:symbol val="triangle"/>
            <c:size val="4"/>
            <c:spPr>
              <a:solidFill>
                <a:srgbClr val="9BBB59">
                  <a:lumMod val="50000"/>
                </a:srgbClr>
              </a:solidFill>
              <a:ln>
                <a:solidFill>
                  <a:srgbClr val="9BBB59">
                    <a:lumMod val="50000"/>
                  </a:srgb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'PROMEP PERFIL'!$J$3:$N$3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'PROMEP PERFIL'!$J$27:$N$27</c:f>
              <c:numCache>
                <c:formatCode>#,##0</c:formatCode>
                <c:ptCount val="5"/>
                <c:pt idx="0">
                  <c:v>46</c:v>
                </c:pt>
                <c:pt idx="1">
                  <c:v>41</c:v>
                </c:pt>
                <c:pt idx="2">
                  <c:v>30</c:v>
                </c:pt>
                <c:pt idx="3">
                  <c:v>37</c:v>
                </c:pt>
                <c:pt idx="4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096896"/>
        <c:axId val="124098432"/>
      </c:lineChart>
      <c:catAx>
        <c:axId val="12409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4098432"/>
        <c:crosses val="autoZero"/>
        <c:auto val="1"/>
        <c:lblAlgn val="ctr"/>
        <c:lblOffset val="100"/>
        <c:noMultiLvlLbl val="0"/>
      </c:catAx>
      <c:valAx>
        <c:axId val="12409843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4096896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8.8260936132983359E-2"/>
          <c:y val="0.88850503062117236"/>
          <c:w val="0.81236679790026245"/>
          <c:h val="8.371719160104987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ysClr val="windowText" lastClr="000000"/>
                </a:solidFill>
              </a:defRPr>
            </a:pPr>
            <a:r>
              <a:rPr lang="en-US" sz="1400">
                <a:solidFill>
                  <a:sysClr val="windowText" lastClr="000000"/>
                </a:solidFill>
              </a:rPr>
              <a:t>Total UAM</a:t>
            </a:r>
          </a:p>
        </c:rich>
      </c:tx>
      <c:layout>
        <c:manualLayout>
          <c:xMode val="edge"/>
          <c:yMode val="edge"/>
          <c:x val="0.41371522309711284"/>
          <c:y val="0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'PROMEP PERFIL'!$B$30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diamond"/>
            <c:size val="4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4.6125328083989503E-2"/>
                  <c:y val="4.8136482939632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1680664916885388E-2"/>
                  <c:y val="3.8877223680373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'PROMEP PERFIL'!$J$3:$N$3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'PROMEP PERFIL'!$J$30:$N$30</c:f>
              <c:numCache>
                <c:formatCode>#,##0</c:formatCode>
                <c:ptCount val="5"/>
                <c:pt idx="0">
                  <c:v>341</c:v>
                </c:pt>
                <c:pt idx="1">
                  <c:v>326</c:v>
                </c:pt>
                <c:pt idx="2">
                  <c:v>361</c:v>
                </c:pt>
                <c:pt idx="3">
                  <c:v>389</c:v>
                </c:pt>
                <c:pt idx="4">
                  <c:v>370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'PROMEP PERFIL'!$B$31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CC9900"/>
              </a:solidFill>
            </a:ln>
          </c:spPr>
          <c:marker>
            <c:symbol val="square"/>
            <c:size val="4"/>
            <c:spPr>
              <a:noFill/>
              <a:ln>
                <a:solidFill>
                  <a:srgbClr val="CC99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'PROMEP PERFIL'!$J$3:$N$3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'PROMEP PERFIL'!$J$31:$N$31</c:f>
              <c:numCache>
                <c:formatCode>#,##0</c:formatCode>
                <c:ptCount val="5"/>
                <c:pt idx="0">
                  <c:v>542</c:v>
                </c:pt>
                <c:pt idx="1">
                  <c:v>520</c:v>
                </c:pt>
                <c:pt idx="2">
                  <c:v>499</c:v>
                </c:pt>
                <c:pt idx="3">
                  <c:v>515</c:v>
                </c:pt>
                <c:pt idx="4">
                  <c:v>516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'PROMEP PERFIL'!$B$32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chemeClr val="accent5">
                  <a:lumMod val="75000"/>
                </a:schemeClr>
              </a:solidFill>
            </a:ln>
          </c:spPr>
          <c:marker>
            <c:symbol val="triangle"/>
            <c:size val="4"/>
            <c:spPr>
              <a:solidFill>
                <a:schemeClr val="accent1"/>
              </a:solidFill>
              <a:ln>
                <a:solidFill>
                  <a:schemeClr val="accent5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4.8902887139107613E-2"/>
                  <c:y val="-3.8877223680373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1680664916885388E-2"/>
                  <c:y val="-5.2766112569262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5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'PROMEP PERFIL'!$J$3:$N$3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'PROMEP PERFIL'!$J$32:$N$32</c:f>
              <c:numCache>
                <c:formatCode>#,##0</c:formatCode>
                <c:ptCount val="5"/>
                <c:pt idx="0">
                  <c:v>343</c:v>
                </c:pt>
                <c:pt idx="1">
                  <c:v>328</c:v>
                </c:pt>
                <c:pt idx="2">
                  <c:v>323</c:v>
                </c:pt>
                <c:pt idx="3">
                  <c:v>333</c:v>
                </c:pt>
                <c:pt idx="4">
                  <c:v>332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'PROMEP PERFIL'!$B$33</c:f>
              <c:strCache>
                <c:ptCount val="1"/>
                <c:pt idx="0">
                  <c:v>CAD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x"/>
            <c:size val="4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'PROMEP PERFIL'!$J$3:$N$3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'PROMEP PERFIL'!$J$33:$N$33</c:f>
              <c:numCache>
                <c:formatCode>#,##0</c:formatCode>
                <c:ptCount val="5"/>
                <c:pt idx="0">
                  <c:v>136</c:v>
                </c:pt>
                <c:pt idx="1">
                  <c:v>133</c:v>
                </c:pt>
                <c:pt idx="2">
                  <c:v>133</c:v>
                </c:pt>
                <c:pt idx="3">
                  <c:v>144</c:v>
                </c:pt>
                <c:pt idx="4">
                  <c:v>151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'PROMEP PERFIL'!$B$34</c:f>
              <c:strCache>
                <c:ptCount val="1"/>
                <c:pt idx="0">
                  <c:v>CCD</c:v>
                </c:pt>
              </c:strCache>
            </c:strRef>
          </c:tx>
          <c:spPr>
            <a:ln w="12700">
              <a:solidFill>
                <a:schemeClr val="bg1">
                  <a:lumMod val="65000"/>
                </a:schemeClr>
              </a:solidFill>
            </a:ln>
          </c:spPr>
          <c:marker>
            <c:symbol val="circle"/>
            <c:size val="4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3.630555555555557E-2"/>
                  <c:y val="3.9826480023330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305555555555556E-2"/>
                  <c:y val="4.4456109652960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6305555555555556E-2"/>
                  <c:y val="4.4456109652960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6305555555555556E-2"/>
                  <c:y val="4.4456109652959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6305555555555556E-2"/>
                  <c:y val="3.9826480023330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'PROMEP PERFIL'!$J$3:$N$3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'PROMEP PERFIL'!$J$34:$N$34</c:f>
              <c:numCache>
                <c:formatCode>#,##0</c:formatCode>
                <c:ptCount val="5"/>
                <c:pt idx="0">
                  <c:v>24</c:v>
                </c:pt>
                <c:pt idx="1">
                  <c:v>28</c:v>
                </c:pt>
                <c:pt idx="2">
                  <c:v>34</c:v>
                </c:pt>
                <c:pt idx="3">
                  <c:v>32</c:v>
                </c:pt>
                <c:pt idx="4">
                  <c:v>26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'PROMEP PERFIL'!$B$35</c:f>
              <c:strCache>
                <c:ptCount val="1"/>
                <c:pt idx="0">
                  <c:v>CNI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circle"/>
            <c:size val="4"/>
            <c:spPr>
              <a:noFill/>
              <a:ln>
                <a:solidFill>
                  <a:srgbClr val="C00000"/>
                </a:solidFill>
              </a:ln>
            </c:spPr>
          </c:marker>
          <c:dLbls>
            <c:dLbl>
              <c:idx val="0"/>
              <c:layout>
                <c:manualLayout>
                  <c:x val="-3.9083333333333345E-2"/>
                  <c:y val="-4.4456109652960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305555555555556E-2"/>
                  <c:y val="-4.4456109652959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6305555555555556E-2"/>
                  <c:y val="-3.51968503937007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6305555555555556E-2"/>
                  <c:y val="-4.4456109652960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6305555555555556E-2"/>
                  <c:y val="-3.51968503937007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'PROMEP PERFIL'!$J$3:$N$3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'PROMEP PERFIL'!$J$35:$N$35</c:f>
              <c:numCache>
                <c:formatCode>#,##0</c:formatCode>
                <c:ptCount val="5"/>
                <c:pt idx="0">
                  <c:v>30</c:v>
                </c:pt>
                <c:pt idx="1">
                  <c:v>39</c:v>
                </c:pt>
                <c:pt idx="2">
                  <c:v>44</c:v>
                </c:pt>
                <c:pt idx="3">
                  <c:v>47</c:v>
                </c:pt>
                <c:pt idx="4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187008"/>
        <c:axId val="124188544"/>
      </c:lineChart>
      <c:catAx>
        <c:axId val="12418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4188544"/>
        <c:crosses val="autoZero"/>
        <c:auto val="1"/>
        <c:lblAlgn val="ctr"/>
        <c:lblOffset val="100"/>
        <c:noMultiLvlLbl val="0"/>
      </c:catAx>
      <c:valAx>
        <c:axId val="12418854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418700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8.8260936132983359E-2"/>
          <c:y val="0.88850503062117236"/>
          <c:w val="0.79063385826771648"/>
          <c:h val="8.371719160104987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view3D>
      <c:rotX val="15"/>
      <c:rotY val="20"/>
      <c:rAngAx val="1"/>
    </c:view3D>
    <c:floor>
      <c:thickness val="0"/>
      <c:spPr>
        <a:noFill/>
        <a:ln w="6350"/>
        <a:effectLst/>
      </c:spPr>
    </c:floor>
    <c:sideWall>
      <c:thickness val="0"/>
      <c:spPr>
        <a:noFill/>
      </c:spPr>
    </c:sideWall>
    <c:backWall>
      <c:thickness val="0"/>
      <c:spPr>
        <a:noFill/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SNI!$AK$60</c:f>
              <c:strCache>
                <c:ptCount val="1"/>
                <c:pt idx="0">
                  <c:v>Nivel 1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5.4794520547945206E-3"/>
                  <c:y val="9.797257282757987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47945205479452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47945205479452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47945205479452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7.305936073059360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5.479452054794453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305936073059360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5.47945205479452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5.47945205479452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5.47945205479452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7.305936073059360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7.5244553686633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9.0293464423960284E-3"/>
                  <c:y val="2.52047839076773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4.5146732211980142E-3"/>
                  <c:y val="2.52047839076782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7.52445536866346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SNI!$AG$44:$AG$59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(SNI!$C$38,SNI!$H$38,SNI!$M$38,SNI!$R$38,SNI!$W$38,SNI!$AB$38,SNI!$AG$38,SNI!$AL$38,SNI!$AQ$38,SNI!$AV$38,SNI!$BA$38,SNI!$BF$38,SNI!$BK$38,SNI!$BP$38,SNI!$BU$38,SNI!$BZ$38)</c:f>
              <c:numCache>
                <c:formatCode>#,##0</c:formatCode>
                <c:ptCount val="16"/>
                <c:pt idx="0">
                  <c:v>271</c:v>
                </c:pt>
                <c:pt idx="1">
                  <c:v>301</c:v>
                </c:pt>
                <c:pt idx="2">
                  <c:v>340</c:v>
                </c:pt>
                <c:pt idx="3">
                  <c:v>344</c:v>
                </c:pt>
                <c:pt idx="4">
                  <c:v>382</c:v>
                </c:pt>
                <c:pt idx="5">
                  <c:v>391</c:v>
                </c:pt>
                <c:pt idx="6">
                  <c:v>403</c:v>
                </c:pt>
                <c:pt idx="7">
                  <c:v>443</c:v>
                </c:pt>
                <c:pt idx="8">
                  <c:v>478</c:v>
                </c:pt>
                <c:pt idx="9">
                  <c:v>480</c:v>
                </c:pt>
                <c:pt idx="10">
                  <c:v>508</c:v>
                </c:pt>
                <c:pt idx="11">
                  <c:v>516</c:v>
                </c:pt>
                <c:pt idx="12">
                  <c:v>530</c:v>
                </c:pt>
                <c:pt idx="13">
                  <c:v>587</c:v>
                </c:pt>
                <c:pt idx="14">
                  <c:v>595</c:v>
                </c:pt>
                <c:pt idx="15">
                  <c:v>605</c:v>
                </c:pt>
              </c:numCache>
            </c:numRef>
          </c:val>
        </c:ser>
        <c:ser>
          <c:idx val="1"/>
          <c:order val="1"/>
          <c:tx>
            <c:strRef>
              <c:f>SNI!$AK$61</c:f>
              <c:strCache>
                <c:ptCount val="1"/>
                <c:pt idx="0">
                  <c:v>Nivel 2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1"/>
              <c:layout>
                <c:manualLayout>
                  <c:x val="4.51467322119800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5244553686633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6.01956429493068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01956429493068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4.5146732211980142E-3"/>
                  <c:y val="2.52047839076782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7.5244553686633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7.5244553686633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9.029346442396028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4.5146732211981244E-3"/>
                  <c:y val="4.620823669591671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SNI!$AG$44:$AG$59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(SNI!$D$38,SNI!$I$38,SNI!$N$38,SNI!$S$38,SNI!$X$38,SNI!$AC$38,SNI!$AH$38,SNI!$AM$38,SNI!$AR$38,SNI!$AW$38,SNI!$BB$38,SNI!$BG$38,SNI!$BL$38,SNI!$BQ$38,SNI!$BV$38,SNI!$CA$38)</c:f>
              <c:numCache>
                <c:formatCode>#,##0</c:formatCode>
                <c:ptCount val="16"/>
                <c:pt idx="0">
                  <c:v>76</c:v>
                </c:pt>
                <c:pt idx="1">
                  <c:v>100</c:v>
                </c:pt>
                <c:pt idx="2">
                  <c:v>120</c:v>
                </c:pt>
                <c:pt idx="3">
                  <c:v>121</c:v>
                </c:pt>
                <c:pt idx="4">
                  <c:v>134</c:v>
                </c:pt>
                <c:pt idx="5">
                  <c:v>143</c:v>
                </c:pt>
                <c:pt idx="6">
                  <c:v>167</c:v>
                </c:pt>
                <c:pt idx="7">
                  <c:v>175</c:v>
                </c:pt>
                <c:pt idx="8">
                  <c:v>208</c:v>
                </c:pt>
                <c:pt idx="9">
                  <c:v>212</c:v>
                </c:pt>
                <c:pt idx="10">
                  <c:v>210</c:v>
                </c:pt>
                <c:pt idx="11">
                  <c:v>210</c:v>
                </c:pt>
                <c:pt idx="12">
                  <c:v>206</c:v>
                </c:pt>
                <c:pt idx="13">
                  <c:v>219</c:v>
                </c:pt>
                <c:pt idx="14">
                  <c:v>219</c:v>
                </c:pt>
                <c:pt idx="15">
                  <c:v>234</c:v>
                </c:pt>
              </c:numCache>
            </c:numRef>
          </c:val>
        </c:ser>
        <c:ser>
          <c:idx val="2"/>
          <c:order val="2"/>
          <c:tx>
            <c:strRef>
              <c:f>SNI!$AK$62</c:f>
              <c:strCache>
                <c:ptCount val="1"/>
                <c:pt idx="0">
                  <c:v>Nivel 3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effectLst/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dLbl>
              <c:idx val="8"/>
              <c:layout>
                <c:manualLayout>
                  <c:x val="6.01956429493068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9.0293464423960284E-3"/>
                  <c:y val="-4.620823669591671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6.01956429493068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6.01956429493057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7.5244553686633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9.02934644239613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SNI!$AG$44:$AG$59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(SNI!$E$38,SNI!$J$38,SNI!$O$38,SNI!$T$38,SNI!$Y$38,SNI!$AD$38,SNI!$AI$38,SNI!$AN$38,SNI!$AS$38,SNI!$AX$38,SNI!$BC$38,SNI!$BH$38,SNI!$BM$38,SNI!$BR$38,SNI!$BW$38,SNI!$CB$38)</c:f>
              <c:numCache>
                <c:formatCode>#,##0</c:formatCode>
                <c:ptCount val="16"/>
                <c:pt idx="0">
                  <c:v>29</c:v>
                </c:pt>
                <c:pt idx="1">
                  <c:v>33</c:v>
                </c:pt>
                <c:pt idx="2">
                  <c:v>35</c:v>
                </c:pt>
                <c:pt idx="3">
                  <c:v>36</c:v>
                </c:pt>
                <c:pt idx="4">
                  <c:v>42</c:v>
                </c:pt>
                <c:pt idx="5">
                  <c:v>51</c:v>
                </c:pt>
                <c:pt idx="6">
                  <c:v>63</c:v>
                </c:pt>
                <c:pt idx="7">
                  <c:v>64</c:v>
                </c:pt>
                <c:pt idx="8">
                  <c:v>74</c:v>
                </c:pt>
                <c:pt idx="9">
                  <c:v>75</c:v>
                </c:pt>
                <c:pt idx="10">
                  <c:v>96</c:v>
                </c:pt>
                <c:pt idx="11">
                  <c:v>93</c:v>
                </c:pt>
                <c:pt idx="12">
                  <c:v>95</c:v>
                </c:pt>
                <c:pt idx="13">
                  <c:v>107</c:v>
                </c:pt>
                <c:pt idx="14">
                  <c:v>114</c:v>
                </c:pt>
                <c:pt idx="15">
                  <c:v>120</c:v>
                </c:pt>
              </c:numCache>
            </c:numRef>
          </c:val>
        </c:ser>
        <c:ser>
          <c:idx val="3"/>
          <c:order val="3"/>
          <c:tx>
            <c:strRef>
              <c:f>SNI!$AK$63</c:f>
              <c:strCache>
                <c:ptCount val="1"/>
                <c:pt idx="0">
                  <c:v>Candidato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dLbl>
              <c:idx val="7"/>
              <c:layout>
                <c:manualLayout>
                  <c:x val="4.514673221197958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9.029346442396028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6.01956429493068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4.5146732211981244E-3"/>
                  <c:y val="-2.310411834795835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SNI!$AG$44:$AG$59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(SNI!$B$38,SNI!$G$38,SNI!$L$38,SNI!$Q$38,SNI!$V$38,SNI!$AA$38,SNI!$AF$38,SNI!$AK$38,SNI!$AP$38,SNI!$AU$38,SNI!$AZ$38,SNI!$BE$38,SNI!$BJ$38,SNI!$BO$38,SNI!$BT$38,SNI!$BY$38)</c:f>
              <c:numCache>
                <c:formatCode>#,##0</c:formatCode>
                <c:ptCount val="16"/>
                <c:pt idx="0">
                  <c:v>76</c:v>
                </c:pt>
                <c:pt idx="1">
                  <c:v>47</c:v>
                </c:pt>
                <c:pt idx="2">
                  <c:v>38</c:v>
                </c:pt>
                <c:pt idx="3">
                  <c:v>40</c:v>
                </c:pt>
                <c:pt idx="4">
                  <c:v>42</c:v>
                </c:pt>
                <c:pt idx="5">
                  <c:v>49</c:v>
                </c:pt>
                <c:pt idx="6">
                  <c:v>48</c:v>
                </c:pt>
                <c:pt idx="7">
                  <c:v>64</c:v>
                </c:pt>
                <c:pt idx="8">
                  <c:v>73</c:v>
                </c:pt>
                <c:pt idx="9">
                  <c:v>75</c:v>
                </c:pt>
                <c:pt idx="10">
                  <c:v>92</c:v>
                </c:pt>
                <c:pt idx="11">
                  <c:v>95</c:v>
                </c:pt>
                <c:pt idx="12">
                  <c:v>110</c:v>
                </c:pt>
                <c:pt idx="13">
                  <c:v>148</c:v>
                </c:pt>
                <c:pt idx="14">
                  <c:v>156</c:v>
                </c:pt>
                <c:pt idx="15">
                  <c:v>151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gapDepth val="95"/>
        <c:shape val="cylinder"/>
        <c:axId val="123986688"/>
        <c:axId val="123988224"/>
        <c:axId val="0"/>
      </c:bar3DChart>
      <c:catAx>
        <c:axId val="1239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b="0"/>
            </a:pPr>
            <a:endParaRPr lang="es-MX"/>
          </a:p>
        </c:txPr>
        <c:crossAx val="123988224"/>
        <c:crosses val="autoZero"/>
        <c:auto val="1"/>
        <c:lblAlgn val="ctr"/>
        <c:lblOffset val="100"/>
        <c:noMultiLvlLbl val="0"/>
      </c:catAx>
      <c:valAx>
        <c:axId val="12398822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1239866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836500981843271"/>
          <c:y val="0.9478594390724957"/>
          <c:w val="0.62708217645785169"/>
          <c:h val="5.0505499232585974E-2"/>
        </c:manualLayout>
      </c:layout>
      <c:overlay val="0"/>
      <c:txPr>
        <a:bodyPr/>
        <a:lstStyle/>
        <a:p>
          <a:pPr>
            <a:defRPr sz="14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CD032E"/>
                </a:solidFill>
              </a:defRPr>
            </a:pPr>
            <a:r>
              <a:rPr lang="es-MX" sz="1200">
                <a:solidFill>
                  <a:srgbClr val="CD032E"/>
                </a:solidFill>
              </a:rPr>
              <a:t>CBI</a:t>
            </a:r>
          </a:p>
        </c:rich>
      </c:tx>
      <c:layout>
        <c:manualLayout>
          <c:xMode val="edge"/>
          <c:yMode val="edge"/>
          <c:x val="0.46962344476241452"/>
          <c:y val="1.13815845506605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SNI!$AK$60</c:f>
              <c:strCache>
                <c:ptCount val="1"/>
                <c:pt idx="0">
                  <c:v>Nivel 1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(SNI!$BA$7,SNI!$BF$7,SNI!$BK$7,SNI!$BP$7,SNI!$BU$7)</c:f>
              <c:numCache>
                <c:formatCode>#,##0</c:formatCode>
                <c:ptCount val="5"/>
                <c:pt idx="0">
                  <c:v>55</c:v>
                </c:pt>
                <c:pt idx="1">
                  <c:v>55</c:v>
                </c:pt>
                <c:pt idx="2">
                  <c:v>54</c:v>
                </c:pt>
                <c:pt idx="3">
                  <c:v>59</c:v>
                </c:pt>
                <c:pt idx="4">
                  <c:v>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SNI!$AK$61</c:f>
              <c:strCache>
                <c:ptCount val="1"/>
                <c:pt idx="0">
                  <c:v>Nivel 2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0"/>
              <c:layout>
                <c:manualLayout>
                  <c:x val="-3.8219288769211338E-2"/>
                  <c:y val="-5.417657857610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(SNI!$BB$7,SNI!$BG$7,SNI!$BL$7,SNI!$BQ$7,SNI!$BV$7)</c:f>
              <c:numCache>
                <c:formatCode>#,##0</c:formatCode>
                <c:ptCount val="5"/>
                <c:pt idx="0">
                  <c:v>18</c:v>
                </c:pt>
                <c:pt idx="1">
                  <c:v>18</c:v>
                </c:pt>
                <c:pt idx="2">
                  <c:v>19</c:v>
                </c:pt>
                <c:pt idx="3">
                  <c:v>23</c:v>
                </c:pt>
                <c:pt idx="4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SNI!$AK$62</c:f>
              <c:strCache>
                <c:ptCount val="1"/>
                <c:pt idx="0">
                  <c:v>Nivel 3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(SNI!$BC$7,SNI!$BH$7,SNI!$BM$7,SNI!$BR$7,SNI!$BW$7)</c:f>
              <c:numCache>
                <c:formatCode>#,##0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SNI!$AK$63</c:f>
              <c:strCache>
                <c:ptCount val="1"/>
                <c:pt idx="0">
                  <c:v>Candidato</c:v>
                </c:pt>
              </c:strCache>
            </c:strRef>
          </c:tx>
          <c:spPr>
            <a:ln w="15875">
              <a:solidFill>
                <a:schemeClr val="accent5">
                  <a:lumMod val="50000"/>
                </a:schemeClr>
              </a:solidFill>
            </a:ln>
          </c:spPr>
          <c:marker>
            <c:symbol val="triangle"/>
            <c:size val="3"/>
            <c:spPr>
              <a:solidFill>
                <a:schemeClr val="accent5">
                  <a:lumMod val="50000"/>
                </a:schemeClr>
              </a:solidFill>
              <a:ln>
                <a:solidFill>
                  <a:schemeClr val="accent5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6.2618185112912395E-2"/>
                  <c:y val="4.805782792784664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(SNI!$AZ$7,SNI!$BE$7,SNI!$BJ$7,SNI!$BO$7,SNI!$BT$7)</c:f>
              <c:numCache>
                <c:formatCode>#,##0</c:formatCode>
                <c:ptCount val="5"/>
                <c:pt idx="0">
                  <c:v>14</c:v>
                </c:pt>
                <c:pt idx="1">
                  <c:v>20</c:v>
                </c:pt>
                <c:pt idx="2">
                  <c:v>22</c:v>
                </c:pt>
                <c:pt idx="3">
                  <c:v>27</c:v>
                </c:pt>
                <c:pt idx="4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527552"/>
        <c:axId val="123529088"/>
      </c:lineChart>
      <c:catAx>
        <c:axId val="12352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23529088"/>
        <c:crosses val="autoZero"/>
        <c:auto val="1"/>
        <c:lblAlgn val="ctr"/>
        <c:lblOffset val="100"/>
        <c:noMultiLvlLbl val="0"/>
      </c:catAx>
      <c:valAx>
        <c:axId val="12352908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352755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9.7110440654744029E-2"/>
          <c:y val="0.88850481555914296"/>
          <c:w val="0.8081839887381228"/>
          <c:h val="9.0362040134484331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Admitidos</a:t>
            </a:r>
            <a:r>
              <a:rPr lang="es-MX" baseline="0"/>
              <a:t> por género</a:t>
            </a:r>
            <a:endParaRPr lang="es-MX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1734505428710223E-2"/>
          <c:y val="3.0676519039800801E-2"/>
          <c:w val="0.96773011007104692"/>
          <c:h val="0.92100434026160272"/>
        </c:manualLayout>
      </c:layout>
      <c:lineChart>
        <c:grouping val="standard"/>
        <c:varyColors val="0"/>
        <c:ser>
          <c:idx val="0"/>
          <c:order val="0"/>
          <c:tx>
            <c:strRef>
              <c:f>'Admitidos x gen'!$D$5</c:f>
              <c:strCache>
                <c:ptCount val="1"/>
                <c:pt idx="0">
                  <c:v>Femenino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diamond"/>
            <c:size val="5"/>
            <c:spPr>
              <a:noFill/>
              <a:ln>
                <a:solidFill>
                  <a:schemeClr val="accent5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5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x gen'!$H$45:$H$52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('Admitidos x gen'!$D$38,'Admitidos x gen'!$G$38,'Admitidos x gen'!$J$38,'Admitidos x gen'!$M$38,'Admitidos x gen'!$P$38,'Admitidos x gen'!$S$38,'Admitidos x gen'!$V$38,'Admitidos x gen'!$Y$38)</c:f>
              <c:numCache>
                <c:formatCode>#,##0</c:formatCode>
                <c:ptCount val="8"/>
                <c:pt idx="0">
                  <c:v>5343.5980516834088</c:v>
                </c:pt>
                <c:pt idx="1">
                  <c:v>5544.06258443759</c:v>
                </c:pt>
                <c:pt idx="2">
                  <c:v>5912</c:v>
                </c:pt>
                <c:pt idx="3">
                  <c:v>5878</c:v>
                </c:pt>
                <c:pt idx="4">
                  <c:v>5723</c:v>
                </c:pt>
                <c:pt idx="5">
                  <c:v>5871</c:v>
                </c:pt>
                <c:pt idx="6">
                  <c:v>5699</c:v>
                </c:pt>
                <c:pt idx="7">
                  <c:v>5845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'Admitidos x gen'!$E$5</c:f>
              <c:strCache>
                <c:ptCount val="1"/>
                <c:pt idx="0">
                  <c:v>Masculino</c:v>
                </c:pt>
              </c:strCache>
            </c:strRef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quare"/>
            <c:size val="5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x gen'!$H$45:$H$52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('Admitidos x gen'!$E$38,'Admitidos x gen'!$H$38,'Admitidos x gen'!$K$38,'Admitidos x gen'!$N$38,'Admitidos x gen'!$Q$38,'Admitidos x gen'!$T$38,'Admitidos x gen'!$W$38,'Admitidos x gen'!$Z$38)</c:f>
              <c:numCache>
                <c:formatCode>#,##0</c:formatCode>
                <c:ptCount val="8"/>
                <c:pt idx="0">
                  <c:v>6360.4019483165912</c:v>
                </c:pt>
                <c:pt idx="1">
                  <c:v>6305.9374155624091</c:v>
                </c:pt>
                <c:pt idx="2">
                  <c:v>6735</c:v>
                </c:pt>
                <c:pt idx="3">
                  <c:v>6835</c:v>
                </c:pt>
                <c:pt idx="4">
                  <c:v>6504</c:v>
                </c:pt>
                <c:pt idx="5">
                  <c:v>6539</c:v>
                </c:pt>
                <c:pt idx="6">
                  <c:v>6212</c:v>
                </c:pt>
                <c:pt idx="7">
                  <c:v>6240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'Admitidos x gen'!$F$5</c:f>
              <c:strCache>
                <c:ptCount val="1"/>
                <c:pt idx="0">
                  <c:v>Total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x gen'!$H$45:$H$52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('Admitidos x gen'!$F$38,'Admitidos x gen'!$I$38,'Admitidos x gen'!$L$38,'Admitidos x gen'!$O$38,'Admitidos x gen'!$R$38,'Admitidos x gen'!$U$38,'Admitidos x gen'!$X$38,'Admitidos x gen'!$AA$38)</c:f>
              <c:numCache>
                <c:formatCode>#,##0</c:formatCode>
                <c:ptCount val="8"/>
                <c:pt idx="0">
                  <c:v>11704</c:v>
                </c:pt>
                <c:pt idx="1">
                  <c:v>11850</c:v>
                </c:pt>
                <c:pt idx="2">
                  <c:v>12647</c:v>
                </c:pt>
                <c:pt idx="3">
                  <c:v>12713</c:v>
                </c:pt>
                <c:pt idx="4">
                  <c:v>12227</c:v>
                </c:pt>
                <c:pt idx="5">
                  <c:v>12410</c:v>
                </c:pt>
                <c:pt idx="6">
                  <c:v>11911</c:v>
                </c:pt>
                <c:pt idx="7">
                  <c:v>12085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262784"/>
        <c:axId val="94263936"/>
      </c:lineChart>
      <c:catAx>
        <c:axId val="9426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4263936"/>
        <c:crosses val="autoZero"/>
        <c:auto val="1"/>
        <c:lblAlgn val="ctr"/>
        <c:lblOffset val="100"/>
        <c:noMultiLvlLbl val="0"/>
      </c:catAx>
      <c:valAx>
        <c:axId val="9426393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94262784"/>
        <c:crosses val="autoZero"/>
        <c:crossBetween val="between"/>
      </c:valAx>
      <c:spPr>
        <a:noFill/>
      </c:spPr>
    </c:plotArea>
    <c:legend>
      <c:legendPos val="l"/>
      <c:layout>
        <c:manualLayout>
          <c:xMode val="edge"/>
          <c:yMode val="edge"/>
          <c:x val="0.78045636585887856"/>
          <c:y val="0.728921433048209"/>
          <c:w val="0.11768276780947967"/>
          <c:h val="0.13478085785211916"/>
        </c:manualLayout>
      </c:layout>
      <c:overlay val="1"/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CD032E"/>
                </a:solidFill>
              </a:defRPr>
            </a:pPr>
            <a:r>
              <a:rPr lang="es-MX" sz="1200">
                <a:solidFill>
                  <a:srgbClr val="CD032E"/>
                </a:solidFill>
              </a:rPr>
              <a:t>CSH</a:t>
            </a:r>
          </a:p>
        </c:rich>
      </c:tx>
      <c:layout>
        <c:manualLayout>
          <c:xMode val="edge"/>
          <c:yMode val="edge"/>
          <c:x val="0.46962344476241452"/>
          <c:y val="1.13815845506605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SNI!$AK$60</c:f>
              <c:strCache>
                <c:ptCount val="1"/>
                <c:pt idx="0">
                  <c:v>Nivel 1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(SNI!$BA$8,SNI!$BF$8,SNI!$BK$8,SNI!$BP$8,SNI!$BU$8)</c:f>
              <c:numCache>
                <c:formatCode>#,##0</c:formatCode>
                <c:ptCount val="5"/>
                <c:pt idx="0">
                  <c:v>59</c:v>
                </c:pt>
                <c:pt idx="1">
                  <c:v>60</c:v>
                </c:pt>
                <c:pt idx="2">
                  <c:v>64</c:v>
                </c:pt>
                <c:pt idx="3">
                  <c:v>77</c:v>
                </c:pt>
                <c:pt idx="4">
                  <c:v>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SNI!$AK$61</c:f>
              <c:strCache>
                <c:ptCount val="1"/>
                <c:pt idx="0">
                  <c:v>Nivel 2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(SNI!$BB$8,SNI!$BG$8,SNI!$BL$8,SNI!$BQ$8,SNI!$BV$8)</c:f>
              <c:numCache>
                <c:formatCode>#,##0</c:formatCode>
                <c:ptCount val="5"/>
                <c:pt idx="0">
                  <c:v>22</c:v>
                </c:pt>
                <c:pt idx="1">
                  <c:v>22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SNI!$AK$62</c:f>
              <c:strCache>
                <c:ptCount val="1"/>
                <c:pt idx="0">
                  <c:v>Nivel 3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2.9003216960122494E-2"/>
                  <c:y val="-4.7563673038116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091495561668871E-2"/>
                  <c:y val="-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5959077659349308E-2"/>
                  <c:y val="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003216960122494E-2"/>
                  <c:y val="3.8112328321231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(SNI!$BC$8,SNI!$BH$8,SNI!$BM$8,SNI!$BR$8,SNI!$BW$8)</c:f>
              <c:numCache>
                <c:formatCode>#,##0</c:formatCode>
                <c:ptCount val="5"/>
                <c:pt idx="0">
                  <c:v>5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SNI!$AK$63</c:f>
              <c:strCache>
                <c:ptCount val="1"/>
                <c:pt idx="0">
                  <c:v>Candidato</c:v>
                </c:pt>
              </c:strCache>
            </c:strRef>
          </c:tx>
          <c:spPr>
            <a:ln w="15875">
              <a:solidFill>
                <a:schemeClr val="accent5">
                  <a:lumMod val="50000"/>
                </a:schemeClr>
              </a:solidFill>
            </a:ln>
          </c:spPr>
          <c:marker>
            <c:symbol val="triangle"/>
            <c:size val="3"/>
            <c:spPr>
              <a:solidFill>
                <a:schemeClr val="accent5">
                  <a:lumMod val="50000"/>
                </a:schemeClr>
              </a:solidFill>
              <a:ln>
                <a:solidFill>
                  <a:schemeClr val="accent5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2.9003216960122494E-2"/>
                  <c:y val="3.6854172868198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9003216960122494E-2"/>
                  <c:y val="3.1499422783238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9003216960122494E-2"/>
                  <c:y val="-2.7402828151312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003216960122494E-2"/>
                  <c:y val="-2.2048078066353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(SNI!$AZ$8,SNI!$BE$8,SNI!$BJ$8,SNI!$BO$8,SNI!$BT$8)</c:f>
              <c:numCache>
                <c:formatCode>#,##0</c:formatCode>
                <c:ptCount val="5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660160"/>
        <c:axId val="123661696"/>
      </c:lineChart>
      <c:catAx>
        <c:axId val="12366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23661696"/>
        <c:crosses val="autoZero"/>
        <c:auto val="1"/>
        <c:lblAlgn val="ctr"/>
        <c:lblOffset val="100"/>
        <c:noMultiLvlLbl val="0"/>
      </c:catAx>
      <c:valAx>
        <c:axId val="12366169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3660160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9.7110440654744029E-2"/>
          <c:y val="0.88850481555914296"/>
          <c:w val="0.8081839887381228"/>
          <c:h val="9.0362040134484331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CD032E"/>
                </a:solidFill>
              </a:defRPr>
            </a:pPr>
            <a:r>
              <a:rPr lang="es-MX" sz="1200">
                <a:solidFill>
                  <a:srgbClr val="CD032E"/>
                </a:solidFill>
              </a:rPr>
              <a:t>CAD</a:t>
            </a:r>
          </a:p>
        </c:rich>
      </c:tx>
      <c:layout>
        <c:manualLayout>
          <c:xMode val="edge"/>
          <c:yMode val="edge"/>
          <c:x val="0.46962344476241452"/>
          <c:y val="1.13815845506605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SNI!$AK$60</c:f>
              <c:strCache>
                <c:ptCount val="1"/>
                <c:pt idx="0">
                  <c:v>Nivel 1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(SNI!$BA$9,SNI!$BF$9,SNI!$BK$9,SNI!$BP$9,SNI!$BU$9)</c:f>
              <c:numCache>
                <c:formatCode>#,##0</c:formatCode>
                <c:ptCount val="5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SNI!$AK$61</c:f>
              <c:strCache>
                <c:ptCount val="1"/>
                <c:pt idx="0">
                  <c:v>Nivel 2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(SNI!$BB$9,SNI!$BG$9,SNI!$BL$9,SNI!$BQ$9,SNI!$BV$9)</c:f>
              <c:numCache>
                <c:formatCode>#,##0</c:formatCode>
                <c:ptCount val="5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SNI!$AK$62</c:f>
              <c:strCache>
                <c:ptCount val="1"/>
                <c:pt idx="0">
                  <c:v>Nivel 3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2.9003216960122494E-2"/>
                  <c:y val="-4.7563673038116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091495561668871E-2"/>
                  <c:y val="-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9003216960122494E-2"/>
                  <c:y val="-3.6854172868198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5959077659349308E-2"/>
                  <c:y val="-3.6854172868198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(SNI!$BC$9,SNI!$BH$9,SNI!$BM$9,SNI!$BR$9,SNI!$BW$9)</c:f>
              <c:numCache>
                <c:formatCode>#,##0</c:formatCode>
                <c:ptCount val="5"/>
              </c:numCache>
            </c:numRef>
          </c:val>
          <c:smooth val="0"/>
        </c:ser>
        <c:ser>
          <c:idx val="3"/>
          <c:order val="3"/>
          <c:tx>
            <c:strRef>
              <c:f>SNI!$AK$63</c:f>
              <c:strCache>
                <c:ptCount val="1"/>
                <c:pt idx="0">
                  <c:v>Candidato</c:v>
                </c:pt>
              </c:strCache>
            </c:strRef>
          </c:tx>
          <c:spPr>
            <a:ln w="15875">
              <a:solidFill>
                <a:schemeClr val="accent5">
                  <a:lumMod val="50000"/>
                </a:schemeClr>
              </a:solidFill>
            </a:ln>
          </c:spPr>
          <c:marker>
            <c:symbol val="triangle"/>
            <c:size val="3"/>
            <c:spPr>
              <a:solidFill>
                <a:schemeClr val="accent5">
                  <a:lumMod val="50000"/>
                </a:schemeClr>
              </a:solidFill>
              <a:ln>
                <a:solidFill>
                  <a:schemeClr val="accent5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2.9003216960122494E-2"/>
                  <c:y val="3.6854172868198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9003216960122494E-2"/>
                  <c:y val="3.1499422783238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9003216960122494E-2"/>
                  <c:y val="3.6854172868198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5959077659349308E-2"/>
                  <c:y val="4.2208922953157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(SNI!$AZ$9,SNI!$BE$9,SNI!$BJ$9,SNI!$BO$9,SNI!$BT$9)</c:f>
              <c:numCache>
                <c:formatCode>#,##0</c:formatCode>
                <c:ptCount val="5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042624"/>
        <c:axId val="124056704"/>
      </c:lineChart>
      <c:catAx>
        <c:axId val="12404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24056704"/>
        <c:crosses val="autoZero"/>
        <c:auto val="1"/>
        <c:lblAlgn val="ctr"/>
        <c:lblOffset val="100"/>
        <c:noMultiLvlLbl val="0"/>
      </c:catAx>
      <c:valAx>
        <c:axId val="12405670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4042624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9.7110440654744029E-2"/>
          <c:y val="0.88850481555914296"/>
          <c:w val="0.8081839887381228"/>
          <c:h val="9.0362040134484331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CD032E"/>
                </a:solidFill>
              </a:defRPr>
            </a:pPr>
            <a:r>
              <a:rPr lang="es-MX" sz="1200">
                <a:solidFill>
                  <a:srgbClr val="CD032E"/>
                </a:solidFill>
              </a:rPr>
              <a:t>TOTAL</a:t>
            </a:r>
          </a:p>
        </c:rich>
      </c:tx>
      <c:layout>
        <c:manualLayout>
          <c:xMode val="edge"/>
          <c:yMode val="edge"/>
          <c:x val="0.46962344476241452"/>
          <c:y val="1.13815845506605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SNI!$AK$60</c:f>
              <c:strCache>
                <c:ptCount val="1"/>
                <c:pt idx="0">
                  <c:v>Nivel 1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(SNI!$BA$10,SNI!$BF$10,SNI!$BK$10,SNI!$BP$10,SNI!$BU$10)</c:f>
              <c:numCache>
                <c:formatCode>#,##0</c:formatCode>
                <c:ptCount val="5"/>
                <c:pt idx="0">
                  <c:v>116</c:v>
                </c:pt>
                <c:pt idx="1">
                  <c:v>117</c:v>
                </c:pt>
                <c:pt idx="2">
                  <c:v>119</c:v>
                </c:pt>
                <c:pt idx="3">
                  <c:v>138</c:v>
                </c:pt>
                <c:pt idx="4">
                  <c:v>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SNI!$AK$61</c:f>
              <c:strCache>
                <c:ptCount val="1"/>
                <c:pt idx="0">
                  <c:v>Nivel 2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(SNI!$BB$10,SNI!$BG$10,SNI!$BL$10,SNI!$BQ$10,SNI!$BV$10)</c:f>
              <c:numCache>
                <c:formatCode>#,##0</c:formatCode>
                <c:ptCount val="5"/>
                <c:pt idx="0">
                  <c:v>43</c:v>
                </c:pt>
                <c:pt idx="1">
                  <c:v>43</c:v>
                </c:pt>
                <c:pt idx="2">
                  <c:v>37</c:v>
                </c:pt>
                <c:pt idx="3">
                  <c:v>41</c:v>
                </c:pt>
                <c:pt idx="4">
                  <c:v>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SNI!$AK$62</c:f>
              <c:strCache>
                <c:ptCount val="1"/>
                <c:pt idx="0">
                  <c:v>Nivel 3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5.0312192065534805E-2"/>
                  <c:y val="-4.72567235844275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091495561668871E-2"/>
                  <c:y val="-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9003216960122494E-2"/>
                  <c:y val="-3.6854172868198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5959077659349308E-2"/>
                  <c:y val="-3.6854172868198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(SNI!$BC$10,SNI!$BH$10,SNI!$BM$10,SNI!$BR$10,SNI!$BW$10)</c:f>
              <c:numCache>
                <c:formatCode>#,##0</c:formatCode>
                <c:ptCount val="5"/>
                <c:pt idx="0">
                  <c:v>6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SNI!$AK$63</c:f>
              <c:strCache>
                <c:ptCount val="1"/>
                <c:pt idx="0">
                  <c:v>Candidato</c:v>
                </c:pt>
              </c:strCache>
            </c:strRef>
          </c:tx>
          <c:spPr>
            <a:ln w="15875">
              <a:solidFill>
                <a:schemeClr val="accent5">
                  <a:lumMod val="50000"/>
                </a:schemeClr>
              </a:solidFill>
            </a:ln>
          </c:spPr>
          <c:marker>
            <c:symbol val="triangle"/>
            <c:size val="3"/>
            <c:spPr>
              <a:solidFill>
                <a:schemeClr val="accent5">
                  <a:lumMod val="50000"/>
                </a:schemeClr>
              </a:solidFill>
              <a:ln>
                <a:solidFill>
                  <a:schemeClr val="accent5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3.8135634862442057E-2"/>
                  <c:y val="-4.3467500040055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8135634862442057E-2"/>
                  <c:y val="-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9003216960122494E-2"/>
                  <c:y val="3.6854172868198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5959077659349308E-2"/>
                  <c:y val="4.2208922953157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(SNI!$AZ$10,SNI!$BE$10,SNI!$BJ$10,SNI!$BO$10,SNI!$BT$10)</c:f>
              <c:numCache>
                <c:formatCode>#,##0</c:formatCode>
                <c:ptCount val="5"/>
                <c:pt idx="0">
                  <c:v>18</c:v>
                </c:pt>
                <c:pt idx="1">
                  <c:v>23</c:v>
                </c:pt>
                <c:pt idx="2">
                  <c:v>29</c:v>
                </c:pt>
                <c:pt idx="3">
                  <c:v>37</c:v>
                </c:pt>
                <c:pt idx="4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585088"/>
        <c:axId val="124586624"/>
      </c:lineChart>
      <c:catAx>
        <c:axId val="12458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24586624"/>
        <c:crosses val="autoZero"/>
        <c:auto val="1"/>
        <c:lblAlgn val="ctr"/>
        <c:lblOffset val="100"/>
        <c:noMultiLvlLbl val="0"/>
      </c:catAx>
      <c:valAx>
        <c:axId val="12458662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458508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9.7110440654744029E-2"/>
          <c:y val="0.88850481555914296"/>
          <c:w val="0.8081839887381228"/>
          <c:h val="9.0362040134484331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F08200"/>
                </a:solidFill>
              </a:defRPr>
            </a:pPr>
            <a:r>
              <a:rPr lang="es-MX" sz="1200">
                <a:solidFill>
                  <a:srgbClr val="F08200"/>
                </a:solidFill>
              </a:rPr>
              <a:t>CSH</a:t>
            </a:r>
          </a:p>
        </c:rich>
      </c:tx>
      <c:layout>
        <c:manualLayout>
          <c:xMode val="edge"/>
          <c:yMode val="edge"/>
          <c:x val="0.46962344476241452"/>
          <c:y val="1.13815845506605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SNI!$AK$60</c:f>
              <c:strCache>
                <c:ptCount val="1"/>
                <c:pt idx="0">
                  <c:v>Nivel 1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(SNI!$BA$12,SNI!$BF$12,SNI!$BK$12,SNI!$BP$12,SNI!$BU$12)</c:f>
              <c:numCache>
                <c:formatCode>#,##0</c:formatCode>
                <c:ptCount val="5"/>
                <c:pt idx="0">
                  <c:v>22</c:v>
                </c:pt>
                <c:pt idx="1">
                  <c:v>23</c:v>
                </c:pt>
                <c:pt idx="2">
                  <c:v>27</c:v>
                </c:pt>
                <c:pt idx="3">
                  <c:v>33</c:v>
                </c:pt>
                <c:pt idx="4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SNI!$AK$61</c:f>
              <c:strCache>
                <c:ptCount val="1"/>
                <c:pt idx="0">
                  <c:v>Nivel 2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0"/>
              <c:layout>
                <c:manualLayout>
                  <c:x val="-1.9954452964572211E-2"/>
                  <c:y val="-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9003216960122494E-2"/>
                  <c:y val="-3.8112328321231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003216960122494E-2"/>
                  <c:y val="-5.417657857610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(SNI!$BB$12,SNI!$BG$12,SNI!$BL$12,SNI!$BQ$12,SNI!$BV$12)</c:f>
              <c:numCache>
                <c:formatCode>#,##0</c:formatCode>
                <c:ptCount val="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7</c:v>
                </c:pt>
                <c:pt idx="4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SNI!$AK$62</c:f>
              <c:strCache>
                <c:ptCount val="1"/>
                <c:pt idx="0">
                  <c:v>Nivel 3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4.726805276476162E-2"/>
                  <c:y val="-2.0789922613320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3782520456256556E-2"/>
                  <c:y val="-2.6144672698279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175149468438145E-2"/>
                  <c:y val="4.346707840619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003216960122494E-2"/>
                  <c:y val="-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003216960122494E-2"/>
                  <c:y val="-3.6854172868198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(SNI!$BC$12,SNI!$BH$12,SNI!$BM$12,SNI!$BR$12,SNI!$BW$12)</c:f>
              <c:numCache>
                <c:formatCode>#,##0</c:formatCode>
                <c:ptCount val="5"/>
                <c:pt idx="0">
                  <c:v>1</c:v>
                </c:pt>
                <c:pt idx="1">
                  <c:v>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SNI!$AK$63</c:f>
              <c:strCache>
                <c:ptCount val="1"/>
                <c:pt idx="0">
                  <c:v>Candidato</c:v>
                </c:pt>
              </c:strCache>
            </c:strRef>
          </c:tx>
          <c:spPr>
            <a:ln w="15875">
              <a:solidFill>
                <a:schemeClr val="accent5">
                  <a:lumMod val="50000"/>
                </a:schemeClr>
              </a:solidFill>
            </a:ln>
          </c:spPr>
          <c:marker>
            <c:symbol val="triangle"/>
            <c:size val="3"/>
            <c:spPr>
              <a:solidFill>
                <a:schemeClr val="accent5">
                  <a:lumMod val="50000"/>
                </a:schemeClr>
              </a:solidFill>
              <a:ln>
                <a:solidFill>
                  <a:schemeClr val="accent5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7.1750603015231965E-2"/>
                  <c:y val="-5.4896729217455975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5091495561668871E-2"/>
                  <c:y val="5.95313286610679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(SNI!$AZ$12,SNI!$BE$12,SNI!$BJ$12,SNI!$BO$12,SNI!$BT$12)</c:f>
              <c:numCache>
                <c:formatCode>#,##0</c:formatCode>
                <c:ptCount val="5"/>
                <c:pt idx="0">
                  <c:v>11</c:v>
                </c:pt>
                <c:pt idx="1">
                  <c:v>13</c:v>
                </c:pt>
                <c:pt idx="2">
                  <c:v>8</c:v>
                </c:pt>
                <c:pt idx="3">
                  <c:v>6</c:v>
                </c:pt>
                <c:pt idx="4">
                  <c:v>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939264"/>
        <c:axId val="124949248"/>
      </c:lineChart>
      <c:catAx>
        <c:axId val="12493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24949248"/>
        <c:crosses val="autoZero"/>
        <c:auto val="1"/>
        <c:lblAlgn val="ctr"/>
        <c:lblOffset val="100"/>
        <c:noMultiLvlLbl val="0"/>
      </c:catAx>
      <c:valAx>
        <c:axId val="12494924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4939264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9.7110440654744029E-2"/>
          <c:y val="0.88850481555914296"/>
          <c:w val="0.8081839887381228"/>
          <c:h val="9.0362040134484331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F08200"/>
                </a:solidFill>
              </a:defRPr>
            </a:pPr>
            <a:r>
              <a:rPr lang="es-MX" sz="1200">
                <a:solidFill>
                  <a:srgbClr val="F08200"/>
                </a:solidFill>
              </a:rPr>
              <a:t>CCD</a:t>
            </a:r>
          </a:p>
        </c:rich>
      </c:tx>
      <c:layout>
        <c:manualLayout>
          <c:xMode val="edge"/>
          <c:yMode val="edge"/>
          <c:x val="0.46962344476241452"/>
          <c:y val="1.13815845506605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SNI!$AK$60</c:f>
              <c:strCache>
                <c:ptCount val="1"/>
                <c:pt idx="0">
                  <c:v>Nivel 1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(SNI!$BA$13,SNI!$BF$13,SNI!$BK$13,SNI!$BP$13,SNI!$BU$13)</c:f>
              <c:numCache>
                <c:formatCode>#,##0</c:formatCode>
                <c:ptCount val="5"/>
                <c:pt idx="0">
                  <c:v>7</c:v>
                </c:pt>
                <c:pt idx="1">
                  <c:v>7</c:v>
                </c:pt>
                <c:pt idx="2">
                  <c:v>9</c:v>
                </c:pt>
                <c:pt idx="3">
                  <c:v>10</c:v>
                </c:pt>
                <c:pt idx="4">
                  <c:v>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SNI!$AK$61</c:f>
              <c:strCache>
                <c:ptCount val="1"/>
                <c:pt idx="0">
                  <c:v>Nivel 2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(SNI!$BB$13,SNI!$BG$13,SNI!$BL$13,SNI!$BQ$13,SNI!$BV$13)</c:f>
              <c:numCache>
                <c:formatCode>#,##0</c:formatCode>
                <c:ptCount val="5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SNI!$AK$62</c:f>
              <c:strCache>
                <c:ptCount val="1"/>
                <c:pt idx="0">
                  <c:v>Nivel 3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(SNI!$BC$13,SNI!$BH$13,SNI!$BM$13,SNI!$BR$13,SNI!$BW$13)</c:f>
              <c:numCache>
                <c:formatCode>#,##0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SNI!$AK$63</c:f>
              <c:strCache>
                <c:ptCount val="1"/>
                <c:pt idx="0">
                  <c:v>Candidato</c:v>
                </c:pt>
              </c:strCache>
            </c:strRef>
          </c:tx>
          <c:spPr>
            <a:ln w="15875">
              <a:solidFill>
                <a:schemeClr val="accent5">
                  <a:lumMod val="50000"/>
                </a:schemeClr>
              </a:solidFill>
            </a:ln>
          </c:spPr>
          <c:marker>
            <c:symbol val="triangle"/>
            <c:size val="3"/>
            <c:spPr>
              <a:solidFill>
                <a:schemeClr val="accent5">
                  <a:lumMod val="50000"/>
                </a:schemeClr>
              </a:solidFill>
              <a:ln>
                <a:solidFill>
                  <a:schemeClr val="accent5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(SNI!$AZ$13,SNI!$BE$13,SNI!$BJ$13,SNI!$BO$13,SNI!$BT$13)</c:f>
              <c:numCache>
                <c:formatCode>#,##0</c:formatCode>
                <c:ptCount val="5"/>
                <c:pt idx="0">
                  <c:v>5</c:v>
                </c:pt>
                <c:pt idx="1">
                  <c:v>5</c:v>
                </c:pt>
                <c:pt idx="2">
                  <c:v>6</c:v>
                </c:pt>
                <c:pt idx="3">
                  <c:v>5</c:v>
                </c:pt>
                <c:pt idx="4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40352"/>
        <c:axId val="124741888"/>
      </c:lineChart>
      <c:catAx>
        <c:axId val="12474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24741888"/>
        <c:crosses val="autoZero"/>
        <c:auto val="1"/>
        <c:lblAlgn val="ctr"/>
        <c:lblOffset val="100"/>
        <c:noMultiLvlLbl val="0"/>
      </c:catAx>
      <c:valAx>
        <c:axId val="12474188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474035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9.7110440654744029E-2"/>
          <c:y val="0.88850481555914296"/>
          <c:w val="0.8081839887381228"/>
          <c:h val="9.0362040134484331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F08200"/>
                </a:solidFill>
              </a:defRPr>
            </a:pPr>
            <a:r>
              <a:rPr lang="es-MX" sz="1200">
                <a:solidFill>
                  <a:srgbClr val="F08200"/>
                </a:solidFill>
              </a:rPr>
              <a:t>CNI</a:t>
            </a:r>
          </a:p>
        </c:rich>
      </c:tx>
      <c:layout>
        <c:manualLayout>
          <c:xMode val="edge"/>
          <c:yMode val="edge"/>
          <c:x val="0.46962344476241452"/>
          <c:y val="1.13815845506605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SNI!$AK$60</c:f>
              <c:strCache>
                <c:ptCount val="1"/>
                <c:pt idx="0">
                  <c:v>Nivel 1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(SNI!$BA$14,SNI!$BF$14,SNI!$BK$14,SNI!$BP$14,SNI!$BU$14)</c:f>
              <c:numCache>
                <c:formatCode>#,##0</c:formatCode>
                <c:ptCount val="5"/>
                <c:pt idx="0">
                  <c:v>25</c:v>
                </c:pt>
                <c:pt idx="1">
                  <c:v>25</c:v>
                </c:pt>
                <c:pt idx="2">
                  <c:v>29</c:v>
                </c:pt>
                <c:pt idx="3">
                  <c:v>33</c:v>
                </c:pt>
                <c:pt idx="4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SNI!$AK$61</c:f>
              <c:strCache>
                <c:ptCount val="1"/>
                <c:pt idx="0">
                  <c:v>Nivel 2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0"/>
              <c:layout>
                <c:manualLayout>
                  <c:x val="-2.9003216960122494E-2"/>
                  <c:y val="4.2208922953157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9003216960122494E-2"/>
                  <c:y val="4.2208922953157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9003216960122494E-2"/>
                  <c:y val="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2047356260895679E-2"/>
                  <c:y val="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(SNI!$BB$14,SNI!$BG$14,SNI!$BL$14,SNI!$BQ$14,SNI!$BV$14)</c:f>
              <c:numCache>
                <c:formatCode>#,##0</c:formatCode>
                <c:ptCount val="5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SNI!$AK$62</c:f>
              <c:strCache>
                <c:ptCount val="1"/>
                <c:pt idx="0">
                  <c:v>Nivel 3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(SNI!$BC$14,SNI!$BH$14,SNI!$BM$14,SNI!$BR$14,SNI!$BW$14)</c:f>
              <c:numCache>
                <c:formatCode>#,##0</c:formatCode>
                <c:ptCount val="5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SNI!$AK$63</c:f>
              <c:strCache>
                <c:ptCount val="1"/>
                <c:pt idx="0">
                  <c:v>Candidato</c:v>
                </c:pt>
              </c:strCache>
            </c:strRef>
          </c:tx>
          <c:spPr>
            <a:ln w="15875">
              <a:solidFill>
                <a:schemeClr val="accent5">
                  <a:lumMod val="50000"/>
                </a:schemeClr>
              </a:solidFill>
            </a:ln>
          </c:spPr>
          <c:marker>
            <c:symbol val="triangle"/>
            <c:size val="3"/>
            <c:spPr>
              <a:solidFill>
                <a:schemeClr val="accent5">
                  <a:lumMod val="50000"/>
                </a:schemeClr>
              </a:solidFill>
              <a:ln>
                <a:solidFill>
                  <a:schemeClr val="accent5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(SNI!$AZ$14,SNI!$BE$14,SNI!$BJ$14,SNI!$BO$14,SNI!$BT$14)</c:f>
              <c:numCache>
                <c:formatCode>#,##0</c:formatCode>
                <c:ptCount val="5"/>
                <c:pt idx="0">
                  <c:v>11</c:v>
                </c:pt>
                <c:pt idx="1">
                  <c:v>10</c:v>
                </c:pt>
                <c:pt idx="2">
                  <c:v>12</c:v>
                </c:pt>
                <c:pt idx="3">
                  <c:v>13</c:v>
                </c:pt>
                <c:pt idx="4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90656"/>
        <c:axId val="124792192"/>
      </c:lineChart>
      <c:catAx>
        <c:axId val="12479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24792192"/>
        <c:crosses val="autoZero"/>
        <c:auto val="1"/>
        <c:lblAlgn val="ctr"/>
        <c:lblOffset val="100"/>
        <c:noMultiLvlLbl val="0"/>
      </c:catAx>
      <c:valAx>
        <c:axId val="12479219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4790656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9.7110440654744029E-2"/>
          <c:y val="0.88850481555914296"/>
          <c:w val="0.8081839887381228"/>
          <c:h val="9.0362040134484331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F08200"/>
                </a:solidFill>
              </a:defRPr>
            </a:pPr>
            <a:r>
              <a:rPr lang="es-MX" sz="1200">
                <a:solidFill>
                  <a:srgbClr val="F08200"/>
                </a:solidFill>
              </a:rPr>
              <a:t>TOTAL</a:t>
            </a:r>
          </a:p>
        </c:rich>
      </c:tx>
      <c:layout>
        <c:manualLayout>
          <c:xMode val="edge"/>
          <c:yMode val="edge"/>
          <c:x val="0.46962344476241452"/>
          <c:y val="1.13815845506605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SNI!$AK$60</c:f>
              <c:strCache>
                <c:ptCount val="1"/>
                <c:pt idx="0">
                  <c:v>Nivel 1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(SNI!$BA$15,SNI!$BF$15,SNI!$BK$15,SNI!$BP$15,SNI!$BU$15)</c:f>
              <c:numCache>
                <c:formatCode>#,##0</c:formatCode>
                <c:ptCount val="5"/>
                <c:pt idx="0">
                  <c:v>54</c:v>
                </c:pt>
                <c:pt idx="1">
                  <c:v>55</c:v>
                </c:pt>
                <c:pt idx="2">
                  <c:v>65</c:v>
                </c:pt>
                <c:pt idx="3">
                  <c:v>76</c:v>
                </c:pt>
                <c:pt idx="4">
                  <c:v>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SNI!$AK$61</c:f>
              <c:strCache>
                <c:ptCount val="1"/>
                <c:pt idx="0">
                  <c:v>Nivel 2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(SNI!$BB$15,SNI!$BG$15,SNI!$BL$15,SNI!$BQ$15,SNI!$BV$15)</c:f>
              <c:numCache>
                <c:formatCode>#,##0</c:formatCode>
                <c:ptCount val="5"/>
                <c:pt idx="0">
                  <c:v>8</c:v>
                </c:pt>
                <c:pt idx="1">
                  <c:v>9</c:v>
                </c:pt>
                <c:pt idx="2">
                  <c:v>11</c:v>
                </c:pt>
                <c:pt idx="3">
                  <c:v>11</c:v>
                </c:pt>
                <c:pt idx="4">
                  <c:v>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SNI!$AK$62</c:f>
              <c:strCache>
                <c:ptCount val="1"/>
                <c:pt idx="0">
                  <c:v>Nivel 3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2.9003216960122494E-2"/>
                  <c:y val="4.2208922953157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9003216960122494E-2"/>
                  <c:y val="4.2208922953157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9003216960122494E-2"/>
                  <c:y val="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003216960122494E-2"/>
                  <c:y val="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(SNI!$BC$15,SNI!$BH$15,SNI!$BM$15,SNI!$BR$15,SNI!$BW$15)</c:f>
              <c:numCache>
                <c:formatCode>#,##0</c:formatCode>
                <c:ptCount val="5"/>
                <c:pt idx="0">
                  <c:v>5</c:v>
                </c:pt>
                <c:pt idx="1">
                  <c:v>5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SNI!$AK$63</c:f>
              <c:strCache>
                <c:ptCount val="1"/>
                <c:pt idx="0">
                  <c:v>Candidato</c:v>
                </c:pt>
              </c:strCache>
            </c:strRef>
          </c:tx>
          <c:spPr>
            <a:ln w="15875">
              <a:solidFill>
                <a:schemeClr val="accent5">
                  <a:lumMod val="50000"/>
                </a:schemeClr>
              </a:solidFill>
            </a:ln>
          </c:spPr>
          <c:marker>
            <c:symbol val="triangle"/>
            <c:size val="3"/>
            <c:spPr>
              <a:solidFill>
                <a:schemeClr val="accent5">
                  <a:lumMod val="50000"/>
                </a:schemeClr>
              </a:solidFill>
              <a:ln>
                <a:solidFill>
                  <a:schemeClr val="accent5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(SNI!$AZ$15,SNI!$BE$15,SNI!$BJ$15,SNI!$BO$15,SNI!$BT$15)</c:f>
              <c:numCache>
                <c:formatCode>#,##0</c:formatCode>
                <c:ptCount val="5"/>
                <c:pt idx="0">
                  <c:v>27</c:v>
                </c:pt>
                <c:pt idx="1">
                  <c:v>28</c:v>
                </c:pt>
                <c:pt idx="2">
                  <c:v>26</c:v>
                </c:pt>
                <c:pt idx="3">
                  <c:v>24</c:v>
                </c:pt>
                <c:pt idx="4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65920"/>
        <c:axId val="124880000"/>
      </c:lineChart>
      <c:catAx>
        <c:axId val="12486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24880000"/>
        <c:crosses val="autoZero"/>
        <c:auto val="1"/>
        <c:lblAlgn val="ctr"/>
        <c:lblOffset val="100"/>
        <c:noMultiLvlLbl val="0"/>
      </c:catAx>
      <c:valAx>
        <c:axId val="12488000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4865920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9.7110440654744029E-2"/>
          <c:y val="0.88850481555914296"/>
          <c:w val="0.8081839887381228"/>
          <c:h val="9.0362040134484331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57A519"/>
                </a:solidFill>
              </a:defRPr>
            </a:pPr>
            <a:r>
              <a:rPr lang="es-MX" sz="1200">
                <a:solidFill>
                  <a:srgbClr val="57A519"/>
                </a:solidFill>
              </a:rPr>
              <a:t>CBI</a:t>
            </a:r>
          </a:p>
        </c:rich>
      </c:tx>
      <c:layout>
        <c:manualLayout>
          <c:xMode val="edge"/>
          <c:yMode val="edge"/>
          <c:x val="0.46962344476241452"/>
          <c:y val="1.13815845506605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SNI!$AK$60</c:f>
              <c:strCache>
                <c:ptCount val="1"/>
                <c:pt idx="0">
                  <c:v>Nivel 1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(SNI!$BA$17,SNI!$BF$17,SNI!$BK$17,SNI!$BP$17,SNI!$BU$17)</c:f>
              <c:numCache>
                <c:formatCode>#,##0</c:formatCode>
                <c:ptCount val="5"/>
                <c:pt idx="0">
                  <c:v>72</c:v>
                </c:pt>
                <c:pt idx="1">
                  <c:v>71</c:v>
                </c:pt>
                <c:pt idx="2">
                  <c:v>74</c:v>
                </c:pt>
                <c:pt idx="3">
                  <c:v>81</c:v>
                </c:pt>
                <c:pt idx="4">
                  <c:v>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SNI!$AK$61</c:f>
              <c:strCache>
                <c:ptCount val="1"/>
                <c:pt idx="0">
                  <c:v>Nivel 2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1"/>
              <c:layout>
                <c:manualLayout>
                  <c:x val="-3.5175149468438145E-2"/>
                  <c:y val="-4.3467500040055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(SNI!$BB$17,SNI!$BG$17,SNI!$BL$17,SNI!$BQ$17,SNI!$BV$17)</c:f>
              <c:numCache>
                <c:formatCode>#,##0</c:formatCode>
                <c:ptCount val="5"/>
                <c:pt idx="0">
                  <c:v>41</c:v>
                </c:pt>
                <c:pt idx="1">
                  <c:v>41</c:v>
                </c:pt>
                <c:pt idx="2">
                  <c:v>37</c:v>
                </c:pt>
                <c:pt idx="3">
                  <c:v>40</c:v>
                </c:pt>
                <c:pt idx="4">
                  <c:v>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SNI!$AK$62</c:f>
              <c:strCache>
                <c:ptCount val="1"/>
                <c:pt idx="0">
                  <c:v>Nivel 3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1"/>
              <c:layout>
                <c:manualLayout>
                  <c:x val="-3.8219288769211338E-2"/>
                  <c:y val="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(SNI!$BC$17,SNI!$BH$17,SNI!$BM$17,SNI!$BR$17,SNI!$BW$17)</c:f>
              <c:numCache>
                <c:formatCode>#,##0</c:formatCode>
                <c:ptCount val="5"/>
                <c:pt idx="0">
                  <c:v>42</c:v>
                </c:pt>
                <c:pt idx="1">
                  <c:v>40</c:v>
                </c:pt>
                <c:pt idx="2">
                  <c:v>42</c:v>
                </c:pt>
                <c:pt idx="3">
                  <c:v>50</c:v>
                </c:pt>
                <c:pt idx="4">
                  <c:v>51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SNI!$AK$63</c:f>
              <c:strCache>
                <c:ptCount val="1"/>
                <c:pt idx="0">
                  <c:v>Candidato</c:v>
                </c:pt>
              </c:strCache>
            </c:strRef>
          </c:tx>
          <c:spPr>
            <a:ln w="15875">
              <a:solidFill>
                <a:schemeClr val="accent5">
                  <a:lumMod val="50000"/>
                </a:schemeClr>
              </a:solidFill>
            </a:ln>
          </c:spPr>
          <c:marker>
            <c:symbol val="triangle"/>
            <c:size val="3"/>
            <c:spPr>
              <a:solidFill>
                <a:schemeClr val="accent5">
                  <a:lumMod val="50000"/>
                </a:schemeClr>
              </a:solidFill>
              <a:ln>
                <a:solidFill>
                  <a:schemeClr val="accent5">
                    <a:lumMod val="50000"/>
                  </a:schemeClr>
                </a:solidFill>
              </a:ln>
            </c:spPr>
          </c:marker>
          <c:dLbls>
            <c:dLbl>
              <c:idx val="3"/>
              <c:layout>
                <c:manualLayout>
                  <c:x val="-3.5175149468438145E-2"/>
                  <c:y val="3.2757578236271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(SNI!$AZ$17,SNI!$BE$17,SNI!$BJ$17,SNI!$BO$17,SNI!$BT$17)</c:f>
              <c:numCache>
                <c:formatCode>#,##0</c:formatCode>
                <c:ptCount val="5"/>
                <c:pt idx="0">
                  <c:v>8</c:v>
                </c:pt>
                <c:pt idx="1">
                  <c:v>9</c:v>
                </c:pt>
                <c:pt idx="2">
                  <c:v>13</c:v>
                </c:pt>
                <c:pt idx="3">
                  <c:v>22</c:v>
                </c:pt>
                <c:pt idx="4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002880"/>
        <c:axId val="125004416"/>
      </c:lineChart>
      <c:catAx>
        <c:axId val="12500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25004416"/>
        <c:crosses val="autoZero"/>
        <c:auto val="1"/>
        <c:lblAlgn val="ctr"/>
        <c:lblOffset val="100"/>
        <c:noMultiLvlLbl val="0"/>
      </c:catAx>
      <c:valAx>
        <c:axId val="12500441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5002880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9.7110440654744029E-2"/>
          <c:y val="0.88850481555914296"/>
          <c:w val="0.8081839887381228"/>
          <c:h val="9.0362040134484331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57A519"/>
                </a:solidFill>
              </a:defRPr>
            </a:pPr>
            <a:r>
              <a:rPr lang="es-MX" sz="1200">
                <a:solidFill>
                  <a:srgbClr val="57A519"/>
                </a:solidFill>
              </a:rPr>
              <a:t>CSH</a:t>
            </a:r>
          </a:p>
        </c:rich>
      </c:tx>
      <c:layout>
        <c:manualLayout>
          <c:xMode val="edge"/>
          <c:yMode val="edge"/>
          <c:x val="0.46962344476241452"/>
          <c:y val="1.13815845506605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SNI!$AK$60</c:f>
              <c:strCache>
                <c:ptCount val="1"/>
                <c:pt idx="0">
                  <c:v>Nivel 1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(SNI!$BA$18,SNI!$BF$18,SNI!$BK$18,SNI!$BP$18,SNI!$BU$18)</c:f>
              <c:numCache>
                <c:formatCode>#,##0</c:formatCode>
                <c:ptCount val="5"/>
                <c:pt idx="0">
                  <c:v>66</c:v>
                </c:pt>
                <c:pt idx="1">
                  <c:v>67</c:v>
                </c:pt>
                <c:pt idx="2">
                  <c:v>64</c:v>
                </c:pt>
                <c:pt idx="3">
                  <c:v>73</c:v>
                </c:pt>
                <c:pt idx="4">
                  <c:v>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SNI!$AK$61</c:f>
              <c:strCache>
                <c:ptCount val="1"/>
                <c:pt idx="0">
                  <c:v>Nivel 2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(SNI!$BB$18,SNI!$BG$18,SNI!$BL$18,SNI!$BQ$18,SNI!$BV$18)</c:f>
              <c:numCache>
                <c:formatCode>#,##0</c:formatCode>
                <c:ptCount val="5"/>
                <c:pt idx="0">
                  <c:v>48</c:v>
                </c:pt>
                <c:pt idx="1">
                  <c:v>47</c:v>
                </c:pt>
                <c:pt idx="2">
                  <c:v>45</c:v>
                </c:pt>
                <c:pt idx="3">
                  <c:v>43</c:v>
                </c:pt>
                <c:pt idx="4">
                  <c:v>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SNI!$AK$62</c:f>
              <c:strCache>
                <c:ptCount val="1"/>
                <c:pt idx="0">
                  <c:v>Nivel 3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(SNI!$BC$18,SNI!$BH$18,SNI!$BM$18,SNI!$BR$18,SNI!$BW$18)</c:f>
              <c:numCache>
                <c:formatCode>#,##0</c:formatCode>
                <c:ptCount val="5"/>
                <c:pt idx="0">
                  <c:v>17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SNI!$AK$63</c:f>
              <c:strCache>
                <c:ptCount val="1"/>
                <c:pt idx="0">
                  <c:v>Candidato</c:v>
                </c:pt>
              </c:strCache>
            </c:strRef>
          </c:tx>
          <c:spPr>
            <a:ln w="15875">
              <a:solidFill>
                <a:schemeClr val="accent5">
                  <a:lumMod val="50000"/>
                </a:schemeClr>
              </a:solidFill>
            </a:ln>
          </c:spPr>
          <c:marker>
            <c:symbol val="triangle"/>
            <c:size val="3"/>
            <c:spPr>
              <a:solidFill>
                <a:schemeClr val="accent5">
                  <a:lumMod val="50000"/>
                </a:schemeClr>
              </a:solidFill>
              <a:ln>
                <a:solidFill>
                  <a:schemeClr val="accent5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2.2914938358576119E-2"/>
                  <c:y val="-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9003216960122494E-2"/>
                  <c:y val="-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2914938358576119E-2"/>
                  <c:y val="-3.6854172868198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003216960122494E-2"/>
                  <c:y val="-3.14994227832388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(SNI!$AZ$18,SNI!$BE$18,SNI!$BJ$18,SNI!$BO$18,SNI!$BT$18)</c:f>
              <c:numCache>
                <c:formatCode>#,##0</c:formatCode>
                <c:ptCount val="5"/>
                <c:pt idx="0">
                  <c:v>6</c:v>
                </c:pt>
                <c:pt idx="1">
                  <c:v>4</c:v>
                </c:pt>
                <c:pt idx="2">
                  <c:v>6</c:v>
                </c:pt>
                <c:pt idx="3">
                  <c:v>5</c:v>
                </c:pt>
                <c:pt idx="4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319808"/>
        <c:axId val="125333888"/>
      </c:lineChart>
      <c:catAx>
        <c:axId val="12531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25333888"/>
        <c:crosses val="autoZero"/>
        <c:auto val="1"/>
        <c:lblAlgn val="ctr"/>
        <c:lblOffset val="100"/>
        <c:noMultiLvlLbl val="0"/>
      </c:catAx>
      <c:valAx>
        <c:axId val="12533388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531980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9.7110440654744029E-2"/>
          <c:y val="0.88850481555914296"/>
          <c:w val="0.8081839887381228"/>
          <c:h val="9.0362040134484331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57A519"/>
                </a:solidFill>
              </a:defRPr>
            </a:pPr>
            <a:r>
              <a:rPr lang="es-MX" sz="1200">
                <a:solidFill>
                  <a:srgbClr val="57A519"/>
                </a:solidFill>
              </a:rPr>
              <a:t>CBS</a:t>
            </a:r>
          </a:p>
        </c:rich>
      </c:tx>
      <c:layout>
        <c:manualLayout>
          <c:xMode val="edge"/>
          <c:yMode val="edge"/>
          <c:x val="0.46962344476241452"/>
          <c:y val="1.13815845506605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SNI!$AK$60</c:f>
              <c:strCache>
                <c:ptCount val="1"/>
                <c:pt idx="0">
                  <c:v>Nivel 1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(SNI!$BA$19,SNI!$BF$19,SNI!$BK$19,SNI!$BP$19,SNI!$BU$19)</c:f>
              <c:numCache>
                <c:formatCode>#,##0</c:formatCode>
                <c:ptCount val="5"/>
                <c:pt idx="0">
                  <c:v>68</c:v>
                </c:pt>
                <c:pt idx="1">
                  <c:v>68</c:v>
                </c:pt>
                <c:pt idx="2">
                  <c:v>64</c:v>
                </c:pt>
                <c:pt idx="3">
                  <c:v>62</c:v>
                </c:pt>
                <c:pt idx="4">
                  <c:v>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SNI!$AK$61</c:f>
              <c:strCache>
                <c:ptCount val="1"/>
                <c:pt idx="0">
                  <c:v>Nivel 2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0"/>
              <c:layout>
                <c:manualLayout>
                  <c:x val="-3.5165700471978437E-2"/>
                  <c:y val="4.3323793794677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267440389238429E-2"/>
                  <c:y val="3.7847594313258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(SNI!$BB$19,SNI!$BG$19,SNI!$BL$19,SNI!$BQ$19,SNI!$BV$19)</c:f>
              <c:numCache>
                <c:formatCode>#,##0</c:formatCode>
                <c:ptCount val="5"/>
                <c:pt idx="0">
                  <c:v>12</c:v>
                </c:pt>
                <c:pt idx="1">
                  <c:v>12</c:v>
                </c:pt>
                <c:pt idx="2">
                  <c:v>17</c:v>
                </c:pt>
                <c:pt idx="3">
                  <c:v>26</c:v>
                </c:pt>
                <c:pt idx="4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SNI!$AK$62</c:f>
              <c:strCache>
                <c:ptCount val="1"/>
                <c:pt idx="0">
                  <c:v>Nivel 3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3.5165700471978437E-2"/>
                  <c:y val="-3.2649596355644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9512272973004057E-2"/>
                  <c:y val="-1.6638300197094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(SNI!$BC$19,SNI!$BH$19,SNI!$BM$19,SNI!$BR$19,SNI!$BW$19)</c:f>
              <c:numCache>
                <c:formatCode>#,##0</c:formatCode>
                <c:ptCount val="5"/>
                <c:pt idx="0">
                  <c:v>13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SNI!$AK$63</c:f>
              <c:strCache>
                <c:ptCount val="1"/>
                <c:pt idx="0">
                  <c:v>Candidato</c:v>
                </c:pt>
              </c:strCache>
            </c:strRef>
          </c:tx>
          <c:spPr>
            <a:ln w="15875">
              <a:solidFill>
                <a:schemeClr val="accent5">
                  <a:lumMod val="50000"/>
                </a:schemeClr>
              </a:solidFill>
            </a:ln>
          </c:spPr>
          <c:marker>
            <c:symbol val="triangle"/>
            <c:size val="3"/>
            <c:spPr>
              <a:solidFill>
                <a:schemeClr val="accent5">
                  <a:lumMod val="50000"/>
                </a:schemeClr>
              </a:solidFill>
              <a:ln>
                <a:solidFill>
                  <a:schemeClr val="accent5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2.2914938358576119E-2"/>
                  <c:y val="-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9003216960122494E-2"/>
                  <c:y val="-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2914938358576119E-2"/>
                  <c:y val="-3.6854172868198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003216960122494E-2"/>
                  <c:y val="-3.14994227832388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SNI!$AY$61:$AY$65</c:f>
              <c:numCache>
                <c:formatCode>General</c:formatCode>
                <c:ptCount val="5"/>
              </c:numCache>
            </c:numRef>
          </c:cat>
          <c:val>
            <c:numRef>
              <c:f>(SNI!$AZ$19,SNI!$BE$19,SNI!$BJ$19,SNI!$BO$19,SNI!$BT$19)</c:f>
              <c:numCache>
                <c:formatCode>#,##0</c:formatCode>
                <c:ptCount val="5"/>
                <c:pt idx="0">
                  <c:v>21</c:v>
                </c:pt>
                <c:pt idx="1">
                  <c:v>17</c:v>
                </c:pt>
                <c:pt idx="2">
                  <c:v>16</c:v>
                </c:pt>
                <c:pt idx="3">
                  <c:v>19</c:v>
                </c:pt>
                <c:pt idx="4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145472"/>
        <c:axId val="125147008"/>
      </c:lineChart>
      <c:catAx>
        <c:axId val="12514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25147008"/>
        <c:crosses val="autoZero"/>
        <c:auto val="1"/>
        <c:lblAlgn val="ctr"/>
        <c:lblOffset val="100"/>
        <c:noMultiLvlLbl val="0"/>
      </c:catAx>
      <c:valAx>
        <c:axId val="12514700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514547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9.7110440654744029E-2"/>
          <c:y val="0.88850481555914296"/>
          <c:w val="0.8081839887381228"/>
          <c:h val="9.0362040134484331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Indice!E1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7" Type="http://schemas.openxmlformats.org/officeDocument/2006/relationships/hyperlink" Target="#Indice!B13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5" Type="http://schemas.openxmlformats.org/officeDocument/2006/relationships/hyperlink" Target="#Indice!B14"/><Relationship Id="rId4" Type="http://schemas.openxmlformats.org/officeDocument/2006/relationships/chart" Target="../charts/chart2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dice!B15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7" Type="http://schemas.openxmlformats.org/officeDocument/2006/relationships/hyperlink" Target="#Indice!B16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Indice!B17"/><Relationship Id="rId1" Type="http://schemas.openxmlformats.org/officeDocument/2006/relationships/chart" Target="../charts/chart3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Indice!B18"/><Relationship Id="rId1" Type="http://schemas.openxmlformats.org/officeDocument/2006/relationships/chart" Target="../charts/chart3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dice!B19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hyperlink" Target="#Indice!B20"/><Relationship Id="rId1" Type="http://schemas.openxmlformats.org/officeDocument/2006/relationships/chart" Target="../charts/chart32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Indice!B2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hyperlink" Target="#Indice!B22"/><Relationship Id="rId5" Type="http://schemas.openxmlformats.org/officeDocument/2006/relationships/chart" Target="../charts/chart37.xml"/><Relationship Id="rId4" Type="http://schemas.openxmlformats.org/officeDocument/2006/relationships/chart" Target="../charts/chart3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B5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hyperlink" Target="#Indice!B23"/><Relationship Id="rId1" Type="http://schemas.openxmlformats.org/officeDocument/2006/relationships/chart" Target="../charts/chart3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Indice!B24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Indice!B25"/><Relationship Id="rId1" Type="http://schemas.openxmlformats.org/officeDocument/2006/relationships/chart" Target="../charts/chart39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Indice!B26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Indice!B27"/><Relationship Id="rId1" Type="http://schemas.openxmlformats.org/officeDocument/2006/relationships/chart" Target="../charts/chart40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Indice!B28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hyperlink" Target="#Indice!B29"/><Relationship Id="rId1" Type="http://schemas.openxmlformats.org/officeDocument/2006/relationships/chart" Target="../charts/chart41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Indice!B30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hyperlink" Target="#Indice!B3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Indice!B32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Indice!B6"/><Relationship Id="rId1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Indice!B33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hyperlink" Target="#Indice!B34"/><Relationship Id="rId1" Type="http://schemas.openxmlformats.org/officeDocument/2006/relationships/chart" Target="../charts/chart44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hyperlink" Target="#Indice!B35"/><Relationship Id="rId1" Type="http://schemas.openxmlformats.org/officeDocument/2006/relationships/chart" Target="../charts/chart45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Indice!E5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Indice!E6"/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Indice!E7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Indice!E8"/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Indice!E9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Indice!E10"/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Indice!E1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Indice!B7"/><Relationship Id="rId1" Type="http://schemas.openxmlformats.org/officeDocument/2006/relationships/chart" Target="../charts/chart2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Indice!E12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Indice!E13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Indice!E14"/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Indice!E15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Indice!E16"/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Indice!E17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Indice!E18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Indice!H5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Indice!H6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hyperlink" Target="#Indice!H7"/><Relationship Id="rId1" Type="http://schemas.openxmlformats.org/officeDocument/2006/relationships/chart" Target="../charts/chart5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B8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Indice!H8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Indice!H9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Indice!H10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Indice!H1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Indice!H12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Indice!H13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Indice!H14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Indice!H15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Indice!H16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Indice!H17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7" Type="http://schemas.openxmlformats.org/officeDocument/2006/relationships/hyperlink" Target="#Indice!B9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hyperlink" Target="#Indice!H18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hyperlink" Target="#Indice!H19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hyperlink" Target="#Indice!H20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hyperlink" Target="#Indice!H21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hyperlink" Target="#Indice!H22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hyperlink" Target="#Indice!H23"/><Relationship Id="rId1" Type="http://schemas.openxmlformats.org/officeDocument/2006/relationships/chart" Target="../charts/chart59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hyperlink" Target="#Indice!H24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hyperlink" Target="#Indice!H25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hyperlink" Target="#Indice!H26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hyperlink" Target="#Indice!H28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Indice!B10"/><Relationship Id="rId1" Type="http://schemas.openxmlformats.org/officeDocument/2006/relationships/chart" Target="../charts/chart9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hyperlink" Target="#Indice!H30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Indice!K5"/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hyperlink" Target="#Indice!K6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Indice!K7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4" Type="http://schemas.openxmlformats.org/officeDocument/2006/relationships/chart" Target="../charts/chart64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Indice!K8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4" Type="http://schemas.openxmlformats.org/officeDocument/2006/relationships/chart" Target="../charts/chart67.xml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Indice!K9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4" Type="http://schemas.openxmlformats.org/officeDocument/2006/relationships/chart" Target="../charts/chart70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hyperlink" Target="#Indice!K10"/><Relationship Id="rId1" Type="http://schemas.openxmlformats.org/officeDocument/2006/relationships/chart" Target="../charts/chart71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hyperlink" Target="#Indice!I9"/></Relationships>
</file>

<file path=xl/drawings/_rels/drawing78.xml.rels><?xml version="1.0" encoding="UTF-8" standalone="yes"?>
<Relationships xmlns="http://schemas.openxmlformats.org/package/2006/relationships"><Relationship Id="rId8" Type="http://schemas.openxmlformats.org/officeDocument/2006/relationships/hyperlink" Target="#Indice!K11"/><Relationship Id="rId3" Type="http://schemas.openxmlformats.org/officeDocument/2006/relationships/chart" Target="../charts/chart74.xml"/><Relationship Id="rId7" Type="http://schemas.openxmlformats.org/officeDocument/2006/relationships/chart" Target="../charts/chart78.xml"/><Relationship Id="rId2" Type="http://schemas.openxmlformats.org/officeDocument/2006/relationships/chart" Target="../charts/chart73.xml"/><Relationship Id="rId1" Type="http://schemas.openxmlformats.org/officeDocument/2006/relationships/chart" Target="../charts/chart72.xml"/><Relationship Id="rId6" Type="http://schemas.openxmlformats.org/officeDocument/2006/relationships/chart" Target="../charts/chart77.xml"/><Relationship Id="rId5" Type="http://schemas.openxmlformats.org/officeDocument/2006/relationships/chart" Target="../charts/chart76.xml"/><Relationship Id="rId4" Type="http://schemas.openxmlformats.org/officeDocument/2006/relationships/chart" Target="../charts/chart75.xml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hyperlink" Target="#Indice!K12"/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5" Type="http://schemas.openxmlformats.org/officeDocument/2006/relationships/hyperlink" Target="#Indice!B11"/><Relationship Id="rId4" Type="http://schemas.openxmlformats.org/officeDocument/2006/relationships/chart" Target="../charts/chart13.xml"/></Relationships>
</file>

<file path=xl/drawings/_rels/drawing8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7.xml"/><Relationship Id="rId3" Type="http://schemas.openxmlformats.org/officeDocument/2006/relationships/chart" Target="../charts/chart82.xml"/><Relationship Id="rId7" Type="http://schemas.openxmlformats.org/officeDocument/2006/relationships/chart" Target="../charts/chart86.xml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6" Type="http://schemas.openxmlformats.org/officeDocument/2006/relationships/chart" Target="../charts/chart85.xml"/><Relationship Id="rId5" Type="http://schemas.openxmlformats.org/officeDocument/2006/relationships/chart" Target="../charts/chart84.xml"/><Relationship Id="rId4" Type="http://schemas.openxmlformats.org/officeDocument/2006/relationships/chart" Target="../charts/chart83.xml"/><Relationship Id="rId9" Type="http://schemas.openxmlformats.org/officeDocument/2006/relationships/hyperlink" Target="#Indice!K13"/></Relationships>
</file>

<file path=xl/drawings/_rels/drawing8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5.xml"/><Relationship Id="rId13" Type="http://schemas.openxmlformats.org/officeDocument/2006/relationships/chart" Target="../charts/chart100.xml"/><Relationship Id="rId18" Type="http://schemas.openxmlformats.org/officeDocument/2006/relationships/chart" Target="../charts/chart105.xml"/><Relationship Id="rId26" Type="http://schemas.openxmlformats.org/officeDocument/2006/relationships/chart" Target="../charts/chart113.xml"/><Relationship Id="rId3" Type="http://schemas.openxmlformats.org/officeDocument/2006/relationships/chart" Target="../charts/chart90.xml"/><Relationship Id="rId21" Type="http://schemas.openxmlformats.org/officeDocument/2006/relationships/chart" Target="../charts/chart108.xml"/><Relationship Id="rId7" Type="http://schemas.openxmlformats.org/officeDocument/2006/relationships/chart" Target="../charts/chart94.xml"/><Relationship Id="rId12" Type="http://schemas.openxmlformats.org/officeDocument/2006/relationships/chart" Target="../charts/chart99.xml"/><Relationship Id="rId17" Type="http://schemas.openxmlformats.org/officeDocument/2006/relationships/chart" Target="../charts/chart104.xml"/><Relationship Id="rId25" Type="http://schemas.openxmlformats.org/officeDocument/2006/relationships/chart" Target="../charts/chart112.xml"/><Relationship Id="rId2" Type="http://schemas.openxmlformats.org/officeDocument/2006/relationships/chart" Target="../charts/chart89.xml"/><Relationship Id="rId16" Type="http://schemas.openxmlformats.org/officeDocument/2006/relationships/chart" Target="../charts/chart103.xml"/><Relationship Id="rId20" Type="http://schemas.openxmlformats.org/officeDocument/2006/relationships/chart" Target="../charts/chart107.xml"/><Relationship Id="rId1" Type="http://schemas.openxmlformats.org/officeDocument/2006/relationships/chart" Target="../charts/chart88.xml"/><Relationship Id="rId6" Type="http://schemas.openxmlformats.org/officeDocument/2006/relationships/chart" Target="../charts/chart93.xml"/><Relationship Id="rId11" Type="http://schemas.openxmlformats.org/officeDocument/2006/relationships/chart" Target="../charts/chart98.xml"/><Relationship Id="rId24" Type="http://schemas.openxmlformats.org/officeDocument/2006/relationships/chart" Target="../charts/chart111.xml"/><Relationship Id="rId5" Type="http://schemas.openxmlformats.org/officeDocument/2006/relationships/chart" Target="../charts/chart92.xml"/><Relationship Id="rId15" Type="http://schemas.openxmlformats.org/officeDocument/2006/relationships/chart" Target="../charts/chart102.xml"/><Relationship Id="rId23" Type="http://schemas.openxmlformats.org/officeDocument/2006/relationships/chart" Target="../charts/chart110.xml"/><Relationship Id="rId10" Type="http://schemas.openxmlformats.org/officeDocument/2006/relationships/chart" Target="../charts/chart97.xml"/><Relationship Id="rId19" Type="http://schemas.openxmlformats.org/officeDocument/2006/relationships/chart" Target="../charts/chart106.xml"/><Relationship Id="rId4" Type="http://schemas.openxmlformats.org/officeDocument/2006/relationships/chart" Target="../charts/chart91.xml"/><Relationship Id="rId9" Type="http://schemas.openxmlformats.org/officeDocument/2006/relationships/chart" Target="../charts/chart96.xml"/><Relationship Id="rId14" Type="http://schemas.openxmlformats.org/officeDocument/2006/relationships/chart" Target="../charts/chart101.xml"/><Relationship Id="rId22" Type="http://schemas.openxmlformats.org/officeDocument/2006/relationships/chart" Target="../charts/chart109.xml"/><Relationship Id="rId27" Type="http://schemas.openxmlformats.org/officeDocument/2006/relationships/hyperlink" Target="#Indice!K14"/></Relationships>
</file>

<file path=xl/drawings/_rels/drawing8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1.xml"/><Relationship Id="rId13" Type="http://schemas.openxmlformats.org/officeDocument/2006/relationships/chart" Target="../charts/chart126.xml"/><Relationship Id="rId18" Type="http://schemas.openxmlformats.org/officeDocument/2006/relationships/hyperlink" Target="#Indice!K15"/><Relationship Id="rId3" Type="http://schemas.openxmlformats.org/officeDocument/2006/relationships/chart" Target="../charts/chart116.xml"/><Relationship Id="rId7" Type="http://schemas.openxmlformats.org/officeDocument/2006/relationships/chart" Target="../charts/chart120.xml"/><Relationship Id="rId12" Type="http://schemas.openxmlformats.org/officeDocument/2006/relationships/chart" Target="../charts/chart125.xml"/><Relationship Id="rId17" Type="http://schemas.openxmlformats.org/officeDocument/2006/relationships/chart" Target="../charts/chart130.xml"/><Relationship Id="rId2" Type="http://schemas.openxmlformats.org/officeDocument/2006/relationships/chart" Target="../charts/chart115.xml"/><Relationship Id="rId16" Type="http://schemas.openxmlformats.org/officeDocument/2006/relationships/chart" Target="../charts/chart129.xml"/><Relationship Id="rId1" Type="http://schemas.openxmlformats.org/officeDocument/2006/relationships/chart" Target="../charts/chart114.xml"/><Relationship Id="rId6" Type="http://schemas.openxmlformats.org/officeDocument/2006/relationships/chart" Target="../charts/chart119.xml"/><Relationship Id="rId11" Type="http://schemas.openxmlformats.org/officeDocument/2006/relationships/chart" Target="../charts/chart124.xml"/><Relationship Id="rId5" Type="http://schemas.openxmlformats.org/officeDocument/2006/relationships/chart" Target="../charts/chart118.xml"/><Relationship Id="rId15" Type="http://schemas.openxmlformats.org/officeDocument/2006/relationships/chart" Target="../charts/chart128.xml"/><Relationship Id="rId10" Type="http://schemas.openxmlformats.org/officeDocument/2006/relationships/chart" Target="../charts/chart123.xml"/><Relationship Id="rId4" Type="http://schemas.openxmlformats.org/officeDocument/2006/relationships/chart" Target="../charts/chart117.xml"/><Relationship Id="rId9" Type="http://schemas.openxmlformats.org/officeDocument/2006/relationships/chart" Target="../charts/chart122.xml"/><Relationship Id="rId14" Type="http://schemas.openxmlformats.org/officeDocument/2006/relationships/chart" Target="../charts/chart127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hyperlink" Target="#Indice!K16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Indice!K17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hyperlink" Target="#Indice!K22"/><Relationship Id="rId1" Type="http://schemas.openxmlformats.org/officeDocument/2006/relationships/image" Target="NUL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hyperlink" Target="#Indice!K23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hyperlink" Target="#Indice!K24"/><Relationship Id="rId1" Type="http://schemas.openxmlformats.org/officeDocument/2006/relationships/chart" Target="../charts/chart133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hyperlink" Target="#Indice!K25"/><Relationship Id="rId1" Type="http://schemas.openxmlformats.org/officeDocument/2006/relationships/chart" Target="../charts/chart134.xml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6.xml"/><Relationship Id="rId7" Type="http://schemas.openxmlformats.org/officeDocument/2006/relationships/chart" Target="../charts/chart140.xml"/><Relationship Id="rId2" Type="http://schemas.openxmlformats.org/officeDocument/2006/relationships/chart" Target="../charts/chart135.xml"/><Relationship Id="rId1" Type="http://schemas.openxmlformats.org/officeDocument/2006/relationships/hyperlink" Target="#Indice!K26"/><Relationship Id="rId6" Type="http://schemas.openxmlformats.org/officeDocument/2006/relationships/chart" Target="../charts/chart139.xml"/><Relationship Id="rId5" Type="http://schemas.openxmlformats.org/officeDocument/2006/relationships/chart" Target="../charts/chart138.xml"/><Relationship Id="rId4" Type="http://schemas.openxmlformats.org/officeDocument/2006/relationships/chart" Target="../charts/chart13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B12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3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4" Type="http://schemas.openxmlformats.org/officeDocument/2006/relationships/hyperlink" Target="#Indice!K27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hyperlink" Target="#Indice!K28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25401</xdr:colOff>
      <xdr:row>0</xdr:row>
      <xdr:rowOff>31745</xdr:rowOff>
    </xdr:from>
    <xdr:to>
      <xdr:col>14</xdr:col>
      <xdr:colOff>0</xdr:colOff>
      <xdr:row>41</xdr:row>
      <xdr:rowOff>127000</xdr:rowOff>
    </xdr:to>
    <xdr:pic>
      <xdr:nvPicPr>
        <xdr:cNvPr id="5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1" y="31745"/>
          <a:ext cx="10642599" cy="6699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31749</xdr:colOff>
      <xdr:row>36</xdr:row>
      <xdr:rowOff>10584</xdr:rowOff>
    </xdr:from>
    <xdr:to>
      <xdr:col>4</xdr:col>
      <xdr:colOff>428619</xdr:colOff>
      <xdr:row>38</xdr:row>
      <xdr:rowOff>52846</xdr:rowOff>
    </xdr:to>
    <xdr:sp macro="" textlink="">
      <xdr:nvSpPr>
        <xdr:cNvPr id="6" name="5 Botón de acción: Inicio">
          <a:hlinkClick xmlns:r="http://schemas.openxmlformats.org/officeDocument/2006/relationships" r:id="rId2"/>
        </xdr:cNvPr>
        <xdr:cNvSpPr/>
      </xdr:nvSpPr>
      <xdr:spPr>
        <a:xfrm>
          <a:off x="3079749" y="5820834"/>
          <a:ext cx="396870" cy="359762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3</xdr:col>
      <xdr:colOff>718604</xdr:colOff>
      <xdr:row>38</xdr:row>
      <xdr:rowOff>86673</xdr:rowOff>
    </xdr:from>
    <xdr:to>
      <xdr:col>4</xdr:col>
      <xdr:colOff>518579</xdr:colOff>
      <xdr:row>39</xdr:row>
      <xdr:rowOff>115850</xdr:rowOff>
    </xdr:to>
    <xdr:sp macro="" textlink="">
      <xdr:nvSpPr>
        <xdr:cNvPr id="7" name="6 CuadroTexto"/>
        <xdr:cNvSpPr txBox="1"/>
      </xdr:nvSpPr>
      <xdr:spPr>
        <a:xfrm>
          <a:off x="3004604" y="6214423"/>
          <a:ext cx="561975" cy="18792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>
              <a:solidFill>
                <a:srgbClr val="CC9900"/>
              </a:solidFill>
            </a:rPr>
            <a:t>Entrar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209550</xdr:colOff>
      <xdr:row>40</xdr:row>
      <xdr:rowOff>76200</xdr:rowOff>
    </xdr:from>
    <xdr:to>
      <xdr:col>38</xdr:col>
      <xdr:colOff>76201</xdr:colOff>
      <xdr:row>64</xdr:row>
      <xdr:rowOff>185739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68</xdr:row>
      <xdr:rowOff>9525</xdr:rowOff>
    </xdr:from>
    <xdr:to>
      <xdr:col>13</xdr:col>
      <xdr:colOff>247650</xdr:colOff>
      <xdr:row>80</xdr:row>
      <xdr:rowOff>180975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485775</xdr:colOff>
      <xdr:row>68</xdr:row>
      <xdr:rowOff>0</xdr:rowOff>
    </xdr:from>
    <xdr:to>
      <xdr:col>21</xdr:col>
      <xdr:colOff>152400</xdr:colOff>
      <xdr:row>80</xdr:row>
      <xdr:rowOff>171450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285750</xdr:colOff>
      <xdr:row>68</xdr:row>
      <xdr:rowOff>19050</xdr:rowOff>
    </xdr:from>
    <xdr:to>
      <xdr:col>28</xdr:col>
      <xdr:colOff>533400</xdr:colOff>
      <xdr:row>81</xdr:row>
      <xdr:rowOff>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29</xdr:col>
      <xdr:colOff>47625</xdr:colOff>
      <xdr:row>68</xdr:row>
      <xdr:rowOff>38100</xdr:rowOff>
    </xdr:from>
    <xdr:to>
      <xdr:col>36</xdr:col>
      <xdr:colOff>295275</xdr:colOff>
      <xdr:row>81</xdr:row>
      <xdr:rowOff>19050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36</xdr:col>
      <xdr:colOff>323850</xdr:colOff>
      <xdr:row>68</xdr:row>
      <xdr:rowOff>19050</xdr:rowOff>
    </xdr:from>
    <xdr:to>
      <xdr:col>42</xdr:col>
      <xdr:colOff>428625</xdr:colOff>
      <xdr:row>81</xdr:row>
      <xdr:rowOff>0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39</xdr:col>
      <xdr:colOff>733426</xdr:colOff>
      <xdr:row>0</xdr:row>
      <xdr:rowOff>619125</xdr:rowOff>
    </xdr:from>
    <xdr:to>
      <xdr:col>40</xdr:col>
      <xdr:colOff>266700</xdr:colOff>
      <xdr:row>0</xdr:row>
      <xdr:rowOff>866774</xdr:rowOff>
    </xdr:to>
    <xdr:sp macro="" textlink="">
      <xdr:nvSpPr>
        <xdr:cNvPr id="11" name="10 Botón de acción: Inicio">
          <a:hlinkClick xmlns:r="http://schemas.openxmlformats.org/officeDocument/2006/relationships" r:id="rId7"/>
        </xdr:cNvPr>
        <xdr:cNvSpPr/>
      </xdr:nvSpPr>
      <xdr:spPr>
        <a:xfrm>
          <a:off x="24183976" y="619125"/>
          <a:ext cx="295274" cy="247649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1000123</xdr:colOff>
      <xdr:row>38</xdr:row>
      <xdr:rowOff>4762</xdr:rowOff>
    </xdr:from>
    <xdr:to>
      <xdr:col>14</xdr:col>
      <xdr:colOff>237233</xdr:colOff>
      <xdr:row>64</xdr:row>
      <xdr:rowOff>4762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98423</xdr:colOff>
      <xdr:row>37</xdr:row>
      <xdr:rowOff>142875</xdr:rowOff>
    </xdr:from>
    <xdr:to>
      <xdr:col>37</xdr:col>
      <xdr:colOff>603250</xdr:colOff>
      <xdr:row>63</xdr:row>
      <xdr:rowOff>142875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1117598</xdr:colOff>
      <xdr:row>66</xdr:row>
      <xdr:rowOff>17461</xdr:rowOff>
    </xdr:from>
    <xdr:to>
      <xdr:col>14</xdr:col>
      <xdr:colOff>240628</xdr:colOff>
      <xdr:row>93</xdr:row>
      <xdr:rowOff>100011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171450</xdr:colOff>
      <xdr:row>66</xdr:row>
      <xdr:rowOff>12700</xdr:rowOff>
    </xdr:from>
    <xdr:to>
      <xdr:col>37</xdr:col>
      <xdr:colOff>619125</xdr:colOff>
      <xdr:row>93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19050</xdr:colOff>
      <xdr:row>0</xdr:row>
      <xdr:rowOff>38100</xdr:rowOff>
    </xdr:from>
    <xdr:to>
      <xdr:col>14</xdr:col>
      <xdr:colOff>285750</xdr:colOff>
      <xdr:row>1</xdr:row>
      <xdr:rowOff>0</xdr:rowOff>
    </xdr:to>
    <xdr:sp macro="" textlink="">
      <xdr:nvSpPr>
        <xdr:cNvPr id="7" name="6 Botón de acción: Inicio">
          <a:hlinkClick xmlns:r="http://schemas.openxmlformats.org/officeDocument/2006/relationships" r:id="rId5"/>
        </xdr:cNvPr>
        <xdr:cNvSpPr/>
      </xdr:nvSpPr>
      <xdr:spPr>
        <a:xfrm>
          <a:off x="10039350" y="228600"/>
          <a:ext cx="266700" cy="2286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152400</xdr:colOff>
      <xdr:row>0</xdr:row>
      <xdr:rowOff>219075</xdr:rowOff>
    </xdr:from>
    <xdr:to>
      <xdr:col>41</xdr:col>
      <xdr:colOff>438150</xdr:colOff>
      <xdr:row>1</xdr:row>
      <xdr:rowOff>38100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25936575" y="219075"/>
          <a:ext cx="285750" cy="219075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314325</xdr:colOff>
      <xdr:row>40</xdr:row>
      <xdr:rowOff>57150</xdr:rowOff>
    </xdr:from>
    <xdr:to>
      <xdr:col>38</xdr:col>
      <xdr:colOff>47625</xdr:colOff>
      <xdr:row>71</xdr:row>
      <xdr:rowOff>19050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72</xdr:row>
      <xdr:rowOff>9525</xdr:rowOff>
    </xdr:from>
    <xdr:to>
      <xdr:col>13</xdr:col>
      <xdr:colOff>247650</xdr:colOff>
      <xdr:row>87</xdr:row>
      <xdr:rowOff>38100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485775</xdr:colOff>
      <xdr:row>72</xdr:row>
      <xdr:rowOff>0</xdr:rowOff>
    </xdr:from>
    <xdr:to>
      <xdr:col>21</xdr:col>
      <xdr:colOff>152400</xdr:colOff>
      <xdr:row>87</xdr:row>
      <xdr:rowOff>28575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285750</xdr:colOff>
      <xdr:row>72</xdr:row>
      <xdr:rowOff>19050</xdr:rowOff>
    </xdr:from>
    <xdr:to>
      <xdr:col>28</xdr:col>
      <xdr:colOff>533400</xdr:colOff>
      <xdr:row>87</xdr:row>
      <xdr:rowOff>47625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29</xdr:col>
      <xdr:colOff>47625</xdr:colOff>
      <xdr:row>72</xdr:row>
      <xdr:rowOff>38100</xdr:rowOff>
    </xdr:from>
    <xdr:to>
      <xdr:col>36</xdr:col>
      <xdr:colOff>295275</xdr:colOff>
      <xdr:row>87</xdr:row>
      <xdr:rowOff>66675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36</xdr:col>
      <xdr:colOff>323850</xdr:colOff>
      <xdr:row>72</xdr:row>
      <xdr:rowOff>19050</xdr:rowOff>
    </xdr:from>
    <xdr:to>
      <xdr:col>42</xdr:col>
      <xdr:colOff>428625</xdr:colOff>
      <xdr:row>87</xdr:row>
      <xdr:rowOff>47625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39</xdr:col>
      <xdr:colOff>514350</xdr:colOff>
      <xdr:row>0</xdr:row>
      <xdr:rowOff>495299</xdr:rowOff>
    </xdr:from>
    <xdr:to>
      <xdr:col>40</xdr:col>
      <xdr:colOff>219075</xdr:colOff>
      <xdr:row>0</xdr:row>
      <xdr:rowOff>752474</xdr:rowOff>
    </xdr:to>
    <xdr:sp macro="" textlink="">
      <xdr:nvSpPr>
        <xdr:cNvPr id="11" name="10 Botón de acción: Inicio">
          <a:hlinkClick xmlns:r="http://schemas.openxmlformats.org/officeDocument/2006/relationships" r:id="rId7"/>
        </xdr:cNvPr>
        <xdr:cNvSpPr/>
      </xdr:nvSpPr>
      <xdr:spPr>
        <a:xfrm>
          <a:off x="23764875" y="495299"/>
          <a:ext cx="285750" cy="257175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104773</xdr:colOff>
      <xdr:row>40</xdr:row>
      <xdr:rowOff>0</xdr:rowOff>
    </xdr:from>
    <xdr:to>
      <xdr:col>15</xdr:col>
      <xdr:colOff>257174</xdr:colOff>
      <xdr:row>72</xdr:row>
      <xdr:rowOff>38099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352425</xdr:colOff>
      <xdr:row>0</xdr:row>
      <xdr:rowOff>114300</xdr:rowOff>
    </xdr:from>
    <xdr:to>
      <xdr:col>15</xdr:col>
      <xdr:colOff>638175</xdr:colOff>
      <xdr:row>1</xdr:row>
      <xdr:rowOff>180975</xdr:rowOff>
    </xdr:to>
    <xdr:sp macro="" textlink="">
      <xdr:nvSpPr>
        <xdr:cNvPr id="4" name="3 Botón de acción: Inicio">
          <a:hlinkClick xmlns:r="http://schemas.openxmlformats.org/officeDocument/2006/relationships" r:id="rId2"/>
        </xdr:cNvPr>
        <xdr:cNvSpPr/>
      </xdr:nvSpPr>
      <xdr:spPr>
        <a:xfrm>
          <a:off x="12325350" y="114300"/>
          <a:ext cx="285750" cy="2667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142874</xdr:colOff>
      <xdr:row>41</xdr:row>
      <xdr:rowOff>85725</xdr:rowOff>
    </xdr:from>
    <xdr:to>
      <xdr:col>15</xdr:col>
      <xdr:colOff>85725</xdr:colOff>
      <xdr:row>75</xdr:row>
      <xdr:rowOff>28575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323850</xdr:colOff>
      <xdr:row>0</xdr:row>
      <xdr:rowOff>190500</xdr:rowOff>
    </xdr:from>
    <xdr:to>
      <xdr:col>15</xdr:col>
      <xdr:colOff>619125</xdr:colOff>
      <xdr:row>2</xdr:row>
      <xdr:rowOff>38100</xdr:rowOff>
    </xdr:to>
    <xdr:sp macro="" textlink="">
      <xdr:nvSpPr>
        <xdr:cNvPr id="4" name="3 Botón de acción: Inicio">
          <a:hlinkClick xmlns:r="http://schemas.openxmlformats.org/officeDocument/2006/relationships" r:id="rId2"/>
        </xdr:cNvPr>
        <xdr:cNvSpPr/>
      </xdr:nvSpPr>
      <xdr:spPr>
        <a:xfrm>
          <a:off x="12782550" y="190500"/>
          <a:ext cx="295275" cy="24765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209550</xdr:colOff>
      <xdr:row>0</xdr:row>
      <xdr:rowOff>104775</xdr:rowOff>
    </xdr:from>
    <xdr:to>
      <xdr:col>15</xdr:col>
      <xdr:colOff>495300</xdr:colOff>
      <xdr:row>0</xdr:row>
      <xdr:rowOff>342900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11687175" y="104775"/>
          <a:ext cx="285750" cy="238125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619125</xdr:colOff>
      <xdr:row>41</xdr:row>
      <xdr:rowOff>14284</xdr:rowOff>
    </xdr:from>
    <xdr:to>
      <xdr:col>13</xdr:col>
      <xdr:colOff>85725</xdr:colOff>
      <xdr:row>75</xdr:row>
      <xdr:rowOff>66675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400050</xdr:colOff>
      <xdr:row>1</xdr:row>
      <xdr:rowOff>0</xdr:rowOff>
    </xdr:from>
    <xdr:to>
      <xdr:col>14</xdr:col>
      <xdr:colOff>685800</xdr:colOff>
      <xdr:row>2</xdr:row>
      <xdr:rowOff>66675</xdr:rowOff>
    </xdr:to>
    <xdr:sp macro="" textlink="">
      <xdr:nvSpPr>
        <xdr:cNvPr id="4" name="3 Botón de acción: Inicio">
          <a:hlinkClick xmlns:r="http://schemas.openxmlformats.org/officeDocument/2006/relationships" r:id="rId2"/>
        </xdr:cNvPr>
        <xdr:cNvSpPr/>
      </xdr:nvSpPr>
      <xdr:spPr>
        <a:xfrm>
          <a:off x="11677650" y="180975"/>
          <a:ext cx="285750" cy="2667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70</xdr:col>
      <xdr:colOff>123825</xdr:colOff>
      <xdr:row>0</xdr:row>
      <xdr:rowOff>209550</xdr:rowOff>
    </xdr:from>
    <xdr:to>
      <xdr:col>70</xdr:col>
      <xdr:colOff>409575</xdr:colOff>
      <xdr:row>1</xdr:row>
      <xdr:rowOff>38100</xdr:rowOff>
    </xdr:to>
    <xdr:sp macro="" textlink="">
      <xdr:nvSpPr>
        <xdr:cNvPr id="4" name="3 Botón de acción: Inicio">
          <a:hlinkClick xmlns:r="http://schemas.openxmlformats.org/officeDocument/2006/relationships" r:id="rId1"/>
        </xdr:cNvPr>
        <xdr:cNvSpPr/>
      </xdr:nvSpPr>
      <xdr:spPr>
        <a:xfrm>
          <a:off x="38719125" y="209550"/>
          <a:ext cx="285750" cy="2667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44</xdr:col>
      <xdr:colOff>38100</xdr:colOff>
      <xdr:row>40</xdr:row>
      <xdr:rowOff>133350</xdr:rowOff>
    </xdr:from>
    <xdr:to>
      <xdr:col>65</xdr:col>
      <xdr:colOff>104775</xdr:colOff>
      <xdr:row>71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295275</xdr:colOff>
      <xdr:row>106</xdr:row>
      <xdr:rowOff>9525</xdr:rowOff>
    </xdr:from>
    <xdr:to>
      <xdr:col>40</xdr:col>
      <xdr:colOff>295275</xdr:colOff>
      <xdr:row>121</xdr:row>
      <xdr:rowOff>38100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19050</xdr:colOff>
      <xdr:row>106</xdr:row>
      <xdr:rowOff>0</xdr:rowOff>
    </xdr:from>
    <xdr:to>
      <xdr:col>49</xdr:col>
      <xdr:colOff>85725</xdr:colOff>
      <xdr:row>121</xdr:row>
      <xdr:rowOff>28575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49</xdr:col>
      <xdr:colOff>219075</xdr:colOff>
      <xdr:row>106</xdr:row>
      <xdr:rowOff>19050</xdr:rowOff>
    </xdr:from>
    <xdr:to>
      <xdr:col>57</xdr:col>
      <xdr:colOff>285750</xdr:colOff>
      <xdr:row>121</xdr:row>
      <xdr:rowOff>47625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57</xdr:col>
      <xdr:colOff>361950</xdr:colOff>
      <xdr:row>106</xdr:row>
      <xdr:rowOff>28575</xdr:rowOff>
    </xdr:from>
    <xdr:to>
      <xdr:col>66</xdr:col>
      <xdr:colOff>47625</xdr:colOff>
      <xdr:row>121</xdr:row>
      <xdr:rowOff>57150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64</xdr:col>
      <xdr:colOff>457200</xdr:colOff>
      <xdr:row>0</xdr:row>
      <xdr:rowOff>352425</xdr:rowOff>
    </xdr:from>
    <xdr:to>
      <xdr:col>65</xdr:col>
      <xdr:colOff>228600</xdr:colOff>
      <xdr:row>0</xdr:row>
      <xdr:rowOff>581025</xdr:rowOff>
    </xdr:to>
    <xdr:sp macro="" textlink="">
      <xdr:nvSpPr>
        <xdr:cNvPr id="13" name="12 Botón de acción: Inicio">
          <a:hlinkClick xmlns:r="http://schemas.openxmlformats.org/officeDocument/2006/relationships" r:id="rId6"/>
        </xdr:cNvPr>
        <xdr:cNvSpPr/>
      </xdr:nvSpPr>
      <xdr:spPr>
        <a:xfrm>
          <a:off x="37061775" y="352425"/>
          <a:ext cx="285750" cy="2286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104775</xdr:colOff>
      <xdr:row>100</xdr:row>
      <xdr:rowOff>123825</xdr:rowOff>
    </xdr:from>
    <xdr:to>
      <xdr:col>10</xdr:col>
      <xdr:colOff>200025</xdr:colOff>
      <xdr:row>101</xdr:row>
      <xdr:rowOff>142875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9144000" y="14887575"/>
          <a:ext cx="95250" cy="20955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>
    <xdr:from>
      <xdr:col>41</xdr:col>
      <xdr:colOff>228600</xdr:colOff>
      <xdr:row>0</xdr:row>
      <xdr:rowOff>142875</xdr:rowOff>
    </xdr:from>
    <xdr:to>
      <xdr:col>41</xdr:col>
      <xdr:colOff>514350</xdr:colOff>
      <xdr:row>2</xdr:row>
      <xdr:rowOff>38100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26289000" y="142875"/>
          <a:ext cx="285750" cy="28575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200025</xdr:colOff>
      <xdr:row>40</xdr:row>
      <xdr:rowOff>47624</xdr:rowOff>
    </xdr:from>
    <xdr:to>
      <xdr:col>16</xdr:col>
      <xdr:colOff>504824</xdr:colOff>
      <xdr:row>68</xdr:row>
      <xdr:rowOff>85723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0</xdr:colOff>
      <xdr:row>0</xdr:row>
      <xdr:rowOff>771525</xdr:rowOff>
    </xdr:from>
    <xdr:to>
      <xdr:col>28</xdr:col>
      <xdr:colOff>285750</xdr:colOff>
      <xdr:row>1</xdr:row>
      <xdr:rowOff>66675</xdr:rowOff>
    </xdr:to>
    <xdr:sp macro="" textlink="">
      <xdr:nvSpPr>
        <xdr:cNvPr id="4" name="3 Botón de acción: Inicio">
          <a:hlinkClick xmlns:r="http://schemas.openxmlformats.org/officeDocument/2006/relationships" r:id="rId2"/>
        </xdr:cNvPr>
        <xdr:cNvSpPr/>
      </xdr:nvSpPr>
      <xdr:spPr>
        <a:xfrm>
          <a:off x="18592800" y="771525"/>
          <a:ext cx="285750" cy="24765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314325</xdr:colOff>
      <xdr:row>0</xdr:row>
      <xdr:rowOff>95250</xdr:rowOff>
    </xdr:from>
    <xdr:to>
      <xdr:col>14</xdr:col>
      <xdr:colOff>600075</xdr:colOff>
      <xdr:row>0</xdr:row>
      <xdr:rowOff>361950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9686925" y="95250"/>
          <a:ext cx="285750" cy="2667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41</xdr:row>
      <xdr:rowOff>19050</xdr:rowOff>
    </xdr:from>
    <xdr:to>
      <xdr:col>13</xdr:col>
      <xdr:colOff>571500</xdr:colOff>
      <xdr:row>71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314325</xdr:colOff>
      <xdr:row>0</xdr:row>
      <xdr:rowOff>161925</xdr:rowOff>
    </xdr:from>
    <xdr:to>
      <xdr:col>13</xdr:col>
      <xdr:colOff>600075</xdr:colOff>
      <xdr:row>2</xdr:row>
      <xdr:rowOff>28575</xdr:rowOff>
    </xdr:to>
    <xdr:sp macro="" textlink="">
      <xdr:nvSpPr>
        <xdr:cNvPr id="5" name="4 Botón de acción: Inicio">
          <a:hlinkClick xmlns:r="http://schemas.openxmlformats.org/officeDocument/2006/relationships" r:id="rId2"/>
        </xdr:cNvPr>
        <xdr:cNvSpPr/>
      </xdr:nvSpPr>
      <xdr:spPr>
        <a:xfrm>
          <a:off x="7229475" y="161925"/>
          <a:ext cx="285750" cy="2667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171450</xdr:colOff>
      <xdr:row>0</xdr:row>
      <xdr:rowOff>57150</xdr:rowOff>
    </xdr:from>
    <xdr:to>
      <xdr:col>23</xdr:col>
      <xdr:colOff>457200</xdr:colOff>
      <xdr:row>1</xdr:row>
      <xdr:rowOff>95250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14192250" y="57150"/>
          <a:ext cx="285750" cy="238125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/>
            <a:t> 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39</xdr:row>
      <xdr:rowOff>136525</xdr:rowOff>
    </xdr:from>
    <xdr:to>
      <xdr:col>20</xdr:col>
      <xdr:colOff>635000</xdr:colOff>
      <xdr:row>67</xdr:row>
      <xdr:rowOff>1590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104775</xdr:colOff>
      <xdr:row>0</xdr:row>
      <xdr:rowOff>28575</xdr:rowOff>
    </xdr:from>
    <xdr:to>
      <xdr:col>23</xdr:col>
      <xdr:colOff>371475</xdr:colOff>
      <xdr:row>1</xdr:row>
      <xdr:rowOff>95250</xdr:rowOff>
    </xdr:to>
    <xdr:sp macro="" textlink="">
      <xdr:nvSpPr>
        <xdr:cNvPr id="4" name="3 Botón de acción: Inicio">
          <a:hlinkClick xmlns:r="http://schemas.openxmlformats.org/officeDocument/2006/relationships" r:id="rId2"/>
        </xdr:cNvPr>
        <xdr:cNvSpPr/>
      </xdr:nvSpPr>
      <xdr:spPr>
        <a:xfrm>
          <a:off x="12430125" y="28575"/>
          <a:ext cx="266700" cy="2667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171450</xdr:colOff>
      <xdr:row>0</xdr:row>
      <xdr:rowOff>142875</xdr:rowOff>
    </xdr:from>
    <xdr:to>
      <xdr:col>15</xdr:col>
      <xdr:colOff>457200</xdr:colOff>
      <xdr:row>0</xdr:row>
      <xdr:rowOff>371475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12325350" y="142875"/>
          <a:ext cx="285750" cy="2286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624417</xdr:colOff>
      <xdr:row>38</xdr:row>
      <xdr:rowOff>157692</xdr:rowOff>
    </xdr:from>
    <xdr:to>
      <xdr:col>13</xdr:col>
      <xdr:colOff>645584</xdr:colOff>
      <xdr:row>69</xdr:row>
      <xdr:rowOff>48683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95250</xdr:colOff>
      <xdr:row>0</xdr:row>
      <xdr:rowOff>57150</xdr:rowOff>
    </xdr:from>
    <xdr:to>
      <xdr:col>15</xdr:col>
      <xdr:colOff>381000</xdr:colOff>
      <xdr:row>1</xdr:row>
      <xdr:rowOff>104775</xdr:rowOff>
    </xdr:to>
    <xdr:sp macro="" textlink="">
      <xdr:nvSpPr>
        <xdr:cNvPr id="4" name="3 Botón de acción: Inicio">
          <a:hlinkClick xmlns:r="http://schemas.openxmlformats.org/officeDocument/2006/relationships" r:id="rId2"/>
        </xdr:cNvPr>
        <xdr:cNvSpPr/>
      </xdr:nvSpPr>
      <xdr:spPr>
        <a:xfrm>
          <a:off x="10410825" y="57150"/>
          <a:ext cx="285750" cy="24765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142875</xdr:colOff>
      <xdr:row>0</xdr:row>
      <xdr:rowOff>85724</xdr:rowOff>
    </xdr:from>
    <xdr:to>
      <xdr:col>39</xdr:col>
      <xdr:colOff>409575</xdr:colOff>
      <xdr:row>0</xdr:row>
      <xdr:rowOff>314325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20831175" y="85724"/>
          <a:ext cx="266700" cy="228601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114300</xdr:colOff>
      <xdr:row>0</xdr:row>
      <xdr:rowOff>85725</xdr:rowOff>
    </xdr:from>
    <xdr:to>
      <xdr:col>9</xdr:col>
      <xdr:colOff>400050</xdr:colOff>
      <xdr:row>1</xdr:row>
      <xdr:rowOff>152400</xdr:rowOff>
    </xdr:to>
    <xdr:sp macro="" textlink="">
      <xdr:nvSpPr>
        <xdr:cNvPr id="4" name="3 Botón de acción: Inicio">
          <a:hlinkClick xmlns:r="http://schemas.openxmlformats.org/officeDocument/2006/relationships" r:id="rId1"/>
        </xdr:cNvPr>
        <xdr:cNvSpPr/>
      </xdr:nvSpPr>
      <xdr:spPr>
        <a:xfrm>
          <a:off x="7210425" y="247650"/>
          <a:ext cx="285750" cy="2667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12</xdr:col>
      <xdr:colOff>231774</xdr:colOff>
      <xdr:row>35</xdr:row>
      <xdr:rowOff>28575</xdr:rowOff>
    </xdr:from>
    <xdr:to>
      <xdr:col>22</xdr:col>
      <xdr:colOff>552450</xdr:colOff>
      <xdr:row>59</xdr:row>
      <xdr:rowOff>76200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400050</xdr:colOff>
      <xdr:row>4</xdr:row>
      <xdr:rowOff>142875</xdr:rowOff>
    </xdr:from>
    <xdr:to>
      <xdr:col>21</xdr:col>
      <xdr:colOff>720726</xdr:colOff>
      <xdr:row>29</xdr:row>
      <xdr:rowOff>95250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638175</xdr:colOff>
      <xdr:row>0</xdr:row>
      <xdr:rowOff>133350</xdr:rowOff>
    </xdr:from>
    <xdr:to>
      <xdr:col>6</xdr:col>
      <xdr:colOff>923925</xdr:colOff>
      <xdr:row>2</xdr:row>
      <xdr:rowOff>38100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8886825" y="133350"/>
          <a:ext cx="285750" cy="2667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0</xdr:row>
      <xdr:rowOff>0</xdr:rowOff>
    </xdr:from>
    <xdr:to>
      <xdr:col>9</xdr:col>
      <xdr:colOff>200025</xdr:colOff>
      <xdr:row>0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6029325" y="0"/>
          <a:ext cx="95250" cy="20955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>
    <xdr:from>
      <xdr:col>20</xdr:col>
      <xdr:colOff>301626</xdr:colOff>
      <xdr:row>46</xdr:row>
      <xdr:rowOff>46036</xdr:rowOff>
    </xdr:from>
    <xdr:to>
      <xdr:col>37</xdr:col>
      <xdr:colOff>285751</xdr:colOff>
      <xdr:row>76</xdr:row>
      <xdr:rowOff>142875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257175</xdr:colOff>
      <xdr:row>0</xdr:row>
      <xdr:rowOff>314325</xdr:rowOff>
    </xdr:from>
    <xdr:to>
      <xdr:col>40</xdr:col>
      <xdr:colOff>542925</xdr:colOff>
      <xdr:row>0</xdr:row>
      <xdr:rowOff>600075</xdr:rowOff>
    </xdr:to>
    <xdr:sp macro="" textlink="">
      <xdr:nvSpPr>
        <xdr:cNvPr id="6" name="5 Botón de acción: Inicio">
          <a:hlinkClick xmlns:r="http://schemas.openxmlformats.org/officeDocument/2006/relationships" r:id="rId2"/>
        </xdr:cNvPr>
        <xdr:cNvSpPr/>
      </xdr:nvSpPr>
      <xdr:spPr>
        <a:xfrm>
          <a:off x="26631900" y="314325"/>
          <a:ext cx="285750" cy="28575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95250</xdr:colOff>
      <xdr:row>0</xdr:row>
      <xdr:rowOff>66675</xdr:rowOff>
    </xdr:from>
    <xdr:to>
      <xdr:col>9</xdr:col>
      <xdr:colOff>390525</xdr:colOff>
      <xdr:row>1</xdr:row>
      <xdr:rowOff>171450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7505700" y="66675"/>
          <a:ext cx="295275" cy="2667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333375</xdr:colOff>
      <xdr:row>3</xdr:row>
      <xdr:rowOff>41275</xdr:rowOff>
    </xdr:from>
    <xdr:to>
      <xdr:col>13</xdr:col>
      <xdr:colOff>371475</xdr:colOff>
      <xdr:row>35</xdr:row>
      <xdr:rowOff>25400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9525</xdr:colOff>
      <xdr:row>1</xdr:row>
      <xdr:rowOff>95250</xdr:rowOff>
    </xdr:from>
    <xdr:to>
      <xdr:col>13</xdr:col>
      <xdr:colOff>295275</xdr:colOff>
      <xdr:row>2</xdr:row>
      <xdr:rowOff>200025</xdr:rowOff>
    </xdr:to>
    <xdr:sp macro="" textlink="">
      <xdr:nvSpPr>
        <xdr:cNvPr id="5" name="4 Botón de acción: Inicio">
          <a:hlinkClick xmlns:r="http://schemas.openxmlformats.org/officeDocument/2006/relationships" r:id="rId2"/>
        </xdr:cNvPr>
        <xdr:cNvSpPr/>
      </xdr:nvSpPr>
      <xdr:spPr>
        <a:xfrm>
          <a:off x="9915525" y="257175"/>
          <a:ext cx="285750" cy="2667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225424</xdr:colOff>
      <xdr:row>3</xdr:row>
      <xdr:rowOff>53975</xdr:rowOff>
    </xdr:from>
    <xdr:to>
      <xdr:col>14</xdr:col>
      <xdr:colOff>606425</xdr:colOff>
      <xdr:row>38</xdr:row>
      <xdr:rowOff>111125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</xdr:row>
      <xdr:rowOff>19050</xdr:rowOff>
    </xdr:from>
    <xdr:to>
      <xdr:col>14</xdr:col>
      <xdr:colOff>371475</xdr:colOff>
      <xdr:row>2</xdr:row>
      <xdr:rowOff>123825</xdr:rowOff>
    </xdr:to>
    <xdr:sp macro="" textlink="">
      <xdr:nvSpPr>
        <xdr:cNvPr id="4" name="3 Botón de acción: Inicio">
          <a:hlinkClick xmlns:r="http://schemas.openxmlformats.org/officeDocument/2006/relationships" r:id="rId2"/>
        </xdr:cNvPr>
        <xdr:cNvSpPr/>
      </xdr:nvSpPr>
      <xdr:spPr>
        <a:xfrm>
          <a:off x="10753725" y="180975"/>
          <a:ext cx="285750" cy="2667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55</xdr:col>
      <xdr:colOff>31750</xdr:colOff>
      <xdr:row>0</xdr:row>
      <xdr:rowOff>78317</xdr:rowOff>
    </xdr:from>
    <xdr:to>
      <xdr:col>55</xdr:col>
      <xdr:colOff>283633</xdr:colOff>
      <xdr:row>1</xdr:row>
      <xdr:rowOff>97366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32533167" y="78317"/>
          <a:ext cx="251883" cy="220132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295275</xdr:colOff>
      <xdr:row>81</xdr:row>
      <xdr:rowOff>52292</xdr:rowOff>
    </xdr:from>
    <xdr:to>
      <xdr:col>26</xdr:col>
      <xdr:colOff>476250</xdr:colOff>
      <xdr:row>109</xdr:row>
      <xdr:rowOff>95250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38</xdr:col>
      <xdr:colOff>195706</xdr:colOff>
      <xdr:row>81</xdr:row>
      <xdr:rowOff>47624</xdr:rowOff>
    </xdr:from>
    <xdr:to>
      <xdr:col>52</xdr:col>
      <xdr:colOff>238125</xdr:colOff>
      <xdr:row>113</xdr:row>
      <xdr:rowOff>92725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53</xdr:col>
      <xdr:colOff>142875</xdr:colOff>
      <xdr:row>0</xdr:row>
      <xdr:rowOff>285750</xdr:rowOff>
    </xdr:from>
    <xdr:to>
      <xdr:col>53</xdr:col>
      <xdr:colOff>428625</xdr:colOff>
      <xdr:row>1</xdr:row>
      <xdr:rowOff>123825</xdr:rowOff>
    </xdr:to>
    <xdr:sp macro="" textlink="">
      <xdr:nvSpPr>
        <xdr:cNvPr id="6" name="5 Botón de acción: Inicio">
          <a:hlinkClick xmlns:r="http://schemas.openxmlformats.org/officeDocument/2006/relationships" r:id="rId3"/>
        </xdr:cNvPr>
        <xdr:cNvSpPr/>
      </xdr:nvSpPr>
      <xdr:spPr>
        <a:xfrm>
          <a:off x="28927425" y="285750"/>
          <a:ext cx="285750" cy="247650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71</xdr:col>
      <xdr:colOff>159545</xdr:colOff>
      <xdr:row>0</xdr:row>
      <xdr:rowOff>104775</xdr:rowOff>
    </xdr:from>
    <xdr:to>
      <xdr:col>71</xdr:col>
      <xdr:colOff>457201</xdr:colOff>
      <xdr:row>1</xdr:row>
      <xdr:rowOff>104775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40869395" y="104775"/>
          <a:ext cx="297656" cy="257175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85498</xdr:colOff>
      <xdr:row>80</xdr:row>
      <xdr:rowOff>38100</xdr:rowOff>
    </xdr:from>
    <xdr:to>
      <xdr:col>42</xdr:col>
      <xdr:colOff>285750</xdr:colOff>
      <xdr:row>115</xdr:row>
      <xdr:rowOff>3628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49</xdr:col>
      <xdr:colOff>254000</xdr:colOff>
      <xdr:row>80</xdr:row>
      <xdr:rowOff>38099</xdr:rowOff>
    </xdr:from>
    <xdr:to>
      <xdr:col>69</xdr:col>
      <xdr:colOff>457200</xdr:colOff>
      <xdr:row>115</xdr:row>
      <xdr:rowOff>53974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69</xdr:col>
      <xdr:colOff>108857</xdr:colOff>
      <xdr:row>0</xdr:row>
      <xdr:rowOff>176893</xdr:rowOff>
    </xdr:from>
    <xdr:to>
      <xdr:col>69</xdr:col>
      <xdr:colOff>409575</xdr:colOff>
      <xdr:row>1</xdr:row>
      <xdr:rowOff>76200</xdr:rowOff>
    </xdr:to>
    <xdr:sp macro="" textlink="">
      <xdr:nvSpPr>
        <xdr:cNvPr id="5" name="4 Botón de acción: Inicio">
          <a:hlinkClick xmlns:r="http://schemas.openxmlformats.org/officeDocument/2006/relationships" r:id="rId3"/>
        </xdr:cNvPr>
        <xdr:cNvSpPr/>
      </xdr:nvSpPr>
      <xdr:spPr>
        <a:xfrm>
          <a:off x="35132282" y="176893"/>
          <a:ext cx="300718" cy="299357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142875</xdr:colOff>
      <xdr:row>0</xdr:row>
      <xdr:rowOff>85725</xdr:rowOff>
    </xdr:from>
    <xdr:to>
      <xdr:col>42</xdr:col>
      <xdr:colOff>428625</xdr:colOff>
      <xdr:row>1</xdr:row>
      <xdr:rowOff>142875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25869900" y="85725"/>
          <a:ext cx="285750" cy="257175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201383</xdr:colOff>
      <xdr:row>78</xdr:row>
      <xdr:rowOff>138792</xdr:rowOff>
    </xdr:from>
    <xdr:to>
      <xdr:col>19</xdr:col>
      <xdr:colOff>380999</xdr:colOff>
      <xdr:row>109</xdr:row>
      <xdr:rowOff>54428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342901</xdr:colOff>
      <xdr:row>79</xdr:row>
      <xdr:rowOff>74160</xdr:rowOff>
    </xdr:from>
    <xdr:to>
      <xdr:col>38</xdr:col>
      <xdr:colOff>375557</xdr:colOff>
      <xdr:row>109</xdr:row>
      <xdr:rowOff>68035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171450</xdr:colOff>
      <xdr:row>0</xdr:row>
      <xdr:rowOff>276225</xdr:rowOff>
    </xdr:from>
    <xdr:to>
      <xdr:col>40</xdr:col>
      <xdr:colOff>484414</xdr:colOff>
      <xdr:row>0</xdr:row>
      <xdr:rowOff>542925</xdr:rowOff>
    </xdr:to>
    <xdr:sp macro="" textlink="">
      <xdr:nvSpPr>
        <xdr:cNvPr id="6" name="5 Botón de acción: Inicio">
          <a:hlinkClick xmlns:r="http://schemas.openxmlformats.org/officeDocument/2006/relationships" r:id="rId3"/>
        </xdr:cNvPr>
        <xdr:cNvSpPr/>
      </xdr:nvSpPr>
      <xdr:spPr>
        <a:xfrm>
          <a:off x="24784050" y="276225"/>
          <a:ext cx="312964" cy="266700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247650</xdr:colOff>
      <xdr:row>0</xdr:row>
      <xdr:rowOff>276225</xdr:rowOff>
    </xdr:from>
    <xdr:to>
      <xdr:col>16</xdr:col>
      <xdr:colOff>533400</xdr:colOff>
      <xdr:row>0</xdr:row>
      <xdr:rowOff>561975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13315950" y="276225"/>
          <a:ext cx="285750" cy="285750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260803</xdr:colOff>
      <xdr:row>39</xdr:row>
      <xdr:rowOff>12925</xdr:rowOff>
    </xdr:from>
    <xdr:to>
      <xdr:col>16</xdr:col>
      <xdr:colOff>309336</xdr:colOff>
      <xdr:row>63</xdr:row>
      <xdr:rowOff>170089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238125</xdr:colOff>
      <xdr:row>0</xdr:row>
      <xdr:rowOff>190500</xdr:rowOff>
    </xdr:from>
    <xdr:to>
      <xdr:col>31</xdr:col>
      <xdr:colOff>523875</xdr:colOff>
      <xdr:row>0</xdr:row>
      <xdr:rowOff>438150</xdr:rowOff>
    </xdr:to>
    <xdr:sp macro="" textlink="">
      <xdr:nvSpPr>
        <xdr:cNvPr id="33" name="32 Botón de acción: Inicio">
          <a:hlinkClick xmlns:r="http://schemas.openxmlformats.org/officeDocument/2006/relationships" r:id="rId2"/>
        </xdr:cNvPr>
        <xdr:cNvSpPr/>
      </xdr:nvSpPr>
      <xdr:spPr>
        <a:xfrm>
          <a:off x="20783550" y="190500"/>
          <a:ext cx="285750" cy="24765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104775</xdr:colOff>
      <xdr:row>87</xdr:row>
      <xdr:rowOff>95250</xdr:rowOff>
    </xdr:from>
    <xdr:to>
      <xdr:col>14</xdr:col>
      <xdr:colOff>561975</xdr:colOff>
      <xdr:row>111</xdr:row>
      <xdr:rowOff>85725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161925</xdr:colOff>
      <xdr:row>113</xdr:row>
      <xdr:rowOff>47625</xdr:rowOff>
    </xdr:from>
    <xdr:to>
      <xdr:col>14</xdr:col>
      <xdr:colOff>523875</xdr:colOff>
      <xdr:row>137</xdr:row>
      <xdr:rowOff>76200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219075</xdr:colOff>
      <xdr:row>0</xdr:row>
      <xdr:rowOff>257175</xdr:rowOff>
    </xdr:from>
    <xdr:to>
      <xdr:col>15</xdr:col>
      <xdr:colOff>504825</xdr:colOff>
      <xdr:row>0</xdr:row>
      <xdr:rowOff>533400</xdr:rowOff>
    </xdr:to>
    <xdr:sp macro="" textlink="">
      <xdr:nvSpPr>
        <xdr:cNvPr id="5" name="4 Botón de acción: Inicio">
          <a:hlinkClick xmlns:r="http://schemas.openxmlformats.org/officeDocument/2006/relationships" r:id="rId3"/>
        </xdr:cNvPr>
        <xdr:cNvSpPr/>
      </xdr:nvSpPr>
      <xdr:spPr>
        <a:xfrm>
          <a:off x="10572750" y="257175"/>
          <a:ext cx="285750" cy="276225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71</xdr:col>
      <xdr:colOff>142875</xdr:colOff>
      <xdr:row>0</xdr:row>
      <xdr:rowOff>95249</xdr:rowOff>
    </xdr:from>
    <xdr:to>
      <xdr:col>71</xdr:col>
      <xdr:colOff>428625</xdr:colOff>
      <xdr:row>0</xdr:row>
      <xdr:rowOff>381000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37242750" y="95249"/>
          <a:ext cx="285750" cy="285751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7144</xdr:colOff>
      <xdr:row>80</xdr:row>
      <xdr:rowOff>146845</xdr:rowOff>
    </xdr:from>
    <xdr:to>
      <xdr:col>32</xdr:col>
      <xdr:colOff>59532</xdr:colOff>
      <xdr:row>124</xdr:row>
      <xdr:rowOff>23813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261937</xdr:colOff>
      <xdr:row>83</xdr:row>
      <xdr:rowOff>23809</xdr:rowOff>
    </xdr:from>
    <xdr:to>
      <xdr:col>64</xdr:col>
      <xdr:colOff>154781</xdr:colOff>
      <xdr:row>122</xdr:row>
      <xdr:rowOff>83344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69</xdr:col>
      <xdr:colOff>28575</xdr:colOff>
      <xdr:row>0</xdr:row>
      <xdr:rowOff>142875</xdr:rowOff>
    </xdr:from>
    <xdr:to>
      <xdr:col>69</xdr:col>
      <xdr:colOff>314325</xdr:colOff>
      <xdr:row>0</xdr:row>
      <xdr:rowOff>403514</xdr:rowOff>
    </xdr:to>
    <xdr:sp macro="" textlink="">
      <xdr:nvSpPr>
        <xdr:cNvPr id="5" name="4 Botón de acción: Inicio">
          <a:hlinkClick xmlns:r="http://schemas.openxmlformats.org/officeDocument/2006/relationships" r:id="rId3"/>
        </xdr:cNvPr>
        <xdr:cNvSpPr/>
      </xdr:nvSpPr>
      <xdr:spPr>
        <a:xfrm>
          <a:off x="32223075" y="142875"/>
          <a:ext cx="285750" cy="260639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463550</xdr:colOff>
      <xdr:row>0</xdr:row>
      <xdr:rowOff>342899</xdr:rowOff>
    </xdr:from>
    <xdr:to>
      <xdr:col>10</xdr:col>
      <xdr:colOff>749300</xdr:colOff>
      <xdr:row>0</xdr:row>
      <xdr:rowOff>619124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11655425" y="342899"/>
          <a:ext cx="285750" cy="276225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188382</xdr:colOff>
      <xdr:row>35</xdr:row>
      <xdr:rowOff>82550</xdr:rowOff>
    </xdr:from>
    <xdr:to>
      <xdr:col>21</xdr:col>
      <xdr:colOff>0</xdr:colOff>
      <xdr:row>70</xdr:row>
      <xdr:rowOff>1740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193673</xdr:colOff>
      <xdr:row>73</xdr:row>
      <xdr:rowOff>78317</xdr:rowOff>
    </xdr:from>
    <xdr:to>
      <xdr:col>21</xdr:col>
      <xdr:colOff>0</xdr:colOff>
      <xdr:row>105</xdr:row>
      <xdr:rowOff>137584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180975</xdr:colOff>
      <xdr:row>0</xdr:row>
      <xdr:rowOff>438150</xdr:rowOff>
    </xdr:from>
    <xdr:to>
      <xdr:col>29</xdr:col>
      <xdr:colOff>466725</xdr:colOff>
      <xdr:row>0</xdr:row>
      <xdr:rowOff>742950</xdr:rowOff>
    </xdr:to>
    <xdr:sp macro="" textlink="">
      <xdr:nvSpPr>
        <xdr:cNvPr id="5" name="4 Botón de acción: Inicio">
          <a:hlinkClick xmlns:r="http://schemas.openxmlformats.org/officeDocument/2006/relationships" r:id="rId3"/>
        </xdr:cNvPr>
        <xdr:cNvSpPr/>
      </xdr:nvSpPr>
      <xdr:spPr>
        <a:xfrm>
          <a:off x="17887950" y="438150"/>
          <a:ext cx="285750" cy="304800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1400175</xdr:colOff>
      <xdr:row>0</xdr:row>
      <xdr:rowOff>57150</xdr:rowOff>
    </xdr:from>
    <xdr:to>
      <xdr:col>5</xdr:col>
      <xdr:colOff>1685925</xdr:colOff>
      <xdr:row>1</xdr:row>
      <xdr:rowOff>76200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11087100" y="57150"/>
          <a:ext cx="285750" cy="257175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323850</xdr:colOff>
      <xdr:row>0</xdr:row>
      <xdr:rowOff>38100</xdr:rowOff>
    </xdr:from>
    <xdr:to>
      <xdr:col>14</xdr:col>
      <xdr:colOff>9525</xdr:colOff>
      <xdr:row>1</xdr:row>
      <xdr:rowOff>57150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9801225" y="38100"/>
          <a:ext cx="285750" cy="257175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266700</xdr:colOff>
      <xdr:row>0</xdr:row>
      <xdr:rowOff>95249</xdr:rowOff>
    </xdr:from>
    <xdr:to>
      <xdr:col>8</xdr:col>
      <xdr:colOff>552450</xdr:colOff>
      <xdr:row>1</xdr:row>
      <xdr:rowOff>142874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7886700" y="95249"/>
          <a:ext cx="285750" cy="23812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381000</xdr:colOff>
      <xdr:row>0</xdr:row>
      <xdr:rowOff>152400</xdr:rowOff>
    </xdr:from>
    <xdr:to>
      <xdr:col>33</xdr:col>
      <xdr:colOff>0</xdr:colOff>
      <xdr:row>0</xdr:row>
      <xdr:rowOff>390524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22793325" y="152400"/>
          <a:ext cx="266700" cy="238124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102658</xdr:colOff>
      <xdr:row>39</xdr:row>
      <xdr:rowOff>141817</xdr:rowOff>
    </xdr:from>
    <xdr:to>
      <xdr:col>17</xdr:col>
      <xdr:colOff>56091</xdr:colOff>
      <xdr:row>74</xdr:row>
      <xdr:rowOff>113242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266700</xdr:colOff>
      <xdr:row>0</xdr:row>
      <xdr:rowOff>197908</xdr:rowOff>
    </xdr:from>
    <xdr:to>
      <xdr:col>31</xdr:col>
      <xdr:colOff>550334</xdr:colOff>
      <xdr:row>0</xdr:row>
      <xdr:rowOff>517525</xdr:rowOff>
    </xdr:to>
    <xdr:sp macro="" textlink="">
      <xdr:nvSpPr>
        <xdr:cNvPr id="8" name="7 Botón de acción: Inicio">
          <a:hlinkClick xmlns:r="http://schemas.openxmlformats.org/officeDocument/2006/relationships" r:id="rId2"/>
        </xdr:cNvPr>
        <xdr:cNvSpPr/>
      </xdr:nvSpPr>
      <xdr:spPr>
        <a:xfrm>
          <a:off x="20869275" y="197908"/>
          <a:ext cx="283634" cy="319617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38100</xdr:colOff>
      <xdr:row>0</xdr:row>
      <xdr:rowOff>171450</xdr:rowOff>
    </xdr:from>
    <xdr:to>
      <xdr:col>41</xdr:col>
      <xdr:colOff>323850</xdr:colOff>
      <xdr:row>1</xdr:row>
      <xdr:rowOff>9525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25803225" y="171450"/>
          <a:ext cx="285750" cy="238125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381000</xdr:colOff>
      <xdr:row>0</xdr:row>
      <xdr:rowOff>104775</xdr:rowOff>
    </xdr:from>
    <xdr:to>
      <xdr:col>6</xdr:col>
      <xdr:colOff>666750</xdr:colOff>
      <xdr:row>1</xdr:row>
      <xdr:rowOff>57150</xdr:rowOff>
    </xdr:to>
    <xdr:sp macro="" textlink="">
      <xdr:nvSpPr>
        <xdr:cNvPr id="4" name="3 Botón de acción: Inicio">
          <a:hlinkClick xmlns:r="http://schemas.openxmlformats.org/officeDocument/2006/relationships" r:id="rId1"/>
        </xdr:cNvPr>
        <xdr:cNvSpPr/>
      </xdr:nvSpPr>
      <xdr:spPr>
        <a:xfrm>
          <a:off x="6619875" y="104775"/>
          <a:ext cx="285750" cy="2571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0</xdr:row>
      <xdr:rowOff>95250</xdr:rowOff>
    </xdr:from>
    <xdr:to>
      <xdr:col>6</xdr:col>
      <xdr:colOff>371475</xdr:colOff>
      <xdr:row>1</xdr:row>
      <xdr:rowOff>152400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4562475" y="95250"/>
          <a:ext cx="285750" cy="2571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200025</xdr:colOff>
      <xdr:row>0</xdr:row>
      <xdr:rowOff>57150</xdr:rowOff>
    </xdr:from>
    <xdr:to>
      <xdr:col>9</xdr:col>
      <xdr:colOff>485775</xdr:colOff>
      <xdr:row>1</xdr:row>
      <xdr:rowOff>95250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7743825" y="57150"/>
          <a:ext cx="285750" cy="27622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228600</xdr:colOff>
      <xdr:row>0</xdr:row>
      <xdr:rowOff>171450</xdr:rowOff>
    </xdr:from>
    <xdr:to>
      <xdr:col>8</xdr:col>
      <xdr:colOff>514350</xdr:colOff>
      <xdr:row>2</xdr:row>
      <xdr:rowOff>47625</xdr:rowOff>
    </xdr:to>
    <xdr:sp macro="" textlink="">
      <xdr:nvSpPr>
        <xdr:cNvPr id="4" name="3 Botón de acción: Inicio">
          <a:hlinkClick xmlns:r="http://schemas.openxmlformats.org/officeDocument/2006/relationships" r:id="rId1"/>
        </xdr:cNvPr>
        <xdr:cNvSpPr/>
      </xdr:nvSpPr>
      <xdr:spPr>
        <a:xfrm>
          <a:off x="5381625" y="171450"/>
          <a:ext cx="285750" cy="23812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285750</xdr:colOff>
      <xdr:row>0</xdr:row>
      <xdr:rowOff>47625</xdr:rowOff>
    </xdr:from>
    <xdr:to>
      <xdr:col>8</xdr:col>
      <xdr:colOff>571500</xdr:colOff>
      <xdr:row>1</xdr:row>
      <xdr:rowOff>66675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8324850" y="47625"/>
          <a:ext cx="285750" cy="2571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66675</xdr:rowOff>
    </xdr:from>
    <xdr:to>
      <xdr:col>8</xdr:col>
      <xdr:colOff>285750</xdr:colOff>
      <xdr:row>1</xdr:row>
      <xdr:rowOff>104775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5400675" y="66675"/>
          <a:ext cx="285750" cy="27622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190500</xdr:colOff>
      <xdr:row>0</xdr:row>
      <xdr:rowOff>123825</xdr:rowOff>
    </xdr:from>
    <xdr:to>
      <xdr:col>9</xdr:col>
      <xdr:colOff>476250</xdr:colOff>
      <xdr:row>2</xdr:row>
      <xdr:rowOff>0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7829550" y="123825"/>
          <a:ext cx="285750" cy="304800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0</xdr:row>
      <xdr:rowOff>123824</xdr:rowOff>
    </xdr:from>
    <xdr:to>
      <xdr:col>8</xdr:col>
      <xdr:colOff>342900</xdr:colOff>
      <xdr:row>1</xdr:row>
      <xdr:rowOff>161924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6391275" y="123824"/>
          <a:ext cx="285750" cy="27622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200025</xdr:colOff>
      <xdr:row>0</xdr:row>
      <xdr:rowOff>85725</xdr:rowOff>
    </xdr:from>
    <xdr:to>
      <xdr:col>9</xdr:col>
      <xdr:colOff>485775</xdr:colOff>
      <xdr:row>1</xdr:row>
      <xdr:rowOff>104775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13868400" y="85725"/>
          <a:ext cx="285750" cy="2571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333375</xdr:colOff>
      <xdr:row>0</xdr:row>
      <xdr:rowOff>85725</xdr:rowOff>
    </xdr:from>
    <xdr:to>
      <xdr:col>8</xdr:col>
      <xdr:colOff>619125</xdr:colOff>
      <xdr:row>1</xdr:row>
      <xdr:rowOff>152400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6505575" y="85725"/>
          <a:ext cx="285750" cy="304800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0</xdr:row>
      <xdr:rowOff>0</xdr:rowOff>
    </xdr:from>
    <xdr:to>
      <xdr:col>9</xdr:col>
      <xdr:colOff>200025</xdr:colOff>
      <xdr:row>0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239000" y="0"/>
          <a:ext cx="95250" cy="20955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>
    <xdr:from>
      <xdr:col>20</xdr:col>
      <xdr:colOff>581025</xdr:colOff>
      <xdr:row>40</xdr:row>
      <xdr:rowOff>85726</xdr:rowOff>
    </xdr:from>
    <xdr:to>
      <xdr:col>37</xdr:col>
      <xdr:colOff>95250</xdr:colOff>
      <xdr:row>72</xdr:row>
      <xdr:rowOff>152400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171450</xdr:colOff>
      <xdr:row>74</xdr:row>
      <xdr:rowOff>133350</xdr:rowOff>
    </xdr:from>
    <xdr:to>
      <xdr:col>13</xdr:col>
      <xdr:colOff>419100</xdr:colOff>
      <xdr:row>90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76200</xdr:colOff>
      <xdr:row>74</xdr:row>
      <xdr:rowOff>123825</xdr:rowOff>
    </xdr:from>
    <xdr:to>
      <xdr:col>21</xdr:col>
      <xdr:colOff>323850</xdr:colOff>
      <xdr:row>89</xdr:row>
      <xdr:rowOff>152400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457200</xdr:colOff>
      <xdr:row>74</xdr:row>
      <xdr:rowOff>142875</xdr:rowOff>
    </xdr:from>
    <xdr:to>
      <xdr:col>29</xdr:col>
      <xdr:colOff>123825</xdr:colOff>
      <xdr:row>90</xdr:row>
      <xdr:rowOff>9525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29</xdr:col>
      <xdr:colOff>219075</xdr:colOff>
      <xdr:row>75</xdr:row>
      <xdr:rowOff>0</xdr:rowOff>
    </xdr:from>
    <xdr:to>
      <xdr:col>36</xdr:col>
      <xdr:colOff>466725</xdr:colOff>
      <xdr:row>90</xdr:row>
      <xdr:rowOff>28575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36</xdr:col>
      <xdr:colOff>495300</xdr:colOff>
      <xdr:row>74</xdr:row>
      <xdr:rowOff>142875</xdr:rowOff>
    </xdr:from>
    <xdr:to>
      <xdr:col>42</xdr:col>
      <xdr:colOff>600075</xdr:colOff>
      <xdr:row>90</xdr:row>
      <xdr:rowOff>9525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39</xdr:col>
      <xdr:colOff>571500</xdr:colOff>
      <xdr:row>0</xdr:row>
      <xdr:rowOff>285750</xdr:rowOff>
    </xdr:from>
    <xdr:to>
      <xdr:col>40</xdr:col>
      <xdr:colOff>295275</xdr:colOff>
      <xdr:row>0</xdr:row>
      <xdr:rowOff>533400</xdr:rowOff>
    </xdr:to>
    <xdr:sp macro="" textlink="">
      <xdr:nvSpPr>
        <xdr:cNvPr id="11" name="10 Botón de acción: Inicio">
          <a:hlinkClick xmlns:r="http://schemas.openxmlformats.org/officeDocument/2006/relationships" r:id="rId7"/>
        </xdr:cNvPr>
        <xdr:cNvSpPr/>
      </xdr:nvSpPr>
      <xdr:spPr>
        <a:xfrm>
          <a:off x="23555325" y="285750"/>
          <a:ext cx="304800" cy="24765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571500</xdr:colOff>
      <xdr:row>0</xdr:row>
      <xdr:rowOff>114300</xdr:rowOff>
    </xdr:from>
    <xdr:to>
      <xdr:col>10</xdr:col>
      <xdr:colOff>95250</xdr:colOff>
      <xdr:row>2</xdr:row>
      <xdr:rowOff>0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8858250" y="114300"/>
          <a:ext cx="285750" cy="31432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219075</xdr:colOff>
      <xdr:row>0</xdr:row>
      <xdr:rowOff>161925</xdr:rowOff>
    </xdr:from>
    <xdr:to>
      <xdr:col>8</xdr:col>
      <xdr:colOff>504824</xdr:colOff>
      <xdr:row>1</xdr:row>
      <xdr:rowOff>180975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6391275" y="161925"/>
          <a:ext cx="285749" cy="2571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85725</xdr:colOff>
      <xdr:row>0</xdr:row>
      <xdr:rowOff>180975</xdr:rowOff>
    </xdr:from>
    <xdr:to>
      <xdr:col>9</xdr:col>
      <xdr:colOff>381000</xdr:colOff>
      <xdr:row>0</xdr:row>
      <xdr:rowOff>447675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12553950" y="180975"/>
          <a:ext cx="295275" cy="266700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352425</xdr:colOff>
      <xdr:row>0</xdr:row>
      <xdr:rowOff>142875</xdr:rowOff>
    </xdr:from>
    <xdr:to>
      <xdr:col>8</xdr:col>
      <xdr:colOff>638175</xdr:colOff>
      <xdr:row>1</xdr:row>
      <xdr:rowOff>28575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6686550" y="142875"/>
          <a:ext cx="285750" cy="266700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428625</xdr:colOff>
      <xdr:row>0</xdr:row>
      <xdr:rowOff>28575</xdr:rowOff>
    </xdr:from>
    <xdr:to>
      <xdr:col>12</xdr:col>
      <xdr:colOff>714375</xdr:colOff>
      <xdr:row>1</xdr:row>
      <xdr:rowOff>85725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12773025" y="28575"/>
          <a:ext cx="285750" cy="2571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33</xdr:row>
      <xdr:rowOff>90486</xdr:rowOff>
    </xdr:from>
    <xdr:to>
      <xdr:col>14</xdr:col>
      <xdr:colOff>533400</xdr:colOff>
      <xdr:row>54</xdr:row>
      <xdr:rowOff>171450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600075</xdr:colOff>
      <xdr:row>0</xdr:row>
      <xdr:rowOff>85725</xdr:rowOff>
    </xdr:from>
    <xdr:to>
      <xdr:col>18</xdr:col>
      <xdr:colOff>238125</xdr:colOff>
      <xdr:row>1</xdr:row>
      <xdr:rowOff>104775</xdr:rowOff>
    </xdr:to>
    <xdr:sp macro="" textlink="">
      <xdr:nvSpPr>
        <xdr:cNvPr id="4" name="3 Botón de acción: Inicio">
          <a:hlinkClick xmlns:r="http://schemas.openxmlformats.org/officeDocument/2006/relationships" r:id="rId2"/>
        </xdr:cNvPr>
        <xdr:cNvSpPr/>
      </xdr:nvSpPr>
      <xdr:spPr>
        <a:xfrm>
          <a:off x="11572875" y="85725"/>
          <a:ext cx="247650" cy="2571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323849</xdr:colOff>
      <xdr:row>0</xdr:row>
      <xdr:rowOff>123824</xdr:rowOff>
    </xdr:from>
    <xdr:to>
      <xdr:col>14</xdr:col>
      <xdr:colOff>581024</xdr:colOff>
      <xdr:row>1</xdr:row>
      <xdr:rowOff>161924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12839699" y="123824"/>
          <a:ext cx="257175" cy="27622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314325</xdr:colOff>
      <xdr:row>0</xdr:row>
      <xdr:rowOff>142875</xdr:rowOff>
    </xdr:from>
    <xdr:to>
      <xdr:col>12</xdr:col>
      <xdr:colOff>9525</xdr:colOff>
      <xdr:row>0</xdr:row>
      <xdr:rowOff>400050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7953375" y="142875"/>
          <a:ext cx="285750" cy="2571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0</xdr:row>
      <xdr:rowOff>104775</xdr:rowOff>
    </xdr:from>
    <xdr:to>
      <xdr:col>6</xdr:col>
      <xdr:colOff>314325</xdr:colOff>
      <xdr:row>1</xdr:row>
      <xdr:rowOff>114300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7153275" y="104775"/>
          <a:ext cx="266700" cy="247650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</xdr:colOff>
      <xdr:row>0</xdr:row>
      <xdr:rowOff>85725</xdr:rowOff>
    </xdr:from>
    <xdr:to>
      <xdr:col>7</xdr:col>
      <xdr:colOff>314325</xdr:colOff>
      <xdr:row>1</xdr:row>
      <xdr:rowOff>95250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5381625" y="85725"/>
          <a:ext cx="266700" cy="247650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485775</xdr:colOff>
      <xdr:row>41</xdr:row>
      <xdr:rowOff>66675</xdr:rowOff>
    </xdr:from>
    <xdr:to>
      <xdr:col>24</xdr:col>
      <xdr:colOff>1</xdr:colOff>
      <xdr:row>73</xdr:row>
      <xdr:rowOff>138114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276225</xdr:colOff>
      <xdr:row>1</xdr:row>
      <xdr:rowOff>9524</xdr:rowOff>
    </xdr:from>
    <xdr:to>
      <xdr:col>26</xdr:col>
      <xdr:colOff>523875</xdr:colOff>
      <xdr:row>1</xdr:row>
      <xdr:rowOff>295275</xdr:rowOff>
    </xdr:to>
    <xdr:sp macro="" textlink="">
      <xdr:nvSpPr>
        <xdr:cNvPr id="3" name="2 Botón de acción: Inicio">
          <a:hlinkClick xmlns:r="http://schemas.openxmlformats.org/officeDocument/2006/relationships" r:id="rId2"/>
        </xdr:cNvPr>
        <xdr:cNvSpPr/>
      </xdr:nvSpPr>
      <xdr:spPr>
        <a:xfrm>
          <a:off x="16087725" y="171449"/>
          <a:ext cx="247650" cy="285751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390525</xdr:colOff>
      <xdr:row>0</xdr:row>
      <xdr:rowOff>76201</xdr:rowOff>
    </xdr:from>
    <xdr:to>
      <xdr:col>5</xdr:col>
      <xdr:colOff>657225</xdr:colOff>
      <xdr:row>1</xdr:row>
      <xdr:rowOff>104776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4429125" y="76201"/>
          <a:ext cx="266700" cy="266700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250039</xdr:colOff>
      <xdr:row>141</xdr:row>
      <xdr:rowOff>119071</xdr:rowOff>
    </xdr:from>
    <xdr:to>
      <xdr:col>50</xdr:col>
      <xdr:colOff>0</xdr:colOff>
      <xdr:row>173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83345</xdr:colOff>
      <xdr:row>178</xdr:row>
      <xdr:rowOff>161924</xdr:rowOff>
    </xdr:from>
    <xdr:to>
      <xdr:col>50</xdr:col>
      <xdr:colOff>0</xdr:colOff>
      <xdr:row>210</xdr:row>
      <xdr:rowOff>85724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52</xdr:col>
      <xdr:colOff>114300</xdr:colOff>
      <xdr:row>0</xdr:row>
      <xdr:rowOff>381000</xdr:rowOff>
    </xdr:from>
    <xdr:to>
      <xdr:col>52</xdr:col>
      <xdr:colOff>400050</xdr:colOff>
      <xdr:row>0</xdr:row>
      <xdr:rowOff>600075</xdr:rowOff>
    </xdr:to>
    <xdr:sp macro="" textlink="">
      <xdr:nvSpPr>
        <xdr:cNvPr id="24" name="23 Botón de acción: Inicio">
          <a:hlinkClick xmlns:r="http://schemas.openxmlformats.org/officeDocument/2006/relationships" r:id="rId3"/>
        </xdr:cNvPr>
        <xdr:cNvSpPr/>
      </xdr:nvSpPr>
      <xdr:spPr>
        <a:xfrm>
          <a:off x="29575125" y="381000"/>
          <a:ext cx="285750" cy="219075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438149</xdr:colOff>
      <xdr:row>0</xdr:row>
      <xdr:rowOff>460374</xdr:rowOff>
    </xdr:from>
    <xdr:to>
      <xdr:col>34</xdr:col>
      <xdr:colOff>158749</xdr:colOff>
      <xdr:row>0</xdr:row>
      <xdr:rowOff>733425</xdr:rowOff>
    </xdr:to>
    <xdr:sp macro="" textlink="">
      <xdr:nvSpPr>
        <xdr:cNvPr id="4" name="3 Botón de acción: Inicio">
          <a:hlinkClick xmlns:r="http://schemas.openxmlformats.org/officeDocument/2006/relationships" r:id="rId1"/>
        </xdr:cNvPr>
        <xdr:cNvSpPr/>
      </xdr:nvSpPr>
      <xdr:spPr>
        <a:xfrm>
          <a:off x="20450174" y="460374"/>
          <a:ext cx="301625" cy="273051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952500</xdr:colOff>
      <xdr:row>43</xdr:row>
      <xdr:rowOff>166686</xdr:rowOff>
    </xdr:from>
    <xdr:to>
      <xdr:col>12</xdr:col>
      <xdr:colOff>609599</xdr:colOff>
      <xdr:row>97</xdr:row>
      <xdr:rowOff>95249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38100</xdr:colOff>
      <xdr:row>66</xdr:row>
      <xdr:rowOff>19050</xdr:rowOff>
    </xdr:from>
    <xdr:to>
      <xdr:col>13</xdr:col>
      <xdr:colOff>723900</xdr:colOff>
      <xdr:row>89</xdr:row>
      <xdr:rowOff>57150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381000</xdr:colOff>
      <xdr:row>0</xdr:row>
      <xdr:rowOff>66675</xdr:rowOff>
    </xdr:from>
    <xdr:to>
      <xdr:col>14</xdr:col>
      <xdr:colOff>666750</xdr:colOff>
      <xdr:row>1</xdr:row>
      <xdr:rowOff>47625</xdr:rowOff>
    </xdr:to>
    <xdr:sp macro="" textlink="">
      <xdr:nvSpPr>
        <xdr:cNvPr id="5" name="4 Botón de acción: Inicio">
          <a:hlinkClick xmlns:r="http://schemas.openxmlformats.org/officeDocument/2006/relationships" r:id="rId3"/>
        </xdr:cNvPr>
        <xdr:cNvSpPr/>
      </xdr:nvSpPr>
      <xdr:spPr>
        <a:xfrm>
          <a:off x="12306300" y="66675"/>
          <a:ext cx="285750" cy="247650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5</xdr:col>
      <xdr:colOff>800100</xdr:colOff>
      <xdr:row>102</xdr:row>
      <xdr:rowOff>180975</xdr:rowOff>
    </xdr:from>
    <xdr:to>
      <xdr:col>13</xdr:col>
      <xdr:colOff>276224</xdr:colOff>
      <xdr:row>124</xdr:row>
      <xdr:rowOff>138113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463550</xdr:colOff>
      <xdr:row>31</xdr:row>
      <xdr:rowOff>130174</xdr:rowOff>
    </xdr:from>
    <xdr:to>
      <xdr:col>13</xdr:col>
      <xdr:colOff>111125</xdr:colOff>
      <xdr:row>86</xdr:row>
      <xdr:rowOff>79375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409574</xdr:colOff>
      <xdr:row>57</xdr:row>
      <xdr:rowOff>133350</xdr:rowOff>
    </xdr:from>
    <xdr:to>
      <xdr:col>14</xdr:col>
      <xdr:colOff>28574</xdr:colOff>
      <xdr:row>81</xdr:row>
      <xdr:rowOff>66675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314325</xdr:colOff>
      <xdr:row>1</xdr:row>
      <xdr:rowOff>76200</xdr:rowOff>
    </xdr:from>
    <xdr:to>
      <xdr:col>14</xdr:col>
      <xdr:colOff>600075</xdr:colOff>
      <xdr:row>2</xdr:row>
      <xdr:rowOff>66675</xdr:rowOff>
    </xdr:to>
    <xdr:sp macro="" textlink="">
      <xdr:nvSpPr>
        <xdr:cNvPr id="5" name="4 Botón de acción: Inicio">
          <a:hlinkClick xmlns:r="http://schemas.openxmlformats.org/officeDocument/2006/relationships" r:id="rId3"/>
        </xdr:cNvPr>
        <xdr:cNvSpPr/>
      </xdr:nvSpPr>
      <xdr:spPr>
        <a:xfrm>
          <a:off x="12172950" y="76200"/>
          <a:ext cx="285750" cy="257175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/>
            <a:t>0</a:t>
          </a:r>
        </a:p>
      </xdr:txBody>
    </xdr:sp>
    <xdr:clientData/>
  </xdr:twoCellAnchor>
  <xdr:twoCellAnchor>
    <xdr:from>
      <xdr:col>5</xdr:col>
      <xdr:colOff>809625</xdr:colOff>
      <xdr:row>91</xdr:row>
      <xdr:rowOff>133350</xdr:rowOff>
    </xdr:from>
    <xdr:to>
      <xdr:col>12</xdr:col>
      <xdr:colOff>647700</xdr:colOff>
      <xdr:row>113</xdr:row>
      <xdr:rowOff>187326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393699</xdr:colOff>
      <xdr:row>104</xdr:row>
      <xdr:rowOff>26986</xdr:rowOff>
    </xdr:from>
    <xdr:to>
      <xdr:col>12</xdr:col>
      <xdr:colOff>241300</xdr:colOff>
      <xdr:row>132</xdr:row>
      <xdr:rowOff>117475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19050</xdr:colOff>
      <xdr:row>166</xdr:row>
      <xdr:rowOff>136525</xdr:rowOff>
    </xdr:from>
    <xdr:to>
      <xdr:col>12</xdr:col>
      <xdr:colOff>419100</xdr:colOff>
      <xdr:row>198</xdr:row>
      <xdr:rowOff>53975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400050</xdr:colOff>
      <xdr:row>0</xdr:row>
      <xdr:rowOff>95250</xdr:rowOff>
    </xdr:from>
    <xdr:to>
      <xdr:col>13</xdr:col>
      <xdr:colOff>685800</xdr:colOff>
      <xdr:row>2</xdr:row>
      <xdr:rowOff>9525</xdr:rowOff>
    </xdr:to>
    <xdr:sp macro="" textlink="">
      <xdr:nvSpPr>
        <xdr:cNvPr id="5" name="4 Botón de acción: Inicio">
          <a:hlinkClick xmlns:r="http://schemas.openxmlformats.org/officeDocument/2006/relationships" r:id="rId3"/>
        </xdr:cNvPr>
        <xdr:cNvSpPr/>
      </xdr:nvSpPr>
      <xdr:spPr>
        <a:xfrm>
          <a:off x="9953625" y="95250"/>
          <a:ext cx="285750" cy="276225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1</xdr:col>
      <xdr:colOff>19050</xdr:colOff>
      <xdr:row>32</xdr:row>
      <xdr:rowOff>28575</xdr:rowOff>
    </xdr:from>
    <xdr:to>
      <xdr:col>13</xdr:col>
      <xdr:colOff>171450</xdr:colOff>
      <xdr:row>65</xdr:row>
      <xdr:rowOff>9525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356506</xdr:colOff>
      <xdr:row>11</xdr:row>
      <xdr:rowOff>27893</xdr:rowOff>
    </xdr:from>
    <xdr:to>
      <xdr:col>20</xdr:col>
      <xdr:colOff>555172</xdr:colOff>
      <xdr:row>56</xdr:row>
      <xdr:rowOff>100692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161925</xdr:colOff>
      <xdr:row>1</xdr:row>
      <xdr:rowOff>38100</xdr:rowOff>
    </xdr:from>
    <xdr:to>
      <xdr:col>26</xdr:col>
      <xdr:colOff>447675</xdr:colOff>
      <xdr:row>2</xdr:row>
      <xdr:rowOff>66675</xdr:rowOff>
    </xdr:to>
    <xdr:sp macro="" textlink="">
      <xdr:nvSpPr>
        <xdr:cNvPr id="5" name="4 Botón de acción: Inicio">
          <a:hlinkClick xmlns:r="http://schemas.openxmlformats.org/officeDocument/2006/relationships" r:id="rId2"/>
        </xdr:cNvPr>
        <xdr:cNvSpPr/>
      </xdr:nvSpPr>
      <xdr:spPr>
        <a:xfrm>
          <a:off x="17649825" y="200025"/>
          <a:ext cx="285750" cy="257175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1</xdr:row>
      <xdr:rowOff>0</xdr:rowOff>
    </xdr:from>
    <xdr:to>
      <xdr:col>25</xdr:col>
      <xdr:colOff>190500</xdr:colOff>
      <xdr:row>2</xdr:row>
      <xdr:rowOff>38100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12087225" y="161925"/>
          <a:ext cx="190500" cy="228600"/>
        </a:xfrm>
        <a:prstGeom prst="actionButtonHome">
          <a:avLst/>
        </a:prstGeom>
        <a:solidFill>
          <a:srgbClr val="FFC000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44</xdr:col>
      <xdr:colOff>200026</xdr:colOff>
      <xdr:row>34</xdr:row>
      <xdr:rowOff>61911</xdr:rowOff>
    </xdr:from>
    <xdr:to>
      <xdr:col>62</xdr:col>
      <xdr:colOff>9525</xdr:colOff>
      <xdr:row>65</xdr:row>
      <xdr:rowOff>66675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128588</xdr:colOff>
      <xdr:row>68</xdr:row>
      <xdr:rowOff>33338</xdr:rowOff>
    </xdr:from>
    <xdr:to>
      <xdr:col>44</xdr:col>
      <xdr:colOff>295276</xdr:colOff>
      <xdr:row>81</xdr:row>
      <xdr:rowOff>95251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45</xdr:col>
      <xdr:colOff>0</xdr:colOff>
      <xdr:row>68</xdr:row>
      <xdr:rowOff>0</xdr:rowOff>
    </xdr:from>
    <xdr:to>
      <xdr:col>52</xdr:col>
      <xdr:colOff>100013</xdr:colOff>
      <xdr:row>81</xdr:row>
      <xdr:rowOff>61913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53</xdr:col>
      <xdr:colOff>0</xdr:colOff>
      <xdr:row>68</xdr:row>
      <xdr:rowOff>0</xdr:rowOff>
    </xdr:from>
    <xdr:to>
      <xdr:col>60</xdr:col>
      <xdr:colOff>166688</xdr:colOff>
      <xdr:row>81</xdr:row>
      <xdr:rowOff>61913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37</xdr:col>
      <xdr:colOff>0</xdr:colOff>
      <xdr:row>83</xdr:row>
      <xdr:rowOff>0</xdr:rowOff>
    </xdr:from>
    <xdr:to>
      <xdr:col>44</xdr:col>
      <xdr:colOff>166688</xdr:colOff>
      <xdr:row>96</xdr:row>
      <xdr:rowOff>61913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83</xdr:row>
      <xdr:rowOff>0</xdr:rowOff>
    </xdr:from>
    <xdr:to>
      <xdr:col>52</xdr:col>
      <xdr:colOff>100013</xdr:colOff>
      <xdr:row>96</xdr:row>
      <xdr:rowOff>61913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53</xdr:col>
      <xdr:colOff>0</xdr:colOff>
      <xdr:row>83</xdr:row>
      <xdr:rowOff>19050</xdr:rowOff>
    </xdr:from>
    <xdr:to>
      <xdr:col>60</xdr:col>
      <xdr:colOff>166688</xdr:colOff>
      <xdr:row>96</xdr:row>
      <xdr:rowOff>80963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65</xdr:col>
      <xdr:colOff>323850</xdr:colOff>
      <xdr:row>0</xdr:row>
      <xdr:rowOff>133350</xdr:rowOff>
    </xdr:from>
    <xdr:to>
      <xdr:col>66</xdr:col>
      <xdr:colOff>161925</xdr:colOff>
      <xdr:row>0</xdr:row>
      <xdr:rowOff>409575</xdr:rowOff>
    </xdr:to>
    <xdr:sp macro="" textlink="">
      <xdr:nvSpPr>
        <xdr:cNvPr id="11" name="10 Botón de acción: Inicio">
          <a:hlinkClick xmlns:r="http://schemas.openxmlformats.org/officeDocument/2006/relationships" r:id="rId8"/>
        </xdr:cNvPr>
        <xdr:cNvSpPr/>
      </xdr:nvSpPr>
      <xdr:spPr>
        <a:xfrm>
          <a:off x="31222950" y="133350"/>
          <a:ext cx="285750" cy="276225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449037</xdr:colOff>
      <xdr:row>55</xdr:row>
      <xdr:rowOff>28575</xdr:rowOff>
    </xdr:from>
    <xdr:to>
      <xdr:col>67</xdr:col>
      <xdr:colOff>9525</xdr:colOff>
      <xdr:row>85</xdr:row>
      <xdr:rowOff>19050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66</xdr:col>
      <xdr:colOff>247650</xdr:colOff>
      <xdr:row>0</xdr:row>
      <xdr:rowOff>466725</xdr:rowOff>
    </xdr:from>
    <xdr:to>
      <xdr:col>66</xdr:col>
      <xdr:colOff>533400</xdr:colOff>
      <xdr:row>0</xdr:row>
      <xdr:rowOff>771524</xdr:rowOff>
    </xdr:to>
    <xdr:sp macro="" textlink="">
      <xdr:nvSpPr>
        <xdr:cNvPr id="5" name="4 Botón de acción: Inicio">
          <a:hlinkClick xmlns:r="http://schemas.openxmlformats.org/officeDocument/2006/relationships" r:id="rId2"/>
        </xdr:cNvPr>
        <xdr:cNvSpPr/>
      </xdr:nvSpPr>
      <xdr:spPr>
        <a:xfrm>
          <a:off x="43481625" y="466725"/>
          <a:ext cx="285750" cy="304799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1089025</xdr:colOff>
      <xdr:row>38</xdr:row>
      <xdr:rowOff>149225</xdr:rowOff>
    </xdr:from>
    <xdr:to>
      <xdr:col>14</xdr:col>
      <xdr:colOff>222250</xdr:colOff>
      <xdr:row>66</xdr:row>
      <xdr:rowOff>101600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485776</xdr:colOff>
      <xdr:row>40</xdr:row>
      <xdr:rowOff>101599</xdr:rowOff>
    </xdr:from>
    <xdr:to>
      <xdr:col>40</xdr:col>
      <xdr:colOff>409576</xdr:colOff>
      <xdr:row>64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523875</xdr:colOff>
      <xdr:row>72</xdr:row>
      <xdr:rowOff>23811</xdr:rowOff>
    </xdr:from>
    <xdr:to>
      <xdr:col>14</xdr:col>
      <xdr:colOff>95250</xdr:colOff>
      <xdr:row>96</xdr:row>
      <xdr:rowOff>161925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746125</xdr:colOff>
      <xdr:row>70</xdr:row>
      <xdr:rowOff>142875</xdr:rowOff>
    </xdr:from>
    <xdr:to>
      <xdr:col>40</xdr:col>
      <xdr:colOff>130175</xdr:colOff>
      <xdr:row>97</xdr:row>
      <xdr:rowOff>41274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447674</xdr:colOff>
      <xdr:row>0</xdr:row>
      <xdr:rowOff>76200</xdr:rowOff>
    </xdr:from>
    <xdr:to>
      <xdr:col>15</xdr:col>
      <xdr:colOff>685799</xdr:colOff>
      <xdr:row>1</xdr:row>
      <xdr:rowOff>38100</xdr:rowOff>
    </xdr:to>
    <xdr:sp macro="" textlink="">
      <xdr:nvSpPr>
        <xdr:cNvPr id="7" name="6 Botón de acción: Inicio">
          <a:hlinkClick xmlns:r="http://schemas.openxmlformats.org/officeDocument/2006/relationships" r:id="rId5"/>
        </xdr:cNvPr>
        <xdr:cNvSpPr/>
      </xdr:nvSpPr>
      <xdr:spPr>
        <a:xfrm>
          <a:off x="11001374" y="76200"/>
          <a:ext cx="238125" cy="2286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1047383</xdr:colOff>
      <xdr:row>38</xdr:row>
      <xdr:rowOff>57149</xdr:rowOff>
    </xdr:from>
    <xdr:to>
      <xdr:col>12</xdr:col>
      <xdr:colOff>581024</xdr:colOff>
      <xdr:row>161</xdr:row>
      <xdr:rowOff>38100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276225</xdr:colOff>
      <xdr:row>65</xdr:row>
      <xdr:rowOff>0</xdr:rowOff>
    </xdr:from>
    <xdr:to>
      <xdr:col>13</xdr:col>
      <xdr:colOff>381000</xdr:colOff>
      <xdr:row>87</xdr:row>
      <xdr:rowOff>133351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1104900</xdr:colOff>
      <xdr:row>90</xdr:row>
      <xdr:rowOff>80962</xdr:rowOff>
    </xdr:from>
    <xdr:to>
      <xdr:col>6</xdr:col>
      <xdr:colOff>723900</xdr:colOff>
      <xdr:row>107</xdr:row>
      <xdr:rowOff>71437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90</xdr:row>
      <xdr:rowOff>0</xdr:rowOff>
    </xdr:from>
    <xdr:to>
      <xdr:col>14</xdr:col>
      <xdr:colOff>0</xdr:colOff>
      <xdr:row>106</xdr:row>
      <xdr:rowOff>152400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108</xdr:row>
      <xdr:rowOff>0</xdr:rowOff>
    </xdr:from>
    <xdr:to>
      <xdr:col>7</xdr:col>
      <xdr:colOff>0</xdr:colOff>
      <xdr:row>124</xdr:row>
      <xdr:rowOff>152400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108</xdr:row>
      <xdr:rowOff>0</xdr:rowOff>
    </xdr:from>
    <xdr:to>
      <xdr:col>14</xdr:col>
      <xdr:colOff>0</xdr:colOff>
      <xdr:row>124</xdr:row>
      <xdr:rowOff>152400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126</xdr:row>
      <xdr:rowOff>0</xdr:rowOff>
    </xdr:from>
    <xdr:to>
      <xdr:col>7</xdr:col>
      <xdr:colOff>0</xdr:colOff>
      <xdr:row>142</xdr:row>
      <xdr:rowOff>152400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126</xdr:row>
      <xdr:rowOff>0</xdr:rowOff>
    </xdr:from>
    <xdr:to>
      <xdr:col>14</xdr:col>
      <xdr:colOff>0</xdr:colOff>
      <xdr:row>142</xdr:row>
      <xdr:rowOff>152400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390525</xdr:colOff>
      <xdr:row>1</xdr:row>
      <xdr:rowOff>0</xdr:rowOff>
    </xdr:from>
    <xdr:to>
      <xdr:col>13</xdr:col>
      <xdr:colOff>676275</xdr:colOff>
      <xdr:row>1</xdr:row>
      <xdr:rowOff>266700</xdr:rowOff>
    </xdr:to>
    <xdr:sp macro="" textlink="">
      <xdr:nvSpPr>
        <xdr:cNvPr id="12" name="11 Botón de acción: Inicio">
          <a:hlinkClick xmlns:r="http://schemas.openxmlformats.org/officeDocument/2006/relationships" r:id="rId9"/>
        </xdr:cNvPr>
        <xdr:cNvSpPr/>
      </xdr:nvSpPr>
      <xdr:spPr>
        <a:xfrm>
          <a:off x="9915525" y="200025"/>
          <a:ext cx="285750" cy="266700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236765</xdr:colOff>
      <xdr:row>41</xdr:row>
      <xdr:rowOff>152399</xdr:rowOff>
    </xdr:from>
    <xdr:to>
      <xdr:col>31</xdr:col>
      <xdr:colOff>204107</xdr:colOff>
      <xdr:row>163</xdr:row>
      <xdr:rowOff>81643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0</xdr:colOff>
      <xdr:row>70</xdr:row>
      <xdr:rowOff>0</xdr:rowOff>
    </xdr:from>
    <xdr:to>
      <xdr:col>43</xdr:col>
      <xdr:colOff>228601</xdr:colOff>
      <xdr:row>84</xdr:row>
      <xdr:rowOff>104776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45</xdr:col>
      <xdr:colOff>0</xdr:colOff>
      <xdr:row>70</xdr:row>
      <xdr:rowOff>0</xdr:rowOff>
    </xdr:from>
    <xdr:to>
      <xdr:col>55</xdr:col>
      <xdr:colOff>0</xdr:colOff>
      <xdr:row>84</xdr:row>
      <xdr:rowOff>104776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56</xdr:col>
      <xdr:colOff>0</xdr:colOff>
      <xdr:row>70</xdr:row>
      <xdr:rowOff>0</xdr:rowOff>
    </xdr:from>
    <xdr:to>
      <xdr:col>66</xdr:col>
      <xdr:colOff>228601</xdr:colOff>
      <xdr:row>84</xdr:row>
      <xdr:rowOff>104776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67</xdr:col>
      <xdr:colOff>0</xdr:colOff>
      <xdr:row>70</xdr:row>
      <xdr:rowOff>0</xdr:rowOff>
    </xdr:from>
    <xdr:to>
      <xdr:col>76</xdr:col>
      <xdr:colOff>533401</xdr:colOff>
      <xdr:row>84</xdr:row>
      <xdr:rowOff>104776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33</xdr:col>
      <xdr:colOff>0</xdr:colOff>
      <xdr:row>86</xdr:row>
      <xdr:rowOff>0</xdr:rowOff>
    </xdr:from>
    <xdr:to>
      <xdr:col>43</xdr:col>
      <xdr:colOff>228601</xdr:colOff>
      <xdr:row>100</xdr:row>
      <xdr:rowOff>104776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45</xdr:col>
      <xdr:colOff>0</xdr:colOff>
      <xdr:row>86</xdr:row>
      <xdr:rowOff>0</xdr:rowOff>
    </xdr:from>
    <xdr:to>
      <xdr:col>55</xdr:col>
      <xdr:colOff>0</xdr:colOff>
      <xdr:row>100</xdr:row>
      <xdr:rowOff>104776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56</xdr:col>
      <xdr:colOff>0</xdr:colOff>
      <xdr:row>86</xdr:row>
      <xdr:rowOff>0</xdr:rowOff>
    </xdr:from>
    <xdr:to>
      <xdr:col>66</xdr:col>
      <xdr:colOff>228601</xdr:colOff>
      <xdr:row>100</xdr:row>
      <xdr:rowOff>104776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67</xdr:col>
      <xdr:colOff>0</xdr:colOff>
      <xdr:row>86</xdr:row>
      <xdr:rowOff>0</xdr:rowOff>
    </xdr:from>
    <xdr:to>
      <xdr:col>76</xdr:col>
      <xdr:colOff>533401</xdr:colOff>
      <xdr:row>100</xdr:row>
      <xdr:rowOff>104776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33</xdr:col>
      <xdr:colOff>0</xdr:colOff>
      <xdr:row>102</xdr:row>
      <xdr:rowOff>0</xdr:rowOff>
    </xdr:from>
    <xdr:to>
      <xdr:col>43</xdr:col>
      <xdr:colOff>228601</xdr:colOff>
      <xdr:row>116</xdr:row>
      <xdr:rowOff>104776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45</xdr:col>
      <xdr:colOff>0</xdr:colOff>
      <xdr:row>102</xdr:row>
      <xdr:rowOff>0</xdr:rowOff>
    </xdr:from>
    <xdr:to>
      <xdr:col>55</xdr:col>
      <xdr:colOff>0</xdr:colOff>
      <xdr:row>116</xdr:row>
      <xdr:rowOff>104776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56</xdr:col>
      <xdr:colOff>0</xdr:colOff>
      <xdr:row>102</xdr:row>
      <xdr:rowOff>0</xdr:rowOff>
    </xdr:from>
    <xdr:to>
      <xdr:col>66</xdr:col>
      <xdr:colOff>228601</xdr:colOff>
      <xdr:row>116</xdr:row>
      <xdr:rowOff>104776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67</xdr:col>
      <xdr:colOff>0</xdr:colOff>
      <xdr:row>102</xdr:row>
      <xdr:rowOff>0</xdr:rowOff>
    </xdr:from>
    <xdr:to>
      <xdr:col>76</xdr:col>
      <xdr:colOff>533401</xdr:colOff>
      <xdr:row>116</xdr:row>
      <xdr:rowOff>104776</xdr:rowOff>
    </xdr:to>
    <xdr:graphicFrame macro="">
      <xdr:nvGraphicFramePr>
        <xdr:cNvPr id="20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33</xdr:col>
      <xdr:colOff>0</xdr:colOff>
      <xdr:row>118</xdr:row>
      <xdr:rowOff>0</xdr:rowOff>
    </xdr:from>
    <xdr:to>
      <xdr:col>43</xdr:col>
      <xdr:colOff>228601</xdr:colOff>
      <xdr:row>132</xdr:row>
      <xdr:rowOff>104776</xdr:rowOff>
    </xdr:to>
    <xdr:graphicFrame macro="">
      <xdr:nvGraphicFramePr>
        <xdr:cNvPr id="21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45</xdr:col>
      <xdr:colOff>0</xdr:colOff>
      <xdr:row>118</xdr:row>
      <xdr:rowOff>0</xdr:rowOff>
    </xdr:from>
    <xdr:to>
      <xdr:col>55</xdr:col>
      <xdr:colOff>0</xdr:colOff>
      <xdr:row>132</xdr:row>
      <xdr:rowOff>104776</xdr:rowOff>
    </xdr:to>
    <xdr:graphicFrame macro="">
      <xdr:nvGraphicFramePr>
        <xdr:cNvPr id="22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56</xdr:col>
      <xdr:colOff>0</xdr:colOff>
      <xdr:row>118</xdr:row>
      <xdr:rowOff>0</xdr:rowOff>
    </xdr:from>
    <xdr:to>
      <xdr:col>66</xdr:col>
      <xdr:colOff>228601</xdr:colOff>
      <xdr:row>132</xdr:row>
      <xdr:rowOff>104776</xdr:rowOff>
    </xdr:to>
    <xdr:graphicFrame macro="">
      <xdr:nvGraphicFramePr>
        <xdr:cNvPr id="23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67</xdr:col>
      <xdr:colOff>0</xdr:colOff>
      <xdr:row>118</xdr:row>
      <xdr:rowOff>0</xdr:rowOff>
    </xdr:from>
    <xdr:to>
      <xdr:col>76</xdr:col>
      <xdr:colOff>533401</xdr:colOff>
      <xdr:row>132</xdr:row>
      <xdr:rowOff>104776</xdr:rowOff>
    </xdr:to>
    <xdr:graphicFrame macro="">
      <xdr:nvGraphicFramePr>
        <xdr:cNvPr id="24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33</xdr:col>
      <xdr:colOff>0</xdr:colOff>
      <xdr:row>134</xdr:row>
      <xdr:rowOff>0</xdr:rowOff>
    </xdr:from>
    <xdr:to>
      <xdr:col>43</xdr:col>
      <xdr:colOff>228601</xdr:colOff>
      <xdr:row>148</xdr:row>
      <xdr:rowOff>104776</xdr:rowOff>
    </xdr:to>
    <xdr:graphicFrame macro="">
      <xdr:nvGraphicFramePr>
        <xdr:cNvPr id="25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45</xdr:col>
      <xdr:colOff>0</xdr:colOff>
      <xdr:row>134</xdr:row>
      <xdr:rowOff>0</xdr:rowOff>
    </xdr:from>
    <xdr:to>
      <xdr:col>55</xdr:col>
      <xdr:colOff>0</xdr:colOff>
      <xdr:row>148</xdr:row>
      <xdr:rowOff>104776</xdr:rowOff>
    </xdr:to>
    <xdr:graphicFrame macro="">
      <xdr:nvGraphicFramePr>
        <xdr:cNvPr id="26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56</xdr:col>
      <xdr:colOff>0</xdr:colOff>
      <xdr:row>134</xdr:row>
      <xdr:rowOff>0</xdr:rowOff>
    </xdr:from>
    <xdr:to>
      <xdr:col>66</xdr:col>
      <xdr:colOff>228601</xdr:colOff>
      <xdr:row>148</xdr:row>
      <xdr:rowOff>104776</xdr:rowOff>
    </xdr:to>
    <xdr:graphicFrame macro="">
      <xdr:nvGraphicFramePr>
        <xdr:cNvPr id="27" name="2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67</xdr:col>
      <xdr:colOff>0</xdr:colOff>
      <xdr:row>134</xdr:row>
      <xdr:rowOff>0</xdr:rowOff>
    </xdr:from>
    <xdr:to>
      <xdr:col>76</xdr:col>
      <xdr:colOff>533401</xdr:colOff>
      <xdr:row>148</xdr:row>
      <xdr:rowOff>104776</xdr:rowOff>
    </xdr:to>
    <xdr:graphicFrame macro="">
      <xdr:nvGraphicFramePr>
        <xdr:cNvPr id="29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285750</xdr:colOff>
      <xdr:row>71</xdr:row>
      <xdr:rowOff>38100</xdr:rowOff>
    </xdr:from>
    <xdr:to>
      <xdr:col>17</xdr:col>
      <xdr:colOff>133351</xdr:colOff>
      <xdr:row>85</xdr:row>
      <xdr:rowOff>142876</xdr:rowOff>
    </xdr:to>
    <xdr:graphicFrame macro="">
      <xdr:nvGraphicFramePr>
        <xdr:cNvPr id="28" name="2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190500</xdr:colOff>
      <xdr:row>70</xdr:row>
      <xdr:rowOff>95250</xdr:rowOff>
    </xdr:from>
    <xdr:to>
      <xdr:col>30</xdr:col>
      <xdr:colOff>0</xdr:colOff>
      <xdr:row>85</xdr:row>
      <xdr:rowOff>9526</xdr:rowOff>
    </xdr:to>
    <xdr:graphicFrame macro="">
      <xdr:nvGraphicFramePr>
        <xdr:cNvPr id="30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190500</xdr:colOff>
      <xdr:row>87</xdr:row>
      <xdr:rowOff>142875</xdr:rowOff>
    </xdr:from>
    <xdr:to>
      <xdr:col>17</xdr:col>
      <xdr:colOff>38101</xdr:colOff>
      <xdr:row>102</xdr:row>
      <xdr:rowOff>142876</xdr:rowOff>
    </xdr:to>
    <xdr:graphicFrame macro="">
      <xdr:nvGraphicFramePr>
        <xdr:cNvPr id="31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18</xdr:col>
      <xdr:colOff>190500</xdr:colOff>
      <xdr:row>87</xdr:row>
      <xdr:rowOff>142875</xdr:rowOff>
    </xdr:from>
    <xdr:to>
      <xdr:col>30</xdr:col>
      <xdr:colOff>0</xdr:colOff>
      <xdr:row>102</xdr:row>
      <xdr:rowOff>142876</xdr:rowOff>
    </xdr:to>
    <xdr:graphicFrame macro="">
      <xdr:nvGraphicFramePr>
        <xdr:cNvPr id="33" name="3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</xdr:col>
      <xdr:colOff>190500</xdr:colOff>
      <xdr:row>104</xdr:row>
      <xdr:rowOff>47625</xdr:rowOff>
    </xdr:from>
    <xdr:to>
      <xdr:col>17</xdr:col>
      <xdr:colOff>38101</xdr:colOff>
      <xdr:row>118</xdr:row>
      <xdr:rowOff>152401</xdr:rowOff>
    </xdr:to>
    <xdr:graphicFrame macro="">
      <xdr:nvGraphicFramePr>
        <xdr:cNvPr id="34" name="3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79</xdr:col>
      <xdr:colOff>238125</xdr:colOff>
      <xdr:row>0</xdr:row>
      <xdr:rowOff>95250</xdr:rowOff>
    </xdr:from>
    <xdr:to>
      <xdr:col>80</xdr:col>
      <xdr:colOff>142875</xdr:colOff>
      <xdr:row>0</xdr:row>
      <xdr:rowOff>390525</xdr:rowOff>
    </xdr:to>
    <xdr:sp macro="" textlink="">
      <xdr:nvSpPr>
        <xdr:cNvPr id="32" name="31 Botón de acción: Inicio">
          <a:hlinkClick xmlns:r="http://schemas.openxmlformats.org/officeDocument/2006/relationships" r:id="rId27"/>
        </xdr:cNvPr>
        <xdr:cNvSpPr/>
      </xdr:nvSpPr>
      <xdr:spPr>
        <a:xfrm>
          <a:off x="32394525" y="95250"/>
          <a:ext cx="285750" cy="295275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129117</xdr:colOff>
      <xdr:row>43</xdr:row>
      <xdr:rowOff>153458</xdr:rowOff>
    </xdr:from>
    <xdr:to>
      <xdr:col>47</xdr:col>
      <xdr:colOff>412750</xdr:colOff>
      <xdr:row>135</xdr:row>
      <xdr:rowOff>127000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152399</xdr:colOff>
      <xdr:row>70</xdr:row>
      <xdr:rowOff>76199</xdr:rowOff>
    </xdr:from>
    <xdr:to>
      <xdr:col>24</xdr:col>
      <xdr:colOff>371475</xdr:colOff>
      <xdr:row>82</xdr:row>
      <xdr:rowOff>161925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0</xdr:colOff>
      <xdr:row>70</xdr:row>
      <xdr:rowOff>0</xdr:rowOff>
    </xdr:from>
    <xdr:to>
      <xdr:col>33</xdr:col>
      <xdr:colOff>314326</xdr:colOff>
      <xdr:row>82</xdr:row>
      <xdr:rowOff>85726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0</xdr:colOff>
      <xdr:row>70</xdr:row>
      <xdr:rowOff>0</xdr:rowOff>
    </xdr:from>
    <xdr:to>
      <xdr:col>42</xdr:col>
      <xdr:colOff>428626</xdr:colOff>
      <xdr:row>82</xdr:row>
      <xdr:rowOff>85726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44</xdr:col>
      <xdr:colOff>0</xdr:colOff>
      <xdr:row>70</xdr:row>
      <xdr:rowOff>0</xdr:rowOff>
    </xdr:from>
    <xdr:to>
      <xdr:col>51</xdr:col>
      <xdr:colOff>314326</xdr:colOff>
      <xdr:row>82</xdr:row>
      <xdr:rowOff>85726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84</xdr:row>
      <xdr:rowOff>0</xdr:rowOff>
    </xdr:from>
    <xdr:to>
      <xdr:col>24</xdr:col>
      <xdr:colOff>219076</xdr:colOff>
      <xdr:row>96</xdr:row>
      <xdr:rowOff>85726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25</xdr:col>
      <xdr:colOff>0</xdr:colOff>
      <xdr:row>84</xdr:row>
      <xdr:rowOff>0</xdr:rowOff>
    </xdr:from>
    <xdr:to>
      <xdr:col>33</xdr:col>
      <xdr:colOff>314326</xdr:colOff>
      <xdr:row>96</xdr:row>
      <xdr:rowOff>85726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34</xdr:col>
      <xdr:colOff>0</xdr:colOff>
      <xdr:row>84</xdr:row>
      <xdr:rowOff>0</xdr:rowOff>
    </xdr:from>
    <xdr:to>
      <xdr:col>42</xdr:col>
      <xdr:colOff>428626</xdr:colOff>
      <xdr:row>96</xdr:row>
      <xdr:rowOff>85726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44</xdr:col>
      <xdr:colOff>0</xdr:colOff>
      <xdr:row>84</xdr:row>
      <xdr:rowOff>0</xdr:rowOff>
    </xdr:from>
    <xdr:to>
      <xdr:col>51</xdr:col>
      <xdr:colOff>314326</xdr:colOff>
      <xdr:row>96</xdr:row>
      <xdr:rowOff>85726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0</xdr:colOff>
      <xdr:row>98</xdr:row>
      <xdr:rowOff>0</xdr:rowOff>
    </xdr:from>
    <xdr:to>
      <xdr:col>24</xdr:col>
      <xdr:colOff>219076</xdr:colOff>
      <xdr:row>110</xdr:row>
      <xdr:rowOff>85726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25</xdr:col>
      <xdr:colOff>0</xdr:colOff>
      <xdr:row>98</xdr:row>
      <xdr:rowOff>0</xdr:rowOff>
    </xdr:from>
    <xdr:to>
      <xdr:col>33</xdr:col>
      <xdr:colOff>314326</xdr:colOff>
      <xdr:row>110</xdr:row>
      <xdr:rowOff>85726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34</xdr:col>
      <xdr:colOff>0</xdr:colOff>
      <xdr:row>98</xdr:row>
      <xdr:rowOff>0</xdr:rowOff>
    </xdr:from>
    <xdr:to>
      <xdr:col>42</xdr:col>
      <xdr:colOff>428626</xdr:colOff>
      <xdr:row>110</xdr:row>
      <xdr:rowOff>85726</xdr:rowOff>
    </xdr:to>
    <xdr:graphicFrame macro="">
      <xdr:nvGraphicFramePr>
        <xdr:cNvPr id="20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44</xdr:col>
      <xdr:colOff>0</xdr:colOff>
      <xdr:row>98</xdr:row>
      <xdr:rowOff>0</xdr:rowOff>
    </xdr:from>
    <xdr:to>
      <xdr:col>51</xdr:col>
      <xdr:colOff>314326</xdr:colOff>
      <xdr:row>110</xdr:row>
      <xdr:rowOff>85726</xdr:rowOff>
    </xdr:to>
    <xdr:graphicFrame macro="">
      <xdr:nvGraphicFramePr>
        <xdr:cNvPr id="21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533400</xdr:colOff>
      <xdr:row>112</xdr:row>
      <xdr:rowOff>0</xdr:rowOff>
    </xdr:from>
    <xdr:to>
      <xdr:col>24</xdr:col>
      <xdr:colOff>209551</xdr:colOff>
      <xdr:row>124</xdr:row>
      <xdr:rowOff>85726</xdr:rowOff>
    </xdr:to>
    <xdr:graphicFrame macro="">
      <xdr:nvGraphicFramePr>
        <xdr:cNvPr id="22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25</xdr:col>
      <xdr:colOff>0</xdr:colOff>
      <xdr:row>112</xdr:row>
      <xdr:rowOff>0</xdr:rowOff>
    </xdr:from>
    <xdr:to>
      <xdr:col>33</xdr:col>
      <xdr:colOff>314326</xdr:colOff>
      <xdr:row>124</xdr:row>
      <xdr:rowOff>85726</xdr:rowOff>
    </xdr:to>
    <xdr:graphicFrame macro="">
      <xdr:nvGraphicFramePr>
        <xdr:cNvPr id="23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34</xdr:col>
      <xdr:colOff>0</xdr:colOff>
      <xdr:row>111</xdr:row>
      <xdr:rowOff>0</xdr:rowOff>
    </xdr:from>
    <xdr:to>
      <xdr:col>42</xdr:col>
      <xdr:colOff>428626</xdr:colOff>
      <xdr:row>123</xdr:row>
      <xdr:rowOff>85726</xdr:rowOff>
    </xdr:to>
    <xdr:graphicFrame macro="">
      <xdr:nvGraphicFramePr>
        <xdr:cNvPr id="24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44</xdr:col>
      <xdr:colOff>0</xdr:colOff>
      <xdr:row>111</xdr:row>
      <xdr:rowOff>0</xdr:rowOff>
    </xdr:from>
    <xdr:to>
      <xdr:col>51</xdr:col>
      <xdr:colOff>314326</xdr:colOff>
      <xdr:row>123</xdr:row>
      <xdr:rowOff>85726</xdr:rowOff>
    </xdr:to>
    <xdr:graphicFrame macro="">
      <xdr:nvGraphicFramePr>
        <xdr:cNvPr id="25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51</xdr:col>
      <xdr:colOff>428625</xdr:colOff>
      <xdr:row>0</xdr:row>
      <xdr:rowOff>152400</xdr:rowOff>
    </xdr:from>
    <xdr:to>
      <xdr:col>52</xdr:col>
      <xdr:colOff>266700</xdr:colOff>
      <xdr:row>0</xdr:row>
      <xdr:rowOff>438150</xdr:rowOff>
    </xdr:to>
    <xdr:sp macro="" textlink="">
      <xdr:nvSpPr>
        <xdr:cNvPr id="26" name="25 Botón de acción: Inicio">
          <a:hlinkClick xmlns:r="http://schemas.openxmlformats.org/officeDocument/2006/relationships" r:id="rId18"/>
        </xdr:cNvPr>
        <xdr:cNvSpPr/>
      </xdr:nvSpPr>
      <xdr:spPr>
        <a:xfrm>
          <a:off x="26155650" y="152400"/>
          <a:ext cx="285750" cy="285750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266700</xdr:colOff>
      <xdr:row>0</xdr:row>
      <xdr:rowOff>66675</xdr:rowOff>
    </xdr:from>
    <xdr:to>
      <xdr:col>13</xdr:col>
      <xdr:colOff>561975</xdr:colOff>
      <xdr:row>1</xdr:row>
      <xdr:rowOff>104776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11772900" y="66675"/>
          <a:ext cx="295275" cy="276226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654843</xdr:colOff>
      <xdr:row>54</xdr:row>
      <xdr:rowOff>104774</xdr:rowOff>
    </xdr:from>
    <xdr:to>
      <xdr:col>20</xdr:col>
      <xdr:colOff>284582</xdr:colOff>
      <xdr:row>89</xdr:row>
      <xdr:rowOff>21321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9090</xdr:colOff>
      <xdr:row>90</xdr:row>
      <xdr:rowOff>23594</xdr:rowOff>
    </xdr:from>
    <xdr:to>
      <xdr:col>20</xdr:col>
      <xdr:colOff>380999</xdr:colOff>
      <xdr:row>122</xdr:row>
      <xdr:rowOff>83344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184638</xdr:colOff>
      <xdr:row>0</xdr:row>
      <xdr:rowOff>38466</xdr:rowOff>
    </xdr:from>
    <xdr:to>
      <xdr:col>24</xdr:col>
      <xdr:colOff>467824</xdr:colOff>
      <xdr:row>1</xdr:row>
      <xdr:rowOff>95616</xdr:rowOff>
    </xdr:to>
    <xdr:sp macro="" textlink="">
      <xdr:nvSpPr>
        <xdr:cNvPr id="7" name="6 Botón de acción: Inicio">
          <a:hlinkClick xmlns:r="http://schemas.openxmlformats.org/officeDocument/2006/relationships" r:id="rId3"/>
        </xdr:cNvPr>
        <xdr:cNvSpPr/>
      </xdr:nvSpPr>
      <xdr:spPr>
        <a:xfrm>
          <a:off x="14824563" y="38466"/>
          <a:ext cx="283186" cy="257175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0</xdr:row>
      <xdr:rowOff>0</xdr:rowOff>
    </xdr:from>
    <xdr:to>
      <xdr:col>18</xdr:col>
      <xdr:colOff>552450</xdr:colOff>
      <xdr:row>2</xdr:row>
      <xdr:rowOff>32701</xdr:rowOff>
    </xdr:to>
    <xdr:pic>
      <xdr:nvPicPr>
        <xdr:cNvPr id="3" name="2 Imagen" descr="nueva pantera negra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9058275" y="104776"/>
          <a:ext cx="552450" cy="5089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41</xdr:row>
      <xdr:rowOff>0</xdr:rowOff>
    </xdr:from>
    <xdr:to>
      <xdr:col>2</xdr:col>
      <xdr:colOff>0</xdr:colOff>
      <xdr:row>50</xdr:row>
      <xdr:rowOff>0</xdr:rowOff>
    </xdr:to>
    <xdr:sp macro="" textlink="">
      <xdr:nvSpPr>
        <xdr:cNvPr id="20" name="Rectangle 107"/>
        <xdr:cNvSpPr>
          <a:spLocks noChangeArrowheads="1"/>
        </xdr:cNvSpPr>
      </xdr:nvSpPr>
      <xdr:spPr bwMode="auto">
        <a:xfrm>
          <a:off x="2971800" y="1238250"/>
          <a:ext cx="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0</xdr:colOff>
      <xdr:row>50</xdr:row>
      <xdr:rowOff>0</xdr:rowOff>
    </xdr:to>
    <xdr:sp macro="" textlink="">
      <xdr:nvSpPr>
        <xdr:cNvPr id="21" name="Rectangle 108"/>
        <xdr:cNvSpPr>
          <a:spLocks noChangeArrowheads="1"/>
        </xdr:cNvSpPr>
      </xdr:nvSpPr>
      <xdr:spPr bwMode="auto">
        <a:xfrm>
          <a:off x="2971800" y="1238250"/>
          <a:ext cx="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41</xdr:row>
      <xdr:rowOff>0</xdr:rowOff>
    </xdr:from>
    <xdr:to>
      <xdr:col>6</xdr:col>
      <xdr:colOff>0</xdr:colOff>
      <xdr:row>63</xdr:row>
      <xdr:rowOff>0</xdr:rowOff>
    </xdr:to>
    <xdr:sp macro="" textlink="">
      <xdr:nvSpPr>
        <xdr:cNvPr id="22" name="Rectangle 107"/>
        <xdr:cNvSpPr>
          <a:spLocks noChangeArrowheads="1"/>
        </xdr:cNvSpPr>
      </xdr:nvSpPr>
      <xdr:spPr bwMode="auto">
        <a:xfrm>
          <a:off x="7658100" y="1238250"/>
          <a:ext cx="0" cy="421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41</xdr:row>
      <xdr:rowOff>0</xdr:rowOff>
    </xdr:from>
    <xdr:to>
      <xdr:col>6</xdr:col>
      <xdr:colOff>0</xdr:colOff>
      <xdr:row>63</xdr:row>
      <xdr:rowOff>0</xdr:rowOff>
    </xdr:to>
    <xdr:sp macro="" textlink="">
      <xdr:nvSpPr>
        <xdr:cNvPr id="23" name="Rectangle 108"/>
        <xdr:cNvSpPr>
          <a:spLocks noChangeArrowheads="1"/>
        </xdr:cNvSpPr>
      </xdr:nvSpPr>
      <xdr:spPr bwMode="auto">
        <a:xfrm>
          <a:off x="7658100" y="1238250"/>
          <a:ext cx="0" cy="421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45</xdr:row>
      <xdr:rowOff>0</xdr:rowOff>
    </xdr:from>
    <xdr:to>
      <xdr:col>10</xdr:col>
      <xdr:colOff>0</xdr:colOff>
      <xdr:row>59</xdr:row>
      <xdr:rowOff>0</xdr:rowOff>
    </xdr:to>
    <xdr:sp macro="" textlink="">
      <xdr:nvSpPr>
        <xdr:cNvPr id="24" name="Rectangle 107"/>
        <xdr:cNvSpPr>
          <a:spLocks noChangeArrowheads="1"/>
        </xdr:cNvSpPr>
      </xdr:nvSpPr>
      <xdr:spPr bwMode="auto">
        <a:xfrm>
          <a:off x="12582525" y="2000250"/>
          <a:ext cx="0" cy="2695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45</xdr:row>
      <xdr:rowOff>0</xdr:rowOff>
    </xdr:from>
    <xdr:to>
      <xdr:col>10</xdr:col>
      <xdr:colOff>0</xdr:colOff>
      <xdr:row>59</xdr:row>
      <xdr:rowOff>0</xdr:rowOff>
    </xdr:to>
    <xdr:sp macro="" textlink="">
      <xdr:nvSpPr>
        <xdr:cNvPr id="25" name="Rectangle 108"/>
        <xdr:cNvSpPr>
          <a:spLocks noChangeArrowheads="1"/>
        </xdr:cNvSpPr>
      </xdr:nvSpPr>
      <xdr:spPr bwMode="auto">
        <a:xfrm>
          <a:off x="12582525" y="2000250"/>
          <a:ext cx="0" cy="2695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57</xdr:row>
      <xdr:rowOff>0</xdr:rowOff>
    </xdr:from>
    <xdr:to>
      <xdr:col>10</xdr:col>
      <xdr:colOff>0</xdr:colOff>
      <xdr:row>59</xdr:row>
      <xdr:rowOff>0</xdr:rowOff>
    </xdr:to>
    <xdr:sp macro="" textlink="">
      <xdr:nvSpPr>
        <xdr:cNvPr id="26" name="Rectangle 107"/>
        <xdr:cNvSpPr>
          <a:spLocks noChangeArrowheads="1"/>
        </xdr:cNvSpPr>
      </xdr:nvSpPr>
      <xdr:spPr bwMode="auto">
        <a:xfrm>
          <a:off x="12582525" y="4286250"/>
          <a:ext cx="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57</xdr:row>
      <xdr:rowOff>0</xdr:rowOff>
    </xdr:from>
    <xdr:to>
      <xdr:col>10</xdr:col>
      <xdr:colOff>0</xdr:colOff>
      <xdr:row>59</xdr:row>
      <xdr:rowOff>0</xdr:rowOff>
    </xdr:to>
    <xdr:sp macro="" textlink="">
      <xdr:nvSpPr>
        <xdr:cNvPr id="27" name="Rectangle 108"/>
        <xdr:cNvSpPr>
          <a:spLocks noChangeArrowheads="1"/>
        </xdr:cNvSpPr>
      </xdr:nvSpPr>
      <xdr:spPr bwMode="auto">
        <a:xfrm>
          <a:off x="12582525" y="4286250"/>
          <a:ext cx="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77</xdr:row>
      <xdr:rowOff>0</xdr:rowOff>
    </xdr:from>
    <xdr:to>
      <xdr:col>2</xdr:col>
      <xdr:colOff>0</xdr:colOff>
      <xdr:row>96</xdr:row>
      <xdr:rowOff>0</xdr:rowOff>
    </xdr:to>
    <xdr:sp macro="" textlink="">
      <xdr:nvSpPr>
        <xdr:cNvPr id="12" name="Rectangle 107"/>
        <xdr:cNvSpPr>
          <a:spLocks noChangeArrowheads="1"/>
        </xdr:cNvSpPr>
      </xdr:nvSpPr>
      <xdr:spPr bwMode="auto">
        <a:xfrm>
          <a:off x="2486025" y="1381125"/>
          <a:ext cx="0" cy="3619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77</xdr:row>
      <xdr:rowOff>0</xdr:rowOff>
    </xdr:from>
    <xdr:to>
      <xdr:col>2</xdr:col>
      <xdr:colOff>0</xdr:colOff>
      <xdr:row>96</xdr:row>
      <xdr:rowOff>0</xdr:rowOff>
    </xdr:to>
    <xdr:sp macro="" textlink="">
      <xdr:nvSpPr>
        <xdr:cNvPr id="13" name="Rectangle 108"/>
        <xdr:cNvSpPr>
          <a:spLocks noChangeArrowheads="1"/>
        </xdr:cNvSpPr>
      </xdr:nvSpPr>
      <xdr:spPr bwMode="auto">
        <a:xfrm>
          <a:off x="2486025" y="1381125"/>
          <a:ext cx="0" cy="3619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0</xdr:colOff>
      <xdr:row>110</xdr:row>
      <xdr:rowOff>0</xdr:rowOff>
    </xdr:to>
    <xdr:sp macro="" textlink="">
      <xdr:nvSpPr>
        <xdr:cNvPr id="14" name="Rectangle 107"/>
        <xdr:cNvSpPr>
          <a:spLocks noChangeArrowheads="1"/>
        </xdr:cNvSpPr>
      </xdr:nvSpPr>
      <xdr:spPr bwMode="auto">
        <a:xfrm>
          <a:off x="7381875" y="1381125"/>
          <a:ext cx="0" cy="6286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0</xdr:colOff>
      <xdr:row>110</xdr:row>
      <xdr:rowOff>0</xdr:rowOff>
    </xdr:to>
    <xdr:sp macro="" textlink="">
      <xdr:nvSpPr>
        <xdr:cNvPr id="15" name="Rectangle 108"/>
        <xdr:cNvSpPr>
          <a:spLocks noChangeArrowheads="1"/>
        </xdr:cNvSpPr>
      </xdr:nvSpPr>
      <xdr:spPr bwMode="auto">
        <a:xfrm>
          <a:off x="7381875" y="1381125"/>
          <a:ext cx="0" cy="6286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10</xdr:col>
      <xdr:colOff>0</xdr:colOff>
      <xdr:row>76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6" name="Rectangle 107"/>
        <xdr:cNvSpPr>
          <a:spLocks noChangeArrowheads="1"/>
        </xdr:cNvSpPr>
      </xdr:nvSpPr>
      <xdr:spPr bwMode="auto">
        <a:xfrm>
          <a:off x="13230225" y="1190625"/>
          <a:ext cx="0" cy="381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10</xdr:col>
      <xdr:colOff>0</xdr:colOff>
      <xdr:row>76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7" name="Rectangle 108"/>
        <xdr:cNvSpPr>
          <a:spLocks noChangeArrowheads="1"/>
        </xdr:cNvSpPr>
      </xdr:nvSpPr>
      <xdr:spPr bwMode="auto">
        <a:xfrm>
          <a:off x="13230225" y="1190625"/>
          <a:ext cx="0" cy="381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10</xdr:col>
      <xdr:colOff>0</xdr:colOff>
      <xdr:row>78</xdr:row>
      <xdr:rowOff>0</xdr:rowOff>
    </xdr:from>
    <xdr:to>
      <xdr:col>10</xdr:col>
      <xdr:colOff>0</xdr:colOff>
      <xdr:row>100</xdr:row>
      <xdr:rowOff>0</xdr:rowOff>
    </xdr:to>
    <xdr:sp macro="" textlink="">
      <xdr:nvSpPr>
        <xdr:cNvPr id="18" name="Rectangle 107"/>
        <xdr:cNvSpPr>
          <a:spLocks noChangeArrowheads="1"/>
        </xdr:cNvSpPr>
      </xdr:nvSpPr>
      <xdr:spPr bwMode="auto">
        <a:xfrm>
          <a:off x="13230225" y="1571625"/>
          <a:ext cx="0" cy="419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10</xdr:col>
      <xdr:colOff>0</xdr:colOff>
      <xdr:row>78</xdr:row>
      <xdr:rowOff>0</xdr:rowOff>
    </xdr:from>
    <xdr:to>
      <xdr:col>10</xdr:col>
      <xdr:colOff>0</xdr:colOff>
      <xdr:row>100</xdr:row>
      <xdr:rowOff>0</xdr:rowOff>
    </xdr:to>
    <xdr:sp macro="" textlink="">
      <xdr:nvSpPr>
        <xdr:cNvPr id="19" name="Rectangle 108"/>
        <xdr:cNvSpPr>
          <a:spLocks noChangeArrowheads="1"/>
        </xdr:cNvSpPr>
      </xdr:nvSpPr>
      <xdr:spPr bwMode="auto">
        <a:xfrm>
          <a:off x="13230225" y="1571625"/>
          <a:ext cx="0" cy="419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120</xdr:row>
      <xdr:rowOff>0</xdr:rowOff>
    </xdr:from>
    <xdr:to>
      <xdr:col>2</xdr:col>
      <xdr:colOff>0</xdr:colOff>
      <xdr:row>144</xdr:row>
      <xdr:rowOff>0</xdr:rowOff>
    </xdr:to>
    <xdr:sp macro="" textlink="">
      <xdr:nvSpPr>
        <xdr:cNvPr id="28" name="Rectangle 107"/>
        <xdr:cNvSpPr>
          <a:spLocks noChangeArrowheads="1"/>
        </xdr:cNvSpPr>
      </xdr:nvSpPr>
      <xdr:spPr bwMode="auto">
        <a:xfrm>
          <a:off x="2762250" y="1552575"/>
          <a:ext cx="0" cy="457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120</xdr:row>
      <xdr:rowOff>0</xdr:rowOff>
    </xdr:from>
    <xdr:to>
      <xdr:col>2</xdr:col>
      <xdr:colOff>0</xdr:colOff>
      <xdr:row>144</xdr:row>
      <xdr:rowOff>0</xdr:rowOff>
    </xdr:to>
    <xdr:sp macro="" textlink="">
      <xdr:nvSpPr>
        <xdr:cNvPr id="29" name="Rectangle 108"/>
        <xdr:cNvSpPr>
          <a:spLocks noChangeArrowheads="1"/>
        </xdr:cNvSpPr>
      </xdr:nvSpPr>
      <xdr:spPr bwMode="auto">
        <a:xfrm>
          <a:off x="2762250" y="1552575"/>
          <a:ext cx="0" cy="457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0</xdr:colOff>
      <xdr:row>120</xdr:row>
      <xdr:rowOff>0</xdr:rowOff>
    </xdr:from>
    <xdr:to>
      <xdr:col>6</xdr:col>
      <xdr:colOff>0</xdr:colOff>
      <xdr:row>147</xdr:row>
      <xdr:rowOff>0</xdr:rowOff>
    </xdr:to>
    <xdr:sp macro="" textlink="">
      <xdr:nvSpPr>
        <xdr:cNvPr id="30" name="Rectangle 107"/>
        <xdr:cNvSpPr>
          <a:spLocks noChangeArrowheads="1"/>
        </xdr:cNvSpPr>
      </xdr:nvSpPr>
      <xdr:spPr bwMode="auto">
        <a:xfrm>
          <a:off x="7743825" y="1552575"/>
          <a:ext cx="0" cy="5143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0</xdr:colOff>
      <xdr:row>120</xdr:row>
      <xdr:rowOff>0</xdr:rowOff>
    </xdr:from>
    <xdr:to>
      <xdr:col>6</xdr:col>
      <xdr:colOff>0</xdr:colOff>
      <xdr:row>147</xdr:row>
      <xdr:rowOff>0</xdr:rowOff>
    </xdr:to>
    <xdr:sp macro="" textlink="">
      <xdr:nvSpPr>
        <xdr:cNvPr id="31" name="Rectangle 108"/>
        <xdr:cNvSpPr>
          <a:spLocks noChangeArrowheads="1"/>
        </xdr:cNvSpPr>
      </xdr:nvSpPr>
      <xdr:spPr bwMode="auto">
        <a:xfrm>
          <a:off x="7743825" y="1552575"/>
          <a:ext cx="0" cy="5143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10</xdr:col>
      <xdr:colOff>0</xdr:colOff>
      <xdr:row>119</xdr:row>
      <xdr:rowOff>0</xdr:rowOff>
    </xdr:from>
    <xdr:to>
      <xdr:col>10</xdr:col>
      <xdr:colOff>0</xdr:colOff>
      <xdr:row>143</xdr:row>
      <xdr:rowOff>0</xdr:rowOff>
    </xdr:to>
    <xdr:sp macro="" textlink="">
      <xdr:nvSpPr>
        <xdr:cNvPr id="32" name="Rectangle 107"/>
        <xdr:cNvSpPr>
          <a:spLocks noChangeArrowheads="1"/>
        </xdr:cNvSpPr>
      </xdr:nvSpPr>
      <xdr:spPr bwMode="auto">
        <a:xfrm>
          <a:off x="13344525" y="1362075"/>
          <a:ext cx="0" cy="457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10</xdr:col>
      <xdr:colOff>0</xdr:colOff>
      <xdr:row>119</xdr:row>
      <xdr:rowOff>0</xdr:rowOff>
    </xdr:from>
    <xdr:to>
      <xdr:col>10</xdr:col>
      <xdr:colOff>0</xdr:colOff>
      <xdr:row>143</xdr:row>
      <xdr:rowOff>0</xdr:rowOff>
    </xdr:to>
    <xdr:sp macro="" textlink="">
      <xdr:nvSpPr>
        <xdr:cNvPr id="33" name="Rectangle 108"/>
        <xdr:cNvSpPr>
          <a:spLocks noChangeArrowheads="1"/>
        </xdr:cNvSpPr>
      </xdr:nvSpPr>
      <xdr:spPr bwMode="auto">
        <a:xfrm>
          <a:off x="13344525" y="1362075"/>
          <a:ext cx="0" cy="457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10</xdr:col>
      <xdr:colOff>0</xdr:colOff>
      <xdr:row>121</xdr:row>
      <xdr:rowOff>0</xdr:rowOff>
    </xdr:from>
    <xdr:to>
      <xdr:col>10</xdr:col>
      <xdr:colOff>0</xdr:colOff>
      <xdr:row>145</xdr:row>
      <xdr:rowOff>0</xdr:rowOff>
    </xdr:to>
    <xdr:sp macro="" textlink="">
      <xdr:nvSpPr>
        <xdr:cNvPr id="34" name="Rectangle 107"/>
        <xdr:cNvSpPr>
          <a:spLocks noChangeArrowheads="1"/>
        </xdr:cNvSpPr>
      </xdr:nvSpPr>
      <xdr:spPr bwMode="auto">
        <a:xfrm>
          <a:off x="13344525" y="1743075"/>
          <a:ext cx="0" cy="457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10</xdr:col>
      <xdr:colOff>0</xdr:colOff>
      <xdr:row>121</xdr:row>
      <xdr:rowOff>0</xdr:rowOff>
    </xdr:from>
    <xdr:to>
      <xdr:col>10</xdr:col>
      <xdr:colOff>0</xdr:colOff>
      <xdr:row>145</xdr:row>
      <xdr:rowOff>0</xdr:rowOff>
    </xdr:to>
    <xdr:sp macro="" textlink="">
      <xdr:nvSpPr>
        <xdr:cNvPr id="35" name="Rectangle 108"/>
        <xdr:cNvSpPr>
          <a:spLocks noChangeArrowheads="1"/>
        </xdr:cNvSpPr>
      </xdr:nvSpPr>
      <xdr:spPr bwMode="auto">
        <a:xfrm>
          <a:off x="13344525" y="1743075"/>
          <a:ext cx="0" cy="457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158</xdr:row>
      <xdr:rowOff>0</xdr:rowOff>
    </xdr:from>
    <xdr:to>
      <xdr:col>2</xdr:col>
      <xdr:colOff>0</xdr:colOff>
      <xdr:row>176</xdr:row>
      <xdr:rowOff>0</xdr:rowOff>
    </xdr:to>
    <xdr:sp macro="" textlink="">
      <xdr:nvSpPr>
        <xdr:cNvPr id="36" name="Rectangle 107"/>
        <xdr:cNvSpPr>
          <a:spLocks noChangeArrowheads="1"/>
        </xdr:cNvSpPr>
      </xdr:nvSpPr>
      <xdr:spPr bwMode="auto">
        <a:xfrm>
          <a:off x="3505200" y="1285875"/>
          <a:ext cx="0" cy="3619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158</xdr:row>
      <xdr:rowOff>0</xdr:rowOff>
    </xdr:from>
    <xdr:to>
      <xdr:col>2</xdr:col>
      <xdr:colOff>0</xdr:colOff>
      <xdr:row>176</xdr:row>
      <xdr:rowOff>0</xdr:rowOff>
    </xdr:to>
    <xdr:sp macro="" textlink="">
      <xdr:nvSpPr>
        <xdr:cNvPr id="37" name="Rectangle 108"/>
        <xdr:cNvSpPr>
          <a:spLocks noChangeArrowheads="1"/>
        </xdr:cNvSpPr>
      </xdr:nvSpPr>
      <xdr:spPr bwMode="auto">
        <a:xfrm>
          <a:off x="3505200" y="1285875"/>
          <a:ext cx="0" cy="3619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0</xdr:colOff>
      <xdr:row>159</xdr:row>
      <xdr:rowOff>0</xdr:rowOff>
    </xdr:from>
    <xdr:to>
      <xdr:col>6</xdr:col>
      <xdr:colOff>0</xdr:colOff>
      <xdr:row>178</xdr:row>
      <xdr:rowOff>0</xdr:rowOff>
    </xdr:to>
    <xdr:sp macro="" textlink="">
      <xdr:nvSpPr>
        <xdr:cNvPr id="38" name="Rectangle 107"/>
        <xdr:cNvSpPr>
          <a:spLocks noChangeArrowheads="1"/>
        </xdr:cNvSpPr>
      </xdr:nvSpPr>
      <xdr:spPr bwMode="auto">
        <a:xfrm>
          <a:off x="3505200" y="8096250"/>
          <a:ext cx="0" cy="3752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0</xdr:colOff>
      <xdr:row>159</xdr:row>
      <xdr:rowOff>0</xdr:rowOff>
    </xdr:from>
    <xdr:to>
      <xdr:col>6</xdr:col>
      <xdr:colOff>0</xdr:colOff>
      <xdr:row>178</xdr:row>
      <xdr:rowOff>0</xdr:rowOff>
    </xdr:to>
    <xdr:sp macro="" textlink="">
      <xdr:nvSpPr>
        <xdr:cNvPr id="39" name="Rectangle 108"/>
        <xdr:cNvSpPr>
          <a:spLocks noChangeArrowheads="1"/>
        </xdr:cNvSpPr>
      </xdr:nvSpPr>
      <xdr:spPr bwMode="auto">
        <a:xfrm>
          <a:off x="3505200" y="8096250"/>
          <a:ext cx="0" cy="3752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10</xdr:col>
      <xdr:colOff>0</xdr:colOff>
      <xdr:row>158</xdr:row>
      <xdr:rowOff>0</xdr:rowOff>
    </xdr:from>
    <xdr:to>
      <xdr:col>10</xdr:col>
      <xdr:colOff>0</xdr:colOff>
      <xdr:row>163</xdr:row>
      <xdr:rowOff>0</xdr:rowOff>
    </xdr:to>
    <xdr:sp macro="" textlink="">
      <xdr:nvSpPr>
        <xdr:cNvPr id="40" name="Rectangle 107"/>
        <xdr:cNvSpPr>
          <a:spLocks noChangeArrowheads="1"/>
        </xdr:cNvSpPr>
      </xdr:nvSpPr>
      <xdr:spPr bwMode="auto">
        <a:xfrm>
          <a:off x="9810750" y="14211300"/>
          <a:ext cx="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10</xdr:col>
      <xdr:colOff>0</xdr:colOff>
      <xdr:row>158</xdr:row>
      <xdr:rowOff>0</xdr:rowOff>
    </xdr:from>
    <xdr:to>
      <xdr:col>10</xdr:col>
      <xdr:colOff>0</xdr:colOff>
      <xdr:row>163</xdr:row>
      <xdr:rowOff>0</xdr:rowOff>
    </xdr:to>
    <xdr:sp macro="" textlink="">
      <xdr:nvSpPr>
        <xdr:cNvPr id="41" name="Rectangle 108"/>
        <xdr:cNvSpPr>
          <a:spLocks noChangeArrowheads="1"/>
        </xdr:cNvSpPr>
      </xdr:nvSpPr>
      <xdr:spPr bwMode="auto">
        <a:xfrm>
          <a:off x="9810750" y="14211300"/>
          <a:ext cx="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10</xdr:col>
      <xdr:colOff>0</xdr:colOff>
      <xdr:row>159</xdr:row>
      <xdr:rowOff>0</xdr:rowOff>
    </xdr:from>
    <xdr:to>
      <xdr:col>10</xdr:col>
      <xdr:colOff>0</xdr:colOff>
      <xdr:row>163</xdr:row>
      <xdr:rowOff>0</xdr:rowOff>
    </xdr:to>
    <xdr:sp macro="" textlink="">
      <xdr:nvSpPr>
        <xdr:cNvPr id="42" name="Rectangle 107"/>
        <xdr:cNvSpPr>
          <a:spLocks noChangeArrowheads="1"/>
        </xdr:cNvSpPr>
      </xdr:nvSpPr>
      <xdr:spPr bwMode="auto">
        <a:xfrm>
          <a:off x="9810750" y="14401800"/>
          <a:ext cx="0" cy="76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10</xdr:col>
      <xdr:colOff>0</xdr:colOff>
      <xdr:row>159</xdr:row>
      <xdr:rowOff>0</xdr:rowOff>
    </xdr:from>
    <xdr:to>
      <xdr:col>10</xdr:col>
      <xdr:colOff>0</xdr:colOff>
      <xdr:row>163</xdr:row>
      <xdr:rowOff>0</xdr:rowOff>
    </xdr:to>
    <xdr:sp macro="" textlink="">
      <xdr:nvSpPr>
        <xdr:cNvPr id="43" name="Rectangle 108"/>
        <xdr:cNvSpPr>
          <a:spLocks noChangeArrowheads="1"/>
        </xdr:cNvSpPr>
      </xdr:nvSpPr>
      <xdr:spPr bwMode="auto">
        <a:xfrm>
          <a:off x="9810750" y="14401800"/>
          <a:ext cx="0" cy="76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192</xdr:row>
      <xdr:rowOff>0</xdr:rowOff>
    </xdr:from>
    <xdr:to>
      <xdr:col>2</xdr:col>
      <xdr:colOff>0</xdr:colOff>
      <xdr:row>210</xdr:row>
      <xdr:rowOff>0</xdr:rowOff>
    </xdr:to>
    <xdr:sp macro="" textlink="">
      <xdr:nvSpPr>
        <xdr:cNvPr id="44" name="Rectangle 107"/>
        <xdr:cNvSpPr>
          <a:spLocks noChangeArrowheads="1"/>
        </xdr:cNvSpPr>
      </xdr:nvSpPr>
      <xdr:spPr bwMode="auto">
        <a:xfrm>
          <a:off x="3581400" y="1714500"/>
          <a:ext cx="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192</xdr:row>
      <xdr:rowOff>0</xdr:rowOff>
    </xdr:from>
    <xdr:to>
      <xdr:col>2</xdr:col>
      <xdr:colOff>0</xdr:colOff>
      <xdr:row>210</xdr:row>
      <xdr:rowOff>0</xdr:rowOff>
    </xdr:to>
    <xdr:sp macro="" textlink="">
      <xdr:nvSpPr>
        <xdr:cNvPr id="45" name="Rectangle 108"/>
        <xdr:cNvSpPr>
          <a:spLocks noChangeArrowheads="1"/>
        </xdr:cNvSpPr>
      </xdr:nvSpPr>
      <xdr:spPr bwMode="auto">
        <a:xfrm>
          <a:off x="3581400" y="1714500"/>
          <a:ext cx="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191</xdr:row>
      <xdr:rowOff>0</xdr:rowOff>
    </xdr:from>
    <xdr:to>
      <xdr:col>10</xdr:col>
      <xdr:colOff>0</xdr:colOff>
      <xdr:row>195</xdr:row>
      <xdr:rowOff>0</xdr:rowOff>
    </xdr:to>
    <xdr:sp macro="" textlink="">
      <xdr:nvSpPr>
        <xdr:cNvPr id="46" name="Rectangle 107"/>
        <xdr:cNvSpPr>
          <a:spLocks noChangeArrowheads="1"/>
        </xdr:cNvSpPr>
      </xdr:nvSpPr>
      <xdr:spPr bwMode="auto">
        <a:xfrm>
          <a:off x="13068300" y="15240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191</xdr:row>
      <xdr:rowOff>0</xdr:rowOff>
    </xdr:from>
    <xdr:to>
      <xdr:col>10</xdr:col>
      <xdr:colOff>0</xdr:colOff>
      <xdr:row>195</xdr:row>
      <xdr:rowOff>0</xdr:rowOff>
    </xdr:to>
    <xdr:sp macro="" textlink="">
      <xdr:nvSpPr>
        <xdr:cNvPr id="47" name="Rectangle 108"/>
        <xdr:cNvSpPr>
          <a:spLocks noChangeArrowheads="1"/>
        </xdr:cNvSpPr>
      </xdr:nvSpPr>
      <xdr:spPr bwMode="auto">
        <a:xfrm>
          <a:off x="13068300" y="15240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192</xdr:row>
      <xdr:rowOff>0</xdr:rowOff>
    </xdr:from>
    <xdr:to>
      <xdr:col>6</xdr:col>
      <xdr:colOff>0</xdr:colOff>
      <xdr:row>210</xdr:row>
      <xdr:rowOff>0</xdr:rowOff>
    </xdr:to>
    <xdr:sp macro="" textlink="">
      <xdr:nvSpPr>
        <xdr:cNvPr id="48" name="Rectangle 107"/>
        <xdr:cNvSpPr>
          <a:spLocks noChangeArrowheads="1"/>
        </xdr:cNvSpPr>
      </xdr:nvSpPr>
      <xdr:spPr bwMode="auto">
        <a:xfrm>
          <a:off x="8420100" y="1714500"/>
          <a:ext cx="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192</xdr:row>
      <xdr:rowOff>0</xdr:rowOff>
    </xdr:from>
    <xdr:to>
      <xdr:col>6</xdr:col>
      <xdr:colOff>0</xdr:colOff>
      <xdr:row>210</xdr:row>
      <xdr:rowOff>0</xdr:rowOff>
    </xdr:to>
    <xdr:sp macro="" textlink="">
      <xdr:nvSpPr>
        <xdr:cNvPr id="49" name="Rectangle 108"/>
        <xdr:cNvSpPr>
          <a:spLocks noChangeArrowheads="1"/>
        </xdr:cNvSpPr>
      </xdr:nvSpPr>
      <xdr:spPr bwMode="auto">
        <a:xfrm>
          <a:off x="8420100" y="1714500"/>
          <a:ext cx="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192</xdr:row>
      <xdr:rowOff>0</xdr:rowOff>
    </xdr:from>
    <xdr:to>
      <xdr:col>10</xdr:col>
      <xdr:colOff>0</xdr:colOff>
      <xdr:row>195</xdr:row>
      <xdr:rowOff>0</xdr:rowOff>
    </xdr:to>
    <xdr:sp macro="" textlink="">
      <xdr:nvSpPr>
        <xdr:cNvPr id="50" name="Rectangle 107"/>
        <xdr:cNvSpPr>
          <a:spLocks noChangeArrowheads="1"/>
        </xdr:cNvSpPr>
      </xdr:nvSpPr>
      <xdr:spPr bwMode="auto">
        <a:xfrm>
          <a:off x="13068300" y="1714500"/>
          <a:ext cx="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192</xdr:row>
      <xdr:rowOff>0</xdr:rowOff>
    </xdr:from>
    <xdr:to>
      <xdr:col>10</xdr:col>
      <xdr:colOff>0</xdr:colOff>
      <xdr:row>195</xdr:row>
      <xdr:rowOff>0</xdr:rowOff>
    </xdr:to>
    <xdr:sp macro="" textlink="">
      <xdr:nvSpPr>
        <xdr:cNvPr id="51" name="Rectangle 108"/>
        <xdr:cNvSpPr>
          <a:spLocks noChangeArrowheads="1"/>
        </xdr:cNvSpPr>
      </xdr:nvSpPr>
      <xdr:spPr bwMode="auto">
        <a:xfrm>
          <a:off x="13068300" y="1714500"/>
          <a:ext cx="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236</xdr:row>
      <xdr:rowOff>0</xdr:rowOff>
    </xdr:from>
    <xdr:to>
      <xdr:col>16</xdr:col>
      <xdr:colOff>0</xdr:colOff>
      <xdr:row>242</xdr:row>
      <xdr:rowOff>0</xdr:rowOff>
    </xdr:to>
    <xdr:sp macro="" textlink="">
      <xdr:nvSpPr>
        <xdr:cNvPr id="62" name="Rectangle 1"/>
        <xdr:cNvSpPr>
          <a:spLocks noChangeArrowheads="1"/>
        </xdr:cNvSpPr>
      </xdr:nvSpPr>
      <xdr:spPr bwMode="auto">
        <a:xfrm>
          <a:off x="4705350" y="4819650"/>
          <a:ext cx="0" cy="1143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16</xdr:col>
      <xdr:colOff>0</xdr:colOff>
      <xdr:row>236</xdr:row>
      <xdr:rowOff>0</xdr:rowOff>
    </xdr:from>
    <xdr:to>
      <xdr:col>16</xdr:col>
      <xdr:colOff>0</xdr:colOff>
      <xdr:row>242</xdr:row>
      <xdr:rowOff>0</xdr:rowOff>
    </xdr:to>
    <xdr:sp macro="" textlink="">
      <xdr:nvSpPr>
        <xdr:cNvPr id="63" name="Rectangle 2"/>
        <xdr:cNvSpPr>
          <a:spLocks noChangeArrowheads="1"/>
        </xdr:cNvSpPr>
      </xdr:nvSpPr>
      <xdr:spPr bwMode="auto">
        <a:xfrm>
          <a:off x="4705350" y="4819650"/>
          <a:ext cx="0" cy="1143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16</xdr:col>
      <xdr:colOff>0</xdr:colOff>
      <xdr:row>230</xdr:row>
      <xdr:rowOff>0</xdr:rowOff>
    </xdr:from>
    <xdr:to>
      <xdr:col>16</xdr:col>
      <xdr:colOff>0</xdr:colOff>
      <xdr:row>234</xdr:row>
      <xdr:rowOff>0</xdr:rowOff>
    </xdr:to>
    <xdr:sp macro="" textlink="">
      <xdr:nvSpPr>
        <xdr:cNvPr id="64" name="Rectangle 1"/>
        <xdr:cNvSpPr>
          <a:spLocks noChangeArrowheads="1"/>
        </xdr:cNvSpPr>
      </xdr:nvSpPr>
      <xdr:spPr bwMode="auto">
        <a:xfrm>
          <a:off x="4705350" y="3600450"/>
          <a:ext cx="0" cy="76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16</xdr:col>
      <xdr:colOff>0</xdr:colOff>
      <xdr:row>230</xdr:row>
      <xdr:rowOff>0</xdr:rowOff>
    </xdr:from>
    <xdr:to>
      <xdr:col>16</xdr:col>
      <xdr:colOff>0</xdr:colOff>
      <xdr:row>234</xdr:row>
      <xdr:rowOff>0</xdr:rowOff>
    </xdr:to>
    <xdr:sp macro="" textlink="">
      <xdr:nvSpPr>
        <xdr:cNvPr id="65" name="Rectangle 2"/>
        <xdr:cNvSpPr>
          <a:spLocks noChangeArrowheads="1"/>
        </xdr:cNvSpPr>
      </xdr:nvSpPr>
      <xdr:spPr bwMode="auto">
        <a:xfrm>
          <a:off x="4705350" y="3600450"/>
          <a:ext cx="0" cy="76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16</xdr:col>
      <xdr:colOff>0</xdr:colOff>
      <xdr:row>246</xdr:row>
      <xdr:rowOff>0</xdr:rowOff>
    </xdr:from>
    <xdr:to>
      <xdr:col>16</xdr:col>
      <xdr:colOff>0</xdr:colOff>
      <xdr:row>253</xdr:row>
      <xdr:rowOff>0</xdr:rowOff>
    </xdr:to>
    <xdr:sp macro="" textlink="">
      <xdr:nvSpPr>
        <xdr:cNvPr id="66" name="Rectangle 107"/>
        <xdr:cNvSpPr>
          <a:spLocks noChangeArrowheads="1"/>
        </xdr:cNvSpPr>
      </xdr:nvSpPr>
      <xdr:spPr bwMode="auto">
        <a:xfrm>
          <a:off x="4705350" y="6800850"/>
          <a:ext cx="0" cy="1333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16</xdr:col>
      <xdr:colOff>0</xdr:colOff>
      <xdr:row>246</xdr:row>
      <xdr:rowOff>0</xdr:rowOff>
    </xdr:from>
    <xdr:to>
      <xdr:col>16</xdr:col>
      <xdr:colOff>0</xdr:colOff>
      <xdr:row>253</xdr:row>
      <xdr:rowOff>0</xdr:rowOff>
    </xdr:to>
    <xdr:sp macro="" textlink="">
      <xdr:nvSpPr>
        <xdr:cNvPr id="67" name="Rectangle 108"/>
        <xdr:cNvSpPr>
          <a:spLocks noChangeArrowheads="1"/>
        </xdr:cNvSpPr>
      </xdr:nvSpPr>
      <xdr:spPr bwMode="auto">
        <a:xfrm>
          <a:off x="4705350" y="6800850"/>
          <a:ext cx="0" cy="1333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10</xdr:col>
      <xdr:colOff>0</xdr:colOff>
      <xdr:row>221</xdr:row>
      <xdr:rowOff>0</xdr:rowOff>
    </xdr:from>
    <xdr:to>
      <xdr:col>10</xdr:col>
      <xdr:colOff>0</xdr:colOff>
      <xdr:row>225</xdr:row>
      <xdr:rowOff>0</xdr:rowOff>
    </xdr:to>
    <xdr:sp macro="" textlink="">
      <xdr:nvSpPr>
        <xdr:cNvPr id="68" name="Rectangle 107"/>
        <xdr:cNvSpPr>
          <a:spLocks noChangeArrowheads="1"/>
        </xdr:cNvSpPr>
      </xdr:nvSpPr>
      <xdr:spPr bwMode="auto">
        <a:xfrm>
          <a:off x="12134850" y="34413825"/>
          <a:ext cx="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221</xdr:row>
      <xdr:rowOff>0</xdr:rowOff>
    </xdr:from>
    <xdr:to>
      <xdr:col>10</xdr:col>
      <xdr:colOff>0</xdr:colOff>
      <xdr:row>225</xdr:row>
      <xdr:rowOff>0</xdr:rowOff>
    </xdr:to>
    <xdr:sp macro="" textlink="">
      <xdr:nvSpPr>
        <xdr:cNvPr id="69" name="Rectangle 108"/>
        <xdr:cNvSpPr>
          <a:spLocks noChangeArrowheads="1"/>
        </xdr:cNvSpPr>
      </xdr:nvSpPr>
      <xdr:spPr bwMode="auto">
        <a:xfrm>
          <a:off x="12134850" y="34413825"/>
          <a:ext cx="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222</xdr:row>
      <xdr:rowOff>0</xdr:rowOff>
    </xdr:from>
    <xdr:to>
      <xdr:col>10</xdr:col>
      <xdr:colOff>0</xdr:colOff>
      <xdr:row>225</xdr:row>
      <xdr:rowOff>0</xdr:rowOff>
    </xdr:to>
    <xdr:sp macro="" textlink="">
      <xdr:nvSpPr>
        <xdr:cNvPr id="70" name="Rectangle 107"/>
        <xdr:cNvSpPr>
          <a:spLocks noChangeArrowheads="1"/>
        </xdr:cNvSpPr>
      </xdr:nvSpPr>
      <xdr:spPr bwMode="auto">
        <a:xfrm>
          <a:off x="12134850" y="34604325"/>
          <a:ext cx="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222</xdr:row>
      <xdr:rowOff>0</xdr:rowOff>
    </xdr:from>
    <xdr:to>
      <xdr:col>10</xdr:col>
      <xdr:colOff>0</xdr:colOff>
      <xdr:row>225</xdr:row>
      <xdr:rowOff>0</xdr:rowOff>
    </xdr:to>
    <xdr:sp macro="" textlink="">
      <xdr:nvSpPr>
        <xdr:cNvPr id="71" name="Rectangle 108"/>
        <xdr:cNvSpPr>
          <a:spLocks noChangeArrowheads="1"/>
        </xdr:cNvSpPr>
      </xdr:nvSpPr>
      <xdr:spPr bwMode="auto">
        <a:xfrm>
          <a:off x="12134850" y="34604325"/>
          <a:ext cx="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281</xdr:row>
      <xdr:rowOff>0</xdr:rowOff>
    </xdr:from>
    <xdr:to>
      <xdr:col>16</xdr:col>
      <xdr:colOff>0</xdr:colOff>
      <xdr:row>287</xdr:row>
      <xdr:rowOff>0</xdr:rowOff>
    </xdr:to>
    <xdr:sp macro="" textlink="">
      <xdr:nvSpPr>
        <xdr:cNvPr id="72" name="Rectangle 1"/>
        <xdr:cNvSpPr>
          <a:spLocks noChangeArrowheads="1"/>
        </xdr:cNvSpPr>
      </xdr:nvSpPr>
      <xdr:spPr bwMode="auto">
        <a:xfrm>
          <a:off x="4457700" y="4848225"/>
          <a:ext cx="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281</xdr:row>
      <xdr:rowOff>0</xdr:rowOff>
    </xdr:from>
    <xdr:to>
      <xdr:col>16</xdr:col>
      <xdr:colOff>0</xdr:colOff>
      <xdr:row>287</xdr:row>
      <xdr:rowOff>0</xdr:rowOff>
    </xdr:to>
    <xdr:sp macro="" textlink="">
      <xdr:nvSpPr>
        <xdr:cNvPr id="73" name="Rectangle 2"/>
        <xdr:cNvSpPr>
          <a:spLocks noChangeArrowheads="1"/>
        </xdr:cNvSpPr>
      </xdr:nvSpPr>
      <xdr:spPr bwMode="auto">
        <a:xfrm>
          <a:off x="4457700" y="4848225"/>
          <a:ext cx="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275</xdr:row>
      <xdr:rowOff>0</xdr:rowOff>
    </xdr:from>
    <xdr:to>
      <xdr:col>16</xdr:col>
      <xdr:colOff>0</xdr:colOff>
      <xdr:row>280</xdr:row>
      <xdr:rowOff>0</xdr:rowOff>
    </xdr:to>
    <xdr:sp macro="" textlink="">
      <xdr:nvSpPr>
        <xdr:cNvPr id="74" name="Rectangle 1"/>
        <xdr:cNvSpPr>
          <a:spLocks noChangeArrowheads="1"/>
        </xdr:cNvSpPr>
      </xdr:nvSpPr>
      <xdr:spPr bwMode="auto">
        <a:xfrm>
          <a:off x="4457700" y="3590925"/>
          <a:ext cx="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275</xdr:row>
      <xdr:rowOff>0</xdr:rowOff>
    </xdr:from>
    <xdr:to>
      <xdr:col>16</xdr:col>
      <xdr:colOff>0</xdr:colOff>
      <xdr:row>280</xdr:row>
      <xdr:rowOff>0</xdr:rowOff>
    </xdr:to>
    <xdr:sp macro="" textlink="">
      <xdr:nvSpPr>
        <xdr:cNvPr id="75" name="Rectangle 2"/>
        <xdr:cNvSpPr>
          <a:spLocks noChangeArrowheads="1"/>
        </xdr:cNvSpPr>
      </xdr:nvSpPr>
      <xdr:spPr bwMode="auto">
        <a:xfrm>
          <a:off x="4457700" y="3590925"/>
          <a:ext cx="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268</xdr:row>
      <xdr:rowOff>0</xdr:rowOff>
    </xdr:from>
    <xdr:to>
      <xdr:col>10</xdr:col>
      <xdr:colOff>0</xdr:colOff>
      <xdr:row>272</xdr:row>
      <xdr:rowOff>0</xdr:rowOff>
    </xdr:to>
    <xdr:sp macro="" textlink="">
      <xdr:nvSpPr>
        <xdr:cNvPr id="76" name="Rectangle 107"/>
        <xdr:cNvSpPr>
          <a:spLocks noChangeArrowheads="1"/>
        </xdr:cNvSpPr>
      </xdr:nvSpPr>
      <xdr:spPr bwMode="auto">
        <a:xfrm>
          <a:off x="12134850" y="40586025"/>
          <a:ext cx="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268</xdr:row>
      <xdr:rowOff>0</xdr:rowOff>
    </xdr:from>
    <xdr:to>
      <xdr:col>10</xdr:col>
      <xdr:colOff>0</xdr:colOff>
      <xdr:row>272</xdr:row>
      <xdr:rowOff>0</xdr:rowOff>
    </xdr:to>
    <xdr:sp macro="" textlink="">
      <xdr:nvSpPr>
        <xdr:cNvPr id="77" name="Rectangle 108"/>
        <xdr:cNvSpPr>
          <a:spLocks noChangeArrowheads="1"/>
        </xdr:cNvSpPr>
      </xdr:nvSpPr>
      <xdr:spPr bwMode="auto">
        <a:xfrm>
          <a:off x="12134850" y="40586025"/>
          <a:ext cx="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269</xdr:row>
      <xdr:rowOff>0</xdr:rowOff>
    </xdr:from>
    <xdr:to>
      <xdr:col>10</xdr:col>
      <xdr:colOff>0</xdr:colOff>
      <xdr:row>272</xdr:row>
      <xdr:rowOff>0</xdr:rowOff>
    </xdr:to>
    <xdr:sp macro="" textlink="">
      <xdr:nvSpPr>
        <xdr:cNvPr id="78" name="Rectangle 107"/>
        <xdr:cNvSpPr>
          <a:spLocks noChangeArrowheads="1"/>
        </xdr:cNvSpPr>
      </xdr:nvSpPr>
      <xdr:spPr bwMode="auto">
        <a:xfrm>
          <a:off x="12134850" y="40776525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269</xdr:row>
      <xdr:rowOff>0</xdr:rowOff>
    </xdr:from>
    <xdr:to>
      <xdr:col>10</xdr:col>
      <xdr:colOff>0</xdr:colOff>
      <xdr:row>272</xdr:row>
      <xdr:rowOff>0</xdr:rowOff>
    </xdr:to>
    <xdr:sp macro="" textlink="">
      <xdr:nvSpPr>
        <xdr:cNvPr id="79" name="Rectangle 108"/>
        <xdr:cNvSpPr>
          <a:spLocks noChangeArrowheads="1"/>
        </xdr:cNvSpPr>
      </xdr:nvSpPr>
      <xdr:spPr bwMode="auto">
        <a:xfrm>
          <a:off x="12134850" y="40776525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228600</xdr:colOff>
      <xdr:row>0</xdr:row>
      <xdr:rowOff>57150</xdr:rowOff>
    </xdr:from>
    <xdr:to>
      <xdr:col>13</xdr:col>
      <xdr:colOff>514350</xdr:colOff>
      <xdr:row>1</xdr:row>
      <xdr:rowOff>104775</xdr:rowOff>
    </xdr:to>
    <xdr:sp macro="" textlink="">
      <xdr:nvSpPr>
        <xdr:cNvPr id="61" name="60 Botón de acción: Inicio">
          <a:hlinkClick xmlns:r="http://schemas.openxmlformats.org/officeDocument/2006/relationships" r:id="rId2"/>
        </xdr:cNvPr>
        <xdr:cNvSpPr/>
      </xdr:nvSpPr>
      <xdr:spPr>
        <a:xfrm>
          <a:off x="12734925" y="57150"/>
          <a:ext cx="285750" cy="285750"/>
        </a:xfrm>
        <a:prstGeom prst="actionButtonHome">
          <a:avLst/>
        </a:prstGeom>
        <a:solidFill>
          <a:srgbClr val="AD25A8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2</xdr:col>
      <xdr:colOff>0</xdr:colOff>
      <xdr:row>6</xdr:row>
      <xdr:rowOff>0</xdr:rowOff>
    </xdr:from>
    <xdr:to>
      <xdr:col>2</xdr:col>
      <xdr:colOff>0</xdr:colOff>
      <xdr:row>17</xdr:row>
      <xdr:rowOff>0</xdr:rowOff>
    </xdr:to>
    <xdr:sp macro="" textlink="">
      <xdr:nvSpPr>
        <xdr:cNvPr id="84" name="Rectangle 107"/>
        <xdr:cNvSpPr>
          <a:spLocks noChangeArrowheads="1"/>
        </xdr:cNvSpPr>
      </xdr:nvSpPr>
      <xdr:spPr bwMode="auto">
        <a:xfrm>
          <a:off x="2971800" y="1428750"/>
          <a:ext cx="0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6</xdr:row>
      <xdr:rowOff>0</xdr:rowOff>
    </xdr:from>
    <xdr:to>
      <xdr:col>2</xdr:col>
      <xdr:colOff>0</xdr:colOff>
      <xdr:row>17</xdr:row>
      <xdr:rowOff>0</xdr:rowOff>
    </xdr:to>
    <xdr:sp macro="" textlink="">
      <xdr:nvSpPr>
        <xdr:cNvPr id="85" name="Rectangle 108"/>
        <xdr:cNvSpPr>
          <a:spLocks noChangeArrowheads="1"/>
        </xdr:cNvSpPr>
      </xdr:nvSpPr>
      <xdr:spPr bwMode="auto">
        <a:xfrm>
          <a:off x="2971800" y="1428750"/>
          <a:ext cx="0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6</xdr:row>
      <xdr:rowOff>0</xdr:rowOff>
    </xdr:from>
    <xdr:to>
      <xdr:col>6</xdr:col>
      <xdr:colOff>0</xdr:colOff>
      <xdr:row>32</xdr:row>
      <xdr:rowOff>0</xdr:rowOff>
    </xdr:to>
    <xdr:sp macro="" textlink="">
      <xdr:nvSpPr>
        <xdr:cNvPr id="86" name="Rectangle 107"/>
        <xdr:cNvSpPr>
          <a:spLocks noChangeArrowheads="1"/>
        </xdr:cNvSpPr>
      </xdr:nvSpPr>
      <xdr:spPr bwMode="auto">
        <a:xfrm>
          <a:off x="7658100" y="1428750"/>
          <a:ext cx="0" cy="501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6</xdr:row>
      <xdr:rowOff>0</xdr:rowOff>
    </xdr:from>
    <xdr:to>
      <xdr:col>6</xdr:col>
      <xdr:colOff>0</xdr:colOff>
      <xdr:row>32</xdr:row>
      <xdr:rowOff>0</xdr:rowOff>
    </xdr:to>
    <xdr:sp macro="" textlink="">
      <xdr:nvSpPr>
        <xdr:cNvPr id="87" name="Rectangle 108"/>
        <xdr:cNvSpPr>
          <a:spLocks noChangeArrowheads="1"/>
        </xdr:cNvSpPr>
      </xdr:nvSpPr>
      <xdr:spPr bwMode="auto">
        <a:xfrm>
          <a:off x="7658100" y="1428750"/>
          <a:ext cx="0" cy="501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5</xdr:row>
      <xdr:rowOff>0</xdr:rowOff>
    </xdr:from>
    <xdr:to>
      <xdr:col>10</xdr:col>
      <xdr:colOff>0</xdr:colOff>
      <xdr:row>14</xdr:row>
      <xdr:rowOff>0</xdr:rowOff>
    </xdr:to>
    <xdr:sp macro="" textlink="">
      <xdr:nvSpPr>
        <xdr:cNvPr id="88" name="Rectangle 107"/>
        <xdr:cNvSpPr>
          <a:spLocks noChangeArrowheads="1"/>
        </xdr:cNvSpPr>
      </xdr:nvSpPr>
      <xdr:spPr bwMode="auto">
        <a:xfrm>
          <a:off x="4229100" y="1190625"/>
          <a:ext cx="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5</xdr:row>
      <xdr:rowOff>0</xdr:rowOff>
    </xdr:from>
    <xdr:to>
      <xdr:col>10</xdr:col>
      <xdr:colOff>0</xdr:colOff>
      <xdr:row>14</xdr:row>
      <xdr:rowOff>0</xdr:rowOff>
    </xdr:to>
    <xdr:sp macro="" textlink="">
      <xdr:nvSpPr>
        <xdr:cNvPr id="89" name="Rectangle 108"/>
        <xdr:cNvSpPr>
          <a:spLocks noChangeArrowheads="1"/>
        </xdr:cNvSpPr>
      </xdr:nvSpPr>
      <xdr:spPr bwMode="auto">
        <a:xfrm>
          <a:off x="4229100" y="1190625"/>
          <a:ext cx="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0</xdr:colOff>
      <xdr:row>14</xdr:row>
      <xdr:rowOff>0</xdr:rowOff>
    </xdr:to>
    <xdr:sp macro="" textlink="">
      <xdr:nvSpPr>
        <xdr:cNvPr id="90" name="Rectangle 107"/>
        <xdr:cNvSpPr>
          <a:spLocks noChangeArrowheads="1"/>
        </xdr:cNvSpPr>
      </xdr:nvSpPr>
      <xdr:spPr bwMode="auto">
        <a:xfrm>
          <a:off x="4229100" y="2524125"/>
          <a:ext cx="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0</xdr:colOff>
      <xdr:row>14</xdr:row>
      <xdr:rowOff>0</xdr:rowOff>
    </xdr:to>
    <xdr:sp macro="" textlink="">
      <xdr:nvSpPr>
        <xdr:cNvPr id="91" name="Rectangle 108"/>
        <xdr:cNvSpPr>
          <a:spLocks noChangeArrowheads="1"/>
        </xdr:cNvSpPr>
      </xdr:nvSpPr>
      <xdr:spPr bwMode="auto">
        <a:xfrm>
          <a:off x="4229100" y="2524125"/>
          <a:ext cx="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485775</xdr:colOff>
      <xdr:row>0</xdr:row>
      <xdr:rowOff>133350</xdr:rowOff>
    </xdr:from>
    <xdr:to>
      <xdr:col>17</xdr:col>
      <xdr:colOff>9525</xdr:colOff>
      <xdr:row>1</xdr:row>
      <xdr:rowOff>200025</xdr:rowOff>
    </xdr:to>
    <xdr:sp macro="" textlink="">
      <xdr:nvSpPr>
        <xdr:cNvPr id="61" name="60 Botón de acción: Inicio">
          <a:hlinkClick xmlns:r="http://schemas.openxmlformats.org/officeDocument/2006/relationships" r:id="rId1"/>
        </xdr:cNvPr>
        <xdr:cNvSpPr/>
      </xdr:nvSpPr>
      <xdr:spPr>
        <a:xfrm>
          <a:off x="14392275" y="133350"/>
          <a:ext cx="285750" cy="257175"/>
        </a:xfrm>
        <a:prstGeom prst="actionButtonHome">
          <a:avLst/>
        </a:prstGeom>
        <a:solidFill>
          <a:srgbClr val="AD25A8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 editAs="oneCell">
    <xdr:from>
      <xdr:col>0</xdr:col>
      <xdr:colOff>733425</xdr:colOff>
      <xdr:row>0</xdr:row>
      <xdr:rowOff>38443</xdr:rowOff>
    </xdr:from>
    <xdr:to>
      <xdr:col>0</xdr:col>
      <xdr:colOff>1237869</xdr:colOff>
      <xdr:row>2</xdr:row>
      <xdr:rowOff>128778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38443"/>
          <a:ext cx="504444" cy="518960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895350</xdr:colOff>
      <xdr:row>40</xdr:row>
      <xdr:rowOff>120649</xdr:rowOff>
    </xdr:from>
    <xdr:to>
      <xdr:col>10</xdr:col>
      <xdr:colOff>485775</xdr:colOff>
      <xdr:row>66</xdr:row>
      <xdr:rowOff>73024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304800</xdr:colOff>
      <xdr:row>0</xdr:row>
      <xdr:rowOff>95250</xdr:rowOff>
    </xdr:from>
    <xdr:to>
      <xdr:col>12</xdr:col>
      <xdr:colOff>590550</xdr:colOff>
      <xdr:row>1</xdr:row>
      <xdr:rowOff>85725</xdr:rowOff>
    </xdr:to>
    <xdr:sp macro="" textlink="">
      <xdr:nvSpPr>
        <xdr:cNvPr id="6" name="5 Botón de acción: Inicio">
          <a:hlinkClick xmlns:r="http://schemas.openxmlformats.org/officeDocument/2006/relationships" r:id="rId2"/>
        </xdr:cNvPr>
        <xdr:cNvSpPr/>
      </xdr:nvSpPr>
      <xdr:spPr>
        <a:xfrm>
          <a:off x="10506075" y="95250"/>
          <a:ext cx="285750" cy="257175"/>
        </a:xfrm>
        <a:prstGeom prst="actionButtonHome">
          <a:avLst/>
        </a:prstGeom>
        <a:solidFill>
          <a:srgbClr val="AD25A8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1057275</xdr:colOff>
      <xdr:row>30</xdr:row>
      <xdr:rowOff>55561</xdr:rowOff>
    </xdr:from>
    <xdr:to>
      <xdr:col>10</xdr:col>
      <xdr:colOff>692150</xdr:colOff>
      <xdr:row>55</xdr:row>
      <xdr:rowOff>136524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352425</xdr:colOff>
      <xdr:row>0</xdr:row>
      <xdr:rowOff>66674</xdr:rowOff>
    </xdr:from>
    <xdr:to>
      <xdr:col>12</xdr:col>
      <xdr:colOff>638175</xdr:colOff>
      <xdr:row>1</xdr:row>
      <xdr:rowOff>76199</xdr:rowOff>
    </xdr:to>
    <xdr:sp macro="" textlink="">
      <xdr:nvSpPr>
        <xdr:cNvPr id="5" name="4 Botón de acción: Inicio">
          <a:hlinkClick xmlns:r="http://schemas.openxmlformats.org/officeDocument/2006/relationships" r:id="rId2"/>
        </xdr:cNvPr>
        <xdr:cNvSpPr/>
      </xdr:nvSpPr>
      <xdr:spPr>
        <a:xfrm>
          <a:off x="10553700" y="66674"/>
          <a:ext cx="285750" cy="276225"/>
        </a:xfrm>
        <a:prstGeom prst="actionButtonHome">
          <a:avLst/>
        </a:prstGeom>
        <a:solidFill>
          <a:srgbClr val="AD25A8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476250</xdr:colOff>
      <xdr:row>0</xdr:row>
      <xdr:rowOff>76200</xdr:rowOff>
    </xdr:from>
    <xdr:to>
      <xdr:col>7</xdr:col>
      <xdr:colOff>47625</xdr:colOff>
      <xdr:row>1</xdr:row>
      <xdr:rowOff>76200</xdr:rowOff>
    </xdr:to>
    <xdr:sp macro="" textlink="">
      <xdr:nvSpPr>
        <xdr:cNvPr id="6" name="5 Botón de acción: Inicio">
          <a:hlinkClick xmlns:r="http://schemas.openxmlformats.org/officeDocument/2006/relationships" r:id="rId1"/>
        </xdr:cNvPr>
        <xdr:cNvSpPr/>
      </xdr:nvSpPr>
      <xdr:spPr>
        <a:xfrm>
          <a:off x="6743700" y="76200"/>
          <a:ext cx="285750" cy="238125"/>
        </a:xfrm>
        <a:prstGeom prst="actionButtonHome">
          <a:avLst/>
        </a:prstGeom>
        <a:solidFill>
          <a:srgbClr val="AD25A8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6</xdr:col>
      <xdr:colOff>647700</xdr:colOff>
      <xdr:row>5</xdr:row>
      <xdr:rowOff>119062</xdr:rowOff>
    </xdr:from>
    <xdr:to>
      <xdr:col>12</xdr:col>
      <xdr:colOff>600075</xdr:colOff>
      <xdr:row>20</xdr:row>
      <xdr:rowOff>4762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35</xdr:row>
      <xdr:rowOff>0</xdr:rowOff>
    </xdr:from>
    <xdr:to>
      <xdr:col>12</xdr:col>
      <xdr:colOff>666750</xdr:colOff>
      <xdr:row>49</xdr:row>
      <xdr:rowOff>76200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64</xdr:row>
      <xdr:rowOff>0</xdr:rowOff>
    </xdr:from>
    <xdr:to>
      <xdr:col>12</xdr:col>
      <xdr:colOff>666750</xdr:colOff>
      <xdr:row>77</xdr:row>
      <xdr:rowOff>142875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90</xdr:row>
      <xdr:rowOff>0</xdr:rowOff>
    </xdr:from>
    <xdr:to>
      <xdr:col>12</xdr:col>
      <xdr:colOff>666750</xdr:colOff>
      <xdr:row>103</xdr:row>
      <xdr:rowOff>142875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117</xdr:row>
      <xdr:rowOff>0</xdr:rowOff>
    </xdr:from>
    <xdr:to>
      <xdr:col>12</xdr:col>
      <xdr:colOff>666750</xdr:colOff>
      <xdr:row>130</xdr:row>
      <xdr:rowOff>142875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142</xdr:row>
      <xdr:rowOff>0</xdr:rowOff>
    </xdr:from>
    <xdr:to>
      <xdr:col>12</xdr:col>
      <xdr:colOff>666750</xdr:colOff>
      <xdr:row>155</xdr:row>
      <xdr:rowOff>142875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152399</xdr:colOff>
      <xdr:row>0</xdr:row>
      <xdr:rowOff>238125</xdr:rowOff>
    </xdr:from>
    <xdr:to>
      <xdr:col>41</xdr:col>
      <xdr:colOff>409574</xdr:colOff>
      <xdr:row>1</xdr:row>
      <xdr:rowOff>38100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25898474" y="238125"/>
          <a:ext cx="257175" cy="2667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28</xdr:row>
      <xdr:rowOff>95250</xdr:rowOff>
    </xdr:from>
    <xdr:to>
      <xdr:col>23</xdr:col>
      <xdr:colOff>412750</xdr:colOff>
      <xdr:row>55</xdr:row>
      <xdr:rowOff>19050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47627</xdr:colOff>
      <xdr:row>61</xdr:row>
      <xdr:rowOff>115092</xdr:rowOff>
    </xdr:from>
    <xdr:to>
      <xdr:col>23</xdr:col>
      <xdr:colOff>450851</xdr:colOff>
      <xdr:row>84</xdr:row>
      <xdr:rowOff>28574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38101</xdr:colOff>
      <xdr:row>89</xdr:row>
      <xdr:rowOff>115888</xdr:rowOff>
    </xdr:from>
    <xdr:to>
      <xdr:col>23</xdr:col>
      <xdr:colOff>412751</xdr:colOff>
      <xdr:row>116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685800</xdr:colOff>
      <xdr:row>0</xdr:row>
      <xdr:rowOff>85725</xdr:rowOff>
    </xdr:from>
    <xdr:to>
      <xdr:col>10</xdr:col>
      <xdr:colOff>257175</xdr:colOff>
      <xdr:row>17</xdr:row>
      <xdr:rowOff>152400</xdr:rowOff>
    </xdr:to>
    <xdr:sp macro="" textlink="">
      <xdr:nvSpPr>
        <xdr:cNvPr id="6" name="5 Botón de acción: Inicio">
          <a:hlinkClick xmlns:r="http://schemas.openxmlformats.org/officeDocument/2006/relationships" r:id="rId4"/>
        </xdr:cNvPr>
        <xdr:cNvSpPr/>
      </xdr:nvSpPr>
      <xdr:spPr>
        <a:xfrm>
          <a:off x="7858125" y="85725"/>
          <a:ext cx="285750" cy="266700"/>
        </a:xfrm>
        <a:prstGeom prst="actionButtonHome">
          <a:avLst/>
        </a:prstGeom>
        <a:solidFill>
          <a:srgbClr val="AD25A8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476250</xdr:colOff>
      <xdr:row>0</xdr:row>
      <xdr:rowOff>95250</xdr:rowOff>
    </xdr:from>
    <xdr:to>
      <xdr:col>25</xdr:col>
      <xdr:colOff>733426</xdr:colOff>
      <xdr:row>1</xdr:row>
      <xdr:rowOff>171450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19821525" y="95250"/>
          <a:ext cx="257176" cy="266700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e0510\compartido%20%20ajr\windows\TEMP\DESG1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cortesr/Documents/DP-2015/PDI%202015/2015/MIR/1ER%20TRIMESTRE%202015/Users/cgarnica/AppData/Local/Temp/Temp1_Plantilla%20p%20911%202010-2011.zip/EDUCACION/FAETA%20NORMA/EJERCICIO%20SALUD%202000%20DEFINITIVO/central/Ac02acV2definitiv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cortesr/Documents/DP-2015/PDI%202015/Users/cgarnica/AppData/Local/Temp/Temp1_Plantilla%20p%20911%202010-2011.zip/EDUCACION/FAETA%20NORMA/WINDOWS/TEMP/INSTITUTOS%20NACIONALES%20Y%20DIF/PLANTILLA%20DIF%20NACIONAL%201999%20DEFINITIVO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EGULARIZABLE%202013\Nueva%20propuesta%20SEPT%202012%20CON%20101%20MILL\Plantilla_Regularizable%20V%20Con%20tabuladores%20101%20mill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240\d$\GARCIA\TORRES\CUADROS\PLIE-00INS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cortesr/Documents/DP-2015/PDI%202015/2015/MIR/1ER%20TRIMESTRE%202015/Users/cgarnica/AppData/Local/Temp/Temp1_Plantilla%20p%20911%202010-2011.zip/Documents%20and%20Settings/armando_jimenez/Configuraci&#243;n%20local/Temp/E/CRIS/TAB17%25D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cortesr/Documents/DP-2015/PDI%202015/2015/MIR/1ER%20TRIMESTRE%202015/Users/cgarnica/AppData/Local/Temp/Temp1_Plantilla%20p%20911%202010-2011.zip/Documents%20and%20Settings/jose_orendain/Mis%20documentos/DEPTO.%20EDUC.%20SUPERIOR/IPN/plantillas/TAB%20IPN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cortesr/Documents/DP-2015/PDI%202015/2015/MIR/1ER%20TRIMESTRE%202015/Users/cgarnica/AppData/Local/Temp/Temp1_Plantilla%20p%20911%202010-2011.zip/EDUCACION/FAETA%20NORMA/WINDOWS/TEMP/planew99ver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cortesr/Documents/DP-2015/PDI%202015/2015/MIR/1ER%20TRIMESTRE%202015/Users/cgarnica/AppData/Local/Temp/Temp1_Plantilla%20p%20911%202010-2011.zip/Documents%20and%20Settings/armando_jimenez/Configuraci&#243;n%20local/Temp/TABS%20CETI%20200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DIRECCION%20DE%20PLANEACION/DIRECCION%20DE%20PLANEACI&#211;N/2015/Informe%20del%20RG/Users/acortesr/Documents/DP-2013/INFORME%20DEL%20RG%202013/FORMATOS%20del%20Anexo%20informe%20RG%2020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cortesr/Documents/DP-2015/PDI%202015/Users/cgarnica/AppData/Local/Temp/Temp1_Plantilla%20p%20911%202010-2011.zip/Documents%20and%20Settings/armando_jimenez/Configuraci&#243;n%20local/Temp/PATRICIA/VARIOS/TABS%20DOC%2020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61\c$\LETY-XLS\TF199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cortesr/Documents/DP-2015/PDI%202015/2015/MIR/1ER%20TRIMESTRE%202015/Users/cgarnica/AppData/Local/Temp/Temp1_Plantilla%20p%20911%202010-2011.zip/PLANTILLAS%20UPES%20INC.%2017.9%25%201999%20SEP/Directivo%20UPE's.9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ciomoralesloperena/Rocio_HP/Documents/Rector&#237;a_General/C:/Users/disenosemanario/Downloads/DGES4/SYS/SEGUP/OSCAR_D/TRABAJO/12CCG-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abrera\2001\WINDOWS\TEMP\Nomina%20Personal%20doc%20y%20adm.%20Marzo%2020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60\c$\CARMEN\COSTOS\Cosnom200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cortesr/Documents/DP-2015/PDI%202015/2015/MIR/1ER%20TRIMESTRE%202015/Users/cgarnica/AppData/Local/Temp/Temp1_Plantilla%20p%20911%202010-2011.zip/Documents%20and%20Settings/armando_jimenez/Configuraci&#243;n%20local/Temp/PATRICIA/VARIOS/TABS%20SPM%20200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cortesr/Documents/DP-2015/PDI%202015/2015/MIR/1ER%20TRIMESTRE%202015/Users/cgarnica/AppData/Local/Temp/Temp1_Plantilla%20p%20911%202010-2011.zip/PATRICIA/VARIOS/TABS%20SPM%2020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MI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02acV2"/>
      <sheetName val="PRUEBA AC02"/>
      <sheetName val="POR UNIDAD"/>
      <sheetName val="AC03ACC"/>
      <sheetName val="RESUMEN"/>
    </sheetNames>
    <sheetDataSet>
      <sheetData sheetId="0">
        <row r="1">
          <cell r="A1" t="str">
            <v>FORMATO</v>
          </cell>
          <cell r="B1" t="str">
            <v>ENTIDAD</v>
          </cell>
          <cell r="C1" t="str">
            <v>PE</v>
          </cell>
          <cell r="D1" t="str">
            <v>TG</v>
          </cell>
          <cell r="E1" t="str">
            <v>AI</v>
          </cell>
          <cell r="F1" t="str">
            <v>PROYECTO</v>
          </cell>
          <cell r="G1" t="str">
            <v>U_R</v>
          </cell>
          <cell r="H1" t="str">
            <v>PARTIDA</v>
          </cell>
          <cell r="I1" t="str">
            <v>PUESTO</v>
          </cell>
          <cell r="J1" t="str">
            <v>NIVEL</v>
          </cell>
          <cell r="K1" t="str">
            <v>ZONA</v>
          </cell>
          <cell r="L1" t="str">
            <v>NUM_PLAZA</v>
          </cell>
          <cell r="M1" t="str">
            <v>TOT_HORA</v>
          </cell>
          <cell r="N1" t="str">
            <v>PERCEP</v>
          </cell>
          <cell r="O1" t="str">
            <v>HM</v>
          </cell>
          <cell r="P1" t="str">
            <v>VIGENCIA</v>
          </cell>
          <cell r="Q1" t="str">
            <v>P1509</v>
          </cell>
          <cell r="R1" t="str">
            <v>P1306</v>
          </cell>
          <cell r="S1" t="str">
            <v>P1305V</v>
          </cell>
          <cell r="T1" t="str">
            <v>P1401</v>
          </cell>
          <cell r="U1" t="str">
            <v>P1403</v>
          </cell>
          <cell r="V1" t="str">
            <v>P1404</v>
          </cell>
          <cell r="W1" t="str">
            <v>P1508</v>
          </cell>
          <cell r="X1" t="str">
            <v>P1301</v>
          </cell>
          <cell r="Y1" t="str">
            <v>P1407</v>
          </cell>
          <cell r="Z1" t="str">
            <v>P1601</v>
          </cell>
          <cell r="AA1" t="str">
            <v>P1507D</v>
          </cell>
          <cell r="AB1" t="str">
            <v>P1507S</v>
          </cell>
          <cell r="AC1" t="str">
            <v>P1507P</v>
          </cell>
          <cell r="AD1" t="str">
            <v>P1408</v>
          </cell>
          <cell r="AE1" t="str">
            <v>P1305P</v>
          </cell>
          <cell r="AF1" t="str">
            <v>P1308</v>
          </cell>
          <cell r="AG1" t="str">
            <v>P1322</v>
          </cell>
          <cell r="AH1" t="str">
            <v>P1325A</v>
          </cell>
          <cell r="AI1" t="str">
            <v>P1325F</v>
          </cell>
          <cell r="AJ1" t="str">
            <v>P1507A</v>
          </cell>
          <cell r="AK1" t="str">
            <v>P1507B</v>
          </cell>
          <cell r="AL1" t="str">
            <v>P1507BD</v>
          </cell>
          <cell r="AM1" t="str">
            <v>P1507R</v>
          </cell>
          <cell r="AN1" t="str">
            <v>P1204</v>
          </cell>
          <cell r="AO1" t="str">
            <v>L11</v>
          </cell>
          <cell r="AP1" t="str">
            <v>L12</v>
          </cell>
          <cell r="AQ1" t="str">
            <v>L13</v>
          </cell>
          <cell r="AR1" t="str">
            <v>L14</v>
          </cell>
          <cell r="AS1" t="str">
            <v>L15</v>
          </cell>
          <cell r="AT1" t="str">
            <v>L16</v>
          </cell>
          <cell r="AU1" t="str">
            <v>L17</v>
          </cell>
          <cell r="AV1" t="str">
            <v>L18</v>
          </cell>
          <cell r="AW1" t="str">
            <v>L19</v>
          </cell>
          <cell r="AX1" t="str">
            <v>L20</v>
          </cell>
          <cell r="AY1" t="str">
            <v>ICAP</v>
          </cell>
        </row>
        <row r="2">
          <cell r="A2">
            <v>2</v>
          </cell>
          <cell r="B2" t="str">
            <v>12</v>
          </cell>
          <cell r="C2" t="str">
            <v>000</v>
          </cell>
          <cell r="D2" t="str">
            <v>1</v>
          </cell>
          <cell r="E2" t="str">
            <v>101</v>
          </cell>
          <cell r="F2" t="str">
            <v>N000</v>
          </cell>
          <cell r="G2" t="str">
            <v>100</v>
          </cell>
          <cell r="H2" t="str">
            <v>1103</v>
          </cell>
          <cell r="I2" t="str">
            <v>A01803</v>
          </cell>
          <cell r="J2" t="str">
            <v>19</v>
          </cell>
          <cell r="K2" t="str">
            <v>2</v>
          </cell>
          <cell r="L2">
            <v>6</v>
          </cell>
          <cell r="M2">
            <v>0</v>
          </cell>
          <cell r="N2">
            <v>2120.3000000000002</v>
          </cell>
          <cell r="O2" t="str">
            <v>M</v>
          </cell>
          <cell r="P2" t="str">
            <v>00000000</v>
          </cell>
          <cell r="Q2">
            <v>0</v>
          </cell>
          <cell r="R2">
            <v>306.27</v>
          </cell>
          <cell r="S2">
            <v>58.9</v>
          </cell>
          <cell r="T2">
            <v>270.33999999999997</v>
          </cell>
          <cell r="U2">
            <v>106.02</v>
          </cell>
          <cell r="V2">
            <v>38.17</v>
          </cell>
          <cell r="W2">
            <v>42.41</v>
          </cell>
          <cell r="X2">
            <v>91</v>
          </cell>
          <cell r="Y2">
            <v>0</v>
          </cell>
          <cell r="Z2">
            <v>56.59</v>
          </cell>
          <cell r="AA2">
            <v>77</v>
          </cell>
          <cell r="AB2">
            <v>96</v>
          </cell>
          <cell r="AC2">
            <v>80</v>
          </cell>
          <cell r="AD2">
            <v>13.49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Y2">
            <v>241667.28</v>
          </cell>
        </row>
        <row r="3">
          <cell r="A3">
            <v>2</v>
          </cell>
          <cell r="B3" t="str">
            <v>12</v>
          </cell>
          <cell r="C3" t="str">
            <v>000</v>
          </cell>
          <cell r="D3" t="str">
            <v>1</v>
          </cell>
          <cell r="E3" t="str">
            <v>101</v>
          </cell>
          <cell r="F3" t="str">
            <v>N000</v>
          </cell>
          <cell r="G3" t="str">
            <v>100</v>
          </cell>
          <cell r="H3" t="str">
            <v>1103</v>
          </cell>
          <cell r="I3" t="str">
            <v>A01805</v>
          </cell>
          <cell r="J3" t="str">
            <v>21</v>
          </cell>
          <cell r="K3" t="str">
            <v>2</v>
          </cell>
          <cell r="L3">
            <v>5</v>
          </cell>
          <cell r="M3">
            <v>0</v>
          </cell>
          <cell r="N3">
            <v>2238.1999999999998</v>
          </cell>
          <cell r="O3" t="str">
            <v>M</v>
          </cell>
          <cell r="P3" t="str">
            <v>00000000</v>
          </cell>
          <cell r="Q3">
            <v>0</v>
          </cell>
          <cell r="R3">
            <v>323.3</v>
          </cell>
          <cell r="S3">
            <v>62.17</v>
          </cell>
          <cell r="T3">
            <v>285.37</v>
          </cell>
          <cell r="U3">
            <v>111.91</v>
          </cell>
          <cell r="V3">
            <v>40.29</v>
          </cell>
          <cell r="W3">
            <v>44.76</v>
          </cell>
          <cell r="X3">
            <v>36.799999999999997</v>
          </cell>
          <cell r="Y3">
            <v>0</v>
          </cell>
          <cell r="Z3">
            <v>58.27</v>
          </cell>
          <cell r="AA3">
            <v>77</v>
          </cell>
          <cell r="AB3">
            <v>96</v>
          </cell>
          <cell r="AC3">
            <v>80</v>
          </cell>
          <cell r="AD3">
            <v>13.49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Y3">
            <v>208053.6</v>
          </cell>
        </row>
        <row r="4">
          <cell r="A4">
            <v>2</v>
          </cell>
          <cell r="B4" t="str">
            <v>12</v>
          </cell>
          <cell r="C4" t="str">
            <v>000</v>
          </cell>
          <cell r="D4" t="str">
            <v>1</v>
          </cell>
          <cell r="E4" t="str">
            <v>101</v>
          </cell>
          <cell r="F4" t="str">
            <v>N000</v>
          </cell>
          <cell r="G4" t="str">
            <v>100</v>
          </cell>
          <cell r="H4" t="str">
            <v>1103</v>
          </cell>
          <cell r="I4" t="str">
            <v>A01806</v>
          </cell>
          <cell r="J4" t="str">
            <v>25</v>
          </cell>
          <cell r="K4" t="str">
            <v>2</v>
          </cell>
          <cell r="L4">
            <v>2</v>
          </cell>
          <cell r="M4">
            <v>0</v>
          </cell>
          <cell r="N4">
            <v>2572.4</v>
          </cell>
          <cell r="O4" t="str">
            <v>M</v>
          </cell>
          <cell r="P4" t="str">
            <v>00000000</v>
          </cell>
          <cell r="Q4">
            <v>0</v>
          </cell>
          <cell r="R4">
            <v>371.57</v>
          </cell>
          <cell r="S4">
            <v>71.459999999999994</v>
          </cell>
          <cell r="T4">
            <v>327.98</v>
          </cell>
          <cell r="U4">
            <v>128.62</v>
          </cell>
          <cell r="V4">
            <v>46.3</v>
          </cell>
          <cell r="W4">
            <v>51.45</v>
          </cell>
          <cell r="X4">
            <v>68.5</v>
          </cell>
          <cell r="Y4">
            <v>0</v>
          </cell>
          <cell r="Z4">
            <v>66.739999999999995</v>
          </cell>
          <cell r="AA4">
            <v>77</v>
          </cell>
          <cell r="AB4">
            <v>96</v>
          </cell>
          <cell r="AC4">
            <v>80</v>
          </cell>
          <cell r="AD4">
            <v>13.49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Y4">
            <v>95316.24</v>
          </cell>
        </row>
        <row r="5">
          <cell r="A5">
            <v>2</v>
          </cell>
          <cell r="B5" t="str">
            <v>12</v>
          </cell>
          <cell r="C5" t="str">
            <v>000</v>
          </cell>
          <cell r="D5" t="str">
            <v>1</v>
          </cell>
          <cell r="E5" t="str">
            <v>101</v>
          </cell>
          <cell r="F5" t="str">
            <v>N000</v>
          </cell>
          <cell r="G5" t="str">
            <v>100</v>
          </cell>
          <cell r="H5" t="str">
            <v>1103</v>
          </cell>
          <cell r="I5" t="str">
            <v>A01807</v>
          </cell>
          <cell r="J5" t="str">
            <v>27</v>
          </cell>
          <cell r="K5" t="str">
            <v>2</v>
          </cell>
          <cell r="L5">
            <v>6</v>
          </cell>
          <cell r="M5">
            <v>0</v>
          </cell>
          <cell r="N5">
            <v>2817.8</v>
          </cell>
          <cell r="O5" t="str">
            <v>M</v>
          </cell>
          <cell r="P5" t="str">
            <v>00000000</v>
          </cell>
          <cell r="Q5">
            <v>0</v>
          </cell>
          <cell r="R5">
            <v>407.02</v>
          </cell>
          <cell r="S5">
            <v>78.27</v>
          </cell>
          <cell r="T5">
            <v>359.27</v>
          </cell>
          <cell r="U5">
            <v>140.88999999999999</v>
          </cell>
          <cell r="V5">
            <v>50.72</v>
          </cell>
          <cell r="W5">
            <v>56.36</v>
          </cell>
          <cell r="X5">
            <v>41.17</v>
          </cell>
          <cell r="Y5">
            <v>0</v>
          </cell>
          <cell r="Z5">
            <v>71.95</v>
          </cell>
          <cell r="AA5">
            <v>77</v>
          </cell>
          <cell r="AB5">
            <v>96</v>
          </cell>
          <cell r="AC5">
            <v>80</v>
          </cell>
          <cell r="AD5">
            <v>13.49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Y5">
            <v>308875.68</v>
          </cell>
        </row>
        <row r="6">
          <cell r="A6">
            <v>2</v>
          </cell>
          <cell r="B6" t="str">
            <v>12</v>
          </cell>
          <cell r="C6" t="str">
            <v>000</v>
          </cell>
          <cell r="D6" t="str">
            <v>1</v>
          </cell>
          <cell r="E6" t="str">
            <v>101</v>
          </cell>
          <cell r="F6" t="str">
            <v>N000</v>
          </cell>
          <cell r="G6" t="str">
            <v>100</v>
          </cell>
          <cell r="H6" t="str">
            <v>1103</v>
          </cell>
          <cell r="I6" t="str">
            <v>A03803</v>
          </cell>
          <cell r="J6" t="str">
            <v>20</v>
          </cell>
          <cell r="K6" t="str">
            <v>2</v>
          </cell>
          <cell r="L6">
            <v>1</v>
          </cell>
          <cell r="M6">
            <v>0</v>
          </cell>
          <cell r="N6">
            <v>2138.85</v>
          </cell>
          <cell r="O6" t="str">
            <v>M</v>
          </cell>
          <cell r="P6" t="str">
            <v>00000000</v>
          </cell>
          <cell r="Q6">
            <v>0</v>
          </cell>
          <cell r="R6">
            <v>308.94</v>
          </cell>
          <cell r="S6">
            <v>59.41</v>
          </cell>
          <cell r="T6">
            <v>272.7</v>
          </cell>
          <cell r="U6">
            <v>106.94</v>
          </cell>
          <cell r="V6">
            <v>38.5</v>
          </cell>
          <cell r="W6">
            <v>42.78</v>
          </cell>
          <cell r="X6">
            <v>0</v>
          </cell>
          <cell r="Y6">
            <v>0</v>
          </cell>
          <cell r="Z6">
            <v>55.2</v>
          </cell>
          <cell r="AA6">
            <v>77</v>
          </cell>
          <cell r="AB6">
            <v>96</v>
          </cell>
          <cell r="AC6">
            <v>80</v>
          </cell>
          <cell r="AD6">
            <v>13.49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Y6">
            <v>39477.72</v>
          </cell>
        </row>
        <row r="7">
          <cell r="A7">
            <v>2</v>
          </cell>
          <cell r="B7" t="str">
            <v>12</v>
          </cell>
          <cell r="C7" t="str">
            <v>000</v>
          </cell>
          <cell r="D7" t="str">
            <v>1</v>
          </cell>
          <cell r="E7" t="str">
            <v>101</v>
          </cell>
          <cell r="F7" t="str">
            <v>N000</v>
          </cell>
          <cell r="G7" t="str">
            <v>100</v>
          </cell>
          <cell r="H7" t="str">
            <v>1103</v>
          </cell>
          <cell r="I7" t="str">
            <v>A03804</v>
          </cell>
          <cell r="J7" t="str">
            <v>23</v>
          </cell>
          <cell r="K7" t="str">
            <v>2</v>
          </cell>
          <cell r="L7">
            <v>1</v>
          </cell>
          <cell r="M7">
            <v>0</v>
          </cell>
          <cell r="N7">
            <v>2451.25</v>
          </cell>
          <cell r="O7" t="str">
            <v>M</v>
          </cell>
          <cell r="P7" t="str">
            <v>00000000</v>
          </cell>
          <cell r="Q7">
            <v>0</v>
          </cell>
          <cell r="R7">
            <v>354.07</v>
          </cell>
          <cell r="S7">
            <v>68.09</v>
          </cell>
          <cell r="T7">
            <v>312.52999999999997</v>
          </cell>
          <cell r="U7">
            <v>122.56</v>
          </cell>
          <cell r="V7">
            <v>44.12</v>
          </cell>
          <cell r="W7">
            <v>49.02</v>
          </cell>
          <cell r="X7">
            <v>46</v>
          </cell>
          <cell r="Y7">
            <v>0</v>
          </cell>
          <cell r="Z7">
            <v>63.45</v>
          </cell>
          <cell r="AA7">
            <v>77</v>
          </cell>
          <cell r="AB7">
            <v>96</v>
          </cell>
          <cell r="AC7">
            <v>80</v>
          </cell>
          <cell r="AD7">
            <v>13.49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Y7">
            <v>45330.96</v>
          </cell>
        </row>
        <row r="8">
          <cell r="A8">
            <v>2</v>
          </cell>
          <cell r="B8" t="str">
            <v>12</v>
          </cell>
          <cell r="C8" t="str">
            <v>000</v>
          </cell>
          <cell r="D8" t="str">
            <v>1</v>
          </cell>
          <cell r="E8" t="str">
            <v>101</v>
          </cell>
          <cell r="F8" t="str">
            <v>N000</v>
          </cell>
          <cell r="G8" t="str">
            <v>100</v>
          </cell>
          <cell r="H8" t="str">
            <v>1103</v>
          </cell>
          <cell r="I8" t="str">
            <v>CFMC01</v>
          </cell>
          <cell r="J8" t="str">
            <v>MC01</v>
          </cell>
          <cell r="K8" t="str">
            <v>1</v>
          </cell>
          <cell r="L8">
            <v>5</v>
          </cell>
          <cell r="M8">
            <v>0</v>
          </cell>
          <cell r="N8">
            <v>4311.3999999999996</v>
          </cell>
          <cell r="O8" t="str">
            <v>M</v>
          </cell>
          <cell r="P8" t="str">
            <v>00000000</v>
          </cell>
          <cell r="Q8">
            <v>12403.8</v>
          </cell>
          <cell r="R8">
            <v>622.76</v>
          </cell>
          <cell r="S8">
            <v>119.76</v>
          </cell>
          <cell r="T8">
            <v>549.70000000000005</v>
          </cell>
          <cell r="U8">
            <v>215.57</v>
          </cell>
          <cell r="V8">
            <v>300.88</v>
          </cell>
          <cell r="W8">
            <v>86.23</v>
          </cell>
          <cell r="X8">
            <v>56.6</v>
          </cell>
          <cell r="Y8">
            <v>835.76</v>
          </cell>
          <cell r="Z8">
            <v>351.83</v>
          </cell>
          <cell r="AA8">
            <v>77</v>
          </cell>
          <cell r="AB8">
            <v>0</v>
          </cell>
          <cell r="AC8">
            <v>0</v>
          </cell>
          <cell r="AD8">
            <v>13.49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Y8">
            <v>1196686.8</v>
          </cell>
        </row>
        <row r="9">
          <cell r="A9">
            <v>2</v>
          </cell>
          <cell r="B9" t="str">
            <v>12</v>
          </cell>
          <cell r="C9" t="str">
            <v>000</v>
          </cell>
          <cell r="D9" t="str">
            <v>1</v>
          </cell>
          <cell r="E9" t="str">
            <v>101</v>
          </cell>
          <cell r="F9" t="str">
            <v>N000</v>
          </cell>
          <cell r="G9" t="str">
            <v>100</v>
          </cell>
          <cell r="H9" t="str">
            <v>1103</v>
          </cell>
          <cell r="I9" t="str">
            <v>CFMC03</v>
          </cell>
          <cell r="J9" t="str">
            <v>MC03</v>
          </cell>
          <cell r="K9" t="str">
            <v>1</v>
          </cell>
          <cell r="L9">
            <v>5</v>
          </cell>
          <cell r="M9">
            <v>0</v>
          </cell>
          <cell r="N9">
            <v>4311.3999999999996</v>
          </cell>
          <cell r="O9" t="str">
            <v>M</v>
          </cell>
          <cell r="P9" t="str">
            <v>00000000</v>
          </cell>
          <cell r="Q9">
            <v>11306.9</v>
          </cell>
          <cell r="R9">
            <v>622.76</v>
          </cell>
          <cell r="S9">
            <v>119.76</v>
          </cell>
          <cell r="T9">
            <v>549.70000000000005</v>
          </cell>
          <cell r="U9">
            <v>215.57</v>
          </cell>
          <cell r="V9">
            <v>281.13</v>
          </cell>
          <cell r="W9">
            <v>86.23</v>
          </cell>
          <cell r="X9">
            <v>49</v>
          </cell>
          <cell r="Y9">
            <v>780.91</v>
          </cell>
          <cell r="Z9">
            <v>329.74</v>
          </cell>
          <cell r="AA9">
            <v>77</v>
          </cell>
          <cell r="AB9">
            <v>0</v>
          </cell>
          <cell r="AC9">
            <v>0</v>
          </cell>
          <cell r="AD9">
            <v>13.49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Y9">
            <v>1124615.3999999999</v>
          </cell>
        </row>
        <row r="10">
          <cell r="A10">
            <v>2</v>
          </cell>
          <cell r="B10" t="str">
            <v>12</v>
          </cell>
          <cell r="C10" t="str">
            <v>000</v>
          </cell>
          <cell r="D10" t="str">
            <v>1</v>
          </cell>
          <cell r="E10" t="str">
            <v>101</v>
          </cell>
          <cell r="F10" t="str">
            <v>N000</v>
          </cell>
          <cell r="G10" t="str">
            <v>100</v>
          </cell>
          <cell r="H10" t="str">
            <v>1103</v>
          </cell>
          <cell r="I10" t="str">
            <v>CFMD07</v>
          </cell>
          <cell r="J10" t="str">
            <v>MD07</v>
          </cell>
          <cell r="K10" t="str">
            <v>1</v>
          </cell>
          <cell r="L10">
            <v>1</v>
          </cell>
          <cell r="M10">
            <v>0</v>
          </cell>
          <cell r="N10">
            <v>14852.65</v>
          </cell>
          <cell r="O10" t="str">
            <v>M</v>
          </cell>
          <cell r="P10" t="str">
            <v>00000000</v>
          </cell>
          <cell r="Q10">
            <v>107662.45</v>
          </cell>
          <cell r="R10">
            <v>2145.38</v>
          </cell>
          <cell r="S10">
            <v>412.57</v>
          </cell>
          <cell r="T10">
            <v>1893.71</v>
          </cell>
          <cell r="U10">
            <v>742.63</v>
          </cell>
          <cell r="V10">
            <v>2205.27</v>
          </cell>
          <cell r="W10">
            <v>297.05</v>
          </cell>
          <cell r="X10">
            <v>0</v>
          </cell>
          <cell r="Y10">
            <v>6125.76</v>
          </cell>
          <cell r="Z10">
            <v>2503</v>
          </cell>
          <cell r="AA10">
            <v>77</v>
          </cell>
          <cell r="AB10">
            <v>0</v>
          </cell>
          <cell r="AC10">
            <v>0</v>
          </cell>
          <cell r="AD10">
            <v>13.49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Y10">
            <v>1667171.52</v>
          </cell>
        </row>
        <row r="11">
          <cell r="A11">
            <v>2</v>
          </cell>
          <cell r="B11" t="str">
            <v>12</v>
          </cell>
          <cell r="C11" t="str">
            <v>000</v>
          </cell>
          <cell r="D11" t="str">
            <v>1</v>
          </cell>
          <cell r="E11" t="str">
            <v>101</v>
          </cell>
          <cell r="F11" t="str">
            <v>N000</v>
          </cell>
          <cell r="G11" t="str">
            <v>100</v>
          </cell>
          <cell r="H11" t="str">
            <v>1103</v>
          </cell>
          <cell r="I11" t="str">
            <v>CFMD09</v>
          </cell>
          <cell r="J11" t="str">
            <v>MD09</v>
          </cell>
          <cell r="K11" t="str">
            <v>1</v>
          </cell>
          <cell r="L11">
            <v>2</v>
          </cell>
          <cell r="M11">
            <v>0</v>
          </cell>
          <cell r="N11">
            <v>14852.65</v>
          </cell>
          <cell r="O11" t="str">
            <v>M</v>
          </cell>
          <cell r="P11" t="str">
            <v>00000000</v>
          </cell>
          <cell r="Q11">
            <v>100991.65</v>
          </cell>
          <cell r="R11">
            <v>2145.38</v>
          </cell>
          <cell r="S11">
            <v>412.57</v>
          </cell>
          <cell r="T11">
            <v>1893.71</v>
          </cell>
          <cell r="U11">
            <v>742.63</v>
          </cell>
          <cell r="V11">
            <v>2085.1999999999998</v>
          </cell>
          <cell r="W11">
            <v>297.05</v>
          </cell>
          <cell r="X11">
            <v>54.5</v>
          </cell>
          <cell r="Y11">
            <v>5792.22</v>
          </cell>
          <cell r="Z11">
            <v>2370.6799999999998</v>
          </cell>
          <cell r="AA11">
            <v>77</v>
          </cell>
          <cell r="AB11">
            <v>0</v>
          </cell>
          <cell r="AC11">
            <v>0</v>
          </cell>
          <cell r="AD11">
            <v>13.49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Y11">
            <v>3161489.52</v>
          </cell>
        </row>
        <row r="12">
          <cell r="A12">
            <v>2</v>
          </cell>
          <cell r="B12" t="str">
            <v>12</v>
          </cell>
          <cell r="C12" t="str">
            <v>000</v>
          </cell>
          <cell r="D12" t="str">
            <v>1</v>
          </cell>
          <cell r="E12" t="str">
            <v>101</v>
          </cell>
          <cell r="F12" t="str">
            <v>N000</v>
          </cell>
          <cell r="G12" t="str">
            <v>100</v>
          </cell>
          <cell r="H12" t="str">
            <v>1103</v>
          </cell>
          <cell r="I12" t="str">
            <v>CFMD12</v>
          </cell>
          <cell r="J12" t="str">
            <v>MD12</v>
          </cell>
          <cell r="K12" t="str">
            <v>1</v>
          </cell>
          <cell r="L12">
            <v>1</v>
          </cell>
          <cell r="M12">
            <v>0</v>
          </cell>
          <cell r="N12">
            <v>12026.05</v>
          </cell>
          <cell r="O12" t="str">
            <v>M</v>
          </cell>
          <cell r="P12" t="str">
            <v>00000000</v>
          </cell>
          <cell r="Q12">
            <v>72295.199999999997</v>
          </cell>
          <cell r="R12">
            <v>1737.1</v>
          </cell>
          <cell r="S12">
            <v>334.06</v>
          </cell>
          <cell r="T12">
            <v>1533.32</v>
          </cell>
          <cell r="U12">
            <v>601.29999999999995</v>
          </cell>
          <cell r="V12">
            <v>1517.78</v>
          </cell>
          <cell r="W12">
            <v>240.52</v>
          </cell>
          <cell r="X12">
            <v>0</v>
          </cell>
          <cell r="Y12">
            <v>4216.0600000000004</v>
          </cell>
          <cell r="Z12">
            <v>1729.39</v>
          </cell>
          <cell r="AA12">
            <v>77</v>
          </cell>
          <cell r="AB12">
            <v>0</v>
          </cell>
          <cell r="AC12">
            <v>0</v>
          </cell>
          <cell r="AD12">
            <v>13.49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Y12">
            <v>1155855.24</v>
          </cell>
        </row>
        <row r="13">
          <cell r="A13">
            <v>2</v>
          </cell>
          <cell r="B13" t="str">
            <v>12</v>
          </cell>
          <cell r="C13" t="str">
            <v>000</v>
          </cell>
          <cell r="D13" t="str">
            <v>1</v>
          </cell>
          <cell r="E13" t="str">
            <v>101</v>
          </cell>
          <cell r="F13" t="str">
            <v>N000</v>
          </cell>
          <cell r="G13" t="str">
            <v>100</v>
          </cell>
          <cell r="H13" t="str">
            <v>1103</v>
          </cell>
          <cell r="I13" t="str">
            <v>CFMG06</v>
          </cell>
          <cell r="J13" t="str">
            <v>MG06</v>
          </cell>
          <cell r="K13" t="str">
            <v>1</v>
          </cell>
          <cell r="L13">
            <v>4</v>
          </cell>
          <cell r="M13">
            <v>0</v>
          </cell>
          <cell r="N13">
            <v>8232.25</v>
          </cell>
          <cell r="O13" t="str">
            <v>M</v>
          </cell>
          <cell r="P13" t="str">
            <v>00000000</v>
          </cell>
          <cell r="Q13">
            <v>38872.050000000003</v>
          </cell>
          <cell r="R13">
            <v>1189.0999999999999</v>
          </cell>
          <cell r="S13">
            <v>228.67</v>
          </cell>
          <cell r="T13">
            <v>1049.6099999999999</v>
          </cell>
          <cell r="U13">
            <v>411.61</v>
          </cell>
          <cell r="V13">
            <v>847.88</v>
          </cell>
          <cell r="W13">
            <v>164.65</v>
          </cell>
          <cell r="X13">
            <v>20.5</v>
          </cell>
          <cell r="Y13">
            <v>2355.2199999999998</v>
          </cell>
          <cell r="Z13">
            <v>972.39</v>
          </cell>
          <cell r="AA13">
            <v>77</v>
          </cell>
          <cell r="AB13">
            <v>0</v>
          </cell>
          <cell r="AC13">
            <v>0</v>
          </cell>
          <cell r="AD13">
            <v>13.49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Y13">
            <v>2612852.16</v>
          </cell>
        </row>
        <row r="14">
          <cell r="A14">
            <v>2</v>
          </cell>
          <cell r="B14" t="str">
            <v>12</v>
          </cell>
          <cell r="C14" t="str">
            <v>000</v>
          </cell>
          <cell r="D14" t="str">
            <v>1</v>
          </cell>
          <cell r="E14" t="str">
            <v>101</v>
          </cell>
          <cell r="F14" t="str">
            <v>N000</v>
          </cell>
          <cell r="G14" t="str">
            <v>100</v>
          </cell>
          <cell r="H14" t="str">
            <v>1103</v>
          </cell>
          <cell r="I14" t="str">
            <v>CFMG08</v>
          </cell>
          <cell r="J14" t="str">
            <v>MG08</v>
          </cell>
          <cell r="K14" t="str">
            <v>1</v>
          </cell>
          <cell r="L14">
            <v>4</v>
          </cell>
          <cell r="M14">
            <v>0</v>
          </cell>
          <cell r="N14">
            <v>6807.9</v>
          </cell>
          <cell r="O14" t="str">
            <v>M</v>
          </cell>
          <cell r="P14" t="str">
            <v>00000000</v>
          </cell>
          <cell r="Q14">
            <v>34139.449999999997</v>
          </cell>
          <cell r="R14">
            <v>983.36</v>
          </cell>
          <cell r="S14">
            <v>189.11</v>
          </cell>
          <cell r="T14">
            <v>868.01</v>
          </cell>
          <cell r="U14">
            <v>340.39</v>
          </cell>
          <cell r="V14">
            <v>737.05</v>
          </cell>
          <cell r="W14">
            <v>136.16</v>
          </cell>
          <cell r="X14">
            <v>47.75</v>
          </cell>
          <cell r="Y14">
            <v>2047.37</v>
          </cell>
          <cell r="Z14">
            <v>844.89</v>
          </cell>
          <cell r="AA14">
            <v>77</v>
          </cell>
          <cell r="AB14">
            <v>0</v>
          </cell>
          <cell r="AC14">
            <v>0</v>
          </cell>
          <cell r="AD14">
            <v>13.49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Y14">
            <v>2267132.64</v>
          </cell>
        </row>
        <row r="15">
          <cell r="A15">
            <v>2</v>
          </cell>
          <cell r="B15" t="str">
            <v>12</v>
          </cell>
          <cell r="C15" t="str">
            <v>000</v>
          </cell>
          <cell r="D15" t="str">
            <v>1</v>
          </cell>
          <cell r="E15" t="str">
            <v>101</v>
          </cell>
          <cell r="F15" t="str">
            <v>N000</v>
          </cell>
          <cell r="G15" t="str">
            <v>100</v>
          </cell>
          <cell r="H15" t="str">
            <v>1103</v>
          </cell>
          <cell r="I15" t="str">
            <v>CFMS08</v>
          </cell>
          <cell r="J15" t="str">
            <v>MS08</v>
          </cell>
          <cell r="K15" t="str">
            <v>1</v>
          </cell>
          <cell r="L15">
            <v>8</v>
          </cell>
          <cell r="M15">
            <v>0</v>
          </cell>
          <cell r="N15">
            <v>4801.8999999999996</v>
          </cell>
          <cell r="O15" t="str">
            <v>M</v>
          </cell>
          <cell r="P15" t="str">
            <v>00000000</v>
          </cell>
          <cell r="Q15">
            <v>18269.849999999999</v>
          </cell>
          <cell r="R15">
            <v>693.61</v>
          </cell>
          <cell r="S15">
            <v>133.38999999999999</v>
          </cell>
          <cell r="T15">
            <v>612.24</v>
          </cell>
          <cell r="U15">
            <v>240.09</v>
          </cell>
          <cell r="V15">
            <v>415.29</v>
          </cell>
          <cell r="W15">
            <v>96.04</v>
          </cell>
          <cell r="X15">
            <v>45.75</v>
          </cell>
          <cell r="Y15">
            <v>1153.5899999999999</v>
          </cell>
          <cell r="Z15">
            <v>480.43</v>
          </cell>
          <cell r="AA15">
            <v>77</v>
          </cell>
          <cell r="AB15">
            <v>0</v>
          </cell>
          <cell r="AC15">
            <v>0</v>
          </cell>
          <cell r="AD15">
            <v>13.49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Y15">
            <v>2595136.3199999998</v>
          </cell>
        </row>
        <row r="16">
          <cell r="A16">
            <v>2</v>
          </cell>
          <cell r="B16" t="str">
            <v>12</v>
          </cell>
          <cell r="C16" t="str">
            <v>000</v>
          </cell>
          <cell r="D16" t="str">
            <v>1</v>
          </cell>
          <cell r="E16" t="str">
            <v>101</v>
          </cell>
          <cell r="F16" t="str">
            <v>N000</v>
          </cell>
          <cell r="G16" t="str">
            <v>100</v>
          </cell>
          <cell r="H16" t="str">
            <v>1103</v>
          </cell>
          <cell r="I16" t="str">
            <v>M01004</v>
          </cell>
          <cell r="K16" t="str">
            <v>2</v>
          </cell>
          <cell r="L16">
            <v>1</v>
          </cell>
          <cell r="M16">
            <v>0</v>
          </cell>
          <cell r="N16">
            <v>6400</v>
          </cell>
          <cell r="O16" t="str">
            <v>M</v>
          </cell>
          <cell r="P16" t="str">
            <v>00000000</v>
          </cell>
          <cell r="Q16">
            <v>0</v>
          </cell>
          <cell r="R16">
            <v>924.44</v>
          </cell>
          <cell r="S16">
            <v>177.78</v>
          </cell>
          <cell r="T16">
            <v>816</v>
          </cell>
          <cell r="U16">
            <v>320</v>
          </cell>
          <cell r="V16">
            <v>115.2</v>
          </cell>
          <cell r="W16">
            <v>128</v>
          </cell>
          <cell r="X16">
            <v>0</v>
          </cell>
          <cell r="Y16">
            <v>0</v>
          </cell>
          <cell r="Z16">
            <v>287.52999999999997</v>
          </cell>
          <cell r="AA16">
            <v>77</v>
          </cell>
          <cell r="AB16">
            <v>96</v>
          </cell>
          <cell r="AC16">
            <v>80</v>
          </cell>
          <cell r="AD16">
            <v>13.49</v>
          </cell>
          <cell r="AE16">
            <v>5.33</v>
          </cell>
          <cell r="AF16">
            <v>0</v>
          </cell>
          <cell r="AG16">
            <v>0</v>
          </cell>
          <cell r="AH16">
            <v>4086</v>
          </cell>
          <cell r="AI16">
            <v>0</v>
          </cell>
          <cell r="AJ16">
            <v>2530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Y16">
            <v>192681.24</v>
          </cell>
        </row>
        <row r="17">
          <cell r="A17">
            <v>2</v>
          </cell>
          <cell r="B17" t="str">
            <v>12</v>
          </cell>
          <cell r="C17" t="str">
            <v>000</v>
          </cell>
          <cell r="D17" t="str">
            <v>1</v>
          </cell>
          <cell r="E17" t="str">
            <v>101</v>
          </cell>
          <cell r="F17" t="str">
            <v>N000</v>
          </cell>
          <cell r="G17" t="str">
            <v>100</v>
          </cell>
          <cell r="H17" t="str">
            <v>1103</v>
          </cell>
          <cell r="I17" t="str">
            <v>M02027</v>
          </cell>
          <cell r="K17" t="str">
            <v>2</v>
          </cell>
          <cell r="L17">
            <v>1</v>
          </cell>
          <cell r="M17">
            <v>0</v>
          </cell>
          <cell r="N17">
            <v>4940</v>
          </cell>
          <cell r="O17" t="str">
            <v>M</v>
          </cell>
          <cell r="P17" t="str">
            <v>00000000</v>
          </cell>
          <cell r="Q17">
            <v>0</v>
          </cell>
          <cell r="R17">
            <v>713.56</v>
          </cell>
          <cell r="S17">
            <v>137.22</v>
          </cell>
          <cell r="T17">
            <v>629.85</v>
          </cell>
          <cell r="U17">
            <v>247</v>
          </cell>
          <cell r="V17">
            <v>88.92</v>
          </cell>
          <cell r="W17">
            <v>98.8</v>
          </cell>
          <cell r="X17">
            <v>0</v>
          </cell>
          <cell r="Y17">
            <v>0</v>
          </cell>
          <cell r="Z17">
            <v>167.06</v>
          </cell>
          <cell r="AA17">
            <v>77</v>
          </cell>
          <cell r="AB17">
            <v>96</v>
          </cell>
          <cell r="AC17">
            <v>80</v>
          </cell>
          <cell r="AD17">
            <v>13.49</v>
          </cell>
          <cell r="AE17">
            <v>4.12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2305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Y17">
            <v>115176.24</v>
          </cell>
        </row>
        <row r="18">
          <cell r="A18">
            <v>2</v>
          </cell>
          <cell r="B18" t="str">
            <v>12</v>
          </cell>
          <cell r="C18" t="str">
            <v>000</v>
          </cell>
          <cell r="D18" t="str">
            <v>1</v>
          </cell>
          <cell r="E18" t="str">
            <v>101</v>
          </cell>
          <cell r="F18" t="str">
            <v>N000</v>
          </cell>
          <cell r="G18" t="str">
            <v>100</v>
          </cell>
          <cell r="H18" t="str">
            <v>1103</v>
          </cell>
          <cell r="I18" t="str">
            <v>M02044</v>
          </cell>
          <cell r="K18" t="str">
            <v>2</v>
          </cell>
          <cell r="L18">
            <v>2</v>
          </cell>
          <cell r="M18">
            <v>0</v>
          </cell>
          <cell r="N18">
            <v>3221</v>
          </cell>
          <cell r="O18" t="str">
            <v>M</v>
          </cell>
          <cell r="P18" t="str">
            <v>00000000</v>
          </cell>
          <cell r="Q18">
            <v>0</v>
          </cell>
          <cell r="R18">
            <v>465.26</v>
          </cell>
          <cell r="S18">
            <v>89.47</v>
          </cell>
          <cell r="T18">
            <v>410.68</v>
          </cell>
          <cell r="U18">
            <v>161.05000000000001</v>
          </cell>
          <cell r="V18">
            <v>57.98</v>
          </cell>
          <cell r="W18">
            <v>64.42</v>
          </cell>
          <cell r="X18">
            <v>27.5</v>
          </cell>
          <cell r="Y18">
            <v>0</v>
          </cell>
          <cell r="Z18">
            <v>113.18</v>
          </cell>
          <cell r="AA18">
            <v>77</v>
          </cell>
          <cell r="AB18">
            <v>96</v>
          </cell>
          <cell r="AC18">
            <v>80</v>
          </cell>
          <cell r="AD18">
            <v>13.49</v>
          </cell>
          <cell r="AE18">
            <v>2.68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1600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Y18">
            <v>155513.04</v>
          </cell>
        </row>
        <row r="19">
          <cell r="A19">
            <v>2</v>
          </cell>
          <cell r="B19" t="str">
            <v>12</v>
          </cell>
          <cell r="C19" t="str">
            <v>000</v>
          </cell>
          <cell r="D19" t="str">
            <v>1</v>
          </cell>
          <cell r="E19" t="str">
            <v>101</v>
          </cell>
          <cell r="F19" t="str">
            <v>N000</v>
          </cell>
          <cell r="G19" t="str">
            <v>100</v>
          </cell>
          <cell r="H19" t="str">
            <v>1103</v>
          </cell>
          <cell r="I19" t="str">
            <v>S01803</v>
          </cell>
          <cell r="J19" t="str">
            <v>19</v>
          </cell>
          <cell r="K19" t="str">
            <v>2</v>
          </cell>
          <cell r="L19">
            <v>4</v>
          </cell>
          <cell r="M19">
            <v>0</v>
          </cell>
          <cell r="N19">
            <v>2120.3000000000002</v>
          </cell>
          <cell r="O19" t="str">
            <v>M</v>
          </cell>
          <cell r="P19" t="str">
            <v>00000000</v>
          </cell>
          <cell r="Q19">
            <v>0</v>
          </cell>
          <cell r="R19">
            <v>306.27</v>
          </cell>
          <cell r="S19">
            <v>58.9</v>
          </cell>
          <cell r="T19">
            <v>270.33999999999997</v>
          </cell>
          <cell r="U19">
            <v>106.02</v>
          </cell>
          <cell r="V19">
            <v>38.17</v>
          </cell>
          <cell r="W19">
            <v>42.41</v>
          </cell>
          <cell r="X19">
            <v>20.5</v>
          </cell>
          <cell r="Y19">
            <v>0</v>
          </cell>
          <cell r="Z19">
            <v>55.18</v>
          </cell>
          <cell r="AA19">
            <v>77</v>
          </cell>
          <cell r="AB19">
            <v>96</v>
          </cell>
          <cell r="AC19">
            <v>80</v>
          </cell>
          <cell r="AD19">
            <v>13.49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Y19">
            <v>157659.84</v>
          </cell>
        </row>
        <row r="20">
          <cell r="A20">
            <v>2</v>
          </cell>
          <cell r="B20" t="str">
            <v>12</v>
          </cell>
          <cell r="C20" t="str">
            <v>000</v>
          </cell>
          <cell r="D20" t="str">
            <v>1</v>
          </cell>
          <cell r="E20" t="str">
            <v>101</v>
          </cell>
          <cell r="F20" t="str">
            <v>N000</v>
          </cell>
          <cell r="G20" t="str">
            <v>100</v>
          </cell>
          <cell r="H20" t="str">
            <v>1103</v>
          </cell>
          <cell r="I20" t="str">
            <v>S03810</v>
          </cell>
          <cell r="J20" t="str">
            <v>22</v>
          </cell>
          <cell r="K20" t="str">
            <v>2</v>
          </cell>
          <cell r="L20">
            <v>2</v>
          </cell>
          <cell r="M20">
            <v>0</v>
          </cell>
          <cell r="N20">
            <v>2342.3000000000002</v>
          </cell>
          <cell r="O20" t="str">
            <v>M</v>
          </cell>
          <cell r="P20" t="str">
            <v>00000000</v>
          </cell>
          <cell r="Q20">
            <v>0</v>
          </cell>
          <cell r="R20">
            <v>338.33</v>
          </cell>
          <cell r="S20">
            <v>65.06</v>
          </cell>
          <cell r="T20">
            <v>298.64</v>
          </cell>
          <cell r="U20">
            <v>117.12</v>
          </cell>
          <cell r="V20">
            <v>42.16</v>
          </cell>
          <cell r="W20">
            <v>46.85</v>
          </cell>
          <cell r="X20">
            <v>0</v>
          </cell>
          <cell r="Y20">
            <v>0</v>
          </cell>
          <cell r="Z20">
            <v>59.97</v>
          </cell>
          <cell r="AA20">
            <v>77</v>
          </cell>
          <cell r="AB20">
            <v>96</v>
          </cell>
          <cell r="AC20">
            <v>80</v>
          </cell>
          <cell r="AD20">
            <v>13.49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Y20">
            <v>85846.080000000002</v>
          </cell>
        </row>
        <row r="21">
          <cell r="A21">
            <v>2</v>
          </cell>
          <cell r="B21" t="str">
            <v>12</v>
          </cell>
          <cell r="C21" t="str">
            <v>000</v>
          </cell>
          <cell r="D21" t="str">
            <v>1</v>
          </cell>
          <cell r="E21" t="str">
            <v>101</v>
          </cell>
          <cell r="F21" t="str">
            <v>N000</v>
          </cell>
          <cell r="G21" t="str">
            <v>100</v>
          </cell>
          <cell r="H21" t="str">
            <v>1103</v>
          </cell>
          <cell r="I21" t="str">
            <v>T06807</v>
          </cell>
          <cell r="J21" t="str">
            <v>24</v>
          </cell>
          <cell r="K21" t="str">
            <v>2</v>
          </cell>
          <cell r="L21">
            <v>1</v>
          </cell>
          <cell r="M21">
            <v>0</v>
          </cell>
          <cell r="N21">
            <v>2479.75</v>
          </cell>
          <cell r="O21" t="str">
            <v>M</v>
          </cell>
          <cell r="P21" t="str">
            <v>00000000</v>
          </cell>
          <cell r="Q21">
            <v>0</v>
          </cell>
          <cell r="R21">
            <v>358.19</v>
          </cell>
          <cell r="S21">
            <v>68.88</v>
          </cell>
          <cell r="T21">
            <v>316.17</v>
          </cell>
          <cell r="U21">
            <v>123.99</v>
          </cell>
          <cell r="V21">
            <v>44.64</v>
          </cell>
          <cell r="W21">
            <v>49.59</v>
          </cell>
          <cell r="X21">
            <v>82</v>
          </cell>
          <cell r="Y21">
            <v>0</v>
          </cell>
          <cell r="Z21">
            <v>64.84</v>
          </cell>
          <cell r="AA21">
            <v>77</v>
          </cell>
          <cell r="AB21">
            <v>96</v>
          </cell>
          <cell r="AC21">
            <v>80</v>
          </cell>
          <cell r="AD21">
            <v>13.49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Y21">
            <v>46254.48</v>
          </cell>
        </row>
        <row r="22">
          <cell r="A22">
            <v>2</v>
          </cell>
          <cell r="B22" t="str">
            <v>12</v>
          </cell>
          <cell r="C22" t="str">
            <v>000</v>
          </cell>
          <cell r="D22" t="str">
            <v>1</v>
          </cell>
          <cell r="E22" t="str">
            <v>101</v>
          </cell>
          <cell r="F22" t="str">
            <v>N000</v>
          </cell>
          <cell r="G22" t="str">
            <v>100</v>
          </cell>
          <cell r="H22" t="str">
            <v>1103</v>
          </cell>
          <cell r="I22" t="str">
            <v>CF01059</v>
          </cell>
          <cell r="J22" t="str">
            <v>28</v>
          </cell>
          <cell r="K22" t="str">
            <v>1</v>
          </cell>
          <cell r="L22">
            <v>2</v>
          </cell>
          <cell r="M22">
            <v>0</v>
          </cell>
          <cell r="N22">
            <v>3631.8</v>
          </cell>
          <cell r="O22" t="str">
            <v>M</v>
          </cell>
          <cell r="P22" t="str">
            <v>00000000</v>
          </cell>
          <cell r="Q22">
            <v>8731.1</v>
          </cell>
          <cell r="R22">
            <v>524.59</v>
          </cell>
          <cell r="S22">
            <v>100.88</v>
          </cell>
          <cell r="T22">
            <v>463.05</v>
          </cell>
          <cell r="U22">
            <v>181.59</v>
          </cell>
          <cell r="V22">
            <v>222.53</v>
          </cell>
          <cell r="W22">
            <v>72.64</v>
          </cell>
          <cell r="X22">
            <v>27.5</v>
          </cell>
          <cell r="Y22">
            <v>618.15</v>
          </cell>
          <cell r="Z22">
            <v>261.86</v>
          </cell>
          <cell r="AA22">
            <v>77</v>
          </cell>
          <cell r="AB22">
            <v>0</v>
          </cell>
          <cell r="AC22">
            <v>0</v>
          </cell>
          <cell r="AD22">
            <v>13.49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Y22">
            <v>358228.32</v>
          </cell>
        </row>
        <row r="23">
          <cell r="A23">
            <v>2</v>
          </cell>
          <cell r="B23" t="str">
            <v>12</v>
          </cell>
          <cell r="C23" t="str">
            <v>000</v>
          </cell>
          <cell r="D23" t="str">
            <v>1</v>
          </cell>
          <cell r="E23" t="str">
            <v>101</v>
          </cell>
          <cell r="F23" t="str">
            <v>N000</v>
          </cell>
          <cell r="G23" t="str">
            <v>100</v>
          </cell>
          <cell r="H23" t="str">
            <v>1103</v>
          </cell>
          <cell r="I23" t="str">
            <v>CF03809</v>
          </cell>
          <cell r="J23" t="str">
            <v>25</v>
          </cell>
          <cell r="K23" t="str">
            <v>2</v>
          </cell>
          <cell r="L23">
            <v>3</v>
          </cell>
          <cell r="M23">
            <v>0</v>
          </cell>
          <cell r="N23">
            <v>2572.4</v>
          </cell>
          <cell r="O23" t="str">
            <v>M</v>
          </cell>
          <cell r="P23" t="str">
            <v>00000000</v>
          </cell>
          <cell r="Q23">
            <v>0</v>
          </cell>
          <cell r="R23">
            <v>371.57</v>
          </cell>
          <cell r="S23">
            <v>71.459999999999994</v>
          </cell>
          <cell r="T23">
            <v>327.98</v>
          </cell>
          <cell r="U23">
            <v>128.62</v>
          </cell>
          <cell r="V23">
            <v>46.3</v>
          </cell>
          <cell r="W23">
            <v>51.45</v>
          </cell>
          <cell r="X23">
            <v>55</v>
          </cell>
          <cell r="Y23">
            <v>0</v>
          </cell>
          <cell r="Z23">
            <v>66.47</v>
          </cell>
          <cell r="AA23">
            <v>77</v>
          </cell>
          <cell r="AB23">
            <v>96</v>
          </cell>
          <cell r="AC23">
            <v>80</v>
          </cell>
          <cell r="AD23">
            <v>13.49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Y23">
            <v>142478.64000000001</v>
          </cell>
        </row>
        <row r="24">
          <cell r="A24">
            <v>2</v>
          </cell>
          <cell r="B24" t="str">
            <v>12</v>
          </cell>
          <cell r="C24" t="str">
            <v>000</v>
          </cell>
          <cell r="D24" t="str">
            <v>1</v>
          </cell>
          <cell r="E24" t="str">
            <v>101</v>
          </cell>
          <cell r="F24" t="str">
            <v>N000</v>
          </cell>
          <cell r="G24" t="str">
            <v>100</v>
          </cell>
          <cell r="H24" t="str">
            <v>1103</v>
          </cell>
          <cell r="I24" t="str">
            <v>CF03820</v>
          </cell>
          <cell r="J24" t="str">
            <v>27Z</v>
          </cell>
          <cell r="K24" t="str">
            <v>2</v>
          </cell>
          <cell r="L24">
            <v>2</v>
          </cell>
          <cell r="M24">
            <v>0</v>
          </cell>
          <cell r="N24">
            <v>2900.25</v>
          </cell>
          <cell r="O24" t="str">
            <v>M</v>
          </cell>
          <cell r="P24" t="str">
            <v>00000000</v>
          </cell>
          <cell r="Q24">
            <v>205.15</v>
          </cell>
          <cell r="R24">
            <v>418.93</v>
          </cell>
          <cell r="S24">
            <v>80.56</v>
          </cell>
          <cell r="T24">
            <v>369.78</v>
          </cell>
          <cell r="U24">
            <v>145.01</v>
          </cell>
          <cell r="V24">
            <v>55.89</v>
          </cell>
          <cell r="W24">
            <v>58.01</v>
          </cell>
          <cell r="X24">
            <v>55</v>
          </cell>
          <cell r="Y24">
            <v>0</v>
          </cell>
          <cell r="Z24">
            <v>78.260000000000005</v>
          </cell>
          <cell r="AA24">
            <v>77</v>
          </cell>
          <cell r="AB24">
            <v>96</v>
          </cell>
          <cell r="AC24">
            <v>80</v>
          </cell>
          <cell r="AD24">
            <v>13.49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Y24">
            <v>111199.92</v>
          </cell>
        </row>
        <row r="25">
          <cell r="A25">
            <v>2</v>
          </cell>
          <cell r="B25" t="str">
            <v>12</v>
          </cell>
          <cell r="C25" t="str">
            <v>000</v>
          </cell>
          <cell r="D25" t="str">
            <v>1</v>
          </cell>
          <cell r="E25" t="str">
            <v>101</v>
          </cell>
          <cell r="F25" t="str">
            <v>N000</v>
          </cell>
          <cell r="G25" t="str">
            <v>100</v>
          </cell>
          <cell r="H25" t="str">
            <v>1103</v>
          </cell>
          <cell r="I25" t="str">
            <v>CF04806</v>
          </cell>
          <cell r="J25" t="str">
            <v>26</v>
          </cell>
          <cell r="K25" t="str">
            <v>2</v>
          </cell>
          <cell r="L25">
            <v>3</v>
          </cell>
          <cell r="M25">
            <v>0</v>
          </cell>
          <cell r="N25">
            <v>2692.2</v>
          </cell>
          <cell r="O25" t="str">
            <v>M</v>
          </cell>
          <cell r="P25" t="str">
            <v>00000000</v>
          </cell>
          <cell r="Q25">
            <v>0</v>
          </cell>
          <cell r="R25">
            <v>388.87</v>
          </cell>
          <cell r="S25">
            <v>74.78</v>
          </cell>
          <cell r="T25">
            <v>343.26</v>
          </cell>
          <cell r="U25">
            <v>134.61000000000001</v>
          </cell>
          <cell r="V25">
            <v>48.46</v>
          </cell>
          <cell r="W25">
            <v>53.84</v>
          </cell>
          <cell r="X25">
            <v>27.33</v>
          </cell>
          <cell r="Y25">
            <v>0</v>
          </cell>
          <cell r="Z25">
            <v>68.72</v>
          </cell>
          <cell r="AA25">
            <v>77</v>
          </cell>
          <cell r="AB25">
            <v>96</v>
          </cell>
          <cell r="AC25">
            <v>80</v>
          </cell>
          <cell r="AD25">
            <v>13.49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Y25">
            <v>147548.16</v>
          </cell>
        </row>
        <row r="26">
          <cell r="A26">
            <v>2</v>
          </cell>
          <cell r="B26" t="str">
            <v>12</v>
          </cell>
          <cell r="C26" t="str">
            <v>000</v>
          </cell>
          <cell r="D26" t="str">
            <v>1</v>
          </cell>
          <cell r="E26" t="str">
            <v>101</v>
          </cell>
          <cell r="F26" t="str">
            <v>N000</v>
          </cell>
          <cell r="G26" t="str">
            <v>100</v>
          </cell>
          <cell r="H26" t="str">
            <v>1103</v>
          </cell>
          <cell r="I26" t="str">
            <v>CF04807</v>
          </cell>
          <cell r="J26" t="str">
            <v>27Z</v>
          </cell>
          <cell r="K26" t="str">
            <v>2</v>
          </cell>
          <cell r="L26">
            <v>8</v>
          </cell>
          <cell r="M26">
            <v>0</v>
          </cell>
          <cell r="N26">
            <v>2900.25</v>
          </cell>
          <cell r="O26" t="str">
            <v>M</v>
          </cell>
          <cell r="P26" t="str">
            <v>00000000</v>
          </cell>
          <cell r="Q26">
            <v>205.15</v>
          </cell>
          <cell r="R26">
            <v>418.93</v>
          </cell>
          <cell r="S26">
            <v>80.56</v>
          </cell>
          <cell r="T26">
            <v>369.78</v>
          </cell>
          <cell r="U26">
            <v>145.01</v>
          </cell>
          <cell r="V26">
            <v>55.89</v>
          </cell>
          <cell r="W26">
            <v>58.01</v>
          </cell>
          <cell r="X26">
            <v>40.130000000000003</v>
          </cell>
          <cell r="Y26">
            <v>0</v>
          </cell>
          <cell r="Z26">
            <v>77.959999999999994</v>
          </cell>
          <cell r="AA26">
            <v>77</v>
          </cell>
          <cell r="AB26">
            <v>96</v>
          </cell>
          <cell r="AC26">
            <v>80</v>
          </cell>
          <cell r="AD26">
            <v>13.49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Y26">
            <v>443343.35999999999</v>
          </cell>
        </row>
        <row r="27">
          <cell r="A27">
            <v>2</v>
          </cell>
          <cell r="B27" t="str">
            <v>12</v>
          </cell>
          <cell r="C27" t="str">
            <v>000</v>
          </cell>
          <cell r="D27" t="str">
            <v>1</v>
          </cell>
          <cell r="E27" t="str">
            <v>101</v>
          </cell>
          <cell r="F27" t="str">
            <v>N000</v>
          </cell>
          <cell r="G27" t="str">
            <v>100</v>
          </cell>
          <cell r="H27" t="str">
            <v>1103</v>
          </cell>
          <cell r="I27" t="str">
            <v>CF04808</v>
          </cell>
          <cell r="J27" t="str">
            <v>27ZA</v>
          </cell>
          <cell r="K27" t="str">
            <v>2</v>
          </cell>
          <cell r="L27">
            <v>23</v>
          </cell>
          <cell r="M27">
            <v>0</v>
          </cell>
          <cell r="N27">
            <v>2982.9</v>
          </cell>
          <cell r="O27" t="str">
            <v>M</v>
          </cell>
          <cell r="P27" t="str">
            <v>00000000</v>
          </cell>
          <cell r="Q27">
            <v>579.4</v>
          </cell>
          <cell r="R27">
            <v>430.86</v>
          </cell>
          <cell r="S27">
            <v>82.86</v>
          </cell>
          <cell r="T27">
            <v>380.32</v>
          </cell>
          <cell r="U27">
            <v>149.15</v>
          </cell>
          <cell r="V27">
            <v>64.12</v>
          </cell>
          <cell r="W27">
            <v>59.66</v>
          </cell>
          <cell r="X27">
            <v>45.74</v>
          </cell>
          <cell r="Y27">
            <v>0</v>
          </cell>
          <cell r="Z27">
            <v>87.5</v>
          </cell>
          <cell r="AA27">
            <v>77</v>
          </cell>
          <cell r="AB27">
            <v>96</v>
          </cell>
          <cell r="AC27">
            <v>80</v>
          </cell>
          <cell r="AD27">
            <v>13.49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Y27">
            <v>1415604</v>
          </cell>
        </row>
        <row r="28">
          <cell r="A28">
            <v>2</v>
          </cell>
          <cell r="B28" t="str">
            <v>12</v>
          </cell>
          <cell r="C28" t="str">
            <v>000</v>
          </cell>
          <cell r="D28" t="str">
            <v>1</v>
          </cell>
          <cell r="E28" t="str">
            <v>101</v>
          </cell>
          <cell r="F28" t="str">
            <v>N000</v>
          </cell>
          <cell r="G28" t="str">
            <v>100</v>
          </cell>
          <cell r="H28" t="str">
            <v>1103</v>
          </cell>
          <cell r="I28" t="str">
            <v>CF04809</v>
          </cell>
          <cell r="J28" t="str">
            <v>27ZB</v>
          </cell>
          <cell r="K28" t="str">
            <v>2</v>
          </cell>
          <cell r="L28">
            <v>1</v>
          </cell>
          <cell r="M28">
            <v>0</v>
          </cell>
          <cell r="N28">
            <v>3008.65</v>
          </cell>
          <cell r="O28" t="str">
            <v>M</v>
          </cell>
          <cell r="P28" t="str">
            <v>00000000</v>
          </cell>
          <cell r="Q28">
            <v>857</v>
          </cell>
          <cell r="R28">
            <v>434.58</v>
          </cell>
          <cell r="S28">
            <v>83.57</v>
          </cell>
          <cell r="T28">
            <v>383.6</v>
          </cell>
          <cell r="U28">
            <v>150.43</v>
          </cell>
          <cell r="V28">
            <v>69.59</v>
          </cell>
          <cell r="W28">
            <v>60.17</v>
          </cell>
          <cell r="X28">
            <v>82</v>
          </cell>
          <cell r="Y28">
            <v>0</v>
          </cell>
          <cell r="Z28">
            <v>94.38</v>
          </cell>
          <cell r="AA28">
            <v>77</v>
          </cell>
          <cell r="AB28">
            <v>96</v>
          </cell>
          <cell r="AC28">
            <v>80</v>
          </cell>
          <cell r="AD28">
            <v>13.49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Y28">
            <v>65885.52</v>
          </cell>
        </row>
        <row r="29">
          <cell r="A29">
            <v>2</v>
          </cell>
          <cell r="B29" t="str">
            <v>12</v>
          </cell>
          <cell r="C29" t="str">
            <v>000</v>
          </cell>
          <cell r="D29" t="str">
            <v>1</v>
          </cell>
          <cell r="E29" t="str">
            <v>101</v>
          </cell>
          <cell r="F29" t="str">
            <v>N000</v>
          </cell>
          <cell r="G29" t="str">
            <v>100</v>
          </cell>
          <cell r="H29" t="str">
            <v>1103</v>
          </cell>
          <cell r="I29" t="str">
            <v>CF21829</v>
          </cell>
          <cell r="J29" t="str">
            <v>27ZB</v>
          </cell>
          <cell r="K29" t="str">
            <v>2</v>
          </cell>
          <cell r="L29">
            <v>7</v>
          </cell>
          <cell r="M29">
            <v>0</v>
          </cell>
          <cell r="N29">
            <v>3008.65</v>
          </cell>
          <cell r="O29" t="str">
            <v>M</v>
          </cell>
          <cell r="P29" t="str">
            <v>00000000</v>
          </cell>
          <cell r="Q29">
            <v>857</v>
          </cell>
          <cell r="R29">
            <v>434.58</v>
          </cell>
          <cell r="S29">
            <v>83.57</v>
          </cell>
          <cell r="T29">
            <v>383.6</v>
          </cell>
          <cell r="U29">
            <v>150.43</v>
          </cell>
          <cell r="V29">
            <v>69.59</v>
          </cell>
          <cell r="W29">
            <v>60.17</v>
          </cell>
          <cell r="X29">
            <v>24.86</v>
          </cell>
          <cell r="Y29">
            <v>0</v>
          </cell>
          <cell r="Z29">
            <v>93.23</v>
          </cell>
          <cell r="AA29">
            <v>77</v>
          </cell>
          <cell r="AB29">
            <v>96</v>
          </cell>
          <cell r="AC29">
            <v>80</v>
          </cell>
          <cell r="AD29">
            <v>13.49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Y29">
            <v>456302.28</v>
          </cell>
        </row>
        <row r="30">
          <cell r="A30">
            <v>2</v>
          </cell>
          <cell r="B30" t="str">
            <v>12</v>
          </cell>
          <cell r="C30" t="str">
            <v>000</v>
          </cell>
          <cell r="D30" t="str">
            <v>1</v>
          </cell>
          <cell r="E30" t="str">
            <v>101</v>
          </cell>
          <cell r="F30" t="str">
            <v>N000</v>
          </cell>
          <cell r="G30" t="str">
            <v>100</v>
          </cell>
          <cell r="H30" t="str">
            <v>1103</v>
          </cell>
          <cell r="I30" t="str">
            <v>CF21864</v>
          </cell>
          <cell r="J30" t="str">
            <v>27C</v>
          </cell>
          <cell r="K30" t="str">
            <v>1</v>
          </cell>
          <cell r="L30">
            <v>4</v>
          </cell>
          <cell r="M30">
            <v>0</v>
          </cell>
          <cell r="N30">
            <v>3268.2</v>
          </cell>
          <cell r="O30" t="str">
            <v>M</v>
          </cell>
          <cell r="P30" t="str">
            <v>00000000</v>
          </cell>
          <cell r="Q30">
            <v>4783.05</v>
          </cell>
          <cell r="R30">
            <v>472.07</v>
          </cell>
          <cell r="S30">
            <v>90.78</v>
          </cell>
          <cell r="T30">
            <v>416.7</v>
          </cell>
          <cell r="U30">
            <v>163.41</v>
          </cell>
          <cell r="V30">
            <v>144.91999999999999</v>
          </cell>
          <cell r="W30">
            <v>65.36</v>
          </cell>
          <cell r="X30">
            <v>41</v>
          </cell>
          <cell r="Y30">
            <v>0</v>
          </cell>
          <cell r="Z30">
            <v>174.64</v>
          </cell>
          <cell r="AA30">
            <v>77</v>
          </cell>
          <cell r="AB30">
            <v>0</v>
          </cell>
          <cell r="AC30">
            <v>0</v>
          </cell>
          <cell r="AD30">
            <v>13.49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Y30">
            <v>466109.76</v>
          </cell>
        </row>
        <row r="31">
          <cell r="A31">
            <v>2</v>
          </cell>
          <cell r="B31" t="str">
            <v>12</v>
          </cell>
          <cell r="C31" t="str">
            <v>000</v>
          </cell>
          <cell r="D31" t="str">
            <v>1</v>
          </cell>
          <cell r="E31" t="str">
            <v>101</v>
          </cell>
          <cell r="F31" t="str">
            <v>N000</v>
          </cell>
          <cell r="G31" t="str">
            <v>100</v>
          </cell>
          <cell r="H31" t="str">
            <v>1103</v>
          </cell>
          <cell r="I31" t="str">
            <v>CF21865</v>
          </cell>
          <cell r="J31" t="str">
            <v>27B</v>
          </cell>
          <cell r="K31" t="str">
            <v>1</v>
          </cell>
          <cell r="L31">
            <v>1</v>
          </cell>
          <cell r="M31">
            <v>0</v>
          </cell>
          <cell r="N31">
            <v>3222.2</v>
          </cell>
          <cell r="O31" t="str">
            <v>M</v>
          </cell>
          <cell r="P31" t="str">
            <v>00000000</v>
          </cell>
          <cell r="Q31">
            <v>3558.85</v>
          </cell>
          <cell r="R31">
            <v>465.43</v>
          </cell>
          <cell r="S31">
            <v>89.51</v>
          </cell>
          <cell r="T31">
            <v>410.83</v>
          </cell>
          <cell r="U31">
            <v>161.11000000000001</v>
          </cell>
          <cell r="V31">
            <v>122.06</v>
          </cell>
          <cell r="W31">
            <v>64.44</v>
          </cell>
          <cell r="X31">
            <v>46</v>
          </cell>
          <cell r="Y31">
            <v>0</v>
          </cell>
          <cell r="Z31">
            <v>149.18</v>
          </cell>
          <cell r="AA31">
            <v>77</v>
          </cell>
          <cell r="AB31">
            <v>0</v>
          </cell>
          <cell r="AC31">
            <v>0</v>
          </cell>
          <cell r="AD31">
            <v>13.49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Y31">
            <v>100561.2</v>
          </cell>
        </row>
        <row r="32">
          <cell r="A32">
            <v>2</v>
          </cell>
          <cell r="B32" t="str">
            <v>12</v>
          </cell>
          <cell r="C32" t="str">
            <v>000</v>
          </cell>
          <cell r="D32" t="str">
            <v>1</v>
          </cell>
          <cell r="E32" t="str">
            <v>101</v>
          </cell>
          <cell r="F32" t="str">
            <v>N000</v>
          </cell>
          <cell r="G32" t="str">
            <v>100</v>
          </cell>
          <cell r="H32" t="str">
            <v>1103</v>
          </cell>
          <cell r="I32" t="str">
            <v>CF21866</v>
          </cell>
          <cell r="J32" t="str">
            <v>27A</v>
          </cell>
          <cell r="K32" t="str">
            <v>1</v>
          </cell>
          <cell r="L32">
            <v>9</v>
          </cell>
          <cell r="M32">
            <v>0</v>
          </cell>
          <cell r="N32">
            <v>3185.4</v>
          </cell>
          <cell r="O32" t="str">
            <v>M</v>
          </cell>
          <cell r="P32" t="str">
            <v>00000000</v>
          </cell>
          <cell r="Q32">
            <v>2791.7</v>
          </cell>
          <cell r="R32">
            <v>460.11</v>
          </cell>
          <cell r="S32">
            <v>88.48</v>
          </cell>
          <cell r="T32">
            <v>406.14</v>
          </cell>
          <cell r="U32">
            <v>159.27000000000001</v>
          </cell>
          <cell r="V32">
            <v>107.59</v>
          </cell>
          <cell r="W32">
            <v>63.71</v>
          </cell>
          <cell r="X32">
            <v>27.33</v>
          </cell>
          <cell r="Y32">
            <v>0</v>
          </cell>
          <cell r="Z32">
            <v>132.6</v>
          </cell>
          <cell r="AA32">
            <v>77</v>
          </cell>
          <cell r="AB32">
            <v>0</v>
          </cell>
          <cell r="AC32">
            <v>0</v>
          </cell>
          <cell r="AD32">
            <v>13.49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Y32">
            <v>811384.56</v>
          </cell>
        </row>
        <row r="33">
          <cell r="A33">
            <v>2</v>
          </cell>
          <cell r="B33" t="str">
            <v>12</v>
          </cell>
          <cell r="C33" t="str">
            <v>000</v>
          </cell>
          <cell r="D33" t="str">
            <v>1</v>
          </cell>
          <cell r="E33" t="str">
            <v>101</v>
          </cell>
          <cell r="F33" t="str">
            <v>N000</v>
          </cell>
          <cell r="G33" t="str">
            <v>100</v>
          </cell>
          <cell r="H33" t="str">
            <v>1103</v>
          </cell>
          <cell r="I33" t="str">
            <v>CF21893</v>
          </cell>
          <cell r="J33" t="str">
            <v>27F</v>
          </cell>
          <cell r="K33" t="str">
            <v>1</v>
          </cell>
          <cell r="L33">
            <v>1</v>
          </cell>
          <cell r="M33">
            <v>0</v>
          </cell>
          <cell r="N33">
            <v>4311.3999999999996</v>
          </cell>
          <cell r="O33" t="str">
            <v>M</v>
          </cell>
          <cell r="P33" t="str">
            <v>00000000</v>
          </cell>
          <cell r="Q33">
            <v>11306.9</v>
          </cell>
          <cell r="R33">
            <v>622.76</v>
          </cell>
          <cell r="S33">
            <v>119.76</v>
          </cell>
          <cell r="T33">
            <v>549.70000000000005</v>
          </cell>
          <cell r="U33">
            <v>215.57</v>
          </cell>
          <cell r="V33">
            <v>281.13</v>
          </cell>
          <cell r="W33">
            <v>86.23</v>
          </cell>
          <cell r="X33">
            <v>0</v>
          </cell>
          <cell r="Y33">
            <v>780.91</v>
          </cell>
          <cell r="Z33">
            <v>328.76</v>
          </cell>
          <cell r="AA33">
            <v>77</v>
          </cell>
          <cell r="AB33">
            <v>0</v>
          </cell>
          <cell r="AC33">
            <v>0</v>
          </cell>
          <cell r="AD33">
            <v>13.49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Y33">
            <v>224323.32</v>
          </cell>
        </row>
        <row r="34">
          <cell r="A34">
            <v>2</v>
          </cell>
          <cell r="B34" t="str">
            <v>12</v>
          </cell>
          <cell r="C34" t="str">
            <v>000</v>
          </cell>
          <cell r="D34" t="str">
            <v>1</v>
          </cell>
          <cell r="E34" t="str">
            <v>101</v>
          </cell>
          <cell r="F34" t="str">
            <v>N000</v>
          </cell>
          <cell r="G34" t="str">
            <v>100</v>
          </cell>
          <cell r="H34" t="str">
            <v>1103</v>
          </cell>
          <cell r="I34" t="str">
            <v>CF33834</v>
          </cell>
          <cell r="J34" t="str">
            <v>27</v>
          </cell>
          <cell r="K34" t="str">
            <v>2</v>
          </cell>
          <cell r="L34">
            <v>2</v>
          </cell>
          <cell r="M34">
            <v>0</v>
          </cell>
          <cell r="N34">
            <v>2817.8</v>
          </cell>
          <cell r="O34" t="str">
            <v>M</v>
          </cell>
          <cell r="P34" t="str">
            <v>00000000</v>
          </cell>
          <cell r="Q34">
            <v>0</v>
          </cell>
          <cell r="R34">
            <v>407.02</v>
          </cell>
          <cell r="S34">
            <v>78.27</v>
          </cell>
          <cell r="T34">
            <v>359.27</v>
          </cell>
          <cell r="U34">
            <v>140.88999999999999</v>
          </cell>
          <cell r="V34">
            <v>50.72</v>
          </cell>
          <cell r="W34">
            <v>56.36</v>
          </cell>
          <cell r="X34">
            <v>46</v>
          </cell>
          <cell r="Y34">
            <v>0</v>
          </cell>
          <cell r="Z34">
            <v>72.040000000000006</v>
          </cell>
          <cell r="AA34">
            <v>77</v>
          </cell>
          <cell r="AB34">
            <v>96</v>
          </cell>
          <cell r="AC34">
            <v>80</v>
          </cell>
          <cell r="AD34">
            <v>13.49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Y34">
            <v>103076.64</v>
          </cell>
        </row>
        <row r="35">
          <cell r="A35">
            <v>2</v>
          </cell>
          <cell r="B35" t="str">
            <v>12</v>
          </cell>
          <cell r="C35" t="str">
            <v>000</v>
          </cell>
          <cell r="D35" t="str">
            <v>1</v>
          </cell>
          <cell r="E35" t="str">
            <v>101</v>
          </cell>
          <cell r="F35" t="str">
            <v>N000</v>
          </cell>
          <cell r="G35" t="str">
            <v>100</v>
          </cell>
          <cell r="H35" t="str">
            <v>1103</v>
          </cell>
          <cell r="I35" t="str">
            <v>CF33892</v>
          </cell>
          <cell r="J35" t="str">
            <v>27ZA</v>
          </cell>
          <cell r="K35" t="str">
            <v>2</v>
          </cell>
          <cell r="L35">
            <v>25</v>
          </cell>
          <cell r="M35">
            <v>0</v>
          </cell>
          <cell r="N35">
            <v>2982.9</v>
          </cell>
          <cell r="O35" t="str">
            <v>M</v>
          </cell>
          <cell r="P35" t="str">
            <v>00000000</v>
          </cell>
          <cell r="Q35">
            <v>579.4</v>
          </cell>
          <cell r="R35">
            <v>430.86</v>
          </cell>
          <cell r="S35">
            <v>82.86</v>
          </cell>
          <cell r="T35">
            <v>380.32</v>
          </cell>
          <cell r="U35">
            <v>149.15</v>
          </cell>
          <cell r="V35">
            <v>64.12</v>
          </cell>
          <cell r="W35">
            <v>59.66</v>
          </cell>
          <cell r="X35">
            <v>55.56</v>
          </cell>
          <cell r="Y35">
            <v>0</v>
          </cell>
          <cell r="Z35">
            <v>87.69</v>
          </cell>
          <cell r="AA35">
            <v>77</v>
          </cell>
          <cell r="AB35">
            <v>96</v>
          </cell>
          <cell r="AC35">
            <v>80</v>
          </cell>
          <cell r="AD35">
            <v>13.49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Y35">
            <v>1541703</v>
          </cell>
        </row>
        <row r="36">
          <cell r="A36">
            <v>2</v>
          </cell>
          <cell r="B36" t="str">
            <v>12</v>
          </cell>
          <cell r="C36" t="str">
            <v>000</v>
          </cell>
          <cell r="D36" t="str">
            <v>1</v>
          </cell>
          <cell r="E36" t="str">
            <v>101</v>
          </cell>
          <cell r="F36" t="str">
            <v>N000</v>
          </cell>
          <cell r="G36" t="str">
            <v>100</v>
          </cell>
          <cell r="H36" t="str">
            <v>1103</v>
          </cell>
          <cell r="I36" t="str">
            <v>CF34834</v>
          </cell>
          <cell r="J36" t="str">
            <v>27ZA</v>
          </cell>
          <cell r="K36" t="str">
            <v>2</v>
          </cell>
          <cell r="L36">
            <v>2</v>
          </cell>
          <cell r="M36">
            <v>0</v>
          </cell>
          <cell r="N36">
            <v>2982.9</v>
          </cell>
          <cell r="O36" t="str">
            <v>M</v>
          </cell>
          <cell r="P36" t="str">
            <v>00000000</v>
          </cell>
          <cell r="Q36">
            <v>579.4</v>
          </cell>
          <cell r="R36">
            <v>430.86</v>
          </cell>
          <cell r="S36">
            <v>82.86</v>
          </cell>
          <cell r="T36">
            <v>380.32</v>
          </cell>
          <cell r="U36">
            <v>149.15</v>
          </cell>
          <cell r="V36">
            <v>64.12</v>
          </cell>
          <cell r="W36">
            <v>59.66</v>
          </cell>
          <cell r="X36">
            <v>0</v>
          </cell>
          <cell r="Y36">
            <v>0</v>
          </cell>
          <cell r="Z36">
            <v>86.58</v>
          </cell>
          <cell r="AA36">
            <v>77</v>
          </cell>
          <cell r="AB36">
            <v>96</v>
          </cell>
          <cell r="AC36">
            <v>80</v>
          </cell>
          <cell r="AD36">
            <v>13.49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Y36">
            <v>121976.16</v>
          </cell>
        </row>
        <row r="37">
          <cell r="A37">
            <v>2</v>
          </cell>
          <cell r="B37" t="str">
            <v>12</v>
          </cell>
          <cell r="C37" t="str">
            <v>000</v>
          </cell>
          <cell r="D37" t="str">
            <v>1</v>
          </cell>
          <cell r="E37" t="str">
            <v>101</v>
          </cell>
          <cell r="F37" t="str">
            <v>N000</v>
          </cell>
          <cell r="G37" t="str">
            <v>100</v>
          </cell>
          <cell r="H37" t="str">
            <v>1103</v>
          </cell>
          <cell r="I37" t="str">
            <v>CF51001</v>
          </cell>
          <cell r="J37" t="str">
            <v>37</v>
          </cell>
          <cell r="K37" t="str">
            <v>1</v>
          </cell>
          <cell r="L37">
            <v>1</v>
          </cell>
          <cell r="M37">
            <v>0</v>
          </cell>
          <cell r="N37">
            <v>27644.05</v>
          </cell>
          <cell r="O37" t="str">
            <v>M</v>
          </cell>
          <cell r="P37" t="str">
            <v>00000000</v>
          </cell>
          <cell r="Q37">
            <v>124403.75</v>
          </cell>
          <cell r="R37">
            <v>3993.03</v>
          </cell>
          <cell r="S37">
            <v>767.89</v>
          </cell>
          <cell r="T37">
            <v>3524.62</v>
          </cell>
          <cell r="U37">
            <v>1382.2</v>
          </cell>
          <cell r="V37">
            <v>2736.86</v>
          </cell>
          <cell r="W37">
            <v>552.88</v>
          </cell>
          <cell r="X37">
            <v>82</v>
          </cell>
          <cell r="Y37">
            <v>7602.39</v>
          </cell>
          <cell r="Z37">
            <v>3139.35</v>
          </cell>
          <cell r="AA37">
            <v>77</v>
          </cell>
          <cell r="AB37">
            <v>0</v>
          </cell>
          <cell r="AC37">
            <v>0</v>
          </cell>
          <cell r="AD37">
            <v>13.49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Y37">
            <v>2111034.12</v>
          </cell>
        </row>
        <row r="38">
          <cell r="A38">
            <v>2</v>
          </cell>
          <cell r="B38" t="str">
            <v>12</v>
          </cell>
          <cell r="C38" t="str">
            <v>000</v>
          </cell>
          <cell r="D38" t="str">
            <v>1</v>
          </cell>
          <cell r="E38" t="str">
            <v>101</v>
          </cell>
          <cell r="F38" t="str">
            <v>N000</v>
          </cell>
          <cell r="G38" t="str">
            <v>100</v>
          </cell>
          <cell r="H38" t="str">
            <v>1103</v>
          </cell>
          <cell r="I38" t="str">
            <v>CF53805</v>
          </cell>
          <cell r="J38" t="str">
            <v>25</v>
          </cell>
          <cell r="K38" t="str">
            <v>2</v>
          </cell>
          <cell r="L38">
            <v>2</v>
          </cell>
          <cell r="M38">
            <v>0</v>
          </cell>
          <cell r="N38">
            <v>2572.4</v>
          </cell>
          <cell r="O38" t="str">
            <v>M</v>
          </cell>
          <cell r="P38" t="str">
            <v>00000000</v>
          </cell>
          <cell r="Q38">
            <v>0</v>
          </cell>
          <cell r="R38">
            <v>371.57</v>
          </cell>
          <cell r="S38">
            <v>71.459999999999994</v>
          </cell>
          <cell r="T38">
            <v>327.98</v>
          </cell>
          <cell r="U38">
            <v>128.62</v>
          </cell>
          <cell r="V38">
            <v>46.3</v>
          </cell>
          <cell r="W38">
            <v>51.45</v>
          </cell>
          <cell r="X38">
            <v>82</v>
          </cell>
          <cell r="Y38">
            <v>0</v>
          </cell>
          <cell r="Z38">
            <v>67.010000000000005</v>
          </cell>
          <cell r="AA38">
            <v>77</v>
          </cell>
          <cell r="AB38">
            <v>96</v>
          </cell>
          <cell r="AC38">
            <v>80</v>
          </cell>
          <cell r="AD38">
            <v>13.49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Y38">
            <v>95646.720000000001</v>
          </cell>
        </row>
        <row r="39">
          <cell r="A39">
            <v>2</v>
          </cell>
          <cell r="B39" t="str">
            <v>12</v>
          </cell>
          <cell r="C39" t="str">
            <v>000</v>
          </cell>
          <cell r="D39" t="str">
            <v>1</v>
          </cell>
          <cell r="E39" t="str">
            <v>101</v>
          </cell>
          <cell r="F39" t="str">
            <v>N000</v>
          </cell>
          <cell r="G39" t="str">
            <v>100</v>
          </cell>
          <cell r="H39" t="str">
            <v>1103</v>
          </cell>
          <cell r="I39" t="str">
            <v>CF53807</v>
          </cell>
          <cell r="J39" t="str">
            <v>27Z</v>
          </cell>
          <cell r="K39" t="str">
            <v>2</v>
          </cell>
          <cell r="L39">
            <v>6</v>
          </cell>
          <cell r="M39">
            <v>0</v>
          </cell>
          <cell r="N39">
            <v>2900.25</v>
          </cell>
          <cell r="O39" t="str">
            <v>M</v>
          </cell>
          <cell r="P39" t="str">
            <v>00000000</v>
          </cell>
          <cell r="Q39">
            <v>205.15</v>
          </cell>
          <cell r="R39">
            <v>418.93</v>
          </cell>
          <cell r="S39">
            <v>80.56</v>
          </cell>
          <cell r="T39">
            <v>369.78</v>
          </cell>
          <cell r="U39">
            <v>145.01</v>
          </cell>
          <cell r="V39">
            <v>55.89</v>
          </cell>
          <cell r="W39">
            <v>58.01</v>
          </cell>
          <cell r="X39">
            <v>75.83</v>
          </cell>
          <cell r="Y39">
            <v>0</v>
          </cell>
          <cell r="Z39">
            <v>78.67</v>
          </cell>
          <cell r="AA39">
            <v>77</v>
          </cell>
          <cell r="AB39">
            <v>96</v>
          </cell>
          <cell r="AC39">
            <v>80</v>
          </cell>
          <cell r="AD39">
            <v>13.49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Y39">
            <v>335129.03999999998</v>
          </cell>
        </row>
        <row r="40">
          <cell r="A40">
            <v>2</v>
          </cell>
          <cell r="B40" t="str">
            <v>12</v>
          </cell>
          <cell r="C40" t="str">
            <v>000</v>
          </cell>
          <cell r="D40" t="str">
            <v>1</v>
          </cell>
          <cell r="E40" t="str">
            <v>101</v>
          </cell>
          <cell r="F40" t="str">
            <v>N000</v>
          </cell>
          <cell r="G40" t="str">
            <v>109</v>
          </cell>
          <cell r="H40" t="str">
            <v>1103</v>
          </cell>
          <cell r="I40" t="str">
            <v>A01805</v>
          </cell>
          <cell r="J40" t="str">
            <v>21</v>
          </cell>
          <cell r="K40" t="str">
            <v>2</v>
          </cell>
          <cell r="L40">
            <v>1</v>
          </cell>
          <cell r="M40">
            <v>0</v>
          </cell>
          <cell r="N40">
            <v>2238.1999999999998</v>
          </cell>
          <cell r="O40" t="str">
            <v>M</v>
          </cell>
          <cell r="P40" t="str">
            <v>00000000</v>
          </cell>
          <cell r="Q40">
            <v>0</v>
          </cell>
          <cell r="R40">
            <v>323.3</v>
          </cell>
          <cell r="S40">
            <v>62.17</v>
          </cell>
          <cell r="T40">
            <v>285.37</v>
          </cell>
          <cell r="U40">
            <v>111.91</v>
          </cell>
          <cell r="V40">
            <v>40.29</v>
          </cell>
          <cell r="W40">
            <v>44.76</v>
          </cell>
          <cell r="X40">
            <v>46</v>
          </cell>
          <cell r="Y40">
            <v>0</v>
          </cell>
          <cell r="Z40">
            <v>58.45</v>
          </cell>
          <cell r="AA40">
            <v>77</v>
          </cell>
          <cell r="AB40">
            <v>96</v>
          </cell>
          <cell r="AC40">
            <v>80</v>
          </cell>
          <cell r="AD40">
            <v>13.49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Y40">
            <v>41723.279999999999</v>
          </cell>
        </row>
        <row r="41">
          <cell r="A41">
            <v>2</v>
          </cell>
          <cell r="B41" t="str">
            <v>12</v>
          </cell>
          <cell r="C41" t="str">
            <v>000</v>
          </cell>
          <cell r="D41" t="str">
            <v>1</v>
          </cell>
          <cell r="E41" t="str">
            <v>101</v>
          </cell>
          <cell r="F41" t="str">
            <v>N000</v>
          </cell>
          <cell r="G41" t="str">
            <v>109</v>
          </cell>
          <cell r="H41" t="str">
            <v>1103</v>
          </cell>
          <cell r="I41" t="str">
            <v>A01807</v>
          </cell>
          <cell r="J41" t="str">
            <v>27</v>
          </cell>
          <cell r="K41" t="str">
            <v>2</v>
          </cell>
          <cell r="L41">
            <v>2</v>
          </cell>
          <cell r="M41">
            <v>0</v>
          </cell>
          <cell r="N41">
            <v>2817.8</v>
          </cell>
          <cell r="O41" t="str">
            <v>M</v>
          </cell>
          <cell r="P41" t="str">
            <v>00000000</v>
          </cell>
          <cell r="Q41">
            <v>0</v>
          </cell>
          <cell r="R41">
            <v>407.02</v>
          </cell>
          <cell r="S41">
            <v>78.27</v>
          </cell>
          <cell r="T41">
            <v>359.27</v>
          </cell>
          <cell r="U41">
            <v>140.88999999999999</v>
          </cell>
          <cell r="V41">
            <v>50.72</v>
          </cell>
          <cell r="W41">
            <v>56.36</v>
          </cell>
          <cell r="X41">
            <v>95.5</v>
          </cell>
          <cell r="Y41">
            <v>0</v>
          </cell>
          <cell r="Z41">
            <v>73.03</v>
          </cell>
          <cell r="AA41">
            <v>77</v>
          </cell>
          <cell r="AB41">
            <v>96</v>
          </cell>
          <cell r="AC41">
            <v>80</v>
          </cell>
          <cell r="AD41">
            <v>13.49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Y41">
            <v>104288.4</v>
          </cell>
        </row>
        <row r="42">
          <cell r="A42">
            <v>2</v>
          </cell>
          <cell r="B42" t="str">
            <v>12</v>
          </cell>
          <cell r="C42" t="str">
            <v>000</v>
          </cell>
          <cell r="D42" t="str">
            <v>1</v>
          </cell>
          <cell r="E42" t="str">
            <v>101</v>
          </cell>
          <cell r="F42" t="str">
            <v>N000</v>
          </cell>
          <cell r="G42" t="str">
            <v>109</v>
          </cell>
          <cell r="H42" t="str">
            <v>1103</v>
          </cell>
          <cell r="I42" t="str">
            <v>CFMC03</v>
          </cell>
          <cell r="J42" t="str">
            <v>MC03</v>
          </cell>
          <cell r="K42" t="str">
            <v>1</v>
          </cell>
          <cell r="L42">
            <v>1</v>
          </cell>
          <cell r="M42">
            <v>0</v>
          </cell>
          <cell r="N42">
            <v>4311.3999999999996</v>
          </cell>
          <cell r="O42" t="str">
            <v>M</v>
          </cell>
          <cell r="P42" t="str">
            <v>00000000</v>
          </cell>
          <cell r="Q42">
            <v>11306.9</v>
          </cell>
          <cell r="R42">
            <v>622.76</v>
          </cell>
          <cell r="S42">
            <v>119.76</v>
          </cell>
          <cell r="T42">
            <v>549.70000000000005</v>
          </cell>
          <cell r="U42">
            <v>215.57</v>
          </cell>
          <cell r="V42">
            <v>281.13</v>
          </cell>
          <cell r="W42">
            <v>86.23</v>
          </cell>
          <cell r="X42">
            <v>82</v>
          </cell>
          <cell r="Y42">
            <v>780.91</v>
          </cell>
          <cell r="Z42">
            <v>330.4</v>
          </cell>
          <cell r="AA42">
            <v>77</v>
          </cell>
          <cell r="AB42">
            <v>0</v>
          </cell>
          <cell r="AC42">
            <v>0</v>
          </cell>
          <cell r="AD42">
            <v>13.49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Y42">
            <v>225327</v>
          </cell>
        </row>
        <row r="43">
          <cell r="A43">
            <v>2</v>
          </cell>
          <cell r="B43" t="str">
            <v>12</v>
          </cell>
          <cell r="C43" t="str">
            <v>000</v>
          </cell>
          <cell r="D43" t="str">
            <v>1</v>
          </cell>
          <cell r="E43" t="str">
            <v>101</v>
          </cell>
          <cell r="F43" t="str">
            <v>N000</v>
          </cell>
          <cell r="G43" t="str">
            <v>109</v>
          </cell>
          <cell r="H43" t="str">
            <v>1103</v>
          </cell>
          <cell r="I43" t="str">
            <v>CFMD03</v>
          </cell>
          <cell r="J43" t="str">
            <v>MD03</v>
          </cell>
          <cell r="K43" t="str">
            <v>1</v>
          </cell>
          <cell r="L43">
            <v>1</v>
          </cell>
          <cell r="M43">
            <v>0</v>
          </cell>
          <cell r="N43">
            <v>17749.650000000001</v>
          </cell>
          <cell r="O43" t="str">
            <v>M</v>
          </cell>
          <cell r="P43" t="str">
            <v>00000000</v>
          </cell>
          <cell r="Q43">
            <v>112763.9</v>
          </cell>
          <cell r="R43">
            <v>2563.84</v>
          </cell>
          <cell r="S43">
            <v>493.05</v>
          </cell>
          <cell r="T43">
            <v>2263.08</v>
          </cell>
          <cell r="U43">
            <v>887.48</v>
          </cell>
          <cell r="V43">
            <v>2349.2399999999998</v>
          </cell>
          <cell r="W43">
            <v>354.99</v>
          </cell>
          <cell r="X43">
            <v>0</v>
          </cell>
          <cell r="Y43">
            <v>6525.68</v>
          </cell>
          <cell r="Z43">
            <v>2672.95</v>
          </cell>
          <cell r="AA43">
            <v>77</v>
          </cell>
          <cell r="AB43">
            <v>0</v>
          </cell>
          <cell r="AC43">
            <v>0</v>
          </cell>
          <cell r="AD43">
            <v>13.49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Y43">
            <v>1784572.2</v>
          </cell>
        </row>
        <row r="44">
          <cell r="A44">
            <v>2</v>
          </cell>
          <cell r="B44" t="str">
            <v>12</v>
          </cell>
          <cell r="C44" t="str">
            <v>000</v>
          </cell>
          <cell r="D44" t="str">
            <v>1</v>
          </cell>
          <cell r="E44" t="str">
            <v>101</v>
          </cell>
          <cell r="F44" t="str">
            <v>N000</v>
          </cell>
          <cell r="G44" t="str">
            <v>109</v>
          </cell>
          <cell r="H44" t="str">
            <v>1103</v>
          </cell>
          <cell r="I44" t="str">
            <v>CFMG01</v>
          </cell>
          <cell r="J44" t="str">
            <v>MG01</v>
          </cell>
          <cell r="K44" t="str">
            <v>1</v>
          </cell>
          <cell r="L44">
            <v>1</v>
          </cell>
          <cell r="M44">
            <v>0</v>
          </cell>
          <cell r="N44">
            <v>9641.4</v>
          </cell>
          <cell r="O44" t="str">
            <v>M</v>
          </cell>
          <cell r="P44" t="str">
            <v>00000000</v>
          </cell>
          <cell r="Q44">
            <v>56872.15</v>
          </cell>
          <cell r="R44">
            <v>1392.65</v>
          </cell>
          <cell r="S44">
            <v>267.82</v>
          </cell>
          <cell r="T44">
            <v>1229.28</v>
          </cell>
          <cell r="U44">
            <v>482.07</v>
          </cell>
          <cell r="V44">
            <v>1197.25</v>
          </cell>
          <cell r="W44">
            <v>192.83</v>
          </cell>
          <cell r="X44">
            <v>109</v>
          </cell>
          <cell r="Y44">
            <v>3325.68</v>
          </cell>
          <cell r="Z44">
            <v>1367.2</v>
          </cell>
          <cell r="AA44">
            <v>77</v>
          </cell>
          <cell r="AB44">
            <v>0</v>
          </cell>
          <cell r="AC44">
            <v>0</v>
          </cell>
          <cell r="AD44">
            <v>13.49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Y44">
            <v>914013.84</v>
          </cell>
        </row>
        <row r="45">
          <cell r="A45">
            <v>2</v>
          </cell>
          <cell r="B45" t="str">
            <v>12</v>
          </cell>
          <cell r="C45" t="str">
            <v>000</v>
          </cell>
          <cell r="D45" t="str">
            <v>1</v>
          </cell>
          <cell r="E45" t="str">
            <v>101</v>
          </cell>
          <cell r="F45" t="str">
            <v>N000</v>
          </cell>
          <cell r="G45" t="str">
            <v>109</v>
          </cell>
          <cell r="H45" t="str">
            <v>1103</v>
          </cell>
          <cell r="I45" t="str">
            <v>CFMG06</v>
          </cell>
          <cell r="J45" t="str">
            <v>MG06</v>
          </cell>
          <cell r="K45" t="str">
            <v>1</v>
          </cell>
          <cell r="L45">
            <v>2</v>
          </cell>
          <cell r="M45">
            <v>0</v>
          </cell>
          <cell r="N45">
            <v>8232.25</v>
          </cell>
          <cell r="O45" t="str">
            <v>M</v>
          </cell>
          <cell r="P45" t="str">
            <v>00000000</v>
          </cell>
          <cell r="Q45">
            <v>38872.050000000003</v>
          </cell>
          <cell r="R45">
            <v>1189.0999999999999</v>
          </cell>
          <cell r="S45">
            <v>228.67</v>
          </cell>
          <cell r="T45">
            <v>1049.6099999999999</v>
          </cell>
          <cell r="U45">
            <v>411.61</v>
          </cell>
          <cell r="V45">
            <v>847.88</v>
          </cell>
          <cell r="W45">
            <v>164.65</v>
          </cell>
          <cell r="X45">
            <v>27.5</v>
          </cell>
          <cell r="Y45">
            <v>2355.2199999999998</v>
          </cell>
          <cell r="Z45">
            <v>972.53</v>
          </cell>
          <cell r="AA45">
            <v>77</v>
          </cell>
          <cell r="AB45">
            <v>0</v>
          </cell>
          <cell r="AC45">
            <v>0</v>
          </cell>
          <cell r="AD45">
            <v>13.49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Y45">
            <v>1306597.44</v>
          </cell>
        </row>
        <row r="46">
          <cell r="A46">
            <v>2</v>
          </cell>
          <cell r="B46" t="str">
            <v>12</v>
          </cell>
          <cell r="C46" t="str">
            <v>000</v>
          </cell>
          <cell r="D46" t="str">
            <v>1</v>
          </cell>
          <cell r="E46" t="str">
            <v>101</v>
          </cell>
          <cell r="F46" t="str">
            <v>N000</v>
          </cell>
          <cell r="G46" t="str">
            <v>109</v>
          </cell>
          <cell r="H46" t="str">
            <v>1103</v>
          </cell>
          <cell r="I46" t="str">
            <v>CFMS06</v>
          </cell>
          <cell r="J46" t="str">
            <v>MS06</v>
          </cell>
          <cell r="K46" t="str">
            <v>1</v>
          </cell>
          <cell r="L46">
            <v>1</v>
          </cell>
          <cell r="M46">
            <v>0</v>
          </cell>
          <cell r="N46">
            <v>4801.8999999999996</v>
          </cell>
          <cell r="O46" t="str">
            <v>M</v>
          </cell>
          <cell r="P46" t="str">
            <v>00000000</v>
          </cell>
          <cell r="Q46">
            <v>21723.85</v>
          </cell>
          <cell r="R46">
            <v>693.61</v>
          </cell>
          <cell r="S46">
            <v>133.38999999999999</v>
          </cell>
          <cell r="T46">
            <v>612.24</v>
          </cell>
          <cell r="U46">
            <v>240.09</v>
          </cell>
          <cell r="V46">
            <v>477.46</v>
          </cell>
          <cell r="W46">
            <v>96.04</v>
          </cell>
          <cell r="X46">
            <v>109</v>
          </cell>
          <cell r="Y46">
            <v>1326.29</v>
          </cell>
          <cell r="Z46">
            <v>550.77</v>
          </cell>
          <cell r="AA46">
            <v>77</v>
          </cell>
          <cell r="AB46">
            <v>0</v>
          </cell>
          <cell r="AC46">
            <v>0</v>
          </cell>
          <cell r="AD46">
            <v>13.49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Y46">
            <v>370261.56</v>
          </cell>
        </row>
        <row r="47">
          <cell r="A47">
            <v>2</v>
          </cell>
          <cell r="B47" t="str">
            <v>12</v>
          </cell>
          <cell r="C47" t="str">
            <v>000</v>
          </cell>
          <cell r="D47" t="str">
            <v>1</v>
          </cell>
          <cell r="E47" t="str">
            <v>101</v>
          </cell>
          <cell r="F47" t="str">
            <v>N000</v>
          </cell>
          <cell r="G47" t="str">
            <v>109</v>
          </cell>
          <cell r="H47" t="str">
            <v>1103</v>
          </cell>
          <cell r="I47" t="str">
            <v>CFMS08</v>
          </cell>
          <cell r="J47" t="str">
            <v>MS08</v>
          </cell>
          <cell r="K47" t="str">
            <v>1</v>
          </cell>
          <cell r="L47">
            <v>3</v>
          </cell>
          <cell r="M47">
            <v>0</v>
          </cell>
          <cell r="N47">
            <v>4801.8999999999996</v>
          </cell>
          <cell r="O47" t="str">
            <v>M</v>
          </cell>
          <cell r="P47" t="str">
            <v>00000000</v>
          </cell>
          <cell r="Q47">
            <v>18269.849999999999</v>
          </cell>
          <cell r="R47">
            <v>693.61</v>
          </cell>
          <cell r="S47">
            <v>133.38999999999999</v>
          </cell>
          <cell r="T47">
            <v>612.24</v>
          </cell>
          <cell r="U47">
            <v>240.09</v>
          </cell>
          <cell r="V47">
            <v>415.29</v>
          </cell>
          <cell r="W47">
            <v>96.04</v>
          </cell>
          <cell r="X47">
            <v>49</v>
          </cell>
          <cell r="Y47">
            <v>1153.5899999999999</v>
          </cell>
          <cell r="Z47">
            <v>480.5</v>
          </cell>
          <cell r="AA47">
            <v>77</v>
          </cell>
          <cell r="AB47">
            <v>0</v>
          </cell>
          <cell r="AC47">
            <v>0</v>
          </cell>
          <cell r="AD47">
            <v>13.49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Y47">
            <v>973295.64</v>
          </cell>
        </row>
        <row r="48">
          <cell r="A48">
            <v>2</v>
          </cell>
          <cell r="B48" t="str">
            <v>12</v>
          </cell>
          <cell r="C48" t="str">
            <v>000</v>
          </cell>
          <cell r="D48" t="str">
            <v>1</v>
          </cell>
          <cell r="E48" t="str">
            <v>101</v>
          </cell>
          <cell r="F48" t="str">
            <v>N000</v>
          </cell>
          <cell r="G48" t="str">
            <v>109</v>
          </cell>
          <cell r="H48" t="str">
            <v>1103</v>
          </cell>
          <cell r="I48" t="str">
            <v>T06803</v>
          </cell>
          <cell r="J48" t="str">
            <v>26</v>
          </cell>
          <cell r="K48" t="str">
            <v>2</v>
          </cell>
          <cell r="L48">
            <v>1</v>
          </cell>
          <cell r="M48">
            <v>0</v>
          </cell>
          <cell r="N48">
            <v>2692.2</v>
          </cell>
          <cell r="O48" t="str">
            <v>M</v>
          </cell>
          <cell r="P48" t="str">
            <v>00000000</v>
          </cell>
          <cell r="Q48">
            <v>0</v>
          </cell>
          <cell r="R48">
            <v>388.87</v>
          </cell>
          <cell r="S48">
            <v>74.78</v>
          </cell>
          <cell r="T48">
            <v>343.26</v>
          </cell>
          <cell r="U48">
            <v>134.61000000000001</v>
          </cell>
          <cell r="V48">
            <v>48.46</v>
          </cell>
          <cell r="W48">
            <v>53.84</v>
          </cell>
          <cell r="X48">
            <v>109</v>
          </cell>
          <cell r="Y48">
            <v>0</v>
          </cell>
          <cell r="Z48">
            <v>70.36</v>
          </cell>
          <cell r="AA48">
            <v>77</v>
          </cell>
          <cell r="AB48">
            <v>96</v>
          </cell>
          <cell r="AC48">
            <v>80</v>
          </cell>
          <cell r="AD48">
            <v>13.49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Y48">
            <v>50182.44</v>
          </cell>
        </row>
        <row r="49">
          <cell r="A49">
            <v>2</v>
          </cell>
          <cell r="B49" t="str">
            <v>12</v>
          </cell>
          <cell r="C49" t="str">
            <v>000</v>
          </cell>
          <cell r="D49" t="str">
            <v>1</v>
          </cell>
          <cell r="E49" t="str">
            <v>101</v>
          </cell>
          <cell r="F49" t="str">
            <v>N000</v>
          </cell>
          <cell r="G49" t="str">
            <v>109</v>
          </cell>
          <cell r="H49" t="str">
            <v>1103</v>
          </cell>
          <cell r="I49" t="str">
            <v>T06804</v>
          </cell>
          <cell r="J49" t="str">
            <v>27Z</v>
          </cell>
          <cell r="K49" t="str">
            <v>2</v>
          </cell>
          <cell r="L49">
            <v>2</v>
          </cell>
          <cell r="M49">
            <v>0</v>
          </cell>
          <cell r="N49">
            <v>2900.25</v>
          </cell>
          <cell r="O49" t="str">
            <v>M</v>
          </cell>
          <cell r="P49" t="str">
            <v>00000000</v>
          </cell>
          <cell r="Q49">
            <v>205.15</v>
          </cell>
          <cell r="R49">
            <v>418.93</v>
          </cell>
          <cell r="S49">
            <v>80.56</v>
          </cell>
          <cell r="T49">
            <v>369.78</v>
          </cell>
          <cell r="U49">
            <v>145.01</v>
          </cell>
          <cell r="V49">
            <v>55.89</v>
          </cell>
          <cell r="W49">
            <v>58.01</v>
          </cell>
          <cell r="X49">
            <v>23</v>
          </cell>
          <cell r="Y49">
            <v>0</v>
          </cell>
          <cell r="Z49">
            <v>77.62</v>
          </cell>
          <cell r="AA49">
            <v>77</v>
          </cell>
          <cell r="AB49">
            <v>96</v>
          </cell>
          <cell r="AC49">
            <v>80</v>
          </cell>
          <cell r="AD49">
            <v>13.49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Y49">
            <v>110416.56</v>
          </cell>
        </row>
        <row r="50">
          <cell r="A50">
            <v>2</v>
          </cell>
          <cell r="B50" t="str">
            <v>12</v>
          </cell>
          <cell r="C50" t="str">
            <v>000</v>
          </cell>
          <cell r="D50" t="str">
            <v>1</v>
          </cell>
          <cell r="E50" t="str">
            <v>101</v>
          </cell>
          <cell r="F50" t="str">
            <v>N000</v>
          </cell>
          <cell r="G50" t="str">
            <v>109</v>
          </cell>
          <cell r="H50" t="str">
            <v>1103</v>
          </cell>
          <cell r="I50" t="str">
            <v>CF01059</v>
          </cell>
          <cell r="J50" t="str">
            <v>28</v>
          </cell>
          <cell r="K50" t="str">
            <v>1</v>
          </cell>
          <cell r="L50">
            <v>1</v>
          </cell>
          <cell r="M50">
            <v>0</v>
          </cell>
          <cell r="N50">
            <v>3631.8</v>
          </cell>
          <cell r="O50" t="str">
            <v>M</v>
          </cell>
          <cell r="P50" t="str">
            <v>00000000</v>
          </cell>
          <cell r="Q50">
            <v>8731.1</v>
          </cell>
          <cell r="R50">
            <v>524.59</v>
          </cell>
          <cell r="S50">
            <v>100.88</v>
          </cell>
          <cell r="T50">
            <v>463.05</v>
          </cell>
          <cell r="U50">
            <v>181.59</v>
          </cell>
          <cell r="V50">
            <v>222.53</v>
          </cell>
          <cell r="W50">
            <v>72.64</v>
          </cell>
          <cell r="X50">
            <v>0</v>
          </cell>
          <cell r="Y50">
            <v>618.15</v>
          </cell>
          <cell r="Z50">
            <v>261.31</v>
          </cell>
          <cell r="AA50">
            <v>77</v>
          </cell>
          <cell r="AB50">
            <v>0</v>
          </cell>
          <cell r="AC50">
            <v>0</v>
          </cell>
          <cell r="AD50">
            <v>13.49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Y50">
            <v>178777.56</v>
          </cell>
        </row>
        <row r="51">
          <cell r="A51">
            <v>2</v>
          </cell>
          <cell r="B51" t="str">
            <v>12</v>
          </cell>
          <cell r="C51" t="str">
            <v>000</v>
          </cell>
          <cell r="D51" t="str">
            <v>1</v>
          </cell>
          <cell r="E51" t="str">
            <v>101</v>
          </cell>
          <cell r="F51" t="str">
            <v>N000</v>
          </cell>
          <cell r="G51" t="str">
            <v>109</v>
          </cell>
          <cell r="H51" t="str">
            <v>1103</v>
          </cell>
          <cell r="I51" t="str">
            <v>CF04806</v>
          </cell>
          <cell r="J51" t="str">
            <v>26</v>
          </cell>
          <cell r="K51" t="str">
            <v>2</v>
          </cell>
          <cell r="L51">
            <v>2</v>
          </cell>
          <cell r="M51">
            <v>0</v>
          </cell>
          <cell r="N51">
            <v>2692.2</v>
          </cell>
          <cell r="O51" t="str">
            <v>M</v>
          </cell>
          <cell r="P51" t="str">
            <v>00000000</v>
          </cell>
          <cell r="Q51">
            <v>0</v>
          </cell>
          <cell r="R51">
            <v>388.87</v>
          </cell>
          <cell r="S51">
            <v>74.78</v>
          </cell>
          <cell r="T51">
            <v>343.26</v>
          </cell>
          <cell r="U51">
            <v>134.61000000000001</v>
          </cell>
          <cell r="V51">
            <v>48.46</v>
          </cell>
          <cell r="W51">
            <v>53.84</v>
          </cell>
          <cell r="X51">
            <v>55</v>
          </cell>
          <cell r="Y51">
            <v>0</v>
          </cell>
          <cell r="Z51">
            <v>69.28</v>
          </cell>
          <cell r="AA51">
            <v>77</v>
          </cell>
          <cell r="AB51">
            <v>96</v>
          </cell>
          <cell r="AC51">
            <v>80</v>
          </cell>
          <cell r="AD51">
            <v>13.49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Y51">
            <v>99042.96</v>
          </cell>
        </row>
        <row r="52">
          <cell r="A52">
            <v>2</v>
          </cell>
          <cell r="B52" t="str">
            <v>12</v>
          </cell>
          <cell r="C52" t="str">
            <v>000</v>
          </cell>
          <cell r="D52" t="str">
            <v>1</v>
          </cell>
          <cell r="E52" t="str">
            <v>101</v>
          </cell>
          <cell r="F52" t="str">
            <v>N000</v>
          </cell>
          <cell r="G52" t="str">
            <v>109</v>
          </cell>
          <cell r="H52" t="str">
            <v>1103</v>
          </cell>
          <cell r="I52" t="str">
            <v>CF04808</v>
          </cell>
          <cell r="J52" t="str">
            <v>27ZA</v>
          </cell>
          <cell r="K52" t="str">
            <v>2</v>
          </cell>
          <cell r="L52">
            <v>3</v>
          </cell>
          <cell r="M52">
            <v>0</v>
          </cell>
          <cell r="N52">
            <v>2982.9</v>
          </cell>
          <cell r="O52" t="str">
            <v>M</v>
          </cell>
          <cell r="P52" t="str">
            <v>00000000</v>
          </cell>
          <cell r="Q52">
            <v>579.4</v>
          </cell>
          <cell r="R52">
            <v>430.86</v>
          </cell>
          <cell r="S52">
            <v>82.86</v>
          </cell>
          <cell r="T52">
            <v>380.32</v>
          </cell>
          <cell r="U52">
            <v>149.15</v>
          </cell>
          <cell r="V52">
            <v>64.12</v>
          </cell>
          <cell r="W52">
            <v>59.66</v>
          </cell>
          <cell r="X52">
            <v>30.67</v>
          </cell>
          <cell r="Y52">
            <v>0</v>
          </cell>
          <cell r="Z52">
            <v>87.19</v>
          </cell>
          <cell r="AA52">
            <v>77</v>
          </cell>
          <cell r="AB52">
            <v>96</v>
          </cell>
          <cell r="AC52">
            <v>80</v>
          </cell>
          <cell r="AD52">
            <v>13.49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Y52">
            <v>184090.32</v>
          </cell>
        </row>
        <row r="53">
          <cell r="A53">
            <v>2</v>
          </cell>
          <cell r="B53" t="str">
            <v>12</v>
          </cell>
          <cell r="C53" t="str">
            <v>000</v>
          </cell>
          <cell r="D53" t="str">
            <v>1</v>
          </cell>
          <cell r="E53" t="str">
            <v>101</v>
          </cell>
          <cell r="F53" t="str">
            <v>N000</v>
          </cell>
          <cell r="G53" t="str">
            <v>109</v>
          </cell>
          <cell r="H53" t="str">
            <v>1103</v>
          </cell>
          <cell r="I53" t="str">
            <v>CF21866</v>
          </cell>
          <cell r="J53" t="str">
            <v>27A</v>
          </cell>
          <cell r="K53" t="str">
            <v>1</v>
          </cell>
          <cell r="L53">
            <v>2</v>
          </cell>
          <cell r="M53">
            <v>0</v>
          </cell>
          <cell r="N53">
            <v>3185.4</v>
          </cell>
          <cell r="O53" t="str">
            <v>M</v>
          </cell>
          <cell r="P53" t="str">
            <v>00000000</v>
          </cell>
          <cell r="Q53">
            <v>2791.7</v>
          </cell>
          <cell r="R53">
            <v>460.11</v>
          </cell>
          <cell r="S53">
            <v>88.48</v>
          </cell>
          <cell r="T53">
            <v>406.14</v>
          </cell>
          <cell r="U53">
            <v>159.27000000000001</v>
          </cell>
          <cell r="V53">
            <v>107.59</v>
          </cell>
          <cell r="W53">
            <v>63.71</v>
          </cell>
          <cell r="X53">
            <v>41</v>
          </cell>
          <cell r="Y53">
            <v>0</v>
          </cell>
          <cell r="Z53">
            <v>132.87</v>
          </cell>
          <cell r="AA53">
            <v>77</v>
          </cell>
          <cell r="AB53">
            <v>0</v>
          </cell>
          <cell r="AC53">
            <v>0</v>
          </cell>
          <cell r="AD53">
            <v>13.49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Y53">
            <v>180642.24</v>
          </cell>
        </row>
        <row r="54">
          <cell r="A54">
            <v>2</v>
          </cell>
          <cell r="B54" t="str">
            <v>12</v>
          </cell>
          <cell r="C54" t="str">
            <v>000</v>
          </cell>
          <cell r="D54" t="str">
            <v>1</v>
          </cell>
          <cell r="E54" t="str">
            <v>101</v>
          </cell>
          <cell r="F54" t="str">
            <v>N000</v>
          </cell>
          <cell r="G54" t="str">
            <v>109</v>
          </cell>
          <cell r="H54" t="str">
            <v>1103</v>
          </cell>
          <cell r="I54" t="str">
            <v>CF21905</v>
          </cell>
          <cell r="J54" t="str">
            <v>27H</v>
          </cell>
          <cell r="K54" t="str">
            <v>1</v>
          </cell>
          <cell r="L54">
            <v>1</v>
          </cell>
          <cell r="M54">
            <v>0</v>
          </cell>
          <cell r="N54">
            <v>4311.3999999999996</v>
          </cell>
          <cell r="O54" t="str">
            <v>M</v>
          </cell>
          <cell r="P54" t="str">
            <v>00000000</v>
          </cell>
          <cell r="Q54">
            <v>15441.65</v>
          </cell>
          <cell r="R54">
            <v>622.76</v>
          </cell>
          <cell r="S54">
            <v>119.76</v>
          </cell>
          <cell r="T54">
            <v>549.70000000000005</v>
          </cell>
          <cell r="U54">
            <v>215.57</v>
          </cell>
          <cell r="V54">
            <v>355.56</v>
          </cell>
          <cell r="W54">
            <v>86.23</v>
          </cell>
          <cell r="X54">
            <v>0</v>
          </cell>
          <cell r="Y54">
            <v>987.65</v>
          </cell>
          <cell r="Z54">
            <v>411.45</v>
          </cell>
          <cell r="AA54">
            <v>77</v>
          </cell>
          <cell r="AB54">
            <v>0</v>
          </cell>
          <cell r="AC54">
            <v>0</v>
          </cell>
          <cell r="AD54">
            <v>13.49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Y54">
            <v>278306.64</v>
          </cell>
        </row>
        <row r="55">
          <cell r="A55">
            <v>2</v>
          </cell>
          <cell r="B55" t="str">
            <v>12</v>
          </cell>
          <cell r="C55" t="str">
            <v>000</v>
          </cell>
          <cell r="D55" t="str">
            <v>1</v>
          </cell>
          <cell r="E55" t="str">
            <v>101</v>
          </cell>
          <cell r="F55" t="str">
            <v>N000</v>
          </cell>
          <cell r="G55" t="str">
            <v>109</v>
          </cell>
          <cell r="H55" t="str">
            <v>1103</v>
          </cell>
          <cell r="I55" t="str">
            <v>CF33834</v>
          </cell>
          <cell r="J55" t="str">
            <v>27</v>
          </cell>
          <cell r="K55" t="str">
            <v>2</v>
          </cell>
          <cell r="L55">
            <v>1</v>
          </cell>
          <cell r="M55">
            <v>0</v>
          </cell>
          <cell r="N55">
            <v>2817.8</v>
          </cell>
          <cell r="O55" t="str">
            <v>M</v>
          </cell>
          <cell r="P55" t="str">
            <v>00000000</v>
          </cell>
          <cell r="Q55">
            <v>0</v>
          </cell>
          <cell r="R55">
            <v>407.02</v>
          </cell>
          <cell r="S55">
            <v>78.27</v>
          </cell>
          <cell r="T55">
            <v>359.27</v>
          </cell>
          <cell r="U55">
            <v>140.88999999999999</v>
          </cell>
          <cell r="V55">
            <v>50.72</v>
          </cell>
          <cell r="W55">
            <v>56.36</v>
          </cell>
          <cell r="X55">
            <v>0</v>
          </cell>
          <cell r="Y55">
            <v>0</v>
          </cell>
          <cell r="Z55">
            <v>71.12</v>
          </cell>
          <cell r="AA55">
            <v>77</v>
          </cell>
          <cell r="AB55">
            <v>96</v>
          </cell>
          <cell r="AC55">
            <v>80</v>
          </cell>
          <cell r="AD55">
            <v>13.49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Y55">
            <v>50975.28</v>
          </cell>
        </row>
        <row r="56">
          <cell r="A56">
            <v>2</v>
          </cell>
          <cell r="B56" t="str">
            <v>12</v>
          </cell>
          <cell r="C56" t="str">
            <v>000</v>
          </cell>
          <cell r="D56" t="str">
            <v>1</v>
          </cell>
          <cell r="E56" t="str">
            <v>101</v>
          </cell>
          <cell r="F56" t="str">
            <v>N000</v>
          </cell>
          <cell r="G56" t="str">
            <v>109</v>
          </cell>
          <cell r="H56" t="str">
            <v>1103</v>
          </cell>
          <cell r="I56" t="str">
            <v>CF33892</v>
          </cell>
          <cell r="J56" t="str">
            <v>27ZA</v>
          </cell>
          <cell r="K56" t="str">
            <v>2</v>
          </cell>
          <cell r="L56">
            <v>7</v>
          </cell>
          <cell r="M56">
            <v>0</v>
          </cell>
          <cell r="N56">
            <v>2982.9</v>
          </cell>
          <cell r="O56" t="str">
            <v>M</v>
          </cell>
          <cell r="P56" t="str">
            <v>00000000</v>
          </cell>
          <cell r="Q56">
            <v>579.4</v>
          </cell>
          <cell r="R56">
            <v>430.86</v>
          </cell>
          <cell r="S56">
            <v>82.86</v>
          </cell>
          <cell r="T56">
            <v>380.32</v>
          </cell>
          <cell r="U56">
            <v>149.15</v>
          </cell>
          <cell r="V56">
            <v>64.12</v>
          </cell>
          <cell r="W56">
            <v>59.66</v>
          </cell>
          <cell r="X56">
            <v>62.57</v>
          </cell>
          <cell r="Y56">
            <v>0</v>
          </cell>
          <cell r="Z56">
            <v>87.83</v>
          </cell>
          <cell r="AA56">
            <v>77</v>
          </cell>
          <cell r="AB56">
            <v>96</v>
          </cell>
          <cell r="AC56">
            <v>80</v>
          </cell>
          <cell r="AD56">
            <v>13.49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Y56">
            <v>432277.44</v>
          </cell>
        </row>
        <row r="57">
          <cell r="A57">
            <v>2</v>
          </cell>
          <cell r="B57" t="str">
            <v>12</v>
          </cell>
          <cell r="C57" t="str">
            <v>000</v>
          </cell>
          <cell r="D57" t="str">
            <v>1</v>
          </cell>
          <cell r="E57" t="str">
            <v>101</v>
          </cell>
          <cell r="F57" t="str">
            <v>N000</v>
          </cell>
          <cell r="G57" t="str">
            <v>109</v>
          </cell>
          <cell r="H57" t="str">
            <v>1103</v>
          </cell>
          <cell r="I57" t="str">
            <v>CF41040</v>
          </cell>
          <cell r="K57" t="str">
            <v>2</v>
          </cell>
          <cell r="L57">
            <v>2</v>
          </cell>
          <cell r="M57">
            <v>0</v>
          </cell>
          <cell r="N57">
            <v>7482</v>
          </cell>
          <cell r="O57" t="str">
            <v>M</v>
          </cell>
          <cell r="P57" t="str">
            <v>00000000</v>
          </cell>
          <cell r="Q57">
            <v>0</v>
          </cell>
          <cell r="R57">
            <v>1080.73</v>
          </cell>
          <cell r="S57">
            <v>207.83</v>
          </cell>
          <cell r="T57">
            <v>953.96</v>
          </cell>
          <cell r="U57">
            <v>374.1</v>
          </cell>
          <cell r="V57">
            <v>134.68</v>
          </cell>
          <cell r="W57">
            <v>149.63999999999999</v>
          </cell>
          <cell r="X57">
            <v>23</v>
          </cell>
          <cell r="Y57">
            <v>0</v>
          </cell>
          <cell r="Z57">
            <v>289.68</v>
          </cell>
          <cell r="AA57">
            <v>77</v>
          </cell>
          <cell r="AB57">
            <v>96</v>
          </cell>
          <cell r="AC57">
            <v>80</v>
          </cell>
          <cell r="AD57">
            <v>13.49</v>
          </cell>
          <cell r="AE57">
            <v>6.24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5431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Y57">
            <v>393584.4</v>
          </cell>
        </row>
        <row r="58">
          <cell r="A58">
            <v>2</v>
          </cell>
          <cell r="B58" t="str">
            <v>12</v>
          </cell>
          <cell r="C58" t="str">
            <v>000</v>
          </cell>
          <cell r="D58" t="str">
            <v>1</v>
          </cell>
          <cell r="E58" t="str">
            <v>101</v>
          </cell>
          <cell r="F58" t="str">
            <v>N000</v>
          </cell>
          <cell r="G58" t="str">
            <v>109</v>
          </cell>
          <cell r="H58" t="str">
            <v>1103</v>
          </cell>
          <cell r="I58" t="str">
            <v>CF53807</v>
          </cell>
          <cell r="J58" t="str">
            <v>27Z</v>
          </cell>
          <cell r="K58" t="str">
            <v>2</v>
          </cell>
          <cell r="L58">
            <v>1</v>
          </cell>
          <cell r="M58">
            <v>0</v>
          </cell>
          <cell r="N58">
            <v>2900.25</v>
          </cell>
          <cell r="O58" t="str">
            <v>M</v>
          </cell>
          <cell r="P58" t="str">
            <v>00000000</v>
          </cell>
          <cell r="Q58">
            <v>205.15</v>
          </cell>
          <cell r="R58">
            <v>418.93</v>
          </cell>
          <cell r="S58">
            <v>80.56</v>
          </cell>
          <cell r="T58">
            <v>369.78</v>
          </cell>
          <cell r="U58">
            <v>145.01</v>
          </cell>
          <cell r="V58">
            <v>55.89</v>
          </cell>
          <cell r="W58">
            <v>58.01</v>
          </cell>
          <cell r="X58">
            <v>82</v>
          </cell>
          <cell r="Y58">
            <v>0</v>
          </cell>
          <cell r="Z58">
            <v>78.8</v>
          </cell>
          <cell r="AA58">
            <v>77</v>
          </cell>
          <cell r="AB58">
            <v>96</v>
          </cell>
          <cell r="AC58">
            <v>80</v>
          </cell>
          <cell r="AD58">
            <v>13.49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Y58">
            <v>55930.44</v>
          </cell>
        </row>
        <row r="59">
          <cell r="A59">
            <v>2</v>
          </cell>
          <cell r="B59" t="str">
            <v>12</v>
          </cell>
          <cell r="C59" t="str">
            <v>000</v>
          </cell>
          <cell r="D59" t="str">
            <v>1</v>
          </cell>
          <cell r="E59" t="str">
            <v>102</v>
          </cell>
          <cell r="F59" t="str">
            <v>N000</v>
          </cell>
          <cell r="G59" t="str">
            <v>110</v>
          </cell>
          <cell r="H59" t="str">
            <v>1103</v>
          </cell>
          <cell r="I59" t="str">
            <v>A01803</v>
          </cell>
          <cell r="J59" t="str">
            <v>19</v>
          </cell>
          <cell r="K59" t="str">
            <v>2</v>
          </cell>
          <cell r="L59">
            <v>2</v>
          </cell>
          <cell r="M59">
            <v>0</v>
          </cell>
          <cell r="N59">
            <v>2120.3000000000002</v>
          </cell>
          <cell r="O59" t="str">
            <v>M</v>
          </cell>
          <cell r="P59" t="str">
            <v>00000000</v>
          </cell>
          <cell r="Q59">
            <v>0</v>
          </cell>
          <cell r="R59">
            <v>306.27</v>
          </cell>
          <cell r="S59">
            <v>58.9</v>
          </cell>
          <cell r="T59">
            <v>270.33999999999997</v>
          </cell>
          <cell r="U59">
            <v>106.02</v>
          </cell>
          <cell r="V59">
            <v>38.17</v>
          </cell>
          <cell r="W59">
            <v>42.41</v>
          </cell>
          <cell r="X59">
            <v>0</v>
          </cell>
          <cell r="Y59">
            <v>0</v>
          </cell>
          <cell r="Z59">
            <v>54.77</v>
          </cell>
          <cell r="AA59">
            <v>77</v>
          </cell>
          <cell r="AB59">
            <v>96</v>
          </cell>
          <cell r="AC59">
            <v>80</v>
          </cell>
          <cell r="AD59">
            <v>13.49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Y59">
            <v>78328.08</v>
          </cell>
        </row>
        <row r="60">
          <cell r="A60">
            <v>2</v>
          </cell>
          <cell r="B60" t="str">
            <v>12</v>
          </cell>
          <cell r="C60" t="str">
            <v>000</v>
          </cell>
          <cell r="D60" t="str">
            <v>1</v>
          </cell>
          <cell r="E60" t="str">
            <v>102</v>
          </cell>
          <cell r="F60" t="str">
            <v>N000</v>
          </cell>
          <cell r="G60" t="str">
            <v>110</v>
          </cell>
          <cell r="H60" t="str">
            <v>1103</v>
          </cell>
          <cell r="I60" t="str">
            <v>A01805</v>
          </cell>
          <cell r="J60" t="str">
            <v>21</v>
          </cell>
          <cell r="K60" t="str">
            <v>2</v>
          </cell>
          <cell r="L60">
            <v>5</v>
          </cell>
          <cell r="M60">
            <v>0</v>
          </cell>
          <cell r="N60">
            <v>2238.1999999999998</v>
          </cell>
          <cell r="O60" t="str">
            <v>M</v>
          </cell>
          <cell r="P60" t="str">
            <v>00000000</v>
          </cell>
          <cell r="Q60">
            <v>0</v>
          </cell>
          <cell r="R60">
            <v>323.3</v>
          </cell>
          <cell r="S60">
            <v>62.17</v>
          </cell>
          <cell r="T60">
            <v>285.37</v>
          </cell>
          <cell r="U60">
            <v>111.91</v>
          </cell>
          <cell r="V60">
            <v>40.29</v>
          </cell>
          <cell r="W60">
            <v>44.76</v>
          </cell>
          <cell r="X60">
            <v>18.399999999999999</v>
          </cell>
          <cell r="Y60">
            <v>0</v>
          </cell>
          <cell r="Z60">
            <v>57.9</v>
          </cell>
          <cell r="AA60">
            <v>77</v>
          </cell>
          <cell r="AB60">
            <v>96</v>
          </cell>
          <cell r="AC60">
            <v>80</v>
          </cell>
          <cell r="AD60">
            <v>13.49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Y60">
            <v>206927.4</v>
          </cell>
        </row>
        <row r="61">
          <cell r="A61">
            <v>2</v>
          </cell>
          <cell r="B61" t="str">
            <v>12</v>
          </cell>
          <cell r="C61" t="str">
            <v>000</v>
          </cell>
          <cell r="D61" t="str">
            <v>1</v>
          </cell>
          <cell r="E61" t="str">
            <v>102</v>
          </cell>
          <cell r="F61" t="str">
            <v>N000</v>
          </cell>
          <cell r="G61" t="str">
            <v>110</v>
          </cell>
          <cell r="H61" t="str">
            <v>1103</v>
          </cell>
          <cell r="I61" t="str">
            <v>A01806</v>
          </cell>
          <cell r="J61" t="str">
            <v>25</v>
          </cell>
          <cell r="K61" t="str">
            <v>2</v>
          </cell>
          <cell r="L61">
            <v>3</v>
          </cell>
          <cell r="M61">
            <v>0</v>
          </cell>
          <cell r="N61">
            <v>2572.4</v>
          </cell>
          <cell r="O61" t="str">
            <v>M</v>
          </cell>
          <cell r="P61" t="str">
            <v>00000000</v>
          </cell>
          <cell r="Q61">
            <v>0</v>
          </cell>
          <cell r="R61">
            <v>371.57</v>
          </cell>
          <cell r="S61">
            <v>71.459999999999994</v>
          </cell>
          <cell r="T61">
            <v>327.98</v>
          </cell>
          <cell r="U61">
            <v>128.62</v>
          </cell>
          <cell r="V61">
            <v>46.3</v>
          </cell>
          <cell r="W61">
            <v>51.45</v>
          </cell>
          <cell r="X61">
            <v>0</v>
          </cell>
          <cell r="Y61">
            <v>0</v>
          </cell>
          <cell r="Z61">
            <v>65.37</v>
          </cell>
          <cell r="AA61">
            <v>77</v>
          </cell>
          <cell r="AB61">
            <v>96</v>
          </cell>
          <cell r="AC61">
            <v>80</v>
          </cell>
          <cell r="AD61">
            <v>13.49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Y61">
            <v>140459.04</v>
          </cell>
        </row>
        <row r="62">
          <cell r="A62">
            <v>2</v>
          </cell>
          <cell r="B62" t="str">
            <v>12</v>
          </cell>
          <cell r="C62" t="str">
            <v>000</v>
          </cell>
          <cell r="D62" t="str">
            <v>1</v>
          </cell>
          <cell r="E62" t="str">
            <v>102</v>
          </cell>
          <cell r="F62" t="str">
            <v>N000</v>
          </cell>
          <cell r="G62" t="str">
            <v>110</v>
          </cell>
          <cell r="H62" t="str">
            <v>1103</v>
          </cell>
          <cell r="I62" t="str">
            <v>A01807</v>
          </cell>
          <cell r="J62" t="str">
            <v>27</v>
          </cell>
          <cell r="K62" t="str">
            <v>2</v>
          </cell>
          <cell r="L62">
            <v>17</v>
          </cell>
          <cell r="M62">
            <v>0</v>
          </cell>
          <cell r="N62">
            <v>2817.8</v>
          </cell>
          <cell r="O62" t="str">
            <v>M</v>
          </cell>
          <cell r="P62" t="str">
            <v>00000000</v>
          </cell>
          <cell r="Q62">
            <v>0</v>
          </cell>
          <cell r="R62">
            <v>407.02</v>
          </cell>
          <cell r="S62">
            <v>78.27</v>
          </cell>
          <cell r="T62">
            <v>359.27</v>
          </cell>
          <cell r="U62">
            <v>140.88999999999999</v>
          </cell>
          <cell r="V62">
            <v>50.72</v>
          </cell>
          <cell r="W62">
            <v>56.36</v>
          </cell>
          <cell r="X62">
            <v>22.71</v>
          </cell>
          <cell r="Y62">
            <v>0</v>
          </cell>
          <cell r="Z62">
            <v>71.58</v>
          </cell>
          <cell r="AA62">
            <v>77</v>
          </cell>
          <cell r="AB62">
            <v>96</v>
          </cell>
          <cell r="AC62">
            <v>80</v>
          </cell>
          <cell r="AD62">
            <v>13.49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Y62">
            <v>871306.44</v>
          </cell>
        </row>
        <row r="63">
          <cell r="A63">
            <v>2</v>
          </cell>
          <cell r="B63" t="str">
            <v>12</v>
          </cell>
          <cell r="C63" t="str">
            <v>000</v>
          </cell>
          <cell r="D63" t="str">
            <v>1</v>
          </cell>
          <cell r="E63" t="str">
            <v>102</v>
          </cell>
          <cell r="F63" t="str">
            <v>N000</v>
          </cell>
          <cell r="G63" t="str">
            <v>110</v>
          </cell>
          <cell r="H63" t="str">
            <v>1103</v>
          </cell>
          <cell r="I63" t="str">
            <v>A03803</v>
          </cell>
          <cell r="J63" t="str">
            <v>20</v>
          </cell>
          <cell r="K63" t="str">
            <v>2</v>
          </cell>
          <cell r="L63">
            <v>2</v>
          </cell>
          <cell r="M63">
            <v>0</v>
          </cell>
          <cell r="N63">
            <v>2138.85</v>
          </cell>
          <cell r="O63" t="str">
            <v>M</v>
          </cell>
          <cell r="P63" t="str">
            <v>00000000</v>
          </cell>
          <cell r="Q63">
            <v>0</v>
          </cell>
          <cell r="R63">
            <v>308.94</v>
          </cell>
          <cell r="S63">
            <v>59.41</v>
          </cell>
          <cell r="T63">
            <v>272.7</v>
          </cell>
          <cell r="U63">
            <v>106.94</v>
          </cell>
          <cell r="V63">
            <v>38.5</v>
          </cell>
          <cell r="W63">
            <v>42.78</v>
          </cell>
          <cell r="X63">
            <v>82</v>
          </cell>
          <cell r="Y63">
            <v>0</v>
          </cell>
          <cell r="Z63">
            <v>56.84</v>
          </cell>
          <cell r="AA63">
            <v>77</v>
          </cell>
          <cell r="AB63">
            <v>96</v>
          </cell>
          <cell r="AC63">
            <v>80</v>
          </cell>
          <cell r="AD63">
            <v>13.49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Y63">
            <v>80962.8</v>
          </cell>
        </row>
        <row r="64">
          <cell r="A64">
            <v>2</v>
          </cell>
          <cell r="B64" t="str">
            <v>12</v>
          </cell>
          <cell r="C64" t="str">
            <v>000</v>
          </cell>
          <cell r="D64" t="str">
            <v>1</v>
          </cell>
          <cell r="E64" t="str">
            <v>102</v>
          </cell>
          <cell r="F64" t="str">
            <v>N000</v>
          </cell>
          <cell r="G64" t="str">
            <v>110</v>
          </cell>
          <cell r="H64" t="str">
            <v>1103</v>
          </cell>
          <cell r="I64" t="str">
            <v>A03804</v>
          </cell>
          <cell r="J64" t="str">
            <v>23</v>
          </cell>
          <cell r="K64" t="str">
            <v>2</v>
          </cell>
          <cell r="L64">
            <v>5</v>
          </cell>
          <cell r="M64">
            <v>0</v>
          </cell>
          <cell r="N64">
            <v>2451.25</v>
          </cell>
          <cell r="O64" t="str">
            <v>M</v>
          </cell>
          <cell r="P64" t="str">
            <v>00000000</v>
          </cell>
          <cell r="Q64">
            <v>0</v>
          </cell>
          <cell r="R64">
            <v>354.07</v>
          </cell>
          <cell r="S64">
            <v>68.09</v>
          </cell>
          <cell r="T64">
            <v>312.52999999999997</v>
          </cell>
          <cell r="U64">
            <v>122.56</v>
          </cell>
          <cell r="V64">
            <v>44.12</v>
          </cell>
          <cell r="W64">
            <v>49.02</v>
          </cell>
          <cell r="X64">
            <v>51.2</v>
          </cell>
          <cell r="Y64">
            <v>0</v>
          </cell>
          <cell r="Z64">
            <v>63.55</v>
          </cell>
          <cell r="AA64">
            <v>77</v>
          </cell>
          <cell r="AB64">
            <v>96</v>
          </cell>
          <cell r="AC64">
            <v>80</v>
          </cell>
          <cell r="AD64">
            <v>13.49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Y64">
            <v>226972.79999999999</v>
          </cell>
        </row>
        <row r="65">
          <cell r="A65">
            <v>2</v>
          </cell>
          <cell r="B65" t="str">
            <v>12</v>
          </cell>
          <cell r="C65" t="str">
            <v>000</v>
          </cell>
          <cell r="D65" t="str">
            <v>1</v>
          </cell>
          <cell r="E65" t="str">
            <v>102</v>
          </cell>
          <cell r="F65" t="str">
            <v>N000</v>
          </cell>
          <cell r="G65" t="str">
            <v>110</v>
          </cell>
          <cell r="H65" t="str">
            <v>1103</v>
          </cell>
          <cell r="I65" t="str">
            <v>CFMC03</v>
          </cell>
          <cell r="J65" t="str">
            <v>MC03</v>
          </cell>
          <cell r="K65" t="str">
            <v>1</v>
          </cell>
          <cell r="L65">
            <v>3</v>
          </cell>
          <cell r="M65">
            <v>0</v>
          </cell>
          <cell r="N65">
            <v>4311.3999999999996</v>
          </cell>
          <cell r="O65" t="str">
            <v>M</v>
          </cell>
          <cell r="P65" t="str">
            <v>00000000</v>
          </cell>
          <cell r="Q65">
            <v>11306.9</v>
          </cell>
          <cell r="R65">
            <v>622.76</v>
          </cell>
          <cell r="S65">
            <v>119.76</v>
          </cell>
          <cell r="T65">
            <v>549.70000000000005</v>
          </cell>
          <cell r="U65">
            <v>215.57</v>
          </cell>
          <cell r="V65">
            <v>281.13</v>
          </cell>
          <cell r="W65">
            <v>86.23</v>
          </cell>
          <cell r="X65">
            <v>0</v>
          </cell>
          <cell r="Y65">
            <v>780.91</v>
          </cell>
          <cell r="Z65">
            <v>328.76</v>
          </cell>
          <cell r="AA65">
            <v>77</v>
          </cell>
          <cell r="AB65">
            <v>0</v>
          </cell>
          <cell r="AC65">
            <v>0</v>
          </cell>
          <cell r="AD65">
            <v>13.49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Y65">
            <v>672969.96</v>
          </cell>
        </row>
        <row r="66">
          <cell r="A66">
            <v>2</v>
          </cell>
          <cell r="B66" t="str">
            <v>12</v>
          </cell>
          <cell r="C66" t="str">
            <v>000</v>
          </cell>
          <cell r="D66" t="str">
            <v>1</v>
          </cell>
          <cell r="E66" t="str">
            <v>102</v>
          </cell>
          <cell r="F66" t="str">
            <v>N000</v>
          </cell>
          <cell r="G66" t="str">
            <v>110</v>
          </cell>
          <cell r="H66" t="str">
            <v>1103</v>
          </cell>
          <cell r="I66" t="str">
            <v>CFMD09</v>
          </cell>
          <cell r="J66" t="str">
            <v>MD09</v>
          </cell>
          <cell r="K66" t="str">
            <v>1</v>
          </cell>
          <cell r="L66">
            <v>1</v>
          </cell>
          <cell r="M66">
            <v>0</v>
          </cell>
          <cell r="N66">
            <v>14852.65</v>
          </cell>
          <cell r="O66" t="str">
            <v>M</v>
          </cell>
          <cell r="P66" t="str">
            <v>00000000</v>
          </cell>
          <cell r="Q66">
            <v>100991.65</v>
          </cell>
          <cell r="R66">
            <v>2145.38</v>
          </cell>
          <cell r="S66">
            <v>412.57</v>
          </cell>
          <cell r="T66">
            <v>1893.71</v>
          </cell>
          <cell r="U66">
            <v>742.63</v>
          </cell>
          <cell r="V66">
            <v>2085.1999999999998</v>
          </cell>
          <cell r="W66">
            <v>297.05</v>
          </cell>
          <cell r="X66">
            <v>136</v>
          </cell>
          <cell r="Y66">
            <v>5792.22</v>
          </cell>
          <cell r="Z66">
            <v>2372.3000000000002</v>
          </cell>
          <cell r="AA66">
            <v>77</v>
          </cell>
          <cell r="AB66">
            <v>0</v>
          </cell>
          <cell r="AC66">
            <v>0</v>
          </cell>
          <cell r="AD66">
            <v>13.49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Y66">
            <v>1581742.2</v>
          </cell>
        </row>
        <row r="67">
          <cell r="A67">
            <v>2</v>
          </cell>
          <cell r="B67" t="str">
            <v>12</v>
          </cell>
          <cell r="C67" t="str">
            <v>000</v>
          </cell>
          <cell r="D67" t="str">
            <v>1</v>
          </cell>
          <cell r="E67" t="str">
            <v>102</v>
          </cell>
          <cell r="F67" t="str">
            <v>N000</v>
          </cell>
          <cell r="G67" t="str">
            <v>110</v>
          </cell>
          <cell r="H67" t="str">
            <v>1103</v>
          </cell>
          <cell r="I67" t="str">
            <v>CFMG01</v>
          </cell>
          <cell r="J67" t="str">
            <v>MG01</v>
          </cell>
          <cell r="K67" t="str">
            <v>1</v>
          </cell>
          <cell r="L67">
            <v>2</v>
          </cell>
          <cell r="M67">
            <v>0</v>
          </cell>
          <cell r="N67">
            <v>9641.4</v>
          </cell>
          <cell r="O67" t="str">
            <v>M</v>
          </cell>
          <cell r="P67" t="str">
            <v>00000000</v>
          </cell>
          <cell r="Q67">
            <v>56872.15</v>
          </cell>
          <cell r="R67">
            <v>1392.65</v>
          </cell>
          <cell r="S67">
            <v>267.82</v>
          </cell>
          <cell r="T67">
            <v>1229.28</v>
          </cell>
          <cell r="U67">
            <v>482.07</v>
          </cell>
          <cell r="V67">
            <v>1197.25</v>
          </cell>
          <cell r="W67">
            <v>192.83</v>
          </cell>
          <cell r="X67">
            <v>0</v>
          </cell>
          <cell r="Y67">
            <v>3325.68</v>
          </cell>
          <cell r="Z67">
            <v>1365.02</v>
          </cell>
          <cell r="AA67">
            <v>77</v>
          </cell>
          <cell r="AB67">
            <v>0</v>
          </cell>
          <cell r="AC67">
            <v>0</v>
          </cell>
          <cell r="AD67">
            <v>13.49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Y67">
            <v>1825359.36</v>
          </cell>
        </row>
        <row r="68">
          <cell r="A68">
            <v>2</v>
          </cell>
          <cell r="B68" t="str">
            <v>12</v>
          </cell>
          <cell r="C68" t="str">
            <v>000</v>
          </cell>
          <cell r="D68" t="str">
            <v>1</v>
          </cell>
          <cell r="E68" t="str">
            <v>102</v>
          </cell>
          <cell r="F68" t="str">
            <v>N000</v>
          </cell>
          <cell r="G68" t="str">
            <v>110</v>
          </cell>
          <cell r="H68" t="str">
            <v>1103</v>
          </cell>
          <cell r="I68" t="str">
            <v>CFMG06</v>
          </cell>
          <cell r="J68" t="str">
            <v>MG06</v>
          </cell>
          <cell r="K68" t="str">
            <v>1</v>
          </cell>
          <cell r="L68">
            <v>3</v>
          </cell>
          <cell r="M68">
            <v>0</v>
          </cell>
          <cell r="N68">
            <v>8232.25</v>
          </cell>
          <cell r="O68" t="str">
            <v>M</v>
          </cell>
          <cell r="P68" t="str">
            <v>00000000</v>
          </cell>
          <cell r="Q68">
            <v>38872.050000000003</v>
          </cell>
          <cell r="R68">
            <v>1189.0999999999999</v>
          </cell>
          <cell r="S68">
            <v>228.67</v>
          </cell>
          <cell r="T68">
            <v>1049.6099999999999</v>
          </cell>
          <cell r="U68">
            <v>411.61</v>
          </cell>
          <cell r="V68">
            <v>847.88</v>
          </cell>
          <cell r="W68">
            <v>164.65</v>
          </cell>
          <cell r="X68">
            <v>0</v>
          </cell>
          <cell r="Y68">
            <v>2355.2199999999998</v>
          </cell>
          <cell r="Z68">
            <v>971.98</v>
          </cell>
          <cell r="AA68">
            <v>77</v>
          </cell>
          <cell r="AB68">
            <v>0</v>
          </cell>
          <cell r="AC68">
            <v>0</v>
          </cell>
          <cell r="AD68">
            <v>13.49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Y68">
            <v>1958886.36</v>
          </cell>
        </row>
        <row r="69">
          <cell r="A69">
            <v>2</v>
          </cell>
          <cell r="B69" t="str">
            <v>12</v>
          </cell>
          <cell r="C69" t="str">
            <v>000</v>
          </cell>
          <cell r="D69" t="str">
            <v>1</v>
          </cell>
          <cell r="E69" t="str">
            <v>102</v>
          </cell>
          <cell r="F69" t="str">
            <v>N000</v>
          </cell>
          <cell r="G69" t="str">
            <v>110</v>
          </cell>
          <cell r="H69" t="str">
            <v>1103</v>
          </cell>
          <cell r="I69" t="str">
            <v>CFMS06</v>
          </cell>
          <cell r="J69" t="str">
            <v>MS06</v>
          </cell>
          <cell r="K69" t="str">
            <v>1</v>
          </cell>
          <cell r="L69">
            <v>1</v>
          </cell>
          <cell r="M69">
            <v>0</v>
          </cell>
          <cell r="N69">
            <v>4801.8999999999996</v>
          </cell>
          <cell r="O69" t="str">
            <v>M</v>
          </cell>
          <cell r="P69" t="str">
            <v>00000000</v>
          </cell>
          <cell r="Q69">
            <v>21723.85</v>
          </cell>
          <cell r="R69">
            <v>693.61</v>
          </cell>
          <cell r="S69">
            <v>133.38999999999999</v>
          </cell>
          <cell r="T69">
            <v>612.24</v>
          </cell>
          <cell r="U69">
            <v>240.09</v>
          </cell>
          <cell r="V69">
            <v>477.46</v>
          </cell>
          <cell r="W69">
            <v>96.04</v>
          </cell>
          <cell r="X69">
            <v>0</v>
          </cell>
          <cell r="Y69">
            <v>1326.29</v>
          </cell>
          <cell r="Z69">
            <v>548.6</v>
          </cell>
          <cell r="AA69">
            <v>77</v>
          </cell>
          <cell r="AB69">
            <v>0</v>
          </cell>
          <cell r="AC69">
            <v>0</v>
          </cell>
          <cell r="AD69">
            <v>13.49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Y69">
            <v>368927.52</v>
          </cell>
        </row>
        <row r="70">
          <cell r="A70">
            <v>2</v>
          </cell>
          <cell r="B70" t="str">
            <v>12</v>
          </cell>
          <cell r="C70" t="str">
            <v>000</v>
          </cell>
          <cell r="D70" t="str">
            <v>1</v>
          </cell>
          <cell r="E70" t="str">
            <v>102</v>
          </cell>
          <cell r="F70" t="str">
            <v>N000</v>
          </cell>
          <cell r="G70" t="str">
            <v>110</v>
          </cell>
          <cell r="H70" t="str">
            <v>1103</v>
          </cell>
          <cell r="I70" t="str">
            <v>CFMS08</v>
          </cell>
          <cell r="J70" t="str">
            <v>MS08</v>
          </cell>
          <cell r="K70" t="str">
            <v>1</v>
          </cell>
          <cell r="L70">
            <v>7</v>
          </cell>
          <cell r="M70">
            <v>0</v>
          </cell>
          <cell r="N70">
            <v>4801.8999999999996</v>
          </cell>
          <cell r="O70" t="str">
            <v>M</v>
          </cell>
          <cell r="P70" t="str">
            <v>00000000</v>
          </cell>
          <cell r="Q70">
            <v>18269.849999999999</v>
          </cell>
          <cell r="R70">
            <v>693.61</v>
          </cell>
          <cell r="S70">
            <v>133.38999999999999</v>
          </cell>
          <cell r="T70">
            <v>612.24</v>
          </cell>
          <cell r="U70">
            <v>240.09</v>
          </cell>
          <cell r="V70">
            <v>415.29</v>
          </cell>
          <cell r="W70">
            <v>96.04</v>
          </cell>
          <cell r="X70">
            <v>6.57</v>
          </cell>
          <cell r="Y70">
            <v>1153.5899999999999</v>
          </cell>
          <cell r="Z70">
            <v>479.65</v>
          </cell>
          <cell r="AA70">
            <v>77</v>
          </cell>
          <cell r="AB70">
            <v>0</v>
          </cell>
          <cell r="AC70">
            <v>0</v>
          </cell>
          <cell r="AD70">
            <v>13.49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Y70">
            <v>2267387.64</v>
          </cell>
        </row>
        <row r="71">
          <cell r="A71">
            <v>2</v>
          </cell>
          <cell r="B71" t="str">
            <v>12</v>
          </cell>
          <cell r="C71" t="str">
            <v>000</v>
          </cell>
          <cell r="D71" t="str">
            <v>1</v>
          </cell>
          <cell r="E71" t="str">
            <v>102</v>
          </cell>
          <cell r="F71" t="str">
            <v>N000</v>
          </cell>
          <cell r="G71" t="str">
            <v>110</v>
          </cell>
          <cell r="H71" t="str">
            <v>1103</v>
          </cell>
          <cell r="I71" t="str">
            <v>M01008</v>
          </cell>
          <cell r="K71" t="str">
            <v>2</v>
          </cell>
          <cell r="L71">
            <v>1</v>
          </cell>
          <cell r="M71">
            <v>0</v>
          </cell>
          <cell r="N71">
            <v>5546</v>
          </cell>
          <cell r="O71" t="str">
            <v>M</v>
          </cell>
          <cell r="P71" t="str">
            <v>00000000</v>
          </cell>
          <cell r="Q71">
            <v>0</v>
          </cell>
          <cell r="R71">
            <v>801.09</v>
          </cell>
          <cell r="S71">
            <v>154.06</v>
          </cell>
          <cell r="T71">
            <v>707.12</v>
          </cell>
          <cell r="U71">
            <v>277.3</v>
          </cell>
          <cell r="V71">
            <v>99.83</v>
          </cell>
          <cell r="W71">
            <v>110.92</v>
          </cell>
          <cell r="X71">
            <v>0</v>
          </cell>
          <cell r="Y71">
            <v>0</v>
          </cell>
          <cell r="Z71">
            <v>250.26</v>
          </cell>
          <cell r="AA71">
            <v>77</v>
          </cell>
          <cell r="AB71">
            <v>96</v>
          </cell>
          <cell r="AC71">
            <v>80</v>
          </cell>
          <cell r="AD71">
            <v>13.49</v>
          </cell>
          <cell r="AE71">
            <v>4.62</v>
          </cell>
          <cell r="AF71">
            <v>0</v>
          </cell>
          <cell r="AG71">
            <v>0</v>
          </cell>
          <cell r="AH71">
            <v>2739</v>
          </cell>
          <cell r="AI71">
            <v>0</v>
          </cell>
          <cell r="AJ71">
            <v>3015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Y71">
            <v>167660.28</v>
          </cell>
        </row>
        <row r="72">
          <cell r="A72">
            <v>2</v>
          </cell>
          <cell r="B72" t="str">
            <v>12</v>
          </cell>
          <cell r="C72" t="str">
            <v>000</v>
          </cell>
          <cell r="D72" t="str">
            <v>1</v>
          </cell>
          <cell r="E72" t="str">
            <v>102</v>
          </cell>
          <cell r="F72" t="str">
            <v>N000</v>
          </cell>
          <cell r="G72" t="str">
            <v>110</v>
          </cell>
          <cell r="H72" t="str">
            <v>1103</v>
          </cell>
          <cell r="I72" t="str">
            <v>M02003</v>
          </cell>
          <cell r="K72" t="str">
            <v>2</v>
          </cell>
          <cell r="L72">
            <v>1</v>
          </cell>
          <cell r="M72">
            <v>0</v>
          </cell>
          <cell r="N72">
            <v>2868</v>
          </cell>
          <cell r="O72" t="str">
            <v>M</v>
          </cell>
          <cell r="P72" t="str">
            <v>00000000</v>
          </cell>
          <cell r="Q72">
            <v>0</v>
          </cell>
          <cell r="R72">
            <v>414.27</v>
          </cell>
          <cell r="S72">
            <v>79.67</v>
          </cell>
          <cell r="T72">
            <v>365.67</v>
          </cell>
          <cell r="U72">
            <v>143.4</v>
          </cell>
          <cell r="V72">
            <v>51.62</v>
          </cell>
          <cell r="W72">
            <v>57.36</v>
          </cell>
          <cell r="X72">
            <v>82</v>
          </cell>
          <cell r="Y72">
            <v>0</v>
          </cell>
          <cell r="Z72">
            <v>100.81</v>
          </cell>
          <cell r="AA72">
            <v>77</v>
          </cell>
          <cell r="AB72">
            <v>96</v>
          </cell>
          <cell r="AC72">
            <v>80</v>
          </cell>
          <cell r="AD72">
            <v>13.49</v>
          </cell>
          <cell r="AE72">
            <v>2.39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1341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Y72">
            <v>69272.160000000003</v>
          </cell>
        </row>
        <row r="73">
          <cell r="A73">
            <v>2</v>
          </cell>
          <cell r="B73" t="str">
            <v>12</v>
          </cell>
          <cell r="C73" t="str">
            <v>000</v>
          </cell>
          <cell r="D73" t="str">
            <v>1</v>
          </cell>
          <cell r="E73" t="str">
            <v>102</v>
          </cell>
          <cell r="F73" t="str">
            <v>N000</v>
          </cell>
          <cell r="G73" t="str">
            <v>110</v>
          </cell>
          <cell r="H73" t="str">
            <v>1103</v>
          </cell>
          <cell r="I73" t="str">
            <v>S01811</v>
          </cell>
          <cell r="J73" t="str">
            <v>25</v>
          </cell>
          <cell r="K73" t="str">
            <v>2</v>
          </cell>
          <cell r="L73">
            <v>3</v>
          </cell>
          <cell r="M73">
            <v>0</v>
          </cell>
          <cell r="N73">
            <v>2572.4</v>
          </cell>
          <cell r="O73" t="str">
            <v>M</v>
          </cell>
          <cell r="P73" t="str">
            <v>00000000</v>
          </cell>
          <cell r="Q73">
            <v>0</v>
          </cell>
          <cell r="R73">
            <v>371.57</v>
          </cell>
          <cell r="S73">
            <v>71.459999999999994</v>
          </cell>
          <cell r="T73">
            <v>327.98</v>
          </cell>
          <cell r="U73">
            <v>128.62</v>
          </cell>
          <cell r="V73">
            <v>46.3</v>
          </cell>
          <cell r="W73">
            <v>51.45</v>
          </cell>
          <cell r="X73">
            <v>0</v>
          </cell>
          <cell r="Y73">
            <v>0</v>
          </cell>
          <cell r="Z73">
            <v>65.37</v>
          </cell>
          <cell r="AA73">
            <v>77</v>
          </cell>
          <cell r="AB73">
            <v>96</v>
          </cell>
          <cell r="AC73">
            <v>80</v>
          </cell>
          <cell r="AD73">
            <v>13.49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Y73">
            <v>140459.04</v>
          </cell>
        </row>
        <row r="74">
          <cell r="A74">
            <v>2</v>
          </cell>
          <cell r="B74" t="str">
            <v>12</v>
          </cell>
          <cell r="C74" t="str">
            <v>000</v>
          </cell>
          <cell r="D74" t="str">
            <v>1</v>
          </cell>
          <cell r="E74" t="str">
            <v>102</v>
          </cell>
          <cell r="F74" t="str">
            <v>N000</v>
          </cell>
          <cell r="G74" t="str">
            <v>110</v>
          </cell>
          <cell r="H74" t="str">
            <v>1103</v>
          </cell>
          <cell r="I74" t="str">
            <v>S08802</v>
          </cell>
          <cell r="J74" t="str">
            <v>21</v>
          </cell>
          <cell r="K74" t="str">
            <v>2</v>
          </cell>
          <cell r="L74">
            <v>1</v>
          </cell>
          <cell r="M74">
            <v>0</v>
          </cell>
          <cell r="N74">
            <v>2238.1999999999998</v>
          </cell>
          <cell r="O74" t="str">
            <v>M</v>
          </cell>
          <cell r="P74" t="str">
            <v>00000000</v>
          </cell>
          <cell r="Q74">
            <v>0</v>
          </cell>
          <cell r="R74">
            <v>323.3</v>
          </cell>
          <cell r="S74">
            <v>62.17</v>
          </cell>
          <cell r="T74">
            <v>285.37</v>
          </cell>
          <cell r="U74">
            <v>111.91</v>
          </cell>
          <cell r="V74">
            <v>40.29</v>
          </cell>
          <cell r="W74">
            <v>44.76</v>
          </cell>
          <cell r="X74">
            <v>0</v>
          </cell>
          <cell r="Y74">
            <v>0</v>
          </cell>
          <cell r="Z74">
            <v>57.53</v>
          </cell>
          <cell r="AA74">
            <v>77</v>
          </cell>
          <cell r="AB74">
            <v>96</v>
          </cell>
          <cell r="AC74">
            <v>80</v>
          </cell>
          <cell r="AD74">
            <v>13.49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Y74">
            <v>41160.239999999998</v>
          </cell>
        </row>
        <row r="75">
          <cell r="A75">
            <v>2</v>
          </cell>
          <cell r="B75" t="str">
            <v>12</v>
          </cell>
          <cell r="C75" t="str">
            <v>000</v>
          </cell>
          <cell r="D75" t="str">
            <v>1</v>
          </cell>
          <cell r="E75" t="str">
            <v>102</v>
          </cell>
          <cell r="F75" t="str">
            <v>N000</v>
          </cell>
          <cell r="G75" t="str">
            <v>110</v>
          </cell>
          <cell r="H75" t="str">
            <v>1103</v>
          </cell>
          <cell r="I75" t="str">
            <v>T03803</v>
          </cell>
          <cell r="J75" t="str">
            <v>22</v>
          </cell>
          <cell r="K75" t="str">
            <v>2</v>
          </cell>
          <cell r="L75">
            <v>2</v>
          </cell>
          <cell r="M75">
            <v>0</v>
          </cell>
          <cell r="N75">
            <v>2342.3000000000002</v>
          </cell>
          <cell r="O75" t="str">
            <v>M</v>
          </cell>
          <cell r="P75" t="str">
            <v>00000000</v>
          </cell>
          <cell r="Q75">
            <v>0</v>
          </cell>
          <cell r="R75">
            <v>338.33</v>
          </cell>
          <cell r="S75">
            <v>65.06</v>
          </cell>
          <cell r="T75">
            <v>298.64</v>
          </cell>
          <cell r="U75">
            <v>117.12</v>
          </cell>
          <cell r="V75">
            <v>42.16</v>
          </cell>
          <cell r="W75">
            <v>46.85</v>
          </cell>
          <cell r="X75">
            <v>27.5</v>
          </cell>
          <cell r="Y75">
            <v>0</v>
          </cell>
          <cell r="Z75">
            <v>60.52</v>
          </cell>
          <cell r="AA75">
            <v>77</v>
          </cell>
          <cell r="AB75">
            <v>96</v>
          </cell>
          <cell r="AC75">
            <v>80</v>
          </cell>
          <cell r="AD75">
            <v>13.49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Y75">
            <v>86519.28</v>
          </cell>
        </row>
        <row r="76">
          <cell r="A76">
            <v>2</v>
          </cell>
          <cell r="B76" t="str">
            <v>12</v>
          </cell>
          <cell r="C76" t="str">
            <v>000</v>
          </cell>
          <cell r="D76" t="str">
            <v>1</v>
          </cell>
          <cell r="E76" t="str">
            <v>102</v>
          </cell>
          <cell r="F76" t="str">
            <v>N000</v>
          </cell>
          <cell r="G76" t="str">
            <v>110</v>
          </cell>
          <cell r="H76" t="str">
            <v>1103</v>
          </cell>
          <cell r="I76" t="str">
            <v>T03804</v>
          </cell>
          <cell r="J76" t="str">
            <v>25</v>
          </cell>
          <cell r="K76" t="str">
            <v>2</v>
          </cell>
          <cell r="L76">
            <v>2</v>
          </cell>
          <cell r="M76">
            <v>0</v>
          </cell>
          <cell r="N76">
            <v>2572.4</v>
          </cell>
          <cell r="O76" t="str">
            <v>M</v>
          </cell>
          <cell r="P76" t="str">
            <v>00000000</v>
          </cell>
          <cell r="Q76">
            <v>0</v>
          </cell>
          <cell r="R76">
            <v>371.57</v>
          </cell>
          <cell r="S76">
            <v>71.459999999999994</v>
          </cell>
          <cell r="T76">
            <v>327.98</v>
          </cell>
          <cell r="U76">
            <v>128.62</v>
          </cell>
          <cell r="V76">
            <v>46.3</v>
          </cell>
          <cell r="W76">
            <v>51.45</v>
          </cell>
          <cell r="X76">
            <v>0</v>
          </cell>
          <cell r="Y76">
            <v>0</v>
          </cell>
          <cell r="Z76">
            <v>65.37</v>
          </cell>
          <cell r="AA76">
            <v>77</v>
          </cell>
          <cell r="AB76">
            <v>96</v>
          </cell>
          <cell r="AC76">
            <v>80</v>
          </cell>
          <cell r="AD76">
            <v>13.49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Y76">
            <v>93639.360000000001</v>
          </cell>
        </row>
        <row r="77">
          <cell r="A77">
            <v>2</v>
          </cell>
          <cell r="B77" t="str">
            <v>12</v>
          </cell>
          <cell r="C77" t="str">
            <v>000</v>
          </cell>
          <cell r="D77" t="str">
            <v>1</v>
          </cell>
          <cell r="E77" t="str">
            <v>102</v>
          </cell>
          <cell r="F77" t="str">
            <v>N000</v>
          </cell>
          <cell r="G77" t="str">
            <v>110</v>
          </cell>
          <cell r="H77" t="str">
            <v>1103</v>
          </cell>
          <cell r="I77" t="str">
            <v>CF01059</v>
          </cell>
          <cell r="J77" t="str">
            <v>28</v>
          </cell>
          <cell r="K77" t="str">
            <v>1</v>
          </cell>
          <cell r="L77">
            <v>8</v>
          </cell>
          <cell r="M77">
            <v>0</v>
          </cell>
          <cell r="N77">
            <v>3631.8</v>
          </cell>
          <cell r="O77" t="str">
            <v>M</v>
          </cell>
          <cell r="P77" t="str">
            <v>00000000</v>
          </cell>
          <cell r="Q77">
            <v>8731.1</v>
          </cell>
          <cell r="R77">
            <v>524.59</v>
          </cell>
          <cell r="S77">
            <v>100.88</v>
          </cell>
          <cell r="T77">
            <v>463.05</v>
          </cell>
          <cell r="U77">
            <v>181.59</v>
          </cell>
          <cell r="V77">
            <v>222.53</v>
          </cell>
          <cell r="W77">
            <v>72.64</v>
          </cell>
          <cell r="X77">
            <v>17.13</v>
          </cell>
          <cell r="Y77">
            <v>618.15</v>
          </cell>
          <cell r="Z77">
            <v>261.64999999999998</v>
          </cell>
          <cell r="AA77">
            <v>77</v>
          </cell>
          <cell r="AB77">
            <v>0</v>
          </cell>
          <cell r="AC77">
            <v>0</v>
          </cell>
          <cell r="AD77">
            <v>13.49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Y77">
            <v>1431897.6</v>
          </cell>
        </row>
        <row r="78">
          <cell r="A78">
            <v>2</v>
          </cell>
          <cell r="B78" t="str">
            <v>12</v>
          </cell>
          <cell r="C78" t="str">
            <v>000</v>
          </cell>
          <cell r="D78" t="str">
            <v>1</v>
          </cell>
          <cell r="E78" t="str">
            <v>102</v>
          </cell>
          <cell r="F78" t="str">
            <v>N000</v>
          </cell>
          <cell r="G78" t="str">
            <v>110</v>
          </cell>
          <cell r="H78" t="str">
            <v>1103</v>
          </cell>
          <cell r="I78" t="str">
            <v>CF03820</v>
          </cell>
          <cell r="J78" t="str">
            <v>27Z</v>
          </cell>
          <cell r="K78" t="str">
            <v>2</v>
          </cell>
          <cell r="L78">
            <v>2</v>
          </cell>
          <cell r="M78">
            <v>0</v>
          </cell>
          <cell r="N78">
            <v>2900.25</v>
          </cell>
          <cell r="O78" t="str">
            <v>M</v>
          </cell>
          <cell r="P78" t="str">
            <v>00000000</v>
          </cell>
          <cell r="Q78">
            <v>205.15</v>
          </cell>
          <cell r="R78">
            <v>418.93</v>
          </cell>
          <cell r="S78">
            <v>80.56</v>
          </cell>
          <cell r="T78">
            <v>369.78</v>
          </cell>
          <cell r="U78">
            <v>145.01</v>
          </cell>
          <cell r="V78">
            <v>55.89</v>
          </cell>
          <cell r="W78">
            <v>58.01</v>
          </cell>
          <cell r="X78">
            <v>0</v>
          </cell>
          <cell r="Y78">
            <v>0</v>
          </cell>
          <cell r="Z78">
            <v>77.16</v>
          </cell>
          <cell r="AA78">
            <v>77</v>
          </cell>
          <cell r="AB78">
            <v>96</v>
          </cell>
          <cell r="AC78">
            <v>80</v>
          </cell>
          <cell r="AD78">
            <v>13.49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Y78">
            <v>109853.52</v>
          </cell>
        </row>
        <row r="79">
          <cell r="A79">
            <v>2</v>
          </cell>
          <cell r="B79" t="str">
            <v>12</v>
          </cell>
          <cell r="C79" t="str">
            <v>000</v>
          </cell>
          <cell r="D79" t="str">
            <v>1</v>
          </cell>
          <cell r="E79" t="str">
            <v>102</v>
          </cell>
          <cell r="F79" t="str">
            <v>N000</v>
          </cell>
          <cell r="G79" t="str">
            <v>110</v>
          </cell>
          <cell r="H79" t="str">
            <v>1103</v>
          </cell>
          <cell r="I79" t="str">
            <v>CF04806</v>
          </cell>
          <cell r="J79" t="str">
            <v>26</v>
          </cell>
          <cell r="K79" t="str">
            <v>2</v>
          </cell>
          <cell r="L79">
            <v>15</v>
          </cell>
          <cell r="M79">
            <v>0</v>
          </cell>
          <cell r="N79">
            <v>2692.2</v>
          </cell>
          <cell r="O79" t="str">
            <v>M</v>
          </cell>
          <cell r="P79" t="str">
            <v>00000000</v>
          </cell>
          <cell r="Q79">
            <v>0</v>
          </cell>
          <cell r="R79">
            <v>388.87</v>
          </cell>
          <cell r="S79">
            <v>74.78</v>
          </cell>
          <cell r="T79">
            <v>343.26</v>
          </cell>
          <cell r="U79">
            <v>134.61000000000001</v>
          </cell>
          <cell r="V79">
            <v>48.46</v>
          </cell>
          <cell r="W79">
            <v>53.84</v>
          </cell>
          <cell r="X79">
            <v>37.869999999999997</v>
          </cell>
          <cell r="Y79">
            <v>0</v>
          </cell>
          <cell r="Z79">
            <v>68.930000000000007</v>
          </cell>
          <cell r="AA79">
            <v>77</v>
          </cell>
          <cell r="AB79">
            <v>96</v>
          </cell>
          <cell r="AC79">
            <v>80</v>
          </cell>
          <cell r="AD79">
            <v>13.49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Y79">
            <v>739675.8</v>
          </cell>
        </row>
        <row r="80">
          <cell r="A80">
            <v>2</v>
          </cell>
          <cell r="B80" t="str">
            <v>12</v>
          </cell>
          <cell r="C80" t="str">
            <v>000</v>
          </cell>
          <cell r="D80" t="str">
            <v>1</v>
          </cell>
          <cell r="E80" t="str">
            <v>102</v>
          </cell>
          <cell r="F80" t="str">
            <v>N000</v>
          </cell>
          <cell r="G80" t="str">
            <v>110</v>
          </cell>
          <cell r="H80" t="str">
            <v>1103</v>
          </cell>
          <cell r="I80" t="str">
            <v>CF04807</v>
          </cell>
          <cell r="J80" t="str">
            <v>27Z</v>
          </cell>
          <cell r="K80" t="str">
            <v>2</v>
          </cell>
          <cell r="L80">
            <v>5</v>
          </cell>
          <cell r="M80">
            <v>0</v>
          </cell>
          <cell r="N80">
            <v>2900.25</v>
          </cell>
          <cell r="O80" t="str">
            <v>M</v>
          </cell>
          <cell r="P80" t="str">
            <v>00000000</v>
          </cell>
          <cell r="Q80">
            <v>205.15</v>
          </cell>
          <cell r="R80">
            <v>418.93</v>
          </cell>
          <cell r="S80">
            <v>80.56</v>
          </cell>
          <cell r="T80">
            <v>369.78</v>
          </cell>
          <cell r="U80">
            <v>145.01</v>
          </cell>
          <cell r="V80">
            <v>55.89</v>
          </cell>
          <cell r="W80">
            <v>58.01</v>
          </cell>
          <cell r="X80">
            <v>36.6</v>
          </cell>
          <cell r="Y80">
            <v>0</v>
          </cell>
          <cell r="Z80">
            <v>77.89</v>
          </cell>
          <cell r="AA80">
            <v>77</v>
          </cell>
          <cell r="AB80">
            <v>96</v>
          </cell>
          <cell r="AC80">
            <v>80</v>
          </cell>
          <cell r="AD80">
            <v>13.49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Y80">
            <v>276873.59999999998</v>
          </cell>
        </row>
        <row r="81">
          <cell r="A81">
            <v>2</v>
          </cell>
          <cell r="B81" t="str">
            <v>12</v>
          </cell>
          <cell r="C81" t="str">
            <v>000</v>
          </cell>
          <cell r="D81" t="str">
            <v>1</v>
          </cell>
          <cell r="E81" t="str">
            <v>102</v>
          </cell>
          <cell r="F81" t="str">
            <v>N000</v>
          </cell>
          <cell r="G81" t="str">
            <v>110</v>
          </cell>
          <cell r="H81" t="str">
            <v>1103</v>
          </cell>
          <cell r="I81" t="str">
            <v>CF04808</v>
          </cell>
          <cell r="J81" t="str">
            <v>27ZA</v>
          </cell>
          <cell r="K81" t="str">
            <v>2</v>
          </cell>
          <cell r="L81">
            <v>2</v>
          </cell>
          <cell r="M81">
            <v>0</v>
          </cell>
          <cell r="N81">
            <v>2982.9</v>
          </cell>
          <cell r="O81" t="str">
            <v>M</v>
          </cell>
          <cell r="P81" t="str">
            <v>00000000</v>
          </cell>
          <cell r="Q81">
            <v>579.4</v>
          </cell>
          <cell r="R81">
            <v>430.86</v>
          </cell>
          <cell r="S81">
            <v>82.86</v>
          </cell>
          <cell r="T81">
            <v>380.32</v>
          </cell>
          <cell r="U81">
            <v>149.15</v>
          </cell>
          <cell r="V81">
            <v>64.12</v>
          </cell>
          <cell r="W81">
            <v>59.66</v>
          </cell>
          <cell r="X81">
            <v>41</v>
          </cell>
          <cell r="Y81">
            <v>0</v>
          </cell>
          <cell r="Z81">
            <v>87.4</v>
          </cell>
          <cell r="AA81">
            <v>77</v>
          </cell>
          <cell r="AB81">
            <v>96</v>
          </cell>
          <cell r="AC81">
            <v>80</v>
          </cell>
          <cell r="AD81">
            <v>13.49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Y81">
            <v>122979.84</v>
          </cell>
        </row>
        <row r="82">
          <cell r="A82">
            <v>2</v>
          </cell>
          <cell r="B82" t="str">
            <v>12</v>
          </cell>
          <cell r="C82" t="str">
            <v>000</v>
          </cell>
          <cell r="D82" t="str">
            <v>1</v>
          </cell>
          <cell r="E82" t="str">
            <v>102</v>
          </cell>
          <cell r="F82" t="str">
            <v>N000</v>
          </cell>
          <cell r="G82" t="str">
            <v>110</v>
          </cell>
          <cell r="H82" t="str">
            <v>1103</v>
          </cell>
          <cell r="I82" t="str">
            <v>CF04835</v>
          </cell>
          <cell r="J82" t="str">
            <v>27ZA</v>
          </cell>
          <cell r="K82" t="str">
            <v>2</v>
          </cell>
          <cell r="L82">
            <v>1</v>
          </cell>
          <cell r="M82">
            <v>0</v>
          </cell>
          <cell r="N82">
            <v>2982.9</v>
          </cell>
          <cell r="O82" t="str">
            <v>M</v>
          </cell>
          <cell r="P82" t="str">
            <v>00000000</v>
          </cell>
          <cell r="Q82">
            <v>579.4</v>
          </cell>
          <cell r="R82">
            <v>430.86</v>
          </cell>
          <cell r="S82">
            <v>82.86</v>
          </cell>
          <cell r="T82">
            <v>380.32</v>
          </cell>
          <cell r="U82">
            <v>149.15</v>
          </cell>
          <cell r="V82">
            <v>64.12</v>
          </cell>
          <cell r="W82">
            <v>59.66</v>
          </cell>
          <cell r="X82">
            <v>46</v>
          </cell>
          <cell r="Y82">
            <v>0</v>
          </cell>
          <cell r="Z82">
            <v>87.5</v>
          </cell>
          <cell r="AA82">
            <v>77</v>
          </cell>
          <cell r="AB82">
            <v>96</v>
          </cell>
          <cell r="AC82">
            <v>80</v>
          </cell>
          <cell r="AD82">
            <v>13.49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Y82">
            <v>61551.12</v>
          </cell>
        </row>
        <row r="83">
          <cell r="A83">
            <v>2</v>
          </cell>
          <cell r="B83" t="str">
            <v>12</v>
          </cell>
          <cell r="C83" t="str">
            <v>000</v>
          </cell>
          <cell r="D83" t="str">
            <v>1</v>
          </cell>
          <cell r="E83" t="str">
            <v>102</v>
          </cell>
          <cell r="F83" t="str">
            <v>N000</v>
          </cell>
          <cell r="G83" t="str">
            <v>110</v>
          </cell>
          <cell r="H83" t="str">
            <v>1103</v>
          </cell>
          <cell r="I83" t="str">
            <v>CF11812</v>
          </cell>
          <cell r="J83" t="str">
            <v>27Z</v>
          </cell>
          <cell r="K83" t="str">
            <v>2</v>
          </cell>
          <cell r="L83">
            <v>1</v>
          </cell>
          <cell r="M83">
            <v>0</v>
          </cell>
          <cell r="N83">
            <v>2900.25</v>
          </cell>
          <cell r="O83" t="str">
            <v>M</v>
          </cell>
          <cell r="P83" t="str">
            <v>00000000</v>
          </cell>
          <cell r="Q83">
            <v>205.15</v>
          </cell>
          <cell r="R83">
            <v>418.93</v>
          </cell>
          <cell r="S83">
            <v>80.56</v>
          </cell>
          <cell r="T83">
            <v>369.78</v>
          </cell>
          <cell r="U83">
            <v>145.01</v>
          </cell>
          <cell r="V83">
            <v>55.89</v>
          </cell>
          <cell r="W83">
            <v>58.01</v>
          </cell>
          <cell r="X83">
            <v>0</v>
          </cell>
          <cell r="Y83">
            <v>0</v>
          </cell>
          <cell r="Z83">
            <v>77.16</v>
          </cell>
          <cell r="AA83">
            <v>77</v>
          </cell>
          <cell r="AB83">
            <v>96</v>
          </cell>
          <cell r="AC83">
            <v>80</v>
          </cell>
          <cell r="AD83">
            <v>13.49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Y83">
            <v>54926.76</v>
          </cell>
        </row>
        <row r="84">
          <cell r="A84">
            <v>2</v>
          </cell>
          <cell r="B84" t="str">
            <v>12</v>
          </cell>
          <cell r="C84" t="str">
            <v>000</v>
          </cell>
          <cell r="D84" t="str">
            <v>1</v>
          </cell>
          <cell r="E84" t="str">
            <v>102</v>
          </cell>
          <cell r="F84" t="str">
            <v>N000</v>
          </cell>
          <cell r="G84" t="str">
            <v>110</v>
          </cell>
          <cell r="H84" t="str">
            <v>1103</v>
          </cell>
          <cell r="I84" t="str">
            <v>CF21817</v>
          </cell>
          <cell r="J84" t="str">
            <v>27ZA</v>
          </cell>
          <cell r="K84" t="str">
            <v>2</v>
          </cell>
          <cell r="L84">
            <v>1</v>
          </cell>
          <cell r="M84">
            <v>0</v>
          </cell>
          <cell r="N84">
            <v>2982.9</v>
          </cell>
          <cell r="O84" t="str">
            <v>M</v>
          </cell>
          <cell r="P84" t="str">
            <v>00000000</v>
          </cell>
          <cell r="Q84">
            <v>579.4</v>
          </cell>
          <cell r="R84">
            <v>430.86</v>
          </cell>
          <cell r="S84">
            <v>82.86</v>
          </cell>
          <cell r="T84">
            <v>380.32</v>
          </cell>
          <cell r="U84">
            <v>149.15</v>
          </cell>
          <cell r="V84">
            <v>64.12</v>
          </cell>
          <cell r="W84">
            <v>59.66</v>
          </cell>
          <cell r="X84">
            <v>0</v>
          </cell>
          <cell r="Y84">
            <v>0</v>
          </cell>
          <cell r="Z84">
            <v>86.58</v>
          </cell>
          <cell r="AA84">
            <v>77</v>
          </cell>
          <cell r="AB84">
            <v>96</v>
          </cell>
          <cell r="AC84">
            <v>80</v>
          </cell>
          <cell r="AD84">
            <v>13.49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Y84">
            <v>60988.08</v>
          </cell>
        </row>
        <row r="85">
          <cell r="A85">
            <v>2</v>
          </cell>
          <cell r="B85" t="str">
            <v>12</v>
          </cell>
          <cell r="C85" t="str">
            <v>000</v>
          </cell>
          <cell r="D85" t="str">
            <v>1</v>
          </cell>
          <cell r="E85" t="str">
            <v>102</v>
          </cell>
          <cell r="F85" t="str">
            <v>N000</v>
          </cell>
          <cell r="G85" t="str">
            <v>110</v>
          </cell>
          <cell r="H85" t="str">
            <v>1103</v>
          </cell>
          <cell r="I85" t="str">
            <v>CF21856</v>
          </cell>
          <cell r="J85" t="str">
            <v>27Z</v>
          </cell>
          <cell r="K85" t="str">
            <v>2</v>
          </cell>
          <cell r="L85">
            <v>4</v>
          </cell>
          <cell r="M85">
            <v>0</v>
          </cell>
          <cell r="N85">
            <v>2900.25</v>
          </cell>
          <cell r="O85" t="str">
            <v>M</v>
          </cell>
          <cell r="P85" t="str">
            <v>00000000</v>
          </cell>
          <cell r="Q85">
            <v>205.15</v>
          </cell>
          <cell r="R85">
            <v>418.93</v>
          </cell>
          <cell r="S85">
            <v>80.56</v>
          </cell>
          <cell r="T85">
            <v>369.78</v>
          </cell>
          <cell r="U85">
            <v>145.01</v>
          </cell>
          <cell r="V85">
            <v>55.89</v>
          </cell>
          <cell r="W85">
            <v>58.01</v>
          </cell>
          <cell r="X85">
            <v>45.5</v>
          </cell>
          <cell r="Y85">
            <v>0</v>
          </cell>
          <cell r="Z85">
            <v>78.069999999999993</v>
          </cell>
          <cell r="AA85">
            <v>77</v>
          </cell>
          <cell r="AB85">
            <v>96</v>
          </cell>
          <cell r="AC85">
            <v>80</v>
          </cell>
          <cell r="AD85">
            <v>13.49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Y85">
            <v>221934.72</v>
          </cell>
        </row>
        <row r="86">
          <cell r="A86">
            <v>2</v>
          </cell>
          <cell r="B86" t="str">
            <v>12</v>
          </cell>
          <cell r="C86" t="str">
            <v>000</v>
          </cell>
          <cell r="D86" t="str">
            <v>1</v>
          </cell>
          <cell r="E86" t="str">
            <v>102</v>
          </cell>
          <cell r="F86" t="str">
            <v>N000</v>
          </cell>
          <cell r="G86" t="str">
            <v>110</v>
          </cell>
          <cell r="H86" t="str">
            <v>1103</v>
          </cell>
          <cell r="I86" t="str">
            <v>CF21858</v>
          </cell>
          <cell r="J86" t="str">
            <v>27ZA</v>
          </cell>
          <cell r="K86" t="str">
            <v>2</v>
          </cell>
          <cell r="L86">
            <v>2</v>
          </cell>
          <cell r="M86">
            <v>0</v>
          </cell>
          <cell r="N86">
            <v>2982.9</v>
          </cell>
          <cell r="O86" t="str">
            <v>M</v>
          </cell>
          <cell r="P86" t="str">
            <v>00000000</v>
          </cell>
          <cell r="Q86">
            <v>579.4</v>
          </cell>
          <cell r="R86">
            <v>430.86</v>
          </cell>
          <cell r="S86">
            <v>82.86</v>
          </cell>
          <cell r="T86">
            <v>380.32</v>
          </cell>
          <cell r="U86">
            <v>149.15</v>
          </cell>
          <cell r="V86">
            <v>64.12</v>
          </cell>
          <cell r="W86">
            <v>59.66</v>
          </cell>
          <cell r="X86">
            <v>68</v>
          </cell>
          <cell r="Y86">
            <v>0</v>
          </cell>
          <cell r="Z86">
            <v>87.94</v>
          </cell>
          <cell r="AA86">
            <v>77</v>
          </cell>
          <cell r="AB86">
            <v>96</v>
          </cell>
          <cell r="AC86">
            <v>80</v>
          </cell>
          <cell r="AD86">
            <v>13.49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Y86">
            <v>123640.8</v>
          </cell>
        </row>
        <row r="87">
          <cell r="A87">
            <v>2</v>
          </cell>
          <cell r="B87" t="str">
            <v>12</v>
          </cell>
          <cell r="C87" t="str">
            <v>000</v>
          </cell>
          <cell r="D87" t="str">
            <v>1</v>
          </cell>
          <cell r="E87" t="str">
            <v>102</v>
          </cell>
          <cell r="F87" t="str">
            <v>N000</v>
          </cell>
          <cell r="G87" t="str">
            <v>110</v>
          </cell>
          <cell r="H87" t="str">
            <v>1103</v>
          </cell>
          <cell r="I87" t="str">
            <v>CF21859</v>
          </cell>
          <cell r="J87" t="str">
            <v>27ZB</v>
          </cell>
          <cell r="K87" t="str">
            <v>2</v>
          </cell>
          <cell r="L87">
            <v>4</v>
          </cell>
          <cell r="M87">
            <v>0</v>
          </cell>
          <cell r="N87">
            <v>3008.65</v>
          </cell>
          <cell r="O87" t="str">
            <v>M</v>
          </cell>
          <cell r="P87" t="str">
            <v>00000000</v>
          </cell>
          <cell r="Q87">
            <v>857</v>
          </cell>
          <cell r="R87">
            <v>434.58</v>
          </cell>
          <cell r="S87">
            <v>83.57</v>
          </cell>
          <cell r="T87">
            <v>383.6</v>
          </cell>
          <cell r="U87">
            <v>150.43</v>
          </cell>
          <cell r="V87">
            <v>69.59</v>
          </cell>
          <cell r="W87">
            <v>60.17</v>
          </cell>
          <cell r="X87">
            <v>36.75</v>
          </cell>
          <cell r="Y87">
            <v>0</v>
          </cell>
          <cell r="Z87">
            <v>93.47</v>
          </cell>
          <cell r="AA87">
            <v>77</v>
          </cell>
          <cell r="AB87">
            <v>96</v>
          </cell>
          <cell r="AC87">
            <v>80</v>
          </cell>
          <cell r="AD87">
            <v>13.49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Y87">
            <v>261326.4</v>
          </cell>
        </row>
        <row r="88">
          <cell r="A88">
            <v>2</v>
          </cell>
          <cell r="B88" t="str">
            <v>12</v>
          </cell>
          <cell r="C88" t="str">
            <v>000</v>
          </cell>
          <cell r="D88" t="str">
            <v>1</v>
          </cell>
          <cell r="E88" t="str">
            <v>102</v>
          </cell>
          <cell r="F88" t="str">
            <v>N000</v>
          </cell>
          <cell r="G88" t="str">
            <v>110</v>
          </cell>
          <cell r="H88" t="str">
            <v>1103</v>
          </cell>
          <cell r="I88" t="str">
            <v>CF21864</v>
          </cell>
          <cell r="J88" t="str">
            <v>27C</v>
          </cell>
          <cell r="K88" t="str">
            <v>1</v>
          </cell>
          <cell r="L88">
            <v>2</v>
          </cell>
          <cell r="M88">
            <v>0</v>
          </cell>
          <cell r="N88">
            <v>3268.2</v>
          </cell>
          <cell r="O88" t="str">
            <v>M</v>
          </cell>
          <cell r="P88" t="str">
            <v>00000000</v>
          </cell>
          <cell r="Q88">
            <v>4783.05</v>
          </cell>
          <cell r="R88">
            <v>472.07</v>
          </cell>
          <cell r="S88">
            <v>90.78</v>
          </cell>
          <cell r="T88">
            <v>416.7</v>
          </cell>
          <cell r="U88">
            <v>163.41</v>
          </cell>
          <cell r="V88">
            <v>144.91999999999999</v>
          </cell>
          <cell r="W88">
            <v>65.36</v>
          </cell>
          <cell r="X88">
            <v>0</v>
          </cell>
          <cell r="Y88">
            <v>0</v>
          </cell>
          <cell r="Z88">
            <v>173.82</v>
          </cell>
          <cell r="AA88">
            <v>77</v>
          </cell>
          <cell r="AB88">
            <v>0</v>
          </cell>
          <cell r="AC88">
            <v>0</v>
          </cell>
          <cell r="AD88">
            <v>13.49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Y88">
            <v>232051.20000000001</v>
          </cell>
        </row>
        <row r="89">
          <cell r="A89">
            <v>2</v>
          </cell>
          <cell r="B89" t="str">
            <v>12</v>
          </cell>
          <cell r="C89" t="str">
            <v>000</v>
          </cell>
          <cell r="D89" t="str">
            <v>1</v>
          </cell>
          <cell r="E89" t="str">
            <v>102</v>
          </cell>
          <cell r="F89" t="str">
            <v>N000</v>
          </cell>
          <cell r="G89" t="str">
            <v>110</v>
          </cell>
          <cell r="H89" t="str">
            <v>1103</v>
          </cell>
          <cell r="I89" t="str">
            <v>CF21865</v>
          </cell>
          <cell r="J89" t="str">
            <v>27B</v>
          </cell>
          <cell r="K89" t="str">
            <v>1</v>
          </cell>
          <cell r="L89">
            <v>4</v>
          </cell>
          <cell r="M89">
            <v>0</v>
          </cell>
          <cell r="N89">
            <v>3222.2</v>
          </cell>
          <cell r="O89" t="str">
            <v>M</v>
          </cell>
          <cell r="P89" t="str">
            <v>00000000</v>
          </cell>
          <cell r="Q89">
            <v>3558.85</v>
          </cell>
          <cell r="R89">
            <v>465.43</v>
          </cell>
          <cell r="S89">
            <v>89.51</v>
          </cell>
          <cell r="T89">
            <v>410.83</v>
          </cell>
          <cell r="U89">
            <v>161.11000000000001</v>
          </cell>
          <cell r="V89">
            <v>122.06</v>
          </cell>
          <cell r="W89">
            <v>64.44</v>
          </cell>
          <cell r="X89">
            <v>13.75</v>
          </cell>
          <cell r="Y89">
            <v>0</v>
          </cell>
          <cell r="Z89">
            <v>148.53</v>
          </cell>
          <cell r="AA89">
            <v>77</v>
          </cell>
          <cell r="AB89">
            <v>0</v>
          </cell>
          <cell r="AC89">
            <v>0</v>
          </cell>
          <cell r="AD89">
            <v>13.49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Y89">
            <v>400665.59999999998</v>
          </cell>
        </row>
        <row r="90">
          <cell r="A90">
            <v>2</v>
          </cell>
          <cell r="B90" t="str">
            <v>12</v>
          </cell>
          <cell r="C90" t="str">
            <v>000</v>
          </cell>
          <cell r="D90" t="str">
            <v>1</v>
          </cell>
          <cell r="E90" t="str">
            <v>102</v>
          </cell>
          <cell r="F90" t="str">
            <v>N000</v>
          </cell>
          <cell r="G90" t="str">
            <v>110</v>
          </cell>
          <cell r="H90" t="str">
            <v>1103</v>
          </cell>
          <cell r="I90" t="str">
            <v>CF21866</v>
          </cell>
          <cell r="J90" t="str">
            <v>27A</v>
          </cell>
          <cell r="K90" t="str">
            <v>1</v>
          </cell>
          <cell r="L90">
            <v>7</v>
          </cell>
          <cell r="M90">
            <v>0</v>
          </cell>
          <cell r="N90">
            <v>3185.4</v>
          </cell>
          <cell r="O90" t="str">
            <v>M</v>
          </cell>
          <cell r="P90" t="str">
            <v>00000000</v>
          </cell>
          <cell r="Q90">
            <v>2791.7</v>
          </cell>
          <cell r="R90">
            <v>460.11</v>
          </cell>
          <cell r="S90">
            <v>88.48</v>
          </cell>
          <cell r="T90">
            <v>406.14</v>
          </cell>
          <cell r="U90">
            <v>159.27000000000001</v>
          </cell>
          <cell r="V90">
            <v>107.59</v>
          </cell>
          <cell r="W90">
            <v>63.71</v>
          </cell>
          <cell r="X90">
            <v>6.57</v>
          </cell>
          <cell r="Y90">
            <v>0</v>
          </cell>
          <cell r="Z90">
            <v>132.19</v>
          </cell>
          <cell r="AA90">
            <v>77</v>
          </cell>
          <cell r="AB90">
            <v>0</v>
          </cell>
          <cell r="AC90">
            <v>0</v>
          </cell>
          <cell r="AD90">
            <v>13.49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Y90">
            <v>629298.6</v>
          </cell>
        </row>
        <row r="91">
          <cell r="A91">
            <v>2</v>
          </cell>
          <cell r="B91" t="str">
            <v>12</v>
          </cell>
          <cell r="C91" t="str">
            <v>000</v>
          </cell>
          <cell r="D91" t="str">
            <v>1</v>
          </cell>
          <cell r="E91" t="str">
            <v>102</v>
          </cell>
          <cell r="F91" t="str">
            <v>N000</v>
          </cell>
          <cell r="G91" t="str">
            <v>110</v>
          </cell>
          <cell r="H91" t="str">
            <v>1103</v>
          </cell>
          <cell r="I91" t="str">
            <v>CF33834</v>
          </cell>
          <cell r="J91" t="str">
            <v>27</v>
          </cell>
          <cell r="K91" t="str">
            <v>2</v>
          </cell>
          <cell r="L91">
            <v>11</v>
          </cell>
          <cell r="M91">
            <v>0</v>
          </cell>
          <cell r="N91">
            <v>2817.8</v>
          </cell>
          <cell r="O91" t="str">
            <v>M</v>
          </cell>
          <cell r="P91" t="str">
            <v>00000000</v>
          </cell>
          <cell r="Q91">
            <v>0</v>
          </cell>
          <cell r="R91">
            <v>407.02</v>
          </cell>
          <cell r="S91">
            <v>78.27</v>
          </cell>
          <cell r="T91">
            <v>359.27</v>
          </cell>
          <cell r="U91">
            <v>140.88999999999999</v>
          </cell>
          <cell r="V91">
            <v>50.72</v>
          </cell>
          <cell r="W91">
            <v>56.36</v>
          </cell>
          <cell r="X91">
            <v>53.18</v>
          </cell>
          <cell r="Y91">
            <v>0</v>
          </cell>
          <cell r="Z91">
            <v>72.19</v>
          </cell>
          <cell r="AA91">
            <v>77</v>
          </cell>
          <cell r="AB91">
            <v>96</v>
          </cell>
          <cell r="AC91">
            <v>80</v>
          </cell>
          <cell r="AD91">
            <v>13.49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Y91">
            <v>567889.07999999996</v>
          </cell>
        </row>
        <row r="92">
          <cell r="A92">
            <v>2</v>
          </cell>
          <cell r="B92" t="str">
            <v>12</v>
          </cell>
          <cell r="C92" t="str">
            <v>000</v>
          </cell>
          <cell r="D92" t="str">
            <v>1</v>
          </cell>
          <cell r="E92" t="str">
            <v>102</v>
          </cell>
          <cell r="F92" t="str">
            <v>N000</v>
          </cell>
          <cell r="G92" t="str">
            <v>110</v>
          </cell>
          <cell r="H92" t="str">
            <v>1103</v>
          </cell>
          <cell r="I92" t="str">
            <v>CF33892</v>
          </cell>
          <cell r="J92" t="str">
            <v>27ZA</v>
          </cell>
          <cell r="K92" t="str">
            <v>2</v>
          </cell>
          <cell r="L92">
            <v>25</v>
          </cell>
          <cell r="M92">
            <v>0</v>
          </cell>
          <cell r="N92">
            <v>2982.9</v>
          </cell>
          <cell r="O92" t="str">
            <v>M</v>
          </cell>
          <cell r="P92" t="str">
            <v>00000000</v>
          </cell>
          <cell r="Q92">
            <v>579.4</v>
          </cell>
          <cell r="R92">
            <v>430.86</v>
          </cell>
          <cell r="S92">
            <v>82.86</v>
          </cell>
          <cell r="T92">
            <v>380.32</v>
          </cell>
          <cell r="U92">
            <v>149.15</v>
          </cell>
          <cell r="V92">
            <v>64.12</v>
          </cell>
          <cell r="W92">
            <v>59.66</v>
          </cell>
          <cell r="X92">
            <v>52.24</v>
          </cell>
          <cell r="Y92">
            <v>0</v>
          </cell>
          <cell r="Z92">
            <v>87.63</v>
          </cell>
          <cell r="AA92">
            <v>77</v>
          </cell>
          <cell r="AB92">
            <v>96</v>
          </cell>
          <cell r="AC92">
            <v>80</v>
          </cell>
          <cell r="AD92">
            <v>13.49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Y92">
            <v>1540689</v>
          </cell>
        </row>
        <row r="93">
          <cell r="A93">
            <v>2</v>
          </cell>
          <cell r="B93" t="str">
            <v>12</v>
          </cell>
          <cell r="C93" t="str">
            <v>000</v>
          </cell>
          <cell r="D93" t="str">
            <v>1</v>
          </cell>
          <cell r="E93" t="str">
            <v>102</v>
          </cell>
          <cell r="F93" t="str">
            <v>N000</v>
          </cell>
          <cell r="G93" t="str">
            <v>110</v>
          </cell>
          <cell r="H93" t="str">
            <v>1103</v>
          </cell>
          <cell r="I93" t="str">
            <v>CF34813</v>
          </cell>
          <cell r="J93" t="str">
            <v>27</v>
          </cell>
          <cell r="K93" t="str">
            <v>2</v>
          </cell>
          <cell r="L93">
            <v>1</v>
          </cell>
          <cell r="M93">
            <v>0</v>
          </cell>
          <cell r="N93">
            <v>2817.8</v>
          </cell>
          <cell r="O93" t="str">
            <v>M</v>
          </cell>
          <cell r="P93" t="str">
            <v>00000000</v>
          </cell>
          <cell r="Q93">
            <v>0</v>
          </cell>
          <cell r="R93">
            <v>407.02</v>
          </cell>
          <cell r="S93">
            <v>78.27</v>
          </cell>
          <cell r="T93">
            <v>359.27</v>
          </cell>
          <cell r="U93">
            <v>140.88999999999999</v>
          </cell>
          <cell r="V93">
            <v>50.72</v>
          </cell>
          <cell r="W93">
            <v>56.36</v>
          </cell>
          <cell r="X93">
            <v>55</v>
          </cell>
          <cell r="Y93">
            <v>0</v>
          </cell>
          <cell r="Z93">
            <v>72.22</v>
          </cell>
          <cell r="AA93">
            <v>77</v>
          </cell>
          <cell r="AB93">
            <v>96</v>
          </cell>
          <cell r="AC93">
            <v>80</v>
          </cell>
          <cell r="AD93">
            <v>13.49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Y93">
            <v>51648.480000000003</v>
          </cell>
        </row>
        <row r="94">
          <cell r="A94">
            <v>2</v>
          </cell>
          <cell r="B94" t="str">
            <v>12</v>
          </cell>
          <cell r="C94" t="str">
            <v>000</v>
          </cell>
          <cell r="D94" t="str">
            <v>1</v>
          </cell>
          <cell r="E94" t="str">
            <v>104</v>
          </cell>
          <cell r="F94" t="str">
            <v>N000</v>
          </cell>
          <cell r="G94" t="str">
            <v>111</v>
          </cell>
          <cell r="H94" t="str">
            <v>1103</v>
          </cell>
          <cell r="I94" t="str">
            <v>A01803</v>
          </cell>
          <cell r="J94" t="str">
            <v>19</v>
          </cell>
          <cell r="K94" t="str">
            <v>2</v>
          </cell>
          <cell r="L94">
            <v>6</v>
          </cell>
          <cell r="M94">
            <v>0</v>
          </cell>
          <cell r="N94">
            <v>2120.3000000000002</v>
          </cell>
          <cell r="O94" t="str">
            <v>M</v>
          </cell>
          <cell r="P94" t="str">
            <v>00000000</v>
          </cell>
          <cell r="Q94">
            <v>0</v>
          </cell>
          <cell r="R94">
            <v>306.27</v>
          </cell>
          <cell r="S94">
            <v>58.9</v>
          </cell>
          <cell r="T94">
            <v>270.33999999999997</v>
          </cell>
          <cell r="U94">
            <v>106.02</v>
          </cell>
          <cell r="V94">
            <v>38.17</v>
          </cell>
          <cell r="W94">
            <v>42.41</v>
          </cell>
          <cell r="X94">
            <v>47.5</v>
          </cell>
          <cell r="Y94">
            <v>0</v>
          </cell>
          <cell r="Z94">
            <v>55.72</v>
          </cell>
          <cell r="AA94">
            <v>77</v>
          </cell>
          <cell r="AB94">
            <v>96</v>
          </cell>
          <cell r="AC94">
            <v>80</v>
          </cell>
          <cell r="AD94">
            <v>13.49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Y94">
            <v>238472.64</v>
          </cell>
        </row>
        <row r="95">
          <cell r="A95">
            <v>2</v>
          </cell>
          <cell r="B95" t="str">
            <v>12</v>
          </cell>
          <cell r="C95" t="str">
            <v>000</v>
          </cell>
          <cell r="D95" t="str">
            <v>1</v>
          </cell>
          <cell r="E95" t="str">
            <v>104</v>
          </cell>
          <cell r="F95" t="str">
            <v>N000</v>
          </cell>
          <cell r="G95" t="str">
            <v>111</v>
          </cell>
          <cell r="H95" t="str">
            <v>1103</v>
          </cell>
          <cell r="I95" t="str">
            <v>A01805</v>
          </cell>
          <cell r="J95" t="str">
            <v>21</v>
          </cell>
          <cell r="K95" t="str">
            <v>2</v>
          </cell>
          <cell r="L95">
            <v>9</v>
          </cell>
          <cell r="M95">
            <v>0</v>
          </cell>
          <cell r="N95">
            <v>2238.1999999999998</v>
          </cell>
          <cell r="O95" t="str">
            <v>M</v>
          </cell>
          <cell r="P95" t="str">
            <v>00000000</v>
          </cell>
          <cell r="Q95">
            <v>0</v>
          </cell>
          <cell r="R95">
            <v>323.3</v>
          </cell>
          <cell r="S95">
            <v>62.17</v>
          </cell>
          <cell r="T95">
            <v>285.37</v>
          </cell>
          <cell r="U95">
            <v>111.91</v>
          </cell>
          <cell r="V95">
            <v>40.29</v>
          </cell>
          <cell r="W95">
            <v>44.76</v>
          </cell>
          <cell r="X95">
            <v>15.33</v>
          </cell>
          <cell r="Y95">
            <v>0</v>
          </cell>
          <cell r="Z95">
            <v>57.84</v>
          </cell>
          <cell r="AA95">
            <v>77</v>
          </cell>
          <cell r="AB95">
            <v>96</v>
          </cell>
          <cell r="AC95">
            <v>80</v>
          </cell>
          <cell r="AD95">
            <v>13.49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Y95">
            <v>372131.28</v>
          </cell>
        </row>
        <row r="96">
          <cell r="A96">
            <v>2</v>
          </cell>
          <cell r="B96" t="str">
            <v>12</v>
          </cell>
          <cell r="C96" t="str">
            <v>000</v>
          </cell>
          <cell r="D96" t="str">
            <v>1</v>
          </cell>
          <cell r="E96" t="str">
            <v>104</v>
          </cell>
          <cell r="F96" t="str">
            <v>N000</v>
          </cell>
          <cell r="G96" t="str">
            <v>111</v>
          </cell>
          <cell r="H96" t="str">
            <v>1103</v>
          </cell>
          <cell r="I96" t="str">
            <v>A01806</v>
          </cell>
          <cell r="J96" t="str">
            <v>25</v>
          </cell>
          <cell r="K96" t="str">
            <v>2</v>
          </cell>
          <cell r="L96">
            <v>5</v>
          </cell>
          <cell r="M96">
            <v>0</v>
          </cell>
          <cell r="N96">
            <v>2572.4</v>
          </cell>
          <cell r="O96" t="str">
            <v>M</v>
          </cell>
          <cell r="P96" t="str">
            <v>00000000</v>
          </cell>
          <cell r="Q96">
            <v>0</v>
          </cell>
          <cell r="R96">
            <v>371.57</v>
          </cell>
          <cell r="S96">
            <v>71.459999999999994</v>
          </cell>
          <cell r="T96">
            <v>327.98</v>
          </cell>
          <cell r="U96">
            <v>128.62</v>
          </cell>
          <cell r="V96">
            <v>46.3</v>
          </cell>
          <cell r="W96">
            <v>51.45</v>
          </cell>
          <cell r="X96">
            <v>47.8</v>
          </cell>
          <cell r="Y96">
            <v>0</v>
          </cell>
          <cell r="Z96">
            <v>66.319999999999993</v>
          </cell>
          <cell r="AA96">
            <v>77</v>
          </cell>
          <cell r="AB96">
            <v>96</v>
          </cell>
          <cell r="AC96">
            <v>80</v>
          </cell>
          <cell r="AD96">
            <v>13.49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Y96">
            <v>237023.4</v>
          </cell>
        </row>
        <row r="97">
          <cell r="A97">
            <v>2</v>
          </cell>
          <cell r="B97" t="str">
            <v>12</v>
          </cell>
          <cell r="C97" t="str">
            <v>000</v>
          </cell>
          <cell r="D97" t="str">
            <v>1</v>
          </cell>
          <cell r="E97" t="str">
            <v>104</v>
          </cell>
          <cell r="F97" t="str">
            <v>N000</v>
          </cell>
          <cell r="G97" t="str">
            <v>111</v>
          </cell>
          <cell r="H97" t="str">
            <v>1103</v>
          </cell>
          <cell r="I97" t="str">
            <v>A01807</v>
          </cell>
          <cell r="J97" t="str">
            <v>27</v>
          </cell>
          <cell r="K97" t="str">
            <v>2</v>
          </cell>
          <cell r="L97">
            <v>18</v>
          </cell>
          <cell r="M97">
            <v>0</v>
          </cell>
          <cell r="N97">
            <v>2817.8</v>
          </cell>
          <cell r="O97" t="str">
            <v>M</v>
          </cell>
          <cell r="P97" t="str">
            <v>00000000</v>
          </cell>
          <cell r="Q97">
            <v>0</v>
          </cell>
          <cell r="R97">
            <v>407.02</v>
          </cell>
          <cell r="S97">
            <v>78.27</v>
          </cell>
          <cell r="T97">
            <v>359.27</v>
          </cell>
          <cell r="U97">
            <v>140.88999999999999</v>
          </cell>
          <cell r="V97">
            <v>50.72</v>
          </cell>
          <cell r="W97">
            <v>56.36</v>
          </cell>
          <cell r="X97">
            <v>64</v>
          </cell>
          <cell r="Y97">
            <v>0</v>
          </cell>
          <cell r="Z97">
            <v>72.400000000000006</v>
          </cell>
          <cell r="AA97">
            <v>77</v>
          </cell>
          <cell r="AB97">
            <v>96</v>
          </cell>
          <cell r="AC97">
            <v>80</v>
          </cell>
          <cell r="AD97">
            <v>13.49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Y97">
            <v>931655.52</v>
          </cell>
        </row>
        <row r="98">
          <cell r="A98">
            <v>2</v>
          </cell>
          <cell r="B98" t="str">
            <v>12</v>
          </cell>
          <cell r="C98" t="str">
            <v>000</v>
          </cell>
          <cell r="D98" t="str">
            <v>1</v>
          </cell>
          <cell r="E98" t="str">
            <v>104</v>
          </cell>
          <cell r="F98" t="str">
            <v>N000</v>
          </cell>
          <cell r="G98" t="str">
            <v>111</v>
          </cell>
          <cell r="H98" t="str">
            <v>1103</v>
          </cell>
          <cell r="I98" t="str">
            <v>CFMC03</v>
          </cell>
          <cell r="J98" t="str">
            <v>MC03</v>
          </cell>
          <cell r="K98" t="str">
            <v>1</v>
          </cell>
          <cell r="L98">
            <v>2</v>
          </cell>
          <cell r="M98">
            <v>0</v>
          </cell>
          <cell r="N98">
            <v>4311.3999999999996</v>
          </cell>
          <cell r="O98" t="str">
            <v>M</v>
          </cell>
          <cell r="P98" t="str">
            <v>00000000</v>
          </cell>
          <cell r="Q98">
            <v>11306.9</v>
          </cell>
          <cell r="R98">
            <v>622.76</v>
          </cell>
          <cell r="S98">
            <v>119.76</v>
          </cell>
          <cell r="T98">
            <v>549.70000000000005</v>
          </cell>
          <cell r="U98">
            <v>215.57</v>
          </cell>
          <cell r="V98">
            <v>281.13</v>
          </cell>
          <cell r="W98">
            <v>86.23</v>
          </cell>
          <cell r="X98">
            <v>50.5</v>
          </cell>
          <cell r="Y98">
            <v>780.91</v>
          </cell>
          <cell r="Z98">
            <v>329.77</v>
          </cell>
          <cell r="AA98">
            <v>77</v>
          </cell>
          <cell r="AB98">
            <v>0</v>
          </cell>
          <cell r="AC98">
            <v>0</v>
          </cell>
          <cell r="AD98">
            <v>13.49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Y98">
            <v>449882.88</v>
          </cell>
        </row>
        <row r="99">
          <cell r="A99">
            <v>2</v>
          </cell>
          <cell r="B99" t="str">
            <v>12</v>
          </cell>
          <cell r="C99" t="str">
            <v>000</v>
          </cell>
          <cell r="D99" t="str">
            <v>1</v>
          </cell>
          <cell r="E99" t="str">
            <v>104</v>
          </cell>
          <cell r="F99" t="str">
            <v>N000</v>
          </cell>
          <cell r="G99" t="str">
            <v>111</v>
          </cell>
          <cell r="H99" t="str">
            <v>1103</v>
          </cell>
          <cell r="I99" t="str">
            <v>CFMD09</v>
          </cell>
          <cell r="J99" t="str">
            <v>MD09</v>
          </cell>
          <cell r="K99" t="str">
            <v>1</v>
          </cell>
          <cell r="L99">
            <v>1</v>
          </cell>
          <cell r="M99">
            <v>0</v>
          </cell>
          <cell r="N99">
            <v>14852.65</v>
          </cell>
          <cell r="O99" t="str">
            <v>M</v>
          </cell>
          <cell r="P99" t="str">
            <v>00000000</v>
          </cell>
          <cell r="Q99">
            <v>100991.65</v>
          </cell>
          <cell r="R99">
            <v>2145.38</v>
          </cell>
          <cell r="S99">
            <v>412.57</v>
          </cell>
          <cell r="T99">
            <v>1893.71</v>
          </cell>
          <cell r="U99">
            <v>742.63</v>
          </cell>
          <cell r="V99">
            <v>2085.1999999999998</v>
          </cell>
          <cell r="W99">
            <v>297.05</v>
          </cell>
          <cell r="X99">
            <v>0</v>
          </cell>
          <cell r="Y99">
            <v>5792.22</v>
          </cell>
          <cell r="Z99">
            <v>2369.59</v>
          </cell>
          <cell r="AA99">
            <v>77</v>
          </cell>
          <cell r="AB99">
            <v>0</v>
          </cell>
          <cell r="AC99">
            <v>0</v>
          </cell>
          <cell r="AD99">
            <v>13.49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Y99">
            <v>1580077.68</v>
          </cell>
        </row>
        <row r="100">
          <cell r="A100">
            <v>2</v>
          </cell>
          <cell r="B100" t="str">
            <v>12</v>
          </cell>
          <cell r="C100" t="str">
            <v>000</v>
          </cell>
          <cell r="D100" t="str">
            <v>1</v>
          </cell>
          <cell r="E100" t="str">
            <v>104</v>
          </cell>
          <cell r="F100" t="str">
            <v>N000</v>
          </cell>
          <cell r="G100" t="str">
            <v>111</v>
          </cell>
          <cell r="H100" t="str">
            <v>1103</v>
          </cell>
          <cell r="I100" t="str">
            <v>CFMG06</v>
          </cell>
          <cell r="J100" t="str">
            <v>MG06</v>
          </cell>
          <cell r="K100" t="str">
            <v>1</v>
          </cell>
          <cell r="L100">
            <v>1</v>
          </cell>
          <cell r="M100">
            <v>0</v>
          </cell>
          <cell r="N100">
            <v>8232.25</v>
          </cell>
          <cell r="O100" t="str">
            <v>M</v>
          </cell>
          <cell r="P100" t="str">
            <v>00000000</v>
          </cell>
          <cell r="Q100">
            <v>38872.050000000003</v>
          </cell>
          <cell r="R100">
            <v>1189.0999999999999</v>
          </cell>
          <cell r="S100">
            <v>228.67</v>
          </cell>
          <cell r="T100">
            <v>1049.6099999999999</v>
          </cell>
          <cell r="U100">
            <v>411.61</v>
          </cell>
          <cell r="V100">
            <v>847.88</v>
          </cell>
          <cell r="W100">
            <v>164.65</v>
          </cell>
          <cell r="X100">
            <v>0</v>
          </cell>
          <cell r="Y100">
            <v>2355.2199999999998</v>
          </cell>
          <cell r="Z100">
            <v>971.98</v>
          </cell>
          <cell r="AA100">
            <v>77</v>
          </cell>
          <cell r="AB100">
            <v>0</v>
          </cell>
          <cell r="AC100">
            <v>0</v>
          </cell>
          <cell r="AD100">
            <v>13.49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Y100">
            <v>652962.12</v>
          </cell>
        </row>
        <row r="101">
          <cell r="A101">
            <v>2</v>
          </cell>
          <cell r="B101" t="str">
            <v>12</v>
          </cell>
          <cell r="C101" t="str">
            <v>000</v>
          </cell>
          <cell r="D101" t="str">
            <v>1</v>
          </cell>
          <cell r="E101" t="str">
            <v>104</v>
          </cell>
          <cell r="F101" t="str">
            <v>N000</v>
          </cell>
          <cell r="G101" t="str">
            <v>111</v>
          </cell>
          <cell r="H101" t="str">
            <v>1103</v>
          </cell>
          <cell r="I101" t="str">
            <v>CFMS06</v>
          </cell>
          <cell r="J101" t="str">
            <v>MS06</v>
          </cell>
          <cell r="K101" t="str">
            <v>1</v>
          </cell>
          <cell r="L101">
            <v>1</v>
          </cell>
          <cell r="M101">
            <v>0</v>
          </cell>
          <cell r="N101">
            <v>4801.8999999999996</v>
          </cell>
          <cell r="O101" t="str">
            <v>M</v>
          </cell>
          <cell r="P101" t="str">
            <v>00000000</v>
          </cell>
          <cell r="Q101">
            <v>21723.85</v>
          </cell>
          <cell r="R101">
            <v>693.61</v>
          </cell>
          <cell r="S101">
            <v>133.38999999999999</v>
          </cell>
          <cell r="T101">
            <v>612.24</v>
          </cell>
          <cell r="U101">
            <v>240.09</v>
          </cell>
          <cell r="V101">
            <v>477.46</v>
          </cell>
          <cell r="W101">
            <v>96.04</v>
          </cell>
          <cell r="X101">
            <v>0</v>
          </cell>
          <cell r="Y101">
            <v>1326.29</v>
          </cell>
          <cell r="Z101">
            <v>548.6</v>
          </cell>
          <cell r="AA101">
            <v>77</v>
          </cell>
          <cell r="AB101">
            <v>0</v>
          </cell>
          <cell r="AC101">
            <v>0</v>
          </cell>
          <cell r="AD101">
            <v>13.49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Y101">
            <v>368927.52</v>
          </cell>
        </row>
        <row r="102">
          <cell r="A102">
            <v>2</v>
          </cell>
          <cell r="B102" t="str">
            <v>12</v>
          </cell>
          <cell r="C102" t="str">
            <v>000</v>
          </cell>
          <cell r="D102" t="str">
            <v>1</v>
          </cell>
          <cell r="E102" t="str">
            <v>104</v>
          </cell>
          <cell r="F102" t="str">
            <v>N000</v>
          </cell>
          <cell r="G102" t="str">
            <v>111</v>
          </cell>
          <cell r="H102" t="str">
            <v>1103</v>
          </cell>
          <cell r="I102" t="str">
            <v>CFMS08</v>
          </cell>
          <cell r="J102" t="str">
            <v>MS08</v>
          </cell>
          <cell r="K102" t="str">
            <v>1</v>
          </cell>
          <cell r="L102">
            <v>5</v>
          </cell>
          <cell r="M102">
            <v>0</v>
          </cell>
          <cell r="N102">
            <v>4801.8999999999996</v>
          </cell>
          <cell r="O102" t="str">
            <v>M</v>
          </cell>
          <cell r="P102" t="str">
            <v>00000000</v>
          </cell>
          <cell r="Q102">
            <v>18269.849999999999</v>
          </cell>
          <cell r="R102">
            <v>693.61</v>
          </cell>
          <cell r="S102">
            <v>133.38999999999999</v>
          </cell>
          <cell r="T102">
            <v>612.24</v>
          </cell>
          <cell r="U102">
            <v>240.09</v>
          </cell>
          <cell r="V102">
            <v>415.29</v>
          </cell>
          <cell r="W102">
            <v>96.04</v>
          </cell>
          <cell r="X102">
            <v>11</v>
          </cell>
          <cell r="Y102">
            <v>1153.5899999999999</v>
          </cell>
          <cell r="Z102">
            <v>479.74</v>
          </cell>
          <cell r="AA102">
            <v>77</v>
          </cell>
          <cell r="AB102">
            <v>0</v>
          </cell>
          <cell r="AC102">
            <v>0</v>
          </cell>
          <cell r="AD102">
            <v>13.49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Y102">
            <v>1619833.8</v>
          </cell>
        </row>
        <row r="103">
          <cell r="A103">
            <v>2</v>
          </cell>
          <cell r="B103" t="str">
            <v>12</v>
          </cell>
          <cell r="C103" t="str">
            <v>000</v>
          </cell>
          <cell r="D103" t="str">
            <v>1</v>
          </cell>
          <cell r="E103" t="str">
            <v>104</v>
          </cell>
          <cell r="F103" t="str">
            <v>N000</v>
          </cell>
          <cell r="G103" t="str">
            <v>111</v>
          </cell>
          <cell r="H103" t="str">
            <v>1103</v>
          </cell>
          <cell r="I103" t="str">
            <v>S01803</v>
          </cell>
          <cell r="J103" t="str">
            <v>19</v>
          </cell>
          <cell r="K103" t="str">
            <v>2</v>
          </cell>
          <cell r="L103">
            <v>2</v>
          </cell>
          <cell r="M103">
            <v>0</v>
          </cell>
          <cell r="N103">
            <v>2120.3000000000002</v>
          </cell>
          <cell r="O103" t="str">
            <v>M</v>
          </cell>
          <cell r="P103" t="str">
            <v>00000000</v>
          </cell>
          <cell r="Q103">
            <v>0</v>
          </cell>
          <cell r="R103">
            <v>306.27</v>
          </cell>
          <cell r="S103">
            <v>58.9</v>
          </cell>
          <cell r="T103">
            <v>270.33999999999997</v>
          </cell>
          <cell r="U103">
            <v>106.02</v>
          </cell>
          <cell r="V103">
            <v>38.17</v>
          </cell>
          <cell r="W103">
            <v>42.41</v>
          </cell>
          <cell r="X103">
            <v>82</v>
          </cell>
          <cell r="Y103">
            <v>0</v>
          </cell>
          <cell r="Z103">
            <v>56.41</v>
          </cell>
          <cell r="AA103">
            <v>77</v>
          </cell>
          <cell r="AB103">
            <v>96</v>
          </cell>
          <cell r="AC103">
            <v>80</v>
          </cell>
          <cell r="AD103">
            <v>13.49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Y103">
            <v>80335.44</v>
          </cell>
        </row>
        <row r="104">
          <cell r="A104">
            <v>2</v>
          </cell>
          <cell r="B104" t="str">
            <v>12</v>
          </cell>
          <cell r="C104" t="str">
            <v>000</v>
          </cell>
          <cell r="D104" t="str">
            <v>1</v>
          </cell>
          <cell r="E104" t="str">
            <v>104</v>
          </cell>
          <cell r="F104" t="str">
            <v>N000</v>
          </cell>
          <cell r="G104" t="str">
            <v>111</v>
          </cell>
          <cell r="H104" t="str">
            <v>1103</v>
          </cell>
          <cell r="I104" t="str">
            <v>S01805</v>
          </cell>
          <cell r="J104" t="str">
            <v>23</v>
          </cell>
          <cell r="K104" t="str">
            <v>2</v>
          </cell>
          <cell r="L104">
            <v>1</v>
          </cell>
          <cell r="M104">
            <v>0</v>
          </cell>
          <cell r="N104">
            <v>2451.25</v>
          </cell>
          <cell r="O104" t="str">
            <v>M</v>
          </cell>
          <cell r="P104" t="str">
            <v>00000000</v>
          </cell>
          <cell r="Q104">
            <v>0</v>
          </cell>
          <cell r="R104">
            <v>354.07</v>
          </cell>
          <cell r="S104">
            <v>68.09</v>
          </cell>
          <cell r="T104">
            <v>312.52999999999997</v>
          </cell>
          <cell r="U104">
            <v>122.56</v>
          </cell>
          <cell r="V104">
            <v>44.12</v>
          </cell>
          <cell r="W104">
            <v>49.02</v>
          </cell>
          <cell r="X104">
            <v>82</v>
          </cell>
          <cell r="Y104">
            <v>0</v>
          </cell>
          <cell r="Z104">
            <v>64.17</v>
          </cell>
          <cell r="AA104">
            <v>77</v>
          </cell>
          <cell r="AB104">
            <v>96</v>
          </cell>
          <cell r="AC104">
            <v>80</v>
          </cell>
          <cell r="AD104">
            <v>13.49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Y104">
            <v>45771.6</v>
          </cell>
        </row>
        <row r="105">
          <cell r="A105">
            <v>2</v>
          </cell>
          <cell r="B105" t="str">
            <v>12</v>
          </cell>
          <cell r="C105" t="str">
            <v>000</v>
          </cell>
          <cell r="D105" t="str">
            <v>1</v>
          </cell>
          <cell r="E105" t="str">
            <v>104</v>
          </cell>
          <cell r="F105" t="str">
            <v>N000</v>
          </cell>
          <cell r="G105" t="str">
            <v>111</v>
          </cell>
          <cell r="H105" t="str">
            <v>1103</v>
          </cell>
          <cell r="I105" t="str">
            <v>S01811</v>
          </cell>
          <cell r="J105" t="str">
            <v>25</v>
          </cell>
          <cell r="K105" t="str">
            <v>2</v>
          </cell>
          <cell r="L105">
            <v>1</v>
          </cell>
          <cell r="M105">
            <v>0</v>
          </cell>
          <cell r="N105">
            <v>2572.4</v>
          </cell>
          <cell r="O105" t="str">
            <v>M</v>
          </cell>
          <cell r="P105" t="str">
            <v>00000000</v>
          </cell>
          <cell r="Q105">
            <v>0</v>
          </cell>
          <cell r="R105">
            <v>371.57</v>
          </cell>
          <cell r="S105">
            <v>71.459999999999994</v>
          </cell>
          <cell r="T105">
            <v>327.98</v>
          </cell>
          <cell r="U105">
            <v>128.62</v>
          </cell>
          <cell r="V105">
            <v>46.3</v>
          </cell>
          <cell r="W105">
            <v>51.45</v>
          </cell>
          <cell r="X105">
            <v>82</v>
          </cell>
          <cell r="Y105">
            <v>0</v>
          </cell>
          <cell r="Z105">
            <v>67.010000000000005</v>
          </cell>
          <cell r="AA105">
            <v>77</v>
          </cell>
          <cell r="AB105">
            <v>96</v>
          </cell>
          <cell r="AC105">
            <v>80</v>
          </cell>
          <cell r="AD105">
            <v>13.49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Y105">
            <v>47823.360000000001</v>
          </cell>
        </row>
        <row r="106">
          <cell r="A106">
            <v>2</v>
          </cell>
          <cell r="B106" t="str">
            <v>12</v>
          </cell>
          <cell r="C106" t="str">
            <v>000</v>
          </cell>
          <cell r="D106" t="str">
            <v>1</v>
          </cell>
          <cell r="E106" t="str">
            <v>104</v>
          </cell>
          <cell r="F106" t="str">
            <v>N000</v>
          </cell>
          <cell r="G106" t="str">
            <v>111</v>
          </cell>
          <cell r="H106" t="str">
            <v>1103</v>
          </cell>
          <cell r="I106" t="str">
            <v>S03810</v>
          </cell>
          <cell r="J106" t="str">
            <v>22</v>
          </cell>
          <cell r="K106" t="str">
            <v>2</v>
          </cell>
          <cell r="L106">
            <v>1</v>
          </cell>
          <cell r="M106">
            <v>0</v>
          </cell>
          <cell r="N106">
            <v>2342.3000000000002</v>
          </cell>
          <cell r="O106" t="str">
            <v>M</v>
          </cell>
          <cell r="P106" t="str">
            <v>00000000</v>
          </cell>
          <cell r="Q106">
            <v>0</v>
          </cell>
          <cell r="R106">
            <v>338.33</v>
          </cell>
          <cell r="S106">
            <v>65.06</v>
          </cell>
          <cell r="T106">
            <v>298.64</v>
          </cell>
          <cell r="U106">
            <v>117.12</v>
          </cell>
          <cell r="V106">
            <v>42.16</v>
          </cell>
          <cell r="W106">
            <v>46.85</v>
          </cell>
          <cell r="X106">
            <v>46</v>
          </cell>
          <cell r="Y106">
            <v>0</v>
          </cell>
          <cell r="Z106">
            <v>60.89</v>
          </cell>
          <cell r="AA106">
            <v>77</v>
          </cell>
          <cell r="AB106">
            <v>96</v>
          </cell>
          <cell r="AC106">
            <v>80</v>
          </cell>
          <cell r="AD106">
            <v>13.49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Y106">
            <v>43486.080000000002</v>
          </cell>
        </row>
        <row r="107">
          <cell r="A107">
            <v>2</v>
          </cell>
          <cell r="B107" t="str">
            <v>12</v>
          </cell>
          <cell r="C107" t="str">
            <v>000</v>
          </cell>
          <cell r="D107" t="str">
            <v>1</v>
          </cell>
          <cell r="E107" t="str">
            <v>104</v>
          </cell>
          <cell r="F107" t="str">
            <v>N000</v>
          </cell>
          <cell r="G107" t="str">
            <v>111</v>
          </cell>
          <cell r="H107" t="str">
            <v>1103</v>
          </cell>
          <cell r="I107" t="str">
            <v>S08802</v>
          </cell>
          <cell r="J107" t="str">
            <v>21</v>
          </cell>
          <cell r="K107" t="str">
            <v>2</v>
          </cell>
          <cell r="L107">
            <v>2</v>
          </cell>
          <cell r="M107">
            <v>0</v>
          </cell>
          <cell r="N107">
            <v>2238.1999999999998</v>
          </cell>
          <cell r="O107" t="str">
            <v>M</v>
          </cell>
          <cell r="P107" t="str">
            <v>00000000</v>
          </cell>
          <cell r="Q107">
            <v>0</v>
          </cell>
          <cell r="R107">
            <v>323.3</v>
          </cell>
          <cell r="S107">
            <v>62.17</v>
          </cell>
          <cell r="T107">
            <v>285.37</v>
          </cell>
          <cell r="U107">
            <v>111.91</v>
          </cell>
          <cell r="V107">
            <v>40.29</v>
          </cell>
          <cell r="W107">
            <v>44.76</v>
          </cell>
          <cell r="X107">
            <v>46</v>
          </cell>
          <cell r="Y107">
            <v>0</v>
          </cell>
          <cell r="Z107">
            <v>58.45</v>
          </cell>
          <cell r="AA107">
            <v>77</v>
          </cell>
          <cell r="AB107">
            <v>96</v>
          </cell>
          <cell r="AC107">
            <v>80</v>
          </cell>
          <cell r="AD107">
            <v>13.49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Y107">
            <v>83446.559999999998</v>
          </cell>
        </row>
        <row r="108">
          <cell r="A108">
            <v>2</v>
          </cell>
          <cell r="B108" t="str">
            <v>12</v>
          </cell>
          <cell r="C108" t="str">
            <v>000</v>
          </cell>
          <cell r="D108" t="str">
            <v>1</v>
          </cell>
          <cell r="E108" t="str">
            <v>104</v>
          </cell>
          <cell r="F108" t="str">
            <v>N000</v>
          </cell>
          <cell r="G108" t="str">
            <v>111</v>
          </cell>
          <cell r="H108" t="str">
            <v>1103</v>
          </cell>
          <cell r="I108" t="str">
            <v>T03804</v>
          </cell>
          <cell r="J108" t="str">
            <v>25</v>
          </cell>
          <cell r="K108" t="str">
            <v>2</v>
          </cell>
          <cell r="L108">
            <v>11</v>
          </cell>
          <cell r="M108">
            <v>0</v>
          </cell>
          <cell r="N108">
            <v>2572.4</v>
          </cell>
          <cell r="O108" t="str">
            <v>M</v>
          </cell>
          <cell r="P108" t="str">
            <v>00000000</v>
          </cell>
          <cell r="Q108">
            <v>0</v>
          </cell>
          <cell r="R108">
            <v>371.57</v>
          </cell>
          <cell r="S108">
            <v>71.459999999999994</v>
          </cell>
          <cell r="T108">
            <v>327.98</v>
          </cell>
          <cell r="U108">
            <v>128.62</v>
          </cell>
          <cell r="V108">
            <v>46.3</v>
          </cell>
          <cell r="W108">
            <v>51.45</v>
          </cell>
          <cell r="X108">
            <v>74.55</v>
          </cell>
          <cell r="Y108">
            <v>0</v>
          </cell>
          <cell r="Z108">
            <v>66.86</v>
          </cell>
          <cell r="AA108">
            <v>77</v>
          </cell>
          <cell r="AB108">
            <v>96</v>
          </cell>
          <cell r="AC108">
            <v>80</v>
          </cell>
          <cell r="AD108">
            <v>13.49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Y108">
            <v>525053.76</v>
          </cell>
        </row>
        <row r="109">
          <cell r="A109">
            <v>2</v>
          </cell>
          <cell r="B109" t="str">
            <v>12</v>
          </cell>
          <cell r="C109" t="str">
            <v>000</v>
          </cell>
          <cell r="D109" t="str">
            <v>1</v>
          </cell>
          <cell r="E109" t="str">
            <v>104</v>
          </cell>
          <cell r="F109" t="str">
            <v>N000</v>
          </cell>
          <cell r="G109" t="str">
            <v>111</v>
          </cell>
          <cell r="H109" t="str">
            <v>1103</v>
          </cell>
          <cell r="I109" t="str">
            <v>T06807</v>
          </cell>
          <cell r="J109" t="str">
            <v>24</v>
          </cell>
          <cell r="K109" t="str">
            <v>2</v>
          </cell>
          <cell r="L109">
            <v>1</v>
          </cell>
          <cell r="M109">
            <v>0</v>
          </cell>
          <cell r="N109">
            <v>2479.75</v>
          </cell>
          <cell r="O109" t="str">
            <v>M</v>
          </cell>
          <cell r="P109" t="str">
            <v>00000000</v>
          </cell>
          <cell r="Q109">
            <v>0</v>
          </cell>
          <cell r="R109">
            <v>358.19</v>
          </cell>
          <cell r="S109">
            <v>68.88</v>
          </cell>
          <cell r="T109">
            <v>316.17</v>
          </cell>
          <cell r="U109">
            <v>123.99</v>
          </cell>
          <cell r="V109">
            <v>44.64</v>
          </cell>
          <cell r="W109">
            <v>49.59</v>
          </cell>
          <cell r="X109">
            <v>46</v>
          </cell>
          <cell r="Y109">
            <v>0</v>
          </cell>
          <cell r="Z109">
            <v>64.12</v>
          </cell>
          <cell r="AA109">
            <v>77</v>
          </cell>
          <cell r="AB109">
            <v>96</v>
          </cell>
          <cell r="AC109">
            <v>80</v>
          </cell>
          <cell r="AD109">
            <v>13.49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Y109">
            <v>45813.84</v>
          </cell>
        </row>
        <row r="110">
          <cell r="A110">
            <v>2</v>
          </cell>
          <cell r="B110" t="str">
            <v>12</v>
          </cell>
          <cell r="C110" t="str">
            <v>000</v>
          </cell>
          <cell r="D110" t="str">
            <v>1</v>
          </cell>
          <cell r="E110" t="str">
            <v>104</v>
          </cell>
          <cell r="F110" t="str">
            <v>N000</v>
          </cell>
          <cell r="G110" t="str">
            <v>111</v>
          </cell>
          <cell r="H110" t="str">
            <v>1103</v>
          </cell>
          <cell r="I110" t="str">
            <v>CF01059</v>
          </cell>
          <cell r="J110" t="str">
            <v>28</v>
          </cell>
          <cell r="K110" t="str">
            <v>1</v>
          </cell>
          <cell r="L110">
            <v>4</v>
          </cell>
          <cell r="M110">
            <v>0</v>
          </cell>
          <cell r="N110">
            <v>3631.8</v>
          </cell>
          <cell r="O110" t="str">
            <v>M</v>
          </cell>
          <cell r="P110" t="str">
            <v>00000000</v>
          </cell>
          <cell r="Q110">
            <v>8731.1</v>
          </cell>
          <cell r="R110">
            <v>524.59</v>
          </cell>
          <cell r="S110">
            <v>100.88</v>
          </cell>
          <cell r="T110">
            <v>463.05</v>
          </cell>
          <cell r="U110">
            <v>181.59</v>
          </cell>
          <cell r="V110">
            <v>222.53</v>
          </cell>
          <cell r="W110">
            <v>72.64</v>
          </cell>
          <cell r="X110">
            <v>57.25</v>
          </cell>
          <cell r="Y110">
            <v>618.15</v>
          </cell>
          <cell r="Z110">
            <v>262.45</v>
          </cell>
          <cell r="AA110">
            <v>77</v>
          </cell>
          <cell r="AB110">
            <v>0</v>
          </cell>
          <cell r="AC110">
            <v>0</v>
          </cell>
          <cell r="AD110">
            <v>13.49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Y110">
            <v>717912.96</v>
          </cell>
        </row>
        <row r="111">
          <cell r="A111">
            <v>2</v>
          </cell>
          <cell r="B111" t="str">
            <v>12</v>
          </cell>
          <cell r="C111" t="str">
            <v>000</v>
          </cell>
          <cell r="D111" t="str">
            <v>1</v>
          </cell>
          <cell r="E111" t="str">
            <v>104</v>
          </cell>
          <cell r="F111" t="str">
            <v>N000</v>
          </cell>
          <cell r="G111" t="str">
            <v>111</v>
          </cell>
          <cell r="H111" t="str">
            <v>1103</v>
          </cell>
          <cell r="I111" t="str">
            <v>CF03809</v>
          </cell>
          <cell r="J111" t="str">
            <v>25</v>
          </cell>
          <cell r="K111" t="str">
            <v>2</v>
          </cell>
          <cell r="L111">
            <v>1</v>
          </cell>
          <cell r="M111">
            <v>0</v>
          </cell>
          <cell r="N111">
            <v>2572.4</v>
          </cell>
          <cell r="O111" t="str">
            <v>M</v>
          </cell>
          <cell r="P111" t="str">
            <v>00000000</v>
          </cell>
          <cell r="Q111">
            <v>0</v>
          </cell>
          <cell r="R111">
            <v>371.57</v>
          </cell>
          <cell r="S111">
            <v>71.459999999999994</v>
          </cell>
          <cell r="T111">
            <v>327.98</v>
          </cell>
          <cell r="U111">
            <v>128.62</v>
          </cell>
          <cell r="V111">
            <v>46.3</v>
          </cell>
          <cell r="W111">
            <v>51.45</v>
          </cell>
          <cell r="X111">
            <v>0</v>
          </cell>
          <cell r="Y111">
            <v>0</v>
          </cell>
          <cell r="Z111">
            <v>65.37</v>
          </cell>
          <cell r="AA111">
            <v>77</v>
          </cell>
          <cell r="AB111">
            <v>96</v>
          </cell>
          <cell r="AC111">
            <v>80</v>
          </cell>
          <cell r="AD111">
            <v>13.49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Y111">
            <v>46819.68</v>
          </cell>
        </row>
        <row r="112">
          <cell r="A112">
            <v>2</v>
          </cell>
          <cell r="B112" t="str">
            <v>12</v>
          </cell>
          <cell r="C112" t="str">
            <v>000</v>
          </cell>
          <cell r="D112" t="str">
            <v>1</v>
          </cell>
          <cell r="E112" t="str">
            <v>104</v>
          </cell>
          <cell r="F112" t="str">
            <v>N000</v>
          </cell>
          <cell r="G112" t="str">
            <v>111</v>
          </cell>
          <cell r="H112" t="str">
            <v>1103</v>
          </cell>
          <cell r="I112" t="str">
            <v>CF03820</v>
          </cell>
          <cell r="J112" t="str">
            <v>27Z</v>
          </cell>
          <cell r="K112" t="str">
            <v>2</v>
          </cell>
          <cell r="L112">
            <v>2</v>
          </cell>
          <cell r="M112">
            <v>0</v>
          </cell>
          <cell r="N112">
            <v>2900.25</v>
          </cell>
          <cell r="O112" t="str">
            <v>M</v>
          </cell>
          <cell r="P112" t="str">
            <v>00000000</v>
          </cell>
          <cell r="Q112">
            <v>205.15</v>
          </cell>
          <cell r="R112">
            <v>418.93</v>
          </cell>
          <cell r="S112">
            <v>80.56</v>
          </cell>
          <cell r="T112">
            <v>369.78</v>
          </cell>
          <cell r="U112">
            <v>145.01</v>
          </cell>
          <cell r="V112">
            <v>55.89</v>
          </cell>
          <cell r="W112">
            <v>58.01</v>
          </cell>
          <cell r="X112">
            <v>55</v>
          </cell>
          <cell r="Y112">
            <v>0</v>
          </cell>
          <cell r="Z112">
            <v>78.260000000000005</v>
          </cell>
          <cell r="AA112">
            <v>77</v>
          </cell>
          <cell r="AB112">
            <v>96</v>
          </cell>
          <cell r="AC112">
            <v>80</v>
          </cell>
          <cell r="AD112">
            <v>13.49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Y112">
            <v>111199.92</v>
          </cell>
        </row>
        <row r="113">
          <cell r="A113">
            <v>2</v>
          </cell>
          <cell r="B113" t="str">
            <v>12</v>
          </cell>
          <cell r="C113" t="str">
            <v>000</v>
          </cell>
          <cell r="D113" t="str">
            <v>1</v>
          </cell>
          <cell r="E113" t="str">
            <v>104</v>
          </cell>
          <cell r="F113" t="str">
            <v>N000</v>
          </cell>
          <cell r="G113" t="str">
            <v>111</v>
          </cell>
          <cell r="H113" t="str">
            <v>1103</v>
          </cell>
          <cell r="I113" t="str">
            <v>CF04806</v>
          </cell>
          <cell r="J113" t="str">
            <v>26</v>
          </cell>
          <cell r="K113" t="str">
            <v>2</v>
          </cell>
          <cell r="L113">
            <v>8</v>
          </cell>
          <cell r="M113">
            <v>0</v>
          </cell>
          <cell r="N113">
            <v>2692.2</v>
          </cell>
          <cell r="O113" t="str">
            <v>M</v>
          </cell>
          <cell r="P113" t="str">
            <v>00000000</v>
          </cell>
          <cell r="Q113">
            <v>0</v>
          </cell>
          <cell r="R113">
            <v>388.87</v>
          </cell>
          <cell r="S113">
            <v>74.78</v>
          </cell>
          <cell r="T113">
            <v>343.26</v>
          </cell>
          <cell r="U113">
            <v>134.61000000000001</v>
          </cell>
          <cell r="V113">
            <v>48.46</v>
          </cell>
          <cell r="W113">
            <v>53.84</v>
          </cell>
          <cell r="X113">
            <v>41</v>
          </cell>
          <cell r="Y113">
            <v>0</v>
          </cell>
          <cell r="Z113">
            <v>69</v>
          </cell>
          <cell r="AA113">
            <v>77</v>
          </cell>
          <cell r="AB113">
            <v>96</v>
          </cell>
          <cell r="AC113">
            <v>80</v>
          </cell>
          <cell r="AD113">
            <v>13.49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Y113">
            <v>394800.96</v>
          </cell>
        </row>
        <row r="114">
          <cell r="A114">
            <v>2</v>
          </cell>
          <cell r="B114" t="str">
            <v>12</v>
          </cell>
          <cell r="C114" t="str">
            <v>000</v>
          </cell>
          <cell r="D114" t="str">
            <v>1</v>
          </cell>
          <cell r="E114" t="str">
            <v>104</v>
          </cell>
          <cell r="F114" t="str">
            <v>N000</v>
          </cell>
          <cell r="G114" t="str">
            <v>111</v>
          </cell>
          <cell r="H114" t="str">
            <v>1103</v>
          </cell>
          <cell r="I114" t="str">
            <v>CF04807</v>
          </cell>
          <cell r="J114" t="str">
            <v>27Z</v>
          </cell>
          <cell r="K114" t="str">
            <v>2</v>
          </cell>
          <cell r="L114">
            <v>9</v>
          </cell>
          <cell r="M114">
            <v>0</v>
          </cell>
          <cell r="N114">
            <v>2900.25</v>
          </cell>
          <cell r="O114" t="str">
            <v>M</v>
          </cell>
          <cell r="P114" t="str">
            <v>00000000</v>
          </cell>
          <cell r="Q114">
            <v>205.15</v>
          </cell>
          <cell r="R114">
            <v>418.93</v>
          </cell>
          <cell r="S114">
            <v>80.56</v>
          </cell>
          <cell r="T114">
            <v>369.78</v>
          </cell>
          <cell r="U114">
            <v>145.01</v>
          </cell>
          <cell r="V114">
            <v>55.89</v>
          </cell>
          <cell r="W114">
            <v>58.01</v>
          </cell>
          <cell r="X114">
            <v>50.89</v>
          </cell>
          <cell r="Y114">
            <v>0</v>
          </cell>
          <cell r="Z114">
            <v>78.180000000000007</v>
          </cell>
          <cell r="AA114">
            <v>77</v>
          </cell>
          <cell r="AB114">
            <v>96</v>
          </cell>
          <cell r="AC114">
            <v>80</v>
          </cell>
          <cell r="AD114">
            <v>13.49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Y114">
            <v>499947.12</v>
          </cell>
        </row>
        <row r="115">
          <cell r="A115">
            <v>2</v>
          </cell>
          <cell r="B115" t="str">
            <v>12</v>
          </cell>
          <cell r="C115" t="str">
            <v>000</v>
          </cell>
          <cell r="D115" t="str">
            <v>1</v>
          </cell>
          <cell r="E115" t="str">
            <v>104</v>
          </cell>
          <cell r="F115" t="str">
            <v>N000</v>
          </cell>
          <cell r="G115" t="str">
            <v>111</v>
          </cell>
          <cell r="H115" t="str">
            <v>1103</v>
          </cell>
          <cell r="I115" t="str">
            <v>CF04808</v>
          </cell>
          <cell r="J115" t="str">
            <v>27ZA</v>
          </cell>
          <cell r="K115" t="str">
            <v>2</v>
          </cell>
          <cell r="L115">
            <v>6</v>
          </cell>
          <cell r="M115">
            <v>0</v>
          </cell>
          <cell r="N115">
            <v>2982.9</v>
          </cell>
          <cell r="O115" t="str">
            <v>M</v>
          </cell>
          <cell r="P115" t="str">
            <v>00000000</v>
          </cell>
          <cell r="Q115">
            <v>579.4</v>
          </cell>
          <cell r="R115">
            <v>430.86</v>
          </cell>
          <cell r="S115">
            <v>82.86</v>
          </cell>
          <cell r="T115">
            <v>380.32</v>
          </cell>
          <cell r="U115">
            <v>149.15</v>
          </cell>
          <cell r="V115">
            <v>64.12</v>
          </cell>
          <cell r="W115">
            <v>59.66</v>
          </cell>
          <cell r="X115">
            <v>45.67</v>
          </cell>
          <cell r="Y115">
            <v>0</v>
          </cell>
          <cell r="Z115">
            <v>87.49</v>
          </cell>
          <cell r="AA115">
            <v>77</v>
          </cell>
          <cell r="AB115">
            <v>96</v>
          </cell>
          <cell r="AC115">
            <v>80</v>
          </cell>
          <cell r="AD115">
            <v>13.49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Y115">
            <v>369282.24</v>
          </cell>
        </row>
        <row r="116">
          <cell r="A116">
            <v>2</v>
          </cell>
          <cell r="B116" t="str">
            <v>12</v>
          </cell>
          <cell r="C116" t="str">
            <v>000</v>
          </cell>
          <cell r="D116" t="str">
            <v>1</v>
          </cell>
          <cell r="E116" t="str">
            <v>104</v>
          </cell>
          <cell r="F116" t="str">
            <v>N000</v>
          </cell>
          <cell r="G116" t="str">
            <v>111</v>
          </cell>
          <cell r="H116" t="str">
            <v>1103</v>
          </cell>
          <cell r="I116" t="str">
            <v>CF08822</v>
          </cell>
          <cell r="J116" t="str">
            <v>23</v>
          </cell>
          <cell r="K116" t="str">
            <v>2</v>
          </cell>
          <cell r="L116">
            <v>1</v>
          </cell>
          <cell r="M116">
            <v>0</v>
          </cell>
          <cell r="N116">
            <v>2451.25</v>
          </cell>
          <cell r="O116" t="str">
            <v>M</v>
          </cell>
          <cell r="P116" t="str">
            <v>00000000</v>
          </cell>
          <cell r="Q116">
            <v>0</v>
          </cell>
          <cell r="R116">
            <v>354.07</v>
          </cell>
          <cell r="S116">
            <v>68.09</v>
          </cell>
          <cell r="T116">
            <v>312.52999999999997</v>
          </cell>
          <cell r="U116">
            <v>122.56</v>
          </cell>
          <cell r="V116">
            <v>44.12</v>
          </cell>
          <cell r="W116">
            <v>49.02</v>
          </cell>
          <cell r="X116">
            <v>0</v>
          </cell>
          <cell r="Y116">
            <v>0</v>
          </cell>
          <cell r="Z116">
            <v>62.53</v>
          </cell>
          <cell r="AA116">
            <v>77</v>
          </cell>
          <cell r="AB116">
            <v>96</v>
          </cell>
          <cell r="AC116">
            <v>80</v>
          </cell>
          <cell r="AD116">
            <v>13.49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Y116">
            <v>44767.92</v>
          </cell>
        </row>
        <row r="117">
          <cell r="A117">
            <v>2</v>
          </cell>
          <cell r="B117" t="str">
            <v>12</v>
          </cell>
          <cell r="C117" t="str">
            <v>000</v>
          </cell>
          <cell r="D117" t="str">
            <v>1</v>
          </cell>
          <cell r="E117" t="str">
            <v>104</v>
          </cell>
          <cell r="F117" t="str">
            <v>N000</v>
          </cell>
          <cell r="G117" t="str">
            <v>111</v>
          </cell>
          <cell r="H117" t="str">
            <v>1103</v>
          </cell>
          <cell r="I117" t="str">
            <v>CF21829</v>
          </cell>
          <cell r="J117" t="str">
            <v>27ZB</v>
          </cell>
          <cell r="K117" t="str">
            <v>2</v>
          </cell>
          <cell r="L117">
            <v>1</v>
          </cell>
          <cell r="M117">
            <v>0</v>
          </cell>
          <cell r="N117">
            <v>3008.65</v>
          </cell>
          <cell r="O117" t="str">
            <v>M</v>
          </cell>
          <cell r="P117" t="str">
            <v>00000000</v>
          </cell>
          <cell r="Q117">
            <v>857</v>
          </cell>
          <cell r="R117">
            <v>434.58</v>
          </cell>
          <cell r="S117">
            <v>83.57</v>
          </cell>
          <cell r="T117">
            <v>383.6</v>
          </cell>
          <cell r="U117">
            <v>150.43</v>
          </cell>
          <cell r="V117">
            <v>69.59</v>
          </cell>
          <cell r="W117">
            <v>60.17</v>
          </cell>
          <cell r="X117">
            <v>46</v>
          </cell>
          <cell r="Y117">
            <v>0</v>
          </cell>
          <cell r="Z117">
            <v>93.66</v>
          </cell>
          <cell r="AA117">
            <v>77</v>
          </cell>
          <cell r="AB117">
            <v>96</v>
          </cell>
          <cell r="AC117">
            <v>80</v>
          </cell>
          <cell r="AD117">
            <v>13.49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Y117">
            <v>65444.88</v>
          </cell>
        </row>
        <row r="118">
          <cell r="A118">
            <v>2</v>
          </cell>
          <cell r="B118" t="str">
            <v>12</v>
          </cell>
          <cell r="C118" t="str">
            <v>000</v>
          </cell>
          <cell r="D118" t="str">
            <v>1</v>
          </cell>
          <cell r="E118" t="str">
            <v>104</v>
          </cell>
          <cell r="F118" t="str">
            <v>N000</v>
          </cell>
          <cell r="G118" t="str">
            <v>111</v>
          </cell>
          <cell r="H118" t="str">
            <v>1103</v>
          </cell>
          <cell r="I118" t="str">
            <v>CF21856</v>
          </cell>
          <cell r="J118" t="str">
            <v>27Z</v>
          </cell>
          <cell r="K118" t="str">
            <v>2</v>
          </cell>
          <cell r="L118">
            <v>1</v>
          </cell>
          <cell r="M118">
            <v>0</v>
          </cell>
          <cell r="N118">
            <v>2900.25</v>
          </cell>
          <cell r="O118" t="str">
            <v>M</v>
          </cell>
          <cell r="P118" t="str">
            <v>00000000</v>
          </cell>
          <cell r="Q118">
            <v>205.15</v>
          </cell>
          <cell r="R118">
            <v>418.93</v>
          </cell>
          <cell r="S118">
            <v>80.56</v>
          </cell>
          <cell r="T118">
            <v>369.78</v>
          </cell>
          <cell r="U118">
            <v>145.01</v>
          </cell>
          <cell r="V118">
            <v>55.89</v>
          </cell>
          <cell r="W118">
            <v>58.01</v>
          </cell>
          <cell r="X118">
            <v>82</v>
          </cell>
          <cell r="Y118">
            <v>0</v>
          </cell>
          <cell r="Z118">
            <v>78.8</v>
          </cell>
          <cell r="AA118">
            <v>77</v>
          </cell>
          <cell r="AB118">
            <v>96</v>
          </cell>
          <cell r="AC118">
            <v>80</v>
          </cell>
          <cell r="AD118">
            <v>13.49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Y118">
            <v>55930.44</v>
          </cell>
        </row>
        <row r="119">
          <cell r="A119">
            <v>2</v>
          </cell>
          <cell r="B119" t="str">
            <v>12</v>
          </cell>
          <cell r="C119" t="str">
            <v>000</v>
          </cell>
          <cell r="D119" t="str">
            <v>1</v>
          </cell>
          <cell r="E119" t="str">
            <v>104</v>
          </cell>
          <cell r="F119" t="str">
            <v>N000</v>
          </cell>
          <cell r="G119" t="str">
            <v>111</v>
          </cell>
          <cell r="H119" t="str">
            <v>1103</v>
          </cell>
          <cell r="I119" t="str">
            <v>CF21858</v>
          </cell>
          <cell r="J119" t="str">
            <v>27ZA</v>
          </cell>
          <cell r="K119" t="str">
            <v>2</v>
          </cell>
          <cell r="L119">
            <v>1</v>
          </cell>
          <cell r="M119">
            <v>0</v>
          </cell>
          <cell r="N119">
            <v>2982.9</v>
          </cell>
          <cell r="O119" t="str">
            <v>M</v>
          </cell>
          <cell r="P119" t="str">
            <v>00000000</v>
          </cell>
          <cell r="Q119">
            <v>579.4</v>
          </cell>
          <cell r="R119">
            <v>430.86</v>
          </cell>
          <cell r="S119">
            <v>82.86</v>
          </cell>
          <cell r="T119">
            <v>380.32</v>
          </cell>
          <cell r="U119">
            <v>149.15</v>
          </cell>
          <cell r="V119">
            <v>64.12</v>
          </cell>
          <cell r="W119">
            <v>59.66</v>
          </cell>
          <cell r="X119">
            <v>82</v>
          </cell>
          <cell r="Y119">
            <v>0</v>
          </cell>
          <cell r="Z119">
            <v>88.22</v>
          </cell>
          <cell r="AA119">
            <v>77</v>
          </cell>
          <cell r="AB119">
            <v>96</v>
          </cell>
          <cell r="AC119">
            <v>80</v>
          </cell>
          <cell r="AD119">
            <v>13.49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Y119">
            <v>61991.76</v>
          </cell>
        </row>
        <row r="120">
          <cell r="A120">
            <v>2</v>
          </cell>
          <cell r="B120" t="str">
            <v>12</v>
          </cell>
          <cell r="C120" t="str">
            <v>000</v>
          </cell>
          <cell r="D120" t="str">
            <v>1</v>
          </cell>
          <cell r="E120" t="str">
            <v>104</v>
          </cell>
          <cell r="F120" t="str">
            <v>N000</v>
          </cell>
          <cell r="G120" t="str">
            <v>111</v>
          </cell>
          <cell r="H120" t="str">
            <v>1103</v>
          </cell>
          <cell r="I120" t="str">
            <v>CF21859</v>
          </cell>
          <cell r="J120" t="str">
            <v>27ZB</v>
          </cell>
          <cell r="K120" t="str">
            <v>2</v>
          </cell>
          <cell r="L120">
            <v>2</v>
          </cell>
          <cell r="M120">
            <v>0</v>
          </cell>
          <cell r="N120">
            <v>3008.65</v>
          </cell>
          <cell r="O120" t="str">
            <v>M</v>
          </cell>
          <cell r="P120" t="str">
            <v>00000000</v>
          </cell>
          <cell r="Q120">
            <v>857</v>
          </cell>
          <cell r="R120">
            <v>434.58</v>
          </cell>
          <cell r="S120">
            <v>83.57</v>
          </cell>
          <cell r="T120">
            <v>383.6</v>
          </cell>
          <cell r="U120">
            <v>150.43</v>
          </cell>
          <cell r="V120">
            <v>69.59</v>
          </cell>
          <cell r="W120">
            <v>60.17</v>
          </cell>
          <cell r="X120">
            <v>122.5</v>
          </cell>
          <cell r="Y120">
            <v>0</v>
          </cell>
          <cell r="Z120">
            <v>95.19</v>
          </cell>
          <cell r="AA120">
            <v>77</v>
          </cell>
          <cell r="AB120">
            <v>96</v>
          </cell>
          <cell r="AC120">
            <v>80</v>
          </cell>
          <cell r="AD120">
            <v>13.49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Y120">
            <v>132762.48000000001</v>
          </cell>
        </row>
        <row r="121">
          <cell r="A121">
            <v>2</v>
          </cell>
          <cell r="B121" t="str">
            <v>12</v>
          </cell>
          <cell r="C121" t="str">
            <v>000</v>
          </cell>
          <cell r="D121" t="str">
            <v>1</v>
          </cell>
          <cell r="E121" t="str">
            <v>104</v>
          </cell>
          <cell r="F121" t="str">
            <v>N000</v>
          </cell>
          <cell r="G121" t="str">
            <v>111</v>
          </cell>
          <cell r="H121" t="str">
            <v>1103</v>
          </cell>
          <cell r="I121" t="str">
            <v>CF21864</v>
          </cell>
          <cell r="J121" t="str">
            <v>27C</v>
          </cell>
          <cell r="K121" t="str">
            <v>1</v>
          </cell>
          <cell r="L121">
            <v>5</v>
          </cell>
          <cell r="M121">
            <v>0</v>
          </cell>
          <cell r="N121">
            <v>3268.2</v>
          </cell>
          <cell r="O121" t="str">
            <v>M</v>
          </cell>
          <cell r="P121" t="str">
            <v>00000000</v>
          </cell>
          <cell r="Q121">
            <v>4783.05</v>
          </cell>
          <cell r="R121">
            <v>472.07</v>
          </cell>
          <cell r="S121">
            <v>90.78</v>
          </cell>
          <cell r="T121">
            <v>416.7</v>
          </cell>
          <cell r="U121">
            <v>163.41</v>
          </cell>
          <cell r="V121">
            <v>144.91999999999999</v>
          </cell>
          <cell r="W121">
            <v>65.36</v>
          </cell>
          <cell r="X121">
            <v>44</v>
          </cell>
          <cell r="Y121">
            <v>0</v>
          </cell>
          <cell r="Z121">
            <v>174.7</v>
          </cell>
          <cell r="AA121">
            <v>77</v>
          </cell>
          <cell r="AB121">
            <v>0</v>
          </cell>
          <cell r="AC121">
            <v>0</v>
          </cell>
          <cell r="AD121">
            <v>13.49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Y121">
            <v>582820.80000000005</v>
          </cell>
        </row>
        <row r="122">
          <cell r="A122">
            <v>2</v>
          </cell>
          <cell r="B122" t="str">
            <v>12</v>
          </cell>
          <cell r="C122" t="str">
            <v>000</v>
          </cell>
          <cell r="D122" t="str">
            <v>1</v>
          </cell>
          <cell r="E122" t="str">
            <v>104</v>
          </cell>
          <cell r="F122" t="str">
            <v>N000</v>
          </cell>
          <cell r="G122" t="str">
            <v>111</v>
          </cell>
          <cell r="H122" t="str">
            <v>1103</v>
          </cell>
          <cell r="I122" t="str">
            <v>CF21865</v>
          </cell>
          <cell r="J122" t="str">
            <v>27B</v>
          </cell>
          <cell r="K122" t="str">
            <v>1</v>
          </cell>
          <cell r="L122">
            <v>2</v>
          </cell>
          <cell r="M122">
            <v>0</v>
          </cell>
          <cell r="N122">
            <v>3222.2</v>
          </cell>
          <cell r="O122" t="str">
            <v>M</v>
          </cell>
          <cell r="P122" t="str">
            <v>00000000</v>
          </cell>
          <cell r="Q122">
            <v>3558.85</v>
          </cell>
          <cell r="R122">
            <v>465.43</v>
          </cell>
          <cell r="S122">
            <v>89.51</v>
          </cell>
          <cell r="T122">
            <v>410.83</v>
          </cell>
          <cell r="U122">
            <v>161.11000000000001</v>
          </cell>
          <cell r="V122">
            <v>122.06</v>
          </cell>
          <cell r="W122">
            <v>64.44</v>
          </cell>
          <cell r="X122">
            <v>55</v>
          </cell>
          <cell r="Y122">
            <v>0</v>
          </cell>
          <cell r="Z122">
            <v>149.36000000000001</v>
          </cell>
          <cell r="AA122">
            <v>77</v>
          </cell>
          <cell r="AB122">
            <v>0</v>
          </cell>
          <cell r="AC122">
            <v>0</v>
          </cell>
          <cell r="AD122">
            <v>13.49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Y122">
            <v>201342.72</v>
          </cell>
        </row>
        <row r="123">
          <cell r="A123">
            <v>2</v>
          </cell>
          <cell r="B123" t="str">
            <v>12</v>
          </cell>
          <cell r="C123" t="str">
            <v>000</v>
          </cell>
          <cell r="D123" t="str">
            <v>1</v>
          </cell>
          <cell r="E123" t="str">
            <v>104</v>
          </cell>
          <cell r="F123" t="str">
            <v>N000</v>
          </cell>
          <cell r="G123" t="str">
            <v>111</v>
          </cell>
          <cell r="H123" t="str">
            <v>1103</v>
          </cell>
          <cell r="I123" t="str">
            <v>CF21866</v>
          </cell>
          <cell r="J123" t="str">
            <v>27A</v>
          </cell>
          <cell r="K123" t="str">
            <v>1</v>
          </cell>
          <cell r="L123">
            <v>3</v>
          </cell>
          <cell r="M123">
            <v>0</v>
          </cell>
          <cell r="N123">
            <v>3185.4</v>
          </cell>
          <cell r="O123" t="str">
            <v>M</v>
          </cell>
          <cell r="P123" t="str">
            <v>00000000</v>
          </cell>
          <cell r="Q123">
            <v>2791.7</v>
          </cell>
          <cell r="R123">
            <v>460.11</v>
          </cell>
          <cell r="S123">
            <v>88.48</v>
          </cell>
          <cell r="T123">
            <v>406.14</v>
          </cell>
          <cell r="U123">
            <v>159.27000000000001</v>
          </cell>
          <cell r="V123">
            <v>107.59</v>
          </cell>
          <cell r="W123">
            <v>63.71</v>
          </cell>
          <cell r="X123">
            <v>46</v>
          </cell>
          <cell r="Y123">
            <v>0</v>
          </cell>
          <cell r="Z123">
            <v>132.97</v>
          </cell>
          <cell r="AA123">
            <v>77</v>
          </cell>
          <cell r="AB123">
            <v>0</v>
          </cell>
          <cell r="AC123">
            <v>0</v>
          </cell>
          <cell r="AD123">
            <v>13.49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Y123">
            <v>271146.96000000002</v>
          </cell>
        </row>
        <row r="124">
          <cell r="A124">
            <v>2</v>
          </cell>
          <cell r="B124" t="str">
            <v>12</v>
          </cell>
          <cell r="C124" t="str">
            <v>000</v>
          </cell>
          <cell r="D124" t="str">
            <v>1</v>
          </cell>
          <cell r="E124" t="str">
            <v>104</v>
          </cell>
          <cell r="F124" t="str">
            <v>N000</v>
          </cell>
          <cell r="G124" t="str">
            <v>111</v>
          </cell>
          <cell r="H124" t="str">
            <v>1103</v>
          </cell>
          <cell r="I124" t="str">
            <v>CF33834</v>
          </cell>
          <cell r="J124" t="str">
            <v>27</v>
          </cell>
          <cell r="K124" t="str">
            <v>2</v>
          </cell>
          <cell r="L124">
            <v>21</v>
          </cell>
          <cell r="M124">
            <v>0</v>
          </cell>
          <cell r="N124">
            <v>2817.8</v>
          </cell>
          <cell r="O124" t="str">
            <v>M</v>
          </cell>
          <cell r="P124" t="str">
            <v>00000000</v>
          </cell>
          <cell r="Q124">
            <v>0</v>
          </cell>
          <cell r="R124">
            <v>407.02</v>
          </cell>
          <cell r="S124">
            <v>78.27</v>
          </cell>
          <cell r="T124">
            <v>359.27</v>
          </cell>
          <cell r="U124">
            <v>140.88999999999999</v>
          </cell>
          <cell r="V124">
            <v>50.72</v>
          </cell>
          <cell r="W124">
            <v>56.36</v>
          </cell>
          <cell r="X124">
            <v>68.709999999999994</v>
          </cell>
          <cell r="Y124">
            <v>0</v>
          </cell>
          <cell r="Z124">
            <v>72.5</v>
          </cell>
          <cell r="AA124">
            <v>77</v>
          </cell>
          <cell r="AB124">
            <v>96</v>
          </cell>
          <cell r="AC124">
            <v>80</v>
          </cell>
          <cell r="AD124">
            <v>13.49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Y124">
            <v>1088143.56</v>
          </cell>
        </row>
        <row r="125">
          <cell r="A125">
            <v>2</v>
          </cell>
          <cell r="B125" t="str">
            <v>12</v>
          </cell>
          <cell r="C125" t="str">
            <v>000</v>
          </cell>
          <cell r="D125" t="str">
            <v>1</v>
          </cell>
          <cell r="E125" t="str">
            <v>104</v>
          </cell>
          <cell r="F125" t="str">
            <v>N000</v>
          </cell>
          <cell r="G125" t="str">
            <v>111</v>
          </cell>
          <cell r="H125" t="str">
            <v>1103</v>
          </cell>
          <cell r="I125" t="str">
            <v>CF33892</v>
          </cell>
          <cell r="J125" t="str">
            <v>27ZA</v>
          </cell>
          <cell r="K125" t="str">
            <v>2</v>
          </cell>
          <cell r="L125">
            <v>38</v>
          </cell>
          <cell r="M125">
            <v>0</v>
          </cell>
          <cell r="N125">
            <v>2982.9</v>
          </cell>
          <cell r="O125" t="str">
            <v>M</v>
          </cell>
          <cell r="P125" t="str">
            <v>00000000</v>
          </cell>
          <cell r="Q125">
            <v>579.4</v>
          </cell>
          <cell r="R125">
            <v>430.86</v>
          </cell>
          <cell r="S125">
            <v>82.86</v>
          </cell>
          <cell r="T125">
            <v>380.32</v>
          </cell>
          <cell r="U125">
            <v>149.15</v>
          </cell>
          <cell r="V125">
            <v>64.12</v>
          </cell>
          <cell r="W125">
            <v>59.66</v>
          </cell>
          <cell r="X125">
            <v>76.319999999999993</v>
          </cell>
          <cell r="Y125">
            <v>0</v>
          </cell>
          <cell r="Z125">
            <v>88.11</v>
          </cell>
          <cell r="AA125">
            <v>77</v>
          </cell>
          <cell r="AB125">
            <v>96</v>
          </cell>
          <cell r="AC125">
            <v>80</v>
          </cell>
          <cell r="AD125">
            <v>13.49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Y125">
            <v>2353046.64</v>
          </cell>
        </row>
        <row r="126">
          <cell r="A126">
            <v>2</v>
          </cell>
          <cell r="B126" t="str">
            <v>12</v>
          </cell>
          <cell r="C126" t="str">
            <v>000</v>
          </cell>
          <cell r="D126" t="str">
            <v>1</v>
          </cell>
          <cell r="E126" t="str">
            <v>104</v>
          </cell>
          <cell r="F126" t="str">
            <v>N000</v>
          </cell>
          <cell r="G126" t="str">
            <v>111</v>
          </cell>
          <cell r="H126" t="str">
            <v>1103</v>
          </cell>
          <cell r="I126" t="str">
            <v>CF34806</v>
          </cell>
          <cell r="J126" t="str">
            <v>23</v>
          </cell>
          <cell r="K126" t="str">
            <v>2</v>
          </cell>
          <cell r="L126">
            <v>1</v>
          </cell>
          <cell r="M126">
            <v>0</v>
          </cell>
          <cell r="N126">
            <v>2451.25</v>
          </cell>
          <cell r="O126" t="str">
            <v>M</v>
          </cell>
          <cell r="P126" t="str">
            <v>00000000</v>
          </cell>
          <cell r="Q126">
            <v>0</v>
          </cell>
          <cell r="R126">
            <v>354.07</v>
          </cell>
          <cell r="S126">
            <v>68.09</v>
          </cell>
          <cell r="T126">
            <v>312.52999999999997</v>
          </cell>
          <cell r="U126">
            <v>122.56</v>
          </cell>
          <cell r="V126">
            <v>44.12</v>
          </cell>
          <cell r="W126">
            <v>49.02</v>
          </cell>
          <cell r="X126">
            <v>55</v>
          </cell>
          <cell r="Y126">
            <v>0</v>
          </cell>
          <cell r="Z126">
            <v>63.63</v>
          </cell>
          <cell r="AA126">
            <v>77</v>
          </cell>
          <cell r="AB126">
            <v>96</v>
          </cell>
          <cell r="AC126">
            <v>80</v>
          </cell>
          <cell r="AD126">
            <v>13.49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Y126">
            <v>45441.120000000003</v>
          </cell>
        </row>
        <row r="127">
          <cell r="A127">
            <v>2</v>
          </cell>
          <cell r="B127" t="str">
            <v>12</v>
          </cell>
          <cell r="C127" t="str">
            <v>000</v>
          </cell>
          <cell r="D127" t="str">
            <v>1</v>
          </cell>
          <cell r="E127" t="str">
            <v>602</v>
          </cell>
          <cell r="F127" t="str">
            <v>N000</v>
          </cell>
          <cell r="G127" t="str">
            <v>112</v>
          </cell>
          <cell r="H127" t="str">
            <v>1103</v>
          </cell>
          <cell r="I127" t="str">
            <v>A01803</v>
          </cell>
          <cell r="J127" t="str">
            <v>19</v>
          </cell>
          <cell r="K127" t="str">
            <v>2</v>
          </cell>
          <cell r="L127">
            <v>2</v>
          </cell>
          <cell r="M127">
            <v>0</v>
          </cell>
          <cell r="N127">
            <v>2120.3000000000002</v>
          </cell>
          <cell r="O127" t="str">
            <v>M</v>
          </cell>
          <cell r="P127" t="str">
            <v>00000000</v>
          </cell>
          <cell r="Q127">
            <v>0</v>
          </cell>
          <cell r="R127">
            <v>306.27</v>
          </cell>
          <cell r="S127">
            <v>58.9</v>
          </cell>
          <cell r="T127">
            <v>270.33999999999997</v>
          </cell>
          <cell r="U127">
            <v>106.02</v>
          </cell>
          <cell r="V127">
            <v>38.17</v>
          </cell>
          <cell r="W127">
            <v>42.41</v>
          </cell>
          <cell r="X127">
            <v>27.5</v>
          </cell>
          <cell r="Y127">
            <v>0</v>
          </cell>
          <cell r="Z127">
            <v>55.32</v>
          </cell>
          <cell r="AA127">
            <v>77</v>
          </cell>
          <cell r="AB127">
            <v>96</v>
          </cell>
          <cell r="AC127">
            <v>80</v>
          </cell>
          <cell r="AD127">
            <v>13.49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Y127">
            <v>79001.279999999999</v>
          </cell>
        </row>
        <row r="128">
          <cell r="A128">
            <v>2</v>
          </cell>
          <cell r="B128" t="str">
            <v>12</v>
          </cell>
          <cell r="C128" t="str">
            <v>000</v>
          </cell>
          <cell r="D128" t="str">
            <v>1</v>
          </cell>
          <cell r="E128" t="str">
            <v>602</v>
          </cell>
          <cell r="F128" t="str">
            <v>N000</v>
          </cell>
          <cell r="G128" t="str">
            <v>112</v>
          </cell>
          <cell r="H128" t="str">
            <v>1103</v>
          </cell>
          <cell r="I128" t="str">
            <v>A01805</v>
          </cell>
          <cell r="J128" t="str">
            <v>21</v>
          </cell>
          <cell r="K128" t="str">
            <v>2</v>
          </cell>
          <cell r="L128">
            <v>1</v>
          </cell>
          <cell r="M128">
            <v>0</v>
          </cell>
          <cell r="N128">
            <v>2238.1999999999998</v>
          </cell>
          <cell r="O128" t="str">
            <v>M</v>
          </cell>
          <cell r="P128" t="str">
            <v>00000000</v>
          </cell>
          <cell r="Q128">
            <v>0</v>
          </cell>
          <cell r="R128">
            <v>323.3</v>
          </cell>
          <cell r="S128">
            <v>62.17</v>
          </cell>
          <cell r="T128">
            <v>285.37</v>
          </cell>
          <cell r="U128">
            <v>111.91</v>
          </cell>
          <cell r="V128">
            <v>40.29</v>
          </cell>
          <cell r="W128">
            <v>44.76</v>
          </cell>
          <cell r="X128">
            <v>0</v>
          </cell>
          <cell r="Y128">
            <v>0</v>
          </cell>
          <cell r="Z128">
            <v>57.53</v>
          </cell>
          <cell r="AA128">
            <v>77</v>
          </cell>
          <cell r="AB128">
            <v>96</v>
          </cell>
          <cell r="AC128">
            <v>80</v>
          </cell>
          <cell r="AD128">
            <v>13.49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Y128">
            <v>41160.239999999998</v>
          </cell>
        </row>
        <row r="129">
          <cell r="A129">
            <v>2</v>
          </cell>
          <cell r="B129" t="str">
            <v>12</v>
          </cell>
          <cell r="C129" t="str">
            <v>000</v>
          </cell>
          <cell r="D129" t="str">
            <v>1</v>
          </cell>
          <cell r="E129" t="str">
            <v>602</v>
          </cell>
          <cell r="F129" t="str">
            <v>N000</v>
          </cell>
          <cell r="G129" t="str">
            <v>112</v>
          </cell>
          <cell r="H129" t="str">
            <v>1103</v>
          </cell>
          <cell r="I129" t="str">
            <v>A01807</v>
          </cell>
          <cell r="J129" t="str">
            <v>27</v>
          </cell>
          <cell r="K129" t="str">
            <v>2</v>
          </cell>
          <cell r="L129">
            <v>2</v>
          </cell>
          <cell r="M129">
            <v>0</v>
          </cell>
          <cell r="N129">
            <v>2817.8</v>
          </cell>
          <cell r="O129" t="str">
            <v>M</v>
          </cell>
          <cell r="P129" t="str">
            <v>00000000</v>
          </cell>
          <cell r="Q129">
            <v>0</v>
          </cell>
          <cell r="R129">
            <v>407.02</v>
          </cell>
          <cell r="S129">
            <v>78.27</v>
          </cell>
          <cell r="T129">
            <v>359.27</v>
          </cell>
          <cell r="U129">
            <v>140.88999999999999</v>
          </cell>
          <cell r="V129">
            <v>50.72</v>
          </cell>
          <cell r="W129">
            <v>56.36</v>
          </cell>
          <cell r="X129">
            <v>23</v>
          </cell>
          <cell r="Y129">
            <v>0</v>
          </cell>
          <cell r="Z129">
            <v>71.61</v>
          </cell>
          <cell r="AA129">
            <v>77</v>
          </cell>
          <cell r="AB129">
            <v>96</v>
          </cell>
          <cell r="AC129">
            <v>80</v>
          </cell>
          <cell r="AD129">
            <v>13.49</v>
          </cell>
          <cell r="AE129">
            <v>1.17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Y129">
            <v>102542.39999999999</v>
          </cell>
        </row>
        <row r="130">
          <cell r="A130">
            <v>2</v>
          </cell>
          <cell r="B130" t="str">
            <v>12</v>
          </cell>
          <cell r="C130" t="str">
            <v>000</v>
          </cell>
          <cell r="D130" t="str">
            <v>1</v>
          </cell>
          <cell r="E130" t="str">
            <v>602</v>
          </cell>
          <cell r="F130" t="str">
            <v>N000</v>
          </cell>
          <cell r="G130" t="str">
            <v>112</v>
          </cell>
          <cell r="H130" t="str">
            <v>1103</v>
          </cell>
          <cell r="I130" t="str">
            <v>A03804</v>
          </cell>
          <cell r="J130" t="str">
            <v>23</v>
          </cell>
          <cell r="K130" t="str">
            <v>2</v>
          </cell>
          <cell r="L130">
            <v>1</v>
          </cell>
          <cell r="M130">
            <v>0</v>
          </cell>
          <cell r="N130">
            <v>2451.25</v>
          </cell>
          <cell r="O130" t="str">
            <v>M</v>
          </cell>
          <cell r="P130" t="str">
            <v>00000000</v>
          </cell>
          <cell r="Q130">
            <v>0</v>
          </cell>
          <cell r="R130">
            <v>354.07</v>
          </cell>
          <cell r="S130">
            <v>68.09</v>
          </cell>
          <cell r="T130">
            <v>312.52999999999997</v>
          </cell>
          <cell r="U130">
            <v>122.56</v>
          </cell>
          <cell r="V130">
            <v>44.12</v>
          </cell>
          <cell r="W130">
            <v>49.02</v>
          </cell>
          <cell r="X130">
            <v>0</v>
          </cell>
          <cell r="Y130">
            <v>0</v>
          </cell>
          <cell r="Z130">
            <v>62.53</v>
          </cell>
          <cell r="AA130">
            <v>77</v>
          </cell>
          <cell r="AB130">
            <v>96</v>
          </cell>
          <cell r="AC130">
            <v>80</v>
          </cell>
          <cell r="AD130">
            <v>13.49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Y130">
            <v>44767.92</v>
          </cell>
        </row>
        <row r="131">
          <cell r="A131">
            <v>2</v>
          </cell>
          <cell r="B131" t="str">
            <v>12</v>
          </cell>
          <cell r="C131" t="str">
            <v>000</v>
          </cell>
          <cell r="D131" t="str">
            <v>1</v>
          </cell>
          <cell r="E131" t="str">
            <v>602</v>
          </cell>
          <cell r="F131" t="str">
            <v>N000</v>
          </cell>
          <cell r="G131" t="str">
            <v>112</v>
          </cell>
          <cell r="H131" t="str">
            <v>1103</v>
          </cell>
          <cell r="I131" t="str">
            <v>CFMC03</v>
          </cell>
          <cell r="J131" t="str">
            <v>MC03</v>
          </cell>
          <cell r="K131" t="str">
            <v>1</v>
          </cell>
          <cell r="L131">
            <v>5</v>
          </cell>
          <cell r="M131">
            <v>0</v>
          </cell>
          <cell r="N131">
            <v>4311.3999999999996</v>
          </cell>
          <cell r="O131" t="str">
            <v>M</v>
          </cell>
          <cell r="P131" t="str">
            <v>00000000</v>
          </cell>
          <cell r="Q131">
            <v>11306.9</v>
          </cell>
          <cell r="R131">
            <v>622.76</v>
          </cell>
          <cell r="S131">
            <v>119.76</v>
          </cell>
          <cell r="T131">
            <v>549.70000000000005</v>
          </cell>
          <cell r="U131">
            <v>215.57</v>
          </cell>
          <cell r="V131">
            <v>281.13</v>
          </cell>
          <cell r="W131">
            <v>86.23</v>
          </cell>
          <cell r="X131">
            <v>34.799999999999997</v>
          </cell>
          <cell r="Y131">
            <v>780.91</v>
          </cell>
          <cell r="Z131">
            <v>329.45</v>
          </cell>
          <cell r="AA131">
            <v>77</v>
          </cell>
          <cell r="AB131">
            <v>0</v>
          </cell>
          <cell r="AC131">
            <v>0</v>
          </cell>
          <cell r="AD131">
            <v>13.49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Y131">
            <v>1123746</v>
          </cell>
        </row>
        <row r="132">
          <cell r="A132">
            <v>2</v>
          </cell>
          <cell r="B132" t="str">
            <v>12</v>
          </cell>
          <cell r="C132" t="str">
            <v>000</v>
          </cell>
          <cell r="D132" t="str">
            <v>1</v>
          </cell>
          <cell r="E132" t="str">
            <v>602</v>
          </cell>
          <cell r="F132" t="str">
            <v>N000</v>
          </cell>
          <cell r="G132" t="str">
            <v>112</v>
          </cell>
          <cell r="H132" t="str">
            <v>1103</v>
          </cell>
          <cell r="I132" t="str">
            <v>CFMD09</v>
          </cell>
          <cell r="J132" t="str">
            <v>MD09</v>
          </cell>
          <cell r="K132" t="str">
            <v>1</v>
          </cell>
          <cell r="L132">
            <v>1</v>
          </cell>
          <cell r="M132">
            <v>0</v>
          </cell>
          <cell r="N132">
            <v>14852.65</v>
          </cell>
          <cell r="O132" t="str">
            <v>M</v>
          </cell>
          <cell r="P132" t="str">
            <v>00000000</v>
          </cell>
          <cell r="Q132">
            <v>100991.65</v>
          </cell>
          <cell r="R132">
            <v>2145.38</v>
          </cell>
          <cell r="S132">
            <v>412.57</v>
          </cell>
          <cell r="T132">
            <v>1893.71</v>
          </cell>
          <cell r="U132">
            <v>742.63</v>
          </cell>
          <cell r="V132">
            <v>2085.1999999999998</v>
          </cell>
          <cell r="W132">
            <v>297.05</v>
          </cell>
          <cell r="X132">
            <v>0</v>
          </cell>
          <cell r="Y132">
            <v>5792.22</v>
          </cell>
          <cell r="Z132">
            <v>2369.59</v>
          </cell>
          <cell r="AA132">
            <v>77</v>
          </cell>
          <cell r="AB132">
            <v>0</v>
          </cell>
          <cell r="AC132">
            <v>0</v>
          </cell>
          <cell r="AD132">
            <v>13.49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Y132">
            <v>1580077.68</v>
          </cell>
        </row>
        <row r="133">
          <cell r="A133">
            <v>2</v>
          </cell>
          <cell r="B133" t="str">
            <v>12</v>
          </cell>
          <cell r="C133" t="str">
            <v>000</v>
          </cell>
          <cell r="D133" t="str">
            <v>1</v>
          </cell>
          <cell r="E133" t="str">
            <v>602</v>
          </cell>
          <cell r="F133" t="str">
            <v>N000</v>
          </cell>
          <cell r="G133" t="str">
            <v>112</v>
          </cell>
          <cell r="H133" t="str">
            <v>1103</v>
          </cell>
          <cell r="I133" t="str">
            <v>CFMD12</v>
          </cell>
          <cell r="J133" t="str">
            <v>MD12</v>
          </cell>
          <cell r="K133" t="str">
            <v>1</v>
          </cell>
          <cell r="L133">
            <v>2</v>
          </cell>
          <cell r="M133">
            <v>0</v>
          </cell>
          <cell r="N133">
            <v>12026.05</v>
          </cell>
          <cell r="O133" t="str">
            <v>M</v>
          </cell>
          <cell r="P133" t="str">
            <v>00000000</v>
          </cell>
          <cell r="Q133">
            <v>72295.199999999997</v>
          </cell>
          <cell r="R133">
            <v>1737.1</v>
          </cell>
          <cell r="S133">
            <v>334.06</v>
          </cell>
          <cell r="T133">
            <v>1533.32</v>
          </cell>
          <cell r="U133">
            <v>601.29999999999995</v>
          </cell>
          <cell r="V133">
            <v>1517.78</v>
          </cell>
          <cell r="W133">
            <v>240.52</v>
          </cell>
          <cell r="X133">
            <v>0</v>
          </cell>
          <cell r="Y133">
            <v>4216.0600000000004</v>
          </cell>
          <cell r="Z133">
            <v>1729.39</v>
          </cell>
          <cell r="AA133">
            <v>77</v>
          </cell>
          <cell r="AB133">
            <v>0</v>
          </cell>
          <cell r="AC133">
            <v>0</v>
          </cell>
          <cell r="AD133">
            <v>13.49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Y133">
            <v>2311710.48</v>
          </cell>
        </row>
        <row r="134">
          <cell r="A134">
            <v>2</v>
          </cell>
          <cell r="B134" t="str">
            <v>12</v>
          </cell>
          <cell r="C134" t="str">
            <v>000</v>
          </cell>
          <cell r="D134" t="str">
            <v>1</v>
          </cell>
          <cell r="E134" t="str">
            <v>602</v>
          </cell>
          <cell r="F134" t="str">
            <v>N000</v>
          </cell>
          <cell r="G134" t="str">
            <v>112</v>
          </cell>
          <cell r="H134" t="str">
            <v>1103</v>
          </cell>
          <cell r="I134" t="str">
            <v>CFMG06</v>
          </cell>
          <cell r="J134" t="str">
            <v>MG06</v>
          </cell>
          <cell r="K134" t="str">
            <v>1</v>
          </cell>
          <cell r="L134">
            <v>7</v>
          </cell>
          <cell r="M134">
            <v>0</v>
          </cell>
          <cell r="N134">
            <v>8232.25</v>
          </cell>
          <cell r="O134" t="str">
            <v>M</v>
          </cell>
          <cell r="P134" t="str">
            <v>00000000</v>
          </cell>
          <cell r="Q134">
            <v>38872.050000000003</v>
          </cell>
          <cell r="R134">
            <v>1189.0999999999999</v>
          </cell>
          <cell r="S134">
            <v>228.67</v>
          </cell>
          <cell r="T134">
            <v>1049.6099999999999</v>
          </cell>
          <cell r="U134">
            <v>411.61</v>
          </cell>
          <cell r="V134">
            <v>847.88</v>
          </cell>
          <cell r="W134">
            <v>164.65</v>
          </cell>
          <cell r="X134">
            <v>45.57</v>
          </cell>
          <cell r="Y134">
            <v>2355.2199999999998</v>
          </cell>
          <cell r="Z134">
            <v>972.89</v>
          </cell>
          <cell r="AA134">
            <v>77</v>
          </cell>
          <cell r="AB134">
            <v>0</v>
          </cell>
          <cell r="AC134">
            <v>0</v>
          </cell>
          <cell r="AD134">
            <v>13.49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Y134">
            <v>4574639.16</v>
          </cell>
        </row>
        <row r="135">
          <cell r="A135">
            <v>2</v>
          </cell>
          <cell r="B135" t="str">
            <v>12</v>
          </cell>
          <cell r="C135" t="str">
            <v>000</v>
          </cell>
          <cell r="D135" t="str">
            <v>1</v>
          </cell>
          <cell r="E135" t="str">
            <v>602</v>
          </cell>
          <cell r="F135" t="str">
            <v>N000</v>
          </cell>
          <cell r="G135" t="str">
            <v>112</v>
          </cell>
          <cell r="H135" t="str">
            <v>1103</v>
          </cell>
          <cell r="I135" t="str">
            <v>CFMS08</v>
          </cell>
          <cell r="J135" t="str">
            <v>MS08</v>
          </cell>
          <cell r="K135" t="str">
            <v>1</v>
          </cell>
          <cell r="L135">
            <v>20</v>
          </cell>
          <cell r="M135">
            <v>0</v>
          </cell>
          <cell r="N135">
            <v>4801.8999999999996</v>
          </cell>
          <cell r="O135" t="str">
            <v>M</v>
          </cell>
          <cell r="P135" t="str">
            <v>00000000</v>
          </cell>
          <cell r="Q135">
            <v>18269.849999999999</v>
          </cell>
          <cell r="R135">
            <v>693.61</v>
          </cell>
          <cell r="S135">
            <v>133.38999999999999</v>
          </cell>
          <cell r="T135">
            <v>612.24</v>
          </cell>
          <cell r="U135">
            <v>240.09</v>
          </cell>
          <cell r="V135">
            <v>415.29</v>
          </cell>
          <cell r="W135">
            <v>96.04</v>
          </cell>
          <cell r="X135">
            <v>20.6</v>
          </cell>
          <cell r="Y135">
            <v>1153.5899999999999</v>
          </cell>
          <cell r="Z135">
            <v>479.93</v>
          </cell>
          <cell r="AA135">
            <v>77</v>
          </cell>
          <cell r="AB135">
            <v>0</v>
          </cell>
          <cell r="AC135">
            <v>0</v>
          </cell>
          <cell r="AD135">
            <v>13.49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Y135">
            <v>6481684.7999999998</v>
          </cell>
        </row>
        <row r="136">
          <cell r="A136">
            <v>2</v>
          </cell>
          <cell r="B136" t="str">
            <v>12</v>
          </cell>
          <cell r="C136" t="str">
            <v>000</v>
          </cell>
          <cell r="D136" t="str">
            <v>1</v>
          </cell>
          <cell r="E136" t="str">
            <v>602</v>
          </cell>
          <cell r="F136" t="str">
            <v>N000</v>
          </cell>
          <cell r="G136" t="str">
            <v>112</v>
          </cell>
          <cell r="H136" t="str">
            <v>1103</v>
          </cell>
          <cell r="I136" t="str">
            <v>S01803</v>
          </cell>
          <cell r="J136" t="str">
            <v>19</v>
          </cell>
          <cell r="K136" t="str">
            <v>2</v>
          </cell>
          <cell r="L136">
            <v>1</v>
          </cell>
          <cell r="M136">
            <v>0</v>
          </cell>
          <cell r="N136">
            <v>2120.3000000000002</v>
          </cell>
          <cell r="O136" t="str">
            <v>M</v>
          </cell>
          <cell r="P136" t="str">
            <v>00000000</v>
          </cell>
          <cell r="Q136">
            <v>0</v>
          </cell>
          <cell r="R136">
            <v>306.27</v>
          </cell>
          <cell r="S136">
            <v>58.9</v>
          </cell>
          <cell r="T136">
            <v>270.33999999999997</v>
          </cell>
          <cell r="U136">
            <v>106.02</v>
          </cell>
          <cell r="V136">
            <v>38.17</v>
          </cell>
          <cell r="W136">
            <v>42.41</v>
          </cell>
          <cell r="X136">
            <v>0</v>
          </cell>
          <cell r="Y136">
            <v>0</v>
          </cell>
          <cell r="Z136">
            <v>54.77</v>
          </cell>
          <cell r="AA136">
            <v>77</v>
          </cell>
          <cell r="AB136">
            <v>96</v>
          </cell>
          <cell r="AC136">
            <v>80</v>
          </cell>
          <cell r="AD136">
            <v>13.49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Y136">
            <v>39164.04</v>
          </cell>
        </row>
        <row r="137">
          <cell r="A137">
            <v>2</v>
          </cell>
          <cell r="B137" t="str">
            <v>12</v>
          </cell>
          <cell r="C137" t="str">
            <v>000</v>
          </cell>
          <cell r="D137" t="str">
            <v>1</v>
          </cell>
          <cell r="E137" t="str">
            <v>602</v>
          </cell>
          <cell r="F137" t="str">
            <v>N000</v>
          </cell>
          <cell r="G137" t="str">
            <v>112</v>
          </cell>
          <cell r="H137" t="str">
            <v>1103</v>
          </cell>
          <cell r="I137" t="str">
            <v>T03804</v>
          </cell>
          <cell r="J137" t="str">
            <v>25</v>
          </cell>
          <cell r="K137" t="str">
            <v>2</v>
          </cell>
          <cell r="L137">
            <v>4</v>
          </cell>
          <cell r="M137">
            <v>0</v>
          </cell>
          <cell r="N137">
            <v>2572.4</v>
          </cell>
          <cell r="O137" t="str">
            <v>M</v>
          </cell>
          <cell r="P137" t="str">
            <v>00000000</v>
          </cell>
          <cell r="Q137">
            <v>0</v>
          </cell>
          <cell r="R137">
            <v>371.57</v>
          </cell>
          <cell r="S137">
            <v>71.459999999999994</v>
          </cell>
          <cell r="T137">
            <v>327.98</v>
          </cell>
          <cell r="U137">
            <v>128.62</v>
          </cell>
          <cell r="V137">
            <v>46.3</v>
          </cell>
          <cell r="W137">
            <v>51.45</v>
          </cell>
          <cell r="X137">
            <v>41.25</v>
          </cell>
          <cell r="Y137">
            <v>0</v>
          </cell>
          <cell r="Z137">
            <v>66.19</v>
          </cell>
          <cell r="AA137">
            <v>77</v>
          </cell>
          <cell r="AB137">
            <v>96</v>
          </cell>
          <cell r="AC137">
            <v>80</v>
          </cell>
          <cell r="AD137">
            <v>13.49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Y137">
            <v>189298.08</v>
          </cell>
        </row>
        <row r="138">
          <cell r="A138">
            <v>2</v>
          </cell>
          <cell r="B138" t="str">
            <v>12</v>
          </cell>
          <cell r="C138" t="str">
            <v>000</v>
          </cell>
          <cell r="D138" t="str">
            <v>1</v>
          </cell>
          <cell r="E138" t="str">
            <v>602</v>
          </cell>
          <cell r="F138" t="str">
            <v>N000</v>
          </cell>
          <cell r="G138" t="str">
            <v>112</v>
          </cell>
          <cell r="H138" t="str">
            <v>1103</v>
          </cell>
          <cell r="I138" t="str">
            <v>CF03820</v>
          </cell>
          <cell r="J138" t="str">
            <v>27Z</v>
          </cell>
          <cell r="K138" t="str">
            <v>2</v>
          </cell>
          <cell r="L138">
            <v>1</v>
          </cell>
          <cell r="M138">
            <v>0</v>
          </cell>
          <cell r="N138">
            <v>2900.25</v>
          </cell>
          <cell r="O138" t="str">
            <v>M</v>
          </cell>
          <cell r="P138" t="str">
            <v>00000000</v>
          </cell>
          <cell r="Q138">
            <v>205.15</v>
          </cell>
          <cell r="R138">
            <v>418.93</v>
          </cell>
          <cell r="S138">
            <v>80.56</v>
          </cell>
          <cell r="T138">
            <v>369.78</v>
          </cell>
          <cell r="U138">
            <v>145.01</v>
          </cell>
          <cell r="V138">
            <v>55.89</v>
          </cell>
          <cell r="W138">
            <v>58.01</v>
          </cell>
          <cell r="X138">
            <v>46</v>
          </cell>
          <cell r="Y138">
            <v>0</v>
          </cell>
          <cell r="Z138">
            <v>78.08</v>
          </cell>
          <cell r="AA138">
            <v>77</v>
          </cell>
          <cell r="AB138">
            <v>96</v>
          </cell>
          <cell r="AC138">
            <v>80</v>
          </cell>
          <cell r="AD138">
            <v>13.49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Y138">
            <v>55489.8</v>
          </cell>
        </row>
        <row r="139">
          <cell r="A139">
            <v>2</v>
          </cell>
          <cell r="B139" t="str">
            <v>12</v>
          </cell>
          <cell r="C139" t="str">
            <v>000</v>
          </cell>
          <cell r="D139" t="str">
            <v>1</v>
          </cell>
          <cell r="E139" t="str">
            <v>602</v>
          </cell>
          <cell r="F139" t="str">
            <v>N000</v>
          </cell>
          <cell r="G139" t="str">
            <v>112</v>
          </cell>
          <cell r="H139" t="str">
            <v>1103</v>
          </cell>
          <cell r="I139" t="str">
            <v>CF04806</v>
          </cell>
          <cell r="J139" t="str">
            <v>26</v>
          </cell>
          <cell r="K139" t="str">
            <v>2</v>
          </cell>
          <cell r="L139">
            <v>2</v>
          </cell>
          <cell r="M139">
            <v>0</v>
          </cell>
          <cell r="N139">
            <v>2692.2</v>
          </cell>
          <cell r="O139" t="str">
            <v>M</v>
          </cell>
          <cell r="P139" t="str">
            <v>00000000</v>
          </cell>
          <cell r="Q139">
            <v>0</v>
          </cell>
          <cell r="R139">
            <v>388.87</v>
          </cell>
          <cell r="S139">
            <v>74.78</v>
          </cell>
          <cell r="T139">
            <v>343.26</v>
          </cell>
          <cell r="U139">
            <v>134.61000000000001</v>
          </cell>
          <cell r="V139">
            <v>48.46</v>
          </cell>
          <cell r="W139">
            <v>53.84</v>
          </cell>
          <cell r="X139">
            <v>46</v>
          </cell>
          <cell r="Y139">
            <v>0</v>
          </cell>
          <cell r="Z139">
            <v>69.099999999999994</v>
          </cell>
          <cell r="AA139">
            <v>77</v>
          </cell>
          <cell r="AB139">
            <v>96</v>
          </cell>
          <cell r="AC139">
            <v>80</v>
          </cell>
          <cell r="AD139">
            <v>13.49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Y139">
            <v>98822.64</v>
          </cell>
        </row>
        <row r="140">
          <cell r="A140">
            <v>2</v>
          </cell>
          <cell r="B140" t="str">
            <v>12</v>
          </cell>
          <cell r="C140" t="str">
            <v>000</v>
          </cell>
          <cell r="D140" t="str">
            <v>1</v>
          </cell>
          <cell r="E140" t="str">
            <v>602</v>
          </cell>
          <cell r="F140" t="str">
            <v>N000</v>
          </cell>
          <cell r="G140" t="str">
            <v>112</v>
          </cell>
          <cell r="H140" t="str">
            <v>1103</v>
          </cell>
          <cell r="I140" t="str">
            <v>CF04807</v>
          </cell>
          <cell r="J140" t="str">
            <v>27Z</v>
          </cell>
          <cell r="K140" t="str">
            <v>2</v>
          </cell>
          <cell r="L140">
            <v>13</v>
          </cell>
          <cell r="M140">
            <v>0</v>
          </cell>
          <cell r="N140">
            <v>2900.25</v>
          </cell>
          <cell r="O140" t="str">
            <v>M</v>
          </cell>
          <cell r="P140" t="str">
            <v>00000000</v>
          </cell>
          <cell r="Q140">
            <v>205.15</v>
          </cell>
          <cell r="R140">
            <v>418.93</v>
          </cell>
          <cell r="S140">
            <v>80.56</v>
          </cell>
          <cell r="T140">
            <v>369.78</v>
          </cell>
          <cell r="U140">
            <v>145.01</v>
          </cell>
          <cell r="V140">
            <v>55.89</v>
          </cell>
          <cell r="W140">
            <v>58.01</v>
          </cell>
          <cell r="X140">
            <v>51.38</v>
          </cell>
          <cell r="Y140">
            <v>0</v>
          </cell>
          <cell r="Z140">
            <v>78.19</v>
          </cell>
          <cell r="AA140">
            <v>77</v>
          </cell>
          <cell r="AB140">
            <v>96</v>
          </cell>
          <cell r="AC140">
            <v>80</v>
          </cell>
          <cell r="AD140">
            <v>13.49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Y140">
            <v>722223.84</v>
          </cell>
        </row>
        <row r="141">
          <cell r="A141">
            <v>2</v>
          </cell>
          <cell r="B141" t="str">
            <v>12</v>
          </cell>
          <cell r="C141" t="str">
            <v>000</v>
          </cell>
          <cell r="D141" t="str">
            <v>1</v>
          </cell>
          <cell r="E141" t="str">
            <v>602</v>
          </cell>
          <cell r="F141" t="str">
            <v>N000</v>
          </cell>
          <cell r="G141" t="str">
            <v>112</v>
          </cell>
          <cell r="H141" t="str">
            <v>1103</v>
          </cell>
          <cell r="I141" t="str">
            <v>CF04808</v>
          </cell>
          <cell r="J141" t="str">
            <v>27ZA</v>
          </cell>
          <cell r="K141" t="str">
            <v>2</v>
          </cell>
          <cell r="L141">
            <v>9</v>
          </cell>
          <cell r="M141">
            <v>0</v>
          </cell>
          <cell r="N141">
            <v>2982.9</v>
          </cell>
          <cell r="O141" t="str">
            <v>M</v>
          </cell>
          <cell r="P141" t="str">
            <v>00000000</v>
          </cell>
          <cell r="Q141">
            <v>579.4</v>
          </cell>
          <cell r="R141">
            <v>430.86</v>
          </cell>
          <cell r="S141">
            <v>82.86</v>
          </cell>
          <cell r="T141">
            <v>380.32</v>
          </cell>
          <cell r="U141">
            <v>149.15</v>
          </cell>
          <cell r="V141">
            <v>64.12</v>
          </cell>
          <cell r="W141">
            <v>59.66</v>
          </cell>
          <cell r="X141">
            <v>5.1100000000000003</v>
          </cell>
          <cell r="Y141">
            <v>0</v>
          </cell>
          <cell r="Z141">
            <v>86.68</v>
          </cell>
          <cell r="AA141">
            <v>77</v>
          </cell>
          <cell r="AB141">
            <v>96</v>
          </cell>
          <cell r="AC141">
            <v>80</v>
          </cell>
          <cell r="AD141">
            <v>13.49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Y141">
            <v>549455.4</v>
          </cell>
        </row>
        <row r="142">
          <cell r="A142">
            <v>2</v>
          </cell>
          <cell r="B142" t="str">
            <v>12</v>
          </cell>
          <cell r="C142" t="str">
            <v>000</v>
          </cell>
          <cell r="D142" t="str">
            <v>1</v>
          </cell>
          <cell r="E142" t="str">
            <v>602</v>
          </cell>
          <cell r="F142" t="str">
            <v>N000</v>
          </cell>
          <cell r="G142" t="str">
            <v>112</v>
          </cell>
          <cell r="H142" t="str">
            <v>1103</v>
          </cell>
          <cell r="I142" t="str">
            <v>CF21135</v>
          </cell>
          <cell r="J142" t="str">
            <v>28</v>
          </cell>
          <cell r="K142" t="str">
            <v>1</v>
          </cell>
          <cell r="L142">
            <v>16</v>
          </cell>
          <cell r="M142">
            <v>0</v>
          </cell>
          <cell r="N142">
            <v>3631.8</v>
          </cell>
          <cell r="O142" t="str">
            <v>M</v>
          </cell>
          <cell r="P142" t="str">
            <v>00000000</v>
          </cell>
          <cell r="Q142">
            <v>8731.1</v>
          </cell>
          <cell r="R142">
            <v>524.59</v>
          </cell>
          <cell r="S142">
            <v>100.88</v>
          </cell>
          <cell r="T142">
            <v>463.05</v>
          </cell>
          <cell r="U142">
            <v>181.59</v>
          </cell>
          <cell r="V142">
            <v>222.53</v>
          </cell>
          <cell r="W142">
            <v>72.64</v>
          </cell>
          <cell r="X142">
            <v>45.81</v>
          </cell>
          <cell r="Y142">
            <v>618.15</v>
          </cell>
          <cell r="Z142">
            <v>262.22000000000003</v>
          </cell>
          <cell r="AA142">
            <v>77</v>
          </cell>
          <cell r="AB142">
            <v>0</v>
          </cell>
          <cell r="AC142">
            <v>0</v>
          </cell>
          <cell r="AD142">
            <v>13.49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Y142">
            <v>2869411.2</v>
          </cell>
        </row>
        <row r="143">
          <cell r="A143">
            <v>2</v>
          </cell>
          <cell r="B143" t="str">
            <v>12</v>
          </cell>
          <cell r="C143" t="str">
            <v>000</v>
          </cell>
          <cell r="D143" t="str">
            <v>1</v>
          </cell>
          <cell r="E143" t="str">
            <v>602</v>
          </cell>
          <cell r="F143" t="str">
            <v>N000</v>
          </cell>
          <cell r="G143" t="str">
            <v>112</v>
          </cell>
          <cell r="H143" t="str">
            <v>1103</v>
          </cell>
          <cell r="I143" t="str">
            <v>CF21817</v>
          </cell>
          <cell r="J143" t="str">
            <v>27ZA</v>
          </cell>
          <cell r="K143" t="str">
            <v>2</v>
          </cell>
          <cell r="L143">
            <v>53</v>
          </cell>
          <cell r="M143">
            <v>0</v>
          </cell>
          <cell r="N143">
            <v>2982.9</v>
          </cell>
          <cell r="O143" t="str">
            <v>M</v>
          </cell>
          <cell r="P143" t="str">
            <v>00000000</v>
          </cell>
          <cell r="Q143">
            <v>579.4</v>
          </cell>
          <cell r="R143">
            <v>430.86</v>
          </cell>
          <cell r="S143">
            <v>82.86</v>
          </cell>
          <cell r="T143">
            <v>380.32</v>
          </cell>
          <cell r="U143">
            <v>149.15</v>
          </cell>
          <cell r="V143">
            <v>64.12</v>
          </cell>
          <cell r="W143">
            <v>59.66</v>
          </cell>
          <cell r="X143">
            <v>3.64</v>
          </cell>
          <cell r="Y143">
            <v>0</v>
          </cell>
          <cell r="Z143">
            <v>86.65</v>
          </cell>
          <cell r="AA143">
            <v>77</v>
          </cell>
          <cell r="AB143">
            <v>96</v>
          </cell>
          <cell r="AC143">
            <v>80</v>
          </cell>
          <cell r="AD143">
            <v>13.49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Y143">
            <v>3234727.8</v>
          </cell>
        </row>
        <row r="144">
          <cell r="A144">
            <v>2</v>
          </cell>
          <cell r="B144" t="str">
            <v>12</v>
          </cell>
          <cell r="C144" t="str">
            <v>000</v>
          </cell>
          <cell r="D144" t="str">
            <v>1</v>
          </cell>
          <cell r="E144" t="str">
            <v>602</v>
          </cell>
          <cell r="F144" t="str">
            <v>N000</v>
          </cell>
          <cell r="G144" t="str">
            <v>112</v>
          </cell>
          <cell r="H144" t="str">
            <v>1103</v>
          </cell>
          <cell r="I144" t="str">
            <v>CF21829</v>
          </cell>
          <cell r="J144" t="str">
            <v>27ZB</v>
          </cell>
          <cell r="K144" t="str">
            <v>2</v>
          </cell>
          <cell r="L144">
            <v>1</v>
          </cell>
          <cell r="M144">
            <v>0</v>
          </cell>
          <cell r="N144">
            <v>3008.65</v>
          </cell>
          <cell r="O144" t="str">
            <v>M</v>
          </cell>
          <cell r="P144" t="str">
            <v>00000000</v>
          </cell>
          <cell r="Q144">
            <v>857</v>
          </cell>
          <cell r="R144">
            <v>434.58</v>
          </cell>
          <cell r="S144">
            <v>83.57</v>
          </cell>
          <cell r="T144">
            <v>383.6</v>
          </cell>
          <cell r="U144">
            <v>150.43</v>
          </cell>
          <cell r="V144">
            <v>69.59</v>
          </cell>
          <cell r="W144">
            <v>60.17</v>
          </cell>
          <cell r="X144">
            <v>0</v>
          </cell>
          <cell r="Y144">
            <v>0</v>
          </cell>
          <cell r="Z144">
            <v>92.74</v>
          </cell>
          <cell r="AA144">
            <v>77</v>
          </cell>
          <cell r="AB144">
            <v>96</v>
          </cell>
          <cell r="AC144">
            <v>80</v>
          </cell>
          <cell r="AD144">
            <v>13.49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Y144">
            <v>64881.84</v>
          </cell>
        </row>
        <row r="145">
          <cell r="A145">
            <v>2</v>
          </cell>
          <cell r="B145" t="str">
            <v>12</v>
          </cell>
          <cell r="C145" t="str">
            <v>000</v>
          </cell>
          <cell r="D145" t="str">
            <v>1</v>
          </cell>
          <cell r="E145" t="str">
            <v>602</v>
          </cell>
          <cell r="F145" t="str">
            <v>N000</v>
          </cell>
          <cell r="G145" t="str">
            <v>112</v>
          </cell>
          <cell r="H145" t="str">
            <v>1103</v>
          </cell>
          <cell r="I145" t="str">
            <v>CF21858</v>
          </cell>
          <cell r="J145" t="str">
            <v>27ZA</v>
          </cell>
          <cell r="K145" t="str">
            <v>2</v>
          </cell>
          <cell r="L145">
            <v>2</v>
          </cell>
          <cell r="M145">
            <v>0</v>
          </cell>
          <cell r="N145">
            <v>2982.9</v>
          </cell>
          <cell r="O145" t="str">
            <v>M</v>
          </cell>
          <cell r="P145" t="str">
            <v>00000000</v>
          </cell>
          <cell r="Q145">
            <v>579.4</v>
          </cell>
          <cell r="R145">
            <v>430.86</v>
          </cell>
          <cell r="S145">
            <v>82.86</v>
          </cell>
          <cell r="T145">
            <v>380.32</v>
          </cell>
          <cell r="U145">
            <v>149.15</v>
          </cell>
          <cell r="V145">
            <v>64.12</v>
          </cell>
          <cell r="W145">
            <v>59.66</v>
          </cell>
          <cell r="X145">
            <v>46</v>
          </cell>
          <cell r="Y145">
            <v>0</v>
          </cell>
          <cell r="Z145">
            <v>87.5</v>
          </cell>
          <cell r="AA145">
            <v>77</v>
          </cell>
          <cell r="AB145">
            <v>96</v>
          </cell>
          <cell r="AC145">
            <v>80</v>
          </cell>
          <cell r="AD145">
            <v>13.49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Y145">
            <v>123102.24</v>
          </cell>
        </row>
        <row r="146">
          <cell r="A146">
            <v>2</v>
          </cell>
          <cell r="B146" t="str">
            <v>12</v>
          </cell>
          <cell r="C146" t="str">
            <v>000</v>
          </cell>
          <cell r="D146" t="str">
            <v>1</v>
          </cell>
          <cell r="E146" t="str">
            <v>602</v>
          </cell>
          <cell r="F146" t="str">
            <v>N000</v>
          </cell>
          <cell r="G146" t="str">
            <v>112</v>
          </cell>
          <cell r="H146" t="str">
            <v>1103</v>
          </cell>
          <cell r="I146" t="str">
            <v>CF21859</v>
          </cell>
          <cell r="J146" t="str">
            <v>27ZB</v>
          </cell>
          <cell r="K146" t="str">
            <v>2</v>
          </cell>
          <cell r="L146">
            <v>2</v>
          </cell>
          <cell r="M146">
            <v>0</v>
          </cell>
          <cell r="N146">
            <v>3008.65</v>
          </cell>
          <cell r="O146" t="str">
            <v>M</v>
          </cell>
          <cell r="P146" t="str">
            <v>00000000</v>
          </cell>
          <cell r="Q146">
            <v>857</v>
          </cell>
          <cell r="R146">
            <v>434.58</v>
          </cell>
          <cell r="S146">
            <v>83.57</v>
          </cell>
          <cell r="T146">
            <v>383.6</v>
          </cell>
          <cell r="U146">
            <v>150.43</v>
          </cell>
          <cell r="V146">
            <v>69.59</v>
          </cell>
          <cell r="W146">
            <v>60.17</v>
          </cell>
          <cell r="X146">
            <v>0</v>
          </cell>
          <cell r="Y146">
            <v>0</v>
          </cell>
          <cell r="Z146">
            <v>92.74</v>
          </cell>
          <cell r="AA146">
            <v>77</v>
          </cell>
          <cell r="AB146">
            <v>96</v>
          </cell>
          <cell r="AC146">
            <v>80</v>
          </cell>
          <cell r="AD146">
            <v>13.49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Y146">
            <v>129763.68</v>
          </cell>
        </row>
        <row r="147">
          <cell r="A147">
            <v>2</v>
          </cell>
          <cell r="B147" t="str">
            <v>12</v>
          </cell>
          <cell r="C147" t="str">
            <v>000</v>
          </cell>
          <cell r="D147" t="str">
            <v>1</v>
          </cell>
          <cell r="E147" t="str">
            <v>602</v>
          </cell>
          <cell r="F147" t="str">
            <v>N000</v>
          </cell>
          <cell r="G147" t="str">
            <v>112</v>
          </cell>
          <cell r="H147" t="str">
            <v>1103</v>
          </cell>
          <cell r="I147" t="str">
            <v>CF21864</v>
          </cell>
          <cell r="J147" t="str">
            <v>27C</v>
          </cell>
          <cell r="K147" t="str">
            <v>1</v>
          </cell>
          <cell r="L147">
            <v>3</v>
          </cell>
          <cell r="M147">
            <v>0</v>
          </cell>
          <cell r="N147">
            <v>3268.2</v>
          </cell>
          <cell r="O147" t="str">
            <v>M</v>
          </cell>
          <cell r="P147" t="str">
            <v>00000000</v>
          </cell>
          <cell r="Q147">
            <v>4783.05</v>
          </cell>
          <cell r="R147">
            <v>472.07</v>
          </cell>
          <cell r="S147">
            <v>90.78</v>
          </cell>
          <cell r="T147">
            <v>416.7</v>
          </cell>
          <cell r="U147">
            <v>163.41</v>
          </cell>
          <cell r="V147">
            <v>144.91999999999999</v>
          </cell>
          <cell r="W147">
            <v>65.36</v>
          </cell>
          <cell r="X147">
            <v>30.67</v>
          </cell>
          <cell r="Y147">
            <v>0</v>
          </cell>
          <cell r="Z147">
            <v>174.44</v>
          </cell>
          <cell r="AA147">
            <v>77</v>
          </cell>
          <cell r="AB147">
            <v>0</v>
          </cell>
          <cell r="AC147">
            <v>0</v>
          </cell>
          <cell r="AD147">
            <v>13.49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Y147">
            <v>349203.24</v>
          </cell>
        </row>
        <row r="148">
          <cell r="A148">
            <v>2</v>
          </cell>
          <cell r="B148" t="str">
            <v>12</v>
          </cell>
          <cell r="C148" t="str">
            <v>000</v>
          </cell>
          <cell r="D148" t="str">
            <v>1</v>
          </cell>
          <cell r="E148" t="str">
            <v>602</v>
          </cell>
          <cell r="F148" t="str">
            <v>N000</v>
          </cell>
          <cell r="G148" t="str">
            <v>112</v>
          </cell>
          <cell r="H148" t="str">
            <v>1103</v>
          </cell>
          <cell r="I148" t="str">
            <v>CF21865</v>
          </cell>
          <cell r="J148" t="str">
            <v>27B</v>
          </cell>
          <cell r="K148" t="str">
            <v>1</v>
          </cell>
          <cell r="L148">
            <v>3</v>
          </cell>
          <cell r="M148">
            <v>0</v>
          </cell>
          <cell r="N148">
            <v>3222.2</v>
          </cell>
          <cell r="O148" t="str">
            <v>M</v>
          </cell>
          <cell r="P148" t="str">
            <v>00000000</v>
          </cell>
          <cell r="Q148">
            <v>3558.85</v>
          </cell>
          <cell r="R148">
            <v>465.43</v>
          </cell>
          <cell r="S148">
            <v>89.51</v>
          </cell>
          <cell r="T148">
            <v>410.83</v>
          </cell>
          <cell r="U148">
            <v>161.11000000000001</v>
          </cell>
          <cell r="V148">
            <v>122.06</v>
          </cell>
          <cell r="W148">
            <v>64.44</v>
          </cell>
          <cell r="X148">
            <v>0</v>
          </cell>
          <cell r="Y148">
            <v>0</v>
          </cell>
          <cell r="Z148">
            <v>148.26</v>
          </cell>
          <cell r="AA148">
            <v>77</v>
          </cell>
          <cell r="AB148">
            <v>0</v>
          </cell>
          <cell r="AC148">
            <v>0</v>
          </cell>
          <cell r="AD148">
            <v>13.49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Y148">
            <v>299994.48</v>
          </cell>
        </row>
        <row r="149">
          <cell r="A149">
            <v>2</v>
          </cell>
          <cell r="B149" t="str">
            <v>12</v>
          </cell>
          <cell r="C149" t="str">
            <v>000</v>
          </cell>
          <cell r="D149" t="str">
            <v>1</v>
          </cell>
          <cell r="E149" t="str">
            <v>602</v>
          </cell>
          <cell r="F149" t="str">
            <v>N000</v>
          </cell>
          <cell r="G149" t="str">
            <v>112</v>
          </cell>
          <cell r="H149" t="str">
            <v>1103</v>
          </cell>
          <cell r="I149" t="str">
            <v>CF21866</v>
          </cell>
          <cell r="J149" t="str">
            <v>27A</v>
          </cell>
          <cell r="K149" t="str">
            <v>1</v>
          </cell>
          <cell r="L149">
            <v>5</v>
          </cell>
          <cell r="M149">
            <v>0</v>
          </cell>
          <cell r="N149">
            <v>3185.4</v>
          </cell>
          <cell r="O149" t="str">
            <v>M</v>
          </cell>
          <cell r="P149" t="str">
            <v>00000000</v>
          </cell>
          <cell r="Q149">
            <v>2791.7</v>
          </cell>
          <cell r="R149">
            <v>460.11</v>
          </cell>
          <cell r="S149">
            <v>88.48</v>
          </cell>
          <cell r="T149">
            <v>406.14</v>
          </cell>
          <cell r="U149">
            <v>159.27000000000001</v>
          </cell>
          <cell r="V149">
            <v>107.59</v>
          </cell>
          <cell r="W149">
            <v>63.71</v>
          </cell>
          <cell r="X149">
            <v>18.399999999999999</v>
          </cell>
          <cell r="Y149">
            <v>0</v>
          </cell>
          <cell r="Z149">
            <v>132.41999999999999</v>
          </cell>
          <cell r="AA149">
            <v>77</v>
          </cell>
          <cell r="AB149">
            <v>0</v>
          </cell>
          <cell r="AC149">
            <v>0</v>
          </cell>
          <cell r="AD149">
            <v>13.49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Y149">
            <v>450222.6</v>
          </cell>
        </row>
        <row r="150">
          <cell r="A150">
            <v>2</v>
          </cell>
          <cell r="B150" t="str">
            <v>12</v>
          </cell>
          <cell r="C150" t="str">
            <v>000</v>
          </cell>
          <cell r="D150" t="str">
            <v>1</v>
          </cell>
          <cell r="E150" t="str">
            <v>602</v>
          </cell>
          <cell r="F150" t="str">
            <v>N000</v>
          </cell>
          <cell r="G150" t="str">
            <v>112</v>
          </cell>
          <cell r="H150" t="str">
            <v>1103</v>
          </cell>
          <cell r="I150" t="str">
            <v>CF21884</v>
          </cell>
          <cell r="J150" t="str">
            <v>27A</v>
          </cell>
          <cell r="K150" t="str">
            <v>1</v>
          </cell>
          <cell r="L150">
            <v>1</v>
          </cell>
          <cell r="M150">
            <v>0</v>
          </cell>
          <cell r="N150">
            <v>3185.4</v>
          </cell>
          <cell r="O150" t="str">
            <v>M</v>
          </cell>
          <cell r="P150" t="str">
            <v>00000000</v>
          </cell>
          <cell r="Q150">
            <v>2791.7</v>
          </cell>
          <cell r="R150">
            <v>460.11</v>
          </cell>
          <cell r="S150">
            <v>88.48</v>
          </cell>
          <cell r="T150">
            <v>406.14</v>
          </cell>
          <cell r="U150">
            <v>159.27000000000001</v>
          </cell>
          <cell r="V150">
            <v>107.59</v>
          </cell>
          <cell r="W150">
            <v>63.71</v>
          </cell>
          <cell r="X150">
            <v>46</v>
          </cell>
          <cell r="Y150">
            <v>0</v>
          </cell>
          <cell r="Z150">
            <v>132.97</v>
          </cell>
          <cell r="AA150">
            <v>77</v>
          </cell>
          <cell r="AB150">
            <v>0</v>
          </cell>
          <cell r="AC150">
            <v>0</v>
          </cell>
          <cell r="AD150">
            <v>13.49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Y150">
            <v>90382.32</v>
          </cell>
        </row>
        <row r="151">
          <cell r="A151">
            <v>2</v>
          </cell>
          <cell r="B151" t="str">
            <v>12</v>
          </cell>
          <cell r="C151" t="str">
            <v>000</v>
          </cell>
          <cell r="D151" t="str">
            <v>1</v>
          </cell>
          <cell r="E151" t="str">
            <v>602</v>
          </cell>
          <cell r="F151" t="str">
            <v>N000</v>
          </cell>
          <cell r="G151" t="str">
            <v>112</v>
          </cell>
          <cell r="H151" t="str">
            <v>1103</v>
          </cell>
          <cell r="I151" t="str">
            <v>CF21885</v>
          </cell>
          <cell r="J151" t="str">
            <v>27B</v>
          </cell>
          <cell r="K151" t="str">
            <v>1</v>
          </cell>
          <cell r="L151">
            <v>8</v>
          </cell>
          <cell r="M151">
            <v>0</v>
          </cell>
          <cell r="N151">
            <v>3222.2</v>
          </cell>
          <cell r="O151" t="str">
            <v>M</v>
          </cell>
          <cell r="P151" t="str">
            <v>00000000</v>
          </cell>
          <cell r="Q151">
            <v>3558.85</v>
          </cell>
          <cell r="R151">
            <v>465.43</v>
          </cell>
          <cell r="S151">
            <v>89.51</v>
          </cell>
          <cell r="T151">
            <v>410.83</v>
          </cell>
          <cell r="U151">
            <v>161.11000000000001</v>
          </cell>
          <cell r="V151">
            <v>122.06</v>
          </cell>
          <cell r="W151">
            <v>64.44</v>
          </cell>
          <cell r="X151">
            <v>32.130000000000003</v>
          </cell>
          <cell r="Y151">
            <v>0</v>
          </cell>
          <cell r="Z151">
            <v>148.9</v>
          </cell>
          <cell r="AA151">
            <v>77</v>
          </cell>
          <cell r="AB151">
            <v>0</v>
          </cell>
          <cell r="AC151">
            <v>0</v>
          </cell>
          <cell r="AD151">
            <v>13.49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Y151">
            <v>803131.2</v>
          </cell>
        </row>
        <row r="152">
          <cell r="A152">
            <v>2</v>
          </cell>
          <cell r="B152" t="str">
            <v>12</v>
          </cell>
          <cell r="C152" t="str">
            <v>000</v>
          </cell>
          <cell r="D152" t="str">
            <v>1</v>
          </cell>
          <cell r="E152" t="str">
            <v>602</v>
          </cell>
          <cell r="F152" t="str">
            <v>N000</v>
          </cell>
          <cell r="G152" t="str">
            <v>112</v>
          </cell>
          <cell r="H152" t="str">
            <v>1103</v>
          </cell>
          <cell r="I152" t="str">
            <v>CF21886</v>
          </cell>
          <cell r="J152" t="str">
            <v>27C</v>
          </cell>
          <cell r="K152" t="str">
            <v>1</v>
          </cell>
          <cell r="L152">
            <v>53</v>
          </cell>
          <cell r="M152">
            <v>0</v>
          </cell>
          <cell r="N152">
            <v>3268.2</v>
          </cell>
          <cell r="O152" t="str">
            <v>M</v>
          </cell>
          <cell r="P152" t="str">
            <v>00000000</v>
          </cell>
          <cell r="Q152">
            <v>4783.05</v>
          </cell>
          <cell r="R152">
            <v>472.07</v>
          </cell>
          <cell r="S152">
            <v>90.78</v>
          </cell>
          <cell r="T152">
            <v>416.7</v>
          </cell>
          <cell r="U152">
            <v>163.41</v>
          </cell>
          <cell r="V152">
            <v>144.91999999999999</v>
          </cell>
          <cell r="W152">
            <v>65.36</v>
          </cell>
          <cell r="X152">
            <v>23.55</v>
          </cell>
          <cell r="Y152">
            <v>0</v>
          </cell>
          <cell r="Z152">
            <v>174.29</v>
          </cell>
          <cell r="AA152">
            <v>77</v>
          </cell>
          <cell r="AB152">
            <v>0</v>
          </cell>
          <cell r="AC152">
            <v>0</v>
          </cell>
          <cell r="AD152">
            <v>13.49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Y152">
            <v>6164633.5199999996</v>
          </cell>
        </row>
        <row r="153">
          <cell r="A153">
            <v>2</v>
          </cell>
          <cell r="B153" t="str">
            <v>12</v>
          </cell>
          <cell r="C153" t="str">
            <v>000</v>
          </cell>
          <cell r="D153" t="str">
            <v>1</v>
          </cell>
          <cell r="E153" t="str">
            <v>602</v>
          </cell>
          <cell r="F153" t="str">
            <v>N000</v>
          </cell>
          <cell r="G153" t="str">
            <v>112</v>
          </cell>
          <cell r="H153" t="str">
            <v>1103</v>
          </cell>
          <cell r="I153" t="str">
            <v>CF33834</v>
          </cell>
          <cell r="J153" t="str">
            <v>27</v>
          </cell>
          <cell r="K153" t="str">
            <v>2</v>
          </cell>
          <cell r="L153">
            <v>2</v>
          </cell>
          <cell r="M153">
            <v>0</v>
          </cell>
          <cell r="N153">
            <v>2817.8</v>
          </cell>
          <cell r="O153" t="str">
            <v>M</v>
          </cell>
          <cell r="P153" t="str">
            <v>00000000</v>
          </cell>
          <cell r="Q153">
            <v>0</v>
          </cell>
          <cell r="R153">
            <v>407.02</v>
          </cell>
          <cell r="S153">
            <v>78.27</v>
          </cell>
          <cell r="T153">
            <v>359.27</v>
          </cell>
          <cell r="U153">
            <v>140.88999999999999</v>
          </cell>
          <cell r="V153">
            <v>50.72</v>
          </cell>
          <cell r="W153">
            <v>56.36</v>
          </cell>
          <cell r="X153">
            <v>0</v>
          </cell>
          <cell r="Y153">
            <v>0</v>
          </cell>
          <cell r="Z153">
            <v>71.12</v>
          </cell>
          <cell r="AA153">
            <v>77</v>
          </cell>
          <cell r="AB153">
            <v>96</v>
          </cell>
          <cell r="AC153">
            <v>80</v>
          </cell>
          <cell r="AD153">
            <v>13.49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Y153">
            <v>101950.56</v>
          </cell>
        </row>
        <row r="154">
          <cell r="A154">
            <v>2</v>
          </cell>
          <cell r="B154" t="str">
            <v>12</v>
          </cell>
          <cell r="C154" t="str">
            <v>000</v>
          </cell>
          <cell r="D154" t="str">
            <v>1</v>
          </cell>
          <cell r="E154" t="str">
            <v>602</v>
          </cell>
          <cell r="F154" t="str">
            <v>N000</v>
          </cell>
          <cell r="G154" t="str">
            <v>112</v>
          </cell>
          <cell r="H154" t="str">
            <v>1103</v>
          </cell>
          <cell r="I154" t="str">
            <v>CF33892</v>
          </cell>
          <cell r="J154" t="str">
            <v>27ZA</v>
          </cell>
          <cell r="K154" t="str">
            <v>2</v>
          </cell>
          <cell r="L154">
            <v>12</v>
          </cell>
          <cell r="M154">
            <v>0</v>
          </cell>
          <cell r="N154">
            <v>2982.9</v>
          </cell>
          <cell r="O154" t="str">
            <v>M</v>
          </cell>
          <cell r="P154" t="str">
            <v>00000000</v>
          </cell>
          <cell r="Q154">
            <v>579.4</v>
          </cell>
          <cell r="R154">
            <v>430.86</v>
          </cell>
          <cell r="S154">
            <v>82.86</v>
          </cell>
          <cell r="T154">
            <v>380.32</v>
          </cell>
          <cell r="U154">
            <v>149.15</v>
          </cell>
          <cell r="V154">
            <v>64.12</v>
          </cell>
          <cell r="W154">
            <v>59.66</v>
          </cell>
          <cell r="X154">
            <v>66.08</v>
          </cell>
          <cell r="Y154">
            <v>0</v>
          </cell>
          <cell r="Z154">
            <v>87.9</v>
          </cell>
          <cell r="AA154">
            <v>77</v>
          </cell>
          <cell r="AB154">
            <v>96</v>
          </cell>
          <cell r="AC154">
            <v>80</v>
          </cell>
          <cell r="AD154">
            <v>13.49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Y154">
            <v>741562.56</v>
          </cell>
        </row>
        <row r="155">
          <cell r="A155">
            <v>2</v>
          </cell>
          <cell r="B155" t="str">
            <v>12</v>
          </cell>
          <cell r="C155" t="str">
            <v>000</v>
          </cell>
          <cell r="D155" t="str">
            <v>1</v>
          </cell>
          <cell r="E155" t="str">
            <v>420</v>
          </cell>
          <cell r="F155" t="str">
            <v>N000</v>
          </cell>
          <cell r="G155" t="str">
            <v>200</v>
          </cell>
          <cell r="H155" t="str">
            <v>1103</v>
          </cell>
          <cell r="I155" t="str">
            <v>A01803</v>
          </cell>
          <cell r="J155" t="str">
            <v>19</v>
          </cell>
          <cell r="K155" t="str">
            <v>2</v>
          </cell>
          <cell r="L155">
            <v>9</v>
          </cell>
          <cell r="M155">
            <v>0</v>
          </cell>
          <cell r="N155">
            <v>2120.3000000000002</v>
          </cell>
          <cell r="O155" t="str">
            <v>M</v>
          </cell>
          <cell r="P155" t="str">
            <v>00000000</v>
          </cell>
          <cell r="Q155">
            <v>0</v>
          </cell>
          <cell r="R155">
            <v>306.27</v>
          </cell>
          <cell r="S155">
            <v>58.9</v>
          </cell>
          <cell r="T155">
            <v>270.33999999999997</v>
          </cell>
          <cell r="U155">
            <v>106.02</v>
          </cell>
          <cell r="V155">
            <v>38.17</v>
          </cell>
          <cell r="W155">
            <v>42.41</v>
          </cell>
          <cell r="X155">
            <v>136</v>
          </cell>
          <cell r="Y155">
            <v>0</v>
          </cell>
          <cell r="Z155">
            <v>57.49</v>
          </cell>
          <cell r="AA155">
            <v>77</v>
          </cell>
          <cell r="AB155">
            <v>96</v>
          </cell>
          <cell r="AC155">
            <v>80</v>
          </cell>
          <cell r="AD155">
            <v>13.49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Y155">
            <v>367458.12</v>
          </cell>
        </row>
        <row r="156">
          <cell r="A156">
            <v>2</v>
          </cell>
          <cell r="B156" t="str">
            <v>12</v>
          </cell>
          <cell r="C156" t="str">
            <v>000</v>
          </cell>
          <cell r="D156" t="str">
            <v>1</v>
          </cell>
          <cell r="E156" t="str">
            <v>101</v>
          </cell>
          <cell r="F156" t="str">
            <v>N000</v>
          </cell>
          <cell r="G156" t="str">
            <v>200</v>
          </cell>
          <cell r="H156" t="str">
            <v>1103</v>
          </cell>
          <cell r="I156" t="str">
            <v>A01805</v>
          </cell>
          <cell r="J156" t="str">
            <v>21</v>
          </cell>
          <cell r="K156" t="str">
            <v>2</v>
          </cell>
          <cell r="L156">
            <v>4</v>
          </cell>
          <cell r="M156">
            <v>0</v>
          </cell>
          <cell r="N156">
            <v>2238.1999999999998</v>
          </cell>
          <cell r="O156" t="str">
            <v>M</v>
          </cell>
          <cell r="P156" t="str">
            <v>00000000</v>
          </cell>
          <cell r="Q156">
            <v>0</v>
          </cell>
          <cell r="R156">
            <v>323.3</v>
          </cell>
          <cell r="S156">
            <v>62.17</v>
          </cell>
          <cell r="T156">
            <v>285.37</v>
          </cell>
          <cell r="U156">
            <v>111.91</v>
          </cell>
          <cell r="V156">
            <v>40.29</v>
          </cell>
          <cell r="W156">
            <v>44.76</v>
          </cell>
          <cell r="X156">
            <v>82</v>
          </cell>
          <cell r="Y156">
            <v>0</v>
          </cell>
          <cell r="Z156">
            <v>59.17</v>
          </cell>
          <cell r="AA156">
            <v>77</v>
          </cell>
          <cell r="AB156">
            <v>96</v>
          </cell>
          <cell r="AC156">
            <v>80</v>
          </cell>
          <cell r="AD156">
            <v>13.49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Y156">
            <v>168655.68</v>
          </cell>
        </row>
        <row r="157">
          <cell r="A157">
            <v>2</v>
          </cell>
          <cell r="B157" t="str">
            <v>12</v>
          </cell>
          <cell r="C157" t="str">
            <v>000</v>
          </cell>
          <cell r="D157" t="str">
            <v>1</v>
          </cell>
          <cell r="E157" t="str">
            <v>420</v>
          </cell>
          <cell r="F157" t="str">
            <v>N000</v>
          </cell>
          <cell r="G157" t="str">
            <v>200</v>
          </cell>
          <cell r="H157" t="str">
            <v>1103</v>
          </cell>
          <cell r="I157" t="str">
            <v>A01805</v>
          </cell>
          <cell r="J157" t="str">
            <v>21</v>
          </cell>
          <cell r="K157" t="str">
            <v>2</v>
          </cell>
          <cell r="L157">
            <v>30</v>
          </cell>
          <cell r="M157">
            <v>0</v>
          </cell>
          <cell r="N157">
            <v>2238.1999999999998</v>
          </cell>
          <cell r="O157" t="str">
            <v>M</v>
          </cell>
          <cell r="P157" t="str">
            <v>00000000</v>
          </cell>
          <cell r="Q157">
            <v>0</v>
          </cell>
          <cell r="R157">
            <v>323.3</v>
          </cell>
          <cell r="S157">
            <v>62.17</v>
          </cell>
          <cell r="T157">
            <v>285.37</v>
          </cell>
          <cell r="U157">
            <v>111.91</v>
          </cell>
          <cell r="V157">
            <v>40.29</v>
          </cell>
          <cell r="W157">
            <v>44.76</v>
          </cell>
          <cell r="X157">
            <v>114.4</v>
          </cell>
          <cell r="Y157">
            <v>0</v>
          </cell>
          <cell r="Z157">
            <v>59.82</v>
          </cell>
          <cell r="AA157">
            <v>77</v>
          </cell>
          <cell r="AB157">
            <v>96</v>
          </cell>
          <cell r="AC157">
            <v>80</v>
          </cell>
          <cell r="AD157">
            <v>13.49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Y157">
            <v>1276815.6000000001</v>
          </cell>
        </row>
        <row r="158">
          <cell r="A158">
            <v>2</v>
          </cell>
          <cell r="B158" t="str">
            <v>12</v>
          </cell>
          <cell r="C158" t="str">
            <v>000</v>
          </cell>
          <cell r="D158" t="str">
            <v>1</v>
          </cell>
          <cell r="E158" t="str">
            <v>101</v>
          </cell>
          <cell r="F158" t="str">
            <v>N000</v>
          </cell>
          <cell r="G158" t="str">
            <v>200</v>
          </cell>
          <cell r="H158" t="str">
            <v>1103</v>
          </cell>
          <cell r="I158" t="str">
            <v>A01806</v>
          </cell>
          <cell r="J158" t="str">
            <v>25</v>
          </cell>
          <cell r="K158" t="str">
            <v>2</v>
          </cell>
          <cell r="L158">
            <v>16</v>
          </cell>
          <cell r="M158">
            <v>0</v>
          </cell>
          <cell r="N158">
            <v>2572.4</v>
          </cell>
          <cell r="O158" t="str">
            <v>M</v>
          </cell>
          <cell r="P158" t="str">
            <v>00000000</v>
          </cell>
          <cell r="Q158">
            <v>0</v>
          </cell>
          <cell r="R158">
            <v>371.57</v>
          </cell>
          <cell r="S158">
            <v>71.459999999999994</v>
          </cell>
          <cell r="T158">
            <v>327.98</v>
          </cell>
          <cell r="U158">
            <v>128.62</v>
          </cell>
          <cell r="V158">
            <v>46.3</v>
          </cell>
          <cell r="W158">
            <v>51.45</v>
          </cell>
          <cell r="X158">
            <v>61.38</v>
          </cell>
          <cell r="Y158">
            <v>0</v>
          </cell>
          <cell r="Z158">
            <v>66.599999999999994</v>
          </cell>
          <cell r="AA158">
            <v>77</v>
          </cell>
          <cell r="AB158">
            <v>96</v>
          </cell>
          <cell r="AC158">
            <v>80</v>
          </cell>
          <cell r="AD158">
            <v>13.49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Y158">
            <v>761136</v>
          </cell>
        </row>
        <row r="159">
          <cell r="A159">
            <v>2</v>
          </cell>
          <cell r="B159" t="str">
            <v>12</v>
          </cell>
          <cell r="C159" t="str">
            <v>000</v>
          </cell>
          <cell r="D159" t="str">
            <v>1</v>
          </cell>
          <cell r="E159" t="str">
            <v>420</v>
          </cell>
          <cell r="F159" t="str">
            <v>N000</v>
          </cell>
          <cell r="G159" t="str">
            <v>200</v>
          </cell>
          <cell r="H159" t="str">
            <v>1103</v>
          </cell>
          <cell r="I159" t="str">
            <v>A01806</v>
          </cell>
          <cell r="J159" t="str">
            <v>25</v>
          </cell>
          <cell r="K159" t="str">
            <v>2</v>
          </cell>
          <cell r="L159">
            <v>8</v>
          </cell>
          <cell r="M159">
            <v>0</v>
          </cell>
          <cell r="N159">
            <v>2572.4</v>
          </cell>
          <cell r="O159" t="str">
            <v>M</v>
          </cell>
          <cell r="P159" t="str">
            <v>00000000</v>
          </cell>
          <cell r="Q159">
            <v>0</v>
          </cell>
          <cell r="R159">
            <v>371.57</v>
          </cell>
          <cell r="S159">
            <v>71.459999999999994</v>
          </cell>
          <cell r="T159">
            <v>327.98</v>
          </cell>
          <cell r="U159">
            <v>128.62</v>
          </cell>
          <cell r="V159">
            <v>46.3</v>
          </cell>
          <cell r="W159">
            <v>51.45</v>
          </cell>
          <cell r="X159">
            <v>0</v>
          </cell>
          <cell r="Y159">
            <v>0</v>
          </cell>
          <cell r="Z159">
            <v>65.37</v>
          </cell>
          <cell r="AA159">
            <v>77</v>
          </cell>
          <cell r="AB159">
            <v>96</v>
          </cell>
          <cell r="AC159">
            <v>80</v>
          </cell>
          <cell r="AD159">
            <v>13.49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Y159">
            <v>374557.44</v>
          </cell>
        </row>
        <row r="160">
          <cell r="A160">
            <v>2</v>
          </cell>
          <cell r="B160" t="str">
            <v>12</v>
          </cell>
          <cell r="C160" t="str">
            <v>000</v>
          </cell>
          <cell r="D160" t="str">
            <v>1</v>
          </cell>
          <cell r="E160" t="str">
            <v>101</v>
          </cell>
          <cell r="F160" t="str">
            <v>N000</v>
          </cell>
          <cell r="G160" t="str">
            <v>200</v>
          </cell>
          <cell r="H160" t="str">
            <v>1103</v>
          </cell>
          <cell r="I160" t="str">
            <v>A01807</v>
          </cell>
          <cell r="J160" t="str">
            <v>27</v>
          </cell>
          <cell r="K160" t="str">
            <v>2</v>
          </cell>
          <cell r="L160">
            <v>18</v>
          </cell>
          <cell r="M160">
            <v>0</v>
          </cell>
          <cell r="N160">
            <v>2817.8</v>
          </cell>
          <cell r="O160" t="str">
            <v>M</v>
          </cell>
          <cell r="P160" t="str">
            <v>00000000</v>
          </cell>
          <cell r="Q160">
            <v>0</v>
          </cell>
          <cell r="R160">
            <v>407.02</v>
          </cell>
          <cell r="S160">
            <v>78.27</v>
          </cell>
          <cell r="T160">
            <v>359.27</v>
          </cell>
          <cell r="U160">
            <v>140.88999999999999</v>
          </cell>
          <cell r="V160">
            <v>50.72</v>
          </cell>
          <cell r="W160">
            <v>56.36</v>
          </cell>
          <cell r="X160">
            <v>0</v>
          </cell>
          <cell r="Y160">
            <v>0</v>
          </cell>
          <cell r="Z160">
            <v>71.12</v>
          </cell>
          <cell r="AA160">
            <v>77</v>
          </cell>
          <cell r="AB160">
            <v>96</v>
          </cell>
          <cell r="AC160">
            <v>80</v>
          </cell>
          <cell r="AD160">
            <v>13.49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Y160">
            <v>917555.04</v>
          </cell>
        </row>
        <row r="161">
          <cell r="A161">
            <v>2</v>
          </cell>
          <cell r="B161" t="str">
            <v>12</v>
          </cell>
          <cell r="C161" t="str">
            <v>000</v>
          </cell>
          <cell r="D161" t="str">
            <v>1</v>
          </cell>
          <cell r="E161" t="str">
            <v>420</v>
          </cell>
          <cell r="F161" t="str">
            <v>N000</v>
          </cell>
          <cell r="G161" t="str">
            <v>200</v>
          </cell>
          <cell r="H161" t="str">
            <v>1103</v>
          </cell>
          <cell r="I161" t="str">
            <v>A01807</v>
          </cell>
          <cell r="J161" t="str">
            <v>27</v>
          </cell>
          <cell r="K161" t="str">
            <v>2</v>
          </cell>
          <cell r="L161">
            <v>66</v>
          </cell>
          <cell r="M161">
            <v>0</v>
          </cell>
          <cell r="N161">
            <v>2817.8</v>
          </cell>
          <cell r="O161" t="str">
            <v>M</v>
          </cell>
          <cell r="P161" t="str">
            <v>00000000</v>
          </cell>
          <cell r="Q161">
            <v>0</v>
          </cell>
          <cell r="R161">
            <v>407.02</v>
          </cell>
          <cell r="S161">
            <v>78.27</v>
          </cell>
          <cell r="T161">
            <v>359.27</v>
          </cell>
          <cell r="U161">
            <v>140.88999999999999</v>
          </cell>
          <cell r="V161">
            <v>50.72</v>
          </cell>
          <cell r="W161">
            <v>56.36</v>
          </cell>
          <cell r="X161">
            <v>111</v>
          </cell>
          <cell r="Y161">
            <v>0</v>
          </cell>
          <cell r="Z161">
            <v>73.34</v>
          </cell>
          <cell r="AA161">
            <v>77</v>
          </cell>
          <cell r="AB161">
            <v>96</v>
          </cell>
          <cell r="AC161">
            <v>80</v>
          </cell>
          <cell r="AD161">
            <v>13.49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Y161">
            <v>3454038.72</v>
          </cell>
        </row>
        <row r="162">
          <cell r="A162">
            <v>2</v>
          </cell>
          <cell r="B162" t="str">
            <v>12</v>
          </cell>
          <cell r="C162" t="str">
            <v>000</v>
          </cell>
          <cell r="D162" t="str">
            <v>1</v>
          </cell>
          <cell r="E162" t="str">
            <v>101</v>
          </cell>
          <cell r="F162" t="str">
            <v>N000</v>
          </cell>
          <cell r="G162" t="str">
            <v>200</v>
          </cell>
          <cell r="H162" t="str">
            <v>1103</v>
          </cell>
          <cell r="I162" t="str">
            <v>A03803</v>
          </cell>
          <cell r="J162" t="str">
            <v>20</v>
          </cell>
          <cell r="K162" t="str">
            <v>2</v>
          </cell>
          <cell r="L162">
            <v>2</v>
          </cell>
          <cell r="M162">
            <v>0</v>
          </cell>
          <cell r="N162">
            <v>2138.85</v>
          </cell>
          <cell r="O162" t="str">
            <v>M</v>
          </cell>
          <cell r="P162" t="str">
            <v>00000000</v>
          </cell>
          <cell r="Q162">
            <v>0</v>
          </cell>
          <cell r="R162">
            <v>308.94</v>
          </cell>
          <cell r="S162">
            <v>59.41</v>
          </cell>
          <cell r="T162">
            <v>272.7</v>
          </cell>
          <cell r="U162">
            <v>106.94</v>
          </cell>
          <cell r="V162">
            <v>38.5</v>
          </cell>
          <cell r="W162">
            <v>42.78</v>
          </cell>
          <cell r="X162">
            <v>55</v>
          </cell>
          <cell r="Y162">
            <v>0</v>
          </cell>
          <cell r="Z162">
            <v>56.3</v>
          </cell>
          <cell r="AA162">
            <v>77</v>
          </cell>
          <cell r="AB162">
            <v>96</v>
          </cell>
          <cell r="AC162">
            <v>80</v>
          </cell>
          <cell r="AD162">
            <v>13.49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Y162">
            <v>80301.84</v>
          </cell>
        </row>
        <row r="163">
          <cell r="A163">
            <v>2</v>
          </cell>
          <cell r="B163" t="str">
            <v>12</v>
          </cell>
          <cell r="C163" t="str">
            <v>000</v>
          </cell>
          <cell r="D163" t="str">
            <v>1</v>
          </cell>
          <cell r="E163" t="str">
            <v>420</v>
          </cell>
          <cell r="F163" t="str">
            <v>N000</v>
          </cell>
          <cell r="G163" t="str">
            <v>200</v>
          </cell>
          <cell r="H163" t="str">
            <v>1103</v>
          </cell>
          <cell r="I163" t="str">
            <v>A03803</v>
          </cell>
          <cell r="J163" t="str">
            <v>20</v>
          </cell>
          <cell r="K163" t="str">
            <v>2</v>
          </cell>
          <cell r="L163">
            <v>9</v>
          </cell>
          <cell r="M163">
            <v>0</v>
          </cell>
          <cell r="N163">
            <v>2138.85</v>
          </cell>
          <cell r="O163" t="str">
            <v>M</v>
          </cell>
          <cell r="P163" t="str">
            <v>00000000</v>
          </cell>
          <cell r="Q163">
            <v>0</v>
          </cell>
          <cell r="R163">
            <v>308.94</v>
          </cell>
          <cell r="S163">
            <v>59.41</v>
          </cell>
          <cell r="T163">
            <v>272.7</v>
          </cell>
          <cell r="U163">
            <v>106.94</v>
          </cell>
          <cell r="V163">
            <v>38.5</v>
          </cell>
          <cell r="W163">
            <v>42.78</v>
          </cell>
          <cell r="X163">
            <v>0</v>
          </cell>
          <cell r="Y163">
            <v>0</v>
          </cell>
          <cell r="Z163">
            <v>55.2</v>
          </cell>
          <cell r="AA163">
            <v>77</v>
          </cell>
          <cell r="AB163">
            <v>96</v>
          </cell>
          <cell r="AC163">
            <v>80</v>
          </cell>
          <cell r="AD163">
            <v>13.49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Y163">
            <v>355299.48</v>
          </cell>
        </row>
        <row r="164">
          <cell r="A164">
            <v>2</v>
          </cell>
          <cell r="B164" t="str">
            <v>12</v>
          </cell>
          <cell r="C164" t="str">
            <v>000</v>
          </cell>
          <cell r="D164" t="str">
            <v>1</v>
          </cell>
          <cell r="E164" t="str">
            <v>101</v>
          </cell>
          <cell r="F164" t="str">
            <v>N000</v>
          </cell>
          <cell r="G164" t="str">
            <v>200</v>
          </cell>
          <cell r="H164" t="str">
            <v>1103</v>
          </cell>
          <cell r="I164" t="str">
            <v>A03804</v>
          </cell>
          <cell r="J164" t="str">
            <v>23</v>
          </cell>
          <cell r="K164" t="str">
            <v>2</v>
          </cell>
          <cell r="L164">
            <v>16</v>
          </cell>
          <cell r="M164">
            <v>0</v>
          </cell>
          <cell r="N164">
            <v>2451.25</v>
          </cell>
          <cell r="O164" t="str">
            <v>M</v>
          </cell>
          <cell r="P164" t="str">
            <v>00000000</v>
          </cell>
          <cell r="Q164">
            <v>0</v>
          </cell>
          <cell r="R164">
            <v>354.07</v>
          </cell>
          <cell r="S164">
            <v>68.09</v>
          </cell>
          <cell r="T164">
            <v>312.52999999999997</v>
          </cell>
          <cell r="U164">
            <v>122.56</v>
          </cell>
          <cell r="V164">
            <v>44.12</v>
          </cell>
          <cell r="W164">
            <v>49.02</v>
          </cell>
          <cell r="X164">
            <v>83.69</v>
          </cell>
          <cell r="Y164">
            <v>0</v>
          </cell>
          <cell r="Z164">
            <v>64.2</v>
          </cell>
          <cell r="AA164">
            <v>77</v>
          </cell>
          <cell r="AB164">
            <v>96</v>
          </cell>
          <cell r="AC164">
            <v>80</v>
          </cell>
          <cell r="AD164">
            <v>13.49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Y164">
            <v>732675.84</v>
          </cell>
        </row>
        <row r="165">
          <cell r="A165">
            <v>2</v>
          </cell>
          <cell r="B165" t="str">
            <v>12</v>
          </cell>
          <cell r="C165" t="str">
            <v>000</v>
          </cell>
          <cell r="D165" t="str">
            <v>1</v>
          </cell>
          <cell r="E165" t="str">
            <v>420</v>
          </cell>
          <cell r="F165" t="str">
            <v>N000</v>
          </cell>
          <cell r="G165" t="str">
            <v>200</v>
          </cell>
          <cell r="H165" t="str">
            <v>1103</v>
          </cell>
          <cell r="I165" t="str">
            <v>A03804</v>
          </cell>
          <cell r="J165" t="str">
            <v>23</v>
          </cell>
          <cell r="K165" t="str">
            <v>2</v>
          </cell>
          <cell r="L165">
            <v>14</v>
          </cell>
          <cell r="M165">
            <v>0</v>
          </cell>
          <cell r="N165">
            <v>2451.25</v>
          </cell>
          <cell r="O165" t="str">
            <v>M</v>
          </cell>
          <cell r="P165" t="str">
            <v>00000000</v>
          </cell>
          <cell r="Q165">
            <v>0</v>
          </cell>
          <cell r="R165">
            <v>354.07</v>
          </cell>
          <cell r="S165">
            <v>68.09</v>
          </cell>
          <cell r="T165">
            <v>312.52999999999997</v>
          </cell>
          <cell r="U165">
            <v>122.56</v>
          </cell>
          <cell r="V165">
            <v>44.12</v>
          </cell>
          <cell r="W165">
            <v>49.02</v>
          </cell>
          <cell r="X165">
            <v>0</v>
          </cell>
          <cell r="Y165">
            <v>0</v>
          </cell>
          <cell r="Z165">
            <v>62.53</v>
          </cell>
          <cell r="AA165">
            <v>77</v>
          </cell>
          <cell r="AB165">
            <v>96</v>
          </cell>
          <cell r="AC165">
            <v>80</v>
          </cell>
          <cell r="AD165">
            <v>13.49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Y165">
            <v>626750.88</v>
          </cell>
        </row>
        <row r="166">
          <cell r="A166">
            <v>2</v>
          </cell>
          <cell r="B166" t="str">
            <v>12</v>
          </cell>
          <cell r="C166" t="str">
            <v>000</v>
          </cell>
          <cell r="D166" t="str">
            <v>1</v>
          </cell>
          <cell r="E166" t="str">
            <v>101</v>
          </cell>
          <cell r="F166" t="str">
            <v>N000</v>
          </cell>
          <cell r="G166" t="str">
            <v>200</v>
          </cell>
          <cell r="H166" t="str">
            <v>1103</v>
          </cell>
          <cell r="I166" t="str">
            <v>CFMC03</v>
          </cell>
          <cell r="J166" t="str">
            <v>MC03</v>
          </cell>
          <cell r="K166" t="str">
            <v>1</v>
          </cell>
          <cell r="L166">
            <v>2</v>
          </cell>
          <cell r="M166">
            <v>0</v>
          </cell>
          <cell r="N166">
            <v>4311.3999999999996</v>
          </cell>
          <cell r="O166" t="str">
            <v>M</v>
          </cell>
          <cell r="P166" t="str">
            <v>00000000</v>
          </cell>
          <cell r="Q166">
            <v>11306.9</v>
          </cell>
          <cell r="R166">
            <v>622.76</v>
          </cell>
          <cell r="S166">
            <v>119.76</v>
          </cell>
          <cell r="T166">
            <v>549.70000000000005</v>
          </cell>
          <cell r="U166">
            <v>215.57</v>
          </cell>
          <cell r="V166">
            <v>281.13</v>
          </cell>
          <cell r="W166">
            <v>86.23</v>
          </cell>
          <cell r="X166">
            <v>0</v>
          </cell>
          <cell r="Y166">
            <v>780.91</v>
          </cell>
          <cell r="Z166">
            <v>328.76</v>
          </cell>
          <cell r="AA166">
            <v>77</v>
          </cell>
          <cell r="AB166">
            <v>0</v>
          </cell>
          <cell r="AC166">
            <v>0</v>
          </cell>
          <cell r="AD166">
            <v>13.49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Y166">
            <v>448646.64</v>
          </cell>
        </row>
        <row r="167">
          <cell r="A167">
            <v>2</v>
          </cell>
          <cell r="B167" t="str">
            <v>12</v>
          </cell>
          <cell r="C167" t="str">
            <v>000</v>
          </cell>
          <cell r="D167" t="str">
            <v>1</v>
          </cell>
          <cell r="E167" t="str">
            <v>101</v>
          </cell>
          <cell r="F167" t="str">
            <v>N000</v>
          </cell>
          <cell r="G167" t="str">
            <v>200</v>
          </cell>
          <cell r="H167" t="str">
            <v>1103</v>
          </cell>
          <cell r="I167" t="str">
            <v>CFMC07</v>
          </cell>
          <cell r="J167" t="str">
            <v>MC07</v>
          </cell>
          <cell r="K167" t="str">
            <v>1</v>
          </cell>
          <cell r="L167">
            <v>1</v>
          </cell>
          <cell r="M167">
            <v>0</v>
          </cell>
          <cell r="N167">
            <v>3631.8</v>
          </cell>
          <cell r="O167" t="str">
            <v>M</v>
          </cell>
          <cell r="P167" t="str">
            <v>00000000</v>
          </cell>
          <cell r="Q167">
            <v>8731.1</v>
          </cell>
          <cell r="R167">
            <v>524.59</v>
          </cell>
          <cell r="S167">
            <v>100.88</v>
          </cell>
          <cell r="T167">
            <v>463.05</v>
          </cell>
          <cell r="U167">
            <v>181.59</v>
          </cell>
          <cell r="V167">
            <v>222.53</v>
          </cell>
          <cell r="W167">
            <v>72.64</v>
          </cell>
          <cell r="X167">
            <v>0</v>
          </cell>
          <cell r="Y167">
            <v>618.15</v>
          </cell>
          <cell r="Z167">
            <v>261.37</v>
          </cell>
          <cell r="AA167">
            <v>77</v>
          </cell>
          <cell r="AB167">
            <v>0</v>
          </cell>
          <cell r="AC167">
            <v>0</v>
          </cell>
          <cell r="AD167">
            <v>13.49</v>
          </cell>
          <cell r="AE167">
            <v>3.03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Y167">
            <v>178814.64</v>
          </cell>
        </row>
        <row r="168">
          <cell r="A168">
            <v>2</v>
          </cell>
          <cell r="B168" t="str">
            <v>12</v>
          </cell>
          <cell r="C168" t="str">
            <v>000</v>
          </cell>
          <cell r="D168" t="str">
            <v>1</v>
          </cell>
          <cell r="E168" t="str">
            <v>101</v>
          </cell>
          <cell r="F168" t="str">
            <v>N000</v>
          </cell>
          <cell r="G168" t="str">
            <v>200</v>
          </cell>
          <cell r="H168" t="str">
            <v>1103</v>
          </cell>
          <cell r="I168" t="str">
            <v>CFMD01</v>
          </cell>
          <cell r="J168" t="str">
            <v>MD01</v>
          </cell>
          <cell r="K168" t="str">
            <v>1</v>
          </cell>
          <cell r="L168">
            <v>1</v>
          </cell>
          <cell r="M168">
            <v>0</v>
          </cell>
          <cell r="N168">
            <v>19938.849999999999</v>
          </cell>
          <cell r="O168" t="str">
            <v>M</v>
          </cell>
          <cell r="P168" t="str">
            <v>00000000</v>
          </cell>
          <cell r="Q168">
            <v>125984.15</v>
          </cell>
          <cell r="R168">
            <v>2880.06</v>
          </cell>
          <cell r="S168">
            <v>553.86</v>
          </cell>
          <cell r="T168">
            <v>2542.1999999999998</v>
          </cell>
          <cell r="U168">
            <v>996.94</v>
          </cell>
          <cell r="V168">
            <v>2626.61</v>
          </cell>
          <cell r="W168">
            <v>398.78</v>
          </cell>
          <cell r="X168">
            <v>0</v>
          </cell>
          <cell r="Y168">
            <v>7296.15</v>
          </cell>
          <cell r="Z168">
            <v>2988.68</v>
          </cell>
          <cell r="AA168">
            <v>77</v>
          </cell>
          <cell r="AB168">
            <v>0</v>
          </cell>
          <cell r="AC168">
            <v>0</v>
          </cell>
          <cell r="AD168">
            <v>13.49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Y168">
            <v>1995561.24</v>
          </cell>
        </row>
        <row r="169">
          <cell r="A169">
            <v>2</v>
          </cell>
          <cell r="B169" t="str">
            <v>12</v>
          </cell>
          <cell r="C169" t="str">
            <v>000</v>
          </cell>
          <cell r="D169" t="str">
            <v>1</v>
          </cell>
          <cell r="E169" t="str">
            <v>101</v>
          </cell>
          <cell r="F169" t="str">
            <v>N000</v>
          </cell>
          <cell r="G169" t="str">
            <v>200</v>
          </cell>
          <cell r="H169" t="str">
            <v>1103</v>
          </cell>
          <cell r="I169" t="str">
            <v>CFMD12</v>
          </cell>
          <cell r="J169" t="str">
            <v>MD12</v>
          </cell>
          <cell r="K169" t="str">
            <v>1</v>
          </cell>
          <cell r="L169">
            <v>4</v>
          </cell>
          <cell r="M169">
            <v>0</v>
          </cell>
          <cell r="N169">
            <v>12026.05</v>
          </cell>
          <cell r="O169" t="str">
            <v>M</v>
          </cell>
          <cell r="P169" t="str">
            <v>00000000</v>
          </cell>
          <cell r="Q169">
            <v>72295.199999999997</v>
          </cell>
          <cell r="R169">
            <v>1737.1</v>
          </cell>
          <cell r="S169">
            <v>334.06</v>
          </cell>
          <cell r="T169">
            <v>1533.32</v>
          </cell>
          <cell r="U169">
            <v>601.29999999999995</v>
          </cell>
          <cell r="V169">
            <v>1517.78</v>
          </cell>
          <cell r="W169">
            <v>240.52</v>
          </cell>
          <cell r="X169">
            <v>0</v>
          </cell>
          <cell r="Y169">
            <v>4216.0600000000004</v>
          </cell>
          <cell r="Z169">
            <v>1729.39</v>
          </cell>
          <cell r="AA169">
            <v>77</v>
          </cell>
          <cell r="AB169">
            <v>0</v>
          </cell>
          <cell r="AC169">
            <v>0</v>
          </cell>
          <cell r="AD169">
            <v>13.49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Y169">
            <v>4623420.96</v>
          </cell>
        </row>
        <row r="170">
          <cell r="A170">
            <v>2</v>
          </cell>
          <cell r="B170" t="str">
            <v>12</v>
          </cell>
          <cell r="C170" t="str">
            <v>000</v>
          </cell>
          <cell r="D170" t="str">
            <v>1</v>
          </cell>
          <cell r="E170" t="str">
            <v>101</v>
          </cell>
          <cell r="F170" t="str">
            <v>N000</v>
          </cell>
          <cell r="G170" t="str">
            <v>200</v>
          </cell>
          <cell r="H170" t="str">
            <v>1103</v>
          </cell>
          <cell r="I170" t="str">
            <v>CFMG01</v>
          </cell>
          <cell r="J170" t="str">
            <v>MG01</v>
          </cell>
          <cell r="K170" t="str">
            <v>1</v>
          </cell>
          <cell r="L170">
            <v>1</v>
          </cell>
          <cell r="M170">
            <v>0</v>
          </cell>
          <cell r="N170">
            <v>9641.4</v>
          </cell>
          <cell r="O170" t="str">
            <v>M</v>
          </cell>
          <cell r="P170" t="str">
            <v>00000000</v>
          </cell>
          <cell r="Q170">
            <v>56872.15</v>
          </cell>
          <cell r="R170">
            <v>1392.65</v>
          </cell>
          <cell r="S170">
            <v>267.82</v>
          </cell>
          <cell r="T170">
            <v>1229.28</v>
          </cell>
          <cell r="U170">
            <v>482.07</v>
          </cell>
          <cell r="V170">
            <v>1197.25</v>
          </cell>
          <cell r="W170">
            <v>192.83</v>
          </cell>
          <cell r="X170">
            <v>0</v>
          </cell>
          <cell r="Y170">
            <v>3325.68</v>
          </cell>
          <cell r="Z170">
            <v>1365.02</v>
          </cell>
          <cell r="AA170">
            <v>77</v>
          </cell>
          <cell r="AB170">
            <v>0</v>
          </cell>
          <cell r="AC170">
            <v>0</v>
          </cell>
          <cell r="AD170">
            <v>13.49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Y170">
            <v>912679.68</v>
          </cell>
        </row>
        <row r="171">
          <cell r="A171">
            <v>2</v>
          </cell>
          <cell r="B171" t="str">
            <v>12</v>
          </cell>
          <cell r="C171" t="str">
            <v>000</v>
          </cell>
          <cell r="D171" t="str">
            <v>1</v>
          </cell>
          <cell r="E171" t="str">
            <v>101</v>
          </cell>
          <cell r="F171" t="str">
            <v>N000</v>
          </cell>
          <cell r="G171" t="str">
            <v>200</v>
          </cell>
          <cell r="H171" t="str">
            <v>1103</v>
          </cell>
          <cell r="I171" t="str">
            <v>CFMG06</v>
          </cell>
          <cell r="J171" t="str">
            <v>MG06</v>
          </cell>
          <cell r="K171" t="str">
            <v>1</v>
          </cell>
          <cell r="L171">
            <v>6</v>
          </cell>
          <cell r="M171">
            <v>0</v>
          </cell>
          <cell r="N171">
            <v>8232.25</v>
          </cell>
          <cell r="O171" t="str">
            <v>M</v>
          </cell>
          <cell r="P171" t="str">
            <v>00000000</v>
          </cell>
          <cell r="Q171">
            <v>38872.050000000003</v>
          </cell>
          <cell r="R171">
            <v>1189.0999999999999</v>
          </cell>
          <cell r="S171">
            <v>228.67</v>
          </cell>
          <cell r="T171">
            <v>1049.6099999999999</v>
          </cell>
          <cell r="U171">
            <v>411.61</v>
          </cell>
          <cell r="V171">
            <v>847.88</v>
          </cell>
          <cell r="W171">
            <v>164.65</v>
          </cell>
          <cell r="X171">
            <v>13.67</v>
          </cell>
          <cell r="Y171">
            <v>2355.2199999999998</v>
          </cell>
          <cell r="Z171">
            <v>972.25</v>
          </cell>
          <cell r="AA171">
            <v>77</v>
          </cell>
          <cell r="AB171">
            <v>0</v>
          </cell>
          <cell r="AC171">
            <v>0</v>
          </cell>
          <cell r="AD171">
            <v>13.49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Y171">
            <v>3918776.4</v>
          </cell>
        </row>
        <row r="172">
          <cell r="A172">
            <v>2</v>
          </cell>
          <cell r="B172" t="str">
            <v>12</v>
          </cell>
          <cell r="C172" t="str">
            <v>000</v>
          </cell>
          <cell r="D172" t="str">
            <v>1</v>
          </cell>
          <cell r="E172" t="str">
            <v>101</v>
          </cell>
          <cell r="F172" t="str">
            <v>N000</v>
          </cell>
          <cell r="G172" t="str">
            <v>200</v>
          </cell>
          <cell r="H172" t="str">
            <v>1103</v>
          </cell>
          <cell r="I172" t="str">
            <v>CFMG10</v>
          </cell>
          <cell r="J172" t="str">
            <v>MG10</v>
          </cell>
          <cell r="K172" t="str">
            <v>1</v>
          </cell>
          <cell r="L172">
            <v>1</v>
          </cell>
          <cell r="M172">
            <v>0</v>
          </cell>
          <cell r="N172">
            <v>6807.9</v>
          </cell>
          <cell r="O172" t="str">
            <v>M</v>
          </cell>
          <cell r="P172" t="str">
            <v>00000000</v>
          </cell>
          <cell r="Q172">
            <v>28390.85</v>
          </cell>
          <cell r="R172">
            <v>983.36</v>
          </cell>
          <cell r="S172">
            <v>189.11</v>
          </cell>
          <cell r="T172">
            <v>868.01</v>
          </cell>
          <cell r="U172">
            <v>340.39</v>
          </cell>
          <cell r="V172">
            <v>633.58000000000004</v>
          </cell>
          <cell r="W172">
            <v>136.16</v>
          </cell>
          <cell r="X172">
            <v>46</v>
          </cell>
          <cell r="Y172">
            <v>1759.94</v>
          </cell>
          <cell r="Z172">
            <v>730</v>
          </cell>
          <cell r="AA172">
            <v>77</v>
          </cell>
          <cell r="AB172">
            <v>0</v>
          </cell>
          <cell r="AC172">
            <v>0</v>
          </cell>
          <cell r="AD172">
            <v>13.49</v>
          </cell>
          <cell r="AE172">
            <v>5.67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Y172">
            <v>491777.52</v>
          </cell>
        </row>
        <row r="173">
          <cell r="A173">
            <v>2</v>
          </cell>
          <cell r="B173" t="str">
            <v>12</v>
          </cell>
          <cell r="C173" t="str">
            <v>000</v>
          </cell>
          <cell r="D173" t="str">
            <v>1</v>
          </cell>
          <cell r="E173" t="str">
            <v>101</v>
          </cell>
          <cell r="F173" t="str">
            <v>N000</v>
          </cell>
          <cell r="G173" t="str">
            <v>200</v>
          </cell>
          <cell r="H173" t="str">
            <v>1103</v>
          </cell>
          <cell r="I173" t="str">
            <v>CFMS03</v>
          </cell>
          <cell r="J173" t="str">
            <v>MS03</v>
          </cell>
          <cell r="K173" t="str">
            <v>1</v>
          </cell>
          <cell r="L173">
            <v>2</v>
          </cell>
          <cell r="M173">
            <v>0</v>
          </cell>
          <cell r="N173">
            <v>5431.75</v>
          </cell>
          <cell r="O173" t="str">
            <v>M</v>
          </cell>
          <cell r="P173" t="str">
            <v>00000000</v>
          </cell>
          <cell r="Q173">
            <v>24512.85</v>
          </cell>
          <cell r="R173">
            <v>784.59</v>
          </cell>
          <cell r="S173">
            <v>150.88</v>
          </cell>
          <cell r="T173">
            <v>692.55</v>
          </cell>
          <cell r="U173">
            <v>271.58999999999997</v>
          </cell>
          <cell r="V173">
            <v>539</v>
          </cell>
          <cell r="W173">
            <v>108.64</v>
          </cell>
          <cell r="X173">
            <v>0</v>
          </cell>
          <cell r="Y173">
            <v>1497.23</v>
          </cell>
          <cell r="Z173">
            <v>619.14</v>
          </cell>
          <cell r="AA173">
            <v>77</v>
          </cell>
          <cell r="AB173">
            <v>0</v>
          </cell>
          <cell r="AC173">
            <v>0</v>
          </cell>
          <cell r="AD173">
            <v>13.49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Y173">
            <v>832769.04</v>
          </cell>
        </row>
        <row r="174">
          <cell r="A174">
            <v>2</v>
          </cell>
          <cell r="B174" t="str">
            <v>12</v>
          </cell>
          <cell r="C174" t="str">
            <v>000</v>
          </cell>
          <cell r="D174" t="str">
            <v>1</v>
          </cell>
          <cell r="E174" t="str">
            <v>101</v>
          </cell>
          <cell r="F174" t="str">
            <v>N000</v>
          </cell>
          <cell r="G174" t="str">
            <v>200</v>
          </cell>
          <cell r="H174" t="str">
            <v>1103</v>
          </cell>
          <cell r="I174" t="str">
            <v>CFMS08</v>
          </cell>
          <cell r="J174" t="str">
            <v>MS08</v>
          </cell>
          <cell r="K174" t="str">
            <v>1</v>
          </cell>
          <cell r="L174">
            <v>8</v>
          </cell>
          <cell r="M174">
            <v>0</v>
          </cell>
          <cell r="N174">
            <v>4801.8999999999996</v>
          </cell>
          <cell r="O174" t="str">
            <v>M</v>
          </cell>
          <cell r="P174" t="str">
            <v>00000000</v>
          </cell>
          <cell r="Q174">
            <v>18269.849999999999</v>
          </cell>
          <cell r="R174">
            <v>693.61</v>
          </cell>
          <cell r="S174">
            <v>133.38999999999999</v>
          </cell>
          <cell r="T174">
            <v>612.24</v>
          </cell>
          <cell r="U174">
            <v>240.09</v>
          </cell>
          <cell r="V174">
            <v>415.29</v>
          </cell>
          <cell r="W174">
            <v>96.04</v>
          </cell>
          <cell r="X174">
            <v>13.63</v>
          </cell>
          <cell r="Y174">
            <v>1153.5899999999999</v>
          </cell>
          <cell r="Z174">
            <v>479.79</v>
          </cell>
          <cell r="AA174">
            <v>77</v>
          </cell>
          <cell r="AB174">
            <v>0</v>
          </cell>
          <cell r="AC174">
            <v>0</v>
          </cell>
          <cell r="AD174">
            <v>13.49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Y174">
            <v>2591991.36</v>
          </cell>
        </row>
        <row r="175">
          <cell r="A175">
            <v>2</v>
          </cell>
          <cell r="B175" t="str">
            <v>12</v>
          </cell>
          <cell r="C175" t="str">
            <v>000</v>
          </cell>
          <cell r="D175" t="str">
            <v>1</v>
          </cell>
          <cell r="E175" t="str">
            <v>101</v>
          </cell>
          <cell r="F175" t="str">
            <v>N000</v>
          </cell>
          <cell r="G175" t="str">
            <v>200</v>
          </cell>
          <cell r="H175" t="str">
            <v>1103</v>
          </cell>
          <cell r="I175" t="str">
            <v>CFMS11</v>
          </cell>
          <cell r="J175" t="str">
            <v>MS11</v>
          </cell>
          <cell r="K175" t="str">
            <v>1</v>
          </cell>
          <cell r="L175">
            <v>1</v>
          </cell>
          <cell r="M175">
            <v>0</v>
          </cell>
          <cell r="N175">
            <v>4311.3999999999996</v>
          </cell>
          <cell r="O175" t="str">
            <v>M</v>
          </cell>
          <cell r="P175" t="str">
            <v>00000000</v>
          </cell>
          <cell r="Q175">
            <v>15441.65</v>
          </cell>
          <cell r="R175">
            <v>622.76</v>
          </cell>
          <cell r="S175">
            <v>119.76</v>
          </cell>
          <cell r="T175">
            <v>549.70000000000005</v>
          </cell>
          <cell r="U175">
            <v>215.57</v>
          </cell>
          <cell r="V175">
            <v>355.56</v>
          </cell>
          <cell r="W175">
            <v>86.23</v>
          </cell>
          <cell r="X175">
            <v>0</v>
          </cell>
          <cell r="Y175">
            <v>987.65</v>
          </cell>
          <cell r="Z175">
            <v>411.45</v>
          </cell>
          <cell r="AA175">
            <v>77</v>
          </cell>
          <cell r="AB175">
            <v>0</v>
          </cell>
          <cell r="AC175">
            <v>0</v>
          </cell>
          <cell r="AD175">
            <v>13.49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Y175">
            <v>278306.64</v>
          </cell>
        </row>
        <row r="176">
          <cell r="A176">
            <v>2</v>
          </cell>
          <cell r="B176" t="str">
            <v>12</v>
          </cell>
          <cell r="C176" t="str">
            <v>000</v>
          </cell>
          <cell r="D176" t="str">
            <v>1</v>
          </cell>
          <cell r="E176" t="str">
            <v>101</v>
          </cell>
          <cell r="F176" t="str">
            <v>N000</v>
          </cell>
          <cell r="G176" t="str">
            <v>200</v>
          </cell>
          <cell r="H176" t="str">
            <v>1103</v>
          </cell>
          <cell r="I176" t="str">
            <v>CFMS12</v>
          </cell>
          <cell r="J176" t="str">
            <v>MS12</v>
          </cell>
          <cell r="K176" t="str">
            <v>1</v>
          </cell>
          <cell r="L176">
            <v>1</v>
          </cell>
          <cell r="M176">
            <v>0</v>
          </cell>
          <cell r="N176">
            <v>4311.3999999999996</v>
          </cell>
          <cell r="O176" t="str">
            <v>M</v>
          </cell>
          <cell r="P176" t="str">
            <v>00000000</v>
          </cell>
          <cell r="Q176">
            <v>12875.7</v>
          </cell>
          <cell r="R176">
            <v>622.76</v>
          </cell>
          <cell r="S176">
            <v>119.76</v>
          </cell>
          <cell r="T176">
            <v>549.70000000000005</v>
          </cell>
          <cell r="U176">
            <v>215.57</v>
          </cell>
          <cell r="V176">
            <v>309.37</v>
          </cell>
          <cell r="W176">
            <v>86.23</v>
          </cell>
          <cell r="X176">
            <v>0</v>
          </cell>
          <cell r="Y176">
            <v>859.36</v>
          </cell>
          <cell r="Z176">
            <v>360.2</v>
          </cell>
          <cell r="AA176">
            <v>77</v>
          </cell>
          <cell r="AB176">
            <v>0</v>
          </cell>
          <cell r="AC176">
            <v>0</v>
          </cell>
          <cell r="AD176">
            <v>13.49</v>
          </cell>
          <cell r="AE176">
            <v>3.59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Y176">
            <v>244849.56</v>
          </cell>
        </row>
        <row r="177">
          <cell r="A177">
            <v>2</v>
          </cell>
          <cell r="B177" t="str">
            <v>12</v>
          </cell>
          <cell r="C177" t="str">
            <v>000</v>
          </cell>
          <cell r="D177" t="str">
            <v>1</v>
          </cell>
          <cell r="E177" t="str">
            <v>101</v>
          </cell>
          <cell r="F177" t="str">
            <v>N000</v>
          </cell>
          <cell r="G177" t="str">
            <v>200</v>
          </cell>
          <cell r="H177" t="str">
            <v>1103</v>
          </cell>
          <cell r="I177" t="str">
            <v>M01004</v>
          </cell>
          <cell r="K177" t="str">
            <v>2</v>
          </cell>
          <cell r="L177">
            <v>2</v>
          </cell>
          <cell r="M177">
            <v>0</v>
          </cell>
          <cell r="N177">
            <v>6400</v>
          </cell>
          <cell r="O177" t="str">
            <v>M</v>
          </cell>
          <cell r="P177" t="str">
            <v>00000000</v>
          </cell>
          <cell r="Q177">
            <v>0</v>
          </cell>
          <cell r="R177">
            <v>924.44</v>
          </cell>
          <cell r="S177">
            <v>177.78</v>
          </cell>
          <cell r="T177">
            <v>816</v>
          </cell>
          <cell r="U177">
            <v>320</v>
          </cell>
          <cell r="V177">
            <v>115.2</v>
          </cell>
          <cell r="W177">
            <v>128</v>
          </cell>
          <cell r="X177">
            <v>0</v>
          </cell>
          <cell r="Y177">
            <v>0</v>
          </cell>
          <cell r="Z177">
            <v>287.52999999999997</v>
          </cell>
          <cell r="AA177">
            <v>77</v>
          </cell>
          <cell r="AB177">
            <v>96</v>
          </cell>
          <cell r="AC177">
            <v>80</v>
          </cell>
          <cell r="AD177">
            <v>13.49</v>
          </cell>
          <cell r="AE177">
            <v>5.33</v>
          </cell>
          <cell r="AF177">
            <v>0</v>
          </cell>
          <cell r="AG177">
            <v>0</v>
          </cell>
          <cell r="AH177">
            <v>4086</v>
          </cell>
          <cell r="AI177">
            <v>0</v>
          </cell>
          <cell r="AJ177">
            <v>2530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Y177">
            <v>385362.48</v>
          </cell>
        </row>
        <row r="178">
          <cell r="A178">
            <v>2</v>
          </cell>
          <cell r="B178" t="str">
            <v>12</v>
          </cell>
          <cell r="C178" t="str">
            <v>000</v>
          </cell>
          <cell r="D178" t="str">
            <v>1</v>
          </cell>
          <cell r="E178" t="str">
            <v>420</v>
          </cell>
          <cell r="F178" t="str">
            <v>N000</v>
          </cell>
          <cell r="G178" t="str">
            <v>200</v>
          </cell>
          <cell r="H178" t="str">
            <v>1103</v>
          </cell>
          <cell r="I178" t="str">
            <v>M01004</v>
          </cell>
          <cell r="K178" t="str">
            <v>2</v>
          </cell>
          <cell r="L178">
            <v>128</v>
          </cell>
          <cell r="M178">
            <v>0</v>
          </cell>
          <cell r="N178">
            <v>6400</v>
          </cell>
          <cell r="O178" t="str">
            <v>M</v>
          </cell>
          <cell r="P178" t="str">
            <v>00000000</v>
          </cell>
          <cell r="Q178">
            <v>0</v>
          </cell>
          <cell r="R178">
            <v>924.44</v>
          </cell>
          <cell r="S178">
            <v>177.78</v>
          </cell>
          <cell r="T178">
            <v>910.35</v>
          </cell>
          <cell r="U178">
            <v>357</v>
          </cell>
          <cell r="V178">
            <v>115.2</v>
          </cell>
          <cell r="W178">
            <v>142.80000000000001</v>
          </cell>
          <cell r="X178">
            <v>39.46</v>
          </cell>
          <cell r="Y178">
            <v>0</v>
          </cell>
          <cell r="Z178">
            <v>303.12</v>
          </cell>
          <cell r="AA178">
            <v>77</v>
          </cell>
          <cell r="AB178">
            <v>96</v>
          </cell>
          <cell r="AC178">
            <v>80</v>
          </cell>
          <cell r="AD178">
            <v>13.49</v>
          </cell>
          <cell r="AE178">
            <v>5.33</v>
          </cell>
          <cell r="AF178">
            <v>0</v>
          </cell>
          <cell r="AG178">
            <v>740</v>
          </cell>
          <cell r="AH178">
            <v>4086</v>
          </cell>
          <cell r="AI178">
            <v>0</v>
          </cell>
          <cell r="AJ178">
            <v>2530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Y178">
            <v>26108881.920000002</v>
          </cell>
        </row>
        <row r="179">
          <cell r="A179">
            <v>2</v>
          </cell>
          <cell r="B179" t="str">
            <v>12</v>
          </cell>
          <cell r="C179" t="str">
            <v>000</v>
          </cell>
          <cell r="D179" t="str">
            <v>1</v>
          </cell>
          <cell r="E179" t="str">
            <v>101</v>
          </cell>
          <cell r="F179" t="str">
            <v>N000</v>
          </cell>
          <cell r="G179" t="str">
            <v>200</v>
          </cell>
          <cell r="H179" t="str">
            <v>1103</v>
          </cell>
          <cell r="I179" t="str">
            <v>M01006</v>
          </cell>
          <cell r="K179" t="str">
            <v>2</v>
          </cell>
          <cell r="L179">
            <v>46</v>
          </cell>
          <cell r="M179">
            <v>0</v>
          </cell>
          <cell r="N179">
            <v>5300</v>
          </cell>
          <cell r="O179" t="str">
            <v>M</v>
          </cell>
          <cell r="P179" t="str">
            <v>00000000</v>
          </cell>
          <cell r="Q179">
            <v>0</v>
          </cell>
          <cell r="R179">
            <v>765.56</v>
          </cell>
          <cell r="S179">
            <v>147.22</v>
          </cell>
          <cell r="T179">
            <v>675.75</v>
          </cell>
          <cell r="U179">
            <v>265</v>
          </cell>
          <cell r="V179">
            <v>95.4</v>
          </cell>
          <cell r="W179">
            <v>106</v>
          </cell>
          <cell r="X179">
            <v>10</v>
          </cell>
          <cell r="Y179">
            <v>0</v>
          </cell>
          <cell r="Z179">
            <v>238.12</v>
          </cell>
          <cell r="AA179">
            <v>77</v>
          </cell>
          <cell r="AB179">
            <v>96</v>
          </cell>
          <cell r="AC179">
            <v>80</v>
          </cell>
          <cell r="AD179">
            <v>13.49</v>
          </cell>
          <cell r="AE179">
            <v>4.42</v>
          </cell>
          <cell r="AF179">
            <v>0</v>
          </cell>
          <cell r="AG179">
            <v>0</v>
          </cell>
          <cell r="AH179">
            <v>2426</v>
          </cell>
          <cell r="AI179">
            <v>0</v>
          </cell>
          <cell r="AJ179">
            <v>3000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Y179">
            <v>7341577.9199999999</v>
          </cell>
        </row>
        <row r="180">
          <cell r="A180">
            <v>2</v>
          </cell>
          <cell r="B180" t="str">
            <v>12</v>
          </cell>
          <cell r="C180" t="str">
            <v>000</v>
          </cell>
          <cell r="D180" t="str">
            <v>1</v>
          </cell>
          <cell r="E180" t="str">
            <v>420</v>
          </cell>
          <cell r="F180" t="str">
            <v>N000</v>
          </cell>
          <cell r="G180" t="str">
            <v>200</v>
          </cell>
          <cell r="H180" t="str">
            <v>1103</v>
          </cell>
          <cell r="I180" t="str">
            <v>M01006</v>
          </cell>
          <cell r="K180" t="str">
            <v>2</v>
          </cell>
          <cell r="L180">
            <v>32</v>
          </cell>
          <cell r="M180">
            <v>0</v>
          </cell>
          <cell r="N180">
            <v>5300</v>
          </cell>
          <cell r="O180" t="str">
            <v>M</v>
          </cell>
          <cell r="P180" t="str">
            <v>00000000</v>
          </cell>
          <cell r="Q180">
            <v>0</v>
          </cell>
          <cell r="R180">
            <v>765.56</v>
          </cell>
          <cell r="S180">
            <v>147.22</v>
          </cell>
          <cell r="T180">
            <v>682.09</v>
          </cell>
          <cell r="U180">
            <v>267.48</v>
          </cell>
          <cell r="V180">
            <v>95.4</v>
          </cell>
          <cell r="W180">
            <v>106.99</v>
          </cell>
          <cell r="X180">
            <v>18.91</v>
          </cell>
          <cell r="Y180">
            <v>0</v>
          </cell>
          <cell r="Z180">
            <v>239.3</v>
          </cell>
          <cell r="AA180">
            <v>77</v>
          </cell>
          <cell r="AB180">
            <v>96</v>
          </cell>
          <cell r="AC180">
            <v>80</v>
          </cell>
          <cell r="AD180">
            <v>13.49</v>
          </cell>
          <cell r="AE180">
            <v>4.42</v>
          </cell>
          <cell r="AF180">
            <v>0</v>
          </cell>
          <cell r="AG180">
            <v>49.69</v>
          </cell>
          <cell r="AH180">
            <v>2426</v>
          </cell>
          <cell r="AI180">
            <v>0</v>
          </cell>
          <cell r="AJ180">
            <v>3000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Y180">
            <v>5133907.2</v>
          </cell>
        </row>
        <row r="181">
          <cell r="A181">
            <v>2</v>
          </cell>
          <cell r="B181" t="str">
            <v>12</v>
          </cell>
          <cell r="C181" t="str">
            <v>000</v>
          </cell>
          <cell r="D181" t="str">
            <v>1</v>
          </cell>
          <cell r="E181" t="str">
            <v>101</v>
          </cell>
          <cell r="F181" t="str">
            <v>N000</v>
          </cell>
          <cell r="G181" t="str">
            <v>200</v>
          </cell>
          <cell r="H181" t="str">
            <v>1103</v>
          </cell>
          <cell r="I181" t="str">
            <v>M01007</v>
          </cell>
          <cell r="K181" t="str">
            <v>2</v>
          </cell>
          <cell r="L181">
            <v>1</v>
          </cell>
          <cell r="M181">
            <v>0</v>
          </cell>
          <cell r="N181">
            <v>5074</v>
          </cell>
          <cell r="O181" t="str">
            <v>M</v>
          </cell>
          <cell r="P181" t="str">
            <v>00000000</v>
          </cell>
          <cell r="Q181">
            <v>0</v>
          </cell>
          <cell r="R181">
            <v>732.91</v>
          </cell>
          <cell r="S181">
            <v>140.94</v>
          </cell>
          <cell r="T181">
            <v>646.94000000000005</v>
          </cell>
          <cell r="U181">
            <v>253.7</v>
          </cell>
          <cell r="V181">
            <v>91.33</v>
          </cell>
          <cell r="W181">
            <v>101.48</v>
          </cell>
          <cell r="X181">
            <v>0</v>
          </cell>
          <cell r="Y181">
            <v>0</v>
          </cell>
          <cell r="Z181">
            <v>206.34</v>
          </cell>
          <cell r="AA181">
            <v>77</v>
          </cell>
          <cell r="AB181">
            <v>96</v>
          </cell>
          <cell r="AC181">
            <v>80</v>
          </cell>
          <cell r="AD181">
            <v>13.49</v>
          </cell>
          <cell r="AE181">
            <v>4.2300000000000004</v>
          </cell>
          <cell r="AF181">
            <v>0</v>
          </cell>
          <cell r="AG181">
            <v>0</v>
          </cell>
          <cell r="AH181">
            <v>2004</v>
          </cell>
          <cell r="AI181">
            <v>0</v>
          </cell>
          <cell r="AJ181">
            <v>2108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Y181">
            <v>139564.32</v>
          </cell>
        </row>
        <row r="182">
          <cell r="A182">
            <v>2</v>
          </cell>
          <cell r="B182" t="str">
            <v>12</v>
          </cell>
          <cell r="C182" t="str">
            <v>000</v>
          </cell>
          <cell r="D182" t="str">
            <v>1</v>
          </cell>
          <cell r="E182" t="str">
            <v>420</v>
          </cell>
          <cell r="F182" t="str">
            <v>N000</v>
          </cell>
          <cell r="G182" t="str">
            <v>200</v>
          </cell>
          <cell r="H182" t="str">
            <v>1103</v>
          </cell>
          <cell r="I182" t="str">
            <v>M01007</v>
          </cell>
          <cell r="K182" t="str">
            <v>2</v>
          </cell>
          <cell r="L182">
            <v>12</v>
          </cell>
          <cell r="M182">
            <v>0</v>
          </cell>
          <cell r="N182">
            <v>5074</v>
          </cell>
          <cell r="O182" t="str">
            <v>M</v>
          </cell>
          <cell r="P182" t="str">
            <v>00000000</v>
          </cell>
          <cell r="Q182">
            <v>0</v>
          </cell>
          <cell r="R182">
            <v>732.91</v>
          </cell>
          <cell r="S182">
            <v>140.94</v>
          </cell>
          <cell r="T182">
            <v>711.63</v>
          </cell>
          <cell r="U182">
            <v>279.07</v>
          </cell>
          <cell r="V182">
            <v>91.33</v>
          </cell>
          <cell r="W182">
            <v>111.63</v>
          </cell>
          <cell r="X182">
            <v>44.92</v>
          </cell>
          <cell r="Y182">
            <v>0</v>
          </cell>
          <cell r="Z182">
            <v>217.39</v>
          </cell>
          <cell r="AA182">
            <v>77</v>
          </cell>
          <cell r="AB182">
            <v>96</v>
          </cell>
          <cell r="AC182">
            <v>80</v>
          </cell>
          <cell r="AD182">
            <v>13.49</v>
          </cell>
          <cell r="AE182">
            <v>4.2300000000000004</v>
          </cell>
          <cell r="AF182">
            <v>0</v>
          </cell>
          <cell r="AG182">
            <v>507.4</v>
          </cell>
          <cell r="AH182">
            <v>2004</v>
          </cell>
          <cell r="AI182">
            <v>0</v>
          </cell>
          <cell r="AJ182">
            <v>2108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Y182">
            <v>1770327.36</v>
          </cell>
        </row>
        <row r="183">
          <cell r="A183">
            <v>2</v>
          </cell>
          <cell r="B183" t="str">
            <v>12</v>
          </cell>
          <cell r="C183" t="str">
            <v>000</v>
          </cell>
          <cell r="D183" t="str">
            <v>1</v>
          </cell>
          <cell r="E183" t="str">
            <v>420</v>
          </cell>
          <cell r="F183" t="str">
            <v>N000</v>
          </cell>
          <cell r="G183" t="str">
            <v>200</v>
          </cell>
          <cell r="H183" t="str">
            <v>1103</v>
          </cell>
          <cell r="I183" t="str">
            <v>M01008</v>
          </cell>
          <cell r="K183" t="str">
            <v>2</v>
          </cell>
          <cell r="L183">
            <v>12</v>
          </cell>
          <cell r="M183">
            <v>0</v>
          </cell>
          <cell r="N183">
            <v>5546</v>
          </cell>
          <cell r="O183" t="str">
            <v>M</v>
          </cell>
          <cell r="P183" t="str">
            <v>00000000</v>
          </cell>
          <cell r="Q183">
            <v>0</v>
          </cell>
          <cell r="R183">
            <v>801.09</v>
          </cell>
          <cell r="S183">
            <v>154.06</v>
          </cell>
          <cell r="T183">
            <v>707.12</v>
          </cell>
          <cell r="U183">
            <v>277.3</v>
          </cell>
          <cell r="V183">
            <v>99.83</v>
          </cell>
          <cell r="W183">
            <v>110.92</v>
          </cell>
          <cell r="X183">
            <v>25.92</v>
          </cell>
          <cell r="Y183">
            <v>0</v>
          </cell>
          <cell r="Z183">
            <v>250.77</v>
          </cell>
          <cell r="AA183">
            <v>77</v>
          </cell>
          <cell r="AB183">
            <v>96</v>
          </cell>
          <cell r="AC183">
            <v>80</v>
          </cell>
          <cell r="AD183">
            <v>13.49</v>
          </cell>
          <cell r="AE183">
            <v>4.62</v>
          </cell>
          <cell r="AF183">
            <v>0</v>
          </cell>
          <cell r="AG183">
            <v>0</v>
          </cell>
          <cell r="AH183">
            <v>2739</v>
          </cell>
          <cell r="AI183">
            <v>0</v>
          </cell>
          <cell r="AJ183">
            <v>3015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Y183">
            <v>2015729.28</v>
          </cell>
        </row>
        <row r="184">
          <cell r="A184">
            <v>2</v>
          </cell>
          <cell r="B184" t="str">
            <v>12</v>
          </cell>
          <cell r="C184" t="str">
            <v>000</v>
          </cell>
          <cell r="D184" t="str">
            <v>1</v>
          </cell>
          <cell r="E184" t="str">
            <v>420</v>
          </cell>
          <cell r="F184" t="str">
            <v>N000</v>
          </cell>
          <cell r="G184" t="str">
            <v>200</v>
          </cell>
          <cell r="H184" t="str">
            <v>1103</v>
          </cell>
          <cell r="I184" t="str">
            <v>M01009</v>
          </cell>
          <cell r="K184" t="str">
            <v>2</v>
          </cell>
          <cell r="L184">
            <v>6</v>
          </cell>
          <cell r="M184">
            <v>0</v>
          </cell>
          <cell r="N184">
            <v>6121</v>
          </cell>
          <cell r="O184" t="str">
            <v>M</v>
          </cell>
          <cell r="P184" t="str">
            <v>00000000</v>
          </cell>
          <cell r="Q184">
            <v>0</v>
          </cell>
          <cell r="R184">
            <v>884.14</v>
          </cell>
          <cell r="S184">
            <v>170.03</v>
          </cell>
          <cell r="T184">
            <v>780.43</v>
          </cell>
          <cell r="U184">
            <v>306.05</v>
          </cell>
          <cell r="V184">
            <v>110.18</v>
          </cell>
          <cell r="W184">
            <v>122.42</v>
          </cell>
          <cell r="X184">
            <v>104.33</v>
          </cell>
          <cell r="Y184">
            <v>0</v>
          </cell>
          <cell r="Z184">
            <v>276.25</v>
          </cell>
          <cell r="AA184">
            <v>77</v>
          </cell>
          <cell r="AB184">
            <v>96</v>
          </cell>
          <cell r="AC184">
            <v>80</v>
          </cell>
          <cell r="AD184">
            <v>13.49</v>
          </cell>
          <cell r="AE184">
            <v>5.0999999999999996</v>
          </cell>
          <cell r="AF184">
            <v>0</v>
          </cell>
          <cell r="AG184">
            <v>0</v>
          </cell>
          <cell r="AH184">
            <v>3865</v>
          </cell>
          <cell r="AI184">
            <v>0</v>
          </cell>
          <cell r="AJ184">
            <v>2410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Y184">
            <v>1110342.24</v>
          </cell>
        </row>
        <row r="185">
          <cell r="A185">
            <v>2</v>
          </cell>
          <cell r="B185" t="str">
            <v>12</v>
          </cell>
          <cell r="C185" t="str">
            <v>000</v>
          </cell>
          <cell r="D185" t="str">
            <v>1</v>
          </cell>
          <cell r="E185" t="str">
            <v>101</v>
          </cell>
          <cell r="F185" t="str">
            <v>N000</v>
          </cell>
          <cell r="G185" t="str">
            <v>200</v>
          </cell>
          <cell r="H185" t="str">
            <v>1103</v>
          </cell>
          <cell r="I185" t="str">
            <v>M01010</v>
          </cell>
          <cell r="K185" t="str">
            <v>2</v>
          </cell>
          <cell r="L185">
            <v>1</v>
          </cell>
          <cell r="M185">
            <v>0</v>
          </cell>
          <cell r="N185">
            <v>6750</v>
          </cell>
          <cell r="O185" t="str">
            <v>M</v>
          </cell>
          <cell r="P185" t="str">
            <v>00000000</v>
          </cell>
          <cell r="Q185">
            <v>0</v>
          </cell>
          <cell r="R185">
            <v>975</v>
          </cell>
          <cell r="S185">
            <v>187.5</v>
          </cell>
          <cell r="T185">
            <v>860.63</v>
          </cell>
          <cell r="U185">
            <v>337.5</v>
          </cell>
          <cell r="V185">
            <v>121.5</v>
          </cell>
          <cell r="W185">
            <v>135</v>
          </cell>
          <cell r="X185">
            <v>0</v>
          </cell>
          <cell r="Y185">
            <v>0</v>
          </cell>
          <cell r="Z185">
            <v>301.62</v>
          </cell>
          <cell r="AA185">
            <v>77</v>
          </cell>
          <cell r="AB185">
            <v>96</v>
          </cell>
          <cell r="AC185">
            <v>80</v>
          </cell>
          <cell r="AD185">
            <v>13.49</v>
          </cell>
          <cell r="AE185">
            <v>5.63</v>
          </cell>
          <cell r="AF185">
            <v>0</v>
          </cell>
          <cell r="AG185">
            <v>0</v>
          </cell>
          <cell r="AH185">
            <v>4210</v>
          </cell>
          <cell r="AI185">
            <v>0</v>
          </cell>
          <cell r="AJ185">
            <v>2700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Y185">
            <v>202210.44</v>
          </cell>
        </row>
        <row r="186">
          <cell r="A186">
            <v>2</v>
          </cell>
          <cell r="B186" t="str">
            <v>12</v>
          </cell>
          <cell r="C186" t="str">
            <v>000</v>
          </cell>
          <cell r="D186" t="str">
            <v>1</v>
          </cell>
          <cell r="E186" t="str">
            <v>420</v>
          </cell>
          <cell r="F186" t="str">
            <v>N000</v>
          </cell>
          <cell r="G186" t="str">
            <v>200</v>
          </cell>
          <cell r="H186" t="str">
            <v>1103</v>
          </cell>
          <cell r="I186" t="str">
            <v>M01010</v>
          </cell>
          <cell r="K186" t="str">
            <v>2</v>
          </cell>
          <cell r="L186">
            <v>84</v>
          </cell>
          <cell r="M186">
            <v>0</v>
          </cell>
          <cell r="N186">
            <v>6750</v>
          </cell>
          <cell r="O186" t="str">
            <v>M</v>
          </cell>
          <cell r="P186" t="str">
            <v>00000000</v>
          </cell>
          <cell r="Q186">
            <v>0</v>
          </cell>
          <cell r="R186">
            <v>975</v>
          </cell>
          <cell r="S186">
            <v>187.5</v>
          </cell>
          <cell r="T186">
            <v>954.88</v>
          </cell>
          <cell r="U186">
            <v>374.46</v>
          </cell>
          <cell r="V186">
            <v>121.5</v>
          </cell>
          <cell r="W186">
            <v>149.79</v>
          </cell>
          <cell r="X186">
            <v>53.81</v>
          </cell>
          <cell r="Y186">
            <v>0</v>
          </cell>
          <cell r="Z186">
            <v>317.48</v>
          </cell>
          <cell r="AA186">
            <v>77</v>
          </cell>
          <cell r="AB186">
            <v>96</v>
          </cell>
          <cell r="AC186">
            <v>80</v>
          </cell>
          <cell r="AD186">
            <v>13.49</v>
          </cell>
          <cell r="AE186">
            <v>5.63</v>
          </cell>
          <cell r="AF186">
            <v>0</v>
          </cell>
          <cell r="AG186">
            <v>739.29</v>
          </cell>
          <cell r="AH186">
            <v>4210</v>
          </cell>
          <cell r="AI186">
            <v>0</v>
          </cell>
          <cell r="AJ186">
            <v>2700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Y186">
            <v>17948276.640000001</v>
          </cell>
        </row>
        <row r="187">
          <cell r="A187">
            <v>2</v>
          </cell>
          <cell r="B187" t="str">
            <v>12</v>
          </cell>
          <cell r="C187" t="str">
            <v>000</v>
          </cell>
          <cell r="D187" t="str">
            <v>1</v>
          </cell>
          <cell r="E187" t="str">
            <v>420</v>
          </cell>
          <cell r="F187" t="str">
            <v>N000</v>
          </cell>
          <cell r="G187" t="str">
            <v>200</v>
          </cell>
          <cell r="H187" t="str">
            <v>1103</v>
          </cell>
          <cell r="I187" t="str">
            <v>M01011</v>
          </cell>
          <cell r="K187" t="str">
            <v>2</v>
          </cell>
          <cell r="L187">
            <v>46</v>
          </cell>
          <cell r="M187">
            <v>0</v>
          </cell>
          <cell r="N187">
            <v>7310</v>
          </cell>
          <cell r="O187" t="str">
            <v>M</v>
          </cell>
          <cell r="P187" t="str">
            <v>00000000</v>
          </cell>
          <cell r="Q187">
            <v>0</v>
          </cell>
          <cell r="R187">
            <v>1055.8900000000001</v>
          </cell>
          <cell r="S187">
            <v>203.06</v>
          </cell>
          <cell r="T187">
            <v>1023.2</v>
          </cell>
          <cell r="U187">
            <v>401.26</v>
          </cell>
          <cell r="V187">
            <v>131.58000000000001</v>
          </cell>
          <cell r="W187">
            <v>160.5</v>
          </cell>
          <cell r="X187">
            <v>80.48</v>
          </cell>
          <cell r="Y187">
            <v>0</v>
          </cell>
          <cell r="Z187">
            <v>345.63</v>
          </cell>
          <cell r="AA187">
            <v>77</v>
          </cell>
          <cell r="AB187">
            <v>96</v>
          </cell>
          <cell r="AC187">
            <v>80</v>
          </cell>
          <cell r="AD187">
            <v>13.49</v>
          </cell>
          <cell r="AE187">
            <v>6.09</v>
          </cell>
          <cell r="AF187">
            <v>0</v>
          </cell>
          <cell r="AG187">
            <v>715.11</v>
          </cell>
          <cell r="AH187">
            <v>4524</v>
          </cell>
          <cell r="AI187">
            <v>0</v>
          </cell>
          <cell r="AJ187">
            <v>3134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Y187">
            <v>10685224.08</v>
          </cell>
        </row>
        <row r="188">
          <cell r="A188">
            <v>2</v>
          </cell>
          <cell r="B188" t="str">
            <v>12</v>
          </cell>
          <cell r="C188" t="str">
            <v>000</v>
          </cell>
          <cell r="D188" t="str">
            <v>1</v>
          </cell>
          <cell r="E188" t="str">
            <v>420</v>
          </cell>
          <cell r="F188" t="str">
            <v>N000</v>
          </cell>
          <cell r="G188" t="str">
            <v>200</v>
          </cell>
          <cell r="H188" t="str">
            <v>1103</v>
          </cell>
          <cell r="I188" t="str">
            <v>M01014</v>
          </cell>
          <cell r="K188" t="str">
            <v>2</v>
          </cell>
          <cell r="L188">
            <v>5</v>
          </cell>
          <cell r="M188">
            <v>0</v>
          </cell>
          <cell r="N188">
            <v>5320</v>
          </cell>
          <cell r="O188" t="str">
            <v>M</v>
          </cell>
          <cell r="P188" t="str">
            <v>00000000</v>
          </cell>
          <cell r="Q188">
            <v>0</v>
          </cell>
          <cell r="R188">
            <v>768.44</v>
          </cell>
          <cell r="S188">
            <v>147.78</v>
          </cell>
          <cell r="T188">
            <v>732.56</v>
          </cell>
          <cell r="U188">
            <v>287.27999999999997</v>
          </cell>
          <cell r="V188">
            <v>95.76</v>
          </cell>
          <cell r="W188">
            <v>114.91</v>
          </cell>
          <cell r="X188">
            <v>18.399999999999999</v>
          </cell>
          <cell r="Y188">
            <v>0</v>
          </cell>
          <cell r="Z188">
            <v>224.75</v>
          </cell>
          <cell r="AA188">
            <v>77</v>
          </cell>
          <cell r="AB188">
            <v>96</v>
          </cell>
          <cell r="AC188">
            <v>80</v>
          </cell>
          <cell r="AD188">
            <v>13.49</v>
          </cell>
          <cell r="AE188">
            <v>4.43</v>
          </cell>
          <cell r="AF188">
            <v>0</v>
          </cell>
          <cell r="AG188">
            <v>425.6</v>
          </cell>
          <cell r="AH188">
            <v>2078</v>
          </cell>
          <cell r="AI188">
            <v>0</v>
          </cell>
          <cell r="AJ188">
            <v>2222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Y188">
            <v>762384</v>
          </cell>
        </row>
        <row r="189">
          <cell r="A189">
            <v>2</v>
          </cell>
          <cell r="B189" t="str">
            <v>12</v>
          </cell>
          <cell r="C189" t="str">
            <v>000</v>
          </cell>
          <cell r="D189" t="str">
            <v>1</v>
          </cell>
          <cell r="E189" t="str">
            <v>420</v>
          </cell>
          <cell r="F189" t="str">
            <v>N000</v>
          </cell>
          <cell r="G189" t="str">
            <v>200</v>
          </cell>
          <cell r="H189" t="str">
            <v>1103</v>
          </cell>
          <cell r="I189" t="str">
            <v>M01015</v>
          </cell>
          <cell r="K189" t="str">
            <v>2</v>
          </cell>
          <cell r="L189">
            <v>6</v>
          </cell>
          <cell r="M189">
            <v>0</v>
          </cell>
          <cell r="N189">
            <v>5588</v>
          </cell>
          <cell r="O189" t="str">
            <v>M</v>
          </cell>
          <cell r="P189" t="str">
            <v>00000000</v>
          </cell>
          <cell r="Q189">
            <v>0</v>
          </cell>
          <cell r="R189">
            <v>807.16</v>
          </cell>
          <cell r="S189">
            <v>155.22</v>
          </cell>
          <cell r="T189">
            <v>854.96</v>
          </cell>
          <cell r="U189">
            <v>335.28</v>
          </cell>
          <cell r="V189">
            <v>100.58</v>
          </cell>
          <cell r="W189">
            <v>134.11000000000001</v>
          </cell>
          <cell r="X189">
            <v>95.5</v>
          </cell>
          <cell r="Y189">
            <v>0</v>
          </cell>
          <cell r="Z189">
            <v>250.86</v>
          </cell>
          <cell r="AA189">
            <v>77</v>
          </cell>
          <cell r="AB189">
            <v>96</v>
          </cell>
          <cell r="AC189">
            <v>80</v>
          </cell>
          <cell r="AD189">
            <v>13.49</v>
          </cell>
          <cell r="AE189">
            <v>4.66</v>
          </cell>
          <cell r="AF189">
            <v>0</v>
          </cell>
          <cell r="AG189">
            <v>1117.5999999999999</v>
          </cell>
          <cell r="AH189">
            <v>2196</v>
          </cell>
          <cell r="AI189">
            <v>0</v>
          </cell>
          <cell r="AJ189">
            <v>2326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Y189">
            <v>1024734.24</v>
          </cell>
        </row>
        <row r="190">
          <cell r="A190">
            <v>2</v>
          </cell>
          <cell r="B190" t="str">
            <v>12</v>
          </cell>
          <cell r="C190" t="str">
            <v>000</v>
          </cell>
          <cell r="D190" t="str">
            <v>1</v>
          </cell>
          <cell r="E190" t="str">
            <v>101</v>
          </cell>
          <cell r="F190" t="str">
            <v>N000</v>
          </cell>
          <cell r="G190" t="str">
            <v>200</v>
          </cell>
          <cell r="H190" t="str">
            <v>1103</v>
          </cell>
          <cell r="I190" t="str">
            <v>M02001</v>
          </cell>
          <cell r="K190" t="str">
            <v>2</v>
          </cell>
          <cell r="L190">
            <v>2</v>
          </cell>
          <cell r="M190">
            <v>0</v>
          </cell>
          <cell r="N190">
            <v>5000</v>
          </cell>
          <cell r="O190" t="str">
            <v>M</v>
          </cell>
          <cell r="P190" t="str">
            <v>00000000</v>
          </cell>
          <cell r="Q190">
            <v>0</v>
          </cell>
          <cell r="R190">
            <v>722.22</v>
          </cell>
          <cell r="S190">
            <v>138.88999999999999</v>
          </cell>
          <cell r="T190">
            <v>637.5</v>
          </cell>
          <cell r="U190">
            <v>250</v>
          </cell>
          <cell r="V190">
            <v>90</v>
          </cell>
          <cell r="W190">
            <v>100</v>
          </cell>
          <cell r="X190">
            <v>0</v>
          </cell>
          <cell r="Y190">
            <v>0</v>
          </cell>
          <cell r="Z190">
            <v>174.37</v>
          </cell>
          <cell r="AA190">
            <v>77</v>
          </cell>
          <cell r="AB190">
            <v>96</v>
          </cell>
          <cell r="AC190">
            <v>80</v>
          </cell>
          <cell r="AD190">
            <v>13.49</v>
          </cell>
          <cell r="AE190">
            <v>4.17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2600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Y190">
            <v>239607.36</v>
          </cell>
        </row>
        <row r="191">
          <cell r="A191">
            <v>2</v>
          </cell>
          <cell r="B191" t="str">
            <v>12</v>
          </cell>
          <cell r="C191" t="str">
            <v>000</v>
          </cell>
          <cell r="D191" t="str">
            <v>1</v>
          </cell>
          <cell r="E191" t="str">
            <v>420</v>
          </cell>
          <cell r="F191" t="str">
            <v>N000</v>
          </cell>
          <cell r="G191" t="str">
            <v>200</v>
          </cell>
          <cell r="H191" t="str">
            <v>1103</v>
          </cell>
          <cell r="I191" t="str">
            <v>M02001</v>
          </cell>
          <cell r="K191" t="str">
            <v>2</v>
          </cell>
          <cell r="L191">
            <v>4</v>
          </cell>
          <cell r="M191">
            <v>0</v>
          </cell>
          <cell r="N191">
            <v>5000</v>
          </cell>
          <cell r="O191" t="str">
            <v>M</v>
          </cell>
          <cell r="P191" t="str">
            <v>00000000</v>
          </cell>
          <cell r="Q191">
            <v>0</v>
          </cell>
          <cell r="R191">
            <v>722.22</v>
          </cell>
          <cell r="S191">
            <v>138.88999999999999</v>
          </cell>
          <cell r="T191">
            <v>669.38</v>
          </cell>
          <cell r="U191">
            <v>262.5</v>
          </cell>
          <cell r="V191">
            <v>90</v>
          </cell>
          <cell r="W191">
            <v>105</v>
          </cell>
          <cell r="X191">
            <v>11.5</v>
          </cell>
          <cell r="Y191">
            <v>0</v>
          </cell>
          <cell r="Z191">
            <v>179.6</v>
          </cell>
          <cell r="AA191">
            <v>77</v>
          </cell>
          <cell r="AB191">
            <v>96</v>
          </cell>
          <cell r="AC191">
            <v>80</v>
          </cell>
          <cell r="AD191">
            <v>13.49</v>
          </cell>
          <cell r="AE191">
            <v>4.17</v>
          </cell>
          <cell r="AF191">
            <v>0</v>
          </cell>
          <cell r="AG191">
            <v>250</v>
          </cell>
          <cell r="AH191">
            <v>0</v>
          </cell>
          <cell r="AI191">
            <v>0</v>
          </cell>
          <cell r="AJ191">
            <v>2600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Y191">
            <v>494388</v>
          </cell>
        </row>
        <row r="192">
          <cell r="A192">
            <v>2</v>
          </cell>
          <cell r="B192" t="str">
            <v>12</v>
          </cell>
          <cell r="C192" t="str">
            <v>000</v>
          </cell>
          <cell r="D192" t="str">
            <v>1</v>
          </cell>
          <cell r="E192" t="str">
            <v>420</v>
          </cell>
          <cell r="F192" t="str">
            <v>N000</v>
          </cell>
          <cell r="G192" t="str">
            <v>200</v>
          </cell>
          <cell r="H192" t="str">
            <v>1103</v>
          </cell>
          <cell r="I192" t="str">
            <v>M02002</v>
          </cell>
          <cell r="K192" t="str">
            <v>2</v>
          </cell>
          <cell r="L192">
            <v>1</v>
          </cell>
          <cell r="M192">
            <v>0</v>
          </cell>
          <cell r="N192">
            <v>5000</v>
          </cell>
          <cell r="O192" t="str">
            <v>M</v>
          </cell>
          <cell r="P192" t="str">
            <v>00000000</v>
          </cell>
          <cell r="Q192">
            <v>0</v>
          </cell>
          <cell r="R192">
            <v>722.22</v>
          </cell>
          <cell r="S192">
            <v>138.88999999999999</v>
          </cell>
          <cell r="T192">
            <v>765</v>
          </cell>
          <cell r="U192">
            <v>300</v>
          </cell>
          <cell r="V192">
            <v>90</v>
          </cell>
          <cell r="W192">
            <v>120</v>
          </cell>
          <cell r="X192">
            <v>55</v>
          </cell>
          <cell r="Y192">
            <v>0</v>
          </cell>
          <cell r="Z192">
            <v>195.47</v>
          </cell>
          <cell r="AA192">
            <v>77</v>
          </cell>
          <cell r="AB192">
            <v>96</v>
          </cell>
          <cell r="AC192">
            <v>80</v>
          </cell>
          <cell r="AD192">
            <v>13.49</v>
          </cell>
          <cell r="AE192">
            <v>4.17</v>
          </cell>
          <cell r="AF192">
            <v>0</v>
          </cell>
          <cell r="AG192">
            <v>1000</v>
          </cell>
          <cell r="AH192">
            <v>0</v>
          </cell>
          <cell r="AI192">
            <v>0</v>
          </cell>
          <cell r="AJ192">
            <v>2600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Y192">
            <v>135086.88</v>
          </cell>
        </row>
        <row r="193">
          <cell r="A193">
            <v>2</v>
          </cell>
          <cell r="B193" t="str">
            <v>12</v>
          </cell>
          <cell r="C193" t="str">
            <v>000</v>
          </cell>
          <cell r="D193" t="str">
            <v>1</v>
          </cell>
          <cell r="E193" t="str">
            <v>101</v>
          </cell>
          <cell r="F193" t="str">
            <v>N000</v>
          </cell>
          <cell r="G193" t="str">
            <v>200</v>
          </cell>
          <cell r="H193" t="str">
            <v>1103</v>
          </cell>
          <cell r="I193" t="str">
            <v>M02003</v>
          </cell>
          <cell r="K193" t="str">
            <v>2</v>
          </cell>
          <cell r="L193">
            <v>1</v>
          </cell>
          <cell r="M193">
            <v>0</v>
          </cell>
          <cell r="N193">
            <v>2868</v>
          </cell>
          <cell r="O193" t="str">
            <v>M</v>
          </cell>
          <cell r="P193" t="str">
            <v>00000000</v>
          </cell>
          <cell r="Q193">
            <v>0</v>
          </cell>
          <cell r="R193">
            <v>414.27</v>
          </cell>
          <cell r="S193">
            <v>79.67</v>
          </cell>
          <cell r="T193">
            <v>365.67</v>
          </cell>
          <cell r="U193">
            <v>143.4</v>
          </cell>
          <cell r="V193">
            <v>51.62</v>
          </cell>
          <cell r="W193">
            <v>57.36</v>
          </cell>
          <cell r="X193">
            <v>0</v>
          </cell>
          <cell r="Y193">
            <v>0</v>
          </cell>
          <cell r="Z193">
            <v>99.17</v>
          </cell>
          <cell r="AA193">
            <v>77</v>
          </cell>
          <cell r="AB193">
            <v>96</v>
          </cell>
          <cell r="AC193">
            <v>80</v>
          </cell>
          <cell r="AD193">
            <v>13.49</v>
          </cell>
          <cell r="AE193">
            <v>2.39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1341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Y193">
            <v>68268.479999999996</v>
          </cell>
        </row>
        <row r="194">
          <cell r="A194">
            <v>2</v>
          </cell>
          <cell r="B194" t="str">
            <v>12</v>
          </cell>
          <cell r="C194" t="str">
            <v>000</v>
          </cell>
          <cell r="D194" t="str">
            <v>1</v>
          </cell>
          <cell r="E194" t="str">
            <v>420</v>
          </cell>
          <cell r="F194" t="str">
            <v>N000</v>
          </cell>
          <cell r="G194" t="str">
            <v>200</v>
          </cell>
          <cell r="H194" t="str">
            <v>1103</v>
          </cell>
          <cell r="I194" t="str">
            <v>M02003</v>
          </cell>
          <cell r="K194" t="str">
            <v>2</v>
          </cell>
          <cell r="L194">
            <v>50</v>
          </cell>
          <cell r="M194">
            <v>0</v>
          </cell>
          <cell r="N194">
            <v>2868</v>
          </cell>
          <cell r="O194" t="str">
            <v>M</v>
          </cell>
          <cell r="P194" t="str">
            <v>00000000</v>
          </cell>
          <cell r="Q194">
            <v>0</v>
          </cell>
          <cell r="R194">
            <v>414.27</v>
          </cell>
          <cell r="S194">
            <v>79.67</v>
          </cell>
          <cell r="T194">
            <v>394.92</v>
          </cell>
          <cell r="U194">
            <v>154.87</v>
          </cell>
          <cell r="V194">
            <v>51.62</v>
          </cell>
          <cell r="W194">
            <v>61.95</v>
          </cell>
          <cell r="X194">
            <v>42.02</v>
          </cell>
          <cell r="Y194">
            <v>0</v>
          </cell>
          <cell r="Z194">
            <v>104.6</v>
          </cell>
          <cell r="AA194">
            <v>77</v>
          </cell>
          <cell r="AB194">
            <v>96</v>
          </cell>
          <cell r="AC194">
            <v>80</v>
          </cell>
          <cell r="AD194">
            <v>13.49</v>
          </cell>
          <cell r="AE194">
            <v>2.39</v>
          </cell>
          <cell r="AF194">
            <v>0</v>
          </cell>
          <cell r="AG194">
            <v>229.44</v>
          </cell>
          <cell r="AH194">
            <v>0</v>
          </cell>
          <cell r="AI194">
            <v>0</v>
          </cell>
          <cell r="AJ194">
            <v>1341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Y194">
            <v>3606744</v>
          </cell>
        </row>
        <row r="195">
          <cell r="A195">
            <v>2</v>
          </cell>
          <cell r="B195" t="str">
            <v>12</v>
          </cell>
          <cell r="C195" t="str">
            <v>000</v>
          </cell>
          <cell r="D195" t="str">
            <v>1</v>
          </cell>
          <cell r="E195" t="str">
            <v>420</v>
          </cell>
          <cell r="F195" t="str">
            <v>N000</v>
          </cell>
          <cell r="G195" t="str">
            <v>200</v>
          </cell>
          <cell r="H195" t="str">
            <v>1103</v>
          </cell>
          <cell r="I195" t="str">
            <v>M02005</v>
          </cell>
          <cell r="K195" t="str">
            <v>2</v>
          </cell>
          <cell r="L195">
            <v>4</v>
          </cell>
          <cell r="M195">
            <v>0</v>
          </cell>
          <cell r="N195">
            <v>2720</v>
          </cell>
          <cell r="O195" t="str">
            <v>M</v>
          </cell>
          <cell r="P195" t="str">
            <v>00000000</v>
          </cell>
          <cell r="Q195">
            <v>0</v>
          </cell>
          <cell r="R195">
            <v>392.89</v>
          </cell>
          <cell r="S195">
            <v>75.56</v>
          </cell>
          <cell r="T195">
            <v>346.8</v>
          </cell>
          <cell r="U195">
            <v>136</v>
          </cell>
          <cell r="V195">
            <v>48.96</v>
          </cell>
          <cell r="W195">
            <v>54.4</v>
          </cell>
          <cell r="X195">
            <v>34</v>
          </cell>
          <cell r="Y195">
            <v>0</v>
          </cell>
          <cell r="Z195">
            <v>93.21</v>
          </cell>
          <cell r="AA195">
            <v>77</v>
          </cell>
          <cell r="AB195">
            <v>96</v>
          </cell>
          <cell r="AC195">
            <v>80</v>
          </cell>
          <cell r="AD195">
            <v>13.49</v>
          </cell>
          <cell r="AE195">
            <v>2.27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1183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Y195">
            <v>256971.84</v>
          </cell>
        </row>
        <row r="196">
          <cell r="A196">
            <v>2</v>
          </cell>
          <cell r="B196" t="str">
            <v>12</v>
          </cell>
          <cell r="C196" t="str">
            <v>000</v>
          </cell>
          <cell r="D196" t="str">
            <v>1</v>
          </cell>
          <cell r="E196" t="str">
            <v>101</v>
          </cell>
          <cell r="F196" t="str">
            <v>N000</v>
          </cell>
          <cell r="G196" t="str">
            <v>200</v>
          </cell>
          <cell r="H196" t="str">
            <v>1103</v>
          </cell>
          <cell r="I196" t="str">
            <v>M02006</v>
          </cell>
          <cell r="K196" t="str">
            <v>2</v>
          </cell>
          <cell r="L196">
            <v>1</v>
          </cell>
          <cell r="M196">
            <v>0</v>
          </cell>
          <cell r="N196">
            <v>3221</v>
          </cell>
          <cell r="O196" t="str">
            <v>M</v>
          </cell>
          <cell r="P196" t="str">
            <v>00000000</v>
          </cell>
          <cell r="Q196">
            <v>0</v>
          </cell>
          <cell r="R196">
            <v>465.26</v>
          </cell>
          <cell r="S196">
            <v>89.47</v>
          </cell>
          <cell r="T196">
            <v>410.68</v>
          </cell>
          <cell r="U196">
            <v>161.05000000000001</v>
          </cell>
          <cell r="V196">
            <v>57.98</v>
          </cell>
          <cell r="W196">
            <v>64.42</v>
          </cell>
          <cell r="X196">
            <v>0</v>
          </cell>
          <cell r="Y196">
            <v>0</v>
          </cell>
          <cell r="Z196">
            <v>112.63</v>
          </cell>
          <cell r="AA196">
            <v>77</v>
          </cell>
          <cell r="AB196">
            <v>96</v>
          </cell>
          <cell r="AC196">
            <v>80</v>
          </cell>
          <cell r="AD196">
            <v>13.49</v>
          </cell>
          <cell r="AE196">
            <v>2.68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1600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Y196">
            <v>77419.92</v>
          </cell>
        </row>
        <row r="197">
          <cell r="A197">
            <v>2</v>
          </cell>
          <cell r="B197" t="str">
            <v>12</v>
          </cell>
          <cell r="C197" t="str">
            <v>000</v>
          </cell>
          <cell r="D197" t="str">
            <v>1</v>
          </cell>
          <cell r="E197" t="str">
            <v>420</v>
          </cell>
          <cell r="F197" t="str">
            <v>N000</v>
          </cell>
          <cell r="G197" t="str">
            <v>200</v>
          </cell>
          <cell r="H197" t="str">
            <v>1103</v>
          </cell>
          <cell r="I197" t="str">
            <v>M02006</v>
          </cell>
          <cell r="K197" t="str">
            <v>2</v>
          </cell>
          <cell r="L197">
            <v>30</v>
          </cell>
          <cell r="M197">
            <v>0</v>
          </cell>
          <cell r="N197">
            <v>3221</v>
          </cell>
          <cell r="O197" t="str">
            <v>M</v>
          </cell>
          <cell r="P197" t="str">
            <v>00000000</v>
          </cell>
          <cell r="Q197">
            <v>0</v>
          </cell>
          <cell r="R197">
            <v>465.26</v>
          </cell>
          <cell r="S197">
            <v>89.47</v>
          </cell>
          <cell r="T197">
            <v>439.42</v>
          </cell>
          <cell r="U197">
            <v>172.32</v>
          </cell>
          <cell r="V197">
            <v>57.98</v>
          </cell>
          <cell r="W197">
            <v>68.930000000000007</v>
          </cell>
          <cell r="X197">
            <v>44.47</v>
          </cell>
          <cell r="Y197">
            <v>0</v>
          </cell>
          <cell r="Z197">
            <v>118.03</v>
          </cell>
          <cell r="AA197">
            <v>77</v>
          </cell>
          <cell r="AB197">
            <v>96</v>
          </cell>
          <cell r="AC197">
            <v>80</v>
          </cell>
          <cell r="AD197">
            <v>13.49</v>
          </cell>
          <cell r="AE197">
            <v>2.68</v>
          </cell>
          <cell r="AF197">
            <v>0</v>
          </cell>
          <cell r="AG197">
            <v>225.47</v>
          </cell>
          <cell r="AH197">
            <v>0</v>
          </cell>
          <cell r="AI197">
            <v>0</v>
          </cell>
          <cell r="AJ197">
            <v>1600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Y197">
            <v>2437747.2000000002</v>
          </cell>
        </row>
        <row r="198">
          <cell r="A198">
            <v>2</v>
          </cell>
          <cell r="B198" t="str">
            <v>12</v>
          </cell>
          <cell r="C198" t="str">
            <v>000</v>
          </cell>
          <cell r="D198" t="str">
            <v>1</v>
          </cell>
          <cell r="E198" t="str">
            <v>101</v>
          </cell>
          <cell r="F198" t="str">
            <v>N000</v>
          </cell>
          <cell r="G198" t="str">
            <v>200</v>
          </cell>
          <cell r="H198" t="str">
            <v>1103</v>
          </cell>
          <cell r="I198" t="str">
            <v>M02007</v>
          </cell>
          <cell r="K198" t="str">
            <v>2</v>
          </cell>
          <cell r="L198">
            <v>1</v>
          </cell>
          <cell r="M198">
            <v>0</v>
          </cell>
          <cell r="N198">
            <v>3011</v>
          </cell>
          <cell r="O198" t="str">
            <v>M</v>
          </cell>
          <cell r="P198" t="str">
            <v>00000000</v>
          </cell>
          <cell r="Q198">
            <v>0</v>
          </cell>
          <cell r="R198">
            <v>434.92</v>
          </cell>
          <cell r="S198">
            <v>83.64</v>
          </cell>
          <cell r="T198">
            <v>422.29</v>
          </cell>
          <cell r="U198">
            <v>165.61</v>
          </cell>
          <cell r="V198">
            <v>54.2</v>
          </cell>
          <cell r="W198">
            <v>66.239999999999995</v>
          </cell>
          <cell r="X198">
            <v>0</v>
          </cell>
          <cell r="Y198">
            <v>0</v>
          </cell>
          <cell r="Z198">
            <v>112.7</v>
          </cell>
          <cell r="AA198">
            <v>77</v>
          </cell>
          <cell r="AB198">
            <v>96</v>
          </cell>
          <cell r="AC198">
            <v>80</v>
          </cell>
          <cell r="AD198">
            <v>13.49</v>
          </cell>
          <cell r="AE198">
            <v>2.5099999999999998</v>
          </cell>
          <cell r="AF198">
            <v>0</v>
          </cell>
          <cell r="AG198">
            <v>301.10000000000002</v>
          </cell>
          <cell r="AH198">
            <v>0</v>
          </cell>
          <cell r="AI198">
            <v>0</v>
          </cell>
          <cell r="AJ198">
            <v>1549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Y198">
            <v>77636.399999999994</v>
          </cell>
        </row>
        <row r="199">
          <cell r="A199">
            <v>2</v>
          </cell>
          <cell r="B199" t="str">
            <v>12</v>
          </cell>
          <cell r="C199" t="str">
            <v>000</v>
          </cell>
          <cell r="D199" t="str">
            <v>1</v>
          </cell>
          <cell r="E199" t="str">
            <v>420</v>
          </cell>
          <cell r="F199" t="str">
            <v>N000</v>
          </cell>
          <cell r="G199" t="str">
            <v>200</v>
          </cell>
          <cell r="H199" t="str">
            <v>1103</v>
          </cell>
          <cell r="I199" t="str">
            <v>M02011</v>
          </cell>
          <cell r="K199" t="str">
            <v>2</v>
          </cell>
          <cell r="L199">
            <v>1</v>
          </cell>
          <cell r="M199">
            <v>0</v>
          </cell>
          <cell r="N199">
            <v>3510</v>
          </cell>
          <cell r="O199" t="str">
            <v>M</v>
          </cell>
          <cell r="P199" t="str">
            <v>00000000</v>
          </cell>
          <cell r="Q199">
            <v>0</v>
          </cell>
          <cell r="R199">
            <v>507</v>
          </cell>
          <cell r="S199">
            <v>97.5</v>
          </cell>
          <cell r="T199">
            <v>447.53</v>
          </cell>
          <cell r="U199">
            <v>175.5</v>
          </cell>
          <cell r="V199">
            <v>63.18</v>
          </cell>
          <cell r="W199">
            <v>70.2</v>
          </cell>
          <cell r="X199">
            <v>0</v>
          </cell>
          <cell r="Y199">
            <v>0</v>
          </cell>
          <cell r="Z199">
            <v>120.49</v>
          </cell>
          <cell r="AA199">
            <v>77</v>
          </cell>
          <cell r="AB199">
            <v>96</v>
          </cell>
          <cell r="AC199">
            <v>80</v>
          </cell>
          <cell r="AD199">
            <v>13.49</v>
          </cell>
          <cell r="AE199">
            <v>2.93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1654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Y199">
            <v>82977.84</v>
          </cell>
        </row>
        <row r="200">
          <cell r="A200">
            <v>2</v>
          </cell>
          <cell r="B200" t="str">
            <v>12</v>
          </cell>
          <cell r="C200" t="str">
            <v>000</v>
          </cell>
          <cell r="D200" t="str">
            <v>1</v>
          </cell>
          <cell r="E200" t="str">
            <v>420</v>
          </cell>
          <cell r="F200" t="str">
            <v>N000</v>
          </cell>
          <cell r="G200" t="str">
            <v>200</v>
          </cell>
          <cell r="H200" t="str">
            <v>1103</v>
          </cell>
          <cell r="I200" t="str">
            <v>M02012</v>
          </cell>
          <cell r="K200" t="str">
            <v>2</v>
          </cell>
          <cell r="L200">
            <v>9</v>
          </cell>
          <cell r="M200">
            <v>0</v>
          </cell>
          <cell r="N200">
            <v>3221</v>
          </cell>
          <cell r="O200" t="str">
            <v>M</v>
          </cell>
          <cell r="P200" t="str">
            <v>00000000</v>
          </cell>
          <cell r="Q200">
            <v>0</v>
          </cell>
          <cell r="R200">
            <v>465.26</v>
          </cell>
          <cell r="S200">
            <v>89.47</v>
          </cell>
          <cell r="T200">
            <v>410.68</v>
          </cell>
          <cell r="U200">
            <v>161.05000000000001</v>
          </cell>
          <cell r="V200">
            <v>57.98</v>
          </cell>
          <cell r="W200">
            <v>64.42</v>
          </cell>
          <cell r="X200">
            <v>0</v>
          </cell>
          <cell r="Y200">
            <v>0</v>
          </cell>
          <cell r="Z200">
            <v>112.63</v>
          </cell>
          <cell r="AA200">
            <v>77</v>
          </cell>
          <cell r="AB200">
            <v>96</v>
          </cell>
          <cell r="AC200">
            <v>80</v>
          </cell>
          <cell r="AD200">
            <v>13.49</v>
          </cell>
          <cell r="AE200">
            <v>2.68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1600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Y200">
            <v>696779.28</v>
          </cell>
        </row>
        <row r="201">
          <cell r="A201">
            <v>2</v>
          </cell>
          <cell r="B201" t="str">
            <v>12</v>
          </cell>
          <cell r="C201" t="str">
            <v>000</v>
          </cell>
          <cell r="D201" t="str">
            <v>1</v>
          </cell>
          <cell r="E201" t="str">
            <v>420</v>
          </cell>
          <cell r="F201" t="str">
            <v>N000</v>
          </cell>
          <cell r="G201" t="str">
            <v>200</v>
          </cell>
          <cell r="H201" t="str">
            <v>1103</v>
          </cell>
          <cell r="I201" t="str">
            <v>M02015</v>
          </cell>
          <cell r="K201" t="str">
            <v>2</v>
          </cell>
          <cell r="L201">
            <v>14</v>
          </cell>
          <cell r="M201">
            <v>0</v>
          </cell>
          <cell r="N201">
            <v>5000</v>
          </cell>
          <cell r="O201" t="str">
            <v>M</v>
          </cell>
          <cell r="P201" t="str">
            <v>00000000</v>
          </cell>
          <cell r="Q201">
            <v>0</v>
          </cell>
          <cell r="R201">
            <v>722.22</v>
          </cell>
          <cell r="S201">
            <v>138.88999999999999</v>
          </cell>
          <cell r="T201">
            <v>646.61</v>
          </cell>
          <cell r="U201">
            <v>253.57</v>
          </cell>
          <cell r="V201">
            <v>90</v>
          </cell>
          <cell r="W201">
            <v>101.43</v>
          </cell>
          <cell r="X201">
            <v>11.71</v>
          </cell>
          <cell r="Y201">
            <v>0</v>
          </cell>
          <cell r="Z201">
            <v>176.03</v>
          </cell>
          <cell r="AA201">
            <v>77</v>
          </cell>
          <cell r="AB201">
            <v>96</v>
          </cell>
          <cell r="AC201">
            <v>80</v>
          </cell>
          <cell r="AD201">
            <v>13.49</v>
          </cell>
          <cell r="AE201">
            <v>4.17</v>
          </cell>
          <cell r="AF201">
            <v>0</v>
          </cell>
          <cell r="AG201">
            <v>71.430000000000007</v>
          </cell>
          <cell r="AH201">
            <v>0</v>
          </cell>
          <cell r="AI201">
            <v>0</v>
          </cell>
          <cell r="AJ201">
            <v>2600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Y201">
            <v>1693868.4</v>
          </cell>
        </row>
        <row r="202">
          <cell r="A202">
            <v>2</v>
          </cell>
          <cell r="B202" t="str">
            <v>12</v>
          </cell>
          <cell r="C202" t="str">
            <v>000</v>
          </cell>
          <cell r="D202" t="str">
            <v>1</v>
          </cell>
          <cell r="E202" t="str">
            <v>101</v>
          </cell>
          <cell r="F202" t="str">
            <v>N000</v>
          </cell>
          <cell r="G202" t="str">
            <v>200</v>
          </cell>
          <cell r="H202" t="str">
            <v>1103</v>
          </cell>
          <cell r="I202" t="str">
            <v>M02016</v>
          </cell>
          <cell r="K202" t="str">
            <v>2</v>
          </cell>
          <cell r="L202">
            <v>3</v>
          </cell>
          <cell r="M202">
            <v>0</v>
          </cell>
          <cell r="N202">
            <v>3221</v>
          </cell>
          <cell r="O202" t="str">
            <v>M</v>
          </cell>
          <cell r="P202" t="str">
            <v>00000000</v>
          </cell>
          <cell r="Q202">
            <v>0</v>
          </cell>
          <cell r="R202">
            <v>465.26</v>
          </cell>
          <cell r="S202">
            <v>89.47</v>
          </cell>
          <cell r="T202">
            <v>410.68</v>
          </cell>
          <cell r="U202">
            <v>161.05000000000001</v>
          </cell>
          <cell r="V202">
            <v>57.98</v>
          </cell>
          <cell r="W202">
            <v>64.42</v>
          </cell>
          <cell r="X202">
            <v>0</v>
          </cell>
          <cell r="Y202">
            <v>0</v>
          </cell>
          <cell r="Z202">
            <v>112.63</v>
          </cell>
          <cell r="AA202">
            <v>77</v>
          </cell>
          <cell r="AB202">
            <v>96</v>
          </cell>
          <cell r="AC202">
            <v>80</v>
          </cell>
          <cell r="AD202">
            <v>13.49</v>
          </cell>
          <cell r="AE202">
            <v>2.68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1600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Y202">
            <v>232259.76</v>
          </cell>
        </row>
        <row r="203">
          <cell r="A203">
            <v>2</v>
          </cell>
          <cell r="B203" t="str">
            <v>12</v>
          </cell>
          <cell r="C203" t="str">
            <v>000</v>
          </cell>
          <cell r="D203" t="str">
            <v>1</v>
          </cell>
          <cell r="E203" t="str">
            <v>420</v>
          </cell>
          <cell r="F203" t="str">
            <v>N000</v>
          </cell>
          <cell r="G203" t="str">
            <v>200</v>
          </cell>
          <cell r="H203" t="str">
            <v>1103</v>
          </cell>
          <cell r="I203" t="str">
            <v>M02016</v>
          </cell>
          <cell r="K203" t="str">
            <v>2</v>
          </cell>
          <cell r="L203">
            <v>6</v>
          </cell>
          <cell r="M203">
            <v>0</v>
          </cell>
          <cell r="N203">
            <v>3221</v>
          </cell>
          <cell r="O203" t="str">
            <v>M</v>
          </cell>
          <cell r="P203" t="str">
            <v>00000000</v>
          </cell>
          <cell r="Q203">
            <v>0</v>
          </cell>
          <cell r="R203">
            <v>465.26</v>
          </cell>
          <cell r="S203">
            <v>89.47</v>
          </cell>
          <cell r="T203">
            <v>444.9</v>
          </cell>
          <cell r="U203">
            <v>174.47</v>
          </cell>
          <cell r="V203">
            <v>57.98</v>
          </cell>
          <cell r="W203">
            <v>69.790000000000006</v>
          </cell>
          <cell r="X203">
            <v>71.33</v>
          </cell>
          <cell r="Y203">
            <v>0</v>
          </cell>
          <cell r="Z203">
            <v>119.42</v>
          </cell>
          <cell r="AA203">
            <v>77</v>
          </cell>
          <cell r="AB203">
            <v>96</v>
          </cell>
          <cell r="AC203">
            <v>80</v>
          </cell>
          <cell r="AD203">
            <v>13.49</v>
          </cell>
          <cell r="AE203">
            <v>2.68</v>
          </cell>
          <cell r="AF203">
            <v>0</v>
          </cell>
          <cell r="AG203">
            <v>268.42</v>
          </cell>
          <cell r="AH203">
            <v>0</v>
          </cell>
          <cell r="AI203">
            <v>0</v>
          </cell>
          <cell r="AJ203">
            <v>1600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Y203">
            <v>493287.12</v>
          </cell>
        </row>
        <row r="204">
          <cell r="A204">
            <v>2</v>
          </cell>
          <cell r="B204" t="str">
            <v>12</v>
          </cell>
          <cell r="C204" t="str">
            <v>000</v>
          </cell>
          <cell r="D204" t="str">
            <v>1</v>
          </cell>
          <cell r="E204" t="str">
            <v>101</v>
          </cell>
          <cell r="F204" t="str">
            <v>N000</v>
          </cell>
          <cell r="G204" t="str">
            <v>200</v>
          </cell>
          <cell r="H204" t="str">
            <v>1103</v>
          </cell>
          <cell r="I204" t="str">
            <v>M02027</v>
          </cell>
          <cell r="K204" t="str">
            <v>2</v>
          </cell>
          <cell r="L204">
            <v>2</v>
          </cell>
          <cell r="M204">
            <v>0</v>
          </cell>
          <cell r="N204">
            <v>4940</v>
          </cell>
          <cell r="O204" t="str">
            <v>M</v>
          </cell>
          <cell r="P204" t="str">
            <v>00000000</v>
          </cell>
          <cell r="Q204">
            <v>0</v>
          </cell>
          <cell r="R204">
            <v>713.56</v>
          </cell>
          <cell r="S204">
            <v>137.22</v>
          </cell>
          <cell r="T204">
            <v>629.85</v>
          </cell>
          <cell r="U204">
            <v>247</v>
          </cell>
          <cell r="V204">
            <v>88.92</v>
          </cell>
          <cell r="W204">
            <v>98.8</v>
          </cell>
          <cell r="X204">
            <v>0</v>
          </cell>
          <cell r="Y204">
            <v>0</v>
          </cell>
          <cell r="Z204">
            <v>167.06</v>
          </cell>
          <cell r="AA204">
            <v>77</v>
          </cell>
          <cell r="AB204">
            <v>96</v>
          </cell>
          <cell r="AC204">
            <v>80</v>
          </cell>
          <cell r="AD204">
            <v>13.49</v>
          </cell>
          <cell r="AE204">
            <v>4.12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2305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Y204">
            <v>230352.48</v>
          </cell>
        </row>
        <row r="205">
          <cell r="A205">
            <v>2</v>
          </cell>
          <cell r="B205" t="str">
            <v>12</v>
          </cell>
          <cell r="C205" t="str">
            <v>000</v>
          </cell>
          <cell r="D205" t="str">
            <v>1</v>
          </cell>
          <cell r="E205" t="str">
            <v>420</v>
          </cell>
          <cell r="F205" t="str">
            <v>N000</v>
          </cell>
          <cell r="G205" t="str">
            <v>200</v>
          </cell>
          <cell r="H205" t="str">
            <v>1103</v>
          </cell>
          <cell r="I205" t="str">
            <v>M02027</v>
          </cell>
          <cell r="K205" t="str">
            <v>2</v>
          </cell>
          <cell r="L205">
            <v>15</v>
          </cell>
          <cell r="M205">
            <v>0</v>
          </cell>
          <cell r="N205">
            <v>4940</v>
          </cell>
          <cell r="O205" t="str">
            <v>M</v>
          </cell>
          <cell r="P205" t="str">
            <v>00000000</v>
          </cell>
          <cell r="Q205">
            <v>0</v>
          </cell>
          <cell r="R205">
            <v>713.56</v>
          </cell>
          <cell r="S205">
            <v>137.22</v>
          </cell>
          <cell r="T205">
            <v>629.85</v>
          </cell>
          <cell r="U205">
            <v>247</v>
          </cell>
          <cell r="V205">
            <v>88.92</v>
          </cell>
          <cell r="W205">
            <v>98.8</v>
          </cell>
          <cell r="X205">
            <v>17.600000000000001</v>
          </cell>
          <cell r="Y205">
            <v>0</v>
          </cell>
          <cell r="Z205">
            <v>167.41</v>
          </cell>
          <cell r="AA205">
            <v>77</v>
          </cell>
          <cell r="AB205">
            <v>96</v>
          </cell>
          <cell r="AC205">
            <v>80</v>
          </cell>
          <cell r="AD205">
            <v>13.49</v>
          </cell>
          <cell r="AE205">
            <v>4.12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2305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Y205">
            <v>1730874.6</v>
          </cell>
        </row>
        <row r="206">
          <cell r="A206">
            <v>2</v>
          </cell>
          <cell r="B206" t="str">
            <v>12</v>
          </cell>
          <cell r="C206" t="str">
            <v>000</v>
          </cell>
          <cell r="D206" t="str">
            <v>1</v>
          </cell>
          <cell r="E206" t="str">
            <v>101</v>
          </cell>
          <cell r="F206" t="str">
            <v>N000</v>
          </cell>
          <cell r="G206" t="str">
            <v>200</v>
          </cell>
          <cell r="H206" t="str">
            <v>1103</v>
          </cell>
          <cell r="I206" t="str">
            <v>M02028</v>
          </cell>
          <cell r="K206" t="str">
            <v>2</v>
          </cell>
          <cell r="L206">
            <v>3</v>
          </cell>
          <cell r="M206">
            <v>0</v>
          </cell>
          <cell r="N206">
            <v>4811</v>
          </cell>
          <cell r="O206" t="str">
            <v>M</v>
          </cell>
          <cell r="P206" t="str">
            <v>00000000</v>
          </cell>
          <cell r="Q206">
            <v>0</v>
          </cell>
          <cell r="R206">
            <v>694.92</v>
          </cell>
          <cell r="S206">
            <v>133.63999999999999</v>
          </cell>
          <cell r="T206">
            <v>613.4</v>
          </cell>
          <cell r="U206">
            <v>240.55</v>
          </cell>
          <cell r="V206">
            <v>86.6</v>
          </cell>
          <cell r="W206">
            <v>96.22</v>
          </cell>
          <cell r="X206">
            <v>0</v>
          </cell>
          <cell r="Y206">
            <v>0</v>
          </cell>
          <cell r="Z206">
            <v>162.85</v>
          </cell>
          <cell r="AA206">
            <v>77</v>
          </cell>
          <cell r="AB206">
            <v>96</v>
          </cell>
          <cell r="AC206">
            <v>80</v>
          </cell>
          <cell r="AD206">
            <v>13.49</v>
          </cell>
          <cell r="AE206">
            <v>4.01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2246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Y206">
            <v>336804.48</v>
          </cell>
        </row>
        <row r="207">
          <cell r="A207">
            <v>2</v>
          </cell>
          <cell r="B207" t="str">
            <v>12</v>
          </cell>
          <cell r="C207" t="str">
            <v>000</v>
          </cell>
          <cell r="D207" t="str">
            <v>1</v>
          </cell>
          <cell r="E207" t="str">
            <v>420</v>
          </cell>
          <cell r="F207" t="str">
            <v>N000</v>
          </cell>
          <cell r="G207" t="str">
            <v>200</v>
          </cell>
          <cell r="H207" t="str">
            <v>1103</v>
          </cell>
          <cell r="I207" t="str">
            <v>M02029</v>
          </cell>
          <cell r="K207" t="str">
            <v>2</v>
          </cell>
          <cell r="L207">
            <v>1</v>
          </cell>
          <cell r="M207">
            <v>0</v>
          </cell>
          <cell r="N207">
            <v>4472</v>
          </cell>
          <cell r="O207" t="str">
            <v>M</v>
          </cell>
          <cell r="P207" t="str">
            <v>00000000</v>
          </cell>
          <cell r="Q207">
            <v>0</v>
          </cell>
          <cell r="R207">
            <v>645.96</v>
          </cell>
          <cell r="S207">
            <v>124.22</v>
          </cell>
          <cell r="T207">
            <v>570.17999999999995</v>
          </cell>
          <cell r="U207">
            <v>223.6</v>
          </cell>
          <cell r="V207">
            <v>80.5</v>
          </cell>
          <cell r="W207">
            <v>89.44</v>
          </cell>
          <cell r="X207">
            <v>0</v>
          </cell>
          <cell r="Y207">
            <v>0</v>
          </cell>
          <cell r="Z207">
            <v>153.18</v>
          </cell>
          <cell r="AA207">
            <v>77</v>
          </cell>
          <cell r="AB207">
            <v>96</v>
          </cell>
          <cell r="AC207">
            <v>80</v>
          </cell>
          <cell r="AD207">
            <v>13.49</v>
          </cell>
          <cell r="AE207">
            <v>3.73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2160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Y207">
            <v>105471.6</v>
          </cell>
        </row>
        <row r="208">
          <cell r="A208">
            <v>2</v>
          </cell>
          <cell r="B208" t="str">
            <v>12</v>
          </cell>
          <cell r="C208" t="str">
            <v>000</v>
          </cell>
          <cell r="D208" t="str">
            <v>1</v>
          </cell>
          <cell r="E208" t="str">
            <v>101</v>
          </cell>
          <cell r="F208" t="str">
            <v>N000</v>
          </cell>
          <cell r="G208" t="str">
            <v>200</v>
          </cell>
          <cell r="H208" t="str">
            <v>1103</v>
          </cell>
          <cell r="I208" t="str">
            <v>M02031</v>
          </cell>
          <cell r="K208" t="str">
            <v>2</v>
          </cell>
          <cell r="L208">
            <v>5</v>
          </cell>
          <cell r="M208">
            <v>0</v>
          </cell>
          <cell r="N208">
            <v>5200</v>
          </cell>
          <cell r="O208" t="str">
            <v>M</v>
          </cell>
          <cell r="P208" t="str">
            <v>00000000</v>
          </cell>
          <cell r="Q208">
            <v>0</v>
          </cell>
          <cell r="R208">
            <v>751.11</v>
          </cell>
          <cell r="S208">
            <v>144.44</v>
          </cell>
          <cell r="T208">
            <v>663</v>
          </cell>
          <cell r="U208">
            <v>260</v>
          </cell>
          <cell r="V208">
            <v>93.6</v>
          </cell>
          <cell r="W208">
            <v>104</v>
          </cell>
          <cell r="X208">
            <v>0</v>
          </cell>
          <cell r="Y208">
            <v>0</v>
          </cell>
          <cell r="Z208">
            <v>210.5</v>
          </cell>
          <cell r="AA208">
            <v>77</v>
          </cell>
          <cell r="AB208">
            <v>96</v>
          </cell>
          <cell r="AC208">
            <v>80</v>
          </cell>
          <cell r="AD208">
            <v>13.49</v>
          </cell>
          <cell r="AE208">
            <v>4.33</v>
          </cell>
          <cell r="AF208">
            <v>0</v>
          </cell>
          <cell r="AG208">
            <v>0</v>
          </cell>
          <cell r="AH208">
            <v>2172</v>
          </cell>
          <cell r="AI208">
            <v>0</v>
          </cell>
          <cell r="AJ208">
            <v>2000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Y208">
            <v>712168.2</v>
          </cell>
        </row>
        <row r="209">
          <cell r="A209">
            <v>2</v>
          </cell>
          <cell r="B209" t="str">
            <v>12</v>
          </cell>
          <cell r="C209" t="str">
            <v>000</v>
          </cell>
          <cell r="D209" t="str">
            <v>1</v>
          </cell>
          <cell r="E209" t="str">
            <v>420</v>
          </cell>
          <cell r="F209" t="str">
            <v>N000</v>
          </cell>
          <cell r="G209" t="str">
            <v>200</v>
          </cell>
          <cell r="H209" t="str">
            <v>1103</v>
          </cell>
          <cell r="I209" t="str">
            <v>M02031</v>
          </cell>
          <cell r="K209" t="str">
            <v>2</v>
          </cell>
          <cell r="L209">
            <v>49</v>
          </cell>
          <cell r="M209">
            <v>0</v>
          </cell>
          <cell r="N209">
            <v>5200</v>
          </cell>
          <cell r="O209" t="str">
            <v>M</v>
          </cell>
          <cell r="P209" t="str">
            <v>00000000</v>
          </cell>
          <cell r="Q209">
            <v>0</v>
          </cell>
          <cell r="R209">
            <v>751.11</v>
          </cell>
          <cell r="S209">
            <v>144.44</v>
          </cell>
          <cell r="T209">
            <v>673.82</v>
          </cell>
          <cell r="U209">
            <v>264.24</v>
          </cell>
          <cell r="V209">
            <v>93.6</v>
          </cell>
          <cell r="W209">
            <v>105.7</v>
          </cell>
          <cell r="X209">
            <v>101.8</v>
          </cell>
          <cell r="Y209">
            <v>0</v>
          </cell>
          <cell r="Z209">
            <v>214.23</v>
          </cell>
          <cell r="AA209">
            <v>77</v>
          </cell>
          <cell r="AB209">
            <v>96</v>
          </cell>
          <cell r="AC209">
            <v>80</v>
          </cell>
          <cell r="AD209">
            <v>13.49</v>
          </cell>
          <cell r="AE209">
            <v>4.33</v>
          </cell>
          <cell r="AF209">
            <v>0</v>
          </cell>
          <cell r="AG209">
            <v>84.9</v>
          </cell>
          <cell r="AH209">
            <v>2172</v>
          </cell>
          <cell r="AI209">
            <v>0</v>
          </cell>
          <cell r="AJ209">
            <v>2000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Y209">
            <v>7101076.0800000001</v>
          </cell>
        </row>
        <row r="210">
          <cell r="A210">
            <v>2</v>
          </cell>
          <cell r="B210" t="str">
            <v>12</v>
          </cell>
          <cell r="C210" t="str">
            <v>000</v>
          </cell>
          <cell r="D210" t="str">
            <v>1</v>
          </cell>
          <cell r="E210" t="str">
            <v>420</v>
          </cell>
          <cell r="F210" t="str">
            <v>N000</v>
          </cell>
          <cell r="G210" t="str">
            <v>200</v>
          </cell>
          <cell r="H210" t="str">
            <v>1103</v>
          </cell>
          <cell r="I210" t="str">
            <v>M02032</v>
          </cell>
          <cell r="K210" t="str">
            <v>2</v>
          </cell>
          <cell r="L210">
            <v>1</v>
          </cell>
          <cell r="M210">
            <v>0</v>
          </cell>
          <cell r="N210">
            <v>5032</v>
          </cell>
          <cell r="O210" t="str">
            <v>M</v>
          </cell>
          <cell r="P210" t="str">
            <v>00000000</v>
          </cell>
          <cell r="Q210">
            <v>0</v>
          </cell>
          <cell r="R210">
            <v>726.84</v>
          </cell>
          <cell r="S210">
            <v>139.78</v>
          </cell>
          <cell r="T210">
            <v>641.58000000000004</v>
          </cell>
          <cell r="U210">
            <v>251.6</v>
          </cell>
          <cell r="V210">
            <v>90.58</v>
          </cell>
          <cell r="W210">
            <v>100.64</v>
          </cell>
          <cell r="X210">
            <v>82</v>
          </cell>
          <cell r="Y210">
            <v>0</v>
          </cell>
          <cell r="Z210">
            <v>195.92</v>
          </cell>
          <cell r="AA210">
            <v>77</v>
          </cell>
          <cell r="AB210">
            <v>96</v>
          </cell>
          <cell r="AC210">
            <v>80</v>
          </cell>
          <cell r="AD210">
            <v>13.49</v>
          </cell>
          <cell r="AE210">
            <v>4.1900000000000004</v>
          </cell>
          <cell r="AF210">
            <v>0</v>
          </cell>
          <cell r="AG210">
            <v>0</v>
          </cell>
          <cell r="AH210">
            <v>1067</v>
          </cell>
          <cell r="AI210">
            <v>0</v>
          </cell>
          <cell r="AJ210">
            <v>2491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Y210">
            <v>133075.44</v>
          </cell>
        </row>
        <row r="211">
          <cell r="A211">
            <v>2</v>
          </cell>
          <cell r="B211" t="str">
            <v>12</v>
          </cell>
          <cell r="C211" t="str">
            <v>000</v>
          </cell>
          <cell r="D211" t="str">
            <v>1</v>
          </cell>
          <cell r="E211" t="str">
            <v>101</v>
          </cell>
          <cell r="F211" t="str">
            <v>N000</v>
          </cell>
          <cell r="G211" t="str">
            <v>200</v>
          </cell>
          <cell r="H211" t="str">
            <v>1103</v>
          </cell>
          <cell r="I211" t="str">
            <v>M02034</v>
          </cell>
          <cell r="K211" t="str">
            <v>2</v>
          </cell>
          <cell r="L211">
            <v>17</v>
          </cell>
          <cell r="M211">
            <v>0</v>
          </cell>
          <cell r="N211">
            <v>3826</v>
          </cell>
          <cell r="O211" t="str">
            <v>M</v>
          </cell>
          <cell r="P211" t="str">
            <v>00000000</v>
          </cell>
          <cell r="Q211">
            <v>0</v>
          </cell>
          <cell r="R211">
            <v>552.64</v>
          </cell>
          <cell r="S211">
            <v>106.28</v>
          </cell>
          <cell r="T211">
            <v>487.81</v>
          </cell>
          <cell r="U211">
            <v>191.3</v>
          </cell>
          <cell r="V211">
            <v>68.87</v>
          </cell>
          <cell r="W211">
            <v>76.52</v>
          </cell>
          <cell r="X211">
            <v>0</v>
          </cell>
          <cell r="Y211">
            <v>0</v>
          </cell>
          <cell r="Z211">
            <v>151.5</v>
          </cell>
          <cell r="AA211">
            <v>77</v>
          </cell>
          <cell r="AB211">
            <v>96</v>
          </cell>
          <cell r="AC211">
            <v>80</v>
          </cell>
          <cell r="AD211">
            <v>13.49</v>
          </cell>
          <cell r="AE211">
            <v>3.19</v>
          </cell>
          <cell r="AF211">
            <v>0</v>
          </cell>
          <cell r="AG211">
            <v>0</v>
          </cell>
          <cell r="AH211">
            <v>788</v>
          </cell>
          <cell r="AI211">
            <v>0</v>
          </cell>
          <cell r="AJ211">
            <v>2046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Y211">
            <v>1747178.4</v>
          </cell>
        </row>
        <row r="212">
          <cell r="A212">
            <v>2</v>
          </cell>
          <cell r="B212" t="str">
            <v>12</v>
          </cell>
          <cell r="C212" t="str">
            <v>000</v>
          </cell>
          <cell r="D212" t="str">
            <v>1</v>
          </cell>
          <cell r="E212" t="str">
            <v>420</v>
          </cell>
          <cell r="F212" t="str">
            <v>N000</v>
          </cell>
          <cell r="G212" t="str">
            <v>200</v>
          </cell>
          <cell r="H212" t="str">
            <v>1103</v>
          </cell>
          <cell r="I212" t="str">
            <v>M02034</v>
          </cell>
          <cell r="K212" t="str">
            <v>2</v>
          </cell>
          <cell r="L212">
            <v>48</v>
          </cell>
          <cell r="M212">
            <v>0</v>
          </cell>
          <cell r="N212">
            <v>3826</v>
          </cell>
          <cell r="O212" t="str">
            <v>M</v>
          </cell>
          <cell r="P212" t="str">
            <v>00000000</v>
          </cell>
          <cell r="Q212">
            <v>0</v>
          </cell>
          <cell r="R212">
            <v>552.64</v>
          </cell>
          <cell r="S212">
            <v>106.28</v>
          </cell>
          <cell r="T212">
            <v>558.95000000000005</v>
          </cell>
          <cell r="U212">
            <v>219.2</v>
          </cell>
          <cell r="V212">
            <v>68.87</v>
          </cell>
          <cell r="W212">
            <v>87.68</v>
          </cell>
          <cell r="X212">
            <v>88.69</v>
          </cell>
          <cell r="Y212">
            <v>0</v>
          </cell>
          <cell r="Z212">
            <v>164.44</v>
          </cell>
          <cell r="AA212">
            <v>77</v>
          </cell>
          <cell r="AB212">
            <v>96</v>
          </cell>
          <cell r="AC212">
            <v>80</v>
          </cell>
          <cell r="AD212">
            <v>13.49</v>
          </cell>
          <cell r="AE212">
            <v>3.19</v>
          </cell>
          <cell r="AF212">
            <v>0</v>
          </cell>
          <cell r="AG212">
            <v>557.96</v>
          </cell>
          <cell r="AH212">
            <v>788</v>
          </cell>
          <cell r="AI212">
            <v>0</v>
          </cell>
          <cell r="AJ212">
            <v>2046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Y212">
            <v>5376608.6399999997</v>
          </cell>
        </row>
        <row r="213">
          <cell r="A213">
            <v>2</v>
          </cell>
          <cell r="B213" t="str">
            <v>12</v>
          </cell>
          <cell r="C213" t="str">
            <v>000</v>
          </cell>
          <cell r="D213" t="str">
            <v>1</v>
          </cell>
          <cell r="E213" t="str">
            <v>101</v>
          </cell>
          <cell r="F213" t="str">
            <v>N000</v>
          </cell>
          <cell r="G213" t="str">
            <v>200</v>
          </cell>
          <cell r="H213" t="str">
            <v>1103</v>
          </cell>
          <cell r="I213" t="str">
            <v>M02035</v>
          </cell>
          <cell r="K213" t="str">
            <v>2</v>
          </cell>
          <cell r="L213">
            <v>109</v>
          </cell>
          <cell r="M213">
            <v>0</v>
          </cell>
          <cell r="N213">
            <v>3388</v>
          </cell>
          <cell r="O213" t="str">
            <v>M</v>
          </cell>
          <cell r="P213" t="str">
            <v>00000000</v>
          </cell>
          <cell r="Q213">
            <v>0</v>
          </cell>
          <cell r="R213">
            <v>489.38</v>
          </cell>
          <cell r="S213">
            <v>94.11</v>
          </cell>
          <cell r="T213">
            <v>431.97</v>
          </cell>
          <cell r="U213">
            <v>169.4</v>
          </cell>
          <cell r="V213">
            <v>60.98</v>
          </cell>
          <cell r="W213">
            <v>67.760000000000005</v>
          </cell>
          <cell r="X213">
            <v>42.2</v>
          </cell>
          <cell r="Y213">
            <v>0</v>
          </cell>
          <cell r="Z213">
            <v>137.27000000000001</v>
          </cell>
          <cell r="AA213">
            <v>77</v>
          </cell>
          <cell r="AB213">
            <v>96</v>
          </cell>
          <cell r="AC213">
            <v>80</v>
          </cell>
          <cell r="AD213">
            <v>13.49</v>
          </cell>
          <cell r="AE213">
            <v>2.82</v>
          </cell>
          <cell r="AF213">
            <v>0</v>
          </cell>
          <cell r="AG213">
            <v>0</v>
          </cell>
          <cell r="AH213">
            <v>734</v>
          </cell>
          <cell r="AI213">
            <v>0</v>
          </cell>
          <cell r="AJ213">
            <v>1860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Y213">
            <v>10129649.039999999</v>
          </cell>
        </row>
        <row r="214">
          <cell r="A214">
            <v>2</v>
          </cell>
          <cell r="B214" t="str">
            <v>12</v>
          </cell>
          <cell r="C214" t="str">
            <v>000</v>
          </cell>
          <cell r="D214" t="str">
            <v>1</v>
          </cell>
          <cell r="E214" t="str">
            <v>420</v>
          </cell>
          <cell r="F214" t="str">
            <v>N000</v>
          </cell>
          <cell r="G214" t="str">
            <v>200</v>
          </cell>
          <cell r="H214" t="str">
            <v>1103</v>
          </cell>
          <cell r="I214" t="str">
            <v>M02035</v>
          </cell>
          <cell r="K214" t="str">
            <v>2</v>
          </cell>
          <cell r="L214">
            <v>213</v>
          </cell>
          <cell r="M214">
            <v>0</v>
          </cell>
          <cell r="N214">
            <v>3388</v>
          </cell>
          <cell r="O214" t="str">
            <v>M</v>
          </cell>
          <cell r="P214" t="str">
            <v>00000000</v>
          </cell>
          <cell r="Q214">
            <v>0</v>
          </cell>
          <cell r="R214">
            <v>489.38</v>
          </cell>
          <cell r="S214">
            <v>94.11</v>
          </cell>
          <cell r="T214">
            <v>509.85</v>
          </cell>
          <cell r="U214">
            <v>199.94</v>
          </cell>
          <cell r="V214">
            <v>60.98</v>
          </cell>
          <cell r="W214">
            <v>79.98</v>
          </cell>
          <cell r="X214">
            <v>85.1</v>
          </cell>
          <cell r="Y214">
            <v>0</v>
          </cell>
          <cell r="Z214">
            <v>150.34</v>
          </cell>
          <cell r="AA214">
            <v>77</v>
          </cell>
          <cell r="AB214">
            <v>96</v>
          </cell>
          <cell r="AC214">
            <v>80</v>
          </cell>
          <cell r="AD214">
            <v>13.49</v>
          </cell>
          <cell r="AE214">
            <v>2.82</v>
          </cell>
          <cell r="AF214">
            <v>0</v>
          </cell>
          <cell r="AG214">
            <v>610.79</v>
          </cell>
          <cell r="AH214">
            <v>734</v>
          </cell>
          <cell r="AI214">
            <v>0</v>
          </cell>
          <cell r="AJ214">
            <v>1860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Y214">
            <v>21807229.68</v>
          </cell>
        </row>
        <row r="215">
          <cell r="A215">
            <v>2</v>
          </cell>
          <cell r="B215" t="str">
            <v>12</v>
          </cell>
          <cell r="C215" t="str">
            <v>000</v>
          </cell>
          <cell r="D215" t="str">
            <v>1</v>
          </cell>
          <cell r="E215" t="str">
            <v>420</v>
          </cell>
          <cell r="F215" t="str">
            <v>N000</v>
          </cell>
          <cell r="G215" t="str">
            <v>200</v>
          </cell>
          <cell r="H215" t="str">
            <v>1103</v>
          </cell>
          <cell r="I215" t="str">
            <v>M02036</v>
          </cell>
          <cell r="K215" t="str">
            <v>2</v>
          </cell>
          <cell r="L215">
            <v>85</v>
          </cell>
          <cell r="M215">
            <v>0</v>
          </cell>
          <cell r="N215">
            <v>2838</v>
          </cell>
          <cell r="O215" t="str">
            <v>M</v>
          </cell>
          <cell r="P215" t="str">
            <v>00000000</v>
          </cell>
          <cell r="Q215">
            <v>0</v>
          </cell>
          <cell r="R215">
            <v>409.93</v>
          </cell>
          <cell r="S215">
            <v>78.83</v>
          </cell>
          <cell r="T215">
            <v>393.35</v>
          </cell>
          <cell r="U215">
            <v>154.25</v>
          </cell>
          <cell r="V215">
            <v>51.08</v>
          </cell>
          <cell r="W215">
            <v>61.7</v>
          </cell>
          <cell r="X215">
            <v>26.72</v>
          </cell>
          <cell r="Y215">
            <v>0</v>
          </cell>
          <cell r="Z215">
            <v>121.12</v>
          </cell>
          <cell r="AA215">
            <v>77</v>
          </cell>
          <cell r="AB215">
            <v>96</v>
          </cell>
          <cell r="AC215">
            <v>80</v>
          </cell>
          <cell r="AD215">
            <v>13.49</v>
          </cell>
          <cell r="AE215">
            <v>2.36</v>
          </cell>
          <cell r="AF215">
            <v>0</v>
          </cell>
          <cell r="AG215">
            <v>247.07</v>
          </cell>
          <cell r="AH215">
            <v>634</v>
          </cell>
          <cell r="AI215">
            <v>0</v>
          </cell>
          <cell r="AJ215">
            <v>1566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Y215">
            <v>6987918</v>
          </cell>
        </row>
        <row r="216">
          <cell r="A216">
            <v>2</v>
          </cell>
          <cell r="B216" t="str">
            <v>12</v>
          </cell>
          <cell r="C216" t="str">
            <v>000</v>
          </cell>
          <cell r="D216" t="str">
            <v>1</v>
          </cell>
          <cell r="E216" t="str">
            <v>101</v>
          </cell>
          <cell r="F216" t="str">
            <v>N000</v>
          </cell>
          <cell r="G216" t="str">
            <v>200</v>
          </cell>
          <cell r="H216" t="str">
            <v>1103</v>
          </cell>
          <cell r="I216" t="str">
            <v>M02037</v>
          </cell>
          <cell r="K216" t="str">
            <v>2</v>
          </cell>
          <cell r="L216">
            <v>1</v>
          </cell>
          <cell r="M216">
            <v>0</v>
          </cell>
          <cell r="N216">
            <v>4674</v>
          </cell>
          <cell r="O216" t="str">
            <v>M</v>
          </cell>
          <cell r="P216" t="str">
            <v>00000000</v>
          </cell>
          <cell r="Q216">
            <v>0</v>
          </cell>
          <cell r="R216">
            <v>675.13</v>
          </cell>
          <cell r="S216">
            <v>129.83000000000001</v>
          </cell>
          <cell r="T216">
            <v>595.94000000000005</v>
          </cell>
          <cell r="U216">
            <v>233.7</v>
          </cell>
          <cell r="V216">
            <v>84.13</v>
          </cell>
          <cell r="W216">
            <v>93.48</v>
          </cell>
          <cell r="X216">
            <v>0</v>
          </cell>
          <cell r="Y216">
            <v>0</v>
          </cell>
          <cell r="Z216">
            <v>158.78</v>
          </cell>
          <cell r="AA216">
            <v>77</v>
          </cell>
          <cell r="AB216">
            <v>96</v>
          </cell>
          <cell r="AC216">
            <v>80</v>
          </cell>
          <cell r="AD216">
            <v>13.49</v>
          </cell>
          <cell r="AE216">
            <v>3.9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2203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Y216">
            <v>109420.56</v>
          </cell>
        </row>
        <row r="217">
          <cell r="A217">
            <v>2</v>
          </cell>
          <cell r="B217" t="str">
            <v>12</v>
          </cell>
          <cell r="C217" t="str">
            <v>000</v>
          </cell>
          <cell r="D217" t="str">
            <v>1</v>
          </cell>
          <cell r="E217" t="str">
            <v>420</v>
          </cell>
          <cell r="F217" t="str">
            <v>N000</v>
          </cell>
          <cell r="G217" t="str">
            <v>200</v>
          </cell>
          <cell r="H217" t="str">
            <v>1103</v>
          </cell>
          <cell r="I217" t="str">
            <v>M02037</v>
          </cell>
          <cell r="K217" t="str">
            <v>2</v>
          </cell>
          <cell r="L217">
            <v>1</v>
          </cell>
          <cell r="M217">
            <v>0</v>
          </cell>
          <cell r="N217">
            <v>4674</v>
          </cell>
          <cell r="O217" t="str">
            <v>M</v>
          </cell>
          <cell r="P217" t="str">
            <v>00000000</v>
          </cell>
          <cell r="Q217">
            <v>0</v>
          </cell>
          <cell r="R217">
            <v>675.13</v>
          </cell>
          <cell r="S217">
            <v>129.83000000000001</v>
          </cell>
          <cell r="T217">
            <v>595.94000000000005</v>
          </cell>
          <cell r="U217">
            <v>233.7</v>
          </cell>
          <cell r="V217">
            <v>84.13</v>
          </cell>
          <cell r="W217">
            <v>93.48</v>
          </cell>
          <cell r="X217">
            <v>136</v>
          </cell>
          <cell r="Y217">
            <v>0</v>
          </cell>
          <cell r="Z217">
            <v>161.5</v>
          </cell>
          <cell r="AA217">
            <v>77</v>
          </cell>
          <cell r="AB217">
            <v>96</v>
          </cell>
          <cell r="AC217">
            <v>80</v>
          </cell>
          <cell r="AD217">
            <v>13.49</v>
          </cell>
          <cell r="AE217">
            <v>3.9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2203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Y217">
            <v>111085.2</v>
          </cell>
        </row>
        <row r="218">
          <cell r="A218">
            <v>2</v>
          </cell>
          <cell r="B218" t="str">
            <v>12</v>
          </cell>
          <cell r="C218" t="str">
            <v>000</v>
          </cell>
          <cell r="D218" t="str">
            <v>1</v>
          </cell>
          <cell r="E218" t="str">
            <v>101</v>
          </cell>
          <cell r="F218" t="str">
            <v>N000</v>
          </cell>
          <cell r="G218" t="str">
            <v>200</v>
          </cell>
          <cell r="H218" t="str">
            <v>1103</v>
          </cell>
          <cell r="I218" t="str">
            <v>M02038</v>
          </cell>
          <cell r="K218" t="str">
            <v>2</v>
          </cell>
          <cell r="L218">
            <v>10</v>
          </cell>
          <cell r="M218">
            <v>0</v>
          </cell>
          <cell r="N218">
            <v>3413</v>
          </cell>
          <cell r="O218" t="str">
            <v>M</v>
          </cell>
          <cell r="P218" t="str">
            <v>00000000</v>
          </cell>
          <cell r="Q218">
            <v>0</v>
          </cell>
          <cell r="R218">
            <v>492.99</v>
          </cell>
          <cell r="S218">
            <v>94.81</v>
          </cell>
          <cell r="T218">
            <v>435.16</v>
          </cell>
          <cell r="U218">
            <v>170.65</v>
          </cell>
          <cell r="V218">
            <v>61.43</v>
          </cell>
          <cell r="W218">
            <v>68.260000000000005</v>
          </cell>
          <cell r="X218">
            <v>0</v>
          </cell>
          <cell r="Y218">
            <v>0</v>
          </cell>
          <cell r="Z218">
            <v>118.11</v>
          </cell>
          <cell r="AA218">
            <v>77</v>
          </cell>
          <cell r="AB218">
            <v>96</v>
          </cell>
          <cell r="AC218">
            <v>80</v>
          </cell>
          <cell r="AD218">
            <v>13.49</v>
          </cell>
          <cell r="AE218">
            <v>2.84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1649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Y218">
            <v>812728.8</v>
          </cell>
        </row>
        <row r="219">
          <cell r="A219">
            <v>2</v>
          </cell>
          <cell r="B219" t="str">
            <v>12</v>
          </cell>
          <cell r="C219" t="str">
            <v>000</v>
          </cell>
          <cell r="D219" t="str">
            <v>1</v>
          </cell>
          <cell r="E219" t="str">
            <v>420</v>
          </cell>
          <cell r="F219" t="str">
            <v>N000</v>
          </cell>
          <cell r="G219" t="str">
            <v>200</v>
          </cell>
          <cell r="H219" t="str">
            <v>1103</v>
          </cell>
          <cell r="I219" t="str">
            <v>M02038</v>
          </cell>
          <cell r="K219" t="str">
            <v>2</v>
          </cell>
          <cell r="L219">
            <v>12</v>
          </cell>
          <cell r="M219">
            <v>0</v>
          </cell>
          <cell r="N219">
            <v>3413</v>
          </cell>
          <cell r="O219" t="str">
            <v>M</v>
          </cell>
          <cell r="P219" t="str">
            <v>00000000</v>
          </cell>
          <cell r="Q219">
            <v>0</v>
          </cell>
          <cell r="R219">
            <v>492.99</v>
          </cell>
          <cell r="S219">
            <v>94.81</v>
          </cell>
          <cell r="T219">
            <v>435.16</v>
          </cell>
          <cell r="U219">
            <v>170.65</v>
          </cell>
          <cell r="V219">
            <v>61.43</v>
          </cell>
          <cell r="W219">
            <v>68.260000000000005</v>
          </cell>
          <cell r="X219">
            <v>106.75</v>
          </cell>
          <cell r="Y219">
            <v>0</v>
          </cell>
          <cell r="Z219">
            <v>120.25</v>
          </cell>
          <cell r="AA219">
            <v>77</v>
          </cell>
          <cell r="AB219">
            <v>96</v>
          </cell>
          <cell r="AC219">
            <v>80</v>
          </cell>
          <cell r="AD219">
            <v>13.49</v>
          </cell>
          <cell r="AE219">
            <v>2.84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1649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Y219">
            <v>990954.72</v>
          </cell>
        </row>
        <row r="220">
          <cell r="A220">
            <v>2</v>
          </cell>
          <cell r="B220" t="str">
            <v>12</v>
          </cell>
          <cell r="C220" t="str">
            <v>000</v>
          </cell>
          <cell r="D220" t="str">
            <v>1</v>
          </cell>
          <cell r="E220" t="str">
            <v>101</v>
          </cell>
          <cell r="F220" t="str">
            <v>N000</v>
          </cell>
          <cell r="G220" t="str">
            <v>200</v>
          </cell>
          <cell r="H220" t="str">
            <v>1103</v>
          </cell>
          <cell r="I220" t="str">
            <v>M02040</v>
          </cell>
          <cell r="K220" t="str">
            <v>2</v>
          </cell>
          <cell r="L220">
            <v>10</v>
          </cell>
          <cell r="M220">
            <v>0</v>
          </cell>
          <cell r="N220">
            <v>3314</v>
          </cell>
          <cell r="O220" t="str">
            <v>M</v>
          </cell>
          <cell r="P220" t="str">
            <v>00000000</v>
          </cell>
          <cell r="Q220">
            <v>0</v>
          </cell>
          <cell r="R220">
            <v>478.69</v>
          </cell>
          <cell r="S220">
            <v>92.06</v>
          </cell>
          <cell r="T220">
            <v>422.54</v>
          </cell>
          <cell r="U220">
            <v>165.7</v>
          </cell>
          <cell r="V220">
            <v>59.65</v>
          </cell>
          <cell r="W220">
            <v>66.28</v>
          </cell>
          <cell r="X220">
            <v>13.6</v>
          </cell>
          <cell r="Y220">
            <v>0</v>
          </cell>
          <cell r="Z220">
            <v>118.04</v>
          </cell>
          <cell r="AA220">
            <v>77</v>
          </cell>
          <cell r="AB220">
            <v>96</v>
          </cell>
          <cell r="AC220">
            <v>80</v>
          </cell>
          <cell r="AD220">
            <v>13.49</v>
          </cell>
          <cell r="AE220">
            <v>2.76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1748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Y220">
            <v>809737.2</v>
          </cell>
        </row>
        <row r="221">
          <cell r="A221">
            <v>2</v>
          </cell>
          <cell r="B221" t="str">
            <v>12</v>
          </cell>
          <cell r="C221" t="str">
            <v>000</v>
          </cell>
          <cell r="D221" t="str">
            <v>1</v>
          </cell>
          <cell r="E221" t="str">
            <v>420</v>
          </cell>
          <cell r="F221" t="str">
            <v>N000</v>
          </cell>
          <cell r="G221" t="str">
            <v>200</v>
          </cell>
          <cell r="H221" t="str">
            <v>1103</v>
          </cell>
          <cell r="I221" t="str">
            <v>M02040</v>
          </cell>
          <cell r="K221" t="str">
            <v>2</v>
          </cell>
          <cell r="L221">
            <v>18</v>
          </cell>
          <cell r="M221">
            <v>0</v>
          </cell>
          <cell r="N221">
            <v>3314</v>
          </cell>
          <cell r="O221" t="str">
            <v>M</v>
          </cell>
          <cell r="P221" t="str">
            <v>00000000</v>
          </cell>
          <cell r="Q221">
            <v>0</v>
          </cell>
          <cell r="R221">
            <v>478.69</v>
          </cell>
          <cell r="S221">
            <v>92.06</v>
          </cell>
          <cell r="T221">
            <v>497.65</v>
          </cell>
          <cell r="U221">
            <v>195.16</v>
          </cell>
          <cell r="V221">
            <v>59.65</v>
          </cell>
          <cell r="W221">
            <v>78.06</v>
          </cell>
          <cell r="X221">
            <v>74.5</v>
          </cell>
          <cell r="Y221">
            <v>0</v>
          </cell>
          <cell r="Z221">
            <v>131.04</v>
          </cell>
          <cell r="AA221">
            <v>77</v>
          </cell>
          <cell r="AB221">
            <v>96</v>
          </cell>
          <cell r="AC221">
            <v>80</v>
          </cell>
          <cell r="AD221">
            <v>13.49</v>
          </cell>
          <cell r="AE221">
            <v>2.76</v>
          </cell>
          <cell r="AF221">
            <v>0</v>
          </cell>
          <cell r="AG221">
            <v>589.16</v>
          </cell>
          <cell r="AH221">
            <v>0</v>
          </cell>
          <cell r="AI221">
            <v>0</v>
          </cell>
          <cell r="AJ221">
            <v>1748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Y221">
            <v>1625879.52</v>
          </cell>
        </row>
        <row r="222">
          <cell r="A222">
            <v>2</v>
          </cell>
          <cell r="B222" t="str">
            <v>12</v>
          </cell>
          <cell r="C222" t="str">
            <v>000</v>
          </cell>
          <cell r="D222" t="str">
            <v>1</v>
          </cell>
          <cell r="E222" t="str">
            <v>101</v>
          </cell>
          <cell r="F222" t="str">
            <v>N000</v>
          </cell>
          <cell r="G222" t="str">
            <v>200</v>
          </cell>
          <cell r="H222" t="str">
            <v>1103</v>
          </cell>
          <cell r="I222" t="str">
            <v>M02044</v>
          </cell>
          <cell r="K222" t="str">
            <v>2</v>
          </cell>
          <cell r="L222">
            <v>1</v>
          </cell>
          <cell r="M222">
            <v>0</v>
          </cell>
          <cell r="N222">
            <v>3221</v>
          </cell>
          <cell r="O222" t="str">
            <v>M</v>
          </cell>
          <cell r="P222" t="str">
            <v>00000000</v>
          </cell>
          <cell r="Q222">
            <v>0</v>
          </cell>
          <cell r="R222">
            <v>465.26</v>
          </cell>
          <cell r="S222">
            <v>89.47</v>
          </cell>
          <cell r="T222">
            <v>410.68</v>
          </cell>
          <cell r="U222">
            <v>161.05000000000001</v>
          </cell>
          <cell r="V222">
            <v>57.98</v>
          </cell>
          <cell r="W222">
            <v>64.42</v>
          </cell>
          <cell r="X222">
            <v>0</v>
          </cell>
          <cell r="Y222">
            <v>0</v>
          </cell>
          <cell r="Z222">
            <v>112.63</v>
          </cell>
          <cell r="AA222">
            <v>77</v>
          </cell>
          <cell r="AB222">
            <v>96</v>
          </cell>
          <cell r="AC222">
            <v>80</v>
          </cell>
          <cell r="AD222">
            <v>13.49</v>
          </cell>
          <cell r="AE222">
            <v>2.68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1600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Y222">
            <v>77419.92</v>
          </cell>
        </row>
        <row r="223">
          <cell r="A223">
            <v>2</v>
          </cell>
          <cell r="B223" t="str">
            <v>12</v>
          </cell>
          <cell r="C223" t="str">
            <v>000</v>
          </cell>
          <cell r="D223" t="str">
            <v>1</v>
          </cell>
          <cell r="E223" t="str">
            <v>420</v>
          </cell>
          <cell r="F223" t="str">
            <v>N000</v>
          </cell>
          <cell r="G223" t="str">
            <v>200</v>
          </cell>
          <cell r="H223" t="str">
            <v>1103</v>
          </cell>
          <cell r="I223" t="str">
            <v>M02045</v>
          </cell>
          <cell r="K223" t="str">
            <v>2</v>
          </cell>
          <cell r="L223">
            <v>9</v>
          </cell>
          <cell r="M223">
            <v>0</v>
          </cell>
          <cell r="N223">
            <v>3011</v>
          </cell>
          <cell r="O223" t="str">
            <v>M</v>
          </cell>
          <cell r="P223" t="str">
            <v>00000000</v>
          </cell>
          <cell r="Q223">
            <v>0</v>
          </cell>
          <cell r="R223">
            <v>434.92</v>
          </cell>
          <cell r="S223">
            <v>83.64</v>
          </cell>
          <cell r="T223">
            <v>383.9</v>
          </cell>
          <cell r="U223">
            <v>150.55000000000001</v>
          </cell>
          <cell r="V223">
            <v>54.2</v>
          </cell>
          <cell r="W223">
            <v>60.22</v>
          </cell>
          <cell r="X223">
            <v>61.78</v>
          </cell>
          <cell r="Y223">
            <v>0</v>
          </cell>
          <cell r="Z223">
            <v>107.92</v>
          </cell>
          <cell r="AA223">
            <v>77</v>
          </cell>
          <cell r="AB223">
            <v>96</v>
          </cell>
          <cell r="AC223">
            <v>80</v>
          </cell>
          <cell r="AD223">
            <v>13.49</v>
          </cell>
          <cell r="AE223">
            <v>2.5099999999999998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1549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Y223">
            <v>665942.04</v>
          </cell>
        </row>
        <row r="224">
          <cell r="A224">
            <v>2</v>
          </cell>
          <cell r="B224" t="str">
            <v>12</v>
          </cell>
          <cell r="C224" t="str">
            <v>000</v>
          </cell>
          <cell r="D224" t="str">
            <v>1</v>
          </cell>
          <cell r="E224" t="str">
            <v>420</v>
          </cell>
          <cell r="F224" t="str">
            <v>N000</v>
          </cell>
          <cell r="G224" t="str">
            <v>200</v>
          </cell>
          <cell r="H224" t="str">
            <v>1103</v>
          </cell>
          <cell r="I224" t="str">
            <v>M02046</v>
          </cell>
          <cell r="K224" t="str">
            <v>2</v>
          </cell>
          <cell r="L224">
            <v>11</v>
          </cell>
          <cell r="M224">
            <v>0</v>
          </cell>
          <cell r="N224">
            <v>2793</v>
          </cell>
          <cell r="O224" t="str">
            <v>M</v>
          </cell>
          <cell r="P224" t="str">
            <v>00000000</v>
          </cell>
          <cell r="Q224">
            <v>0</v>
          </cell>
          <cell r="R224">
            <v>403.43</v>
          </cell>
          <cell r="S224">
            <v>77.58</v>
          </cell>
          <cell r="T224">
            <v>356.11</v>
          </cell>
          <cell r="U224">
            <v>139.65</v>
          </cell>
          <cell r="V224">
            <v>50.27</v>
          </cell>
          <cell r="W224">
            <v>55.86</v>
          </cell>
          <cell r="X224">
            <v>118.82</v>
          </cell>
          <cell r="Y224">
            <v>0</v>
          </cell>
          <cell r="Z224">
            <v>98.16</v>
          </cell>
          <cell r="AA224">
            <v>77</v>
          </cell>
          <cell r="AB224">
            <v>96</v>
          </cell>
          <cell r="AC224">
            <v>80</v>
          </cell>
          <cell r="AD224">
            <v>13.49</v>
          </cell>
          <cell r="AE224">
            <v>2.33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1260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Y224">
            <v>742064.4</v>
          </cell>
        </row>
        <row r="225">
          <cell r="A225">
            <v>2</v>
          </cell>
          <cell r="B225" t="str">
            <v>12</v>
          </cell>
          <cell r="C225" t="str">
            <v>000</v>
          </cell>
          <cell r="D225" t="str">
            <v>1</v>
          </cell>
          <cell r="E225" t="str">
            <v>420</v>
          </cell>
          <cell r="F225" t="str">
            <v>N000</v>
          </cell>
          <cell r="G225" t="str">
            <v>200</v>
          </cell>
          <cell r="H225" t="str">
            <v>1103</v>
          </cell>
          <cell r="I225" t="str">
            <v>M02047</v>
          </cell>
          <cell r="K225" t="str">
            <v>2</v>
          </cell>
          <cell r="L225">
            <v>5</v>
          </cell>
          <cell r="M225">
            <v>0</v>
          </cell>
          <cell r="N225">
            <v>2600</v>
          </cell>
          <cell r="O225" t="str">
            <v>M</v>
          </cell>
          <cell r="P225" t="str">
            <v>00000000</v>
          </cell>
          <cell r="Q225">
            <v>0</v>
          </cell>
          <cell r="R225">
            <v>375.56</v>
          </cell>
          <cell r="S225">
            <v>72.22</v>
          </cell>
          <cell r="T225">
            <v>331.5</v>
          </cell>
          <cell r="U225">
            <v>130</v>
          </cell>
          <cell r="V225">
            <v>46.8</v>
          </cell>
          <cell r="W225">
            <v>52</v>
          </cell>
          <cell r="X225">
            <v>85.4</v>
          </cell>
          <cell r="Y225">
            <v>0</v>
          </cell>
          <cell r="Z225">
            <v>91.53</v>
          </cell>
          <cell r="AA225">
            <v>77</v>
          </cell>
          <cell r="AB225">
            <v>96</v>
          </cell>
          <cell r="AC225">
            <v>80</v>
          </cell>
          <cell r="AD225">
            <v>13.49</v>
          </cell>
          <cell r="AE225">
            <v>2.17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1188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Y225">
            <v>314500.2</v>
          </cell>
        </row>
        <row r="226">
          <cell r="A226">
            <v>2</v>
          </cell>
          <cell r="B226" t="str">
            <v>12</v>
          </cell>
          <cell r="C226" t="str">
            <v>000</v>
          </cell>
          <cell r="D226" t="str">
            <v>1</v>
          </cell>
          <cell r="E226" t="str">
            <v>420</v>
          </cell>
          <cell r="F226" t="str">
            <v>N000</v>
          </cell>
          <cell r="G226" t="str">
            <v>200</v>
          </cell>
          <cell r="H226" t="str">
            <v>1103</v>
          </cell>
          <cell r="I226" t="str">
            <v>M02048</v>
          </cell>
          <cell r="K226" t="str">
            <v>2</v>
          </cell>
          <cell r="L226">
            <v>12</v>
          </cell>
          <cell r="M226">
            <v>0</v>
          </cell>
          <cell r="N226">
            <v>2580</v>
          </cell>
          <cell r="O226" t="str">
            <v>M</v>
          </cell>
          <cell r="P226" t="str">
            <v>00000000</v>
          </cell>
          <cell r="Q226">
            <v>0</v>
          </cell>
          <cell r="R226">
            <v>372.67</v>
          </cell>
          <cell r="S226">
            <v>71.67</v>
          </cell>
          <cell r="T226">
            <v>345.4</v>
          </cell>
          <cell r="U226">
            <v>135.44999999999999</v>
          </cell>
          <cell r="V226">
            <v>46.44</v>
          </cell>
          <cell r="W226">
            <v>54.18</v>
          </cell>
          <cell r="X226">
            <v>68.17</v>
          </cell>
          <cell r="Y226">
            <v>0</v>
          </cell>
          <cell r="Z226">
            <v>90.09</v>
          </cell>
          <cell r="AA226">
            <v>77</v>
          </cell>
          <cell r="AB226">
            <v>96</v>
          </cell>
          <cell r="AC226">
            <v>80</v>
          </cell>
          <cell r="AD226">
            <v>13.49</v>
          </cell>
          <cell r="AE226">
            <v>2.15</v>
          </cell>
          <cell r="AF226">
            <v>0</v>
          </cell>
          <cell r="AG226">
            <v>129</v>
          </cell>
          <cell r="AH226">
            <v>0</v>
          </cell>
          <cell r="AI226">
            <v>0</v>
          </cell>
          <cell r="AJ226">
            <v>1028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Y226">
            <v>747318.24</v>
          </cell>
        </row>
        <row r="227">
          <cell r="A227">
            <v>2</v>
          </cell>
          <cell r="B227" t="str">
            <v>12</v>
          </cell>
          <cell r="C227" t="str">
            <v>000</v>
          </cell>
          <cell r="D227" t="str">
            <v>1</v>
          </cell>
          <cell r="E227" t="str">
            <v>101</v>
          </cell>
          <cell r="F227" t="str">
            <v>N000</v>
          </cell>
          <cell r="G227" t="str">
            <v>200</v>
          </cell>
          <cell r="H227" t="str">
            <v>1103</v>
          </cell>
          <cell r="I227" t="str">
            <v>M02049</v>
          </cell>
          <cell r="K227" t="str">
            <v>2</v>
          </cell>
          <cell r="L227">
            <v>1</v>
          </cell>
          <cell r="M227">
            <v>0</v>
          </cell>
          <cell r="N227">
            <v>4472</v>
          </cell>
          <cell r="O227" t="str">
            <v>M</v>
          </cell>
          <cell r="P227" t="str">
            <v>00000000</v>
          </cell>
          <cell r="Q227">
            <v>0</v>
          </cell>
          <cell r="R227">
            <v>645.96</v>
          </cell>
          <cell r="S227">
            <v>124.22</v>
          </cell>
          <cell r="T227">
            <v>570.17999999999995</v>
          </cell>
          <cell r="U227">
            <v>223.6</v>
          </cell>
          <cell r="V227">
            <v>80.5</v>
          </cell>
          <cell r="W227">
            <v>89.44</v>
          </cell>
          <cell r="X227">
            <v>0</v>
          </cell>
          <cell r="Y227">
            <v>0</v>
          </cell>
          <cell r="Z227">
            <v>153.18</v>
          </cell>
          <cell r="AA227">
            <v>77</v>
          </cell>
          <cell r="AB227">
            <v>96</v>
          </cell>
          <cell r="AC227">
            <v>80</v>
          </cell>
          <cell r="AD227">
            <v>13.49</v>
          </cell>
          <cell r="AE227">
            <v>3.73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2160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Y227">
            <v>105471.6</v>
          </cell>
        </row>
        <row r="228">
          <cell r="A228">
            <v>2</v>
          </cell>
          <cell r="B228" t="str">
            <v>12</v>
          </cell>
          <cell r="C228" t="str">
            <v>000</v>
          </cell>
          <cell r="D228" t="str">
            <v>1</v>
          </cell>
          <cell r="E228" t="str">
            <v>420</v>
          </cell>
          <cell r="F228" t="str">
            <v>N000</v>
          </cell>
          <cell r="G228" t="str">
            <v>200</v>
          </cell>
          <cell r="H228" t="str">
            <v>1103</v>
          </cell>
          <cell r="I228" t="str">
            <v>M02049</v>
          </cell>
          <cell r="K228" t="str">
            <v>2</v>
          </cell>
          <cell r="L228">
            <v>2</v>
          </cell>
          <cell r="M228">
            <v>0</v>
          </cell>
          <cell r="N228">
            <v>4472</v>
          </cell>
          <cell r="O228" t="str">
            <v>M</v>
          </cell>
          <cell r="P228" t="str">
            <v>00000000</v>
          </cell>
          <cell r="Q228">
            <v>0</v>
          </cell>
          <cell r="R228">
            <v>645.96</v>
          </cell>
          <cell r="S228">
            <v>124.22</v>
          </cell>
          <cell r="T228">
            <v>570.17999999999995</v>
          </cell>
          <cell r="U228">
            <v>223.6</v>
          </cell>
          <cell r="V228">
            <v>80.5</v>
          </cell>
          <cell r="W228">
            <v>89.44</v>
          </cell>
          <cell r="X228">
            <v>122.5</v>
          </cell>
          <cell r="Y228">
            <v>0</v>
          </cell>
          <cell r="Z228">
            <v>155.63</v>
          </cell>
          <cell r="AA228">
            <v>77</v>
          </cell>
          <cell r="AB228">
            <v>96</v>
          </cell>
          <cell r="AC228">
            <v>80</v>
          </cell>
          <cell r="AD228">
            <v>13.49</v>
          </cell>
          <cell r="AE228">
            <v>3.73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2160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Y228">
            <v>213942</v>
          </cell>
        </row>
        <row r="229">
          <cell r="A229">
            <v>2</v>
          </cell>
          <cell r="B229" t="str">
            <v>12</v>
          </cell>
          <cell r="C229" t="str">
            <v>000</v>
          </cell>
          <cell r="D229" t="str">
            <v>1</v>
          </cell>
          <cell r="E229" t="str">
            <v>420</v>
          </cell>
          <cell r="F229" t="str">
            <v>N000</v>
          </cell>
          <cell r="G229" t="str">
            <v>200</v>
          </cell>
          <cell r="H229" t="str">
            <v>1103</v>
          </cell>
          <cell r="I229" t="str">
            <v>M02050</v>
          </cell>
          <cell r="K229" t="str">
            <v>2</v>
          </cell>
          <cell r="L229">
            <v>2</v>
          </cell>
          <cell r="M229">
            <v>0</v>
          </cell>
          <cell r="N229">
            <v>3221</v>
          </cell>
          <cell r="O229" t="str">
            <v>M</v>
          </cell>
          <cell r="P229" t="str">
            <v>00000000</v>
          </cell>
          <cell r="Q229">
            <v>0</v>
          </cell>
          <cell r="R229">
            <v>465.26</v>
          </cell>
          <cell r="S229">
            <v>89.47</v>
          </cell>
          <cell r="T229">
            <v>410.68</v>
          </cell>
          <cell r="U229">
            <v>161.05000000000001</v>
          </cell>
          <cell r="V229">
            <v>57.98</v>
          </cell>
          <cell r="W229">
            <v>64.42</v>
          </cell>
          <cell r="X229">
            <v>68.5</v>
          </cell>
          <cell r="Y229">
            <v>0</v>
          </cell>
          <cell r="Z229">
            <v>114</v>
          </cell>
          <cell r="AA229">
            <v>77</v>
          </cell>
          <cell r="AB229">
            <v>96</v>
          </cell>
          <cell r="AC229">
            <v>80</v>
          </cell>
          <cell r="AD229">
            <v>13.49</v>
          </cell>
          <cell r="AE229">
            <v>2.68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1600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Y229">
            <v>156516.72</v>
          </cell>
        </row>
        <row r="230">
          <cell r="A230">
            <v>2</v>
          </cell>
          <cell r="B230" t="str">
            <v>12</v>
          </cell>
          <cell r="C230" t="str">
            <v>000</v>
          </cell>
          <cell r="D230" t="str">
            <v>1</v>
          </cell>
          <cell r="E230" t="str">
            <v>101</v>
          </cell>
          <cell r="F230" t="str">
            <v>N000</v>
          </cell>
          <cell r="G230" t="str">
            <v>200</v>
          </cell>
          <cell r="H230" t="str">
            <v>1103</v>
          </cell>
          <cell r="I230" t="str">
            <v>M02057</v>
          </cell>
          <cell r="K230" t="str">
            <v>2</v>
          </cell>
          <cell r="L230">
            <v>1</v>
          </cell>
          <cell r="M230">
            <v>0</v>
          </cell>
          <cell r="N230">
            <v>3221</v>
          </cell>
          <cell r="O230" t="str">
            <v>M</v>
          </cell>
          <cell r="P230" t="str">
            <v>00000000</v>
          </cell>
          <cell r="Q230">
            <v>0</v>
          </cell>
          <cell r="R230">
            <v>465.26</v>
          </cell>
          <cell r="S230">
            <v>89.47</v>
          </cell>
          <cell r="T230">
            <v>410.68</v>
          </cell>
          <cell r="U230">
            <v>161.05000000000001</v>
          </cell>
          <cell r="V230">
            <v>57.98</v>
          </cell>
          <cell r="W230">
            <v>64.42</v>
          </cell>
          <cell r="X230">
            <v>136</v>
          </cell>
          <cell r="Y230">
            <v>0</v>
          </cell>
          <cell r="Z230">
            <v>115.35</v>
          </cell>
          <cell r="AA230">
            <v>77</v>
          </cell>
          <cell r="AB230">
            <v>96</v>
          </cell>
          <cell r="AC230">
            <v>80</v>
          </cell>
          <cell r="AD230">
            <v>13.49</v>
          </cell>
          <cell r="AE230">
            <v>2.68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1600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Y230">
            <v>79084.56</v>
          </cell>
        </row>
        <row r="231">
          <cell r="A231">
            <v>2</v>
          </cell>
          <cell r="B231" t="str">
            <v>12</v>
          </cell>
          <cell r="C231" t="str">
            <v>000</v>
          </cell>
          <cell r="D231" t="str">
            <v>1</v>
          </cell>
          <cell r="E231" t="str">
            <v>101</v>
          </cell>
          <cell r="F231" t="str">
            <v>N000</v>
          </cell>
          <cell r="G231" t="str">
            <v>200</v>
          </cell>
          <cell r="H231" t="str">
            <v>1103</v>
          </cell>
          <cell r="I231" t="str">
            <v>M02058</v>
          </cell>
          <cell r="K231" t="str">
            <v>2</v>
          </cell>
          <cell r="L231">
            <v>6</v>
          </cell>
          <cell r="M231">
            <v>0</v>
          </cell>
          <cell r="N231">
            <v>3011</v>
          </cell>
          <cell r="O231" t="str">
            <v>M</v>
          </cell>
          <cell r="P231" t="str">
            <v>00000000</v>
          </cell>
          <cell r="Q231">
            <v>0</v>
          </cell>
          <cell r="R231">
            <v>434.92</v>
          </cell>
          <cell r="S231">
            <v>83.64</v>
          </cell>
          <cell r="T231">
            <v>383.9</v>
          </cell>
          <cell r="U231">
            <v>150.55000000000001</v>
          </cell>
          <cell r="V231">
            <v>54.2</v>
          </cell>
          <cell r="W231">
            <v>60.22</v>
          </cell>
          <cell r="X231">
            <v>0</v>
          </cell>
          <cell r="Y231">
            <v>0</v>
          </cell>
          <cell r="Z231">
            <v>106.68</v>
          </cell>
          <cell r="AA231">
            <v>77</v>
          </cell>
          <cell r="AB231">
            <v>96</v>
          </cell>
          <cell r="AC231">
            <v>80</v>
          </cell>
          <cell r="AD231">
            <v>13.49</v>
          </cell>
          <cell r="AE231">
            <v>2.5099999999999998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1549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Y231">
            <v>439423.92</v>
          </cell>
        </row>
        <row r="232">
          <cell r="A232">
            <v>2</v>
          </cell>
          <cell r="B232" t="str">
            <v>12</v>
          </cell>
          <cell r="C232" t="str">
            <v>000</v>
          </cell>
          <cell r="D232" t="str">
            <v>1</v>
          </cell>
          <cell r="E232" t="str">
            <v>420</v>
          </cell>
          <cell r="F232" t="str">
            <v>N000</v>
          </cell>
          <cell r="G232" t="str">
            <v>200</v>
          </cell>
          <cell r="H232" t="str">
            <v>1103</v>
          </cell>
          <cell r="I232" t="str">
            <v>M02058</v>
          </cell>
          <cell r="K232" t="str">
            <v>2</v>
          </cell>
          <cell r="L232">
            <v>4</v>
          </cell>
          <cell r="M232">
            <v>0</v>
          </cell>
          <cell r="N232">
            <v>3011</v>
          </cell>
          <cell r="O232" t="str">
            <v>M</v>
          </cell>
          <cell r="P232" t="str">
            <v>00000000</v>
          </cell>
          <cell r="Q232">
            <v>0</v>
          </cell>
          <cell r="R232">
            <v>434.92</v>
          </cell>
          <cell r="S232">
            <v>83.64</v>
          </cell>
          <cell r="T232">
            <v>383.9</v>
          </cell>
          <cell r="U232">
            <v>150.55000000000001</v>
          </cell>
          <cell r="V232">
            <v>54.2</v>
          </cell>
          <cell r="W232">
            <v>60.22</v>
          </cell>
          <cell r="X232">
            <v>54.5</v>
          </cell>
          <cell r="Y232">
            <v>0</v>
          </cell>
          <cell r="Z232">
            <v>107.77</v>
          </cell>
          <cell r="AA232">
            <v>77</v>
          </cell>
          <cell r="AB232">
            <v>96</v>
          </cell>
          <cell r="AC232">
            <v>80</v>
          </cell>
          <cell r="AD232">
            <v>13.49</v>
          </cell>
          <cell r="AE232">
            <v>2.5099999999999998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1549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Y232">
            <v>295617.59999999998</v>
          </cell>
        </row>
        <row r="233">
          <cell r="A233">
            <v>2</v>
          </cell>
          <cell r="B233" t="str">
            <v>12</v>
          </cell>
          <cell r="C233" t="str">
            <v>000</v>
          </cell>
          <cell r="D233" t="str">
            <v>1</v>
          </cell>
          <cell r="E233" t="str">
            <v>101</v>
          </cell>
          <cell r="F233" t="str">
            <v>N000</v>
          </cell>
          <cell r="G233" t="str">
            <v>200</v>
          </cell>
          <cell r="H233" t="str">
            <v>1103</v>
          </cell>
          <cell r="I233" t="str">
            <v>M02059</v>
          </cell>
          <cell r="K233" t="str">
            <v>2</v>
          </cell>
          <cell r="L233">
            <v>16</v>
          </cell>
          <cell r="M233">
            <v>0</v>
          </cell>
          <cell r="N233">
            <v>2600</v>
          </cell>
          <cell r="O233" t="str">
            <v>M</v>
          </cell>
          <cell r="P233" t="str">
            <v>00000000</v>
          </cell>
          <cell r="Q233">
            <v>0</v>
          </cell>
          <cell r="R233">
            <v>375.56</v>
          </cell>
          <cell r="S233">
            <v>72.22</v>
          </cell>
          <cell r="T233">
            <v>331.5</v>
          </cell>
          <cell r="U233">
            <v>130</v>
          </cell>
          <cell r="V233">
            <v>46.8</v>
          </cell>
          <cell r="W233">
            <v>52</v>
          </cell>
          <cell r="X233">
            <v>6.88</v>
          </cell>
          <cell r="Y233">
            <v>0</v>
          </cell>
          <cell r="Z233">
            <v>89.96</v>
          </cell>
          <cell r="AA233">
            <v>77</v>
          </cell>
          <cell r="AB233">
            <v>96</v>
          </cell>
          <cell r="AC233">
            <v>80</v>
          </cell>
          <cell r="AD233">
            <v>13.49</v>
          </cell>
          <cell r="AE233">
            <v>2.17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1188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Y233">
            <v>991023.36</v>
          </cell>
        </row>
        <row r="234">
          <cell r="A234">
            <v>2</v>
          </cell>
          <cell r="B234" t="str">
            <v>12</v>
          </cell>
          <cell r="C234" t="str">
            <v>000</v>
          </cell>
          <cell r="D234" t="str">
            <v>1</v>
          </cell>
          <cell r="E234" t="str">
            <v>420</v>
          </cell>
          <cell r="F234" t="str">
            <v>N000</v>
          </cell>
          <cell r="G234" t="str">
            <v>200</v>
          </cell>
          <cell r="H234" t="str">
            <v>1103</v>
          </cell>
          <cell r="I234" t="str">
            <v>M02059</v>
          </cell>
          <cell r="K234" t="str">
            <v>2</v>
          </cell>
          <cell r="L234">
            <v>21</v>
          </cell>
          <cell r="M234">
            <v>0</v>
          </cell>
          <cell r="N234">
            <v>2600</v>
          </cell>
          <cell r="O234" t="str">
            <v>M</v>
          </cell>
          <cell r="P234" t="str">
            <v>00000000</v>
          </cell>
          <cell r="Q234">
            <v>0</v>
          </cell>
          <cell r="R234">
            <v>375.56</v>
          </cell>
          <cell r="S234">
            <v>72.22</v>
          </cell>
          <cell r="T234">
            <v>331.5</v>
          </cell>
          <cell r="U234">
            <v>130</v>
          </cell>
          <cell r="V234">
            <v>46.8</v>
          </cell>
          <cell r="W234">
            <v>52</v>
          </cell>
          <cell r="X234">
            <v>107.71</v>
          </cell>
          <cell r="Y234">
            <v>0</v>
          </cell>
          <cell r="Z234">
            <v>91.97</v>
          </cell>
          <cell r="AA234">
            <v>77</v>
          </cell>
          <cell r="AB234">
            <v>96</v>
          </cell>
          <cell r="AC234">
            <v>80</v>
          </cell>
          <cell r="AD234">
            <v>13.49</v>
          </cell>
          <cell r="AE234">
            <v>2.17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1188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Y234">
            <v>1326633.8400000001</v>
          </cell>
        </row>
        <row r="235">
          <cell r="A235">
            <v>2</v>
          </cell>
          <cell r="B235" t="str">
            <v>12</v>
          </cell>
          <cell r="C235" t="str">
            <v>000</v>
          </cell>
          <cell r="D235" t="str">
            <v>1</v>
          </cell>
          <cell r="E235" t="str">
            <v>101</v>
          </cell>
          <cell r="F235" t="str">
            <v>N000</v>
          </cell>
          <cell r="G235" t="str">
            <v>200</v>
          </cell>
          <cell r="H235" t="str">
            <v>1103</v>
          </cell>
          <cell r="I235" t="str">
            <v>M02060</v>
          </cell>
          <cell r="K235" t="str">
            <v>2</v>
          </cell>
          <cell r="L235">
            <v>2</v>
          </cell>
          <cell r="M235">
            <v>0</v>
          </cell>
          <cell r="N235">
            <v>3221</v>
          </cell>
          <cell r="O235" t="str">
            <v>M</v>
          </cell>
          <cell r="P235" t="str">
            <v>00000000</v>
          </cell>
          <cell r="Q235">
            <v>0</v>
          </cell>
          <cell r="R235">
            <v>465.26</v>
          </cell>
          <cell r="S235">
            <v>89.47</v>
          </cell>
          <cell r="T235">
            <v>410.68</v>
          </cell>
          <cell r="U235">
            <v>161.05000000000001</v>
          </cell>
          <cell r="V235">
            <v>57.98</v>
          </cell>
          <cell r="W235">
            <v>64.42</v>
          </cell>
          <cell r="X235">
            <v>68</v>
          </cell>
          <cell r="Y235">
            <v>0</v>
          </cell>
          <cell r="Z235">
            <v>113.99</v>
          </cell>
          <cell r="AA235">
            <v>77</v>
          </cell>
          <cell r="AB235">
            <v>96</v>
          </cell>
          <cell r="AC235">
            <v>80</v>
          </cell>
          <cell r="AD235">
            <v>13.49</v>
          </cell>
          <cell r="AE235">
            <v>2.68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1600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Y235">
            <v>156504.48000000001</v>
          </cell>
        </row>
        <row r="236">
          <cell r="A236">
            <v>2</v>
          </cell>
          <cell r="B236" t="str">
            <v>12</v>
          </cell>
          <cell r="C236" t="str">
            <v>000</v>
          </cell>
          <cell r="D236" t="str">
            <v>1</v>
          </cell>
          <cell r="E236" t="str">
            <v>101</v>
          </cell>
          <cell r="F236" t="str">
            <v>N000</v>
          </cell>
          <cell r="G236" t="str">
            <v>200</v>
          </cell>
          <cell r="H236" t="str">
            <v>1103</v>
          </cell>
          <cell r="I236" t="str">
            <v>M02061</v>
          </cell>
          <cell r="K236" t="str">
            <v>2</v>
          </cell>
          <cell r="L236">
            <v>4</v>
          </cell>
          <cell r="M236">
            <v>0</v>
          </cell>
          <cell r="N236">
            <v>2600</v>
          </cell>
          <cell r="O236" t="str">
            <v>M</v>
          </cell>
          <cell r="P236" t="str">
            <v>00000000</v>
          </cell>
          <cell r="Q236">
            <v>0</v>
          </cell>
          <cell r="R236">
            <v>375.56</v>
          </cell>
          <cell r="S236">
            <v>72.22</v>
          </cell>
          <cell r="T236">
            <v>331.5</v>
          </cell>
          <cell r="U236">
            <v>130</v>
          </cell>
          <cell r="V236">
            <v>46.8</v>
          </cell>
          <cell r="W236">
            <v>52</v>
          </cell>
          <cell r="X236">
            <v>0</v>
          </cell>
          <cell r="Y236">
            <v>0</v>
          </cell>
          <cell r="Z236">
            <v>89.82</v>
          </cell>
          <cell r="AA236">
            <v>77</v>
          </cell>
          <cell r="AB236">
            <v>96</v>
          </cell>
          <cell r="AC236">
            <v>80</v>
          </cell>
          <cell r="AD236">
            <v>13.49</v>
          </cell>
          <cell r="AE236">
            <v>2.17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1188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Y236">
            <v>247418.88</v>
          </cell>
        </row>
        <row r="237">
          <cell r="A237">
            <v>2</v>
          </cell>
          <cell r="B237" t="str">
            <v>12</v>
          </cell>
          <cell r="C237" t="str">
            <v>000</v>
          </cell>
          <cell r="D237" t="str">
            <v>1</v>
          </cell>
          <cell r="E237" t="str">
            <v>420</v>
          </cell>
          <cell r="F237" t="str">
            <v>N000</v>
          </cell>
          <cell r="G237" t="str">
            <v>200</v>
          </cell>
          <cell r="H237" t="str">
            <v>1103</v>
          </cell>
          <cell r="I237" t="str">
            <v>M02061</v>
          </cell>
          <cell r="K237" t="str">
            <v>2</v>
          </cell>
          <cell r="L237">
            <v>9</v>
          </cell>
          <cell r="M237">
            <v>0</v>
          </cell>
          <cell r="N237">
            <v>2600</v>
          </cell>
          <cell r="O237" t="str">
            <v>M</v>
          </cell>
          <cell r="P237" t="str">
            <v>00000000</v>
          </cell>
          <cell r="Q237">
            <v>0</v>
          </cell>
          <cell r="R237">
            <v>375.56</v>
          </cell>
          <cell r="S237">
            <v>72.22</v>
          </cell>
          <cell r="T237">
            <v>331.5</v>
          </cell>
          <cell r="U237">
            <v>130</v>
          </cell>
          <cell r="V237">
            <v>46.8</v>
          </cell>
          <cell r="W237">
            <v>52</v>
          </cell>
          <cell r="X237">
            <v>121</v>
          </cell>
          <cell r="Y237">
            <v>0</v>
          </cell>
          <cell r="Z237">
            <v>92.24</v>
          </cell>
          <cell r="AA237">
            <v>77</v>
          </cell>
          <cell r="AB237">
            <v>96</v>
          </cell>
          <cell r="AC237">
            <v>80</v>
          </cell>
          <cell r="AD237">
            <v>13.49</v>
          </cell>
          <cell r="AE237">
            <v>2.17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1188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Y237">
            <v>570021.84</v>
          </cell>
        </row>
        <row r="238">
          <cell r="A238">
            <v>2</v>
          </cell>
          <cell r="B238" t="str">
            <v>12</v>
          </cell>
          <cell r="C238" t="str">
            <v>000</v>
          </cell>
          <cell r="D238" t="str">
            <v>1</v>
          </cell>
          <cell r="E238" t="str">
            <v>420</v>
          </cell>
          <cell r="F238" t="str">
            <v>N000</v>
          </cell>
          <cell r="G238" t="str">
            <v>200</v>
          </cell>
          <cell r="H238" t="str">
            <v>1103</v>
          </cell>
          <cell r="I238" t="str">
            <v>M02063</v>
          </cell>
          <cell r="K238" t="str">
            <v>2</v>
          </cell>
          <cell r="L238">
            <v>2</v>
          </cell>
          <cell r="M238">
            <v>0</v>
          </cell>
          <cell r="N238">
            <v>2793</v>
          </cell>
          <cell r="O238" t="str">
            <v>M</v>
          </cell>
          <cell r="P238" t="str">
            <v>00000000</v>
          </cell>
          <cell r="Q238">
            <v>0</v>
          </cell>
          <cell r="R238">
            <v>403.43</v>
          </cell>
          <cell r="S238">
            <v>77.58</v>
          </cell>
          <cell r="T238">
            <v>373.91</v>
          </cell>
          <cell r="U238">
            <v>146.63</v>
          </cell>
          <cell r="V238">
            <v>50.27</v>
          </cell>
          <cell r="W238">
            <v>58.65</v>
          </cell>
          <cell r="X238">
            <v>122.5</v>
          </cell>
          <cell r="Y238">
            <v>0</v>
          </cell>
          <cell r="Z238">
            <v>101.03</v>
          </cell>
          <cell r="AA238">
            <v>77</v>
          </cell>
          <cell r="AB238">
            <v>96</v>
          </cell>
          <cell r="AC238">
            <v>80</v>
          </cell>
          <cell r="AD238">
            <v>13.49</v>
          </cell>
          <cell r="AE238">
            <v>2.33</v>
          </cell>
          <cell r="AF238">
            <v>0</v>
          </cell>
          <cell r="AG238">
            <v>139.65</v>
          </cell>
          <cell r="AH238">
            <v>0</v>
          </cell>
          <cell r="AI238">
            <v>0</v>
          </cell>
          <cell r="AJ238">
            <v>1260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Y238">
            <v>139091.28</v>
          </cell>
        </row>
        <row r="239">
          <cell r="A239">
            <v>2</v>
          </cell>
          <cell r="B239" t="str">
            <v>12</v>
          </cell>
          <cell r="C239" t="str">
            <v>000</v>
          </cell>
          <cell r="D239" t="str">
            <v>1</v>
          </cell>
          <cell r="E239" t="str">
            <v>420</v>
          </cell>
          <cell r="F239" t="str">
            <v>N000</v>
          </cell>
          <cell r="G239" t="str">
            <v>200</v>
          </cell>
          <cell r="H239" t="str">
            <v>1103</v>
          </cell>
          <cell r="I239" t="str">
            <v>M02064</v>
          </cell>
          <cell r="K239" t="str">
            <v>2</v>
          </cell>
          <cell r="L239">
            <v>1</v>
          </cell>
          <cell r="M239">
            <v>0</v>
          </cell>
          <cell r="N239">
            <v>2600</v>
          </cell>
          <cell r="O239" t="str">
            <v>M</v>
          </cell>
          <cell r="P239" t="str">
            <v>00000000</v>
          </cell>
          <cell r="Q239">
            <v>0</v>
          </cell>
          <cell r="R239">
            <v>375.56</v>
          </cell>
          <cell r="S239">
            <v>72.22</v>
          </cell>
          <cell r="T239">
            <v>331.5</v>
          </cell>
          <cell r="U239">
            <v>130</v>
          </cell>
          <cell r="V239">
            <v>46.8</v>
          </cell>
          <cell r="W239">
            <v>52</v>
          </cell>
          <cell r="X239">
            <v>0</v>
          </cell>
          <cell r="Y239">
            <v>0</v>
          </cell>
          <cell r="Z239">
            <v>89.82</v>
          </cell>
          <cell r="AA239">
            <v>77</v>
          </cell>
          <cell r="AB239">
            <v>96</v>
          </cell>
          <cell r="AC239">
            <v>80</v>
          </cell>
          <cell r="AD239">
            <v>13.49</v>
          </cell>
          <cell r="AE239">
            <v>2.17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1188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Y239">
            <v>61854.720000000001</v>
          </cell>
        </row>
        <row r="240">
          <cell r="A240">
            <v>2</v>
          </cell>
          <cell r="B240" t="str">
            <v>12</v>
          </cell>
          <cell r="C240" t="str">
            <v>000</v>
          </cell>
          <cell r="D240" t="str">
            <v>1</v>
          </cell>
          <cell r="E240" t="str">
            <v>420</v>
          </cell>
          <cell r="F240" t="str">
            <v>N000</v>
          </cell>
          <cell r="G240" t="str">
            <v>200</v>
          </cell>
          <cell r="H240" t="str">
            <v>1103</v>
          </cell>
          <cell r="I240" t="str">
            <v>M02066</v>
          </cell>
          <cell r="K240" t="str">
            <v>2</v>
          </cell>
          <cell r="L240">
            <v>3</v>
          </cell>
          <cell r="M240">
            <v>0</v>
          </cell>
          <cell r="N240">
            <v>3011</v>
          </cell>
          <cell r="O240" t="str">
            <v>M</v>
          </cell>
          <cell r="P240" t="str">
            <v>00000000</v>
          </cell>
          <cell r="Q240">
            <v>0</v>
          </cell>
          <cell r="R240">
            <v>434.92</v>
          </cell>
          <cell r="S240">
            <v>83.64</v>
          </cell>
          <cell r="T240">
            <v>383.9</v>
          </cell>
          <cell r="U240">
            <v>150.55000000000001</v>
          </cell>
          <cell r="V240">
            <v>54.2</v>
          </cell>
          <cell r="W240">
            <v>60.22</v>
          </cell>
          <cell r="X240">
            <v>0</v>
          </cell>
          <cell r="Y240">
            <v>0</v>
          </cell>
          <cell r="Z240">
            <v>102</v>
          </cell>
          <cell r="AA240">
            <v>77</v>
          </cell>
          <cell r="AB240">
            <v>96</v>
          </cell>
          <cell r="AC240">
            <v>80</v>
          </cell>
          <cell r="AD240">
            <v>13.49</v>
          </cell>
          <cell r="AE240">
            <v>2.5099999999999998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1315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Y240">
            <v>211119.48</v>
          </cell>
        </row>
        <row r="241">
          <cell r="A241">
            <v>2</v>
          </cell>
          <cell r="B241" t="str">
            <v>12</v>
          </cell>
          <cell r="C241" t="str">
            <v>000</v>
          </cell>
          <cell r="D241" t="str">
            <v>1</v>
          </cell>
          <cell r="E241" t="str">
            <v>101</v>
          </cell>
          <cell r="F241" t="str">
            <v>N000</v>
          </cell>
          <cell r="G241" t="str">
            <v>200</v>
          </cell>
          <cell r="H241" t="str">
            <v>1103</v>
          </cell>
          <cell r="I241" t="str">
            <v>M02072</v>
          </cell>
          <cell r="K241" t="str">
            <v>2</v>
          </cell>
          <cell r="L241">
            <v>1</v>
          </cell>
          <cell r="M241">
            <v>0</v>
          </cell>
          <cell r="N241">
            <v>3812</v>
          </cell>
          <cell r="O241" t="str">
            <v>M</v>
          </cell>
          <cell r="P241" t="str">
            <v>00000000</v>
          </cell>
          <cell r="Q241">
            <v>0</v>
          </cell>
          <cell r="R241">
            <v>550.62</v>
          </cell>
          <cell r="S241">
            <v>105.89</v>
          </cell>
          <cell r="T241">
            <v>583.24</v>
          </cell>
          <cell r="U241">
            <v>228.72</v>
          </cell>
          <cell r="V241">
            <v>68.62</v>
          </cell>
          <cell r="W241">
            <v>91.49</v>
          </cell>
          <cell r="X241">
            <v>0</v>
          </cell>
          <cell r="Y241">
            <v>0</v>
          </cell>
          <cell r="Z241">
            <v>150.5</v>
          </cell>
          <cell r="AA241">
            <v>77</v>
          </cell>
          <cell r="AB241">
            <v>96</v>
          </cell>
          <cell r="AC241">
            <v>80</v>
          </cell>
          <cell r="AD241">
            <v>13.49</v>
          </cell>
          <cell r="AE241">
            <v>3.18</v>
          </cell>
          <cell r="AF241">
            <v>0</v>
          </cell>
          <cell r="AG241">
            <v>762.4</v>
          </cell>
          <cell r="AH241">
            <v>0</v>
          </cell>
          <cell r="AI241">
            <v>0</v>
          </cell>
          <cell r="AJ241">
            <v>2038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Y241">
            <v>103933.8</v>
          </cell>
        </row>
        <row r="242">
          <cell r="A242">
            <v>2</v>
          </cell>
          <cell r="B242" t="str">
            <v>12</v>
          </cell>
          <cell r="C242" t="str">
            <v>000</v>
          </cell>
          <cell r="D242" t="str">
            <v>1</v>
          </cell>
          <cell r="E242" t="str">
            <v>101</v>
          </cell>
          <cell r="F242" t="str">
            <v>N000</v>
          </cell>
          <cell r="G242" t="str">
            <v>200</v>
          </cell>
          <cell r="H242" t="str">
            <v>1103</v>
          </cell>
          <cell r="I242" t="str">
            <v>M02074</v>
          </cell>
          <cell r="K242" t="str">
            <v>2</v>
          </cell>
          <cell r="L242">
            <v>10</v>
          </cell>
          <cell r="M242">
            <v>0</v>
          </cell>
          <cell r="N242">
            <v>3413</v>
          </cell>
          <cell r="O242" t="str">
            <v>M</v>
          </cell>
          <cell r="P242" t="str">
            <v>00000000</v>
          </cell>
          <cell r="Q242">
            <v>0</v>
          </cell>
          <cell r="R242">
            <v>492.99</v>
          </cell>
          <cell r="S242">
            <v>94.81</v>
          </cell>
          <cell r="T242">
            <v>435.16</v>
          </cell>
          <cell r="U242">
            <v>170.65</v>
          </cell>
          <cell r="V242">
            <v>61.43</v>
          </cell>
          <cell r="W242">
            <v>68.260000000000005</v>
          </cell>
          <cell r="X242">
            <v>0</v>
          </cell>
          <cell r="Y242">
            <v>0</v>
          </cell>
          <cell r="Z242">
            <v>118.11</v>
          </cell>
          <cell r="AA242">
            <v>77</v>
          </cell>
          <cell r="AB242">
            <v>96</v>
          </cell>
          <cell r="AC242">
            <v>80</v>
          </cell>
          <cell r="AD242">
            <v>13.49</v>
          </cell>
          <cell r="AE242">
            <v>2.84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1649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Y242">
            <v>812728.8</v>
          </cell>
        </row>
        <row r="243">
          <cell r="A243">
            <v>2</v>
          </cell>
          <cell r="B243" t="str">
            <v>12</v>
          </cell>
          <cell r="C243" t="str">
            <v>000</v>
          </cell>
          <cell r="D243" t="str">
            <v>1</v>
          </cell>
          <cell r="E243" t="str">
            <v>420</v>
          </cell>
          <cell r="F243" t="str">
            <v>N000</v>
          </cell>
          <cell r="G243" t="str">
            <v>200</v>
          </cell>
          <cell r="H243" t="str">
            <v>1103</v>
          </cell>
          <cell r="I243" t="str">
            <v>M02074</v>
          </cell>
          <cell r="K243" t="str">
            <v>2</v>
          </cell>
          <cell r="L243">
            <v>3</v>
          </cell>
          <cell r="M243">
            <v>0</v>
          </cell>
          <cell r="N243">
            <v>3413</v>
          </cell>
          <cell r="O243" t="str">
            <v>M</v>
          </cell>
          <cell r="P243" t="str">
            <v>00000000</v>
          </cell>
          <cell r="Q243">
            <v>0</v>
          </cell>
          <cell r="R243">
            <v>492.99</v>
          </cell>
          <cell r="S243">
            <v>94.81</v>
          </cell>
          <cell r="T243">
            <v>435.16</v>
          </cell>
          <cell r="U243">
            <v>170.65</v>
          </cell>
          <cell r="V243">
            <v>61.43</v>
          </cell>
          <cell r="W243">
            <v>68.260000000000005</v>
          </cell>
          <cell r="X243">
            <v>109</v>
          </cell>
          <cell r="Y243">
            <v>0</v>
          </cell>
          <cell r="Z243">
            <v>120.29</v>
          </cell>
          <cell r="AA243">
            <v>77</v>
          </cell>
          <cell r="AB243">
            <v>96</v>
          </cell>
          <cell r="AC243">
            <v>80</v>
          </cell>
          <cell r="AD243">
            <v>13.49</v>
          </cell>
          <cell r="AE243">
            <v>2.84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1649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Y243">
            <v>247821.12</v>
          </cell>
        </row>
        <row r="244">
          <cell r="A244">
            <v>2</v>
          </cell>
          <cell r="B244" t="str">
            <v>12</v>
          </cell>
          <cell r="C244" t="str">
            <v>000</v>
          </cell>
          <cell r="D244" t="str">
            <v>1</v>
          </cell>
          <cell r="E244" t="str">
            <v>420</v>
          </cell>
          <cell r="F244" t="str">
            <v>N000</v>
          </cell>
          <cell r="G244" t="str">
            <v>200</v>
          </cell>
          <cell r="H244" t="str">
            <v>1103</v>
          </cell>
          <cell r="I244" t="str">
            <v>M02075</v>
          </cell>
          <cell r="K244" t="str">
            <v>2</v>
          </cell>
          <cell r="L244">
            <v>1</v>
          </cell>
          <cell r="M244">
            <v>0</v>
          </cell>
          <cell r="N244">
            <v>3221</v>
          </cell>
          <cell r="O244" t="str">
            <v>M</v>
          </cell>
          <cell r="P244" t="str">
            <v>00000000</v>
          </cell>
          <cell r="Q244">
            <v>0</v>
          </cell>
          <cell r="R244">
            <v>465.26</v>
          </cell>
          <cell r="S244">
            <v>89.47</v>
          </cell>
          <cell r="T244">
            <v>410.68</v>
          </cell>
          <cell r="U244">
            <v>161.05000000000001</v>
          </cell>
          <cell r="V244">
            <v>57.98</v>
          </cell>
          <cell r="W244">
            <v>64.42</v>
          </cell>
          <cell r="X244">
            <v>136</v>
          </cell>
          <cell r="Y244">
            <v>0</v>
          </cell>
          <cell r="Z244">
            <v>115.35</v>
          </cell>
          <cell r="AA244">
            <v>77</v>
          </cell>
          <cell r="AB244">
            <v>96</v>
          </cell>
          <cell r="AC244">
            <v>80</v>
          </cell>
          <cell r="AD244">
            <v>13.49</v>
          </cell>
          <cell r="AE244">
            <v>2.68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1600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Y244">
            <v>79084.56</v>
          </cell>
        </row>
        <row r="245">
          <cell r="A245">
            <v>2</v>
          </cell>
          <cell r="B245" t="str">
            <v>12</v>
          </cell>
          <cell r="C245" t="str">
            <v>000</v>
          </cell>
          <cell r="D245" t="str">
            <v>1</v>
          </cell>
          <cell r="E245" t="str">
            <v>101</v>
          </cell>
          <cell r="F245" t="str">
            <v>N000</v>
          </cell>
          <cell r="G245" t="str">
            <v>200</v>
          </cell>
          <cell r="H245" t="str">
            <v>1103</v>
          </cell>
          <cell r="I245" t="str">
            <v>M02077</v>
          </cell>
          <cell r="K245" t="str">
            <v>2</v>
          </cell>
          <cell r="L245">
            <v>1</v>
          </cell>
          <cell r="M245">
            <v>0</v>
          </cell>
          <cell r="N245">
            <v>5600</v>
          </cell>
          <cell r="O245" t="str">
            <v>M</v>
          </cell>
          <cell r="P245" t="str">
            <v>00000000</v>
          </cell>
          <cell r="Q245">
            <v>0</v>
          </cell>
          <cell r="R245">
            <v>808.89</v>
          </cell>
          <cell r="S245">
            <v>155.56</v>
          </cell>
          <cell r="T245">
            <v>785.4</v>
          </cell>
          <cell r="U245">
            <v>308</v>
          </cell>
          <cell r="V245">
            <v>100.8</v>
          </cell>
          <cell r="W245">
            <v>123.2</v>
          </cell>
          <cell r="X245">
            <v>0</v>
          </cell>
          <cell r="Y245">
            <v>0</v>
          </cell>
          <cell r="Z245">
            <v>215.44</v>
          </cell>
          <cell r="AA245">
            <v>77</v>
          </cell>
          <cell r="AB245">
            <v>96</v>
          </cell>
          <cell r="AC245">
            <v>80</v>
          </cell>
          <cell r="AD245">
            <v>13.49</v>
          </cell>
          <cell r="AE245">
            <v>4.67</v>
          </cell>
          <cell r="AF245">
            <v>0</v>
          </cell>
          <cell r="AG245">
            <v>560</v>
          </cell>
          <cell r="AH245">
            <v>0</v>
          </cell>
          <cell r="AI245">
            <v>0</v>
          </cell>
          <cell r="AJ245">
            <v>3390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Y245">
            <v>147821.4</v>
          </cell>
        </row>
        <row r="246">
          <cell r="A246">
            <v>2</v>
          </cell>
          <cell r="B246" t="str">
            <v>12</v>
          </cell>
          <cell r="C246" t="str">
            <v>000</v>
          </cell>
          <cell r="D246" t="str">
            <v>1</v>
          </cell>
          <cell r="E246" t="str">
            <v>420</v>
          </cell>
          <cell r="F246" t="str">
            <v>N000</v>
          </cell>
          <cell r="G246" t="str">
            <v>200</v>
          </cell>
          <cell r="H246" t="str">
            <v>1103</v>
          </cell>
          <cell r="I246" t="str">
            <v>M02077</v>
          </cell>
          <cell r="K246" t="str">
            <v>2</v>
          </cell>
          <cell r="L246">
            <v>2</v>
          </cell>
          <cell r="M246">
            <v>0</v>
          </cell>
          <cell r="N246">
            <v>5600</v>
          </cell>
          <cell r="O246" t="str">
            <v>M</v>
          </cell>
          <cell r="P246" t="str">
            <v>00000000</v>
          </cell>
          <cell r="Q246">
            <v>0</v>
          </cell>
          <cell r="R246">
            <v>808.89</v>
          </cell>
          <cell r="S246">
            <v>155.56</v>
          </cell>
          <cell r="T246">
            <v>785.4</v>
          </cell>
          <cell r="U246">
            <v>308</v>
          </cell>
          <cell r="V246">
            <v>100.8</v>
          </cell>
          <cell r="W246">
            <v>123.2</v>
          </cell>
          <cell r="X246">
            <v>68.5</v>
          </cell>
          <cell r="Y246">
            <v>0</v>
          </cell>
          <cell r="Z246">
            <v>216.81</v>
          </cell>
          <cell r="AA246">
            <v>77</v>
          </cell>
          <cell r="AB246">
            <v>96</v>
          </cell>
          <cell r="AC246">
            <v>80</v>
          </cell>
          <cell r="AD246">
            <v>13.49</v>
          </cell>
          <cell r="AE246">
            <v>4.67</v>
          </cell>
          <cell r="AF246">
            <v>0</v>
          </cell>
          <cell r="AG246">
            <v>560</v>
          </cell>
          <cell r="AH246">
            <v>0</v>
          </cell>
          <cell r="AI246">
            <v>0</v>
          </cell>
          <cell r="AJ246">
            <v>3390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Y246">
            <v>297319.67999999999</v>
          </cell>
        </row>
        <row r="247">
          <cell r="A247">
            <v>2</v>
          </cell>
          <cell r="B247" t="str">
            <v>12</v>
          </cell>
          <cell r="C247" t="str">
            <v>000</v>
          </cell>
          <cell r="D247" t="str">
            <v>1</v>
          </cell>
          <cell r="E247" t="str">
            <v>420</v>
          </cell>
          <cell r="F247" t="str">
            <v>N000</v>
          </cell>
          <cell r="G247" t="str">
            <v>200</v>
          </cell>
          <cell r="H247" t="str">
            <v>1103</v>
          </cell>
          <cell r="I247" t="str">
            <v>M02081</v>
          </cell>
          <cell r="K247" t="str">
            <v>2</v>
          </cell>
          <cell r="L247">
            <v>185</v>
          </cell>
          <cell r="M247">
            <v>0</v>
          </cell>
          <cell r="N247">
            <v>3718</v>
          </cell>
          <cell r="O247" t="str">
            <v>M</v>
          </cell>
          <cell r="P247" t="str">
            <v>00000000</v>
          </cell>
          <cell r="Q247">
            <v>0</v>
          </cell>
          <cell r="R247">
            <v>537.04</v>
          </cell>
          <cell r="S247">
            <v>103.28</v>
          </cell>
          <cell r="T247">
            <v>521.45000000000005</v>
          </cell>
          <cell r="U247">
            <v>204.49</v>
          </cell>
          <cell r="V247">
            <v>66.92</v>
          </cell>
          <cell r="W247">
            <v>81.8</v>
          </cell>
          <cell r="X247">
            <v>71.7</v>
          </cell>
          <cell r="Y247">
            <v>0</v>
          </cell>
          <cell r="Z247">
            <v>155.4</v>
          </cell>
          <cell r="AA247">
            <v>77</v>
          </cell>
          <cell r="AB247">
            <v>96</v>
          </cell>
          <cell r="AC247">
            <v>80</v>
          </cell>
          <cell r="AD247">
            <v>13.49</v>
          </cell>
          <cell r="AE247">
            <v>3.1</v>
          </cell>
          <cell r="AF247">
            <v>0</v>
          </cell>
          <cell r="AG247">
            <v>371.8</v>
          </cell>
          <cell r="AH247">
            <v>784</v>
          </cell>
          <cell r="AI247">
            <v>0</v>
          </cell>
          <cell r="AJ247">
            <v>1928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Y247">
            <v>19565903.399999999</v>
          </cell>
        </row>
        <row r="248">
          <cell r="A248">
            <v>2</v>
          </cell>
          <cell r="B248" t="str">
            <v>12</v>
          </cell>
          <cell r="C248" t="str">
            <v>000</v>
          </cell>
          <cell r="D248" t="str">
            <v>1</v>
          </cell>
          <cell r="E248" t="str">
            <v>420</v>
          </cell>
          <cell r="F248" t="str">
            <v>N000</v>
          </cell>
          <cell r="G248" t="str">
            <v>200</v>
          </cell>
          <cell r="H248" t="str">
            <v>1103</v>
          </cell>
          <cell r="I248" t="str">
            <v>M02082</v>
          </cell>
          <cell r="K248" t="str">
            <v>2</v>
          </cell>
          <cell r="L248">
            <v>115</v>
          </cell>
          <cell r="M248">
            <v>0</v>
          </cell>
          <cell r="N248">
            <v>3120</v>
          </cell>
          <cell r="O248" t="str">
            <v>M</v>
          </cell>
          <cell r="P248" t="str">
            <v>00000000</v>
          </cell>
          <cell r="Q248">
            <v>0</v>
          </cell>
          <cell r="R248">
            <v>450.67</v>
          </cell>
          <cell r="S248">
            <v>86.67</v>
          </cell>
          <cell r="T248">
            <v>442.08</v>
          </cell>
          <cell r="U248">
            <v>173.36</v>
          </cell>
          <cell r="V248">
            <v>56.16</v>
          </cell>
          <cell r="W248">
            <v>69.349999999999994</v>
          </cell>
          <cell r="X248">
            <v>43.38</v>
          </cell>
          <cell r="Y248">
            <v>0</v>
          </cell>
          <cell r="Z248">
            <v>132.63</v>
          </cell>
          <cell r="AA248">
            <v>77</v>
          </cell>
          <cell r="AB248">
            <v>96</v>
          </cell>
          <cell r="AC248">
            <v>80</v>
          </cell>
          <cell r="AD248">
            <v>13.49</v>
          </cell>
          <cell r="AE248">
            <v>2.6</v>
          </cell>
          <cell r="AF248">
            <v>0</v>
          </cell>
          <cell r="AG248">
            <v>347.27</v>
          </cell>
          <cell r="AH248">
            <v>670</v>
          </cell>
          <cell r="AI248">
            <v>0</v>
          </cell>
          <cell r="AJ248">
            <v>1658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Y248">
            <v>10375750.800000001</v>
          </cell>
        </row>
        <row r="249">
          <cell r="A249">
            <v>2</v>
          </cell>
          <cell r="B249" t="str">
            <v>12</v>
          </cell>
          <cell r="C249" t="str">
            <v>000</v>
          </cell>
          <cell r="D249" t="str">
            <v>1</v>
          </cell>
          <cell r="E249" t="str">
            <v>101</v>
          </cell>
          <cell r="F249" t="str">
            <v>N000</v>
          </cell>
          <cell r="G249" t="str">
            <v>200</v>
          </cell>
          <cell r="H249" t="str">
            <v>1103</v>
          </cell>
          <cell r="I249" t="str">
            <v>M02083</v>
          </cell>
          <cell r="K249" t="str">
            <v>2</v>
          </cell>
          <cell r="L249">
            <v>13</v>
          </cell>
          <cell r="M249">
            <v>0</v>
          </cell>
          <cell r="N249">
            <v>3388</v>
          </cell>
          <cell r="O249" t="str">
            <v>M</v>
          </cell>
          <cell r="P249" t="str">
            <v>00000000</v>
          </cell>
          <cell r="Q249">
            <v>0</v>
          </cell>
          <cell r="R249">
            <v>489.38</v>
          </cell>
          <cell r="S249">
            <v>94.11</v>
          </cell>
          <cell r="T249">
            <v>431.97</v>
          </cell>
          <cell r="U249">
            <v>169.4</v>
          </cell>
          <cell r="V249">
            <v>60.98</v>
          </cell>
          <cell r="W249">
            <v>67.760000000000005</v>
          </cell>
          <cell r="X249">
            <v>0</v>
          </cell>
          <cell r="Y249">
            <v>0</v>
          </cell>
          <cell r="Z249">
            <v>136.43</v>
          </cell>
          <cell r="AA249">
            <v>77</v>
          </cell>
          <cell r="AB249">
            <v>96</v>
          </cell>
          <cell r="AC249">
            <v>80</v>
          </cell>
          <cell r="AD249">
            <v>13.49</v>
          </cell>
          <cell r="AE249">
            <v>2.82</v>
          </cell>
          <cell r="AF249">
            <v>0</v>
          </cell>
          <cell r="AG249">
            <v>0</v>
          </cell>
          <cell r="AH249">
            <v>734</v>
          </cell>
          <cell r="AI249">
            <v>0</v>
          </cell>
          <cell r="AJ249">
            <v>1860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Y249">
            <v>1201409.04</v>
          </cell>
        </row>
        <row r="250">
          <cell r="A250">
            <v>2</v>
          </cell>
          <cell r="B250" t="str">
            <v>12</v>
          </cell>
          <cell r="C250" t="str">
            <v>000</v>
          </cell>
          <cell r="D250" t="str">
            <v>1</v>
          </cell>
          <cell r="E250" t="str">
            <v>420</v>
          </cell>
          <cell r="F250" t="str">
            <v>N000</v>
          </cell>
          <cell r="G250" t="str">
            <v>200</v>
          </cell>
          <cell r="H250" t="str">
            <v>1103</v>
          </cell>
          <cell r="I250" t="str">
            <v>M02083</v>
          </cell>
          <cell r="K250" t="str">
            <v>2</v>
          </cell>
          <cell r="L250">
            <v>6</v>
          </cell>
          <cell r="M250">
            <v>0</v>
          </cell>
          <cell r="N250">
            <v>3388</v>
          </cell>
          <cell r="O250" t="str">
            <v>M</v>
          </cell>
          <cell r="P250" t="str">
            <v>00000000</v>
          </cell>
          <cell r="Q250">
            <v>0</v>
          </cell>
          <cell r="R250">
            <v>489.38</v>
          </cell>
          <cell r="S250">
            <v>94.11</v>
          </cell>
          <cell r="T250">
            <v>431.97</v>
          </cell>
          <cell r="U250">
            <v>169.4</v>
          </cell>
          <cell r="V250">
            <v>60.98</v>
          </cell>
          <cell r="W250">
            <v>67.760000000000005</v>
          </cell>
          <cell r="X250">
            <v>109</v>
          </cell>
          <cell r="Y250">
            <v>0</v>
          </cell>
          <cell r="Z250">
            <v>138.61000000000001</v>
          </cell>
          <cell r="AA250">
            <v>77</v>
          </cell>
          <cell r="AB250">
            <v>96</v>
          </cell>
          <cell r="AC250">
            <v>80</v>
          </cell>
          <cell r="AD250">
            <v>13.49</v>
          </cell>
          <cell r="AE250">
            <v>2.82</v>
          </cell>
          <cell r="AF250">
            <v>0</v>
          </cell>
          <cell r="AG250">
            <v>0</v>
          </cell>
          <cell r="AH250">
            <v>734</v>
          </cell>
          <cell r="AI250">
            <v>0</v>
          </cell>
          <cell r="AJ250">
            <v>1860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Y250">
            <v>562501.43999999994</v>
          </cell>
        </row>
        <row r="251">
          <cell r="A251">
            <v>2</v>
          </cell>
          <cell r="B251" t="str">
            <v>12</v>
          </cell>
          <cell r="C251" t="str">
            <v>000</v>
          </cell>
          <cell r="D251" t="str">
            <v>1</v>
          </cell>
          <cell r="E251" t="str">
            <v>420</v>
          </cell>
          <cell r="F251" t="str">
            <v>N000</v>
          </cell>
          <cell r="G251" t="str">
            <v>200</v>
          </cell>
          <cell r="H251" t="str">
            <v>1103</v>
          </cell>
          <cell r="I251" t="str">
            <v>M02084</v>
          </cell>
          <cell r="K251" t="str">
            <v>2</v>
          </cell>
          <cell r="L251">
            <v>1</v>
          </cell>
          <cell r="M251">
            <v>0</v>
          </cell>
          <cell r="N251">
            <v>4188</v>
          </cell>
          <cell r="O251" t="str">
            <v>M</v>
          </cell>
          <cell r="P251" t="str">
            <v>00000000</v>
          </cell>
          <cell r="Q251">
            <v>0</v>
          </cell>
          <cell r="R251">
            <v>604.92999999999995</v>
          </cell>
          <cell r="S251">
            <v>116.33</v>
          </cell>
          <cell r="T251">
            <v>533.97</v>
          </cell>
          <cell r="U251">
            <v>209.4</v>
          </cell>
          <cell r="V251">
            <v>75.38</v>
          </cell>
          <cell r="W251">
            <v>83.76</v>
          </cell>
          <cell r="X251">
            <v>136</v>
          </cell>
          <cell r="Y251">
            <v>0</v>
          </cell>
          <cell r="Z251">
            <v>150.88</v>
          </cell>
          <cell r="AA251">
            <v>77</v>
          </cell>
          <cell r="AB251">
            <v>96</v>
          </cell>
          <cell r="AC251">
            <v>80</v>
          </cell>
          <cell r="AD251">
            <v>13.49</v>
          </cell>
          <cell r="AE251">
            <v>3.49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2242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Y251">
            <v>103327.56</v>
          </cell>
        </row>
        <row r="252">
          <cell r="A252">
            <v>2</v>
          </cell>
          <cell r="B252" t="str">
            <v>12</v>
          </cell>
          <cell r="C252" t="str">
            <v>000</v>
          </cell>
          <cell r="D252" t="str">
            <v>1</v>
          </cell>
          <cell r="E252" t="str">
            <v>420</v>
          </cell>
          <cell r="F252" t="str">
            <v>N000</v>
          </cell>
          <cell r="G252" t="str">
            <v>200</v>
          </cell>
          <cell r="H252" t="str">
            <v>1103</v>
          </cell>
          <cell r="I252" t="str">
            <v>M02085</v>
          </cell>
          <cell r="K252" t="str">
            <v>2</v>
          </cell>
          <cell r="L252">
            <v>31</v>
          </cell>
          <cell r="M252">
            <v>0</v>
          </cell>
          <cell r="N252">
            <v>3516</v>
          </cell>
          <cell r="O252" t="str">
            <v>M</v>
          </cell>
          <cell r="P252" t="str">
            <v>00000000</v>
          </cell>
          <cell r="Q252">
            <v>0</v>
          </cell>
          <cell r="R252">
            <v>507.87</v>
          </cell>
          <cell r="S252">
            <v>97.67</v>
          </cell>
          <cell r="T252">
            <v>537.95000000000005</v>
          </cell>
          <cell r="U252">
            <v>210.96</v>
          </cell>
          <cell r="V252">
            <v>63.29</v>
          </cell>
          <cell r="W252">
            <v>84.38</v>
          </cell>
          <cell r="X252">
            <v>78.61</v>
          </cell>
          <cell r="Y252">
            <v>0</v>
          </cell>
          <cell r="Z252">
            <v>141.83000000000001</v>
          </cell>
          <cell r="AA252">
            <v>77</v>
          </cell>
          <cell r="AB252">
            <v>96</v>
          </cell>
          <cell r="AC252">
            <v>80</v>
          </cell>
          <cell r="AD252">
            <v>13.49</v>
          </cell>
          <cell r="AE252">
            <v>2.93</v>
          </cell>
          <cell r="AF252">
            <v>0</v>
          </cell>
          <cell r="AG252">
            <v>703.2</v>
          </cell>
          <cell r="AH252">
            <v>0</v>
          </cell>
          <cell r="AI252">
            <v>0</v>
          </cell>
          <cell r="AJ252">
            <v>1932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Y252">
            <v>3029262.96</v>
          </cell>
        </row>
        <row r="253">
          <cell r="A253">
            <v>2</v>
          </cell>
          <cell r="B253" t="str">
            <v>12</v>
          </cell>
          <cell r="C253" t="str">
            <v>000</v>
          </cell>
          <cell r="D253" t="str">
            <v>1</v>
          </cell>
          <cell r="E253" t="str">
            <v>420</v>
          </cell>
          <cell r="F253" t="str">
            <v>N000</v>
          </cell>
          <cell r="G253" t="str">
            <v>200</v>
          </cell>
          <cell r="H253" t="str">
            <v>1103</v>
          </cell>
          <cell r="I253" t="str">
            <v>M02086</v>
          </cell>
          <cell r="K253" t="str">
            <v>2</v>
          </cell>
          <cell r="L253">
            <v>3</v>
          </cell>
          <cell r="M253">
            <v>0</v>
          </cell>
          <cell r="N253">
            <v>3221</v>
          </cell>
          <cell r="O253" t="str">
            <v>M</v>
          </cell>
          <cell r="P253" t="str">
            <v>00000000</v>
          </cell>
          <cell r="Q253">
            <v>0</v>
          </cell>
          <cell r="R253">
            <v>465.26</v>
          </cell>
          <cell r="S253">
            <v>89.47</v>
          </cell>
          <cell r="T253">
            <v>410.68</v>
          </cell>
          <cell r="U253">
            <v>161.05000000000001</v>
          </cell>
          <cell r="V253">
            <v>57.98</v>
          </cell>
          <cell r="W253">
            <v>64.42</v>
          </cell>
          <cell r="X253">
            <v>36.33</v>
          </cell>
          <cell r="Y253">
            <v>0</v>
          </cell>
          <cell r="Z253">
            <v>113.35</v>
          </cell>
          <cell r="AA253">
            <v>77</v>
          </cell>
          <cell r="AB253">
            <v>96</v>
          </cell>
          <cell r="AC253">
            <v>80</v>
          </cell>
          <cell r="AD253">
            <v>13.49</v>
          </cell>
          <cell r="AE253">
            <v>2.68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1600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Y253">
            <v>233593.56</v>
          </cell>
        </row>
        <row r="254">
          <cell r="A254">
            <v>2</v>
          </cell>
          <cell r="B254" t="str">
            <v>12</v>
          </cell>
          <cell r="C254" t="str">
            <v>000</v>
          </cell>
          <cell r="D254" t="str">
            <v>1</v>
          </cell>
          <cell r="E254" t="str">
            <v>420</v>
          </cell>
          <cell r="F254" t="str">
            <v>N000</v>
          </cell>
          <cell r="G254" t="str">
            <v>200</v>
          </cell>
          <cell r="H254" t="str">
            <v>1103</v>
          </cell>
          <cell r="I254" t="str">
            <v>M02087</v>
          </cell>
          <cell r="K254" t="str">
            <v>2</v>
          </cell>
          <cell r="L254">
            <v>10</v>
          </cell>
          <cell r="M254">
            <v>0</v>
          </cell>
          <cell r="N254">
            <v>4285</v>
          </cell>
          <cell r="O254" t="str">
            <v>M</v>
          </cell>
          <cell r="P254" t="str">
            <v>00000000</v>
          </cell>
          <cell r="Q254">
            <v>0</v>
          </cell>
          <cell r="R254">
            <v>618.94000000000005</v>
          </cell>
          <cell r="S254">
            <v>119.03</v>
          </cell>
          <cell r="T254">
            <v>622.82000000000005</v>
          </cell>
          <cell r="U254">
            <v>244.25</v>
          </cell>
          <cell r="V254">
            <v>77.13</v>
          </cell>
          <cell r="W254">
            <v>97.7</v>
          </cell>
          <cell r="X254">
            <v>119.8</v>
          </cell>
          <cell r="Y254">
            <v>0</v>
          </cell>
          <cell r="Z254">
            <v>180.64</v>
          </cell>
          <cell r="AA254">
            <v>77</v>
          </cell>
          <cell r="AB254">
            <v>96</v>
          </cell>
          <cell r="AC254">
            <v>80</v>
          </cell>
          <cell r="AD254">
            <v>13.49</v>
          </cell>
          <cell r="AE254">
            <v>3.57</v>
          </cell>
          <cell r="AF254">
            <v>0</v>
          </cell>
          <cell r="AG254">
            <v>599.9</v>
          </cell>
          <cell r="AH254">
            <v>837</v>
          </cell>
          <cell r="AI254">
            <v>0</v>
          </cell>
          <cell r="AJ254">
            <v>2196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Y254">
            <v>1232192.3999999999</v>
          </cell>
        </row>
        <row r="255">
          <cell r="A255">
            <v>2</v>
          </cell>
          <cell r="B255" t="str">
            <v>12</v>
          </cell>
          <cell r="C255" t="str">
            <v>000</v>
          </cell>
          <cell r="D255" t="str">
            <v>1</v>
          </cell>
          <cell r="E255" t="str">
            <v>420</v>
          </cell>
          <cell r="F255" t="str">
            <v>N000</v>
          </cell>
          <cell r="G255" t="str">
            <v>200</v>
          </cell>
          <cell r="H255" t="str">
            <v>1103</v>
          </cell>
          <cell r="I255" t="str">
            <v>M02088</v>
          </cell>
          <cell r="K255" t="str">
            <v>2</v>
          </cell>
          <cell r="L255">
            <v>8</v>
          </cell>
          <cell r="M255">
            <v>0</v>
          </cell>
          <cell r="N255">
            <v>5250</v>
          </cell>
          <cell r="O255" t="str">
            <v>M</v>
          </cell>
          <cell r="P255" t="str">
            <v>00000000</v>
          </cell>
          <cell r="Q255">
            <v>0</v>
          </cell>
          <cell r="R255">
            <v>758.33</v>
          </cell>
          <cell r="S255">
            <v>145.83000000000001</v>
          </cell>
          <cell r="T255">
            <v>711.21</v>
          </cell>
          <cell r="U255">
            <v>278.91000000000003</v>
          </cell>
          <cell r="V255">
            <v>94.5</v>
          </cell>
          <cell r="W255">
            <v>111.56</v>
          </cell>
          <cell r="X255">
            <v>91</v>
          </cell>
          <cell r="Y255">
            <v>0</v>
          </cell>
          <cell r="Z255">
            <v>191.21</v>
          </cell>
          <cell r="AA255">
            <v>77</v>
          </cell>
          <cell r="AB255">
            <v>96</v>
          </cell>
          <cell r="AC255">
            <v>80</v>
          </cell>
          <cell r="AD255">
            <v>13.49</v>
          </cell>
          <cell r="AE255">
            <v>4.38</v>
          </cell>
          <cell r="AF255">
            <v>0</v>
          </cell>
          <cell r="AG255">
            <v>328.13</v>
          </cell>
          <cell r="AH255">
            <v>0</v>
          </cell>
          <cell r="AI255">
            <v>0</v>
          </cell>
          <cell r="AJ255">
            <v>2730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Y255">
            <v>1052308.8</v>
          </cell>
        </row>
        <row r="256">
          <cell r="A256">
            <v>2</v>
          </cell>
          <cell r="B256" t="str">
            <v>12</v>
          </cell>
          <cell r="C256" t="str">
            <v>000</v>
          </cell>
          <cell r="D256" t="str">
            <v>1</v>
          </cell>
          <cell r="E256" t="str">
            <v>420</v>
          </cell>
          <cell r="F256" t="str">
            <v>N000</v>
          </cell>
          <cell r="G256" t="str">
            <v>200</v>
          </cell>
          <cell r="H256" t="str">
            <v>1103</v>
          </cell>
          <cell r="I256" t="str">
            <v>M02089</v>
          </cell>
          <cell r="K256" t="str">
            <v>2</v>
          </cell>
          <cell r="L256">
            <v>1</v>
          </cell>
          <cell r="M256">
            <v>0</v>
          </cell>
          <cell r="N256">
            <v>5500</v>
          </cell>
          <cell r="O256" t="str">
            <v>M</v>
          </cell>
          <cell r="P256" t="str">
            <v>00000000</v>
          </cell>
          <cell r="Q256">
            <v>0</v>
          </cell>
          <cell r="R256">
            <v>794.44</v>
          </cell>
          <cell r="S256">
            <v>152.78</v>
          </cell>
          <cell r="T256">
            <v>771.38</v>
          </cell>
          <cell r="U256">
            <v>302.5</v>
          </cell>
          <cell r="V256">
            <v>99</v>
          </cell>
          <cell r="W256">
            <v>121</v>
          </cell>
          <cell r="X256">
            <v>136</v>
          </cell>
          <cell r="Y256">
            <v>0</v>
          </cell>
          <cell r="Z256">
            <v>205.42</v>
          </cell>
          <cell r="AA256">
            <v>77</v>
          </cell>
          <cell r="AB256">
            <v>96</v>
          </cell>
          <cell r="AC256">
            <v>80</v>
          </cell>
          <cell r="AD256">
            <v>13.49</v>
          </cell>
          <cell r="AE256">
            <v>4.58</v>
          </cell>
          <cell r="AF256">
            <v>0</v>
          </cell>
          <cell r="AG256">
            <v>550</v>
          </cell>
          <cell r="AH256">
            <v>0</v>
          </cell>
          <cell r="AI256">
            <v>0</v>
          </cell>
          <cell r="AJ256">
            <v>2880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Y256">
            <v>141403.07999999999</v>
          </cell>
        </row>
        <row r="257">
          <cell r="A257">
            <v>2</v>
          </cell>
          <cell r="B257" t="str">
            <v>12</v>
          </cell>
          <cell r="C257" t="str">
            <v>000</v>
          </cell>
          <cell r="D257" t="str">
            <v>1</v>
          </cell>
          <cell r="E257" t="str">
            <v>420</v>
          </cell>
          <cell r="F257" t="str">
            <v>N000</v>
          </cell>
          <cell r="G257" t="str">
            <v>200</v>
          </cell>
          <cell r="H257" t="str">
            <v>1103</v>
          </cell>
          <cell r="I257" t="str">
            <v>M02095</v>
          </cell>
          <cell r="K257" t="str">
            <v>2</v>
          </cell>
          <cell r="L257">
            <v>5</v>
          </cell>
          <cell r="M257">
            <v>0</v>
          </cell>
          <cell r="N257">
            <v>3011</v>
          </cell>
          <cell r="O257" t="str">
            <v>M</v>
          </cell>
          <cell r="P257" t="str">
            <v>00000000</v>
          </cell>
          <cell r="Q257">
            <v>0</v>
          </cell>
          <cell r="R257">
            <v>434.92</v>
          </cell>
          <cell r="S257">
            <v>83.64</v>
          </cell>
          <cell r="T257">
            <v>422.29</v>
          </cell>
          <cell r="U257">
            <v>165.61</v>
          </cell>
          <cell r="V257">
            <v>54.2</v>
          </cell>
          <cell r="W257">
            <v>66.239999999999995</v>
          </cell>
          <cell r="X257">
            <v>60.2</v>
          </cell>
          <cell r="Y257">
            <v>0</v>
          </cell>
          <cell r="Z257">
            <v>113.91</v>
          </cell>
          <cell r="AA257">
            <v>77</v>
          </cell>
          <cell r="AB257">
            <v>96</v>
          </cell>
          <cell r="AC257">
            <v>80</v>
          </cell>
          <cell r="AD257">
            <v>13.49</v>
          </cell>
          <cell r="AE257">
            <v>2.5099999999999998</v>
          </cell>
          <cell r="AF257">
            <v>0</v>
          </cell>
          <cell r="AG257">
            <v>301.10000000000002</v>
          </cell>
          <cell r="AH257">
            <v>0</v>
          </cell>
          <cell r="AI257">
            <v>0</v>
          </cell>
          <cell r="AJ257">
            <v>1549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Y257">
            <v>391866.6</v>
          </cell>
        </row>
        <row r="258">
          <cell r="A258">
            <v>2</v>
          </cell>
          <cell r="B258" t="str">
            <v>12</v>
          </cell>
          <cell r="C258" t="str">
            <v>000</v>
          </cell>
          <cell r="D258" t="str">
            <v>1</v>
          </cell>
          <cell r="E258" t="str">
            <v>420</v>
          </cell>
          <cell r="F258" t="str">
            <v>N000</v>
          </cell>
          <cell r="G258" t="str">
            <v>200</v>
          </cell>
          <cell r="H258" t="str">
            <v>1103</v>
          </cell>
          <cell r="I258" t="str">
            <v>M02097</v>
          </cell>
          <cell r="K258" t="str">
            <v>2</v>
          </cell>
          <cell r="L258">
            <v>12</v>
          </cell>
          <cell r="M258">
            <v>0</v>
          </cell>
          <cell r="N258">
            <v>3413</v>
          </cell>
          <cell r="O258" t="str">
            <v>M</v>
          </cell>
          <cell r="P258" t="str">
            <v>00000000</v>
          </cell>
          <cell r="Q258">
            <v>0</v>
          </cell>
          <cell r="R258">
            <v>492.99</v>
          </cell>
          <cell r="S258">
            <v>94.81</v>
          </cell>
          <cell r="T258">
            <v>478.67</v>
          </cell>
          <cell r="U258">
            <v>187.72</v>
          </cell>
          <cell r="V258">
            <v>61.43</v>
          </cell>
          <cell r="W258">
            <v>75.09</v>
          </cell>
          <cell r="X258">
            <v>88</v>
          </cell>
          <cell r="Y258">
            <v>0</v>
          </cell>
          <cell r="Z258">
            <v>126.7</v>
          </cell>
          <cell r="AA258">
            <v>77</v>
          </cell>
          <cell r="AB258">
            <v>96</v>
          </cell>
          <cell r="AC258">
            <v>80</v>
          </cell>
          <cell r="AD258">
            <v>13.49</v>
          </cell>
          <cell r="AE258">
            <v>2.84</v>
          </cell>
          <cell r="AF258">
            <v>0</v>
          </cell>
          <cell r="AG258">
            <v>341.3</v>
          </cell>
          <cell r="AH258">
            <v>0</v>
          </cell>
          <cell r="AI258">
            <v>0</v>
          </cell>
          <cell r="AJ258">
            <v>1649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Y258">
            <v>1048037.76</v>
          </cell>
        </row>
        <row r="259">
          <cell r="A259">
            <v>2</v>
          </cell>
          <cell r="B259" t="str">
            <v>12</v>
          </cell>
          <cell r="C259" t="str">
            <v>000</v>
          </cell>
          <cell r="D259" t="str">
            <v>1</v>
          </cell>
          <cell r="E259" t="str">
            <v>101</v>
          </cell>
          <cell r="F259" t="str">
            <v>N000</v>
          </cell>
          <cell r="G259" t="str">
            <v>200</v>
          </cell>
          <cell r="H259" t="str">
            <v>1103</v>
          </cell>
          <cell r="I259" t="str">
            <v>M03002</v>
          </cell>
          <cell r="K259" t="str">
            <v>2</v>
          </cell>
          <cell r="L259">
            <v>2</v>
          </cell>
          <cell r="M259">
            <v>0</v>
          </cell>
          <cell r="N259">
            <v>5000</v>
          </cell>
          <cell r="O259" t="str">
            <v>M</v>
          </cell>
          <cell r="P259" t="str">
            <v>00000000</v>
          </cell>
          <cell r="Q259">
            <v>0</v>
          </cell>
          <cell r="R259">
            <v>722.22</v>
          </cell>
          <cell r="S259">
            <v>138.88999999999999</v>
          </cell>
          <cell r="T259">
            <v>637.5</v>
          </cell>
          <cell r="U259">
            <v>250</v>
          </cell>
          <cell r="V259">
            <v>90</v>
          </cell>
          <cell r="W259">
            <v>100</v>
          </cell>
          <cell r="X259">
            <v>0</v>
          </cell>
          <cell r="Y259">
            <v>0</v>
          </cell>
          <cell r="Z259">
            <v>174.37</v>
          </cell>
          <cell r="AA259">
            <v>77</v>
          </cell>
          <cell r="AB259">
            <v>96</v>
          </cell>
          <cell r="AC259">
            <v>80</v>
          </cell>
          <cell r="AD259">
            <v>13.49</v>
          </cell>
          <cell r="AE259">
            <v>4.17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2600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Y259">
            <v>239607.36</v>
          </cell>
        </row>
        <row r="260">
          <cell r="A260">
            <v>2</v>
          </cell>
          <cell r="B260" t="str">
            <v>12</v>
          </cell>
          <cell r="C260" t="str">
            <v>000</v>
          </cell>
          <cell r="D260" t="str">
            <v>1</v>
          </cell>
          <cell r="E260" t="str">
            <v>101</v>
          </cell>
          <cell r="F260" t="str">
            <v>N000</v>
          </cell>
          <cell r="G260" t="str">
            <v>200</v>
          </cell>
          <cell r="H260" t="str">
            <v>1103</v>
          </cell>
          <cell r="I260" t="str">
            <v>M03003</v>
          </cell>
          <cell r="K260" t="str">
            <v>2</v>
          </cell>
          <cell r="L260">
            <v>4</v>
          </cell>
          <cell r="M260">
            <v>0</v>
          </cell>
          <cell r="N260">
            <v>2868</v>
          </cell>
          <cell r="O260" t="str">
            <v>M</v>
          </cell>
          <cell r="P260" t="str">
            <v>00000000</v>
          </cell>
          <cell r="Q260">
            <v>0</v>
          </cell>
          <cell r="R260">
            <v>414.27</v>
          </cell>
          <cell r="S260">
            <v>79.67</v>
          </cell>
          <cell r="T260">
            <v>365.67</v>
          </cell>
          <cell r="U260">
            <v>143.4</v>
          </cell>
          <cell r="V260">
            <v>51.62</v>
          </cell>
          <cell r="W260">
            <v>57.36</v>
          </cell>
          <cell r="X260">
            <v>0</v>
          </cell>
          <cell r="Y260">
            <v>0</v>
          </cell>
          <cell r="Z260">
            <v>99.17</v>
          </cell>
          <cell r="AA260">
            <v>77</v>
          </cell>
          <cell r="AB260">
            <v>96</v>
          </cell>
          <cell r="AC260">
            <v>80</v>
          </cell>
          <cell r="AD260">
            <v>13.49</v>
          </cell>
          <cell r="AE260">
            <v>2.39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1341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Y260">
            <v>273073.91999999998</v>
          </cell>
        </row>
        <row r="261">
          <cell r="A261">
            <v>2</v>
          </cell>
          <cell r="B261" t="str">
            <v>12</v>
          </cell>
          <cell r="C261" t="str">
            <v>000</v>
          </cell>
          <cell r="D261" t="str">
            <v>1</v>
          </cell>
          <cell r="E261" t="str">
            <v>101</v>
          </cell>
          <cell r="F261" t="str">
            <v>N000</v>
          </cell>
          <cell r="G261" t="str">
            <v>200</v>
          </cell>
          <cell r="H261" t="str">
            <v>1103</v>
          </cell>
          <cell r="I261" t="str">
            <v>M03005</v>
          </cell>
          <cell r="K261" t="str">
            <v>2</v>
          </cell>
          <cell r="L261">
            <v>8</v>
          </cell>
          <cell r="M261">
            <v>0</v>
          </cell>
          <cell r="N261">
            <v>2580</v>
          </cell>
          <cell r="O261" t="str">
            <v>M</v>
          </cell>
          <cell r="P261" t="str">
            <v>00000000</v>
          </cell>
          <cell r="Q261">
            <v>0</v>
          </cell>
          <cell r="R261">
            <v>372.67</v>
          </cell>
          <cell r="S261">
            <v>71.67</v>
          </cell>
          <cell r="T261">
            <v>328.95</v>
          </cell>
          <cell r="U261">
            <v>129</v>
          </cell>
          <cell r="V261">
            <v>46.44</v>
          </cell>
          <cell r="W261">
            <v>51.6</v>
          </cell>
          <cell r="X261">
            <v>0</v>
          </cell>
          <cell r="Y261">
            <v>0</v>
          </cell>
          <cell r="Z261">
            <v>86.15</v>
          </cell>
          <cell r="AA261">
            <v>77</v>
          </cell>
          <cell r="AB261">
            <v>96</v>
          </cell>
          <cell r="AC261">
            <v>80</v>
          </cell>
          <cell r="AD261">
            <v>13.49</v>
          </cell>
          <cell r="AE261">
            <v>2.15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1028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Y261">
            <v>476459.52000000002</v>
          </cell>
        </row>
        <row r="262">
          <cell r="A262">
            <v>2</v>
          </cell>
          <cell r="B262" t="str">
            <v>12</v>
          </cell>
          <cell r="C262" t="str">
            <v>000</v>
          </cell>
          <cell r="D262" t="str">
            <v>1</v>
          </cell>
          <cell r="E262" t="str">
            <v>420</v>
          </cell>
          <cell r="F262" t="str">
            <v>N000</v>
          </cell>
          <cell r="G262" t="str">
            <v>200</v>
          </cell>
          <cell r="H262" t="str">
            <v>1103</v>
          </cell>
          <cell r="I262" t="str">
            <v>M03005</v>
          </cell>
          <cell r="K262" t="str">
            <v>2</v>
          </cell>
          <cell r="L262">
            <v>128</v>
          </cell>
          <cell r="M262">
            <v>0</v>
          </cell>
          <cell r="N262">
            <v>2580</v>
          </cell>
          <cell r="O262" t="str">
            <v>M</v>
          </cell>
          <cell r="P262" t="str">
            <v>00000000</v>
          </cell>
          <cell r="Q262">
            <v>0</v>
          </cell>
          <cell r="R262">
            <v>372.67</v>
          </cell>
          <cell r="S262">
            <v>71.67</v>
          </cell>
          <cell r="T262">
            <v>367.24</v>
          </cell>
          <cell r="U262">
            <v>144.02000000000001</v>
          </cell>
          <cell r="V262">
            <v>46.44</v>
          </cell>
          <cell r="W262">
            <v>57.61</v>
          </cell>
          <cell r="X262">
            <v>64.23</v>
          </cell>
          <cell r="Y262">
            <v>0</v>
          </cell>
          <cell r="Z262">
            <v>93.44</v>
          </cell>
          <cell r="AA262">
            <v>77</v>
          </cell>
          <cell r="AB262">
            <v>96</v>
          </cell>
          <cell r="AC262">
            <v>80</v>
          </cell>
          <cell r="AD262">
            <v>13.49</v>
          </cell>
          <cell r="AE262">
            <v>2.15</v>
          </cell>
          <cell r="AF262">
            <v>0</v>
          </cell>
          <cell r="AG262">
            <v>300.33</v>
          </cell>
          <cell r="AH262">
            <v>0</v>
          </cell>
          <cell r="AI262">
            <v>0</v>
          </cell>
          <cell r="AJ262">
            <v>1028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Y262">
            <v>8285629.4400000004</v>
          </cell>
        </row>
        <row r="263">
          <cell r="A263">
            <v>2</v>
          </cell>
          <cell r="B263" t="str">
            <v>12</v>
          </cell>
          <cell r="C263" t="str">
            <v>000</v>
          </cell>
          <cell r="D263" t="str">
            <v>1</v>
          </cell>
          <cell r="E263" t="str">
            <v>101</v>
          </cell>
          <cell r="F263" t="str">
            <v>N000</v>
          </cell>
          <cell r="G263" t="str">
            <v>200</v>
          </cell>
          <cell r="H263" t="str">
            <v>1103</v>
          </cell>
          <cell r="I263" t="str">
            <v>M03006</v>
          </cell>
          <cell r="K263" t="str">
            <v>2</v>
          </cell>
          <cell r="L263">
            <v>8</v>
          </cell>
          <cell r="M263">
            <v>0</v>
          </cell>
          <cell r="N263">
            <v>2580</v>
          </cell>
          <cell r="O263" t="str">
            <v>M</v>
          </cell>
          <cell r="P263" t="str">
            <v>00000000</v>
          </cell>
          <cell r="Q263">
            <v>0</v>
          </cell>
          <cell r="R263">
            <v>372.67</v>
          </cell>
          <cell r="S263">
            <v>71.67</v>
          </cell>
          <cell r="T263">
            <v>328.95</v>
          </cell>
          <cell r="U263">
            <v>129</v>
          </cell>
          <cell r="V263">
            <v>46.44</v>
          </cell>
          <cell r="W263">
            <v>51.6</v>
          </cell>
          <cell r="X263">
            <v>0</v>
          </cell>
          <cell r="Y263">
            <v>0</v>
          </cell>
          <cell r="Z263">
            <v>86.15</v>
          </cell>
          <cell r="AA263">
            <v>77</v>
          </cell>
          <cell r="AB263">
            <v>96</v>
          </cell>
          <cell r="AC263">
            <v>80</v>
          </cell>
          <cell r="AD263">
            <v>13.49</v>
          </cell>
          <cell r="AE263">
            <v>2.15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1028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Y263">
            <v>476459.52000000002</v>
          </cell>
        </row>
        <row r="264">
          <cell r="A264">
            <v>2</v>
          </cell>
          <cell r="B264" t="str">
            <v>12</v>
          </cell>
          <cell r="C264" t="str">
            <v>000</v>
          </cell>
          <cell r="D264" t="str">
            <v>1</v>
          </cell>
          <cell r="E264" t="str">
            <v>420</v>
          </cell>
          <cell r="F264" t="str">
            <v>N000</v>
          </cell>
          <cell r="G264" t="str">
            <v>200</v>
          </cell>
          <cell r="H264" t="str">
            <v>1103</v>
          </cell>
          <cell r="I264" t="str">
            <v>M03006</v>
          </cell>
          <cell r="K264" t="str">
            <v>2</v>
          </cell>
          <cell r="L264">
            <v>129</v>
          </cell>
          <cell r="M264">
            <v>0</v>
          </cell>
          <cell r="N264">
            <v>2580</v>
          </cell>
          <cell r="O264" t="str">
            <v>M</v>
          </cell>
          <cell r="P264" t="str">
            <v>00000000</v>
          </cell>
          <cell r="Q264">
            <v>0</v>
          </cell>
          <cell r="R264">
            <v>372.67</v>
          </cell>
          <cell r="S264">
            <v>71.67</v>
          </cell>
          <cell r="T264">
            <v>329.97</v>
          </cell>
          <cell r="U264">
            <v>129.4</v>
          </cell>
          <cell r="V264">
            <v>46.44</v>
          </cell>
          <cell r="W264">
            <v>51.76</v>
          </cell>
          <cell r="X264">
            <v>75.31</v>
          </cell>
          <cell r="Y264">
            <v>0</v>
          </cell>
          <cell r="Z264">
            <v>87.82</v>
          </cell>
          <cell r="AA264">
            <v>77</v>
          </cell>
          <cell r="AB264">
            <v>96</v>
          </cell>
          <cell r="AC264">
            <v>80</v>
          </cell>
          <cell r="AD264">
            <v>13.49</v>
          </cell>
          <cell r="AE264">
            <v>2.15</v>
          </cell>
          <cell r="AF264">
            <v>0</v>
          </cell>
          <cell r="AG264">
            <v>8</v>
          </cell>
          <cell r="AH264">
            <v>0</v>
          </cell>
          <cell r="AI264">
            <v>0</v>
          </cell>
          <cell r="AJ264">
            <v>1028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Y264">
            <v>7816904.6399999997</v>
          </cell>
        </row>
        <row r="265">
          <cell r="A265">
            <v>2</v>
          </cell>
          <cell r="B265" t="str">
            <v>12</v>
          </cell>
          <cell r="C265" t="str">
            <v>000</v>
          </cell>
          <cell r="D265" t="str">
            <v>1</v>
          </cell>
          <cell r="E265" t="str">
            <v>101</v>
          </cell>
          <cell r="F265" t="str">
            <v>N000</v>
          </cell>
          <cell r="G265" t="str">
            <v>200</v>
          </cell>
          <cell r="H265" t="str">
            <v>1103</v>
          </cell>
          <cell r="I265" t="str">
            <v>M03011</v>
          </cell>
          <cell r="K265" t="str">
            <v>2</v>
          </cell>
          <cell r="L265">
            <v>19</v>
          </cell>
          <cell r="M265">
            <v>0</v>
          </cell>
          <cell r="N265">
            <v>2571</v>
          </cell>
          <cell r="O265" t="str">
            <v>M</v>
          </cell>
          <cell r="P265" t="str">
            <v>00000000</v>
          </cell>
          <cell r="Q265">
            <v>0</v>
          </cell>
          <cell r="R265">
            <v>371.37</v>
          </cell>
          <cell r="S265">
            <v>71.42</v>
          </cell>
          <cell r="T265">
            <v>327.8</v>
          </cell>
          <cell r="U265">
            <v>128.55000000000001</v>
          </cell>
          <cell r="V265">
            <v>46.28</v>
          </cell>
          <cell r="W265">
            <v>51.42</v>
          </cell>
          <cell r="X265">
            <v>0</v>
          </cell>
          <cell r="Y265">
            <v>0</v>
          </cell>
          <cell r="Z265">
            <v>77.38</v>
          </cell>
          <cell r="AA265">
            <v>77</v>
          </cell>
          <cell r="AB265">
            <v>96</v>
          </cell>
          <cell r="AC265">
            <v>80</v>
          </cell>
          <cell r="AD265">
            <v>13.49</v>
          </cell>
          <cell r="AE265">
            <v>2.14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600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Y265">
            <v>1029157.8</v>
          </cell>
        </row>
        <row r="266">
          <cell r="A266">
            <v>2</v>
          </cell>
          <cell r="B266" t="str">
            <v>12</v>
          </cell>
          <cell r="C266" t="str">
            <v>000</v>
          </cell>
          <cell r="D266" t="str">
            <v>1</v>
          </cell>
          <cell r="E266" t="str">
            <v>420</v>
          </cell>
          <cell r="F266" t="str">
            <v>N000</v>
          </cell>
          <cell r="G266" t="str">
            <v>200</v>
          </cell>
          <cell r="H266" t="str">
            <v>1103</v>
          </cell>
          <cell r="I266" t="str">
            <v>M03011</v>
          </cell>
          <cell r="K266" t="str">
            <v>2</v>
          </cell>
          <cell r="L266">
            <v>22</v>
          </cell>
          <cell r="M266">
            <v>0</v>
          </cell>
          <cell r="N266">
            <v>2571</v>
          </cell>
          <cell r="O266" t="str">
            <v>M</v>
          </cell>
          <cell r="P266" t="str">
            <v>00000000</v>
          </cell>
          <cell r="Q266">
            <v>0</v>
          </cell>
          <cell r="R266">
            <v>371.37</v>
          </cell>
          <cell r="S266">
            <v>71.42</v>
          </cell>
          <cell r="T266">
            <v>393.36</v>
          </cell>
          <cell r="U266">
            <v>154.26</v>
          </cell>
          <cell r="V266">
            <v>46.28</v>
          </cell>
          <cell r="W266">
            <v>61.7</v>
          </cell>
          <cell r="X266">
            <v>104.09</v>
          </cell>
          <cell r="Y266">
            <v>0</v>
          </cell>
          <cell r="Z266">
            <v>89.74</v>
          </cell>
          <cell r="AA266">
            <v>77</v>
          </cell>
          <cell r="AB266">
            <v>96</v>
          </cell>
          <cell r="AC266">
            <v>80</v>
          </cell>
          <cell r="AD266">
            <v>13.49</v>
          </cell>
          <cell r="AE266">
            <v>2.14</v>
          </cell>
          <cell r="AF266">
            <v>0</v>
          </cell>
          <cell r="AG266">
            <v>514.20000000000005</v>
          </cell>
          <cell r="AH266">
            <v>0</v>
          </cell>
          <cell r="AI266">
            <v>0</v>
          </cell>
          <cell r="AJ266">
            <v>600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Y266">
            <v>1384957.2</v>
          </cell>
        </row>
        <row r="267">
          <cell r="A267">
            <v>2</v>
          </cell>
          <cell r="B267" t="str">
            <v>12</v>
          </cell>
          <cell r="C267" t="str">
            <v>000</v>
          </cell>
          <cell r="D267" t="str">
            <v>1</v>
          </cell>
          <cell r="E267" t="str">
            <v>420</v>
          </cell>
          <cell r="F267" t="str">
            <v>N000</v>
          </cell>
          <cell r="G267" t="str">
            <v>200</v>
          </cell>
          <cell r="H267" t="str">
            <v>1103</v>
          </cell>
          <cell r="I267" t="str">
            <v>M03012</v>
          </cell>
          <cell r="K267" t="str">
            <v>2</v>
          </cell>
          <cell r="L267">
            <v>7</v>
          </cell>
          <cell r="M267">
            <v>0</v>
          </cell>
          <cell r="N267">
            <v>2571</v>
          </cell>
          <cell r="O267" t="str">
            <v>M</v>
          </cell>
          <cell r="P267" t="str">
            <v>00000000</v>
          </cell>
          <cell r="Q267">
            <v>0</v>
          </cell>
          <cell r="R267">
            <v>371.37</v>
          </cell>
          <cell r="S267">
            <v>71.42</v>
          </cell>
          <cell r="T267">
            <v>374.63</v>
          </cell>
          <cell r="U267">
            <v>146.91</v>
          </cell>
          <cell r="V267">
            <v>46.28</v>
          </cell>
          <cell r="W267">
            <v>58.77</v>
          </cell>
          <cell r="X267">
            <v>72.86</v>
          </cell>
          <cell r="Y267">
            <v>0</v>
          </cell>
          <cell r="Z267">
            <v>86.18</v>
          </cell>
          <cell r="AA267">
            <v>77</v>
          </cell>
          <cell r="AB267">
            <v>96</v>
          </cell>
          <cell r="AC267">
            <v>80</v>
          </cell>
          <cell r="AD267">
            <v>13.49</v>
          </cell>
          <cell r="AE267">
            <v>2.14</v>
          </cell>
          <cell r="AF267">
            <v>0</v>
          </cell>
          <cell r="AG267">
            <v>367.29</v>
          </cell>
          <cell r="AH267">
            <v>0</v>
          </cell>
          <cell r="AI267">
            <v>0</v>
          </cell>
          <cell r="AJ267">
            <v>600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Y267">
            <v>422968.56</v>
          </cell>
        </row>
        <row r="268">
          <cell r="A268">
            <v>2</v>
          </cell>
          <cell r="B268" t="str">
            <v>12</v>
          </cell>
          <cell r="C268" t="str">
            <v>000</v>
          </cell>
          <cell r="D268" t="str">
            <v>1</v>
          </cell>
          <cell r="E268" t="str">
            <v>101</v>
          </cell>
          <cell r="F268" t="str">
            <v>N000</v>
          </cell>
          <cell r="G268" t="str">
            <v>200</v>
          </cell>
          <cell r="H268" t="str">
            <v>1103</v>
          </cell>
          <cell r="I268" t="str">
            <v>M03013</v>
          </cell>
          <cell r="K268" t="str">
            <v>2</v>
          </cell>
          <cell r="L268">
            <v>3</v>
          </cell>
          <cell r="M268">
            <v>0</v>
          </cell>
          <cell r="N268">
            <v>2989</v>
          </cell>
          <cell r="O268" t="str">
            <v>M</v>
          </cell>
          <cell r="P268" t="str">
            <v>00000000</v>
          </cell>
          <cell r="Q268">
            <v>0</v>
          </cell>
          <cell r="R268">
            <v>431.74</v>
          </cell>
          <cell r="S268">
            <v>83.03</v>
          </cell>
          <cell r="T268">
            <v>381.1</v>
          </cell>
          <cell r="U268">
            <v>149.44999999999999</v>
          </cell>
          <cell r="V268">
            <v>53.8</v>
          </cell>
          <cell r="W268">
            <v>59.78</v>
          </cell>
          <cell r="X268">
            <v>0</v>
          </cell>
          <cell r="Y268">
            <v>0</v>
          </cell>
          <cell r="Z268">
            <v>97.77</v>
          </cell>
          <cell r="AA268">
            <v>77</v>
          </cell>
          <cell r="AB268">
            <v>96</v>
          </cell>
          <cell r="AC268">
            <v>80</v>
          </cell>
          <cell r="AD268">
            <v>13.49</v>
          </cell>
          <cell r="AE268">
            <v>2.4900000000000002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1129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Y268">
            <v>203171.4</v>
          </cell>
        </row>
        <row r="269">
          <cell r="A269">
            <v>2</v>
          </cell>
          <cell r="B269" t="str">
            <v>12</v>
          </cell>
          <cell r="C269" t="str">
            <v>000</v>
          </cell>
          <cell r="D269" t="str">
            <v>1</v>
          </cell>
          <cell r="E269" t="str">
            <v>420</v>
          </cell>
          <cell r="F269" t="str">
            <v>N000</v>
          </cell>
          <cell r="G269" t="str">
            <v>200</v>
          </cell>
          <cell r="H269" t="str">
            <v>1103</v>
          </cell>
          <cell r="I269" t="str">
            <v>M03013</v>
          </cell>
          <cell r="K269" t="str">
            <v>2</v>
          </cell>
          <cell r="L269">
            <v>3</v>
          </cell>
          <cell r="M269">
            <v>0</v>
          </cell>
          <cell r="N269">
            <v>2989</v>
          </cell>
          <cell r="O269" t="str">
            <v>M</v>
          </cell>
          <cell r="P269" t="str">
            <v>00000000</v>
          </cell>
          <cell r="Q269">
            <v>0</v>
          </cell>
          <cell r="R269">
            <v>431.74</v>
          </cell>
          <cell r="S269">
            <v>83.03</v>
          </cell>
          <cell r="T269">
            <v>457.32</v>
          </cell>
          <cell r="U269">
            <v>179.34</v>
          </cell>
          <cell r="V269">
            <v>53.8</v>
          </cell>
          <cell r="W269">
            <v>71.739999999999995</v>
          </cell>
          <cell r="X269">
            <v>36.67</v>
          </cell>
          <cell r="Y269">
            <v>0</v>
          </cell>
          <cell r="Z269">
            <v>110.45</v>
          </cell>
          <cell r="AA269">
            <v>77</v>
          </cell>
          <cell r="AB269">
            <v>96</v>
          </cell>
          <cell r="AC269">
            <v>80</v>
          </cell>
          <cell r="AD269">
            <v>13.49</v>
          </cell>
          <cell r="AE269">
            <v>2.4900000000000002</v>
          </cell>
          <cell r="AF269">
            <v>0</v>
          </cell>
          <cell r="AG269">
            <v>597.79999999999995</v>
          </cell>
          <cell r="AH269">
            <v>0</v>
          </cell>
          <cell r="AI269">
            <v>0</v>
          </cell>
          <cell r="AJ269">
            <v>1129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Y269">
            <v>230719.32</v>
          </cell>
        </row>
        <row r="270">
          <cell r="A270">
            <v>2</v>
          </cell>
          <cell r="B270" t="str">
            <v>12</v>
          </cell>
          <cell r="C270" t="str">
            <v>000</v>
          </cell>
          <cell r="D270" t="str">
            <v>1</v>
          </cell>
          <cell r="E270" t="str">
            <v>420</v>
          </cell>
          <cell r="F270" t="str">
            <v>N000</v>
          </cell>
          <cell r="G270" t="str">
            <v>200</v>
          </cell>
          <cell r="H270" t="str">
            <v>1103</v>
          </cell>
          <cell r="I270" t="str">
            <v>S01803</v>
          </cell>
          <cell r="J270" t="str">
            <v>19</v>
          </cell>
          <cell r="K270" t="str">
            <v>2</v>
          </cell>
          <cell r="L270">
            <v>30</v>
          </cell>
          <cell r="M270">
            <v>0</v>
          </cell>
          <cell r="N270">
            <v>2120.3000000000002</v>
          </cell>
          <cell r="O270" t="str">
            <v>M</v>
          </cell>
          <cell r="P270" t="str">
            <v>00000000</v>
          </cell>
          <cell r="Q270">
            <v>0</v>
          </cell>
          <cell r="R270">
            <v>306.27</v>
          </cell>
          <cell r="S270">
            <v>58.9</v>
          </cell>
          <cell r="T270">
            <v>270.33999999999997</v>
          </cell>
          <cell r="U270">
            <v>106.02</v>
          </cell>
          <cell r="V270">
            <v>38.17</v>
          </cell>
          <cell r="W270">
            <v>42.41</v>
          </cell>
          <cell r="X270">
            <v>54.4</v>
          </cell>
          <cell r="Y270">
            <v>0</v>
          </cell>
          <cell r="Z270">
            <v>55.86</v>
          </cell>
          <cell r="AA270">
            <v>77</v>
          </cell>
          <cell r="AB270">
            <v>96</v>
          </cell>
          <cell r="AC270">
            <v>80</v>
          </cell>
          <cell r="AD270">
            <v>13.49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Y270">
            <v>1194897.6000000001</v>
          </cell>
        </row>
        <row r="271">
          <cell r="A271">
            <v>2</v>
          </cell>
          <cell r="B271" t="str">
            <v>12</v>
          </cell>
          <cell r="C271" t="str">
            <v>000</v>
          </cell>
          <cell r="D271" t="str">
            <v>1</v>
          </cell>
          <cell r="E271" t="str">
            <v>420</v>
          </cell>
          <cell r="F271" t="str">
            <v>N000</v>
          </cell>
          <cell r="G271" t="str">
            <v>200</v>
          </cell>
          <cell r="H271" t="str">
            <v>1103</v>
          </cell>
          <cell r="I271" t="str">
            <v>S01805</v>
          </cell>
          <cell r="J271" t="str">
            <v>23</v>
          </cell>
          <cell r="K271" t="str">
            <v>2</v>
          </cell>
          <cell r="L271">
            <v>2</v>
          </cell>
          <cell r="M271">
            <v>0</v>
          </cell>
          <cell r="N271">
            <v>2451.25</v>
          </cell>
          <cell r="O271" t="str">
            <v>M</v>
          </cell>
          <cell r="P271" t="str">
            <v>00000000</v>
          </cell>
          <cell r="Q271">
            <v>0</v>
          </cell>
          <cell r="R271">
            <v>354.07</v>
          </cell>
          <cell r="S271">
            <v>68.09</v>
          </cell>
          <cell r="T271">
            <v>312.52999999999997</v>
          </cell>
          <cell r="U271">
            <v>122.56</v>
          </cell>
          <cell r="V271">
            <v>44.12</v>
          </cell>
          <cell r="W271">
            <v>49.02</v>
          </cell>
          <cell r="X271">
            <v>0</v>
          </cell>
          <cell r="Y271">
            <v>0</v>
          </cell>
          <cell r="Z271">
            <v>62.53</v>
          </cell>
          <cell r="AA271">
            <v>77</v>
          </cell>
          <cell r="AB271">
            <v>96</v>
          </cell>
          <cell r="AC271">
            <v>80</v>
          </cell>
          <cell r="AD271">
            <v>13.49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Y271">
            <v>89535.84</v>
          </cell>
        </row>
        <row r="272">
          <cell r="A272">
            <v>2</v>
          </cell>
          <cell r="B272" t="str">
            <v>12</v>
          </cell>
          <cell r="C272" t="str">
            <v>000</v>
          </cell>
          <cell r="D272" t="str">
            <v>1</v>
          </cell>
          <cell r="E272" t="str">
            <v>420</v>
          </cell>
          <cell r="F272" t="str">
            <v>N000</v>
          </cell>
          <cell r="G272" t="str">
            <v>200</v>
          </cell>
          <cell r="H272" t="str">
            <v>1103</v>
          </cell>
          <cell r="I272" t="str">
            <v>S01808</v>
          </cell>
          <cell r="J272" t="str">
            <v>17</v>
          </cell>
          <cell r="K272" t="str">
            <v>2</v>
          </cell>
          <cell r="L272">
            <v>29</v>
          </cell>
          <cell r="M272">
            <v>0</v>
          </cell>
          <cell r="N272">
            <v>1936.3</v>
          </cell>
          <cell r="O272" t="str">
            <v>M</v>
          </cell>
          <cell r="P272" t="str">
            <v>00000000</v>
          </cell>
          <cell r="Q272">
            <v>0</v>
          </cell>
          <cell r="R272">
            <v>279.69</v>
          </cell>
          <cell r="S272">
            <v>53.79</v>
          </cell>
          <cell r="T272">
            <v>246.88</v>
          </cell>
          <cell r="U272">
            <v>96.81</v>
          </cell>
          <cell r="V272">
            <v>34.85</v>
          </cell>
          <cell r="W272">
            <v>38.729999999999997</v>
          </cell>
          <cell r="X272">
            <v>0</v>
          </cell>
          <cell r="Y272">
            <v>0</v>
          </cell>
          <cell r="Z272">
            <v>50.46</v>
          </cell>
          <cell r="AA272">
            <v>77</v>
          </cell>
          <cell r="AB272">
            <v>96</v>
          </cell>
          <cell r="AC272">
            <v>80</v>
          </cell>
          <cell r="AD272">
            <v>13.49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Y272">
            <v>1045392</v>
          </cell>
        </row>
        <row r="273">
          <cell r="A273">
            <v>2</v>
          </cell>
          <cell r="B273" t="str">
            <v>12</v>
          </cell>
          <cell r="C273" t="str">
            <v>000</v>
          </cell>
          <cell r="D273" t="str">
            <v>1</v>
          </cell>
          <cell r="E273" t="str">
            <v>420</v>
          </cell>
          <cell r="F273" t="str">
            <v>N000</v>
          </cell>
          <cell r="G273" t="str">
            <v>200</v>
          </cell>
          <cell r="H273" t="str">
            <v>1103</v>
          </cell>
          <cell r="I273" t="str">
            <v>S01811</v>
          </cell>
          <cell r="J273" t="str">
            <v>25</v>
          </cell>
          <cell r="K273" t="str">
            <v>2</v>
          </cell>
          <cell r="L273">
            <v>34</v>
          </cell>
          <cell r="M273">
            <v>0</v>
          </cell>
          <cell r="N273">
            <v>2572.4</v>
          </cell>
          <cell r="O273" t="str">
            <v>M</v>
          </cell>
          <cell r="P273" t="str">
            <v>00000000</v>
          </cell>
          <cell r="Q273">
            <v>0</v>
          </cell>
          <cell r="R273">
            <v>371.57</v>
          </cell>
          <cell r="S273">
            <v>71.459999999999994</v>
          </cell>
          <cell r="T273">
            <v>327.98</v>
          </cell>
          <cell r="U273">
            <v>128.62</v>
          </cell>
          <cell r="V273">
            <v>46.3</v>
          </cell>
          <cell r="W273">
            <v>51.45</v>
          </cell>
          <cell r="X273">
            <v>55</v>
          </cell>
          <cell r="Y273">
            <v>0</v>
          </cell>
          <cell r="Z273">
            <v>66.47</v>
          </cell>
          <cell r="AA273">
            <v>77</v>
          </cell>
          <cell r="AB273">
            <v>96</v>
          </cell>
          <cell r="AC273">
            <v>80</v>
          </cell>
          <cell r="AD273">
            <v>13.49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Y273">
            <v>1614757.92</v>
          </cell>
        </row>
        <row r="274">
          <cell r="A274">
            <v>2</v>
          </cell>
          <cell r="B274" t="str">
            <v>12</v>
          </cell>
          <cell r="C274" t="str">
            <v>000</v>
          </cell>
          <cell r="D274" t="str">
            <v>1</v>
          </cell>
          <cell r="E274" t="str">
            <v>101</v>
          </cell>
          <cell r="F274" t="str">
            <v>N000</v>
          </cell>
          <cell r="G274" t="str">
            <v>200</v>
          </cell>
          <cell r="H274" t="str">
            <v>1103</v>
          </cell>
          <cell r="I274" t="str">
            <v>S03809</v>
          </cell>
          <cell r="J274" t="str">
            <v>23</v>
          </cell>
          <cell r="K274" t="str">
            <v>2</v>
          </cell>
          <cell r="L274">
            <v>1</v>
          </cell>
          <cell r="M274">
            <v>0</v>
          </cell>
          <cell r="N274">
            <v>2451.25</v>
          </cell>
          <cell r="O274" t="str">
            <v>M</v>
          </cell>
          <cell r="P274" t="str">
            <v>00000000</v>
          </cell>
          <cell r="Q274">
            <v>0</v>
          </cell>
          <cell r="R274">
            <v>354.07</v>
          </cell>
          <cell r="S274">
            <v>68.09</v>
          </cell>
          <cell r="T274">
            <v>312.52999999999997</v>
          </cell>
          <cell r="U274">
            <v>122.56</v>
          </cell>
          <cell r="V274">
            <v>44.12</v>
          </cell>
          <cell r="W274">
            <v>49.02</v>
          </cell>
          <cell r="X274">
            <v>55</v>
          </cell>
          <cell r="Y274">
            <v>0</v>
          </cell>
          <cell r="Z274">
            <v>63.63</v>
          </cell>
          <cell r="AA274">
            <v>77</v>
          </cell>
          <cell r="AB274">
            <v>96</v>
          </cell>
          <cell r="AC274">
            <v>80</v>
          </cell>
          <cell r="AD274">
            <v>13.49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Y274">
            <v>45441.120000000003</v>
          </cell>
        </row>
        <row r="275">
          <cell r="A275">
            <v>2</v>
          </cell>
          <cell r="B275" t="str">
            <v>12</v>
          </cell>
          <cell r="C275" t="str">
            <v>000</v>
          </cell>
          <cell r="D275" t="str">
            <v>1</v>
          </cell>
          <cell r="E275" t="str">
            <v>420</v>
          </cell>
          <cell r="F275" t="str">
            <v>N000</v>
          </cell>
          <cell r="G275" t="str">
            <v>200</v>
          </cell>
          <cell r="H275" t="str">
            <v>1103</v>
          </cell>
          <cell r="I275" t="str">
            <v>S03810</v>
          </cell>
          <cell r="J275" t="str">
            <v>22</v>
          </cell>
          <cell r="K275" t="str">
            <v>2</v>
          </cell>
          <cell r="L275">
            <v>8</v>
          </cell>
          <cell r="M275">
            <v>0</v>
          </cell>
          <cell r="N275">
            <v>2342.3000000000002</v>
          </cell>
          <cell r="O275" t="str">
            <v>M</v>
          </cell>
          <cell r="P275" t="str">
            <v>00000000</v>
          </cell>
          <cell r="Q275">
            <v>0</v>
          </cell>
          <cell r="R275">
            <v>338.33</v>
          </cell>
          <cell r="S275">
            <v>65.06</v>
          </cell>
          <cell r="T275">
            <v>298.64</v>
          </cell>
          <cell r="U275">
            <v>117.12</v>
          </cell>
          <cell r="V275">
            <v>42.16</v>
          </cell>
          <cell r="W275">
            <v>46.85</v>
          </cell>
          <cell r="X275">
            <v>0</v>
          </cell>
          <cell r="Y275">
            <v>0</v>
          </cell>
          <cell r="Z275">
            <v>59.97</v>
          </cell>
          <cell r="AA275">
            <v>77</v>
          </cell>
          <cell r="AB275">
            <v>96</v>
          </cell>
          <cell r="AC275">
            <v>80</v>
          </cell>
          <cell r="AD275">
            <v>13.49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Y275">
            <v>343384.32000000001</v>
          </cell>
        </row>
        <row r="276">
          <cell r="A276">
            <v>2</v>
          </cell>
          <cell r="B276" t="str">
            <v>12</v>
          </cell>
          <cell r="C276" t="str">
            <v>000</v>
          </cell>
          <cell r="D276" t="str">
            <v>1</v>
          </cell>
          <cell r="E276" t="str">
            <v>420</v>
          </cell>
          <cell r="F276" t="str">
            <v>N000</v>
          </cell>
          <cell r="G276" t="str">
            <v>200</v>
          </cell>
          <cell r="H276" t="str">
            <v>1103</v>
          </cell>
          <cell r="I276" t="str">
            <v>S05810</v>
          </cell>
          <cell r="J276" t="str">
            <v>27</v>
          </cell>
          <cell r="K276" t="str">
            <v>2</v>
          </cell>
          <cell r="L276">
            <v>1</v>
          </cell>
          <cell r="M276">
            <v>0</v>
          </cell>
          <cell r="N276">
            <v>2817.8</v>
          </cell>
          <cell r="O276" t="str">
            <v>M</v>
          </cell>
          <cell r="P276" t="str">
            <v>00000000</v>
          </cell>
          <cell r="Q276">
            <v>0</v>
          </cell>
          <cell r="R276">
            <v>407.02</v>
          </cell>
          <cell r="S276">
            <v>78.27</v>
          </cell>
          <cell r="T276">
            <v>359.27</v>
          </cell>
          <cell r="U276">
            <v>140.88999999999999</v>
          </cell>
          <cell r="V276">
            <v>50.72</v>
          </cell>
          <cell r="W276">
            <v>56.36</v>
          </cell>
          <cell r="X276">
            <v>0</v>
          </cell>
          <cell r="Y276">
            <v>0</v>
          </cell>
          <cell r="Z276">
            <v>71.12</v>
          </cell>
          <cell r="AA276">
            <v>77</v>
          </cell>
          <cell r="AB276">
            <v>96</v>
          </cell>
          <cell r="AC276">
            <v>80</v>
          </cell>
          <cell r="AD276">
            <v>13.49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Y276">
            <v>50975.28</v>
          </cell>
        </row>
        <row r="277">
          <cell r="A277">
            <v>2</v>
          </cell>
          <cell r="B277" t="str">
            <v>12</v>
          </cell>
          <cell r="C277" t="str">
            <v>000</v>
          </cell>
          <cell r="D277" t="str">
            <v>1</v>
          </cell>
          <cell r="E277" t="str">
            <v>420</v>
          </cell>
          <cell r="F277" t="str">
            <v>N000</v>
          </cell>
          <cell r="G277" t="str">
            <v>200</v>
          </cell>
          <cell r="H277" t="str">
            <v>1103</v>
          </cell>
          <cell r="I277" t="str">
            <v>S08802</v>
          </cell>
          <cell r="J277" t="str">
            <v>21</v>
          </cell>
          <cell r="K277" t="str">
            <v>2</v>
          </cell>
          <cell r="L277">
            <v>30</v>
          </cell>
          <cell r="M277">
            <v>0</v>
          </cell>
          <cell r="N277">
            <v>2238.1999999999998</v>
          </cell>
          <cell r="O277" t="str">
            <v>M</v>
          </cell>
          <cell r="P277" t="str">
            <v>00000000</v>
          </cell>
          <cell r="Q277">
            <v>0</v>
          </cell>
          <cell r="R277">
            <v>323.3</v>
          </cell>
          <cell r="S277">
            <v>62.17</v>
          </cell>
          <cell r="T277">
            <v>285.37</v>
          </cell>
          <cell r="U277">
            <v>111.91</v>
          </cell>
          <cell r="V277">
            <v>40.29</v>
          </cell>
          <cell r="W277">
            <v>44.76</v>
          </cell>
          <cell r="X277">
            <v>0</v>
          </cell>
          <cell r="Y277">
            <v>0</v>
          </cell>
          <cell r="Z277">
            <v>57.53</v>
          </cell>
          <cell r="AA277">
            <v>77</v>
          </cell>
          <cell r="AB277">
            <v>96</v>
          </cell>
          <cell r="AC277">
            <v>80</v>
          </cell>
          <cell r="AD277">
            <v>13.49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Y277">
            <v>1234807.2</v>
          </cell>
        </row>
        <row r="278">
          <cell r="A278">
            <v>2</v>
          </cell>
          <cell r="B278" t="str">
            <v>12</v>
          </cell>
          <cell r="C278" t="str">
            <v>000</v>
          </cell>
          <cell r="D278" t="str">
            <v>1</v>
          </cell>
          <cell r="E278" t="str">
            <v>101</v>
          </cell>
          <cell r="F278" t="str">
            <v>N000</v>
          </cell>
          <cell r="G278" t="str">
            <v>200</v>
          </cell>
          <cell r="H278" t="str">
            <v>1103</v>
          </cell>
          <cell r="I278" t="str">
            <v>T03803</v>
          </cell>
          <cell r="J278" t="str">
            <v>22</v>
          </cell>
          <cell r="K278" t="str">
            <v>2</v>
          </cell>
          <cell r="L278">
            <v>12</v>
          </cell>
          <cell r="M278">
            <v>0</v>
          </cell>
          <cell r="N278">
            <v>2342.3000000000002</v>
          </cell>
          <cell r="O278" t="str">
            <v>M</v>
          </cell>
          <cell r="P278" t="str">
            <v>00000000</v>
          </cell>
          <cell r="Q278">
            <v>0</v>
          </cell>
          <cell r="R278">
            <v>338.33</v>
          </cell>
          <cell r="S278">
            <v>65.06</v>
          </cell>
          <cell r="T278">
            <v>298.64</v>
          </cell>
          <cell r="U278">
            <v>117.12</v>
          </cell>
          <cell r="V278">
            <v>42.16</v>
          </cell>
          <cell r="W278">
            <v>46.85</v>
          </cell>
          <cell r="X278">
            <v>67.5</v>
          </cell>
          <cell r="Y278">
            <v>0</v>
          </cell>
          <cell r="Z278">
            <v>61.32</v>
          </cell>
          <cell r="AA278">
            <v>77</v>
          </cell>
          <cell r="AB278">
            <v>96</v>
          </cell>
          <cell r="AC278">
            <v>80</v>
          </cell>
          <cell r="AD278">
            <v>13.49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Y278">
            <v>524990.88</v>
          </cell>
        </row>
        <row r="279">
          <cell r="A279">
            <v>2</v>
          </cell>
          <cell r="B279" t="str">
            <v>12</v>
          </cell>
          <cell r="C279" t="str">
            <v>000</v>
          </cell>
          <cell r="D279" t="str">
            <v>1</v>
          </cell>
          <cell r="E279" t="str">
            <v>101</v>
          </cell>
          <cell r="F279" t="str">
            <v>N000</v>
          </cell>
          <cell r="G279" t="str">
            <v>200</v>
          </cell>
          <cell r="H279" t="str">
            <v>1103</v>
          </cell>
          <cell r="I279" t="str">
            <v>T03804</v>
          </cell>
          <cell r="J279" t="str">
            <v>25</v>
          </cell>
          <cell r="K279" t="str">
            <v>2</v>
          </cell>
          <cell r="L279">
            <v>4</v>
          </cell>
          <cell r="M279">
            <v>0</v>
          </cell>
          <cell r="N279">
            <v>2572.4</v>
          </cell>
          <cell r="O279" t="str">
            <v>M</v>
          </cell>
          <cell r="P279" t="str">
            <v>00000000</v>
          </cell>
          <cell r="Q279">
            <v>0</v>
          </cell>
          <cell r="R279">
            <v>371.57</v>
          </cell>
          <cell r="S279">
            <v>71.459999999999994</v>
          </cell>
          <cell r="T279">
            <v>327.98</v>
          </cell>
          <cell r="U279">
            <v>128.62</v>
          </cell>
          <cell r="V279">
            <v>46.3</v>
          </cell>
          <cell r="W279">
            <v>51.45</v>
          </cell>
          <cell r="X279">
            <v>129.25</v>
          </cell>
          <cell r="Y279">
            <v>0</v>
          </cell>
          <cell r="Z279">
            <v>67.95</v>
          </cell>
          <cell r="AA279">
            <v>77</v>
          </cell>
          <cell r="AB279">
            <v>96</v>
          </cell>
          <cell r="AC279">
            <v>80</v>
          </cell>
          <cell r="AD279">
            <v>13.49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Y279">
            <v>193606.56</v>
          </cell>
        </row>
        <row r="280">
          <cell r="A280">
            <v>2</v>
          </cell>
          <cell r="B280" t="str">
            <v>12</v>
          </cell>
          <cell r="C280" t="str">
            <v>000</v>
          </cell>
          <cell r="D280" t="str">
            <v>1</v>
          </cell>
          <cell r="E280" t="str">
            <v>420</v>
          </cell>
          <cell r="F280" t="str">
            <v>N000</v>
          </cell>
          <cell r="G280" t="str">
            <v>200</v>
          </cell>
          <cell r="H280" t="str">
            <v>1103</v>
          </cell>
          <cell r="I280" t="str">
            <v>T03804</v>
          </cell>
          <cell r="J280" t="str">
            <v>25</v>
          </cell>
          <cell r="K280" t="str">
            <v>2</v>
          </cell>
          <cell r="L280">
            <v>19</v>
          </cell>
          <cell r="M280">
            <v>0</v>
          </cell>
          <cell r="N280">
            <v>2572.4</v>
          </cell>
          <cell r="O280" t="str">
            <v>M</v>
          </cell>
          <cell r="P280" t="str">
            <v>00000000</v>
          </cell>
          <cell r="Q280">
            <v>0</v>
          </cell>
          <cell r="R280">
            <v>371.57</v>
          </cell>
          <cell r="S280">
            <v>71.459999999999994</v>
          </cell>
          <cell r="T280">
            <v>327.98</v>
          </cell>
          <cell r="U280">
            <v>128.62</v>
          </cell>
          <cell r="V280">
            <v>46.3</v>
          </cell>
          <cell r="W280">
            <v>51.45</v>
          </cell>
          <cell r="X280">
            <v>22.11</v>
          </cell>
          <cell r="Y280">
            <v>0</v>
          </cell>
          <cell r="Z280">
            <v>65.81</v>
          </cell>
          <cell r="AA280">
            <v>77</v>
          </cell>
          <cell r="AB280">
            <v>96</v>
          </cell>
          <cell r="AC280">
            <v>80</v>
          </cell>
          <cell r="AD280">
            <v>13.49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Y280">
            <v>894715.32</v>
          </cell>
        </row>
        <row r="281">
          <cell r="A281">
            <v>2</v>
          </cell>
          <cell r="B281" t="str">
            <v>12</v>
          </cell>
          <cell r="C281" t="str">
            <v>000</v>
          </cell>
          <cell r="D281" t="str">
            <v>1</v>
          </cell>
          <cell r="E281" t="str">
            <v>101</v>
          </cell>
          <cell r="F281" t="str">
            <v>N000</v>
          </cell>
          <cell r="G281" t="str">
            <v>200</v>
          </cell>
          <cell r="H281" t="str">
            <v>1103</v>
          </cell>
          <cell r="I281" t="str">
            <v>T06807</v>
          </cell>
          <cell r="J281" t="str">
            <v>24</v>
          </cell>
          <cell r="K281" t="str">
            <v>2</v>
          </cell>
          <cell r="L281">
            <v>2</v>
          </cell>
          <cell r="M281">
            <v>0</v>
          </cell>
          <cell r="N281">
            <v>2479.75</v>
          </cell>
          <cell r="O281" t="str">
            <v>M</v>
          </cell>
          <cell r="P281" t="str">
            <v>00000000</v>
          </cell>
          <cell r="Q281">
            <v>0</v>
          </cell>
          <cell r="R281">
            <v>358.19</v>
          </cell>
          <cell r="S281">
            <v>68.88</v>
          </cell>
          <cell r="T281">
            <v>316.17</v>
          </cell>
          <cell r="U281">
            <v>123.99</v>
          </cell>
          <cell r="V281">
            <v>44.64</v>
          </cell>
          <cell r="W281">
            <v>49.59</v>
          </cell>
          <cell r="X281">
            <v>55</v>
          </cell>
          <cell r="Y281">
            <v>0</v>
          </cell>
          <cell r="Z281">
            <v>64.3</v>
          </cell>
          <cell r="AA281">
            <v>77</v>
          </cell>
          <cell r="AB281">
            <v>96</v>
          </cell>
          <cell r="AC281">
            <v>80</v>
          </cell>
          <cell r="AD281">
            <v>13.49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Y281">
            <v>91848</v>
          </cell>
        </row>
        <row r="282">
          <cell r="A282">
            <v>2</v>
          </cell>
          <cell r="B282" t="str">
            <v>12</v>
          </cell>
          <cell r="C282" t="str">
            <v>000</v>
          </cell>
          <cell r="D282" t="str">
            <v>1</v>
          </cell>
          <cell r="E282" t="str">
            <v>420</v>
          </cell>
          <cell r="F282" t="str">
            <v>N000</v>
          </cell>
          <cell r="G282" t="str">
            <v>200</v>
          </cell>
          <cell r="H282" t="str">
            <v>1103</v>
          </cell>
          <cell r="I282" t="str">
            <v>T06807</v>
          </cell>
          <cell r="J282" t="str">
            <v>24</v>
          </cell>
          <cell r="K282" t="str">
            <v>2</v>
          </cell>
          <cell r="L282">
            <v>2</v>
          </cell>
          <cell r="M282">
            <v>0</v>
          </cell>
          <cell r="N282">
            <v>2479.75</v>
          </cell>
          <cell r="O282" t="str">
            <v>M</v>
          </cell>
          <cell r="P282" t="str">
            <v>00000000</v>
          </cell>
          <cell r="Q282">
            <v>0</v>
          </cell>
          <cell r="R282">
            <v>358.19</v>
          </cell>
          <cell r="S282">
            <v>68.88</v>
          </cell>
          <cell r="T282">
            <v>316.17</v>
          </cell>
          <cell r="U282">
            <v>123.99</v>
          </cell>
          <cell r="V282">
            <v>44.64</v>
          </cell>
          <cell r="W282">
            <v>49.59</v>
          </cell>
          <cell r="X282">
            <v>0</v>
          </cell>
          <cell r="Y282">
            <v>0</v>
          </cell>
          <cell r="Z282">
            <v>63.2</v>
          </cell>
          <cell r="AA282">
            <v>77</v>
          </cell>
          <cell r="AB282">
            <v>96</v>
          </cell>
          <cell r="AC282">
            <v>80</v>
          </cell>
          <cell r="AD282">
            <v>13.49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Y282">
            <v>90501.6</v>
          </cell>
        </row>
        <row r="283">
          <cell r="A283">
            <v>2</v>
          </cell>
          <cell r="B283" t="str">
            <v>12</v>
          </cell>
          <cell r="C283" t="str">
            <v>000</v>
          </cell>
          <cell r="D283" t="str">
            <v>1</v>
          </cell>
          <cell r="E283" t="str">
            <v>101</v>
          </cell>
          <cell r="F283" t="str">
            <v>N000</v>
          </cell>
          <cell r="G283" t="str">
            <v>200</v>
          </cell>
          <cell r="H283" t="str">
            <v>1103</v>
          </cell>
          <cell r="I283" t="str">
            <v>T08803</v>
          </cell>
          <cell r="J283" t="str">
            <v>23</v>
          </cell>
          <cell r="K283" t="str">
            <v>2</v>
          </cell>
          <cell r="L283">
            <v>1</v>
          </cell>
          <cell r="M283">
            <v>0</v>
          </cell>
          <cell r="N283">
            <v>2451.25</v>
          </cell>
          <cell r="O283" t="str">
            <v>M</v>
          </cell>
          <cell r="P283" t="str">
            <v>00000000</v>
          </cell>
          <cell r="Q283">
            <v>0</v>
          </cell>
          <cell r="R283">
            <v>354.07</v>
          </cell>
          <cell r="S283">
            <v>68.09</v>
          </cell>
          <cell r="T283">
            <v>312.52999999999997</v>
          </cell>
          <cell r="U283">
            <v>122.56</v>
          </cell>
          <cell r="V283">
            <v>44.12</v>
          </cell>
          <cell r="W283">
            <v>49.02</v>
          </cell>
          <cell r="X283">
            <v>82</v>
          </cell>
          <cell r="Y283">
            <v>0</v>
          </cell>
          <cell r="Z283">
            <v>64.17</v>
          </cell>
          <cell r="AA283">
            <v>77</v>
          </cell>
          <cell r="AB283">
            <v>96</v>
          </cell>
          <cell r="AC283">
            <v>80</v>
          </cell>
          <cell r="AD283">
            <v>13.49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Y283">
            <v>45771.6</v>
          </cell>
        </row>
        <row r="284">
          <cell r="A284">
            <v>2</v>
          </cell>
          <cell r="B284" t="str">
            <v>12</v>
          </cell>
          <cell r="C284" t="str">
            <v>000</v>
          </cell>
          <cell r="D284" t="str">
            <v>1</v>
          </cell>
          <cell r="E284" t="str">
            <v>420</v>
          </cell>
          <cell r="F284" t="str">
            <v>N000</v>
          </cell>
          <cell r="G284" t="str">
            <v>200</v>
          </cell>
          <cell r="H284" t="str">
            <v>1103</v>
          </cell>
          <cell r="I284" t="str">
            <v>CF01012</v>
          </cell>
          <cell r="J284" t="str">
            <v>29</v>
          </cell>
          <cell r="K284" t="str">
            <v>1</v>
          </cell>
          <cell r="L284">
            <v>1</v>
          </cell>
          <cell r="M284">
            <v>0</v>
          </cell>
          <cell r="N284">
            <v>4311.3999999999996</v>
          </cell>
          <cell r="O284" t="str">
            <v>M</v>
          </cell>
          <cell r="P284" t="str">
            <v>00000000</v>
          </cell>
          <cell r="Q284">
            <v>12875.7</v>
          </cell>
          <cell r="R284">
            <v>622.76</v>
          </cell>
          <cell r="S284">
            <v>119.76</v>
          </cell>
          <cell r="T284">
            <v>549.70000000000005</v>
          </cell>
          <cell r="U284">
            <v>215.57</v>
          </cell>
          <cell r="V284">
            <v>309.37</v>
          </cell>
          <cell r="W284">
            <v>86.23</v>
          </cell>
          <cell r="X284">
            <v>0</v>
          </cell>
          <cell r="Y284">
            <v>859.36</v>
          </cell>
          <cell r="Z284">
            <v>360.13</v>
          </cell>
          <cell r="AA284">
            <v>77</v>
          </cell>
          <cell r="AB284">
            <v>0</v>
          </cell>
          <cell r="AC284">
            <v>0</v>
          </cell>
          <cell r="AD284">
            <v>13.49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Y284">
            <v>244805.64</v>
          </cell>
        </row>
        <row r="285">
          <cell r="A285">
            <v>2</v>
          </cell>
          <cell r="B285" t="str">
            <v>12</v>
          </cell>
          <cell r="C285" t="str">
            <v>000</v>
          </cell>
          <cell r="D285" t="str">
            <v>1</v>
          </cell>
          <cell r="E285" t="str">
            <v>101</v>
          </cell>
          <cell r="F285" t="str">
            <v>N000</v>
          </cell>
          <cell r="G285" t="str">
            <v>200</v>
          </cell>
          <cell r="H285" t="str">
            <v>1103</v>
          </cell>
          <cell r="I285" t="str">
            <v>CF01059</v>
          </cell>
          <cell r="J285" t="str">
            <v>28</v>
          </cell>
          <cell r="K285" t="str">
            <v>1</v>
          </cell>
          <cell r="L285">
            <v>4</v>
          </cell>
          <cell r="M285">
            <v>0</v>
          </cell>
          <cell r="N285">
            <v>3631.8</v>
          </cell>
          <cell r="O285" t="str">
            <v>M</v>
          </cell>
          <cell r="P285" t="str">
            <v>00000000</v>
          </cell>
          <cell r="Q285">
            <v>8731.1</v>
          </cell>
          <cell r="R285">
            <v>524.59</v>
          </cell>
          <cell r="S285">
            <v>100.88</v>
          </cell>
          <cell r="T285">
            <v>463.05</v>
          </cell>
          <cell r="U285">
            <v>181.59</v>
          </cell>
          <cell r="V285">
            <v>222.53</v>
          </cell>
          <cell r="W285">
            <v>72.64</v>
          </cell>
          <cell r="X285">
            <v>68.25</v>
          </cell>
          <cell r="Y285">
            <v>618.15</v>
          </cell>
          <cell r="Z285">
            <v>262.67</v>
          </cell>
          <cell r="AA285">
            <v>77</v>
          </cell>
          <cell r="AB285">
            <v>0</v>
          </cell>
          <cell r="AC285">
            <v>0</v>
          </cell>
          <cell r="AD285">
            <v>13.49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Y285">
            <v>718451.52</v>
          </cell>
        </row>
        <row r="286">
          <cell r="A286">
            <v>2</v>
          </cell>
          <cell r="B286" t="str">
            <v>12</v>
          </cell>
          <cell r="C286" t="str">
            <v>000</v>
          </cell>
          <cell r="D286" t="str">
            <v>1</v>
          </cell>
          <cell r="E286" t="str">
            <v>101</v>
          </cell>
          <cell r="F286" t="str">
            <v>N000</v>
          </cell>
          <cell r="G286" t="str">
            <v>200</v>
          </cell>
          <cell r="H286" t="str">
            <v>1103</v>
          </cell>
          <cell r="I286" t="str">
            <v>CF03809</v>
          </cell>
          <cell r="J286" t="str">
            <v>25</v>
          </cell>
          <cell r="K286" t="str">
            <v>2</v>
          </cell>
          <cell r="L286">
            <v>3</v>
          </cell>
          <cell r="M286">
            <v>0</v>
          </cell>
          <cell r="N286">
            <v>2572.4</v>
          </cell>
          <cell r="O286" t="str">
            <v>M</v>
          </cell>
          <cell r="P286" t="str">
            <v>00000000</v>
          </cell>
          <cell r="Q286">
            <v>0</v>
          </cell>
          <cell r="R286">
            <v>371.57</v>
          </cell>
          <cell r="S286">
            <v>71.459999999999994</v>
          </cell>
          <cell r="T286">
            <v>327.98</v>
          </cell>
          <cell r="U286">
            <v>128.62</v>
          </cell>
          <cell r="V286">
            <v>46.3</v>
          </cell>
          <cell r="W286">
            <v>51.45</v>
          </cell>
          <cell r="X286">
            <v>15.33</v>
          </cell>
          <cell r="Y286">
            <v>0</v>
          </cell>
          <cell r="Z286">
            <v>65.680000000000007</v>
          </cell>
          <cell r="AA286">
            <v>77</v>
          </cell>
          <cell r="AB286">
            <v>96</v>
          </cell>
          <cell r="AC286">
            <v>80</v>
          </cell>
          <cell r="AD286">
            <v>13.49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Y286">
            <v>141022.07999999999</v>
          </cell>
        </row>
        <row r="287">
          <cell r="A287">
            <v>2</v>
          </cell>
          <cell r="B287" t="str">
            <v>12</v>
          </cell>
          <cell r="C287" t="str">
            <v>000</v>
          </cell>
          <cell r="D287" t="str">
            <v>1</v>
          </cell>
          <cell r="E287" t="str">
            <v>101</v>
          </cell>
          <cell r="F287" t="str">
            <v>N000</v>
          </cell>
          <cell r="G287" t="str">
            <v>200</v>
          </cell>
          <cell r="H287" t="str">
            <v>1103</v>
          </cell>
          <cell r="I287" t="str">
            <v>CF03820</v>
          </cell>
          <cell r="J287" t="str">
            <v>27Z</v>
          </cell>
          <cell r="K287" t="str">
            <v>2</v>
          </cell>
          <cell r="L287">
            <v>3</v>
          </cell>
          <cell r="M287">
            <v>0</v>
          </cell>
          <cell r="N287">
            <v>2900.25</v>
          </cell>
          <cell r="O287" t="str">
            <v>M</v>
          </cell>
          <cell r="P287" t="str">
            <v>00000000</v>
          </cell>
          <cell r="Q287">
            <v>205.15</v>
          </cell>
          <cell r="R287">
            <v>418.93</v>
          </cell>
          <cell r="S287">
            <v>80.56</v>
          </cell>
          <cell r="T287">
            <v>369.78</v>
          </cell>
          <cell r="U287">
            <v>145.01</v>
          </cell>
          <cell r="V287">
            <v>55.89</v>
          </cell>
          <cell r="W287">
            <v>58.01</v>
          </cell>
          <cell r="X287">
            <v>0</v>
          </cell>
          <cell r="Y287">
            <v>0</v>
          </cell>
          <cell r="Z287">
            <v>77.16</v>
          </cell>
          <cell r="AA287">
            <v>77</v>
          </cell>
          <cell r="AB287">
            <v>96</v>
          </cell>
          <cell r="AC287">
            <v>80</v>
          </cell>
          <cell r="AD287">
            <v>13.49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Y287">
            <v>164780.28</v>
          </cell>
        </row>
        <row r="288">
          <cell r="A288">
            <v>2</v>
          </cell>
          <cell r="B288" t="str">
            <v>12</v>
          </cell>
          <cell r="C288" t="str">
            <v>000</v>
          </cell>
          <cell r="D288" t="str">
            <v>1</v>
          </cell>
          <cell r="E288" t="str">
            <v>101</v>
          </cell>
          <cell r="F288" t="str">
            <v>N000</v>
          </cell>
          <cell r="G288" t="str">
            <v>200</v>
          </cell>
          <cell r="H288" t="str">
            <v>1103</v>
          </cell>
          <cell r="I288" t="str">
            <v>CF04806</v>
          </cell>
          <cell r="J288" t="str">
            <v>26</v>
          </cell>
          <cell r="K288" t="str">
            <v>2</v>
          </cell>
          <cell r="L288">
            <v>4</v>
          </cell>
          <cell r="M288">
            <v>0</v>
          </cell>
          <cell r="N288">
            <v>2692.2</v>
          </cell>
          <cell r="O288" t="str">
            <v>M</v>
          </cell>
          <cell r="P288" t="str">
            <v>00000000</v>
          </cell>
          <cell r="Q288">
            <v>0</v>
          </cell>
          <cell r="R288">
            <v>388.87</v>
          </cell>
          <cell r="S288">
            <v>74.78</v>
          </cell>
          <cell r="T288">
            <v>343.26</v>
          </cell>
          <cell r="U288">
            <v>134.61000000000001</v>
          </cell>
          <cell r="V288">
            <v>48.46</v>
          </cell>
          <cell r="W288">
            <v>53.84</v>
          </cell>
          <cell r="X288">
            <v>136</v>
          </cell>
          <cell r="Y288">
            <v>0</v>
          </cell>
          <cell r="Z288">
            <v>70.900000000000006</v>
          </cell>
          <cell r="AA288">
            <v>77</v>
          </cell>
          <cell r="AB288">
            <v>96</v>
          </cell>
          <cell r="AC288">
            <v>80</v>
          </cell>
          <cell r="AD288">
            <v>13.49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Y288">
            <v>202051.68</v>
          </cell>
        </row>
        <row r="289">
          <cell r="A289">
            <v>2</v>
          </cell>
          <cell r="B289" t="str">
            <v>12</v>
          </cell>
          <cell r="C289" t="str">
            <v>000</v>
          </cell>
          <cell r="D289" t="str">
            <v>1</v>
          </cell>
          <cell r="E289" t="str">
            <v>420</v>
          </cell>
          <cell r="F289" t="str">
            <v>N000</v>
          </cell>
          <cell r="G289" t="str">
            <v>200</v>
          </cell>
          <cell r="H289" t="str">
            <v>1103</v>
          </cell>
          <cell r="I289" t="str">
            <v>CF04806</v>
          </cell>
          <cell r="J289" t="str">
            <v>26</v>
          </cell>
          <cell r="K289" t="str">
            <v>2</v>
          </cell>
          <cell r="L289">
            <v>59</v>
          </cell>
          <cell r="M289">
            <v>0</v>
          </cell>
          <cell r="N289">
            <v>2692.2</v>
          </cell>
          <cell r="O289" t="str">
            <v>M</v>
          </cell>
          <cell r="P289" t="str">
            <v>00000000</v>
          </cell>
          <cell r="Q289">
            <v>0</v>
          </cell>
          <cell r="R289">
            <v>388.87</v>
          </cell>
          <cell r="S289">
            <v>74.78</v>
          </cell>
          <cell r="T289">
            <v>343.26</v>
          </cell>
          <cell r="U289">
            <v>134.61000000000001</v>
          </cell>
          <cell r="V289">
            <v>48.46</v>
          </cell>
          <cell r="W289">
            <v>53.84</v>
          </cell>
          <cell r="X289">
            <v>69.73</v>
          </cell>
          <cell r="Y289">
            <v>0</v>
          </cell>
          <cell r="Z289">
            <v>69.569999999999993</v>
          </cell>
          <cell r="AA289">
            <v>77</v>
          </cell>
          <cell r="AB289">
            <v>96</v>
          </cell>
          <cell r="AC289">
            <v>80</v>
          </cell>
          <cell r="AD289">
            <v>13.49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Y289">
            <v>2932401.48</v>
          </cell>
        </row>
        <row r="290">
          <cell r="A290">
            <v>2</v>
          </cell>
          <cell r="B290" t="str">
            <v>12</v>
          </cell>
          <cell r="C290" t="str">
            <v>000</v>
          </cell>
          <cell r="D290" t="str">
            <v>1</v>
          </cell>
          <cell r="E290" t="str">
            <v>101</v>
          </cell>
          <cell r="F290" t="str">
            <v>N000</v>
          </cell>
          <cell r="G290" t="str">
            <v>200</v>
          </cell>
          <cell r="H290" t="str">
            <v>1103</v>
          </cell>
          <cell r="I290" t="str">
            <v>CF04807</v>
          </cell>
          <cell r="J290" t="str">
            <v>27Z</v>
          </cell>
          <cell r="K290" t="str">
            <v>2</v>
          </cell>
          <cell r="L290">
            <v>6</v>
          </cell>
          <cell r="M290">
            <v>0</v>
          </cell>
          <cell r="N290">
            <v>2900.25</v>
          </cell>
          <cell r="O290" t="str">
            <v>M</v>
          </cell>
          <cell r="P290" t="str">
            <v>00000000</v>
          </cell>
          <cell r="Q290">
            <v>205.15</v>
          </cell>
          <cell r="R290">
            <v>418.93</v>
          </cell>
          <cell r="S290">
            <v>80.56</v>
          </cell>
          <cell r="T290">
            <v>369.78</v>
          </cell>
          <cell r="U290">
            <v>145.01</v>
          </cell>
          <cell r="V290">
            <v>55.89</v>
          </cell>
          <cell r="W290">
            <v>58.01</v>
          </cell>
          <cell r="X290">
            <v>72.83</v>
          </cell>
          <cell r="Y290">
            <v>0</v>
          </cell>
          <cell r="Z290">
            <v>78.61</v>
          </cell>
          <cell r="AA290">
            <v>77</v>
          </cell>
          <cell r="AB290">
            <v>96</v>
          </cell>
          <cell r="AC290">
            <v>80</v>
          </cell>
          <cell r="AD290">
            <v>13.49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Y290">
            <v>334908.71999999997</v>
          </cell>
        </row>
        <row r="291">
          <cell r="A291">
            <v>2</v>
          </cell>
          <cell r="B291" t="str">
            <v>12</v>
          </cell>
          <cell r="C291" t="str">
            <v>000</v>
          </cell>
          <cell r="D291" t="str">
            <v>1</v>
          </cell>
          <cell r="E291" t="str">
            <v>420</v>
          </cell>
          <cell r="F291" t="str">
            <v>N000</v>
          </cell>
          <cell r="G291" t="str">
            <v>200</v>
          </cell>
          <cell r="H291" t="str">
            <v>1103</v>
          </cell>
          <cell r="I291" t="str">
            <v>CF04807</v>
          </cell>
          <cell r="J291" t="str">
            <v>27Z</v>
          </cell>
          <cell r="K291" t="str">
            <v>2</v>
          </cell>
          <cell r="L291">
            <v>5</v>
          </cell>
          <cell r="M291">
            <v>0</v>
          </cell>
          <cell r="N291">
            <v>2900.25</v>
          </cell>
          <cell r="O291" t="str">
            <v>M</v>
          </cell>
          <cell r="P291" t="str">
            <v>00000000</v>
          </cell>
          <cell r="Q291">
            <v>205.15</v>
          </cell>
          <cell r="R291">
            <v>418.93</v>
          </cell>
          <cell r="S291">
            <v>80.56</v>
          </cell>
          <cell r="T291">
            <v>369.78</v>
          </cell>
          <cell r="U291">
            <v>145.01</v>
          </cell>
          <cell r="V291">
            <v>55.89</v>
          </cell>
          <cell r="W291">
            <v>58.01</v>
          </cell>
          <cell r="X291">
            <v>18.399999999999999</v>
          </cell>
          <cell r="Y291">
            <v>0</v>
          </cell>
          <cell r="Z291">
            <v>77.53</v>
          </cell>
          <cell r="AA291">
            <v>77</v>
          </cell>
          <cell r="AB291">
            <v>96</v>
          </cell>
          <cell r="AC291">
            <v>80</v>
          </cell>
          <cell r="AD291">
            <v>13.49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Y291">
            <v>275760</v>
          </cell>
        </row>
        <row r="292">
          <cell r="A292">
            <v>2</v>
          </cell>
          <cell r="B292" t="str">
            <v>12</v>
          </cell>
          <cell r="C292" t="str">
            <v>000</v>
          </cell>
          <cell r="D292" t="str">
            <v>1</v>
          </cell>
          <cell r="E292" t="str">
            <v>101</v>
          </cell>
          <cell r="F292" t="str">
            <v>N000</v>
          </cell>
          <cell r="G292" t="str">
            <v>200</v>
          </cell>
          <cell r="H292" t="str">
            <v>1103</v>
          </cell>
          <cell r="I292" t="str">
            <v>CF04808</v>
          </cell>
          <cell r="J292" t="str">
            <v>27ZA</v>
          </cell>
          <cell r="K292" t="str">
            <v>2</v>
          </cell>
          <cell r="L292">
            <v>6</v>
          </cell>
          <cell r="M292">
            <v>0</v>
          </cell>
          <cell r="N292">
            <v>2982.9</v>
          </cell>
          <cell r="O292" t="str">
            <v>M</v>
          </cell>
          <cell r="P292" t="str">
            <v>00000000</v>
          </cell>
          <cell r="Q292">
            <v>579.4</v>
          </cell>
          <cell r="R292">
            <v>430.86</v>
          </cell>
          <cell r="S292">
            <v>82.86</v>
          </cell>
          <cell r="T292">
            <v>380.32</v>
          </cell>
          <cell r="U292">
            <v>149.15</v>
          </cell>
          <cell r="V292">
            <v>64.12</v>
          </cell>
          <cell r="W292">
            <v>59.66</v>
          </cell>
          <cell r="X292">
            <v>30.67</v>
          </cell>
          <cell r="Y292">
            <v>0</v>
          </cell>
          <cell r="Z292">
            <v>87.19</v>
          </cell>
          <cell r="AA292">
            <v>77</v>
          </cell>
          <cell r="AB292">
            <v>96</v>
          </cell>
          <cell r="AC292">
            <v>80</v>
          </cell>
          <cell r="AD292">
            <v>13.49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Y292">
            <v>368180.64</v>
          </cell>
        </row>
        <row r="293">
          <cell r="A293">
            <v>2</v>
          </cell>
          <cell r="B293" t="str">
            <v>12</v>
          </cell>
          <cell r="C293" t="str">
            <v>000</v>
          </cell>
          <cell r="D293" t="str">
            <v>1</v>
          </cell>
          <cell r="E293" t="str">
            <v>420</v>
          </cell>
          <cell r="F293" t="str">
            <v>N000</v>
          </cell>
          <cell r="G293" t="str">
            <v>200</v>
          </cell>
          <cell r="H293" t="str">
            <v>1103</v>
          </cell>
          <cell r="I293" t="str">
            <v>CF04808</v>
          </cell>
          <cell r="J293" t="str">
            <v>27ZA</v>
          </cell>
          <cell r="K293" t="str">
            <v>2</v>
          </cell>
          <cell r="L293">
            <v>23</v>
          </cell>
          <cell r="M293">
            <v>0</v>
          </cell>
          <cell r="N293">
            <v>2982.9</v>
          </cell>
          <cell r="O293" t="str">
            <v>M</v>
          </cell>
          <cell r="P293" t="str">
            <v>00000000</v>
          </cell>
          <cell r="Q293">
            <v>579.4</v>
          </cell>
          <cell r="R293">
            <v>430.86</v>
          </cell>
          <cell r="S293">
            <v>82.86</v>
          </cell>
          <cell r="T293">
            <v>380.32</v>
          </cell>
          <cell r="U293">
            <v>149.15</v>
          </cell>
          <cell r="V293">
            <v>64.12</v>
          </cell>
          <cell r="W293">
            <v>59.66</v>
          </cell>
          <cell r="X293">
            <v>0</v>
          </cell>
          <cell r="Y293">
            <v>0</v>
          </cell>
          <cell r="Z293">
            <v>86.58</v>
          </cell>
          <cell r="AA293">
            <v>77</v>
          </cell>
          <cell r="AB293">
            <v>96</v>
          </cell>
          <cell r="AC293">
            <v>80</v>
          </cell>
          <cell r="AD293">
            <v>13.49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Y293">
            <v>1402725.84</v>
          </cell>
        </row>
        <row r="294">
          <cell r="A294">
            <v>2</v>
          </cell>
          <cell r="B294" t="str">
            <v>12</v>
          </cell>
          <cell r="C294" t="str">
            <v>000</v>
          </cell>
          <cell r="D294" t="str">
            <v>1</v>
          </cell>
          <cell r="E294" t="str">
            <v>101</v>
          </cell>
          <cell r="F294" t="str">
            <v>N000</v>
          </cell>
          <cell r="G294" t="str">
            <v>200</v>
          </cell>
          <cell r="H294" t="str">
            <v>1103</v>
          </cell>
          <cell r="I294" t="str">
            <v>CF04810</v>
          </cell>
          <cell r="J294" t="str">
            <v>27ZB</v>
          </cell>
          <cell r="K294" t="str">
            <v>2</v>
          </cell>
          <cell r="L294">
            <v>3</v>
          </cell>
          <cell r="M294">
            <v>0</v>
          </cell>
          <cell r="N294">
            <v>3008.65</v>
          </cell>
          <cell r="O294" t="str">
            <v>M</v>
          </cell>
          <cell r="P294" t="str">
            <v>00000000</v>
          </cell>
          <cell r="Q294">
            <v>857</v>
          </cell>
          <cell r="R294">
            <v>434.58</v>
          </cell>
          <cell r="S294">
            <v>83.57</v>
          </cell>
          <cell r="T294">
            <v>383.6</v>
          </cell>
          <cell r="U294">
            <v>150.43</v>
          </cell>
          <cell r="V294">
            <v>69.59</v>
          </cell>
          <cell r="W294">
            <v>60.17</v>
          </cell>
          <cell r="X294">
            <v>45.33</v>
          </cell>
          <cell r="Y294">
            <v>0</v>
          </cell>
          <cell r="Z294">
            <v>93.64</v>
          </cell>
          <cell r="AA294">
            <v>77</v>
          </cell>
          <cell r="AB294">
            <v>96</v>
          </cell>
          <cell r="AC294">
            <v>80</v>
          </cell>
          <cell r="AD294">
            <v>13.49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Y294">
            <v>196309.8</v>
          </cell>
        </row>
        <row r="295">
          <cell r="A295">
            <v>2</v>
          </cell>
          <cell r="B295" t="str">
            <v>12</v>
          </cell>
          <cell r="C295" t="str">
            <v>000</v>
          </cell>
          <cell r="D295" t="str">
            <v>1</v>
          </cell>
          <cell r="E295" t="str">
            <v>101</v>
          </cell>
          <cell r="F295" t="str">
            <v>N000</v>
          </cell>
          <cell r="G295" t="str">
            <v>200</v>
          </cell>
          <cell r="H295" t="str">
            <v>1103</v>
          </cell>
          <cell r="I295" t="str">
            <v>CF07805</v>
          </cell>
          <cell r="J295" t="str">
            <v>24</v>
          </cell>
          <cell r="K295" t="str">
            <v>2</v>
          </cell>
          <cell r="L295">
            <v>2</v>
          </cell>
          <cell r="M295">
            <v>0</v>
          </cell>
          <cell r="N295">
            <v>2479.75</v>
          </cell>
          <cell r="O295" t="str">
            <v>M</v>
          </cell>
          <cell r="P295" t="str">
            <v>00000000</v>
          </cell>
          <cell r="Q295">
            <v>0</v>
          </cell>
          <cell r="R295">
            <v>358.19</v>
          </cell>
          <cell r="S295">
            <v>68.88</v>
          </cell>
          <cell r="T295">
            <v>316.17</v>
          </cell>
          <cell r="U295">
            <v>123.99</v>
          </cell>
          <cell r="V295">
            <v>44.64</v>
          </cell>
          <cell r="W295">
            <v>49.59</v>
          </cell>
          <cell r="X295">
            <v>0</v>
          </cell>
          <cell r="Y295">
            <v>0</v>
          </cell>
          <cell r="Z295">
            <v>63.2</v>
          </cell>
          <cell r="AA295">
            <v>77</v>
          </cell>
          <cell r="AB295">
            <v>96</v>
          </cell>
          <cell r="AC295">
            <v>80</v>
          </cell>
          <cell r="AD295">
            <v>13.49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Y295">
            <v>90501.6</v>
          </cell>
        </row>
        <row r="296">
          <cell r="A296">
            <v>2</v>
          </cell>
          <cell r="B296" t="str">
            <v>12</v>
          </cell>
          <cell r="C296" t="str">
            <v>000</v>
          </cell>
          <cell r="D296" t="str">
            <v>1</v>
          </cell>
          <cell r="E296" t="str">
            <v>420</v>
          </cell>
          <cell r="F296" t="str">
            <v>N000</v>
          </cell>
          <cell r="G296" t="str">
            <v>200</v>
          </cell>
          <cell r="H296" t="str">
            <v>1103</v>
          </cell>
          <cell r="I296" t="str">
            <v>CF08822</v>
          </cell>
          <cell r="J296" t="str">
            <v>23</v>
          </cell>
          <cell r="K296" t="str">
            <v>2</v>
          </cell>
          <cell r="L296">
            <v>1</v>
          </cell>
          <cell r="M296">
            <v>0</v>
          </cell>
          <cell r="N296">
            <v>2451.25</v>
          </cell>
          <cell r="O296" t="str">
            <v>M</v>
          </cell>
          <cell r="P296" t="str">
            <v>00000000</v>
          </cell>
          <cell r="Q296">
            <v>0</v>
          </cell>
          <cell r="R296">
            <v>354.07</v>
          </cell>
          <cell r="S296">
            <v>68.09</v>
          </cell>
          <cell r="T296">
            <v>312.52999999999997</v>
          </cell>
          <cell r="U296">
            <v>122.56</v>
          </cell>
          <cell r="V296">
            <v>44.12</v>
          </cell>
          <cell r="W296">
            <v>49.02</v>
          </cell>
          <cell r="X296">
            <v>0</v>
          </cell>
          <cell r="Y296">
            <v>0</v>
          </cell>
          <cell r="Z296">
            <v>62.53</v>
          </cell>
          <cell r="AA296">
            <v>77</v>
          </cell>
          <cell r="AB296">
            <v>96</v>
          </cell>
          <cell r="AC296">
            <v>80</v>
          </cell>
          <cell r="AD296">
            <v>13.49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Y296">
            <v>44767.92</v>
          </cell>
        </row>
        <row r="297">
          <cell r="A297">
            <v>2</v>
          </cell>
          <cell r="B297" t="str">
            <v>12</v>
          </cell>
          <cell r="C297" t="str">
            <v>000</v>
          </cell>
          <cell r="D297" t="str">
            <v>1</v>
          </cell>
          <cell r="E297" t="str">
            <v>101</v>
          </cell>
          <cell r="F297" t="str">
            <v>N000</v>
          </cell>
          <cell r="G297" t="str">
            <v>200</v>
          </cell>
          <cell r="H297" t="str">
            <v>1103</v>
          </cell>
          <cell r="I297" t="str">
            <v>CF21807</v>
          </cell>
          <cell r="J297" t="str">
            <v>26</v>
          </cell>
          <cell r="K297" t="str">
            <v>2</v>
          </cell>
          <cell r="L297">
            <v>1</v>
          </cell>
          <cell r="M297">
            <v>0</v>
          </cell>
          <cell r="N297">
            <v>2692.2</v>
          </cell>
          <cell r="O297" t="str">
            <v>M</v>
          </cell>
          <cell r="P297" t="str">
            <v>00000000</v>
          </cell>
          <cell r="Q297">
            <v>0</v>
          </cell>
          <cell r="R297">
            <v>388.87</v>
          </cell>
          <cell r="S297">
            <v>74.78</v>
          </cell>
          <cell r="T297">
            <v>343.26</v>
          </cell>
          <cell r="U297">
            <v>134.61000000000001</v>
          </cell>
          <cell r="V297">
            <v>48.46</v>
          </cell>
          <cell r="W297">
            <v>53.84</v>
          </cell>
          <cell r="X297">
            <v>0</v>
          </cell>
          <cell r="Y297">
            <v>0</v>
          </cell>
          <cell r="Z297">
            <v>68.180000000000007</v>
          </cell>
          <cell r="AA297">
            <v>77</v>
          </cell>
          <cell r="AB297">
            <v>96</v>
          </cell>
          <cell r="AC297">
            <v>80</v>
          </cell>
          <cell r="AD297">
            <v>13.49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Y297">
            <v>48848.28</v>
          </cell>
        </row>
        <row r="298">
          <cell r="A298">
            <v>2</v>
          </cell>
          <cell r="B298" t="str">
            <v>12</v>
          </cell>
          <cell r="C298" t="str">
            <v>000</v>
          </cell>
          <cell r="D298" t="str">
            <v>1</v>
          </cell>
          <cell r="E298" t="str">
            <v>420</v>
          </cell>
          <cell r="F298" t="str">
            <v>N000</v>
          </cell>
          <cell r="G298" t="str">
            <v>200</v>
          </cell>
          <cell r="H298" t="str">
            <v>1103</v>
          </cell>
          <cell r="I298" t="str">
            <v>CF21807</v>
          </cell>
          <cell r="J298" t="str">
            <v>26</v>
          </cell>
          <cell r="K298" t="str">
            <v>2</v>
          </cell>
          <cell r="L298">
            <v>1</v>
          </cell>
          <cell r="M298">
            <v>0</v>
          </cell>
          <cell r="N298">
            <v>2692.2</v>
          </cell>
          <cell r="O298" t="str">
            <v>M</v>
          </cell>
          <cell r="P298" t="str">
            <v>00000000</v>
          </cell>
          <cell r="Q298">
            <v>0</v>
          </cell>
          <cell r="R298">
            <v>388.87</v>
          </cell>
          <cell r="S298">
            <v>74.78</v>
          </cell>
          <cell r="T298">
            <v>343.26</v>
          </cell>
          <cell r="U298">
            <v>134.61000000000001</v>
          </cell>
          <cell r="V298">
            <v>48.46</v>
          </cell>
          <cell r="W298">
            <v>53.84</v>
          </cell>
          <cell r="X298">
            <v>0</v>
          </cell>
          <cell r="Y298">
            <v>0</v>
          </cell>
          <cell r="Z298">
            <v>68.180000000000007</v>
          </cell>
          <cell r="AA298">
            <v>77</v>
          </cell>
          <cell r="AB298">
            <v>96</v>
          </cell>
          <cell r="AC298">
            <v>80</v>
          </cell>
          <cell r="AD298">
            <v>13.49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Y298">
            <v>48848.28</v>
          </cell>
        </row>
        <row r="299">
          <cell r="A299">
            <v>2</v>
          </cell>
          <cell r="B299" t="str">
            <v>12</v>
          </cell>
          <cell r="C299" t="str">
            <v>000</v>
          </cell>
          <cell r="D299" t="str">
            <v>1</v>
          </cell>
          <cell r="E299" t="str">
            <v>420</v>
          </cell>
          <cell r="F299" t="str">
            <v>N000</v>
          </cell>
          <cell r="G299" t="str">
            <v>200</v>
          </cell>
          <cell r="H299" t="str">
            <v>1103</v>
          </cell>
          <cell r="I299" t="str">
            <v>CF21829</v>
          </cell>
          <cell r="J299" t="str">
            <v>27ZB</v>
          </cell>
          <cell r="K299" t="str">
            <v>2</v>
          </cell>
          <cell r="L299">
            <v>6</v>
          </cell>
          <cell r="M299">
            <v>0</v>
          </cell>
          <cell r="N299">
            <v>3008.65</v>
          </cell>
          <cell r="O299" t="str">
            <v>M</v>
          </cell>
          <cell r="P299" t="str">
            <v>00000000</v>
          </cell>
          <cell r="Q299">
            <v>857</v>
          </cell>
          <cell r="R299">
            <v>434.58</v>
          </cell>
          <cell r="S299">
            <v>83.57</v>
          </cell>
          <cell r="T299">
            <v>383.6</v>
          </cell>
          <cell r="U299">
            <v>150.43</v>
          </cell>
          <cell r="V299">
            <v>69.59</v>
          </cell>
          <cell r="W299">
            <v>60.17</v>
          </cell>
          <cell r="X299">
            <v>0</v>
          </cell>
          <cell r="Y299">
            <v>0</v>
          </cell>
          <cell r="Z299">
            <v>92.74</v>
          </cell>
          <cell r="AA299">
            <v>77</v>
          </cell>
          <cell r="AB299">
            <v>96</v>
          </cell>
          <cell r="AC299">
            <v>80</v>
          </cell>
          <cell r="AD299">
            <v>13.49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Y299">
            <v>389291.04</v>
          </cell>
        </row>
        <row r="300">
          <cell r="A300">
            <v>2</v>
          </cell>
          <cell r="B300" t="str">
            <v>12</v>
          </cell>
          <cell r="C300" t="str">
            <v>000</v>
          </cell>
          <cell r="D300" t="str">
            <v>1</v>
          </cell>
          <cell r="E300" t="str">
            <v>420</v>
          </cell>
          <cell r="F300" t="str">
            <v>N000</v>
          </cell>
          <cell r="G300" t="str">
            <v>200</v>
          </cell>
          <cell r="H300" t="str">
            <v>1103</v>
          </cell>
          <cell r="I300" t="str">
            <v>CF21858</v>
          </cell>
          <cell r="J300" t="str">
            <v>27ZA</v>
          </cell>
          <cell r="K300" t="str">
            <v>2</v>
          </cell>
          <cell r="L300">
            <v>4</v>
          </cell>
          <cell r="M300">
            <v>0</v>
          </cell>
          <cell r="N300">
            <v>2982.9</v>
          </cell>
          <cell r="O300" t="str">
            <v>M</v>
          </cell>
          <cell r="P300" t="str">
            <v>00000000</v>
          </cell>
          <cell r="Q300">
            <v>579.4</v>
          </cell>
          <cell r="R300">
            <v>430.86</v>
          </cell>
          <cell r="S300">
            <v>82.86</v>
          </cell>
          <cell r="T300">
            <v>380.32</v>
          </cell>
          <cell r="U300">
            <v>149.15</v>
          </cell>
          <cell r="V300">
            <v>64.12</v>
          </cell>
          <cell r="W300">
            <v>59.66</v>
          </cell>
          <cell r="X300">
            <v>0</v>
          </cell>
          <cell r="Y300">
            <v>0</v>
          </cell>
          <cell r="Z300">
            <v>86.58</v>
          </cell>
          <cell r="AA300">
            <v>77</v>
          </cell>
          <cell r="AB300">
            <v>96</v>
          </cell>
          <cell r="AC300">
            <v>80</v>
          </cell>
          <cell r="AD300">
            <v>13.49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Y300">
            <v>243952.32</v>
          </cell>
        </row>
        <row r="301">
          <cell r="A301">
            <v>2</v>
          </cell>
          <cell r="B301" t="str">
            <v>12</v>
          </cell>
          <cell r="C301" t="str">
            <v>000</v>
          </cell>
          <cell r="D301" t="str">
            <v>1</v>
          </cell>
          <cell r="E301" t="str">
            <v>101</v>
          </cell>
          <cell r="F301" t="str">
            <v>N000</v>
          </cell>
          <cell r="G301" t="str">
            <v>200</v>
          </cell>
          <cell r="H301" t="str">
            <v>1103</v>
          </cell>
          <cell r="I301" t="str">
            <v>CF21859</v>
          </cell>
          <cell r="J301" t="str">
            <v>27ZB</v>
          </cell>
          <cell r="K301" t="str">
            <v>2</v>
          </cell>
          <cell r="L301">
            <v>4</v>
          </cell>
          <cell r="M301">
            <v>0</v>
          </cell>
          <cell r="N301">
            <v>3008.65</v>
          </cell>
          <cell r="O301" t="str">
            <v>M</v>
          </cell>
          <cell r="P301" t="str">
            <v>00000000</v>
          </cell>
          <cell r="Q301">
            <v>857</v>
          </cell>
          <cell r="R301">
            <v>434.58</v>
          </cell>
          <cell r="S301">
            <v>83.57</v>
          </cell>
          <cell r="T301">
            <v>383.6</v>
          </cell>
          <cell r="U301">
            <v>150.43</v>
          </cell>
          <cell r="V301">
            <v>69.59</v>
          </cell>
          <cell r="W301">
            <v>60.17</v>
          </cell>
          <cell r="X301">
            <v>25.25</v>
          </cell>
          <cell r="Y301">
            <v>0</v>
          </cell>
          <cell r="Z301">
            <v>93.24</v>
          </cell>
          <cell r="AA301">
            <v>77</v>
          </cell>
          <cell r="AB301">
            <v>96</v>
          </cell>
          <cell r="AC301">
            <v>80</v>
          </cell>
          <cell r="AD301">
            <v>13.49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Y301">
            <v>260763.36</v>
          </cell>
        </row>
        <row r="302">
          <cell r="A302">
            <v>2</v>
          </cell>
          <cell r="B302" t="str">
            <v>12</v>
          </cell>
          <cell r="C302" t="str">
            <v>000</v>
          </cell>
          <cell r="D302" t="str">
            <v>1</v>
          </cell>
          <cell r="E302" t="str">
            <v>420</v>
          </cell>
          <cell r="F302" t="str">
            <v>N000</v>
          </cell>
          <cell r="G302" t="str">
            <v>200</v>
          </cell>
          <cell r="H302" t="str">
            <v>1103</v>
          </cell>
          <cell r="I302" t="str">
            <v>CF21859</v>
          </cell>
          <cell r="J302" t="str">
            <v>27ZB</v>
          </cell>
          <cell r="K302" t="str">
            <v>2</v>
          </cell>
          <cell r="L302">
            <v>1</v>
          </cell>
          <cell r="M302">
            <v>0</v>
          </cell>
          <cell r="N302">
            <v>3008.65</v>
          </cell>
          <cell r="O302" t="str">
            <v>M</v>
          </cell>
          <cell r="P302" t="str">
            <v>00000000</v>
          </cell>
          <cell r="Q302">
            <v>857</v>
          </cell>
          <cell r="R302">
            <v>434.58</v>
          </cell>
          <cell r="S302">
            <v>83.57</v>
          </cell>
          <cell r="T302">
            <v>383.6</v>
          </cell>
          <cell r="U302">
            <v>150.43</v>
          </cell>
          <cell r="V302">
            <v>69.59</v>
          </cell>
          <cell r="W302">
            <v>60.17</v>
          </cell>
          <cell r="X302">
            <v>0</v>
          </cell>
          <cell r="Y302">
            <v>0</v>
          </cell>
          <cell r="Z302">
            <v>92.74</v>
          </cell>
          <cell r="AA302">
            <v>77</v>
          </cell>
          <cell r="AB302">
            <v>96</v>
          </cell>
          <cell r="AC302">
            <v>80</v>
          </cell>
          <cell r="AD302">
            <v>13.49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Y302">
            <v>64881.84</v>
          </cell>
        </row>
        <row r="303">
          <cell r="A303">
            <v>2</v>
          </cell>
          <cell r="B303" t="str">
            <v>12</v>
          </cell>
          <cell r="C303" t="str">
            <v>000</v>
          </cell>
          <cell r="D303" t="str">
            <v>1</v>
          </cell>
          <cell r="E303" t="str">
            <v>101</v>
          </cell>
          <cell r="F303" t="str">
            <v>N000</v>
          </cell>
          <cell r="G303" t="str">
            <v>200</v>
          </cell>
          <cell r="H303" t="str">
            <v>1103</v>
          </cell>
          <cell r="I303" t="str">
            <v>CF21864</v>
          </cell>
          <cell r="J303" t="str">
            <v>27C</v>
          </cell>
          <cell r="K303" t="str">
            <v>1</v>
          </cell>
          <cell r="L303">
            <v>33</v>
          </cell>
          <cell r="M303">
            <v>0</v>
          </cell>
          <cell r="N303">
            <v>3268.2</v>
          </cell>
          <cell r="O303" t="str">
            <v>M</v>
          </cell>
          <cell r="P303" t="str">
            <v>00000000</v>
          </cell>
          <cell r="Q303">
            <v>4783.05</v>
          </cell>
          <cell r="R303">
            <v>472.07</v>
          </cell>
          <cell r="S303">
            <v>90.78</v>
          </cell>
          <cell r="T303">
            <v>416.7</v>
          </cell>
          <cell r="U303">
            <v>163.41</v>
          </cell>
          <cell r="V303">
            <v>144.91999999999999</v>
          </cell>
          <cell r="W303">
            <v>65.36</v>
          </cell>
          <cell r="X303">
            <v>52.45</v>
          </cell>
          <cell r="Y303">
            <v>0</v>
          </cell>
          <cell r="Z303">
            <v>174.87</v>
          </cell>
          <cell r="AA303">
            <v>77</v>
          </cell>
          <cell r="AB303">
            <v>0</v>
          </cell>
          <cell r="AC303">
            <v>0</v>
          </cell>
          <cell r="AD303">
            <v>13.49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Y303">
            <v>3850030.8</v>
          </cell>
        </row>
        <row r="304">
          <cell r="A304">
            <v>2</v>
          </cell>
          <cell r="B304" t="str">
            <v>12</v>
          </cell>
          <cell r="C304" t="str">
            <v>000</v>
          </cell>
          <cell r="D304" t="str">
            <v>1</v>
          </cell>
          <cell r="E304" t="str">
            <v>420</v>
          </cell>
          <cell r="F304" t="str">
            <v>N000</v>
          </cell>
          <cell r="G304" t="str">
            <v>200</v>
          </cell>
          <cell r="H304" t="str">
            <v>1103</v>
          </cell>
          <cell r="I304" t="str">
            <v>CF21864</v>
          </cell>
          <cell r="J304" t="str">
            <v>27C</v>
          </cell>
          <cell r="K304" t="str">
            <v>1</v>
          </cell>
          <cell r="L304">
            <v>16</v>
          </cell>
          <cell r="M304">
            <v>0</v>
          </cell>
          <cell r="N304">
            <v>3268.2</v>
          </cell>
          <cell r="O304" t="str">
            <v>M</v>
          </cell>
          <cell r="P304" t="str">
            <v>00000000</v>
          </cell>
          <cell r="Q304">
            <v>4783.05</v>
          </cell>
          <cell r="R304">
            <v>472.07</v>
          </cell>
          <cell r="S304">
            <v>90.78</v>
          </cell>
          <cell r="T304">
            <v>416.7</v>
          </cell>
          <cell r="U304">
            <v>163.41</v>
          </cell>
          <cell r="V304">
            <v>144.91999999999999</v>
          </cell>
          <cell r="W304">
            <v>65.36</v>
          </cell>
          <cell r="X304">
            <v>0</v>
          </cell>
          <cell r="Y304">
            <v>0</v>
          </cell>
          <cell r="Z304">
            <v>173.82</v>
          </cell>
          <cell r="AA304">
            <v>77</v>
          </cell>
          <cell r="AB304">
            <v>0</v>
          </cell>
          <cell r="AC304">
            <v>0</v>
          </cell>
          <cell r="AD304">
            <v>13.49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Y304">
            <v>1856409.6000000001</v>
          </cell>
        </row>
        <row r="305">
          <cell r="A305">
            <v>2</v>
          </cell>
          <cell r="B305" t="str">
            <v>12</v>
          </cell>
          <cell r="C305" t="str">
            <v>000</v>
          </cell>
          <cell r="D305" t="str">
            <v>1</v>
          </cell>
          <cell r="E305" t="str">
            <v>101</v>
          </cell>
          <cell r="F305" t="str">
            <v>N000</v>
          </cell>
          <cell r="G305" t="str">
            <v>200</v>
          </cell>
          <cell r="H305" t="str">
            <v>1103</v>
          </cell>
          <cell r="I305" t="str">
            <v>CF21865</v>
          </cell>
          <cell r="J305" t="str">
            <v>27B</v>
          </cell>
          <cell r="K305" t="str">
            <v>1</v>
          </cell>
          <cell r="L305">
            <v>1</v>
          </cell>
          <cell r="M305">
            <v>0</v>
          </cell>
          <cell r="N305">
            <v>3222.2</v>
          </cell>
          <cell r="O305" t="str">
            <v>M</v>
          </cell>
          <cell r="P305" t="str">
            <v>00000000</v>
          </cell>
          <cell r="Q305">
            <v>3558.85</v>
          </cell>
          <cell r="R305">
            <v>465.43</v>
          </cell>
          <cell r="S305">
            <v>89.51</v>
          </cell>
          <cell r="T305">
            <v>410.83</v>
          </cell>
          <cell r="U305">
            <v>161.11000000000001</v>
          </cell>
          <cell r="V305">
            <v>122.06</v>
          </cell>
          <cell r="W305">
            <v>64.44</v>
          </cell>
          <cell r="X305">
            <v>55</v>
          </cell>
          <cell r="Y305">
            <v>0</v>
          </cell>
          <cell r="Z305">
            <v>149.36000000000001</v>
          </cell>
          <cell r="AA305">
            <v>77</v>
          </cell>
          <cell r="AB305">
            <v>0</v>
          </cell>
          <cell r="AC305">
            <v>0</v>
          </cell>
          <cell r="AD305">
            <v>13.49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Y305">
            <v>100671.36</v>
          </cell>
        </row>
        <row r="306">
          <cell r="A306">
            <v>2</v>
          </cell>
          <cell r="B306" t="str">
            <v>12</v>
          </cell>
          <cell r="C306" t="str">
            <v>000</v>
          </cell>
          <cell r="D306" t="str">
            <v>1</v>
          </cell>
          <cell r="E306" t="str">
            <v>420</v>
          </cell>
          <cell r="F306" t="str">
            <v>N000</v>
          </cell>
          <cell r="G306" t="str">
            <v>200</v>
          </cell>
          <cell r="H306" t="str">
            <v>1103</v>
          </cell>
          <cell r="I306" t="str">
            <v>CF21865</v>
          </cell>
          <cell r="J306" t="str">
            <v>27B</v>
          </cell>
          <cell r="K306" t="str">
            <v>1</v>
          </cell>
          <cell r="L306">
            <v>2</v>
          </cell>
          <cell r="M306">
            <v>0</v>
          </cell>
          <cell r="N306">
            <v>3222.2</v>
          </cell>
          <cell r="O306" t="str">
            <v>M</v>
          </cell>
          <cell r="P306" t="str">
            <v>00000000</v>
          </cell>
          <cell r="Q306">
            <v>3558.85</v>
          </cell>
          <cell r="R306">
            <v>465.43</v>
          </cell>
          <cell r="S306">
            <v>89.51</v>
          </cell>
          <cell r="T306">
            <v>410.83</v>
          </cell>
          <cell r="U306">
            <v>161.11000000000001</v>
          </cell>
          <cell r="V306">
            <v>122.06</v>
          </cell>
          <cell r="W306">
            <v>64.44</v>
          </cell>
          <cell r="X306">
            <v>0</v>
          </cell>
          <cell r="Y306">
            <v>0</v>
          </cell>
          <cell r="Z306">
            <v>148.26</v>
          </cell>
          <cell r="AA306">
            <v>77</v>
          </cell>
          <cell r="AB306">
            <v>0</v>
          </cell>
          <cell r="AC306">
            <v>0</v>
          </cell>
          <cell r="AD306">
            <v>13.49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Y306">
            <v>199996.32</v>
          </cell>
        </row>
        <row r="307">
          <cell r="A307">
            <v>2</v>
          </cell>
          <cell r="B307" t="str">
            <v>12</v>
          </cell>
          <cell r="C307" t="str">
            <v>000</v>
          </cell>
          <cell r="D307" t="str">
            <v>1</v>
          </cell>
          <cell r="E307" t="str">
            <v>420</v>
          </cell>
          <cell r="F307" t="str">
            <v>N000</v>
          </cell>
          <cell r="G307" t="str">
            <v>200</v>
          </cell>
          <cell r="H307" t="str">
            <v>1103</v>
          </cell>
          <cell r="I307" t="str">
            <v>CF21868</v>
          </cell>
          <cell r="J307" t="str">
            <v>27A</v>
          </cell>
          <cell r="K307" t="str">
            <v>1</v>
          </cell>
          <cell r="L307">
            <v>6</v>
          </cell>
          <cell r="M307">
            <v>0</v>
          </cell>
          <cell r="N307">
            <v>3185.4</v>
          </cell>
          <cell r="O307" t="str">
            <v>M</v>
          </cell>
          <cell r="P307" t="str">
            <v>00000000</v>
          </cell>
          <cell r="Q307">
            <v>2791.7</v>
          </cell>
          <cell r="R307">
            <v>460.11</v>
          </cell>
          <cell r="S307">
            <v>88.48</v>
          </cell>
          <cell r="T307">
            <v>406.14</v>
          </cell>
          <cell r="U307">
            <v>159.27000000000001</v>
          </cell>
          <cell r="V307">
            <v>107.59</v>
          </cell>
          <cell r="W307">
            <v>63.71</v>
          </cell>
          <cell r="X307">
            <v>0</v>
          </cell>
          <cell r="Y307">
            <v>0</v>
          </cell>
          <cell r="Z307">
            <v>132.05000000000001</v>
          </cell>
          <cell r="AA307">
            <v>77</v>
          </cell>
          <cell r="AB307">
            <v>0</v>
          </cell>
          <cell r="AC307">
            <v>0</v>
          </cell>
          <cell r="AD307">
            <v>13.49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Y307">
            <v>538915.68000000005</v>
          </cell>
        </row>
        <row r="308">
          <cell r="A308">
            <v>2</v>
          </cell>
          <cell r="B308" t="str">
            <v>12</v>
          </cell>
          <cell r="C308" t="str">
            <v>000</v>
          </cell>
          <cell r="D308" t="str">
            <v>1</v>
          </cell>
          <cell r="E308" t="str">
            <v>420</v>
          </cell>
          <cell r="F308" t="str">
            <v>N000</v>
          </cell>
          <cell r="G308" t="str">
            <v>200</v>
          </cell>
          <cell r="H308" t="str">
            <v>1103</v>
          </cell>
          <cell r="I308" t="str">
            <v>CF21870</v>
          </cell>
          <cell r="J308" t="str">
            <v>27C</v>
          </cell>
          <cell r="K308" t="str">
            <v>1</v>
          </cell>
          <cell r="L308">
            <v>1</v>
          </cell>
          <cell r="M308">
            <v>0</v>
          </cell>
          <cell r="N308">
            <v>3268.2</v>
          </cell>
          <cell r="O308" t="str">
            <v>M</v>
          </cell>
          <cell r="P308" t="str">
            <v>00000000</v>
          </cell>
          <cell r="Q308">
            <v>4783.05</v>
          </cell>
          <cell r="R308">
            <v>472.07</v>
          </cell>
          <cell r="S308">
            <v>90.78</v>
          </cell>
          <cell r="T308">
            <v>416.7</v>
          </cell>
          <cell r="U308">
            <v>163.41</v>
          </cell>
          <cell r="V308">
            <v>144.91999999999999</v>
          </cell>
          <cell r="W308">
            <v>65.36</v>
          </cell>
          <cell r="X308">
            <v>0</v>
          </cell>
          <cell r="Y308">
            <v>0</v>
          </cell>
          <cell r="Z308">
            <v>173.82</v>
          </cell>
          <cell r="AA308">
            <v>77</v>
          </cell>
          <cell r="AB308">
            <v>0</v>
          </cell>
          <cell r="AC308">
            <v>0</v>
          </cell>
          <cell r="AD308">
            <v>13.49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Y308">
            <v>116025.60000000001</v>
          </cell>
        </row>
        <row r="309">
          <cell r="A309">
            <v>2</v>
          </cell>
          <cell r="B309" t="str">
            <v>12</v>
          </cell>
          <cell r="C309" t="str">
            <v>000</v>
          </cell>
          <cell r="D309" t="str">
            <v>1</v>
          </cell>
          <cell r="E309" t="str">
            <v>101</v>
          </cell>
          <cell r="F309" t="str">
            <v>N000</v>
          </cell>
          <cell r="G309" t="str">
            <v>200</v>
          </cell>
          <cell r="H309" t="str">
            <v>1103</v>
          </cell>
          <cell r="I309" t="str">
            <v>CF33834</v>
          </cell>
          <cell r="J309" t="str">
            <v>27</v>
          </cell>
          <cell r="K309" t="str">
            <v>2</v>
          </cell>
          <cell r="L309">
            <v>2</v>
          </cell>
          <cell r="M309">
            <v>0</v>
          </cell>
          <cell r="N309">
            <v>2817.8</v>
          </cell>
          <cell r="O309" t="str">
            <v>M</v>
          </cell>
          <cell r="P309" t="str">
            <v>00000000</v>
          </cell>
          <cell r="Q309">
            <v>0</v>
          </cell>
          <cell r="R309">
            <v>407.02</v>
          </cell>
          <cell r="S309">
            <v>78.27</v>
          </cell>
          <cell r="T309">
            <v>359.27</v>
          </cell>
          <cell r="U309">
            <v>140.88999999999999</v>
          </cell>
          <cell r="V309">
            <v>50.72</v>
          </cell>
          <cell r="W309">
            <v>56.36</v>
          </cell>
          <cell r="X309">
            <v>109</v>
          </cell>
          <cell r="Y309">
            <v>0</v>
          </cell>
          <cell r="Z309">
            <v>73.3</v>
          </cell>
          <cell r="AA309">
            <v>77</v>
          </cell>
          <cell r="AB309">
            <v>96</v>
          </cell>
          <cell r="AC309">
            <v>80</v>
          </cell>
          <cell r="AD309">
            <v>13.49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Y309">
            <v>104618.88</v>
          </cell>
        </row>
        <row r="310">
          <cell r="A310">
            <v>2</v>
          </cell>
          <cell r="B310" t="str">
            <v>12</v>
          </cell>
          <cell r="C310" t="str">
            <v>000</v>
          </cell>
          <cell r="D310" t="str">
            <v>1</v>
          </cell>
          <cell r="E310" t="str">
            <v>420</v>
          </cell>
          <cell r="F310" t="str">
            <v>N000</v>
          </cell>
          <cell r="G310" t="str">
            <v>200</v>
          </cell>
          <cell r="H310" t="str">
            <v>1103</v>
          </cell>
          <cell r="I310" t="str">
            <v>CF33834</v>
          </cell>
          <cell r="J310" t="str">
            <v>27</v>
          </cell>
          <cell r="K310" t="str">
            <v>2</v>
          </cell>
          <cell r="L310">
            <v>8</v>
          </cell>
          <cell r="M310">
            <v>0</v>
          </cell>
          <cell r="N310">
            <v>2817.8</v>
          </cell>
          <cell r="O310" t="str">
            <v>M</v>
          </cell>
          <cell r="P310" t="str">
            <v>00000000</v>
          </cell>
          <cell r="Q310">
            <v>0</v>
          </cell>
          <cell r="R310">
            <v>407.02</v>
          </cell>
          <cell r="S310">
            <v>78.27</v>
          </cell>
          <cell r="T310">
            <v>359.27</v>
          </cell>
          <cell r="U310">
            <v>140.88999999999999</v>
          </cell>
          <cell r="V310">
            <v>50.72</v>
          </cell>
          <cell r="W310">
            <v>56.36</v>
          </cell>
          <cell r="X310">
            <v>20.5</v>
          </cell>
          <cell r="Y310">
            <v>0</v>
          </cell>
          <cell r="Z310">
            <v>71.53</v>
          </cell>
          <cell r="AA310">
            <v>77</v>
          </cell>
          <cell r="AB310">
            <v>96</v>
          </cell>
          <cell r="AC310">
            <v>80</v>
          </cell>
          <cell r="AD310">
            <v>13.49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Y310">
            <v>409809.6</v>
          </cell>
        </row>
        <row r="311">
          <cell r="A311">
            <v>2</v>
          </cell>
          <cell r="B311" t="str">
            <v>12</v>
          </cell>
          <cell r="C311" t="str">
            <v>000</v>
          </cell>
          <cell r="D311" t="str">
            <v>1</v>
          </cell>
          <cell r="E311" t="str">
            <v>101</v>
          </cell>
          <cell r="F311" t="str">
            <v>N000</v>
          </cell>
          <cell r="G311" t="str">
            <v>200</v>
          </cell>
          <cell r="H311" t="str">
            <v>1103</v>
          </cell>
          <cell r="I311" t="str">
            <v>CF33892</v>
          </cell>
          <cell r="J311" t="str">
            <v>27ZA</v>
          </cell>
          <cell r="K311" t="str">
            <v>2</v>
          </cell>
          <cell r="L311">
            <v>27</v>
          </cell>
          <cell r="M311">
            <v>0</v>
          </cell>
          <cell r="N311">
            <v>2982.9</v>
          </cell>
          <cell r="O311" t="str">
            <v>M</v>
          </cell>
          <cell r="P311" t="str">
            <v>00000000</v>
          </cell>
          <cell r="Q311">
            <v>579.4</v>
          </cell>
          <cell r="R311">
            <v>430.86</v>
          </cell>
          <cell r="S311">
            <v>82.86</v>
          </cell>
          <cell r="T311">
            <v>380.32</v>
          </cell>
          <cell r="U311">
            <v>149.15</v>
          </cell>
          <cell r="V311">
            <v>64.12</v>
          </cell>
          <cell r="W311">
            <v>59.66</v>
          </cell>
          <cell r="X311">
            <v>96</v>
          </cell>
          <cell r="Y311">
            <v>0</v>
          </cell>
          <cell r="Z311">
            <v>88.5</v>
          </cell>
          <cell r="AA311">
            <v>77</v>
          </cell>
          <cell r="AB311">
            <v>96</v>
          </cell>
          <cell r="AC311">
            <v>80</v>
          </cell>
          <cell r="AD311">
            <v>13.49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Y311">
            <v>1678404.24</v>
          </cell>
        </row>
        <row r="312">
          <cell r="A312">
            <v>2</v>
          </cell>
          <cell r="B312" t="str">
            <v>12</v>
          </cell>
          <cell r="C312" t="str">
            <v>000</v>
          </cell>
          <cell r="D312" t="str">
            <v>1</v>
          </cell>
          <cell r="E312" t="str">
            <v>420</v>
          </cell>
          <cell r="F312" t="str">
            <v>N000</v>
          </cell>
          <cell r="G312" t="str">
            <v>200</v>
          </cell>
          <cell r="H312" t="str">
            <v>1103</v>
          </cell>
          <cell r="I312" t="str">
            <v>CF33892</v>
          </cell>
          <cell r="J312" t="str">
            <v>27ZA</v>
          </cell>
          <cell r="K312" t="str">
            <v>2</v>
          </cell>
          <cell r="L312">
            <v>56</v>
          </cell>
          <cell r="M312">
            <v>0</v>
          </cell>
          <cell r="N312">
            <v>2982.9</v>
          </cell>
          <cell r="O312" t="str">
            <v>M</v>
          </cell>
          <cell r="P312" t="str">
            <v>00000000</v>
          </cell>
          <cell r="Q312">
            <v>579.4</v>
          </cell>
          <cell r="R312">
            <v>430.86</v>
          </cell>
          <cell r="S312">
            <v>82.86</v>
          </cell>
          <cell r="T312">
            <v>380.32</v>
          </cell>
          <cell r="U312">
            <v>149.15</v>
          </cell>
          <cell r="V312">
            <v>64.12</v>
          </cell>
          <cell r="W312">
            <v>59.66</v>
          </cell>
          <cell r="X312">
            <v>59.48</v>
          </cell>
          <cell r="Y312">
            <v>0</v>
          </cell>
          <cell r="Z312">
            <v>87.77</v>
          </cell>
          <cell r="AA312">
            <v>77</v>
          </cell>
          <cell r="AB312">
            <v>96</v>
          </cell>
          <cell r="AC312">
            <v>80</v>
          </cell>
          <cell r="AD312">
            <v>13.49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Y312">
            <v>3456102.72</v>
          </cell>
        </row>
        <row r="313">
          <cell r="A313">
            <v>2</v>
          </cell>
          <cell r="B313" t="str">
            <v>12</v>
          </cell>
          <cell r="C313" t="str">
            <v>000</v>
          </cell>
          <cell r="D313" t="str">
            <v>1</v>
          </cell>
          <cell r="E313" t="str">
            <v>420</v>
          </cell>
          <cell r="F313" t="str">
            <v>N000</v>
          </cell>
          <cell r="G313" t="str">
            <v>200</v>
          </cell>
          <cell r="H313" t="str">
            <v>1103</v>
          </cell>
          <cell r="I313" t="str">
            <v>CF34806</v>
          </cell>
          <cell r="J313" t="str">
            <v>23</v>
          </cell>
          <cell r="K313" t="str">
            <v>2</v>
          </cell>
          <cell r="L313">
            <v>3</v>
          </cell>
          <cell r="M313">
            <v>0</v>
          </cell>
          <cell r="N313">
            <v>2451.25</v>
          </cell>
          <cell r="O313" t="str">
            <v>M</v>
          </cell>
          <cell r="P313" t="str">
            <v>00000000</v>
          </cell>
          <cell r="Q313">
            <v>0</v>
          </cell>
          <cell r="R313">
            <v>354.07</v>
          </cell>
          <cell r="S313">
            <v>68.09</v>
          </cell>
          <cell r="T313">
            <v>312.52999999999997</v>
          </cell>
          <cell r="U313">
            <v>122.56</v>
          </cell>
          <cell r="V313">
            <v>44.12</v>
          </cell>
          <cell r="W313">
            <v>49.02</v>
          </cell>
          <cell r="X313">
            <v>0</v>
          </cell>
          <cell r="Y313">
            <v>0</v>
          </cell>
          <cell r="Z313">
            <v>62.53</v>
          </cell>
          <cell r="AA313">
            <v>77</v>
          </cell>
          <cell r="AB313">
            <v>96</v>
          </cell>
          <cell r="AC313">
            <v>80</v>
          </cell>
          <cell r="AD313">
            <v>13.49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Y313">
            <v>134303.76</v>
          </cell>
        </row>
        <row r="314">
          <cell r="A314">
            <v>2</v>
          </cell>
          <cell r="B314" t="str">
            <v>12</v>
          </cell>
          <cell r="C314" t="str">
            <v>000</v>
          </cell>
          <cell r="D314" t="str">
            <v>1</v>
          </cell>
          <cell r="E314" t="str">
            <v>420</v>
          </cell>
          <cell r="F314" t="str">
            <v>N000</v>
          </cell>
          <cell r="G314" t="str">
            <v>200</v>
          </cell>
          <cell r="H314" t="str">
            <v>1103</v>
          </cell>
          <cell r="I314" t="str">
            <v>CF34813</v>
          </cell>
          <cell r="J314" t="str">
            <v>27</v>
          </cell>
          <cell r="K314" t="str">
            <v>2</v>
          </cell>
          <cell r="L314">
            <v>7</v>
          </cell>
          <cell r="M314">
            <v>0</v>
          </cell>
          <cell r="N314">
            <v>2817.8</v>
          </cell>
          <cell r="O314" t="str">
            <v>M</v>
          </cell>
          <cell r="P314" t="str">
            <v>00000000</v>
          </cell>
          <cell r="Q314">
            <v>0</v>
          </cell>
          <cell r="R314">
            <v>407.02</v>
          </cell>
          <cell r="S314">
            <v>78.27</v>
          </cell>
          <cell r="T314">
            <v>359.27</v>
          </cell>
          <cell r="U314">
            <v>140.88999999999999</v>
          </cell>
          <cell r="V314">
            <v>50.72</v>
          </cell>
          <cell r="W314">
            <v>56.36</v>
          </cell>
          <cell r="X314">
            <v>0</v>
          </cell>
          <cell r="Y314">
            <v>0</v>
          </cell>
          <cell r="Z314">
            <v>71.12</v>
          </cell>
          <cell r="AA314">
            <v>77</v>
          </cell>
          <cell r="AB314">
            <v>96</v>
          </cell>
          <cell r="AC314">
            <v>80</v>
          </cell>
          <cell r="AD314">
            <v>13.49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Y314">
            <v>356826.96</v>
          </cell>
        </row>
        <row r="315">
          <cell r="A315">
            <v>2</v>
          </cell>
          <cell r="B315" t="str">
            <v>12</v>
          </cell>
          <cell r="C315" t="str">
            <v>000</v>
          </cell>
          <cell r="D315" t="str">
            <v>1</v>
          </cell>
          <cell r="E315" t="str">
            <v>101</v>
          </cell>
          <cell r="F315" t="str">
            <v>N000</v>
          </cell>
          <cell r="G315" t="str">
            <v>200</v>
          </cell>
          <cell r="H315" t="str">
            <v>1103</v>
          </cell>
          <cell r="I315" t="str">
            <v>CF34834</v>
          </cell>
          <cell r="J315" t="str">
            <v>27ZA</v>
          </cell>
          <cell r="K315" t="str">
            <v>2</v>
          </cell>
          <cell r="L315">
            <v>3</v>
          </cell>
          <cell r="M315">
            <v>0</v>
          </cell>
          <cell r="N315">
            <v>2982.9</v>
          </cell>
          <cell r="O315" t="str">
            <v>M</v>
          </cell>
          <cell r="P315" t="str">
            <v>00000000</v>
          </cell>
          <cell r="Q315">
            <v>579.4</v>
          </cell>
          <cell r="R315">
            <v>430.86</v>
          </cell>
          <cell r="S315">
            <v>82.86</v>
          </cell>
          <cell r="T315">
            <v>380.32</v>
          </cell>
          <cell r="U315">
            <v>149.15</v>
          </cell>
          <cell r="V315">
            <v>64.12</v>
          </cell>
          <cell r="W315">
            <v>59.66</v>
          </cell>
          <cell r="X315">
            <v>0</v>
          </cell>
          <cell r="Y315">
            <v>0</v>
          </cell>
          <cell r="Z315">
            <v>86.58</v>
          </cell>
          <cell r="AA315">
            <v>77</v>
          </cell>
          <cell r="AB315">
            <v>96</v>
          </cell>
          <cell r="AC315">
            <v>80</v>
          </cell>
          <cell r="AD315">
            <v>13.49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Y315">
            <v>182964.24</v>
          </cell>
        </row>
        <row r="316">
          <cell r="A316">
            <v>2</v>
          </cell>
          <cell r="B316" t="str">
            <v>12</v>
          </cell>
          <cell r="C316" t="str">
            <v>000</v>
          </cell>
          <cell r="D316" t="str">
            <v>1</v>
          </cell>
          <cell r="E316" t="str">
            <v>420</v>
          </cell>
          <cell r="F316" t="str">
            <v>N000</v>
          </cell>
          <cell r="G316" t="str">
            <v>200</v>
          </cell>
          <cell r="H316" t="str">
            <v>1103</v>
          </cell>
          <cell r="I316" t="str">
            <v>CF41001</v>
          </cell>
          <cell r="K316" t="str">
            <v>2</v>
          </cell>
          <cell r="L316">
            <v>1</v>
          </cell>
          <cell r="M316">
            <v>0</v>
          </cell>
          <cell r="N316">
            <v>7310</v>
          </cell>
          <cell r="O316" t="str">
            <v>M</v>
          </cell>
          <cell r="P316" t="str">
            <v>00000000</v>
          </cell>
          <cell r="Q316">
            <v>0</v>
          </cell>
          <cell r="R316">
            <v>1055.8900000000001</v>
          </cell>
          <cell r="S316">
            <v>203.06</v>
          </cell>
          <cell r="T316">
            <v>932.02</v>
          </cell>
          <cell r="U316">
            <v>365.5</v>
          </cell>
          <cell r="V316">
            <v>131.58000000000001</v>
          </cell>
          <cell r="W316">
            <v>146.19999999999999</v>
          </cell>
          <cell r="X316">
            <v>0</v>
          </cell>
          <cell r="Y316">
            <v>0</v>
          </cell>
          <cell r="Z316">
            <v>329.72</v>
          </cell>
          <cell r="AA316">
            <v>77</v>
          </cell>
          <cell r="AB316">
            <v>96</v>
          </cell>
          <cell r="AC316">
            <v>80</v>
          </cell>
          <cell r="AD316">
            <v>13.49</v>
          </cell>
          <cell r="AE316">
            <v>6.09</v>
          </cell>
          <cell r="AF316">
            <v>0</v>
          </cell>
          <cell r="AG316">
            <v>0</v>
          </cell>
          <cell r="AH316">
            <v>4524</v>
          </cell>
          <cell r="AI316">
            <v>0</v>
          </cell>
          <cell r="AJ316">
            <v>3134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Y316">
            <v>220854.6</v>
          </cell>
        </row>
        <row r="317">
          <cell r="A317">
            <v>2</v>
          </cell>
          <cell r="B317" t="str">
            <v>12</v>
          </cell>
          <cell r="C317" t="str">
            <v>000</v>
          </cell>
          <cell r="D317" t="str">
            <v>1</v>
          </cell>
          <cell r="E317" t="str">
            <v>420</v>
          </cell>
          <cell r="F317" t="str">
            <v>N000</v>
          </cell>
          <cell r="G317" t="str">
            <v>200</v>
          </cell>
          <cell r="H317" t="str">
            <v>1103</v>
          </cell>
          <cell r="I317" t="str">
            <v>CF41004</v>
          </cell>
          <cell r="K317" t="str">
            <v>2</v>
          </cell>
          <cell r="L317">
            <v>1</v>
          </cell>
          <cell r="M317">
            <v>0</v>
          </cell>
          <cell r="N317">
            <v>8075</v>
          </cell>
          <cell r="O317" t="str">
            <v>M</v>
          </cell>
          <cell r="P317" t="str">
            <v>00000000</v>
          </cell>
          <cell r="Q317">
            <v>0</v>
          </cell>
          <cell r="R317">
            <v>1166.3900000000001</v>
          </cell>
          <cell r="S317">
            <v>224.31</v>
          </cell>
          <cell r="T317">
            <v>1029.56</v>
          </cell>
          <cell r="U317">
            <v>403.75</v>
          </cell>
          <cell r="V317">
            <v>145.35</v>
          </cell>
          <cell r="W317">
            <v>161.5</v>
          </cell>
          <cell r="X317">
            <v>0</v>
          </cell>
          <cell r="Y317">
            <v>0</v>
          </cell>
          <cell r="Z317">
            <v>369.89</v>
          </cell>
          <cell r="AA317">
            <v>77</v>
          </cell>
          <cell r="AB317">
            <v>96</v>
          </cell>
          <cell r="AC317">
            <v>80</v>
          </cell>
          <cell r="AD317">
            <v>13.49</v>
          </cell>
          <cell r="AE317">
            <v>6.73</v>
          </cell>
          <cell r="AF317">
            <v>0</v>
          </cell>
          <cell r="AG317">
            <v>0</v>
          </cell>
          <cell r="AH317">
            <v>3669</v>
          </cell>
          <cell r="AI317">
            <v>0</v>
          </cell>
          <cell r="AJ317">
            <v>5100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Y317">
            <v>247415.64</v>
          </cell>
        </row>
        <row r="318">
          <cell r="A318">
            <v>2</v>
          </cell>
          <cell r="B318" t="str">
            <v>12</v>
          </cell>
          <cell r="C318" t="str">
            <v>000</v>
          </cell>
          <cell r="D318" t="str">
            <v>1</v>
          </cell>
          <cell r="E318" t="str">
            <v>420</v>
          </cell>
          <cell r="F318" t="str">
            <v>N000</v>
          </cell>
          <cell r="G318" t="str">
            <v>200</v>
          </cell>
          <cell r="H318" t="str">
            <v>1103</v>
          </cell>
          <cell r="I318" t="str">
            <v>CF41008</v>
          </cell>
          <cell r="K318" t="str">
            <v>2</v>
          </cell>
          <cell r="L318">
            <v>1</v>
          </cell>
          <cell r="M318">
            <v>0</v>
          </cell>
          <cell r="N318">
            <v>10348</v>
          </cell>
          <cell r="O318" t="str">
            <v>M</v>
          </cell>
          <cell r="P318" t="str">
            <v>00000000</v>
          </cell>
          <cell r="Q318">
            <v>0</v>
          </cell>
          <cell r="R318">
            <v>1494.71</v>
          </cell>
          <cell r="S318">
            <v>287.44</v>
          </cell>
          <cell r="T318">
            <v>1319.37</v>
          </cell>
          <cell r="U318">
            <v>517.4</v>
          </cell>
          <cell r="V318">
            <v>186.26</v>
          </cell>
          <cell r="W318">
            <v>206.96</v>
          </cell>
          <cell r="X318">
            <v>82</v>
          </cell>
          <cell r="Y318">
            <v>0</v>
          </cell>
          <cell r="Z318">
            <v>482.36</v>
          </cell>
          <cell r="AA318">
            <v>77</v>
          </cell>
          <cell r="AB318">
            <v>96</v>
          </cell>
          <cell r="AC318">
            <v>80</v>
          </cell>
          <cell r="AD318">
            <v>13.49</v>
          </cell>
          <cell r="AE318">
            <v>8.6199999999999992</v>
          </cell>
          <cell r="AF318">
            <v>0</v>
          </cell>
          <cell r="AG318">
            <v>0</v>
          </cell>
          <cell r="AH318">
            <v>6214</v>
          </cell>
          <cell r="AI318">
            <v>0</v>
          </cell>
          <cell r="AJ318">
            <v>5430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Y318">
            <v>322123.32</v>
          </cell>
        </row>
        <row r="319">
          <cell r="A319">
            <v>2</v>
          </cell>
          <cell r="B319" t="str">
            <v>12</v>
          </cell>
          <cell r="C319" t="str">
            <v>000</v>
          </cell>
          <cell r="D319" t="str">
            <v>1</v>
          </cell>
          <cell r="E319" t="str">
            <v>420</v>
          </cell>
          <cell r="F319" t="str">
            <v>N000</v>
          </cell>
          <cell r="G319" t="str">
            <v>200</v>
          </cell>
          <cell r="H319" t="str">
            <v>1103</v>
          </cell>
          <cell r="I319" t="str">
            <v>CF41011</v>
          </cell>
          <cell r="K319" t="str">
            <v>2</v>
          </cell>
          <cell r="L319">
            <v>3</v>
          </cell>
          <cell r="M319">
            <v>0</v>
          </cell>
          <cell r="N319">
            <v>7411</v>
          </cell>
          <cell r="O319" t="str">
            <v>M</v>
          </cell>
          <cell r="P319" t="str">
            <v>00000000</v>
          </cell>
          <cell r="Q319">
            <v>0</v>
          </cell>
          <cell r="R319">
            <v>1070.48</v>
          </cell>
          <cell r="S319">
            <v>205.86</v>
          </cell>
          <cell r="T319">
            <v>944.9</v>
          </cell>
          <cell r="U319">
            <v>370.55</v>
          </cell>
          <cell r="V319">
            <v>133.4</v>
          </cell>
          <cell r="W319">
            <v>148.22</v>
          </cell>
          <cell r="X319">
            <v>36.67</v>
          </cell>
          <cell r="Y319">
            <v>0</v>
          </cell>
          <cell r="Z319">
            <v>330.8</v>
          </cell>
          <cell r="AA319">
            <v>77</v>
          </cell>
          <cell r="AB319">
            <v>96</v>
          </cell>
          <cell r="AC319">
            <v>80</v>
          </cell>
          <cell r="AD319">
            <v>13.49</v>
          </cell>
          <cell r="AE319">
            <v>6.18</v>
          </cell>
          <cell r="AF319">
            <v>0</v>
          </cell>
          <cell r="AG319">
            <v>0</v>
          </cell>
          <cell r="AH319">
            <v>4423</v>
          </cell>
          <cell r="AI319">
            <v>0</v>
          </cell>
          <cell r="AJ319">
            <v>3134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Y319">
            <v>665335.80000000005</v>
          </cell>
        </row>
        <row r="320">
          <cell r="A320">
            <v>2</v>
          </cell>
          <cell r="B320" t="str">
            <v>12</v>
          </cell>
          <cell r="C320" t="str">
            <v>000</v>
          </cell>
          <cell r="D320" t="str">
            <v>1</v>
          </cell>
          <cell r="E320" t="str">
            <v>420</v>
          </cell>
          <cell r="F320" t="str">
            <v>N000</v>
          </cell>
          <cell r="G320" t="str">
            <v>200</v>
          </cell>
          <cell r="H320" t="str">
            <v>1103</v>
          </cell>
          <cell r="I320" t="str">
            <v>CF41012</v>
          </cell>
          <cell r="K320" t="str">
            <v>2</v>
          </cell>
          <cell r="L320">
            <v>2</v>
          </cell>
          <cell r="M320">
            <v>0</v>
          </cell>
          <cell r="N320">
            <v>9042</v>
          </cell>
          <cell r="O320" t="str">
            <v>M</v>
          </cell>
          <cell r="P320" t="str">
            <v>00000000</v>
          </cell>
          <cell r="Q320">
            <v>0</v>
          </cell>
          <cell r="R320">
            <v>1306.07</v>
          </cell>
          <cell r="S320">
            <v>251.17</v>
          </cell>
          <cell r="T320">
            <v>1152.8599999999999</v>
          </cell>
          <cell r="U320">
            <v>452.1</v>
          </cell>
          <cell r="V320">
            <v>162.76</v>
          </cell>
          <cell r="W320">
            <v>180.84</v>
          </cell>
          <cell r="X320">
            <v>54.5</v>
          </cell>
          <cell r="Y320">
            <v>0</v>
          </cell>
          <cell r="Z320">
            <v>420.37</v>
          </cell>
          <cell r="AA320">
            <v>77</v>
          </cell>
          <cell r="AB320">
            <v>96</v>
          </cell>
          <cell r="AC320">
            <v>80</v>
          </cell>
          <cell r="AD320">
            <v>13.49</v>
          </cell>
          <cell r="AE320">
            <v>7.54</v>
          </cell>
          <cell r="AF320">
            <v>0</v>
          </cell>
          <cell r="AG320">
            <v>0</v>
          </cell>
          <cell r="AH320">
            <v>5054</v>
          </cell>
          <cell r="AI320">
            <v>0</v>
          </cell>
          <cell r="AJ320">
            <v>5050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Y320">
            <v>561616.80000000005</v>
          </cell>
        </row>
        <row r="321">
          <cell r="A321">
            <v>2</v>
          </cell>
          <cell r="B321" t="str">
            <v>12</v>
          </cell>
          <cell r="C321" t="str">
            <v>000</v>
          </cell>
          <cell r="D321" t="str">
            <v>1</v>
          </cell>
          <cell r="E321" t="str">
            <v>101</v>
          </cell>
          <cell r="F321" t="str">
            <v>N000</v>
          </cell>
          <cell r="G321" t="str">
            <v>200</v>
          </cell>
          <cell r="H321" t="str">
            <v>1103</v>
          </cell>
          <cell r="I321" t="str">
            <v>CF41013</v>
          </cell>
          <cell r="K321" t="str">
            <v>2</v>
          </cell>
          <cell r="L321">
            <v>1</v>
          </cell>
          <cell r="M321">
            <v>0</v>
          </cell>
          <cell r="N321">
            <v>8294</v>
          </cell>
          <cell r="O321" t="str">
            <v>M</v>
          </cell>
          <cell r="P321" t="str">
            <v>00000000</v>
          </cell>
          <cell r="Q321">
            <v>0</v>
          </cell>
          <cell r="R321">
            <v>1198.02</v>
          </cell>
          <cell r="S321">
            <v>230.39</v>
          </cell>
          <cell r="T321">
            <v>1057.49</v>
          </cell>
          <cell r="U321">
            <v>414.7</v>
          </cell>
          <cell r="V321">
            <v>149.29</v>
          </cell>
          <cell r="W321">
            <v>165.88</v>
          </cell>
          <cell r="X321">
            <v>0</v>
          </cell>
          <cell r="Y321">
            <v>0</v>
          </cell>
          <cell r="Z321">
            <v>383.77</v>
          </cell>
          <cell r="AA321">
            <v>77</v>
          </cell>
          <cell r="AB321">
            <v>96</v>
          </cell>
          <cell r="AC321">
            <v>80</v>
          </cell>
          <cell r="AD321">
            <v>13.49</v>
          </cell>
          <cell r="AE321">
            <v>6.91</v>
          </cell>
          <cell r="AF321">
            <v>0</v>
          </cell>
          <cell r="AG321">
            <v>0</v>
          </cell>
          <cell r="AH321">
            <v>4226</v>
          </cell>
          <cell r="AI321">
            <v>0</v>
          </cell>
          <cell r="AJ321">
            <v>4980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Y321">
            <v>256475.28</v>
          </cell>
        </row>
        <row r="322">
          <cell r="A322">
            <v>2</v>
          </cell>
          <cell r="B322" t="str">
            <v>12</v>
          </cell>
          <cell r="C322" t="str">
            <v>000</v>
          </cell>
          <cell r="D322" t="str">
            <v>1</v>
          </cell>
          <cell r="E322" t="str">
            <v>420</v>
          </cell>
          <cell r="F322" t="str">
            <v>N000</v>
          </cell>
          <cell r="G322" t="str">
            <v>200</v>
          </cell>
          <cell r="H322" t="str">
            <v>1103</v>
          </cell>
          <cell r="I322" t="str">
            <v>CF41013</v>
          </cell>
          <cell r="K322" t="str">
            <v>2</v>
          </cell>
          <cell r="L322">
            <v>23</v>
          </cell>
          <cell r="M322">
            <v>0</v>
          </cell>
          <cell r="N322">
            <v>8294</v>
          </cell>
          <cell r="O322" t="str">
            <v>M</v>
          </cell>
          <cell r="P322" t="str">
            <v>00000000</v>
          </cell>
          <cell r="Q322">
            <v>0</v>
          </cell>
          <cell r="R322">
            <v>1198.02</v>
          </cell>
          <cell r="S322">
            <v>230.39</v>
          </cell>
          <cell r="T322">
            <v>1057.49</v>
          </cell>
          <cell r="U322">
            <v>414.7</v>
          </cell>
          <cell r="V322">
            <v>149.29</v>
          </cell>
          <cell r="W322">
            <v>165.88</v>
          </cell>
          <cell r="X322">
            <v>59.43</v>
          </cell>
          <cell r="Y322">
            <v>0</v>
          </cell>
          <cell r="Z322">
            <v>384.95</v>
          </cell>
          <cell r="AA322">
            <v>77</v>
          </cell>
          <cell r="AB322">
            <v>96</v>
          </cell>
          <cell r="AC322">
            <v>80</v>
          </cell>
          <cell r="AD322">
            <v>13.49</v>
          </cell>
          <cell r="AE322">
            <v>6.91</v>
          </cell>
          <cell r="AF322">
            <v>0</v>
          </cell>
          <cell r="AG322">
            <v>0</v>
          </cell>
          <cell r="AH322">
            <v>4226</v>
          </cell>
          <cell r="AI322">
            <v>0</v>
          </cell>
          <cell r="AJ322">
            <v>4980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Y322">
            <v>5915659.7999999998</v>
          </cell>
        </row>
        <row r="323">
          <cell r="A323">
            <v>2</v>
          </cell>
          <cell r="B323" t="str">
            <v>12</v>
          </cell>
          <cell r="C323" t="str">
            <v>000</v>
          </cell>
          <cell r="D323" t="str">
            <v>1</v>
          </cell>
          <cell r="E323" t="str">
            <v>420</v>
          </cell>
          <cell r="F323" t="str">
            <v>N000</v>
          </cell>
          <cell r="G323" t="str">
            <v>200</v>
          </cell>
          <cell r="H323" t="str">
            <v>1103</v>
          </cell>
          <cell r="I323" t="str">
            <v>CF41014</v>
          </cell>
          <cell r="K323" t="str">
            <v>2</v>
          </cell>
          <cell r="L323">
            <v>7</v>
          </cell>
          <cell r="M323">
            <v>0</v>
          </cell>
          <cell r="N323">
            <v>7780</v>
          </cell>
          <cell r="O323" t="str">
            <v>M</v>
          </cell>
          <cell r="P323" t="str">
            <v>00000000</v>
          </cell>
          <cell r="Q323">
            <v>0</v>
          </cell>
          <cell r="R323">
            <v>1123.78</v>
          </cell>
          <cell r="S323">
            <v>216.11</v>
          </cell>
          <cell r="T323">
            <v>991.95</v>
          </cell>
          <cell r="U323">
            <v>389</v>
          </cell>
          <cell r="V323">
            <v>140.04</v>
          </cell>
          <cell r="W323">
            <v>155.6</v>
          </cell>
          <cell r="X323">
            <v>88.43</v>
          </cell>
          <cell r="Y323">
            <v>0</v>
          </cell>
          <cell r="Z323">
            <v>361.54</v>
          </cell>
          <cell r="AA323">
            <v>77</v>
          </cell>
          <cell r="AB323">
            <v>96</v>
          </cell>
          <cell r="AC323">
            <v>80</v>
          </cell>
          <cell r="AD323">
            <v>13.49</v>
          </cell>
          <cell r="AE323">
            <v>6.48</v>
          </cell>
          <cell r="AF323">
            <v>0</v>
          </cell>
          <cell r="AG323">
            <v>0</v>
          </cell>
          <cell r="AH323">
            <v>3678</v>
          </cell>
          <cell r="AI323">
            <v>0</v>
          </cell>
          <cell r="AJ323">
            <v>4931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Y323">
            <v>1690787.28</v>
          </cell>
        </row>
        <row r="324">
          <cell r="A324">
            <v>2</v>
          </cell>
          <cell r="B324" t="str">
            <v>12</v>
          </cell>
          <cell r="C324" t="str">
            <v>000</v>
          </cell>
          <cell r="D324" t="str">
            <v>1</v>
          </cell>
          <cell r="E324" t="str">
            <v>101</v>
          </cell>
          <cell r="F324" t="str">
            <v>N000</v>
          </cell>
          <cell r="G324" t="str">
            <v>200</v>
          </cell>
          <cell r="H324" t="str">
            <v>1103</v>
          </cell>
          <cell r="I324" t="str">
            <v>CF41015</v>
          </cell>
          <cell r="K324" t="str">
            <v>2</v>
          </cell>
          <cell r="L324">
            <v>1</v>
          </cell>
          <cell r="M324">
            <v>0</v>
          </cell>
          <cell r="N324">
            <v>7285</v>
          </cell>
          <cell r="O324" t="str">
            <v>M</v>
          </cell>
          <cell r="P324" t="str">
            <v>00000000</v>
          </cell>
          <cell r="Q324">
            <v>0</v>
          </cell>
          <cell r="R324">
            <v>1052.28</v>
          </cell>
          <cell r="S324">
            <v>202.36</v>
          </cell>
          <cell r="T324">
            <v>928.84</v>
          </cell>
          <cell r="U324">
            <v>364.25</v>
          </cell>
          <cell r="V324">
            <v>131.13</v>
          </cell>
          <cell r="W324">
            <v>145.69999999999999</v>
          </cell>
          <cell r="X324">
            <v>0</v>
          </cell>
          <cell r="Y324">
            <v>0</v>
          </cell>
          <cell r="Z324">
            <v>268.27</v>
          </cell>
          <cell r="AA324">
            <v>77</v>
          </cell>
          <cell r="AB324">
            <v>96</v>
          </cell>
          <cell r="AC324">
            <v>80</v>
          </cell>
          <cell r="AD324">
            <v>13.49</v>
          </cell>
          <cell r="AE324">
            <v>6.07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4615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Y324">
            <v>183184.68</v>
          </cell>
        </row>
        <row r="325">
          <cell r="A325">
            <v>2</v>
          </cell>
          <cell r="B325" t="str">
            <v>12</v>
          </cell>
          <cell r="C325" t="str">
            <v>000</v>
          </cell>
          <cell r="D325" t="str">
            <v>1</v>
          </cell>
          <cell r="E325" t="str">
            <v>420</v>
          </cell>
          <cell r="F325" t="str">
            <v>N000</v>
          </cell>
          <cell r="G325" t="str">
            <v>200</v>
          </cell>
          <cell r="H325" t="str">
            <v>1103</v>
          </cell>
          <cell r="I325" t="str">
            <v>CF41015</v>
          </cell>
          <cell r="K325" t="str">
            <v>2</v>
          </cell>
          <cell r="L325">
            <v>3</v>
          </cell>
          <cell r="M325">
            <v>0</v>
          </cell>
          <cell r="N325">
            <v>7285</v>
          </cell>
          <cell r="O325" t="str">
            <v>M</v>
          </cell>
          <cell r="P325" t="str">
            <v>00000000</v>
          </cell>
          <cell r="Q325">
            <v>0</v>
          </cell>
          <cell r="R325">
            <v>1052.28</v>
          </cell>
          <cell r="S325">
            <v>202.36</v>
          </cell>
          <cell r="T325">
            <v>928.84</v>
          </cell>
          <cell r="U325">
            <v>364.25</v>
          </cell>
          <cell r="V325">
            <v>131.13</v>
          </cell>
          <cell r="W325">
            <v>145.69999999999999</v>
          </cell>
          <cell r="X325">
            <v>0</v>
          </cell>
          <cell r="Y325">
            <v>0</v>
          </cell>
          <cell r="Z325">
            <v>268.27</v>
          </cell>
          <cell r="AA325">
            <v>77</v>
          </cell>
          <cell r="AB325">
            <v>96</v>
          </cell>
          <cell r="AC325">
            <v>80</v>
          </cell>
          <cell r="AD325">
            <v>13.49</v>
          </cell>
          <cell r="AE325">
            <v>6.07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4615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Y325">
            <v>549554.04</v>
          </cell>
        </row>
        <row r="326">
          <cell r="A326">
            <v>2</v>
          </cell>
          <cell r="B326" t="str">
            <v>12</v>
          </cell>
          <cell r="C326" t="str">
            <v>000</v>
          </cell>
          <cell r="D326" t="str">
            <v>1</v>
          </cell>
          <cell r="E326" t="str">
            <v>420</v>
          </cell>
          <cell r="F326" t="str">
            <v>N000</v>
          </cell>
          <cell r="G326" t="str">
            <v>200</v>
          </cell>
          <cell r="H326" t="str">
            <v>1103</v>
          </cell>
          <cell r="I326" t="str">
            <v>CF41016</v>
          </cell>
          <cell r="K326" t="str">
            <v>2</v>
          </cell>
          <cell r="L326">
            <v>7</v>
          </cell>
          <cell r="M326">
            <v>0</v>
          </cell>
          <cell r="N326">
            <v>7032</v>
          </cell>
          <cell r="O326" t="str">
            <v>M</v>
          </cell>
          <cell r="P326" t="str">
            <v>00000000</v>
          </cell>
          <cell r="Q326">
            <v>0</v>
          </cell>
          <cell r="R326">
            <v>1015.73</v>
          </cell>
          <cell r="S326">
            <v>195.33</v>
          </cell>
          <cell r="T326">
            <v>896.58</v>
          </cell>
          <cell r="U326">
            <v>351.6</v>
          </cell>
          <cell r="V326">
            <v>126.58</v>
          </cell>
          <cell r="W326">
            <v>140.63999999999999</v>
          </cell>
          <cell r="X326">
            <v>14.43</v>
          </cell>
          <cell r="Y326">
            <v>0</v>
          </cell>
          <cell r="Z326">
            <v>258.02999999999997</v>
          </cell>
          <cell r="AA326">
            <v>77</v>
          </cell>
          <cell r="AB326">
            <v>96</v>
          </cell>
          <cell r="AC326">
            <v>80</v>
          </cell>
          <cell r="AD326">
            <v>13.49</v>
          </cell>
          <cell r="AE326">
            <v>5.86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4385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Y326">
            <v>1233814.68</v>
          </cell>
        </row>
        <row r="327">
          <cell r="A327">
            <v>2</v>
          </cell>
          <cell r="B327" t="str">
            <v>12</v>
          </cell>
          <cell r="C327" t="str">
            <v>000</v>
          </cell>
          <cell r="D327" t="str">
            <v>1</v>
          </cell>
          <cell r="E327" t="str">
            <v>420</v>
          </cell>
          <cell r="F327" t="str">
            <v>N000</v>
          </cell>
          <cell r="G327" t="str">
            <v>200</v>
          </cell>
          <cell r="H327" t="str">
            <v>1103</v>
          </cell>
          <cell r="I327" t="str">
            <v>CF41018</v>
          </cell>
          <cell r="K327" t="str">
            <v>2</v>
          </cell>
          <cell r="L327">
            <v>2</v>
          </cell>
          <cell r="M327">
            <v>0</v>
          </cell>
          <cell r="N327">
            <v>6300</v>
          </cell>
          <cell r="O327" t="str">
            <v>M</v>
          </cell>
          <cell r="P327" t="str">
            <v>00000000</v>
          </cell>
          <cell r="Q327">
            <v>0</v>
          </cell>
          <cell r="R327">
            <v>910</v>
          </cell>
          <cell r="S327">
            <v>175</v>
          </cell>
          <cell r="T327">
            <v>803.25</v>
          </cell>
          <cell r="U327">
            <v>315</v>
          </cell>
          <cell r="V327">
            <v>113.4</v>
          </cell>
          <cell r="W327">
            <v>126</v>
          </cell>
          <cell r="X327">
            <v>68</v>
          </cell>
          <cell r="Y327">
            <v>0</v>
          </cell>
          <cell r="Z327">
            <v>251.99</v>
          </cell>
          <cell r="AA327">
            <v>77</v>
          </cell>
          <cell r="AB327">
            <v>96</v>
          </cell>
          <cell r="AC327">
            <v>80</v>
          </cell>
          <cell r="AD327">
            <v>13.49</v>
          </cell>
          <cell r="AE327">
            <v>5.25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4888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Y327">
            <v>341337.12</v>
          </cell>
        </row>
        <row r="328">
          <cell r="A328">
            <v>2</v>
          </cell>
          <cell r="B328" t="str">
            <v>12</v>
          </cell>
          <cell r="C328" t="str">
            <v>000</v>
          </cell>
          <cell r="D328" t="str">
            <v>1</v>
          </cell>
          <cell r="E328" t="str">
            <v>420</v>
          </cell>
          <cell r="F328" t="str">
            <v>N000</v>
          </cell>
          <cell r="G328" t="str">
            <v>200</v>
          </cell>
          <cell r="H328" t="str">
            <v>1103</v>
          </cell>
          <cell r="I328" t="str">
            <v>CF41024</v>
          </cell>
          <cell r="K328" t="str">
            <v>2</v>
          </cell>
          <cell r="L328">
            <v>9</v>
          </cell>
          <cell r="M328">
            <v>0</v>
          </cell>
          <cell r="N328">
            <v>5681</v>
          </cell>
          <cell r="O328" t="str">
            <v>M</v>
          </cell>
          <cell r="P328" t="str">
            <v>00000000</v>
          </cell>
          <cell r="Q328">
            <v>0</v>
          </cell>
          <cell r="R328">
            <v>820.59</v>
          </cell>
          <cell r="S328">
            <v>157.81</v>
          </cell>
          <cell r="T328">
            <v>724.33</v>
          </cell>
          <cell r="U328">
            <v>284.05</v>
          </cell>
          <cell r="V328">
            <v>102.26</v>
          </cell>
          <cell r="W328">
            <v>113.62</v>
          </cell>
          <cell r="X328">
            <v>106</v>
          </cell>
          <cell r="Y328">
            <v>0</v>
          </cell>
          <cell r="Z328">
            <v>241.36</v>
          </cell>
          <cell r="AA328">
            <v>77</v>
          </cell>
          <cell r="AB328">
            <v>96</v>
          </cell>
          <cell r="AC328">
            <v>80</v>
          </cell>
          <cell r="AD328">
            <v>13.49</v>
          </cell>
          <cell r="AE328">
            <v>4.7300000000000004</v>
          </cell>
          <cell r="AF328">
            <v>0</v>
          </cell>
          <cell r="AG328">
            <v>0</v>
          </cell>
          <cell r="AH328">
            <v>2740</v>
          </cell>
          <cell r="AI328">
            <v>0</v>
          </cell>
          <cell r="AJ328">
            <v>2305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Y328">
            <v>1463101.92</v>
          </cell>
        </row>
        <row r="329">
          <cell r="A329">
            <v>2</v>
          </cell>
          <cell r="B329" t="str">
            <v>12</v>
          </cell>
          <cell r="C329" t="str">
            <v>000</v>
          </cell>
          <cell r="D329" t="str">
            <v>1</v>
          </cell>
          <cell r="E329" t="str">
            <v>101</v>
          </cell>
          <cell r="F329" t="str">
            <v>N000</v>
          </cell>
          <cell r="G329" t="str">
            <v>200</v>
          </cell>
          <cell r="H329" t="str">
            <v>1103</v>
          </cell>
          <cell r="I329" t="str">
            <v>CF41026</v>
          </cell>
          <cell r="K329" t="str">
            <v>2</v>
          </cell>
          <cell r="L329">
            <v>1</v>
          </cell>
          <cell r="M329">
            <v>0</v>
          </cell>
          <cell r="N329">
            <v>6504</v>
          </cell>
          <cell r="O329" t="str">
            <v>M</v>
          </cell>
          <cell r="P329" t="str">
            <v>00000000</v>
          </cell>
          <cell r="Q329">
            <v>0</v>
          </cell>
          <cell r="R329">
            <v>939.47</v>
          </cell>
          <cell r="S329">
            <v>180.67</v>
          </cell>
          <cell r="T329">
            <v>829.26</v>
          </cell>
          <cell r="U329">
            <v>325.2</v>
          </cell>
          <cell r="V329">
            <v>117.07</v>
          </cell>
          <cell r="W329">
            <v>130.08000000000001</v>
          </cell>
          <cell r="X329">
            <v>0</v>
          </cell>
          <cell r="Y329">
            <v>0</v>
          </cell>
          <cell r="Z329">
            <v>275.49</v>
          </cell>
          <cell r="AA329">
            <v>77</v>
          </cell>
          <cell r="AB329">
            <v>96</v>
          </cell>
          <cell r="AC329">
            <v>80</v>
          </cell>
          <cell r="AD329">
            <v>13.49</v>
          </cell>
          <cell r="AE329">
            <v>5.42</v>
          </cell>
          <cell r="AF329">
            <v>0</v>
          </cell>
          <cell r="AG329">
            <v>0</v>
          </cell>
          <cell r="AH329">
            <v>3482</v>
          </cell>
          <cell r="AI329">
            <v>0</v>
          </cell>
          <cell r="AJ329">
            <v>2410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Y329">
            <v>185581.8</v>
          </cell>
        </row>
        <row r="330">
          <cell r="A330">
            <v>2</v>
          </cell>
          <cell r="B330" t="str">
            <v>12</v>
          </cell>
          <cell r="C330" t="str">
            <v>000</v>
          </cell>
          <cell r="D330" t="str">
            <v>1</v>
          </cell>
          <cell r="E330" t="str">
            <v>420</v>
          </cell>
          <cell r="F330" t="str">
            <v>N000</v>
          </cell>
          <cell r="G330" t="str">
            <v>200</v>
          </cell>
          <cell r="H330" t="str">
            <v>1103</v>
          </cell>
          <cell r="I330" t="str">
            <v>CF41026</v>
          </cell>
          <cell r="K330" t="str">
            <v>2</v>
          </cell>
          <cell r="L330">
            <v>1</v>
          </cell>
          <cell r="M330">
            <v>0</v>
          </cell>
          <cell r="N330">
            <v>6504</v>
          </cell>
          <cell r="O330" t="str">
            <v>M</v>
          </cell>
          <cell r="P330" t="str">
            <v>00000000</v>
          </cell>
          <cell r="Q330">
            <v>0</v>
          </cell>
          <cell r="R330">
            <v>939.47</v>
          </cell>
          <cell r="S330">
            <v>180.67</v>
          </cell>
          <cell r="T330">
            <v>829.26</v>
          </cell>
          <cell r="U330">
            <v>325.2</v>
          </cell>
          <cell r="V330">
            <v>117.07</v>
          </cell>
          <cell r="W330">
            <v>130.08000000000001</v>
          </cell>
          <cell r="X330">
            <v>109</v>
          </cell>
          <cell r="Y330">
            <v>0</v>
          </cell>
          <cell r="Z330">
            <v>277.67</v>
          </cell>
          <cell r="AA330">
            <v>77</v>
          </cell>
          <cell r="AB330">
            <v>96</v>
          </cell>
          <cell r="AC330">
            <v>80</v>
          </cell>
          <cell r="AD330">
            <v>13.49</v>
          </cell>
          <cell r="AE330">
            <v>5.42</v>
          </cell>
          <cell r="AF330">
            <v>0</v>
          </cell>
          <cell r="AG330">
            <v>0</v>
          </cell>
          <cell r="AH330">
            <v>3482</v>
          </cell>
          <cell r="AI330">
            <v>0</v>
          </cell>
          <cell r="AJ330">
            <v>2410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Y330">
            <v>186915.96</v>
          </cell>
        </row>
        <row r="331">
          <cell r="A331">
            <v>2</v>
          </cell>
          <cell r="B331" t="str">
            <v>12</v>
          </cell>
          <cell r="C331" t="str">
            <v>000</v>
          </cell>
          <cell r="D331" t="str">
            <v>1</v>
          </cell>
          <cell r="E331" t="str">
            <v>420</v>
          </cell>
          <cell r="F331" t="str">
            <v>N000</v>
          </cell>
          <cell r="G331" t="str">
            <v>200</v>
          </cell>
          <cell r="H331" t="str">
            <v>1103</v>
          </cell>
          <cell r="I331" t="str">
            <v>CF41027</v>
          </cell>
          <cell r="K331" t="str">
            <v>2</v>
          </cell>
          <cell r="L331">
            <v>2</v>
          </cell>
          <cell r="M331">
            <v>0</v>
          </cell>
          <cell r="N331">
            <v>7017</v>
          </cell>
          <cell r="O331" t="str">
            <v>M</v>
          </cell>
          <cell r="P331" t="str">
            <v>00000000</v>
          </cell>
          <cell r="Q331">
            <v>0</v>
          </cell>
          <cell r="R331">
            <v>1013.57</v>
          </cell>
          <cell r="S331">
            <v>194.92</v>
          </cell>
          <cell r="T331">
            <v>894.67</v>
          </cell>
          <cell r="U331">
            <v>350.85</v>
          </cell>
          <cell r="V331">
            <v>126.31</v>
          </cell>
          <cell r="W331">
            <v>140.34</v>
          </cell>
          <cell r="X331">
            <v>122.5</v>
          </cell>
          <cell r="Y331">
            <v>0</v>
          </cell>
          <cell r="Z331">
            <v>294.24</v>
          </cell>
          <cell r="AA331">
            <v>77</v>
          </cell>
          <cell r="AB331">
            <v>96</v>
          </cell>
          <cell r="AC331">
            <v>80</v>
          </cell>
          <cell r="AD331">
            <v>13.49</v>
          </cell>
          <cell r="AE331">
            <v>5.85</v>
          </cell>
          <cell r="AF331">
            <v>0</v>
          </cell>
          <cell r="AG331">
            <v>0</v>
          </cell>
          <cell r="AH331">
            <v>3551</v>
          </cell>
          <cell r="AI331">
            <v>0</v>
          </cell>
          <cell r="AJ331">
            <v>2554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Y331">
            <v>396761.76</v>
          </cell>
        </row>
        <row r="332">
          <cell r="A332">
            <v>2</v>
          </cell>
          <cell r="B332" t="str">
            <v>12</v>
          </cell>
          <cell r="C332" t="str">
            <v>000</v>
          </cell>
          <cell r="D332" t="str">
            <v>1</v>
          </cell>
          <cell r="E332" t="str">
            <v>420</v>
          </cell>
          <cell r="F332" t="str">
            <v>N000</v>
          </cell>
          <cell r="G332" t="str">
            <v>200</v>
          </cell>
          <cell r="H332" t="str">
            <v>1103</v>
          </cell>
          <cell r="I332" t="str">
            <v>CF41028</v>
          </cell>
          <cell r="K332" t="str">
            <v>2</v>
          </cell>
          <cell r="L332">
            <v>3</v>
          </cell>
          <cell r="M332">
            <v>0</v>
          </cell>
          <cell r="N332">
            <v>7593</v>
          </cell>
          <cell r="O332" t="str">
            <v>M</v>
          </cell>
          <cell r="P332" t="str">
            <v>00000000</v>
          </cell>
          <cell r="Q332">
            <v>0</v>
          </cell>
          <cell r="R332">
            <v>1096.77</v>
          </cell>
          <cell r="S332">
            <v>210.92</v>
          </cell>
          <cell r="T332">
            <v>968.11</v>
          </cell>
          <cell r="U332">
            <v>379.65</v>
          </cell>
          <cell r="V332">
            <v>136.66999999999999</v>
          </cell>
          <cell r="W332">
            <v>151.86000000000001</v>
          </cell>
          <cell r="X332">
            <v>45.33</v>
          </cell>
          <cell r="Y332">
            <v>0</v>
          </cell>
          <cell r="Z332">
            <v>314.05</v>
          </cell>
          <cell r="AA332">
            <v>77</v>
          </cell>
          <cell r="AB332">
            <v>96</v>
          </cell>
          <cell r="AC332">
            <v>80</v>
          </cell>
          <cell r="AD332">
            <v>13.49</v>
          </cell>
          <cell r="AE332">
            <v>6.33</v>
          </cell>
          <cell r="AF332">
            <v>0</v>
          </cell>
          <cell r="AG332">
            <v>0</v>
          </cell>
          <cell r="AH332">
            <v>3783</v>
          </cell>
          <cell r="AI332">
            <v>0</v>
          </cell>
          <cell r="AJ332">
            <v>2714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Y332">
            <v>635982.48</v>
          </cell>
        </row>
        <row r="333">
          <cell r="A333">
            <v>2</v>
          </cell>
          <cell r="B333" t="str">
            <v>12</v>
          </cell>
          <cell r="C333" t="str">
            <v>000</v>
          </cell>
          <cell r="D333" t="str">
            <v>1</v>
          </cell>
          <cell r="E333" t="str">
            <v>420</v>
          </cell>
          <cell r="F333" t="str">
            <v>N000</v>
          </cell>
          <cell r="G333" t="str">
            <v>200</v>
          </cell>
          <cell r="H333" t="str">
            <v>1103</v>
          </cell>
          <cell r="I333" t="str">
            <v>CF41030</v>
          </cell>
          <cell r="K333" t="str">
            <v>2</v>
          </cell>
          <cell r="L333">
            <v>2</v>
          </cell>
          <cell r="M333">
            <v>0</v>
          </cell>
          <cell r="N333">
            <v>3413</v>
          </cell>
          <cell r="O333" t="str">
            <v>M</v>
          </cell>
          <cell r="P333" t="str">
            <v>00000000</v>
          </cell>
          <cell r="Q333">
            <v>0</v>
          </cell>
          <cell r="R333">
            <v>492.99</v>
          </cell>
          <cell r="S333">
            <v>94.81</v>
          </cell>
          <cell r="T333">
            <v>435.16</v>
          </cell>
          <cell r="U333">
            <v>170.65</v>
          </cell>
          <cell r="V333">
            <v>61.43</v>
          </cell>
          <cell r="W333">
            <v>68.260000000000005</v>
          </cell>
          <cell r="X333">
            <v>91</v>
          </cell>
          <cell r="Y333">
            <v>0</v>
          </cell>
          <cell r="Z333">
            <v>119.93</v>
          </cell>
          <cell r="AA333">
            <v>77</v>
          </cell>
          <cell r="AB333">
            <v>96</v>
          </cell>
          <cell r="AC333">
            <v>80</v>
          </cell>
          <cell r="AD333">
            <v>13.49</v>
          </cell>
          <cell r="AE333">
            <v>2.84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1649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Y333">
            <v>164773.44</v>
          </cell>
        </row>
        <row r="334">
          <cell r="A334">
            <v>2</v>
          </cell>
          <cell r="B334" t="str">
            <v>12</v>
          </cell>
          <cell r="C334" t="str">
            <v>000</v>
          </cell>
          <cell r="D334" t="str">
            <v>1</v>
          </cell>
          <cell r="E334" t="str">
            <v>420</v>
          </cell>
          <cell r="F334" t="str">
            <v>N000</v>
          </cell>
          <cell r="G334" t="str">
            <v>200</v>
          </cell>
          <cell r="H334" t="str">
            <v>1103</v>
          </cell>
          <cell r="I334" t="str">
            <v>CF41032</v>
          </cell>
          <cell r="K334" t="str">
            <v>2</v>
          </cell>
          <cell r="L334">
            <v>1</v>
          </cell>
          <cell r="M334">
            <v>0</v>
          </cell>
          <cell r="N334">
            <v>3413</v>
          </cell>
          <cell r="O334" t="str">
            <v>M</v>
          </cell>
          <cell r="P334" t="str">
            <v>00000000</v>
          </cell>
          <cell r="Q334">
            <v>0</v>
          </cell>
          <cell r="R334">
            <v>492.99</v>
          </cell>
          <cell r="S334">
            <v>94.81</v>
          </cell>
          <cell r="T334">
            <v>435.16</v>
          </cell>
          <cell r="U334">
            <v>170.65</v>
          </cell>
          <cell r="V334">
            <v>61.43</v>
          </cell>
          <cell r="W334">
            <v>68.260000000000005</v>
          </cell>
          <cell r="X334">
            <v>0</v>
          </cell>
          <cell r="Y334">
            <v>0</v>
          </cell>
          <cell r="Z334">
            <v>118.11</v>
          </cell>
          <cell r="AA334">
            <v>77</v>
          </cell>
          <cell r="AB334">
            <v>96</v>
          </cell>
          <cell r="AC334">
            <v>80</v>
          </cell>
          <cell r="AD334">
            <v>13.49</v>
          </cell>
          <cell r="AE334">
            <v>2.84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1649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Y334">
            <v>81272.88</v>
          </cell>
        </row>
        <row r="335">
          <cell r="A335">
            <v>2</v>
          </cell>
          <cell r="B335" t="str">
            <v>12</v>
          </cell>
          <cell r="C335" t="str">
            <v>000</v>
          </cell>
          <cell r="D335" t="str">
            <v>1</v>
          </cell>
          <cell r="E335" t="str">
            <v>420</v>
          </cell>
          <cell r="F335" t="str">
            <v>N000</v>
          </cell>
          <cell r="G335" t="str">
            <v>200</v>
          </cell>
          <cell r="H335" t="str">
            <v>1103</v>
          </cell>
          <cell r="I335" t="str">
            <v>CF41040</v>
          </cell>
          <cell r="K335" t="str">
            <v>2</v>
          </cell>
          <cell r="L335">
            <v>3</v>
          </cell>
          <cell r="M335">
            <v>0</v>
          </cell>
          <cell r="N335">
            <v>7482</v>
          </cell>
          <cell r="O335" t="str">
            <v>M</v>
          </cell>
          <cell r="P335" t="str">
            <v>00000000</v>
          </cell>
          <cell r="Q335">
            <v>0</v>
          </cell>
          <cell r="R335">
            <v>1080.73</v>
          </cell>
          <cell r="S335">
            <v>207.83</v>
          </cell>
          <cell r="T335">
            <v>953.96</v>
          </cell>
          <cell r="U335">
            <v>374.1</v>
          </cell>
          <cell r="V335">
            <v>134.68</v>
          </cell>
          <cell r="W335">
            <v>149.63999999999999</v>
          </cell>
          <cell r="X335">
            <v>64</v>
          </cell>
          <cell r="Y335">
            <v>0</v>
          </cell>
          <cell r="Z335">
            <v>290.5</v>
          </cell>
          <cell r="AA335">
            <v>77</v>
          </cell>
          <cell r="AB335">
            <v>96</v>
          </cell>
          <cell r="AC335">
            <v>80</v>
          </cell>
          <cell r="AD335">
            <v>13.49</v>
          </cell>
          <cell r="AE335">
            <v>6.24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5431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Y335">
            <v>591882.12</v>
          </cell>
        </row>
        <row r="336">
          <cell r="A336">
            <v>2</v>
          </cell>
          <cell r="B336" t="str">
            <v>12</v>
          </cell>
          <cell r="C336" t="str">
            <v>000</v>
          </cell>
          <cell r="D336" t="str">
            <v>1</v>
          </cell>
          <cell r="E336" t="str">
            <v>420</v>
          </cell>
          <cell r="F336" t="str">
            <v>N000</v>
          </cell>
          <cell r="G336" t="str">
            <v>200</v>
          </cell>
          <cell r="H336" t="str">
            <v>1103</v>
          </cell>
          <cell r="I336" t="str">
            <v>CF41054</v>
          </cell>
          <cell r="K336" t="str">
            <v>2</v>
          </cell>
          <cell r="L336">
            <v>2</v>
          </cell>
          <cell r="M336">
            <v>0</v>
          </cell>
          <cell r="N336">
            <v>4925</v>
          </cell>
          <cell r="O336" t="str">
            <v>M</v>
          </cell>
          <cell r="P336" t="str">
            <v>00000000</v>
          </cell>
          <cell r="Q336">
            <v>0</v>
          </cell>
          <cell r="R336">
            <v>711.39</v>
          </cell>
          <cell r="S336">
            <v>136.81</v>
          </cell>
          <cell r="T336">
            <v>627.94000000000005</v>
          </cell>
          <cell r="U336">
            <v>246.25</v>
          </cell>
          <cell r="V336">
            <v>88.65</v>
          </cell>
          <cell r="W336">
            <v>98.5</v>
          </cell>
          <cell r="X336">
            <v>122.5</v>
          </cell>
          <cell r="Y336">
            <v>0</v>
          </cell>
          <cell r="Z336">
            <v>170.92</v>
          </cell>
          <cell r="AA336">
            <v>77</v>
          </cell>
          <cell r="AB336">
            <v>96</v>
          </cell>
          <cell r="AC336">
            <v>80</v>
          </cell>
          <cell r="AD336">
            <v>13.49</v>
          </cell>
          <cell r="AE336">
            <v>4.0999999999999996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2393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Y336">
            <v>234997.2</v>
          </cell>
        </row>
        <row r="337">
          <cell r="A337">
            <v>2</v>
          </cell>
          <cell r="B337" t="str">
            <v>12</v>
          </cell>
          <cell r="C337" t="str">
            <v>000</v>
          </cell>
          <cell r="D337" t="str">
            <v>1</v>
          </cell>
          <cell r="E337" t="str">
            <v>420</v>
          </cell>
          <cell r="F337" t="str">
            <v>N000</v>
          </cell>
          <cell r="G337" t="str">
            <v>200</v>
          </cell>
          <cell r="H337" t="str">
            <v>1103</v>
          </cell>
          <cell r="I337" t="str">
            <v>CF41060</v>
          </cell>
          <cell r="K337" t="str">
            <v>2</v>
          </cell>
          <cell r="L337">
            <v>1</v>
          </cell>
          <cell r="M337">
            <v>0</v>
          </cell>
          <cell r="N337">
            <v>5274</v>
          </cell>
          <cell r="O337" t="str">
            <v>M</v>
          </cell>
          <cell r="P337" t="str">
            <v>00000000</v>
          </cell>
          <cell r="Q337">
            <v>0</v>
          </cell>
          <cell r="R337">
            <v>761.8</v>
          </cell>
          <cell r="S337">
            <v>146.5</v>
          </cell>
          <cell r="T337">
            <v>672.44</v>
          </cell>
          <cell r="U337">
            <v>263.7</v>
          </cell>
          <cell r="V337">
            <v>94.93</v>
          </cell>
          <cell r="W337">
            <v>105.48</v>
          </cell>
          <cell r="X337">
            <v>0</v>
          </cell>
          <cell r="Y337">
            <v>0</v>
          </cell>
          <cell r="Z337">
            <v>195.11</v>
          </cell>
          <cell r="AA337">
            <v>77</v>
          </cell>
          <cell r="AB337">
            <v>96</v>
          </cell>
          <cell r="AC337">
            <v>80</v>
          </cell>
          <cell r="AD337">
            <v>13.49</v>
          </cell>
          <cell r="AE337">
            <v>4.4000000000000004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3316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Y337">
            <v>133210.20000000001</v>
          </cell>
        </row>
        <row r="338">
          <cell r="A338">
            <v>2</v>
          </cell>
          <cell r="B338" t="str">
            <v>12</v>
          </cell>
          <cell r="C338" t="str">
            <v>000</v>
          </cell>
          <cell r="D338" t="str">
            <v>1</v>
          </cell>
          <cell r="E338" t="str">
            <v>101</v>
          </cell>
          <cell r="F338" t="str">
            <v>N000</v>
          </cell>
          <cell r="G338" t="str">
            <v>200</v>
          </cell>
          <cell r="H338" t="str">
            <v>1103</v>
          </cell>
          <cell r="I338" t="str">
            <v>CF53805</v>
          </cell>
          <cell r="J338" t="str">
            <v>25</v>
          </cell>
          <cell r="K338" t="str">
            <v>2</v>
          </cell>
          <cell r="L338">
            <v>3</v>
          </cell>
          <cell r="M338">
            <v>0</v>
          </cell>
          <cell r="N338">
            <v>2572.4</v>
          </cell>
          <cell r="O338" t="str">
            <v>M</v>
          </cell>
          <cell r="P338" t="str">
            <v>00000000</v>
          </cell>
          <cell r="Q338">
            <v>0</v>
          </cell>
          <cell r="R338">
            <v>371.57</v>
          </cell>
          <cell r="S338">
            <v>71.459999999999994</v>
          </cell>
          <cell r="T338">
            <v>327.98</v>
          </cell>
          <cell r="U338">
            <v>128.62</v>
          </cell>
          <cell r="V338">
            <v>46.3</v>
          </cell>
          <cell r="W338">
            <v>51.45</v>
          </cell>
          <cell r="X338">
            <v>54.67</v>
          </cell>
          <cell r="Y338">
            <v>0</v>
          </cell>
          <cell r="Z338">
            <v>66.459999999999994</v>
          </cell>
          <cell r="AA338">
            <v>77</v>
          </cell>
          <cell r="AB338">
            <v>96</v>
          </cell>
          <cell r="AC338">
            <v>80</v>
          </cell>
          <cell r="AD338">
            <v>13.49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Y338">
            <v>142466.4</v>
          </cell>
        </row>
        <row r="339">
          <cell r="A339">
            <v>2</v>
          </cell>
          <cell r="B339" t="str">
            <v>12</v>
          </cell>
          <cell r="C339" t="str">
            <v>000</v>
          </cell>
          <cell r="D339" t="str">
            <v>1</v>
          </cell>
          <cell r="E339" t="str">
            <v>209</v>
          </cell>
          <cell r="F339" t="str">
            <v>N000</v>
          </cell>
          <cell r="G339" t="str">
            <v>210</v>
          </cell>
          <cell r="H339" t="str">
            <v>1103</v>
          </cell>
          <cell r="I339" t="str">
            <v>A01803</v>
          </cell>
          <cell r="J339" t="str">
            <v>19</v>
          </cell>
          <cell r="K339" t="str">
            <v>2</v>
          </cell>
          <cell r="L339">
            <v>3</v>
          </cell>
          <cell r="M339">
            <v>0</v>
          </cell>
          <cell r="N339">
            <v>2120.3000000000002</v>
          </cell>
          <cell r="O339" t="str">
            <v>M</v>
          </cell>
          <cell r="P339" t="str">
            <v>00000000</v>
          </cell>
          <cell r="Q339">
            <v>0</v>
          </cell>
          <cell r="R339">
            <v>306.27</v>
          </cell>
          <cell r="S339">
            <v>58.9</v>
          </cell>
          <cell r="T339">
            <v>270.33999999999997</v>
          </cell>
          <cell r="U339">
            <v>106.02</v>
          </cell>
          <cell r="V339">
            <v>38.17</v>
          </cell>
          <cell r="W339">
            <v>42.41</v>
          </cell>
          <cell r="X339">
            <v>0</v>
          </cell>
          <cell r="Y339">
            <v>0</v>
          </cell>
          <cell r="Z339">
            <v>54.77</v>
          </cell>
          <cell r="AA339">
            <v>77</v>
          </cell>
          <cell r="AB339">
            <v>96</v>
          </cell>
          <cell r="AC339">
            <v>80</v>
          </cell>
          <cell r="AD339">
            <v>13.49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Y339">
            <v>117492.12</v>
          </cell>
        </row>
        <row r="340">
          <cell r="A340">
            <v>2</v>
          </cell>
          <cell r="B340" t="str">
            <v>12</v>
          </cell>
          <cell r="C340" t="str">
            <v>000</v>
          </cell>
          <cell r="D340" t="str">
            <v>1</v>
          </cell>
          <cell r="E340" t="str">
            <v>209</v>
          </cell>
          <cell r="F340" t="str">
            <v>N000</v>
          </cell>
          <cell r="G340" t="str">
            <v>210</v>
          </cell>
          <cell r="H340" t="str">
            <v>1103</v>
          </cell>
          <cell r="I340" t="str">
            <v>A01805</v>
          </cell>
          <cell r="J340" t="str">
            <v>21</v>
          </cell>
          <cell r="K340" t="str">
            <v>2</v>
          </cell>
          <cell r="L340">
            <v>6</v>
          </cell>
          <cell r="M340">
            <v>0</v>
          </cell>
          <cell r="N340">
            <v>2238.1999999999998</v>
          </cell>
          <cell r="O340" t="str">
            <v>M</v>
          </cell>
          <cell r="P340" t="str">
            <v>00000000</v>
          </cell>
          <cell r="Q340">
            <v>0</v>
          </cell>
          <cell r="R340">
            <v>323.3</v>
          </cell>
          <cell r="S340">
            <v>62.17</v>
          </cell>
          <cell r="T340">
            <v>285.37</v>
          </cell>
          <cell r="U340">
            <v>111.91</v>
          </cell>
          <cell r="V340">
            <v>40.29</v>
          </cell>
          <cell r="W340">
            <v>44.76</v>
          </cell>
          <cell r="X340">
            <v>38.33</v>
          </cell>
          <cell r="Y340">
            <v>0</v>
          </cell>
          <cell r="Z340">
            <v>58.3</v>
          </cell>
          <cell r="AA340">
            <v>77</v>
          </cell>
          <cell r="AB340">
            <v>96</v>
          </cell>
          <cell r="AC340">
            <v>80</v>
          </cell>
          <cell r="AD340">
            <v>13.49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Y340">
            <v>249776.64000000001</v>
          </cell>
        </row>
        <row r="341">
          <cell r="A341">
            <v>2</v>
          </cell>
          <cell r="B341" t="str">
            <v>12</v>
          </cell>
          <cell r="C341" t="str">
            <v>000</v>
          </cell>
          <cell r="D341" t="str">
            <v>1</v>
          </cell>
          <cell r="E341" t="str">
            <v>209</v>
          </cell>
          <cell r="F341" t="str">
            <v>N000</v>
          </cell>
          <cell r="G341" t="str">
            <v>210</v>
          </cell>
          <cell r="H341" t="str">
            <v>1103</v>
          </cell>
          <cell r="I341" t="str">
            <v>A01806</v>
          </cell>
          <cell r="J341" t="str">
            <v>25</v>
          </cell>
          <cell r="K341" t="str">
            <v>2</v>
          </cell>
          <cell r="L341">
            <v>4</v>
          </cell>
          <cell r="M341">
            <v>0</v>
          </cell>
          <cell r="N341">
            <v>2572.4</v>
          </cell>
          <cell r="O341" t="str">
            <v>M</v>
          </cell>
          <cell r="P341" t="str">
            <v>00000000</v>
          </cell>
          <cell r="Q341">
            <v>0</v>
          </cell>
          <cell r="R341">
            <v>371.57</v>
          </cell>
          <cell r="S341">
            <v>71.459999999999994</v>
          </cell>
          <cell r="T341">
            <v>327.98</v>
          </cell>
          <cell r="U341">
            <v>128.62</v>
          </cell>
          <cell r="V341">
            <v>46.3</v>
          </cell>
          <cell r="W341">
            <v>51.45</v>
          </cell>
          <cell r="X341">
            <v>34.5</v>
          </cell>
          <cell r="Y341">
            <v>0</v>
          </cell>
          <cell r="Z341">
            <v>66.06</v>
          </cell>
          <cell r="AA341">
            <v>77</v>
          </cell>
          <cell r="AB341">
            <v>96</v>
          </cell>
          <cell r="AC341">
            <v>80</v>
          </cell>
          <cell r="AD341">
            <v>13.49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Y341">
            <v>188967.84</v>
          </cell>
        </row>
        <row r="342">
          <cell r="A342">
            <v>2</v>
          </cell>
          <cell r="B342" t="str">
            <v>12</v>
          </cell>
          <cell r="C342" t="str">
            <v>000</v>
          </cell>
          <cell r="D342" t="str">
            <v>1</v>
          </cell>
          <cell r="E342" t="str">
            <v>209</v>
          </cell>
          <cell r="F342" t="str">
            <v>N000</v>
          </cell>
          <cell r="G342" t="str">
            <v>210</v>
          </cell>
          <cell r="H342" t="str">
            <v>1103</v>
          </cell>
          <cell r="I342" t="str">
            <v>A03804</v>
          </cell>
          <cell r="J342" t="str">
            <v>23</v>
          </cell>
          <cell r="K342" t="str">
            <v>2</v>
          </cell>
          <cell r="L342">
            <v>1</v>
          </cell>
          <cell r="M342">
            <v>0</v>
          </cell>
          <cell r="N342">
            <v>2451.25</v>
          </cell>
          <cell r="O342" t="str">
            <v>M</v>
          </cell>
          <cell r="P342" t="str">
            <v>00000000</v>
          </cell>
          <cell r="Q342">
            <v>0</v>
          </cell>
          <cell r="R342">
            <v>354.07</v>
          </cell>
          <cell r="S342">
            <v>68.09</v>
          </cell>
          <cell r="T342">
            <v>312.52999999999997</v>
          </cell>
          <cell r="U342">
            <v>122.56</v>
          </cell>
          <cell r="V342">
            <v>44.12</v>
          </cell>
          <cell r="W342">
            <v>49.02</v>
          </cell>
          <cell r="X342">
            <v>82</v>
          </cell>
          <cell r="Y342">
            <v>0</v>
          </cell>
          <cell r="Z342">
            <v>64.17</v>
          </cell>
          <cell r="AA342">
            <v>77</v>
          </cell>
          <cell r="AB342">
            <v>96</v>
          </cell>
          <cell r="AC342">
            <v>80</v>
          </cell>
          <cell r="AD342">
            <v>13.49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Y342">
            <v>45771.6</v>
          </cell>
        </row>
        <row r="343">
          <cell r="A343">
            <v>2</v>
          </cell>
          <cell r="B343" t="str">
            <v>12</v>
          </cell>
          <cell r="C343" t="str">
            <v>000</v>
          </cell>
          <cell r="D343" t="str">
            <v>1</v>
          </cell>
          <cell r="E343" t="str">
            <v>209</v>
          </cell>
          <cell r="F343" t="str">
            <v>N000</v>
          </cell>
          <cell r="G343" t="str">
            <v>210</v>
          </cell>
          <cell r="H343" t="str">
            <v>1103</v>
          </cell>
          <cell r="I343" t="str">
            <v>CFMC03</v>
          </cell>
          <cell r="J343" t="str">
            <v>MC03</v>
          </cell>
          <cell r="K343" t="str">
            <v>1</v>
          </cell>
          <cell r="L343">
            <v>2</v>
          </cell>
          <cell r="M343">
            <v>0</v>
          </cell>
          <cell r="N343">
            <v>4311.3999999999996</v>
          </cell>
          <cell r="O343" t="str">
            <v>M</v>
          </cell>
          <cell r="P343" t="str">
            <v>00000000</v>
          </cell>
          <cell r="Q343">
            <v>11306.9</v>
          </cell>
          <cell r="R343">
            <v>622.76</v>
          </cell>
          <cell r="S343">
            <v>119.76</v>
          </cell>
          <cell r="T343">
            <v>549.70000000000005</v>
          </cell>
          <cell r="U343">
            <v>215.57</v>
          </cell>
          <cell r="V343">
            <v>281.13</v>
          </cell>
          <cell r="W343">
            <v>86.23</v>
          </cell>
          <cell r="X343">
            <v>91</v>
          </cell>
          <cell r="Y343">
            <v>780.91</v>
          </cell>
          <cell r="Z343">
            <v>330.58</v>
          </cell>
          <cell r="AA343">
            <v>77</v>
          </cell>
          <cell r="AB343">
            <v>0</v>
          </cell>
          <cell r="AC343">
            <v>0</v>
          </cell>
          <cell r="AD343">
            <v>13.49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Y343">
            <v>450874.32</v>
          </cell>
        </row>
        <row r="344">
          <cell r="A344">
            <v>2</v>
          </cell>
          <cell r="B344" t="str">
            <v>12</v>
          </cell>
          <cell r="C344" t="str">
            <v>000</v>
          </cell>
          <cell r="D344" t="str">
            <v>1</v>
          </cell>
          <cell r="E344" t="str">
            <v>209</v>
          </cell>
          <cell r="F344" t="str">
            <v>N000</v>
          </cell>
          <cell r="G344" t="str">
            <v>210</v>
          </cell>
          <cell r="H344" t="str">
            <v>1103</v>
          </cell>
          <cell r="I344" t="str">
            <v>CFMD09</v>
          </cell>
          <cell r="J344" t="str">
            <v>MD09</v>
          </cell>
          <cell r="K344" t="str">
            <v>1</v>
          </cell>
          <cell r="L344">
            <v>1</v>
          </cell>
          <cell r="M344">
            <v>0</v>
          </cell>
          <cell r="N344">
            <v>14852.65</v>
          </cell>
          <cell r="O344" t="str">
            <v>M</v>
          </cell>
          <cell r="P344" t="str">
            <v>00000000</v>
          </cell>
          <cell r="Q344">
            <v>100991.65</v>
          </cell>
          <cell r="R344">
            <v>2145.38</v>
          </cell>
          <cell r="S344">
            <v>412.57</v>
          </cell>
          <cell r="T344">
            <v>1893.71</v>
          </cell>
          <cell r="U344">
            <v>742.63</v>
          </cell>
          <cell r="V344">
            <v>2085.1999999999998</v>
          </cell>
          <cell r="W344">
            <v>297.05</v>
          </cell>
          <cell r="X344">
            <v>109</v>
          </cell>
          <cell r="Y344">
            <v>5792.22</v>
          </cell>
          <cell r="Z344">
            <v>2371.7600000000002</v>
          </cell>
          <cell r="AA344">
            <v>77</v>
          </cell>
          <cell r="AB344">
            <v>0</v>
          </cell>
          <cell r="AC344">
            <v>0</v>
          </cell>
          <cell r="AD344">
            <v>13.49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Y344">
            <v>1581411.72</v>
          </cell>
        </row>
        <row r="345">
          <cell r="A345">
            <v>2</v>
          </cell>
          <cell r="B345" t="str">
            <v>12</v>
          </cell>
          <cell r="C345" t="str">
            <v>000</v>
          </cell>
          <cell r="D345" t="str">
            <v>1</v>
          </cell>
          <cell r="E345" t="str">
            <v>209</v>
          </cell>
          <cell r="F345" t="str">
            <v>N000</v>
          </cell>
          <cell r="G345" t="str">
            <v>210</v>
          </cell>
          <cell r="H345" t="str">
            <v>1103</v>
          </cell>
          <cell r="I345" t="str">
            <v>CFMG06</v>
          </cell>
          <cell r="J345" t="str">
            <v>MG06</v>
          </cell>
          <cell r="K345" t="str">
            <v>1</v>
          </cell>
          <cell r="L345">
            <v>3</v>
          </cell>
          <cell r="M345">
            <v>0</v>
          </cell>
          <cell r="N345">
            <v>8232.25</v>
          </cell>
          <cell r="O345" t="str">
            <v>M</v>
          </cell>
          <cell r="P345" t="str">
            <v>00000000</v>
          </cell>
          <cell r="Q345">
            <v>38872.050000000003</v>
          </cell>
          <cell r="R345">
            <v>1189.0999999999999</v>
          </cell>
          <cell r="S345">
            <v>228.67</v>
          </cell>
          <cell r="T345">
            <v>1049.6099999999999</v>
          </cell>
          <cell r="U345">
            <v>411.61</v>
          </cell>
          <cell r="V345">
            <v>847.88</v>
          </cell>
          <cell r="W345">
            <v>164.65</v>
          </cell>
          <cell r="X345">
            <v>72.67</v>
          </cell>
          <cell r="Y345">
            <v>2355.2199999999998</v>
          </cell>
          <cell r="Z345">
            <v>973.43</v>
          </cell>
          <cell r="AA345">
            <v>77</v>
          </cell>
          <cell r="AB345">
            <v>0</v>
          </cell>
          <cell r="AC345">
            <v>0</v>
          </cell>
          <cell r="AD345">
            <v>13.49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Y345">
            <v>1961554.68</v>
          </cell>
        </row>
        <row r="346">
          <cell r="A346">
            <v>2</v>
          </cell>
          <cell r="B346" t="str">
            <v>12</v>
          </cell>
          <cell r="C346" t="str">
            <v>000</v>
          </cell>
          <cell r="D346" t="str">
            <v>1</v>
          </cell>
          <cell r="E346" t="str">
            <v>209</v>
          </cell>
          <cell r="F346" t="str">
            <v>N000</v>
          </cell>
          <cell r="G346" t="str">
            <v>210</v>
          </cell>
          <cell r="H346" t="str">
            <v>1103</v>
          </cell>
          <cell r="I346" t="str">
            <v>CFMS06</v>
          </cell>
          <cell r="J346" t="str">
            <v>MS06</v>
          </cell>
          <cell r="K346" t="str">
            <v>1</v>
          </cell>
          <cell r="L346">
            <v>1</v>
          </cell>
          <cell r="M346">
            <v>0</v>
          </cell>
          <cell r="N346">
            <v>4801.8999999999996</v>
          </cell>
          <cell r="O346" t="str">
            <v>M</v>
          </cell>
          <cell r="P346" t="str">
            <v>00000000</v>
          </cell>
          <cell r="Q346">
            <v>21723.85</v>
          </cell>
          <cell r="R346">
            <v>693.61</v>
          </cell>
          <cell r="S346">
            <v>133.38999999999999</v>
          </cell>
          <cell r="T346">
            <v>612.24</v>
          </cell>
          <cell r="U346">
            <v>240.09</v>
          </cell>
          <cell r="V346">
            <v>477.46</v>
          </cell>
          <cell r="W346">
            <v>96.04</v>
          </cell>
          <cell r="X346">
            <v>0</v>
          </cell>
          <cell r="Y346">
            <v>1326.29</v>
          </cell>
          <cell r="Z346">
            <v>548.6</v>
          </cell>
          <cell r="AA346">
            <v>77</v>
          </cell>
          <cell r="AB346">
            <v>0</v>
          </cell>
          <cell r="AC346">
            <v>0</v>
          </cell>
          <cell r="AD346">
            <v>13.49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Y346">
            <v>368927.52</v>
          </cell>
        </row>
        <row r="347">
          <cell r="A347">
            <v>2</v>
          </cell>
          <cell r="B347" t="str">
            <v>12</v>
          </cell>
          <cell r="C347" t="str">
            <v>000</v>
          </cell>
          <cell r="D347" t="str">
            <v>1</v>
          </cell>
          <cell r="E347" t="str">
            <v>209</v>
          </cell>
          <cell r="F347" t="str">
            <v>N000</v>
          </cell>
          <cell r="G347" t="str">
            <v>210</v>
          </cell>
          <cell r="H347" t="str">
            <v>1103</v>
          </cell>
          <cell r="I347" t="str">
            <v>CFMS08</v>
          </cell>
          <cell r="J347" t="str">
            <v>MS08</v>
          </cell>
          <cell r="K347" t="str">
            <v>1</v>
          </cell>
          <cell r="L347">
            <v>9</v>
          </cell>
          <cell r="M347">
            <v>0</v>
          </cell>
          <cell r="N347">
            <v>4801.8999999999996</v>
          </cell>
          <cell r="O347" t="str">
            <v>M</v>
          </cell>
          <cell r="P347" t="str">
            <v>00000000</v>
          </cell>
          <cell r="Q347">
            <v>18269.849999999999</v>
          </cell>
          <cell r="R347">
            <v>693.61</v>
          </cell>
          <cell r="S347">
            <v>133.38999999999999</v>
          </cell>
          <cell r="T347">
            <v>612.24</v>
          </cell>
          <cell r="U347">
            <v>240.09</v>
          </cell>
          <cell r="V347">
            <v>415.29</v>
          </cell>
          <cell r="W347">
            <v>96.04</v>
          </cell>
          <cell r="X347">
            <v>65.89</v>
          </cell>
          <cell r="Y347">
            <v>1153.5899999999999</v>
          </cell>
          <cell r="Z347">
            <v>480.83</v>
          </cell>
          <cell r="AA347">
            <v>77</v>
          </cell>
          <cell r="AB347">
            <v>0</v>
          </cell>
          <cell r="AC347">
            <v>0</v>
          </cell>
          <cell r="AD347">
            <v>13.49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Y347">
            <v>2921746.68</v>
          </cell>
        </row>
        <row r="348">
          <cell r="A348">
            <v>2</v>
          </cell>
          <cell r="B348" t="str">
            <v>12</v>
          </cell>
          <cell r="C348" t="str">
            <v>000</v>
          </cell>
          <cell r="D348" t="str">
            <v>1</v>
          </cell>
          <cell r="E348" t="str">
            <v>209</v>
          </cell>
          <cell r="F348" t="str">
            <v>N000</v>
          </cell>
          <cell r="G348" t="str">
            <v>210</v>
          </cell>
          <cell r="H348" t="str">
            <v>1103</v>
          </cell>
          <cell r="I348" t="str">
            <v>M01006</v>
          </cell>
          <cell r="K348" t="str">
            <v>2</v>
          </cell>
          <cell r="L348">
            <v>19</v>
          </cell>
          <cell r="M348">
            <v>0</v>
          </cell>
          <cell r="N348">
            <v>5300</v>
          </cell>
          <cell r="O348" t="str">
            <v>M</v>
          </cell>
          <cell r="P348" t="str">
            <v>00000000</v>
          </cell>
          <cell r="Q348">
            <v>0</v>
          </cell>
          <cell r="R348">
            <v>765.56</v>
          </cell>
          <cell r="S348">
            <v>147.22</v>
          </cell>
          <cell r="T348">
            <v>675.75</v>
          </cell>
          <cell r="U348">
            <v>265</v>
          </cell>
          <cell r="V348">
            <v>95.4</v>
          </cell>
          <cell r="W348">
            <v>106</v>
          </cell>
          <cell r="X348">
            <v>22.68</v>
          </cell>
          <cell r="Y348">
            <v>0</v>
          </cell>
          <cell r="Z348">
            <v>238.38</v>
          </cell>
          <cell r="AA348">
            <v>77</v>
          </cell>
          <cell r="AB348">
            <v>96</v>
          </cell>
          <cell r="AC348">
            <v>80</v>
          </cell>
          <cell r="AD348">
            <v>13.49</v>
          </cell>
          <cell r="AE348">
            <v>4.42</v>
          </cell>
          <cell r="AF348">
            <v>0</v>
          </cell>
          <cell r="AG348">
            <v>0</v>
          </cell>
          <cell r="AH348">
            <v>2426</v>
          </cell>
          <cell r="AI348">
            <v>0</v>
          </cell>
          <cell r="AJ348">
            <v>3000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Y348">
            <v>3035341.2</v>
          </cell>
        </row>
        <row r="349">
          <cell r="A349">
            <v>2</v>
          </cell>
          <cell r="B349" t="str">
            <v>12</v>
          </cell>
          <cell r="C349" t="str">
            <v>000</v>
          </cell>
          <cell r="D349" t="str">
            <v>1</v>
          </cell>
          <cell r="E349" t="str">
            <v>209</v>
          </cell>
          <cell r="F349" t="str">
            <v>N000</v>
          </cell>
          <cell r="G349" t="str">
            <v>210</v>
          </cell>
          <cell r="H349" t="str">
            <v>1103</v>
          </cell>
          <cell r="I349" t="str">
            <v>M01008</v>
          </cell>
          <cell r="K349" t="str">
            <v>2</v>
          </cell>
          <cell r="L349">
            <v>3</v>
          </cell>
          <cell r="M349">
            <v>0</v>
          </cell>
          <cell r="N349">
            <v>5546</v>
          </cell>
          <cell r="O349" t="str">
            <v>M</v>
          </cell>
          <cell r="P349" t="str">
            <v>00000000</v>
          </cell>
          <cell r="Q349">
            <v>0</v>
          </cell>
          <cell r="R349">
            <v>801.09</v>
          </cell>
          <cell r="S349">
            <v>154.06</v>
          </cell>
          <cell r="T349">
            <v>707.12</v>
          </cell>
          <cell r="U349">
            <v>277.3</v>
          </cell>
          <cell r="V349">
            <v>99.83</v>
          </cell>
          <cell r="W349">
            <v>110.92</v>
          </cell>
          <cell r="X349">
            <v>46</v>
          </cell>
          <cell r="Y349">
            <v>0</v>
          </cell>
          <cell r="Z349">
            <v>251.18</v>
          </cell>
          <cell r="AA349">
            <v>77</v>
          </cell>
          <cell r="AB349">
            <v>96</v>
          </cell>
          <cell r="AC349">
            <v>80</v>
          </cell>
          <cell r="AD349">
            <v>13.49</v>
          </cell>
          <cell r="AE349">
            <v>4.62</v>
          </cell>
          <cell r="AF349">
            <v>0</v>
          </cell>
          <cell r="AG349">
            <v>0</v>
          </cell>
          <cell r="AH349">
            <v>2739</v>
          </cell>
          <cell r="AI349">
            <v>0</v>
          </cell>
          <cell r="AJ349">
            <v>3015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Y349">
            <v>504669.96</v>
          </cell>
        </row>
        <row r="350">
          <cell r="A350">
            <v>2</v>
          </cell>
          <cell r="B350" t="str">
            <v>12</v>
          </cell>
          <cell r="C350" t="str">
            <v>000</v>
          </cell>
          <cell r="D350" t="str">
            <v>1</v>
          </cell>
          <cell r="E350" t="str">
            <v>209</v>
          </cell>
          <cell r="F350" t="str">
            <v>N000</v>
          </cell>
          <cell r="G350" t="str">
            <v>210</v>
          </cell>
          <cell r="H350" t="str">
            <v>1103</v>
          </cell>
          <cell r="I350" t="str">
            <v>S08802</v>
          </cell>
          <cell r="J350" t="str">
            <v>21</v>
          </cell>
          <cell r="K350" t="str">
            <v>2</v>
          </cell>
          <cell r="L350">
            <v>1</v>
          </cell>
          <cell r="M350">
            <v>0</v>
          </cell>
          <cell r="N350">
            <v>2238.1999999999998</v>
          </cell>
          <cell r="O350" t="str">
            <v>M</v>
          </cell>
          <cell r="P350" t="str">
            <v>00000000</v>
          </cell>
          <cell r="Q350">
            <v>0</v>
          </cell>
          <cell r="R350">
            <v>323.3</v>
          </cell>
          <cell r="S350">
            <v>62.17</v>
          </cell>
          <cell r="T350">
            <v>285.37</v>
          </cell>
          <cell r="U350">
            <v>111.91</v>
          </cell>
          <cell r="V350">
            <v>40.29</v>
          </cell>
          <cell r="W350">
            <v>44.76</v>
          </cell>
          <cell r="X350">
            <v>46</v>
          </cell>
          <cell r="Y350">
            <v>0</v>
          </cell>
          <cell r="Z350">
            <v>58.45</v>
          </cell>
          <cell r="AA350">
            <v>77</v>
          </cell>
          <cell r="AB350">
            <v>96</v>
          </cell>
          <cell r="AC350">
            <v>80</v>
          </cell>
          <cell r="AD350">
            <v>13.49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Y350">
            <v>41723.279999999999</v>
          </cell>
        </row>
        <row r="351">
          <cell r="A351">
            <v>2</v>
          </cell>
          <cell r="B351" t="str">
            <v>12</v>
          </cell>
          <cell r="C351" t="str">
            <v>000</v>
          </cell>
          <cell r="D351" t="str">
            <v>1</v>
          </cell>
          <cell r="E351" t="str">
            <v>209</v>
          </cell>
          <cell r="F351" t="str">
            <v>N000</v>
          </cell>
          <cell r="G351" t="str">
            <v>210</v>
          </cell>
          <cell r="H351" t="str">
            <v>1103</v>
          </cell>
          <cell r="I351" t="str">
            <v>T03804</v>
          </cell>
          <cell r="J351" t="str">
            <v>25</v>
          </cell>
          <cell r="K351" t="str">
            <v>2</v>
          </cell>
          <cell r="L351">
            <v>2</v>
          </cell>
          <cell r="M351">
            <v>0</v>
          </cell>
          <cell r="N351">
            <v>2572.4</v>
          </cell>
          <cell r="O351" t="str">
            <v>M</v>
          </cell>
          <cell r="P351" t="str">
            <v>00000000</v>
          </cell>
          <cell r="Q351">
            <v>0</v>
          </cell>
          <cell r="R351">
            <v>371.57</v>
          </cell>
          <cell r="S351">
            <v>71.459999999999994</v>
          </cell>
          <cell r="T351">
            <v>327.98</v>
          </cell>
          <cell r="U351">
            <v>128.62</v>
          </cell>
          <cell r="V351">
            <v>46.3</v>
          </cell>
          <cell r="W351">
            <v>51.45</v>
          </cell>
          <cell r="X351">
            <v>41</v>
          </cell>
          <cell r="Y351">
            <v>0</v>
          </cell>
          <cell r="Z351">
            <v>66.19</v>
          </cell>
          <cell r="AA351">
            <v>77</v>
          </cell>
          <cell r="AB351">
            <v>96</v>
          </cell>
          <cell r="AC351">
            <v>80</v>
          </cell>
          <cell r="AD351">
            <v>13.49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Y351">
            <v>94643.04</v>
          </cell>
        </row>
        <row r="352">
          <cell r="A352">
            <v>2</v>
          </cell>
          <cell r="B352" t="str">
            <v>12</v>
          </cell>
          <cell r="C352" t="str">
            <v>000</v>
          </cell>
          <cell r="D352" t="str">
            <v>1</v>
          </cell>
          <cell r="E352" t="str">
            <v>209</v>
          </cell>
          <cell r="F352" t="str">
            <v>N000</v>
          </cell>
          <cell r="G352" t="str">
            <v>210</v>
          </cell>
          <cell r="H352" t="str">
            <v>1103</v>
          </cell>
          <cell r="I352" t="str">
            <v>CF01059</v>
          </cell>
          <cell r="J352" t="str">
            <v>28</v>
          </cell>
          <cell r="K352" t="str">
            <v>1</v>
          </cell>
          <cell r="L352">
            <v>7</v>
          </cell>
          <cell r="M352">
            <v>0</v>
          </cell>
          <cell r="N352">
            <v>3631.8</v>
          </cell>
          <cell r="O352" t="str">
            <v>M</v>
          </cell>
          <cell r="P352" t="str">
            <v>00000000</v>
          </cell>
          <cell r="Q352">
            <v>8731.1</v>
          </cell>
          <cell r="R352">
            <v>524.59</v>
          </cell>
          <cell r="S352">
            <v>100.88</v>
          </cell>
          <cell r="T352">
            <v>463.05</v>
          </cell>
          <cell r="U352">
            <v>181.59</v>
          </cell>
          <cell r="V352">
            <v>222.53</v>
          </cell>
          <cell r="W352">
            <v>72.64</v>
          </cell>
          <cell r="X352">
            <v>21</v>
          </cell>
          <cell r="Y352">
            <v>618.15</v>
          </cell>
          <cell r="Z352">
            <v>261.73</v>
          </cell>
          <cell r="AA352">
            <v>77</v>
          </cell>
          <cell r="AB352">
            <v>0</v>
          </cell>
          <cell r="AC352">
            <v>0</v>
          </cell>
          <cell r="AD352">
            <v>13.49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Y352">
            <v>1253242.2</v>
          </cell>
        </row>
        <row r="353">
          <cell r="A353">
            <v>2</v>
          </cell>
          <cell r="B353" t="str">
            <v>12</v>
          </cell>
          <cell r="C353" t="str">
            <v>000</v>
          </cell>
          <cell r="D353" t="str">
            <v>1</v>
          </cell>
          <cell r="E353" t="str">
            <v>209</v>
          </cell>
          <cell r="F353" t="str">
            <v>N000</v>
          </cell>
          <cell r="G353" t="str">
            <v>210</v>
          </cell>
          <cell r="H353" t="str">
            <v>1103</v>
          </cell>
          <cell r="I353" t="str">
            <v>CF03809</v>
          </cell>
          <cell r="J353" t="str">
            <v>25</v>
          </cell>
          <cell r="K353" t="str">
            <v>2</v>
          </cell>
          <cell r="L353">
            <v>2</v>
          </cell>
          <cell r="M353">
            <v>0</v>
          </cell>
          <cell r="N353">
            <v>2572.4</v>
          </cell>
          <cell r="O353" t="str">
            <v>M</v>
          </cell>
          <cell r="P353" t="str">
            <v>00000000</v>
          </cell>
          <cell r="Q353">
            <v>0</v>
          </cell>
          <cell r="R353">
            <v>371.57</v>
          </cell>
          <cell r="S353">
            <v>71.459999999999994</v>
          </cell>
          <cell r="T353">
            <v>327.98</v>
          </cell>
          <cell r="U353">
            <v>128.62</v>
          </cell>
          <cell r="V353">
            <v>46.3</v>
          </cell>
          <cell r="W353">
            <v>51.45</v>
          </cell>
          <cell r="X353">
            <v>0</v>
          </cell>
          <cell r="Y353">
            <v>0</v>
          </cell>
          <cell r="Z353">
            <v>65.37</v>
          </cell>
          <cell r="AA353">
            <v>77</v>
          </cell>
          <cell r="AB353">
            <v>96</v>
          </cell>
          <cell r="AC353">
            <v>80</v>
          </cell>
          <cell r="AD353">
            <v>13.49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Y353">
            <v>93639.360000000001</v>
          </cell>
        </row>
        <row r="354">
          <cell r="A354">
            <v>2</v>
          </cell>
          <cell r="B354" t="str">
            <v>12</v>
          </cell>
          <cell r="C354" t="str">
            <v>000</v>
          </cell>
          <cell r="D354" t="str">
            <v>1</v>
          </cell>
          <cell r="E354" t="str">
            <v>209</v>
          </cell>
          <cell r="F354" t="str">
            <v>N000</v>
          </cell>
          <cell r="G354" t="str">
            <v>210</v>
          </cell>
          <cell r="H354" t="str">
            <v>1103</v>
          </cell>
          <cell r="I354" t="str">
            <v>CF03820</v>
          </cell>
          <cell r="J354" t="str">
            <v>27Z</v>
          </cell>
          <cell r="K354" t="str">
            <v>2</v>
          </cell>
          <cell r="L354">
            <v>1</v>
          </cell>
          <cell r="M354">
            <v>0</v>
          </cell>
          <cell r="N354">
            <v>2900.25</v>
          </cell>
          <cell r="O354" t="str">
            <v>M</v>
          </cell>
          <cell r="P354" t="str">
            <v>00000000</v>
          </cell>
          <cell r="Q354">
            <v>205.15</v>
          </cell>
          <cell r="R354">
            <v>418.93</v>
          </cell>
          <cell r="S354">
            <v>80.56</v>
          </cell>
          <cell r="T354">
            <v>369.78</v>
          </cell>
          <cell r="U354">
            <v>145.01</v>
          </cell>
          <cell r="V354">
            <v>55.89</v>
          </cell>
          <cell r="W354">
            <v>58.01</v>
          </cell>
          <cell r="X354">
            <v>0</v>
          </cell>
          <cell r="Y354">
            <v>0</v>
          </cell>
          <cell r="Z354">
            <v>77.16</v>
          </cell>
          <cell r="AA354">
            <v>77</v>
          </cell>
          <cell r="AB354">
            <v>96</v>
          </cell>
          <cell r="AC354">
            <v>80</v>
          </cell>
          <cell r="AD354">
            <v>13.49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Y354">
            <v>54926.76</v>
          </cell>
        </row>
        <row r="355">
          <cell r="A355">
            <v>2</v>
          </cell>
          <cell r="B355" t="str">
            <v>12</v>
          </cell>
          <cell r="C355" t="str">
            <v>000</v>
          </cell>
          <cell r="D355" t="str">
            <v>1</v>
          </cell>
          <cell r="E355" t="str">
            <v>209</v>
          </cell>
          <cell r="F355" t="str">
            <v>N000</v>
          </cell>
          <cell r="G355" t="str">
            <v>210</v>
          </cell>
          <cell r="H355" t="str">
            <v>1103</v>
          </cell>
          <cell r="I355" t="str">
            <v>CF04806</v>
          </cell>
          <cell r="J355" t="str">
            <v>26</v>
          </cell>
          <cell r="K355" t="str">
            <v>2</v>
          </cell>
          <cell r="L355">
            <v>5</v>
          </cell>
          <cell r="M355">
            <v>0</v>
          </cell>
          <cell r="N355">
            <v>2692.2</v>
          </cell>
          <cell r="O355" t="str">
            <v>M</v>
          </cell>
          <cell r="P355" t="str">
            <v>00000000</v>
          </cell>
          <cell r="Q355">
            <v>0</v>
          </cell>
          <cell r="R355">
            <v>388.87</v>
          </cell>
          <cell r="S355">
            <v>74.78</v>
          </cell>
          <cell r="T355">
            <v>343.26</v>
          </cell>
          <cell r="U355">
            <v>134.61000000000001</v>
          </cell>
          <cell r="V355">
            <v>48.46</v>
          </cell>
          <cell r="W355">
            <v>53.84</v>
          </cell>
          <cell r="X355">
            <v>40.4</v>
          </cell>
          <cell r="Y355">
            <v>0</v>
          </cell>
          <cell r="Z355">
            <v>68.98</v>
          </cell>
          <cell r="AA355">
            <v>77</v>
          </cell>
          <cell r="AB355">
            <v>96</v>
          </cell>
          <cell r="AC355">
            <v>80</v>
          </cell>
          <cell r="AD355">
            <v>13.49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Y355">
            <v>246713.4</v>
          </cell>
        </row>
        <row r="356">
          <cell r="A356">
            <v>2</v>
          </cell>
          <cell r="B356" t="str">
            <v>12</v>
          </cell>
          <cell r="C356" t="str">
            <v>000</v>
          </cell>
          <cell r="D356" t="str">
            <v>1</v>
          </cell>
          <cell r="E356" t="str">
            <v>209</v>
          </cell>
          <cell r="F356" t="str">
            <v>N000</v>
          </cell>
          <cell r="G356" t="str">
            <v>210</v>
          </cell>
          <cell r="H356" t="str">
            <v>1103</v>
          </cell>
          <cell r="I356" t="str">
            <v>CF04807</v>
          </cell>
          <cell r="J356" t="str">
            <v>27Z</v>
          </cell>
          <cell r="K356" t="str">
            <v>2</v>
          </cell>
          <cell r="L356">
            <v>13</v>
          </cell>
          <cell r="M356">
            <v>0</v>
          </cell>
          <cell r="N356">
            <v>2900.25</v>
          </cell>
          <cell r="O356" t="str">
            <v>M</v>
          </cell>
          <cell r="P356" t="str">
            <v>00000000</v>
          </cell>
          <cell r="Q356">
            <v>205.15</v>
          </cell>
          <cell r="R356">
            <v>418.93</v>
          </cell>
          <cell r="S356">
            <v>80.56</v>
          </cell>
          <cell r="T356">
            <v>369.78</v>
          </cell>
          <cell r="U356">
            <v>145.01</v>
          </cell>
          <cell r="V356">
            <v>55.89</v>
          </cell>
          <cell r="W356">
            <v>58.01</v>
          </cell>
          <cell r="X356">
            <v>50</v>
          </cell>
          <cell r="Y356">
            <v>0</v>
          </cell>
          <cell r="Z356">
            <v>78.16</v>
          </cell>
          <cell r="AA356">
            <v>77</v>
          </cell>
          <cell r="AB356">
            <v>96</v>
          </cell>
          <cell r="AC356">
            <v>80</v>
          </cell>
          <cell r="AD356">
            <v>13.49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Y356">
            <v>722003.88</v>
          </cell>
        </row>
        <row r="357">
          <cell r="A357">
            <v>2</v>
          </cell>
          <cell r="B357" t="str">
            <v>12</v>
          </cell>
          <cell r="C357" t="str">
            <v>000</v>
          </cell>
          <cell r="D357" t="str">
            <v>1</v>
          </cell>
          <cell r="E357" t="str">
            <v>209</v>
          </cell>
          <cell r="F357" t="str">
            <v>N000</v>
          </cell>
          <cell r="G357" t="str">
            <v>210</v>
          </cell>
          <cell r="H357" t="str">
            <v>1103</v>
          </cell>
          <cell r="I357" t="str">
            <v>CF04808</v>
          </cell>
          <cell r="J357" t="str">
            <v>27ZA</v>
          </cell>
          <cell r="K357" t="str">
            <v>2</v>
          </cell>
          <cell r="L357">
            <v>9</v>
          </cell>
          <cell r="M357">
            <v>0</v>
          </cell>
          <cell r="N357">
            <v>2982.9</v>
          </cell>
          <cell r="O357" t="str">
            <v>M</v>
          </cell>
          <cell r="P357" t="str">
            <v>00000000</v>
          </cell>
          <cell r="Q357">
            <v>579.4</v>
          </cell>
          <cell r="R357">
            <v>430.86</v>
          </cell>
          <cell r="S357">
            <v>82.86</v>
          </cell>
          <cell r="T357">
            <v>380.32</v>
          </cell>
          <cell r="U357">
            <v>149.15</v>
          </cell>
          <cell r="V357">
            <v>64.12</v>
          </cell>
          <cell r="W357">
            <v>59.66</v>
          </cell>
          <cell r="X357">
            <v>43.67</v>
          </cell>
          <cell r="Y357">
            <v>0</v>
          </cell>
          <cell r="Z357">
            <v>87.45</v>
          </cell>
          <cell r="AA357">
            <v>77</v>
          </cell>
          <cell r="AB357">
            <v>96</v>
          </cell>
          <cell r="AC357">
            <v>80</v>
          </cell>
          <cell r="AD357">
            <v>13.49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Y357">
            <v>553703.04</v>
          </cell>
        </row>
        <row r="358">
          <cell r="A358">
            <v>2</v>
          </cell>
          <cell r="B358" t="str">
            <v>12</v>
          </cell>
          <cell r="C358" t="str">
            <v>000</v>
          </cell>
          <cell r="D358" t="str">
            <v>1</v>
          </cell>
          <cell r="E358" t="str">
            <v>209</v>
          </cell>
          <cell r="F358" t="str">
            <v>N000</v>
          </cell>
          <cell r="G358" t="str">
            <v>210</v>
          </cell>
          <cell r="H358" t="str">
            <v>1103</v>
          </cell>
          <cell r="I358" t="str">
            <v>CF21859</v>
          </cell>
          <cell r="J358" t="str">
            <v>27ZB</v>
          </cell>
          <cell r="K358" t="str">
            <v>2</v>
          </cell>
          <cell r="L358">
            <v>2</v>
          </cell>
          <cell r="M358">
            <v>0</v>
          </cell>
          <cell r="N358">
            <v>3008.65</v>
          </cell>
          <cell r="O358" t="str">
            <v>M</v>
          </cell>
          <cell r="P358" t="str">
            <v>00000000</v>
          </cell>
          <cell r="Q358">
            <v>857</v>
          </cell>
          <cell r="R358">
            <v>434.58</v>
          </cell>
          <cell r="S358">
            <v>83.57</v>
          </cell>
          <cell r="T358">
            <v>383.6</v>
          </cell>
          <cell r="U358">
            <v>150.43</v>
          </cell>
          <cell r="V358">
            <v>69.59</v>
          </cell>
          <cell r="W358">
            <v>60.17</v>
          </cell>
          <cell r="X358">
            <v>82</v>
          </cell>
          <cell r="Y358">
            <v>0</v>
          </cell>
          <cell r="Z358">
            <v>94.38</v>
          </cell>
          <cell r="AA358">
            <v>77</v>
          </cell>
          <cell r="AB358">
            <v>96</v>
          </cell>
          <cell r="AC358">
            <v>80</v>
          </cell>
          <cell r="AD358">
            <v>13.49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Y358">
            <v>131771.04</v>
          </cell>
        </row>
        <row r="359">
          <cell r="A359">
            <v>2</v>
          </cell>
          <cell r="B359" t="str">
            <v>12</v>
          </cell>
          <cell r="C359" t="str">
            <v>000</v>
          </cell>
          <cell r="D359" t="str">
            <v>1</v>
          </cell>
          <cell r="E359" t="str">
            <v>209</v>
          </cell>
          <cell r="F359" t="str">
            <v>N000</v>
          </cell>
          <cell r="G359" t="str">
            <v>210</v>
          </cell>
          <cell r="H359" t="str">
            <v>1103</v>
          </cell>
          <cell r="I359" t="str">
            <v>CF21864</v>
          </cell>
          <cell r="J359" t="str">
            <v>27C</v>
          </cell>
          <cell r="K359" t="str">
            <v>1</v>
          </cell>
          <cell r="L359">
            <v>5</v>
          </cell>
          <cell r="M359">
            <v>0</v>
          </cell>
          <cell r="N359">
            <v>3268.2</v>
          </cell>
          <cell r="O359" t="str">
            <v>M</v>
          </cell>
          <cell r="P359" t="str">
            <v>00000000</v>
          </cell>
          <cell r="Q359">
            <v>4783.05</v>
          </cell>
          <cell r="R359">
            <v>472.07</v>
          </cell>
          <cell r="S359">
            <v>90.78</v>
          </cell>
          <cell r="T359">
            <v>416.7</v>
          </cell>
          <cell r="U359">
            <v>163.41</v>
          </cell>
          <cell r="V359">
            <v>144.91999999999999</v>
          </cell>
          <cell r="W359">
            <v>65.36</v>
          </cell>
          <cell r="X359">
            <v>49.4</v>
          </cell>
          <cell r="Y359">
            <v>0</v>
          </cell>
          <cell r="Z359">
            <v>174.81</v>
          </cell>
          <cell r="AA359">
            <v>77</v>
          </cell>
          <cell r="AB359">
            <v>0</v>
          </cell>
          <cell r="AC359">
            <v>0</v>
          </cell>
          <cell r="AD359">
            <v>13.49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Y359">
            <v>583151.4</v>
          </cell>
        </row>
        <row r="360">
          <cell r="A360">
            <v>2</v>
          </cell>
          <cell r="B360" t="str">
            <v>12</v>
          </cell>
          <cell r="C360" t="str">
            <v>000</v>
          </cell>
          <cell r="D360" t="str">
            <v>1</v>
          </cell>
          <cell r="E360" t="str">
            <v>209</v>
          </cell>
          <cell r="F360" t="str">
            <v>N000</v>
          </cell>
          <cell r="G360" t="str">
            <v>210</v>
          </cell>
          <cell r="H360" t="str">
            <v>1103</v>
          </cell>
          <cell r="I360" t="str">
            <v>CF21865</v>
          </cell>
          <cell r="J360" t="str">
            <v>27B</v>
          </cell>
          <cell r="K360" t="str">
            <v>1</v>
          </cell>
          <cell r="L360">
            <v>1</v>
          </cell>
          <cell r="M360">
            <v>0</v>
          </cell>
          <cell r="N360">
            <v>3222.2</v>
          </cell>
          <cell r="O360" t="str">
            <v>M</v>
          </cell>
          <cell r="P360" t="str">
            <v>00000000</v>
          </cell>
          <cell r="Q360">
            <v>3558.85</v>
          </cell>
          <cell r="R360">
            <v>465.43</v>
          </cell>
          <cell r="S360">
            <v>89.51</v>
          </cell>
          <cell r="T360">
            <v>410.83</v>
          </cell>
          <cell r="U360">
            <v>161.11000000000001</v>
          </cell>
          <cell r="V360">
            <v>122.06</v>
          </cell>
          <cell r="W360">
            <v>64.44</v>
          </cell>
          <cell r="X360">
            <v>46</v>
          </cell>
          <cell r="Y360">
            <v>0</v>
          </cell>
          <cell r="Z360">
            <v>149.18</v>
          </cell>
          <cell r="AA360">
            <v>77</v>
          </cell>
          <cell r="AB360">
            <v>0</v>
          </cell>
          <cell r="AC360">
            <v>0</v>
          </cell>
          <cell r="AD360">
            <v>13.49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Y360">
            <v>100561.2</v>
          </cell>
        </row>
        <row r="361">
          <cell r="A361">
            <v>2</v>
          </cell>
          <cell r="B361" t="str">
            <v>12</v>
          </cell>
          <cell r="C361" t="str">
            <v>000</v>
          </cell>
          <cell r="D361" t="str">
            <v>1</v>
          </cell>
          <cell r="E361" t="str">
            <v>209</v>
          </cell>
          <cell r="F361" t="str">
            <v>N000</v>
          </cell>
          <cell r="G361" t="str">
            <v>210</v>
          </cell>
          <cell r="H361" t="str">
            <v>1103</v>
          </cell>
          <cell r="I361" t="str">
            <v>CF21866</v>
          </cell>
          <cell r="J361" t="str">
            <v>27A</v>
          </cell>
          <cell r="K361" t="str">
            <v>1</v>
          </cell>
          <cell r="L361">
            <v>1</v>
          </cell>
          <cell r="M361">
            <v>0</v>
          </cell>
          <cell r="N361">
            <v>3185.4</v>
          </cell>
          <cell r="O361" t="str">
            <v>M</v>
          </cell>
          <cell r="P361" t="str">
            <v>00000000</v>
          </cell>
          <cell r="Q361">
            <v>2791.7</v>
          </cell>
          <cell r="R361">
            <v>460.11</v>
          </cell>
          <cell r="S361">
            <v>88.48</v>
          </cell>
          <cell r="T361">
            <v>406.14</v>
          </cell>
          <cell r="U361">
            <v>159.27000000000001</v>
          </cell>
          <cell r="V361">
            <v>107.59</v>
          </cell>
          <cell r="W361">
            <v>63.71</v>
          </cell>
          <cell r="X361">
            <v>0</v>
          </cell>
          <cell r="Y361">
            <v>0</v>
          </cell>
          <cell r="Z361">
            <v>132.05000000000001</v>
          </cell>
          <cell r="AA361">
            <v>77</v>
          </cell>
          <cell r="AB361">
            <v>0</v>
          </cell>
          <cell r="AC361">
            <v>0</v>
          </cell>
          <cell r="AD361">
            <v>13.49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Y361">
            <v>89819.28</v>
          </cell>
        </row>
        <row r="362">
          <cell r="A362">
            <v>2</v>
          </cell>
          <cell r="B362" t="str">
            <v>12</v>
          </cell>
          <cell r="C362" t="str">
            <v>000</v>
          </cell>
          <cell r="D362" t="str">
            <v>1</v>
          </cell>
          <cell r="E362" t="str">
            <v>209</v>
          </cell>
          <cell r="F362" t="str">
            <v>N000</v>
          </cell>
          <cell r="G362" t="str">
            <v>210</v>
          </cell>
          <cell r="H362" t="str">
            <v>1103</v>
          </cell>
          <cell r="I362" t="str">
            <v>CF33834</v>
          </cell>
          <cell r="J362" t="str">
            <v>27</v>
          </cell>
          <cell r="K362" t="str">
            <v>2</v>
          </cell>
          <cell r="L362">
            <v>1</v>
          </cell>
          <cell r="M362">
            <v>0</v>
          </cell>
          <cell r="N362">
            <v>2817.8</v>
          </cell>
          <cell r="O362" t="str">
            <v>M</v>
          </cell>
          <cell r="P362" t="str">
            <v>00000000</v>
          </cell>
          <cell r="Q362">
            <v>0</v>
          </cell>
          <cell r="R362">
            <v>407.02</v>
          </cell>
          <cell r="S362">
            <v>78.27</v>
          </cell>
          <cell r="T362">
            <v>359.27</v>
          </cell>
          <cell r="U362">
            <v>140.88999999999999</v>
          </cell>
          <cell r="V362">
            <v>50.72</v>
          </cell>
          <cell r="W362">
            <v>56.36</v>
          </cell>
          <cell r="X362">
            <v>136</v>
          </cell>
          <cell r="Y362">
            <v>0</v>
          </cell>
          <cell r="Z362">
            <v>73.84</v>
          </cell>
          <cell r="AA362">
            <v>77</v>
          </cell>
          <cell r="AB362">
            <v>96</v>
          </cell>
          <cell r="AC362">
            <v>80</v>
          </cell>
          <cell r="AD362">
            <v>13.49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Y362">
            <v>52639.92</v>
          </cell>
        </row>
        <row r="363">
          <cell r="A363">
            <v>2</v>
          </cell>
          <cell r="B363" t="str">
            <v>12</v>
          </cell>
          <cell r="C363" t="str">
            <v>000</v>
          </cell>
          <cell r="D363" t="str">
            <v>1</v>
          </cell>
          <cell r="E363" t="str">
            <v>209</v>
          </cell>
          <cell r="F363" t="str">
            <v>N000</v>
          </cell>
          <cell r="G363" t="str">
            <v>210</v>
          </cell>
          <cell r="H363" t="str">
            <v>1103</v>
          </cell>
          <cell r="I363" t="str">
            <v>CF33892</v>
          </cell>
          <cell r="J363" t="str">
            <v>27ZA</v>
          </cell>
          <cell r="K363" t="str">
            <v>2</v>
          </cell>
          <cell r="L363">
            <v>19</v>
          </cell>
          <cell r="M363">
            <v>0</v>
          </cell>
          <cell r="N363">
            <v>2982.9</v>
          </cell>
          <cell r="O363" t="str">
            <v>M</v>
          </cell>
          <cell r="P363" t="str">
            <v>00000000</v>
          </cell>
          <cell r="Q363">
            <v>579.4</v>
          </cell>
          <cell r="R363">
            <v>430.86</v>
          </cell>
          <cell r="S363">
            <v>82.86</v>
          </cell>
          <cell r="T363">
            <v>380.32</v>
          </cell>
          <cell r="U363">
            <v>149.15</v>
          </cell>
          <cell r="V363">
            <v>64.12</v>
          </cell>
          <cell r="W363">
            <v>59.66</v>
          </cell>
          <cell r="X363">
            <v>57.26</v>
          </cell>
          <cell r="Y363">
            <v>0</v>
          </cell>
          <cell r="Z363">
            <v>87.73</v>
          </cell>
          <cell r="AA363">
            <v>77</v>
          </cell>
          <cell r="AB363">
            <v>96</v>
          </cell>
          <cell r="AC363">
            <v>80</v>
          </cell>
          <cell r="AD363">
            <v>13.49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Y363">
            <v>1172091</v>
          </cell>
        </row>
        <row r="364">
          <cell r="A364">
            <v>2</v>
          </cell>
          <cell r="B364" t="str">
            <v>12</v>
          </cell>
          <cell r="C364" t="str">
            <v>000</v>
          </cell>
          <cell r="D364" t="str">
            <v>1</v>
          </cell>
          <cell r="E364" t="str">
            <v>209</v>
          </cell>
          <cell r="F364" t="str">
            <v>N000</v>
          </cell>
          <cell r="G364" t="str">
            <v>210</v>
          </cell>
          <cell r="H364" t="str">
            <v>1103</v>
          </cell>
          <cell r="I364" t="str">
            <v>CF34806</v>
          </cell>
          <cell r="J364" t="str">
            <v>23</v>
          </cell>
          <cell r="K364" t="str">
            <v>2</v>
          </cell>
          <cell r="L364">
            <v>1</v>
          </cell>
          <cell r="M364">
            <v>0</v>
          </cell>
          <cell r="N364">
            <v>2451.25</v>
          </cell>
          <cell r="O364" t="str">
            <v>M</v>
          </cell>
          <cell r="P364" t="str">
            <v>00000000</v>
          </cell>
          <cell r="Q364">
            <v>0</v>
          </cell>
          <cell r="R364">
            <v>354.07</v>
          </cell>
          <cell r="S364">
            <v>68.09</v>
          </cell>
          <cell r="T364">
            <v>312.52999999999997</v>
          </cell>
          <cell r="U364">
            <v>122.56</v>
          </cell>
          <cell r="V364">
            <v>44.12</v>
          </cell>
          <cell r="W364">
            <v>49.02</v>
          </cell>
          <cell r="X364">
            <v>0</v>
          </cell>
          <cell r="Y364">
            <v>0</v>
          </cell>
          <cell r="Z364">
            <v>62.53</v>
          </cell>
          <cell r="AA364">
            <v>77</v>
          </cell>
          <cell r="AB364">
            <v>96</v>
          </cell>
          <cell r="AC364">
            <v>80</v>
          </cell>
          <cell r="AD364">
            <v>13.49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Y364">
            <v>44767.92</v>
          </cell>
        </row>
        <row r="365">
          <cell r="A365">
            <v>2</v>
          </cell>
          <cell r="B365" t="str">
            <v>12</v>
          </cell>
          <cell r="C365" t="str">
            <v>000</v>
          </cell>
          <cell r="D365" t="str">
            <v>1</v>
          </cell>
          <cell r="E365" t="str">
            <v>209</v>
          </cell>
          <cell r="F365" t="str">
            <v>N000</v>
          </cell>
          <cell r="G365" t="str">
            <v>210</v>
          </cell>
          <cell r="H365" t="str">
            <v>1103</v>
          </cell>
          <cell r="I365" t="str">
            <v>CF41040</v>
          </cell>
          <cell r="K365" t="str">
            <v>2</v>
          </cell>
          <cell r="L365">
            <v>1</v>
          </cell>
          <cell r="M365">
            <v>0</v>
          </cell>
          <cell r="N365">
            <v>7482</v>
          </cell>
          <cell r="O365" t="str">
            <v>M</v>
          </cell>
          <cell r="P365" t="str">
            <v>00000000</v>
          </cell>
          <cell r="Q365">
            <v>0</v>
          </cell>
          <cell r="R365">
            <v>1080.73</v>
          </cell>
          <cell r="S365">
            <v>207.83</v>
          </cell>
          <cell r="T365">
            <v>953.96</v>
          </cell>
          <cell r="U365">
            <v>374.1</v>
          </cell>
          <cell r="V365">
            <v>134.68</v>
          </cell>
          <cell r="W365">
            <v>149.63999999999999</v>
          </cell>
          <cell r="X365">
            <v>0</v>
          </cell>
          <cell r="Y365">
            <v>0</v>
          </cell>
          <cell r="Z365">
            <v>289.22000000000003</v>
          </cell>
          <cell r="AA365">
            <v>77</v>
          </cell>
          <cell r="AB365">
            <v>96</v>
          </cell>
          <cell r="AC365">
            <v>80</v>
          </cell>
          <cell r="AD365">
            <v>13.49</v>
          </cell>
          <cell r="AE365">
            <v>6.24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5431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Y365">
            <v>196510.68</v>
          </cell>
        </row>
        <row r="366">
          <cell r="A366">
            <v>2</v>
          </cell>
          <cell r="B366" t="str">
            <v>12</v>
          </cell>
          <cell r="C366" t="str">
            <v>000</v>
          </cell>
          <cell r="D366" t="str">
            <v>1</v>
          </cell>
          <cell r="E366" t="str">
            <v>703</v>
          </cell>
          <cell r="F366" t="str">
            <v>N000</v>
          </cell>
          <cell r="G366" t="str">
            <v>211</v>
          </cell>
          <cell r="H366" t="str">
            <v>1103</v>
          </cell>
          <cell r="I366" t="str">
            <v>A01803</v>
          </cell>
          <cell r="J366" t="str">
            <v>19</v>
          </cell>
          <cell r="K366" t="str">
            <v>2</v>
          </cell>
          <cell r="L366">
            <v>3</v>
          </cell>
          <cell r="M366">
            <v>0</v>
          </cell>
          <cell r="N366">
            <v>2120.3000000000002</v>
          </cell>
          <cell r="O366" t="str">
            <v>M</v>
          </cell>
          <cell r="P366" t="str">
            <v>00000000</v>
          </cell>
          <cell r="Q366">
            <v>0</v>
          </cell>
          <cell r="R366">
            <v>306.27</v>
          </cell>
          <cell r="S366">
            <v>58.9</v>
          </cell>
          <cell r="T366">
            <v>270.33999999999997</v>
          </cell>
          <cell r="U366">
            <v>106.02</v>
          </cell>
          <cell r="V366">
            <v>38.17</v>
          </cell>
          <cell r="W366">
            <v>42.41</v>
          </cell>
          <cell r="X366">
            <v>0</v>
          </cell>
          <cell r="Y366">
            <v>0</v>
          </cell>
          <cell r="Z366">
            <v>54.77</v>
          </cell>
          <cell r="AA366">
            <v>77</v>
          </cell>
          <cell r="AB366">
            <v>96</v>
          </cell>
          <cell r="AC366">
            <v>80</v>
          </cell>
          <cell r="AD366">
            <v>13.49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Y366">
            <v>117492.12</v>
          </cell>
        </row>
        <row r="367">
          <cell r="A367">
            <v>2</v>
          </cell>
          <cell r="B367" t="str">
            <v>12</v>
          </cell>
          <cell r="C367" t="str">
            <v>000</v>
          </cell>
          <cell r="D367" t="str">
            <v>1</v>
          </cell>
          <cell r="E367" t="str">
            <v>703</v>
          </cell>
          <cell r="F367" t="str">
            <v>N000</v>
          </cell>
          <cell r="G367" t="str">
            <v>211</v>
          </cell>
          <cell r="H367" t="str">
            <v>1103</v>
          </cell>
          <cell r="I367" t="str">
            <v>A01805</v>
          </cell>
          <cell r="J367" t="str">
            <v>21</v>
          </cell>
          <cell r="K367" t="str">
            <v>2</v>
          </cell>
          <cell r="L367">
            <v>11</v>
          </cell>
          <cell r="M367">
            <v>0</v>
          </cell>
          <cell r="N367">
            <v>2238.1999999999998</v>
          </cell>
          <cell r="O367" t="str">
            <v>M</v>
          </cell>
          <cell r="P367" t="str">
            <v>00000000</v>
          </cell>
          <cell r="Q367">
            <v>0</v>
          </cell>
          <cell r="R367">
            <v>323.3</v>
          </cell>
          <cell r="S367">
            <v>62.17</v>
          </cell>
          <cell r="T367">
            <v>285.37</v>
          </cell>
          <cell r="U367">
            <v>111.91</v>
          </cell>
          <cell r="V367">
            <v>40.29</v>
          </cell>
          <cell r="W367">
            <v>44.76</v>
          </cell>
          <cell r="X367">
            <v>44.91</v>
          </cell>
          <cell r="Y367">
            <v>0</v>
          </cell>
          <cell r="Z367">
            <v>58.43</v>
          </cell>
          <cell r="AA367">
            <v>77</v>
          </cell>
          <cell r="AB367">
            <v>96</v>
          </cell>
          <cell r="AC367">
            <v>80</v>
          </cell>
          <cell r="AD367">
            <v>13.49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Y367">
            <v>458809.56</v>
          </cell>
        </row>
        <row r="368">
          <cell r="A368">
            <v>2</v>
          </cell>
          <cell r="B368" t="str">
            <v>12</v>
          </cell>
          <cell r="C368" t="str">
            <v>000</v>
          </cell>
          <cell r="D368" t="str">
            <v>1</v>
          </cell>
          <cell r="E368" t="str">
            <v>703</v>
          </cell>
          <cell r="F368" t="str">
            <v>N000</v>
          </cell>
          <cell r="G368" t="str">
            <v>211</v>
          </cell>
          <cell r="H368" t="str">
            <v>1103</v>
          </cell>
          <cell r="I368" t="str">
            <v>A01806</v>
          </cell>
          <cell r="J368" t="str">
            <v>25</v>
          </cell>
          <cell r="K368" t="str">
            <v>2</v>
          </cell>
          <cell r="L368">
            <v>6</v>
          </cell>
          <cell r="M368">
            <v>0</v>
          </cell>
          <cell r="N368">
            <v>2572.4</v>
          </cell>
          <cell r="O368" t="str">
            <v>M</v>
          </cell>
          <cell r="P368" t="str">
            <v>00000000</v>
          </cell>
          <cell r="Q368">
            <v>0</v>
          </cell>
          <cell r="R368">
            <v>371.57</v>
          </cell>
          <cell r="S368">
            <v>71.459999999999994</v>
          </cell>
          <cell r="T368">
            <v>327.98</v>
          </cell>
          <cell r="U368">
            <v>128.62</v>
          </cell>
          <cell r="V368">
            <v>46.3</v>
          </cell>
          <cell r="W368">
            <v>51.45</v>
          </cell>
          <cell r="X368">
            <v>62.5</v>
          </cell>
          <cell r="Y368">
            <v>0</v>
          </cell>
          <cell r="Z368">
            <v>66.62</v>
          </cell>
          <cell r="AA368">
            <v>77</v>
          </cell>
          <cell r="AB368">
            <v>96</v>
          </cell>
          <cell r="AC368">
            <v>80</v>
          </cell>
          <cell r="AD368">
            <v>13.49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Y368">
            <v>285508.08</v>
          </cell>
        </row>
        <row r="369">
          <cell r="A369">
            <v>2</v>
          </cell>
          <cell r="B369" t="str">
            <v>12</v>
          </cell>
          <cell r="C369" t="str">
            <v>000</v>
          </cell>
          <cell r="D369" t="str">
            <v>1</v>
          </cell>
          <cell r="E369" t="str">
            <v>703</v>
          </cell>
          <cell r="F369" t="str">
            <v>N000</v>
          </cell>
          <cell r="G369" t="str">
            <v>211</v>
          </cell>
          <cell r="H369" t="str">
            <v>1103</v>
          </cell>
          <cell r="I369" t="str">
            <v>A01807</v>
          </cell>
          <cell r="J369" t="str">
            <v>27</v>
          </cell>
          <cell r="K369" t="str">
            <v>2</v>
          </cell>
          <cell r="L369">
            <v>14</v>
          </cell>
          <cell r="M369">
            <v>0</v>
          </cell>
          <cell r="N369">
            <v>2817.8</v>
          </cell>
          <cell r="O369" t="str">
            <v>M</v>
          </cell>
          <cell r="P369" t="str">
            <v>00000000</v>
          </cell>
          <cell r="Q369">
            <v>0</v>
          </cell>
          <cell r="R369">
            <v>407.02</v>
          </cell>
          <cell r="S369">
            <v>78.27</v>
          </cell>
          <cell r="T369">
            <v>359.27</v>
          </cell>
          <cell r="U369">
            <v>140.88999999999999</v>
          </cell>
          <cell r="V369">
            <v>50.72</v>
          </cell>
          <cell r="W369">
            <v>56.36</v>
          </cell>
          <cell r="X369">
            <v>61.36</v>
          </cell>
          <cell r="Y369">
            <v>0</v>
          </cell>
          <cell r="Z369">
            <v>72.349999999999994</v>
          </cell>
          <cell r="AA369">
            <v>77</v>
          </cell>
          <cell r="AB369">
            <v>96</v>
          </cell>
          <cell r="AC369">
            <v>80</v>
          </cell>
          <cell r="AD369">
            <v>13.49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Y369">
            <v>724169.04</v>
          </cell>
        </row>
        <row r="370">
          <cell r="A370">
            <v>2</v>
          </cell>
          <cell r="B370" t="str">
            <v>12</v>
          </cell>
          <cell r="C370" t="str">
            <v>000</v>
          </cell>
          <cell r="D370" t="str">
            <v>1</v>
          </cell>
          <cell r="E370" t="str">
            <v>703</v>
          </cell>
          <cell r="F370" t="str">
            <v>N000</v>
          </cell>
          <cell r="G370" t="str">
            <v>211</v>
          </cell>
          <cell r="H370" t="str">
            <v>1103</v>
          </cell>
          <cell r="I370" t="str">
            <v>A03804</v>
          </cell>
          <cell r="J370" t="str">
            <v>23</v>
          </cell>
          <cell r="K370" t="str">
            <v>2</v>
          </cell>
          <cell r="L370">
            <v>5</v>
          </cell>
          <cell r="M370">
            <v>0</v>
          </cell>
          <cell r="N370">
            <v>2451.25</v>
          </cell>
          <cell r="O370" t="str">
            <v>M</v>
          </cell>
          <cell r="P370" t="str">
            <v>00000000</v>
          </cell>
          <cell r="Q370">
            <v>0</v>
          </cell>
          <cell r="R370">
            <v>354.07</v>
          </cell>
          <cell r="S370">
            <v>68.09</v>
          </cell>
          <cell r="T370">
            <v>312.52999999999997</v>
          </cell>
          <cell r="U370">
            <v>122.56</v>
          </cell>
          <cell r="V370">
            <v>44.12</v>
          </cell>
          <cell r="W370">
            <v>49.02</v>
          </cell>
          <cell r="X370">
            <v>9.1999999999999993</v>
          </cell>
          <cell r="Y370">
            <v>0</v>
          </cell>
          <cell r="Z370">
            <v>62.71</v>
          </cell>
          <cell r="AA370">
            <v>77</v>
          </cell>
          <cell r="AB370">
            <v>96</v>
          </cell>
          <cell r="AC370">
            <v>80</v>
          </cell>
          <cell r="AD370">
            <v>13.49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Y370">
            <v>224402.4</v>
          </cell>
        </row>
        <row r="371">
          <cell r="A371">
            <v>2</v>
          </cell>
          <cell r="B371" t="str">
            <v>12</v>
          </cell>
          <cell r="C371" t="str">
            <v>000</v>
          </cell>
          <cell r="D371" t="str">
            <v>1</v>
          </cell>
          <cell r="E371" t="str">
            <v>703</v>
          </cell>
          <cell r="F371" t="str">
            <v>N000</v>
          </cell>
          <cell r="G371" t="str">
            <v>211</v>
          </cell>
          <cell r="H371" t="str">
            <v>1103</v>
          </cell>
          <cell r="I371" t="str">
            <v>CFMC03</v>
          </cell>
          <cell r="J371" t="str">
            <v>MC03</v>
          </cell>
          <cell r="K371" t="str">
            <v>1</v>
          </cell>
          <cell r="L371">
            <v>3</v>
          </cell>
          <cell r="M371">
            <v>0</v>
          </cell>
          <cell r="N371">
            <v>4311.3999999999996</v>
          </cell>
          <cell r="O371" t="str">
            <v>M</v>
          </cell>
          <cell r="P371" t="str">
            <v>00000000</v>
          </cell>
          <cell r="Q371">
            <v>11306.9</v>
          </cell>
          <cell r="R371">
            <v>622.76</v>
          </cell>
          <cell r="S371">
            <v>119.76</v>
          </cell>
          <cell r="T371">
            <v>549.70000000000005</v>
          </cell>
          <cell r="U371">
            <v>215.57</v>
          </cell>
          <cell r="V371">
            <v>281.13</v>
          </cell>
          <cell r="W371">
            <v>86.23</v>
          </cell>
          <cell r="X371">
            <v>109</v>
          </cell>
          <cell r="Y371">
            <v>780.91</v>
          </cell>
          <cell r="Z371">
            <v>330.94</v>
          </cell>
          <cell r="AA371">
            <v>77</v>
          </cell>
          <cell r="AB371">
            <v>0</v>
          </cell>
          <cell r="AC371">
            <v>0</v>
          </cell>
          <cell r="AD371">
            <v>13.49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Y371">
            <v>676972.44</v>
          </cell>
        </row>
        <row r="372">
          <cell r="A372">
            <v>2</v>
          </cell>
          <cell r="B372" t="str">
            <v>12</v>
          </cell>
          <cell r="C372" t="str">
            <v>000</v>
          </cell>
          <cell r="D372" t="str">
            <v>1</v>
          </cell>
          <cell r="E372" t="str">
            <v>703</v>
          </cell>
          <cell r="F372" t="str">
            <v>N000</v>
          </cell>
          <cell r="G372" t="str">
            <v>211</v>
          </cell>
          <cell r="H372" t="str">
            <v>1103</v>
          </cell>
          <cell r="I372" t="str">
            <v>CFMD09</v>
          </cell>
          <cell r="J372" t="str">
            <v>MD09</v>
          </cell>
          <cell r="K372" t="str">
            <v>1</v>
          </cell>
          <cell r="L372">
            <v>1</v>
          </cell>
          <cell r="M372">
            <v>0</v>
          </cell>
          <cell r="N372">
            <v>14852.65</v>
          </cell>
          <cell r="O372" t="str">
            <v>M</v>
          </cell>
          <cell r="P372" t="str">
            <v>00000000</v>
          </cell>
          <cell r="Q372">
            <v>100991.65</v>
          </cell>
          <cell r="R372">
            <v>2145.38</v>
          </cell>
          <cell r="S372">
            <v>412.57</v>
          </cell>
          <cell r="T372">
            <v>1893.71</v>
          </cell>
          <cell r="U372">
            <v>742.63</v>
          </cell>
          <cell r="V372">
            <v>2085.1999999999998</v>
          </cell>
          <cell r="W372">
            <v>297.05</v>
          </cell>
          <cell r="X372">
            <v>218</v>
          </cell>
          <cell r="Y372">
            <v>5792.22</v>
          </cell>
          <cell r="Z372">
            <v>2373.9499999999998</v>
          </cell>
          <cell r="AA372">
            <v>77</v>
          </cell>
          <cell r="AB372">
            <v>0</v>
          </cell>
          <cell r="AC372">
            <v>0</v>
          </cell>
          <cell r="AD372">
            <v>13.49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Y372">
            <v>1582746</v>
          </cell>
        </row>
        <row r="373">
          <cell r="A373">
            <v>2</v>
          </cell>
          <cell r="B373" t="str">
            <v>12</v>
          </cell>
          <cell r="C373" t="str">
            <v>000</v>
          </cell>
          <cell r="D373" t="str">
            <v>1</v>
          </cell>
          <cell r="E373" t="str">
            <v>703</v>
          </cell>
          <cell r="F373" t="str">
            <v>N000</v>
          </cell>
          <cell r="G373" t="str">
            <v>211</v>
          </cell>
          <cell r="H373" t="str">
            <v>1103</v>
          </cell>
          <cell r="I373" t="str">
            <v>CFMG06</v>
          </cell>
          <cell r="J373" t="str">
            <v>MG06</v>
          </cell>
          <cell r="K373" t="str">
            <v>1</v>
          </cell>
          <cell r="L373">
            <v>4</v>
          </cell>
          <cell r="M373">
            <v>0</v>
          </cell>
          <cell r="N373">
            <v>8232.25</v>
          </cell>
          <cell r="O373" t="str">
            <v>M</v>
          </cell>
          <cell r="P373" t="str">
            <v>00000000</v>
          </cell>
          <cell r="Q373">
            <v>38872.050000000003</v>
          </cell>
          <cell r="R373">
            <v>1189.0999999999999</v>
          </cell>
          <cell r="S373">
            <v>228.67</v>
          </cell>
          <cell r="T373">
            <v>1049.6099999999999</v>
          </cell>
          <cell r="U373">
            <v>411.61</v>
          </cell>
          <cell r="V373">
            <v>847.88</v>
          </cell>
          <cell r="W373">
            <v>164.65</v>
          </cell>
          <cell r="X373">
            <v>36.75</v>
          </cell>
          <cell r="Y373">
            <v>2355.2199999999998</v>
          </cell>
          <cell r="Z373">
            <v>972.72</v>
          </cell>
          <cell r="AA373">
            <v>77</v>
          </cell>
          <cell r="AB373">
            <v>0</v>
          </cell>
          <cell r="AC373">
            <v>0</v>
          </cell>
          <cell r="AD373">
            <v>13.49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Y373">
            <v>2613648</v>
          </cell>
        </row>
        <row r="374">
          <cell r="A374">
            <v>2</v>
          </cell>
          <cell r="B374" t="str">
            <v>12</v>
          </cell>
          <cell r="C374" t="str">
            <v>000</v>
          </cell>
          <cell r="D374" t="str">
            <v>1</v>
          </cell>
          <cell r="E374" t="str">
            <v>703</v>
          </cell>
          <cell r="F374" t="str">
            <v>N000</v>
          </cell>
          <cell r="G374" t="str">
            <v>211</v>
          </cell>
          <cell r="H374" t="str">
            <v>1103</v>
          </cell>
          <cell r="I374" t="str">
            <v>CFMS06</v>
          </cell>
          <cell r="J374" t="str">
            <v>MS06</v>
          </cell>
          <cell r="K374" t="str">
            <v>1</v>
          </cell>
          <cell r="L374">
            <v>1</v>
          </cell>
          <cell r="M374">
            <v>0</v>
          </cell>
          <cell r="N374">
            <v>4801.8999999999996</v>
          </cell>
          <cell r="O374" t="str">
            <v>M</v>
          </cell>
          <cell r="P374" t="str">
            <v>00000000</v>
          </cell>
          <cell r="Q374">
            <v>21723.85</v>
          </cell>
          <cell r="R374">
            <v>693.61</v>
          </cell>
          <cell r="S374">
            <v>133.38999999999999</v>
          </cell>
          <cell r="T374">
            <v>612.24</v>
          </cell>
          <cell r="U374">
            <v>240.09</v>
          </cell>
          <cell r="V374">
            <v>477.46</v>
          </cell>
          <cell r="W374">
            <v>96.04</v>
          </cell>
          <cell r="X374">
            <v>0</v>
          </cell>
          <cell r="Y374">
            <v>1326.29</v>
          </cell>
          <cell r="Z374">
            <v>548.6</v>
          </cell>
          <cell r="AA374">
            <v>77</v>
          </cell>
          <cell r="AB374">
            <v>0</v>
          </cell>
          <cell r="AC374">
            <v>0</v>
          </cell>
          <cell r="AD374">
            <v>13.49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Y374">
            <v>368927.52</v>
          </cell>
        </row>
        <row r="375">
          <cell r="A375">
            <v>2</v>
          </cell>
          <cell r="B375" t="str">
            <v>12</v>
          </cell>
          <cell r="C375" t="str">
            <v>000</v>
          </cell>
          <cell r="D375" t="str">
            <v>1</v>
          </cell>
          <cell r="E375" t="str">
            <v>703</v>
          </cell>
          <cell r="F375" t="str">
            <v>N000</v>
          </cell>
          <cell r="G375" t="str">
            <v>211</v>
          </cell>
          <cell r="H375" t="str">
            <v>1103</v>
          </cell>
          <cell r="I375" t="str">
            <v>CFMS08</v>
          </cell>
          <cell r="J375" t="str">
            <v>MS08</v>
          </cell>
          <cell r="K375" t="str">
            <v>1</v>
          </cell>
          <cell r="L375">
            <v>4</v>
          </cell>
          <cell r="M375">
            <v>0</v>
          </cell>
          <cell r="N375">
            <v>4801.8999999999996</v>
          </cell>
          <cell r="O375" t="str">
            <v>M</v>
          </cell>
          <cell r="P375" t="str">
            <v>00000000</v>
          </cell>
          <cell r="Q375">
            <v>18269.849999999999</v>
          </cell>
          <cell r="R375">
            <v>693.61</v>
          </cell>
          <cell r="S375">
            <v>133.38999999999999</v>
          </cell>
          <cell r="T375">
            <v>612.24</v>
          </cell>
          <cell r="U375">
            <v>240.09</v>
          </cell>
          <cell r="V375">
            <v>415.29</v>
          </cell>
          <cell r="W375">
            <v>96.04</v>
          </cell>
          <cell r="X375">
            <v>61.25</v>
          </cell>
          <cell r="Y375">
            <v>1153.5899999999999</v>
          </cell>
          <cell r="Z375">
            <v>480.74</v>
          </cell>
          <cell r="AA375">
            <v>77</v>
          </cell>
          <cell r="AB375">
            <v>0</v>
          </cell>
          <cell r="AC375">
            <v>0</v>
          </cell>
          <cell r="AD375">
            <v>13.49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Y375">
            <v>1298327.04</v>
          </cell>
        </row>
        <row r="376">
          <cell r="A376">
            <v>2</v>
          </cell>
          <cell r="B376" t="str">
            <v>12</v>
          </cell>
          <cell r="C376" t="str">
            <v>000</v>
          </cell>
          <cell r="D376" t="str">
            <v>1</v>
          </cell>
          <cell r="E376" t="str">
            <v>703</v>
          </cell>
          <cell r="F376" t="str">
            <v>N000</v>
          </cell>
          <cell r="G376" t="str">
            <v>211</v>
          </cell>
          <cell r="H376" t="str">
            <v>1103</v>
          </cell>
          <cell r="I376" t="str">
            <v>M01004</v>
          </cell>
          <cell r="K376" t="str">
            <v>2</v>
          </cell>
          <cell r="L376">
            <v>11</v>
          </cell>
          <cell r="M376">
            <v>0</v>
          </cell>
          <cell r="N376">
            <v>6400</v>
          </cell>
          <cell r="O376" t="str">
            <v>M</v>
          </cell>
          <cell r="P376" t="str">
            <v>00000000</v>
          </cell>
          <cell r="Q376">
            <v>0</v>
          </cell>
          <cell r="R376">
            <v>924.44</v>
          </cell>
          <cell r="S376">
            <v>177.78</v>
          </cell>
          <cell r="T376">
            <v>816</v>
          </cell>
          <cell r="U376">
            <v>320</v>
          </cell>
          <cell r="V376">
            <v>115.2</v>
          </cell>
          <cell r="W376">
            <v>128</v>
          </cell>
          <cell r="X376">
            <v>54.91</v>
          </cell>
          <cell r="Y376">
            <v>0</v>
          </cell>
          <cell r="Z376">
            <v>288.63</v>
          </cell>
          <cell r="AA376">
            <v>77</v>
          </cell>
          <cell r="AB376">
            <v>96</v>
          </cell>
          <cell r="AC376">
            <v>80</v>
          </cell>
          <cell r="AD376">
            <v>13.49</v>
          </cell>
          <cell r="AE376">
            <v>5.33</v>
          </cell>
          <cell r="AF376">
            <v>0</v>
          </cell>
          <cell r="AG376">
            <v>0</v>
          </cell>
          <cell r="AH376">
            <v>4086</v>
          </cell>
          <cell r="AI376">
            <v>0</v>
          </cell>
          <cell r="AJ376">
            <v>2530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Y376">
            <v>2126886.96</v>
          </cell>
        </row>
        <row r="377">
          <cell r="A377">
            <v>2</v>
          </cell>
          <cell r="B377" t="str">
            <v>12</v>
          </cell>
          <cell r="C377" t="str">
            <v>000</v>
          </cell>
          <cell r="D377" t="str">
            <v>1</v>
          </cell>
          <cell r="E377" t="str">
            <v>703</v>
          </cell>
          <cell r="F377" t="str">
            <v>N000</v>
          </cell>
          <cell r="G377" t="str">
            <v>211</v>
          </cell>
          <cell r="H377" t="str">
            <v>1103</v>
          </cell>
          <cell r="I377" t="str">
            <v>M01004</v>
          </cell>
          <cell r="K377" t="str">
            <v>3</v>
          </cell>
          <cell r="L377">
            <v>1</v>
          </cell>
          <cell r="M377">
            <v>0</v>
          </cell>
          <cell r="N377">
            <v>6940</v>
          </cell>
          <cell r="O377" t="str">
            <v>M</v>
          </cell>
          <cell r="P377" t="str">
            <v>00000000</v>
          </cell>
          <cell r="Q377">
            <v>0</v>
          </cell>
          <cell r="R377">
            <v>1002.44</v>
          </cell>
          <cell r="S377">
            <v>192.78</v>
          </cell>
          <cell r="T377">
            <v>884.85</v>
          </cell>
          <cell r="U377">
            <v>347</v>
          </cell>
          <cell r="V377">
            <v>124.92</v>
          </cell>
          <cell r="W377">
            <v>138.80000000000001</v>
          </cell>
          <cell r="X377">
            <v>0</v>
          </cell>
          <cell r="Y377">
            <v>0</v>
          </cell>
          <cell r="Z377">
            <v>313.33999999999997</v>
          </cell>
          <cell r="AA377">
            <v>77</v>
          </cell>
          <cell r="AB377">
            <v>96</v>
          </cell>
          <cell r="AC377">
            <v>80</v>
          </cell>
          <cell r="AD377">
            <v>13.49</v>
          </cell>
          <cell r="AE377">
            <v>5.78</v>
          </cell>
          <cell r="AF377">
            <v>0</v>
          </cell>
          <cell r="AG377">
            <v>0</v>
          </cell>
          <cell r="AH377">
            <v>3573</v>
          </cell>
          <cell r="AI377">
            <v>0</v>
          </cell>
          <cell r="AJ377">
            <v>3700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Y377">
            <v>209872.8</v>
          </cell>
        </row>
        <row r="378">
          <cell r="A378">
            <v>2</v>
          </cell>
          <cell r="B378" t="str">
            <v>12</v>
          </cell>
          <cell r="C378" t="str">
            <v>000</v>
          </cell>
          <cell r="D378" t="str">
            <v>1</v>
          </cell>
          <cell r="E378" t="str">
            <v>703</v>
          </cell>
          <cell r="F378" t="str">
            <v>N000</v>
          </cell>
          <cell r="G378" t="str">
            <v>211</v>
          </cell>
          <cell r="H378" t="str">
            <v>1103</v>
          </cell>
          <cell r="I378" t="str">
            <v>M01006</v>
          </cell>
          <cell r="K378" t="str">
            <v>2</v>
          </cell>
          <cell r="L378">
            <v>7</v>
          </cell>
          <cell r="M378">
            <v>0</v>
          </cell>
          <cell r="N378">
            <v>5300</v>
          </cell>
          <cell r="O378" t="str">
            <v>M</v>
          </cell>
          <cell r="P378" t="str">
            <v>00000000</v>
          </cell>
          <cell r="Q378">
            <v>0</v>
          </cell>
          <cell r="R378">
            <v>765.56</v>
          </cell>
          <cell r="S378">
            <v>147.22</v>
          </cell>
          <cell r="T378">
            <v>675.75</v>
          </cell>
          <cell r="U378">
            <v>265</v>
          </cell>
          <cell r="V378">
            <v>95.4</v>
          </cell>
          <cell r="W378">
            <v>106</v>
          </cell>
          <cell r="X378">
            <v>19.57</v>
          </cell>
          <cell r="Y378">
            <v>0</v>
          </cell>
          <cell r="Z378">
            <v>238.32</v>
          </cell>
          <cell r="AA378">
            <v>77</v>
          </cell>
          <cell r="AB378">
            <v>96</v>
          </cell>
          <cell r="AC378">
            <v>80</v>
          </cell>
          <cell r="AD378">
            <v>13.49</v>
          </cell>
          <cell r="AE378">
            <v>4.42</v>
          </cell>
          <cell r="AF378">
            <v>0</v>
          </cell>
          <cell r="AG378">
            <v>0</v>
          </cell>
          <cell r="AH378">
            <v>2426</v>
          </cell>
          <cell r="AI378">
            <v>0</v>
          </cell>
          <cell r="AJ378">
            <v>3000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Y378">
            <v>1118017.32</v>
          </cell>
        </row>
        <row r="379">
          <cell r="A379">
            <v>2</v>
          </cell>
          <cell r="B379" t="str">
            <v>12</v>
          </cell>
          <cell r="C379" t="str">
            <v>000</v>
          </cell>
          <cell r="D379" t="str">
            <v>1</v>
          </cell>
          <cell r="E379" t="str">
            <v>703</v>
          </cell>
          <cell r="F379" t="str">
            <v>N000</v>
          </cell>
          <cell r="G379" t="str">
            <v>211</v>
          </cell>
          <cell r="H379" t="str">
            <v>1103</v>
          </cell>
          <cell r="I379" t="str">
            <v>M01007</v>
          </cell>
          <cell r="K379" t="str">
            <v>2</v>
          </cell>
          <cell r="L379">
            <v>2</v>
          </cell>
          <cell r="M379">
            <v>0</v>
          </cell>
          <cell r="N379">
            <v>5074</v>
          </cell>
          <cell r="O379" t="str">
            <v>M</v>
          </cell>
          <cell r="P379" t="str">
            <v>00000000</v>
          </cell>
          <cell r="Q379">
            <v>0</v>
          </cell>
          <cell r="R379">
            <v>732.91</v>
          </cell>
          <cell r="S379">
            <v>140.94</v>
          </cell>
          <cell r="T379">
            <v>646.94000000000005</v>
          </cell>
          <cell r="U379">
            <v>253.7</v>
          </cell>
          <cell r="V379">
            <v>91.33</v>
          </cell>
          <cell r="W379">
            <v>101.48</v>
          </cell>
          <cell r="X379">
            <v>68.5</v>
          </cell>
          <cell r="Y379">
            <v>0</v>
          </cell>
          <cell r="Z379">
            <v>207.71</v>
          </cell>
          <cell r="AA379">
            <v>77</v>
          </cell>
          <cell r="AB379">
            <v>96</v>
          </cell>
          <cell r="AC379">
            <v>80</v>
          </cell>
          <cell r="AD379">
            <v>13.49</v>
          </cell>
          <cell r="AE379">
            <v>4.2300000000000004</v>
          </cell>
          <cell r="AF379">
            <v>0</v>
          </cell>
          <cell r="AG379">
            <v>0</v>
          </cell>
          <cell r="AH379">
            <v>2004</v>
          </cell>
          <cell r="AI379">
            <v>0</v>
          </cell>
          <cell r="AJ379">
            <v>2108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Y379">
            <v>280805.52</v>
          </cell>
        </row>
        <row r="380">
          <cell r="A380">
            <v>2</v>
          </cell>
          <cell r="B380" t="str">
            <v>12</v>
          </cell>
          <cell r="C380" t="str">
            <v>000</v>
          </cell>
          <cell r="D380" t="str">
            <v>1</v>
          </cell>
          <cell r="E380" t="str">
            <v>703</v>
          </cell>
          <cell r="F380" t="str">
            <v>N000</v>
          </cell>
          <cell r="G380" t="str">
            <v>211</v>
          </cell>
          <cell r="H380" t="str">
            <v>1103</v>
          </cell>
          <cell r="I380" t="str">
            <v>M02015</v>
          </cell>
          <cell r="K380" t="str">
            <v>2</v>
          </cell>
          <cell r="L380">
            <v>1</v>
          </cell>
          <cell r="M380">
            <v>0</v>
          </cell>
          <cell r="N380">
            <v>5000</v>
          </cell>
          <cell r="O380" t="str">
            <v>M</v>
          </cell>
          <cell r="P380" t="str">
            <v>00000000</v>
          </cell>
          <cell r="Q380">
            <v>0</v>
          </cell>
          <cell r="R380">
            <v>722.22</v>
          </cell>
          <cell r="S380">
            <v>138.88999999999999</v>
          </cell>
          <cell r="T380">
            <v>637.5</v>
          </cell>
          <cell r="U380">
            <v>250</v>
          </cell>
          <cell r="V380">
            <v>90</v>
          </cell>
          <cell r="W380">
            <v>100</v>
          </cell>
          <cell r="X380">
            <v>109</v>
          </cell>
          <cell r="Y380">
            <v>0</v>
          </cell>
          <cell r="Z380">
            <v>176.55</v>
          </cell>
          <cell r="AA380">
            <v>77</v>
          </cell>
          <cell r="AB380">
            <v>96</v>
          </cell>
          <cell r="AC380">
            <v>80</v>
          </cell>
          <cell r="AD380">
            <v>13.49</v>
          </cell>
          <cell r="AE380">
            <v>4.17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2600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Y380">
            <v>121137.84</v>
          </cell>
        </row>
        <row r="381">
          <cell r="A381">
            <v>2</v>
          </cell>
          <cell r="B381" t="str">
            <v>12</v>
          </cell>
          <cell r="C381" t="str">
            <v>000</v>
          </cell>
          <cell r="D381" t="str">
            <v>1</v>
          </cell>
          <cell r="E381" t="str">
            <v>703</v>
          </cell>
          <cell r="F381" t="str">
            <v>N000</v>
          </cell>
          <cell r="G381" t="str">
            <v>211</v>
          </cell>
          <cell r="H381" t="str">
            <v>1103</v>
          </cell>
          <cell r="I381" t="str">
            <v>M02031</v>
          </cell>
          <cell r="K381" t="str">
            <v>2</v>
          </cell>
          <cell r="L381">
            <v>2</v>
          </cell>
          <cell r="M381">
            <v>0</v>
          </cell>
          <cell r="N381">
            <v>5200</v>
          </cell>
          <cell r="O381" t="str">
            <v>M</v>
          </cell>
          <cell r="P381" t="str">
            <v>00000000</v>
          </cell>
          <cell r="Q381">
            <v>0</v>
          </cell>
          <cell r="R381">
            <v>751.11</v>
          </cell>
          <cell r="S381">
            <v>144.44</v>
          </cell>
          <cell r="T381">
            <v>663</v>
          </cell>
          <cell r="U381">
            <v>260</v>
          </cell>
          <cell r="V381">
            <v>93.6</v>
          </cell>
          <cell r="W381">
            <v>104</v>
          </cell>
          <cell r="X381">
            <v>91</v>
          </cell>
          <cell r="Y381">
            <v>0</v>
          </cell>
          <cell r="Z381">
            <v>212.32</v>
          </cell>
          <cell r="AA381">
            <v>77</v>
          </cell>
          <cell r="AB381">
            <v>96</v>
          </cell>
          <cell r="AC381">
            <v>80</v>
          </cell>
          <cell r="AD381">
            <v>13.49</v>
          </cell>
          <cell r="AE381">
            <v>4.33</v>
          </cell>
          <cell r="AF381">
            <v>0</v>
          </cell>
          <cell r="AG381">
            <v>0</v>
          </cell>
          <cell r="AH381">
            <v>2172</v>
          </cell>
          <cell r="AI381">
            <v>0</v>
          </cell>
          <cell r="AJ381">
            <v>2000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Y381">
            <v>287094.96000000002</v>
          </cell>
        </row>
        <row r="382">
          <cell r="A382">
            <v>2</v>
          </cell>
          <cell r="B382" t="str">
            <v>12</v>
          </cell>
          <cell r="C382" t="str">
            <v>000</v>
          </cell>
          <cell r="D382" t="str">
            <v>1</v>
          </cell>
          <cell r="E382" t="str">
            <v>703</v>
          </cell>
          <cell r="F382" t="str">
            <v>N000</v>
          </cell>
          <cell r="G382" t="str">
            <v>211</v>
          </cell>
          <cell r="H382" t="str">
            <v>1103</v>
          </cell>
          <cell r="I382" t="str">
            <v>M02040</v>
          </cell>
          <cell r="K382" t="str">
            <v>2</v>
          </cell>
          <cell r="L382">
            <v>2</v>
          </cell>
          <cell r="M382">
            <v>0</v>
          </cell>
          <cell r="N382">
            <v>3314</v>
          </cell>
          <cell r="O382" t="str">
            <v>M</v>
          </cell>
          <cell r="P382" t="str">
            <v>00000000</v>
          </cell>
          <cell r="Q382">
            <v>0</v>
          </cell>
          <cell r="R382">
            <v>478.69</v>
          </cell>
          <cell r="S382">
            <v>92.06</v>
          </cell>
          <cell r="T382">
            <v>422.54</v>
          </cell>
          <cell r="U382">
            <v>165.7</v>
          </cell>
          <cell r="V382">
            <v>59.65</v>
          </cell>
          <cell r="W382">
            <v>66.28</v>
          </cell>
          <cell r="X382">
            <v>27.5</v>
          </cell>
          <cell r="Y382">
            <v>0</v>
          </cell>
          <cell r="Z382">
            <v>118.32</v>
          </cell>
          <cell r="AA382">
            <v>77</v>
          </cell>
          <cell r="AB382">
            <v>96</v>
          </cell>
          <cell r="AC382">
            <v>80</v>
          </cell>
          <cell r="AD382">
            <v>13.49</v>
          </cell>
          <cell r="AE382">
            <v>2.76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1748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Y382">
            <v>162287.76</v>
          </cell>
        </row>
        <row r="383">
          <cell r="A383">
            <v>2</v>
          </cell>
          <cell r="B383" t="str">
            <v>12</v>
          </cell>
          <cell r="C383" t="str">
            <v>000</v>
          </cell>
          <cell r="D383" t="str">
            <v>1</v>
          </cell>
          <cell r="E383" t="str">
            <v>703</v>
          </cell>
          <cell r="F383" t="str">
            <v>N000</v>
          </cell>
          <cell r="G383" t="str">
            <v>211</v>
          </cell>
          <cell r="H383" t="str">
            <v>1103</v>
          </cell>
          <cell r="I383" t="str">
            <v>M04001</v>
          </cell>
          <cell r="K383" t="str">
            <v>2</v>
          </cell>
          <cell r="L383">
            <v>1082</v>
          </cell>
          <cell r="M383">
            <v>0</v>
          </cell>
          <cell r="N383">
            <v>0</v>
          </cell>
          <cell r="O383" t="str">
            <v>M</v>
          </cell>
          <cell r="P383" t="str">
            <v>00000000</v>
          </cell>
          <cell r="Q383">
            <v>0</v>
          </cell>
          <cell r="R383">
            <v>463.67</v>
          </cell>
          <cell r="S383">
            <v>89.17</v>
          </cell>
          <cell r="T383">
            <v>409.28</v>
          </cell>
          <cell r="U383">
            <v>160.5</v>
          </cell>
          <cell r="V383">
            <v>57.78</v>
          </cell>
          <cell r="W383">
            <v>64.2</v>
          </cell>
          <cell r="X383">
            <v>0.13</v>
          </cell>
          <cell r="Y383">
            <v>0</v>
          </cell>
          <cell r="Z383">
            <v>164.33</v>
          </cell>
          <cell r="AA383">
            <v>77</v>
          </cell>
          <cell r="AB383">
            <v>96</v>
          </cell>
          <cell r="AC383">
            <v>80</v>
          </cell>
          <cell r="AD383">
            <v>13.49</v>
          </cell>
          <cell r="AE383">
            <v>34.76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4197.71</v>
          </cell>
          <cell r="AN383">
            <v>3210.01</v>
          </cell>
          <cell r="AY383">
            <v>118388501.52</v>
          </cell>
        </row>
        <row r="384">
          <cell r="A384">
            <v>2</v>
          </cell>
          <cell r="B384" t="str">
            <v>12</v>
          </cell>
          <cell r="C384" t="str">
            <v>000</v>
          </cell>
          <cell r="D384" t="str">
            <v>1</v>
          </cell>
          <cell r="E384" t="str">
            <v>703</v>
          </cell>
          <cell r="F384" t="str">
            <v>N000</v>
          </cell>
          <cell r="G384" t="str">
            <v>211</v>
          </cell>
          <cell r="H384" t="str">
            <v>1103</v>
          </cell>
          <cell r="I384" t="str">
            <v>M04001</v>
          </cell>
          <cell r="K384" t="str">
            <v>3</v>
          </cell>
          <cell r="L384">
            <v>228</v>
          </cell>
          <cell r="M384">
            <v>0</v>
          </cell>
          <cell r="N384">
            <v>0</v>
          </cell>
          <cell r="O384" t="str">
            <v>M</v>
          </cell>
          <cell r="P384" t="str">
            <v>00000000</v>
          </cell>
          <cell r="Q384">
            <v>0</v>
          </cell>
          <cell r="R384">
            <v>528.42999999999995</v>
          </cell>
          <cell r="S384">
            <v>101.62</v>
          </cell>
          <cell r="T384">
            <v>466.44</v>
          </cell>
          <cell r="U384">
            <v>182.92</v>
          </cell>
          <cell r="V384">
            <v>65.849999999999994</v>
          </cell>
          <cell r="W384">
            <v>73.17</v>
          </cell>
          <cell r="X384">
            <v>4.71</v>
          </cell>
          <cell r="Y384">
            <v>0</v>
          </cell>
          <cell r="Z384">
            <v>174.94</v>
          </cell>
          <cell r="AA384">
            <v>77</v>
          </cell>
          <cell r="AB384">
            <v>96</v>
          </cell>
          <cell r="AC384">
            <v>80</v>
          </cell>
          <cell r="AD384">
            <v>13.49</v>
          </cell>
          <cell r="AE384">
            <v>39.630000000000003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4197.71</v>
          </cell>
          <cell r="AN384">
            <v>3658.37</v>
          </cell>
          <cell r="AY384">
            <v>26704126.079999998</v>
          </cell>
        </row>
        <row r="385">
          <cell r="A385">
            <v>2</v>
          </cell>
          <cell r="B385" t="str">
            <v>12</v>
          </cell>
          <cell r="C385" t="str">
            <v>000</v>
          </cell>
          <cell r="D385" t="str">
            <v>1</v>
          </cell>
          <cell r="E385" t="str">
            <v>703</v>
          </cell>
          <cell r="F385" t="str">
            <v>N000</v>
          </cell>
          <cell r="G385" t="str">
            <v>211</v>
          </cell>
          <cell r="H385" t="str">
            <v>1103</v>
          </cell>
          <cell r="I385" t="str">
            <v>M04002</v>
          </cell>
          <cell r="K385" t="str">
            <v>2</v>
          </cell>
          <cell r="L385">
            <v>808</v>
          </cell>
          <cell r="M385">
            <v>0</v>
          </cell>
          <cell r="N385">
            <v>0</v>
          </cell>
          <cell r="O385" t="str">
            <v>M</v>
          </cell>
          <cell r="P385" t="str">
            <v>00000000</v>
          </cell>
          <cell r="Q385">
            <v>0</v>
          </cell>
          <cell r="R385">
            <v>489.2</v>
          </cell>
          <cell r="S385">
            <v>94.08</v>
          </cell>
          <cell r="T385">
            <v>431.81</v>
          </cell>
          <cell r="U385">
            <v>169.34</v>
          </cell>
          <cell r="V385">
            <v>60.96</v>
          </cell>
          <cell r="W385">
            <v>67.739999999999995</v>
          </cell>
          <cell r="X385">
            <v>0.85</v>
          </cell>
          <cell r="Y385">
            <v>0</v>
          </cell>
          <cell r="Z385">
            <v>181.3</v>
          </cell>
          <cell r="AA385">
            <v>77</v>
          </cell>
          <cell r="AB385">
            <v>96</v>
          </cell>
          <cell r="AC385">
            <v>80</v>
          </cell>
          <cell r="AD385">
            <v>13.49</v>
          </cell>
          <cell r="AE385">
            <v>36.68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4838.41</v>
          </cell>
          <cell r="AN385">
            <v>3386.76</v>
          </cell>
          <cell r="AY385">
            <v>97189019.519999996</v>
          </cell>
        </row>
        <row r="386">
          <cell r="A386">
            <v>2</v>
          </cell>
          <cell r="B386" t="str">
            <v>12</v>
          </cell>
          <cell r="C386" t="str">
            <v>000</v>
          </cell>
          <cell r="D386" t="str">
            <v>1</v>
          </cell>
          <cell r="E386" t="str">
            <v>703</v>
          </cell>
          <cell r="F386" t="str">
            <v>N000</v>
          </cell>
          <cell r="G386" t="str">
            <v>211</v>
          </cell>
          <cell r="H386" t="str">
            <v>1103</v>
          </cell>
          <cell r="I386" t="str">
            <v>M04002</v>
          </cell>
          <cell r="K386" t="str">
            <v>3</v>
          </cell>
          <cell r="L386">
            <v>141</v>
          </cell>
          <cell r="M386">
            <v>0</v>
          </cell>
          <cell r="N386">
            <v>0</v>
          </cell>
          <cell r="O386" t="str">
            <v>M</v>
          </cell>
          <cell r="P386" t="str">
            <v>00000000</v>
          </cell>
          <cell r="Q386">
            <v>0</v>
          </cell>
          <cell r="R386">
            <v>557.53</v>
          </cell>
          <cell r="S386">
            <v>107.22</v>
          </cell>
          <cell r="T386">
            <v>492.13</v>
          </cell>
          <cell r="U386">
            <v>192.99</v>
          </cell>
          <cell r="V386">
            <v>69.48</v>
          </cell>
          <cell r="W386">
            <v>77.2</v>
          </cell>
          <cell r="X386">
            <v>0</v>
          </cell>
          <cell r="Y386">
            <v>0</v>
          </cell>
          <cell r="Z386">
            <v>192.38</v>
          </cell>
          <cell r="AA386">
            <v>77</v>
          </cell>
          <cell r="AB386">
            <v>96</v>
          </cell>
          <cell r="AC386">
            <v>80</v>
          </cell>
          <cell r="AD386">
            <v>13.49</v>
          </cell>
          <cell r="AE386">
            <v>41.8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4838.41</v>
          </cell>
          <cell r="AN386">
            <v>3859.81</v>
          </cell>
          <cell r="AY386">
            <v>18096684.48</v>
          </cell>
        </row>
        <row r="387">
          <cell r="A387">
            <v>2</v>
          </cell>
          <cell r="B387" t="str">
            <v>12</v>
          </cell>
          <cell r="C387" t="str">
            <v>000</v>
          </cell>
          <cell r="D387" t="str">
            <v>1</v>
          </cell>
          <cell r="E387" t="str">
            <v>703</v>
          </cell>
          <cell r="F387" t="str">
            <v>N000</v>
          </cell>
          <cell r="G387" t="str">
            <v>211</v>
          </cell>
          <cell r="H387" t="str">
            <v>1103</v>
          </cell>
          <cell r="I387" t="str">
            <v>M04003</v>
          </cell>
          <cell r="K387" t="str">
            <v>2</v>
          </cell>
          <cell r="L387">
            <v>828</v>
          </cell>
          <cell r="M387">
            <v>0</v>
          </cell>
          <cell r="N387">
            <v>0</v>
          </cell>
          <cell r="O387" t="str">
            <v>M</v>
          </cell>
          <cell r="P387" t="str">
            <v>00000000</v>
          </cell>
          <cell r="Q387">
            <v>0</v>
          </cell>
          <cell r="R387">
            <v>513.6</v>
          </cell>
          <cell r="S387">
            <v>98.77</v>
          </cell>
          <cell r="T387">
            <v>453.35</v>
          </cell>
          <cell r="U387">
            <v>177.79</v>
          </cell>
          <cell r="V387">
            <v>64</v>
          </cell>
          <cell r="W387">
            <v>71.11</v>
          </cell>
          <cell r="X387">
            <v>1.08</v>
          </cell>
          <cell r="Y387">
            <v>0</v>
          </cell>
          <cell r="Z387">
            <v>185.66</v>
          </cell>
          <cell r="AA387">
            <v>77</v>
          </cell>
          <cell r="AB387">
            <v>96</v>
          </cell>
          <cell r="AC387">
            <v>80</v>
          </cell>
          <cell r="AD387">
            <v>13.49</v>
          </cell>
          <cell r="AE387">
            <v>38.53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4857.8999999999996</v>
          </cell>
          <cell r="AN387">
            <v>3555.71</v>
          </cell>
          <cell r="AY387">
            <v>102181724.64</v>
          </cell>
        </row>
        <row r="388">
          <cell r="A388">
            <v>2</v>
          </cell>
          <cell r="B388" t="str">
            <v>12</v>
          </cell>
          <cell r="C388" t="str">
            <v>000</v>
          </cell>
          <cell r="D388" t="str">
            <v>1</v>
          </cell>
          <cell r="E388" t="str">
            <v>703</v>
          </cell>
          <cell r="F388" t="str">
            <v>N000</v>
          </cell>
          <cell r="G388" t="str">
            <v>211</v>
          </cell>
          <cell r="H388" t="str">
            <v>1103</v>
          </cell>
          <cell r="I388" t="str">
            <v>M04003</v>
          </cell>
          <cell r="K388" t="str">
            <v>3</v>
          </cell>
          <cell r="L388">
            <v>103</v>
          </cell>
          <cell r="M388">
            <v>0</v>
          </cell>
          <cell r="N388">
            <v>0</v>
          </cell>
          <cell r="O388" t="str">
            <v>M</v>
          </cell>
          <cell r="P388" t="str">
            <v>00000000</v>
          </cell>
          <cell r="Q388">
            <v>0</v>
          </cell>
          <cell r="R388">
            <v>585.12</v>
          </cell>
          <cell r="S388">
            <v>112.52</v>
          </cell>
          <cell r="T388">
            <v>516.48</v>
          </cell>
          <cell r="U388">
            <v>202.54</v>
          </cell>
          <cell r="V388">
            <v>72.92</v>
          </cell>
          <cell r="W388">
            <v>81.02</v>
          </cell>
          <cell r="X388">
            <v>0</v>
          </cell>
          <cell r="Y388">
            <v>0</v>
          </cell>
          <cell r="Z388">
            <v>197.26</v>
          </cell>
          <cell r="AA388">
            <v>77</v>
          </cell>
          <cell r="AB388">
            <v>96</v>
          </cell>
          <cell r="AC388">
            <v>80</v>
          </cell>
          <cell r="AD388">
            <v>13.49</v>
          </cell>
          <cell r="AE388">
            <v>43.88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4857.8999999999996</v>
          </cell>
          <cell r="AN388">
            <v>4050.86</v>
          </cell>
          <cell r="AY388">
            <v>13579919.640000001</v>
          </cell>
        </row>
        <row r="389">
          <cell r="A389">
            <v>2</v>
          </cell>
          <cell r="B389" t="str">
            <v>12</v>
          </cell>
          <cell r="C389" t="str">
            <v>000</v>
          </cell>
          <cell r="D389" t="str">
            <v>1</v>
          </cell>
          <cell r="E389" t="str">
            <v>703</v>
          </cell>
          <cell r="F389" t="str">
            <v>N000</v>
          </cell>
          <cell r="G389" t="str">
            <v>211</v>
          </cell>
          <cell r="H389" t="str">
            <v>1103</v>
          </cell>
          <cell r="I389" t="str">
            <v>M04004</v>
          </cell>
          <cell r="K389" t="str">
            <v>2</v>
          </cell>
          <cell r="L389">
            <v>614</v>
          </cell>
          <cell r="M389">
            <v>0</v>
          </cell>
          <cell r="N389">
            <v>0</v>
          </cell>
          <cell r="O389" t="str">
            <v>M</v>
          </cell>
          <cell r="P389" t="str">
            <v>00000000</v>
          </cell>
          <cell r="Q389">
            <v>0</v>
          </cell>
          <cell r="R389">
            <v>541.76</v>
          </cell>
          <cell r="S389">
            <v>104.19</v>
          </cell>
          <cell r="T389">
            <v>478.21</v>
          </cell>
          <cell r="U389">
            <v>187.53</v>
          </cell>
          <cell r="V389">
            <v>67.510000000000005</v>
          </cell>
          <cell r="W389">
            <v>75.010000000000005</v>
          </cell>
          <cell r="X389">
            <v>3.24</v>
          </cell>
          <cell r="Y389">
            <v>0</v>
          </cell>
          <cell r="Z389">
            <v>190.67</v>
          </cell>
          <cell r="AA389">
            <v>77</v>
          </cell>
          <cell r="AB389">
            <v>96</v>
          </cell>
          <cell r="AC389">
            <v>80</v>
          </cell>
          <cell r="AD389">
            <v>13.49</v>
          </cell>
          <cell r="AE389">
            <v>40.630000000000003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4877.3999999999996</v>
          </cell>
          <cell r="AN389">
            <v>3750.65</v>
          </cell>
          <cell r="AY389">
            <v>77977680.719999999</v>
          </cell>
        </row>
        <row r="390">
          <cell r="A390">
            <v>2</v>
          </cell>
          <cell r="B390" t="str">
            <v>12</v>
          </cell>
          <cell r="C390" t="str">
            <v>000</v>
          </cell>
          <cell r="D390" t="str">
            <v>1</v>
          </cell>
          <cell r="E390" t="str">
            <v>703</v>
          </cell>
          <cell r="F390" t="str">
            <v>N000</v>
          </cell>
          <cell r="G390" t="str">
            <v>211</v>
          </cell>
          <cell r="H390" t="str">
            <v>1103</v>
          </cell>
          <cell r="I390" t="str">
            <v>M04004</v>
          </cell>
          <cell r="K390" t="str">
            <v>3</v>
          </cell>
          <cell r="L390">
            <v>61</v>
          </cell>
          <cell r="M390">
            <v>0</v>
          </cell>
          <cell r="N390">
            <v>0</v>
          </cell>
          <cell r="O390" t="str">
            <v>M</v>
          </cell>
          <cell r="P390" t="str">
            <v>00000000</v>
          </cell>
          <cell r="Q390">
            <v>0</v>
          </cell>
          <cell r="R390">
            <v>617.6</v>
          </cell>
          <cell r="S390">
            <v>118.77</v>
          </cell>
          <cell r="T390">
            <v>545.15</v>
          </cell>
          <cell r="U390">
            <v>213.78</v>
          </cell>
          <cell r="V390">
            <v>76.959999999999994</v>
          </cell>
          <cell r="W390">
            <v>85.51</v>
          </cell>
          <cell r="X390">
            <v>0</v>
          </cell>
          <cell r="Y390">
            <v>0</v>
          </cell>
          <cell r="Z390">
            <v>202.92</v>
          </cell>
          <cell r="AA390">
            <v>77</v>
          </cell>
          <cell r="AB390">
            <v>96</v>
          </cell>
          <cell r="AC390">
            <v>80</v>
          </cell>
          <cell r="AD390">
            <v>13.49</v>
          </cell>
          <cell r="AE390">
            <v>46.31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4877.3999999999996</v>
          </cell>
          <cell r="AN390">
            <v>4275.68</v>
          </cell>
          <cell r="AY390">
            <v>8291049.2400000002</v>
          </cell>
        </row>
        <row r="391">
          <cell r="A391">
            <v>2</v>
          </cell>
          <cell r="B391" t="str">
            <v>12</v>
          </cell>
          <cell r="C391" t="str">
            <v>000</v>
          </cell>
          <cell r="D391" t="str">
            <v>1</v>
          </cell>
          <cell r="E391" t="str">
            <v>703</v>
          </cell>
          <cell r="F391" t="str">
            <v>N000</v>
          </cell>
          <cell r="G391" t="str">
            <v>211</v>
          </cell>
          <cell r="H391" t="str">
            <v>1103</v>
          </cell>
          <cell r="I391" t="str">
            <v>M04005</v>
          </cell>
          <cell r="K391" t="str">
            <v>2</v>
          </cell>
          <cell r="L391">
            <v>28</v>
          </cell>
          <cell r="M391">
            <v>0</v>
          </cell>
          <cell r="N391">
            <v>0</v>
          </cell>
          <cell r="O391" t="str">
            <v>M</v>
          </cell>
          <cell r="P391" t="str">
            <v>00000000</v>
          </cell>
          <cell r="Q391">
            <v>0</v>
          </cell>
          <cell r="R391">
            <v>574.24</v>
          </cell>
          <cell r="S391">
            <v>110.43</v>
          </cell>
          <cell r="T391">
            <v>506.87</v>
          </cell>
          <cell r="U391">
            <v>198.77</v>
          </cell>
          <cell r="V391">
            <v>71.56</v>
          </cell>
          <cell r="W391">
            <v>79.510000000000005</v>
          </cell>
          <cell r="X391">
            <v>46</v>
          </cell>
          <cell r="Y391">
            <v>0</v>
          </cell>
          <cell r="Z391">
            <v>196.8</v>
          </cell>
          <cell r="AA391">
            <v>77</v>
          </cell>
          <cell r="AB391">
            <v>96</v>
          </cell>
          <cell r="AC391">
            <v>80</v>
          </cell>
          <cell r="AD391">
            <v>13.49</v>
          </cell>
          <cell r="AE391">
            <v>43.06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4877.3999999999996</v>
          </cell>
          <cell r="AN391">
            <v>3975.48</v>
          </cell>
          <cell r="AY391">
            <v>3678060.96</v>
          </cell>
        </row>
        <row r="392">
          <cell r="A392">
            <v>2</v>
          </cell>
          <cell r="B392" t="str">
            <v>12</v>
          </cell>
          <cell r="C392" t="str">
            <v>000</v>
          </cell>
          <cell r="D392" t="str">
            <v>1</v>
          </cell>
          <cell r="E392" t="str">
            <v>703</v>
          </cell>
          <cell r="F392" t="str">
            <v>N000</v>
          </cell>
          <cell r="G392" t="str">
            <v>211</v>
          </cell>
          <cell r="H392" t="str">
            <v>1103</v>
          </cell>
          <cell r="I392" t="str">
            <v>M04005</v>
          </cell>
          <cell r="K392" t="str">
            <v>3</v>
          </cell>
          <cell r="L392">
            <v>38</v>
          </cell>
          <cell r="M392">
            <v>0</v>
          </cell>
          <cell r="N392">
            <v>0</v>
          </cell>
          <cell r="O392" t="str">
            <v>M</v>
          </cell>
          <cell r="P392" t="str">
            <v>00000000</v>
          </cell>
          <cell r="Q392">
            <v>0</v>
          </cell>
          <cell r="R392">
            <v>654.39</v>
          </cell>
          <cell r="S392">
            <v>125.85</v>
          </cell>
          <cell r="T392">
            <v>577.63</v>
          </cell>
          <cell r="U392">
            <v>226.52</v>
          </cell>
          <cell r="V392">
            <v>81.55</v>
          </cell>
          <cell r="W392">
            <v>90.61</v>
          </cell>
          <cell r="X392">
            <v>7.26</v>
          </cell>
          <cell r="Y392">
            <v>0</v>
          </cell>
          <cell r="Z392">
            <v>209.04</v>
          </cell>
          <cell r="AA392">
            <v>77</v>
          </cell>
          <cell r="AB392">
            <v>96</v>
          </cell>
          <cell r="AC392">
            <v>80</v>
          </cell>
          <cell r="AD392">
            <v>13.49</v>
          </cell>
          <cell r="AE392">
            <v>49.08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4877.3999999999996</v>
          </cell>
          <cell r="AN392">
            <v>4530.41</v>
          </cell>
          <cell r="AY392">
            <v>5333480.88</v>
          </cell>
        </row>
        <row r="393">
          <cell r="A393">
            <v>2</v>
          </cell>
          <cell r="B393" t="str">
            <v>12</v>
          </cell>
          <cell r="C393" t="str">
            <v>000</v>
          </cell>
          <cell r="D393" t="str">
            <v>1</v>
          </cell>
          <cell r="E393" t="str">
            <v>703</v>
          </cell>
          <cell r="F393" t="str">
            <v>N000</v>
          </cell>
          <cell r="G393" t="str">
            <v>211</v>
          </cell>
          <cell r="H393" t="str">
            <v>1103</v>
          </cell>
          <cell r="I393" t="str">
            <v>S01803</v>
          </cell>
          <cell r="J393" t="str">
            <v>19</v>
          </cell>
          <cell r="K393" t="str">
            <v>2</v>
          </cell>
          <cell r="L393">
            <v>2</v>
          </cell>
          <cell r="M393">
            <v>0</v>
          </cell>
          <cell r="N393">
            <v>2120.3000000000002</v>
          </cell>
          <cell r="O393" t="str">
            <v>M</v>
          </cell>
          <cell r="P393" t="str">
            <v>00000000</v>
          </cell>
          <cell r="Q393">
            <v>0</v>
          </cell>
          <cell r="R393">
            <v>306.27</v>
          </cell>
          <cell r="S393">
            <v>58.9</v>
          </cell>
          <cell r="T393">
            <v>270.33999999999997</v>
          </cell>
          <cell r="U393">
            <v>106.02</v>
          </cell>
          <cell r="V393">
            <v>38.17</v>
          </cell>
          <cell r="W393">
            <v>42.41</v>
          </cell>
          <cell r="X393">
            <v>23</v>
          </cell>
          <cell r="Y393">
            <v>0</v>
          </cell>
          <cell r="Z393">
            <v>55.23</v>
          </cell>
          <cell r="AA393">
            <v>77</v>
          </cell>
          <cell r="AB393">
            <v>96</v>
          </cell>
          <cell r="AC393">
            <v>80</v>
          </cell>
          <cell r="AD393">
            <v>13.49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Y393">
            <v>78891.12</v>
          </cell>
        </row>
        <row r="394">
          <cell r="A394">
            <v>2</v>
          </cell>
          <cell r="B394" t="str">
            <v>12</v>
          </cell>
          <cell r="C394" t="str">
            <v>000</v>
          </cell>
          <cell r="D394" t="str">
            <v>1</v>
          </cell>
          <cell r="E394" t="str">
            <v>703</v>
          </cell>
          <cell r="F394" t="str">
            <v>N000</v>
          </cell>
          <cell r="G394" t="str">
            <v>211</v>
          </cell>
          <cell r="H394" t="str">
            <v>1103</v>
          </cell>
          <cell r="I394" t="str">
            <v>S01808</v>
          </cell>
          <cell r="J394" t="str">
            <v>17</v>
          </cell>
          <cell r="K394" t="str">
            <v>2</v>
          </cell>
          <cell r="L394">
            <v>1</v>
          </cell>
          <cell r="M394">
            <v>0</v>
          </cell>
          <cell r="N394">
            <v>1936.3</v>
          </cell>
          <cell r="O394" t="str">
            <v>M</v>
          </cell>
          <cell r="P394" t="str">
            <v>00000000</v>
          </cell>
          <cell r="Q394">
            <v>0</v>
          </cell>
          <cell r="R394">
            <v>279.69</v>
          </cell>
          <cell r="S394">
            <v>53.79</v>
          </cell>
          <cell r="T394">
            <v>246.88</v>
          </cell>
          <cell r="U394">
            <v>96.81</v>
          </cell>
          <cell r="V394">
            <v>34.85</v>
          </cell>
          <cell r="W394">
            <v>38.729999999999997</v>
          </cell>
          <cell r="X394">
            <v>0</v>
          </cell>
          <cell r="Y394">
            <v>0</v>
          </cell>
          <cell r="Z394">
            <v>50.46</v>
          </cell>
          <cell r="AA394">
            <v>77</v>
          </cell>
          <cell r="AB394">
            <v>96</v>
          </cell>
          <cell r="AC394">
            <v>80</v>
          </cell>
          <cell r="AD394">
            <v>13.49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Y394">
            <v>36048</v>
          </cell>
        </row>
        <row r="395">
          <cell r="A395">
            <v>2</v>
          </cell>
          <cell r="B395" t="str">
            <v>12</v>
          </cell>
          <cell r="C395" t="str">
            <v>000</v>
          </cell>
          <cell r="D395" t="str">
            <v>1</v>
          </cell>
          <cell r="E395" t="str">
            <v>703</v>
          </cell>
          <cell r="F395" t="str">
            <v>N000</v>
          </cell>
          <cell r="G395" t="str">
            <v>211</v>
          </cell>
          <cell r="H395" t="str">
            <v>1103</v>
          </cell>
          <cell r="I395" t="str">
            <v>S03810</v>
          </cell>
          <cell r="J395" t="str">
            <v>22</v>
          </cell>
          <cell r="K395" t="str">
            <v>2</v>
          </cell>
          <cell r="L395">
            <v>1</v>
          </cell>
          <cell r="M395">
            <v>0</v>
          </cell>
          <cell r="N395">
            <v>2342.3000000000002</v>
          </cell>
          <cell r="O395" t="str">
            <v>M</v>
          </cell>
          <cell r="P395" t="str">
            <v>00000000</v>
          </cell>
          <cell r="Q395">
            <v>0</v>
          </cell>
          <cell r="R395">
            <v>338.33</v>
          </cell>
          <cell r="S395">
            <v>65.06</v>
          </cell>
          <cell r="T395">
            <v>298.64</v>
          </cell>
          <cell r="U395">
            <v>117.12</v>
          </cell>
          <cell r="V395">
            <v>42.16</v>
          </cell>
          <cell r="W395">
            <v>46.85</v>
          </cell>
          <cell r="X395">
            <v>0</v>
          </cell>
          <cell r="Y395">
            <v>0</v>
          </cell>
          <cell r="Z395">
            <v>59.97</v>
          </cell>
          <cell r="AA395">
            <v>77</v>
          </cell>
          <cell r="AB395">
            <v>96</v>
          </cell>
          <cell r="AC395">
            <v>80</v>
          </cell>
          <cell r="AD395">
            <v>13.49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Y395">
            <v>42923.040000000001</v>
          </cell>
        </row>
        <row r="396">
          <cell r="A396">
            <v>2</v>
          </cell>
          <cell r="B396" t="str">
            <v>12</v>
          </cell>
          <cell r="C396" t="str">
            <v>000</v>
          </cell>
          <cell r="D396" t="str">
            <v>1</v>
          </cell>
          <cell r="E396" t="str">
            <v>703</v>
          </cell>
          <cell r="F396" t="str">
            <v>N000</v>
          </cell>
          <cell r="G396" t="str">
            <v>211</v>
          </cell>
          <cell r="H396" t="str">
            <v>1103</v>
          </cell>
          <cell r="I396" t="str">
            <v>S08802</v>
          </cell>
          <cell r="J396" t="str">
            <v>21</v>
          </cell>
          <cell r="K396" t="str">
            <v>2</v>
          </cell>
          <cell r="L396">
            <v>2</v>
          </cell>
          <cell r="M396">
            <v>0</v>
          </cell>
          <cell r="N396">
            <v>2238.1999999999998</v>
          </cell>
          <cell r="O396" t="str">
            <v>M</v>
          </cell>
          <cell r="P396" t="str">
            <v>00000000</v>
          </cell>
          <cell r="Q396">
            <v>0</v>
          </cell>
          <cell r="R396">
            <v>323.3</v>
          </cell>
          <cell r="S396">
            <v>62.17</v>
          </cell>
          <cell r="T396">
            <v>285.37</v>
          </cell>
          <cell r="U396">
            <v>111.91</v>
          </cell>
          <cell r="V396">
            <v>40.29</v>
          </cell>
          <cell r="W396">
            <v>44.76</v>
          </cell>
          <cell r="X396">
            <v>77.5</v>
          </cell>
          <cell r="Y396">
            <v>0</v>
          </cell>
          <cell r="Z396">
            <v>59.08</v>
          </cell>
          <cell r="AA396">
            <v>77</v>
          </cell>
          <cell r="AB396">
            <v>96</v>
          </cell>
          <cell r="AC396">
            <v>80</v>
          </cell>
          <cell r="AD396">
            <v>13.49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Y396">
            <v>84217.68</v>
          </cell>
        </row>
        <row r="397">
          <cell r="A397">
            <v>2</v>
          </cell>
          <cell r="B397" t="str">
            <v>12</v>
          </cell>
          <cell r="C397" t="str">
            <v>000</v>
          </cell>
          <cell r="D397" t="str">
            <v>1</v>
          </cell>
          <cell r="E397" t="str">
            <v>703</v>
          </cell>
          <cell r="F397" t="str">
            <v>N000</v>
          </cell>
          <cell r="G397" t="str">
            <v>211</v>
          </cell>
          <cell r="H397" t="str">
            <v>1103</v>
          </cell>
          <cell r="I397" t="str">
            <v>T03803</v>
          </cell>
          <cell r="J397" t="str">
            <v>22</v>
          </cell>
          <cell r="K397" t="str">
            <v>2</v>
          </cell>
          <cell r="L397">
            <v>1</v>
          </cell>
          <cell r="M397">
            <v>0</v>
          </cell>
          <cell r="N397">
            <v>2342.3000000000002</v>
          </cell>
          <cell r="O397" t="str">
            <v>M</v>
          </cell>
          <cell r="P397" t="str">
            <v>00000000</v>
          </cell>
          <cell r="Q397">
            <v>0</v>
          </cell>
          <cell r="R397">
            <v>338.33</v>
          </cell>
          <cell r="S397">
            <v>65.06</v>
          </cell>
          <cell r="T397">
            <v>298.64</v>
          </cell>
          <cell r="U397">
            <v>117.12</v>
          </cell>
          <cell r="V397">
            <v>42.16</v>
          </cell>
          <cell r="W397">
            <v>46.85</v>
          </cell>
          <cell r="X397">
            <v>0</v>
          </cell>
          <cell r="Y397">
            <v>0</v>
          </cell>
          <cell r="Z397">
            <v>59.97</v>
          </cell>
          <cell r="AA397">
            <v>77</v>
          </cell>
          <cell r="AB397">
            <v>96</v>
          </cell>
          <cell r="AC397">
            <v>80</v>
          </cell>
          <cell r="AD397">
            <v>13.49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Y397">
            <v>42923.040000000001</v>
          </cell>
        </row>
        <row r="398">
          <cell r="A398">
            <v>2</v>
          </cell>
          <cell r="B398" t="str">
            <v>12</v>
          </cell>
          <cell r="C398" t="str">
            <v>000</v>
          </cell>
          <cell r="D398" t="str">
            <v>1</v>
          </cell>
          <cell r="E398" t="str">
            <v>703</v>
          </cell>
          <cell r="F398" t="str">
            <v>N000</v>
          </cell>
          <cell r="G398" t="str">
            <v>211</v>
          </cell>
          <cell r="H398" t="str">
            <v>1103</v>
          </cell>
          <cell r="I398" t="str">
            <v>T03804</v>
          </cell>
          <cell r="J398" t="str">
            <v>25</v>
          </cell>
          <cell r="K398" t="str">
            <v>2</v>
          </cell>
          <cell r="L398">
            <v>11</v>
          </cell>
          <cell r="M398">
            <v>0</v>
          </cell>
          <cell r="N398">
            <v>2572.4</v>
          </cell>
          <cell r="O398" t="str">
            <v>M</v>
          </cell>
          <cell r="P398" t="str">
            <v>00000000</v>
          </cell>
          <cell r="Q398">
            <v>0</v>
          </cell>
          <cell r="R398">
            <v>371.57</v>
          </cell>
          <cell r="S398">
            <v>71.459999999999994</v>
          </cell>
          <cell r="T398">
            <v>327.98</v>
          </cell>
          <cell r="U398">
            <v>128.62</v>
          </cell>
          <cell r="V398">
            <v>46.3</v>
          </cell>
          <cell r="W398">
            <v>51.45</v>
          </cell>
          <cell r="X398">
            <v>38.450000000000003</v>
          </cell>
          <cell r="Y398">
            <v>0</v>
          </cell>
          <cell r="Z398">
            <v>66.14</v>
          </cell>
          <cell r="AA398">
            <v>77</v>
          </cell>
          <cell r="AB398">
            <v>96</v>
          </cell>
          <cell r="AC398">
            <v>80</v>
          </cell>
          <cell r="AD398">
            <v>13.49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Y398">
            <v>520193.52</v>
          </cell>
        </row>
        <row r="399">
          <cell r="A399">
            <v>2</v>
          </cell>
          <cell r="B399" t="str">
            <v>12</v>
          </cell>
          <cell r="C399" t="str">
            <v>000</v>
          </cell>
          <cell r="D399" t="str">
            <v>1</v>
          </cell>
          <cell r="E399" t="str">
            <v>703</v>
          </cell>
          <cell r="F399" t="str">
            <v>N000</v>
          </cell>
          <cell r="G399" t="str">
            <v>211</v>
          </cell>
          <cell r="H399" t="str">
            <v>1103</v>
          </cell>
          <cell r="I399" t="str">
            <v>T06803</v>
          </cell>
          <cell r="J399" t="str">
            <v>26</v>
          </cell>
          <cell r="K399" t="str">
            <v>2</v>
          </cell>
          <cell r="L399">
            <v>3</v>
          </cell>
          <cell r="M399">
            <v>0</v>
          </cell>
          <cell r="N399">
            <v>2692.2</v>
          </cell>
          <cell r="O399" t="str">
            <v>M</v>
          </cell>
          <cell r="P399" t="str">
            <v>00000000</v>
          </cell>
          <cell r="Q399">
            <v>0</v>
          </cell>
          <cell r="R399">
            <v>388.87</v>
          </cell>
          <cell r="S399">
            <v>74.78</v>
          </cell>
          <cell r="T399">
            <v>343.26</v>
          </cell>
          <cell r="U399">
            <v>134.61000000000001</v>
          </cell>
          <cell r="V399">
            <v>48.46</v>
          </cell>
          <cell r="W399">
            <v>53.84</v>
          </cell>
          <cell r="X399">
            <v>46</v>
          </cell>
          <cell r="Y399">
            <v>0</v>
          </cell>
          <cell r="Z399">
            <v>69.099999999999994</v>
          </cell>
          <cell r="AA399">
            <v>77</v>
          </cell>
          <cell r="AB399">
            <v>96</v>
          </cell>
          <cell r="AC399">
            <v>80</v>
          </cell>
          <cell r="AD399">
            <v>13.49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Y399">
            <v>148233.96</v>
          </cell>
        </row>
        <row r="400">
          <cell r="A400">
            <v>2</v>
          </cell>
          <cell r="B400" t="str">
            <v>12</v>
          </cell>
          <cell r="C400" t="str">
            <v>000</v>
          </cell>
          <cell r="D400" t="str">
            <v>1</v>
          </cell>
          <cell r="E400" t="str">
            <v>703</v>
          </cell>
          <cell r="F400" t="str">
            <v>N000</v>
          </cell>
          <cell r="G400" t="str">
            <v>211</v>
          </cell>
          <cell r="H400" t="str">
            <v>1103</v>
          </cell>
          <cell r="I400" t="str">
            <v>T06804</v>
          </cell>
          <cell r="J400" t="str">
            <v>27Z</v>
          </cell>
          <cell r="K400" t="str">
            <v>2</v>
          </cell>
          <cell r="L400">
            <v>2</v>
          </cell>
          <cell r="M400">
            <v>0</v>
          </cell>
          <cell r="N400">
            <v>2900.25</v>
          </cell>
          <cell r="O400" t="str">
            <v>M</v>
          </cell>
          <cell r="P400" t="str">
            <v>00000000</v>
          </cell>
          <cell r="Q400">
            <v>205.15</v>
          </cell>
          <cell r="R400">
            <v>418.93</v>
          </cell>
          <cell r="S400">
            <v>80.56</v>
          </cell>
          <cell r="T400">
            <v>369.78</v>
          </cell>
          <cell r="U400">
            <v>145.01</v>
          </cell>
          <cell r="V400">
            <v>55.89</v>
          </cell>
          <cell r="W400">
            <v>58.01</v>
          </cell>
          <cell r="X400">
            <v>23</v>
          </cell>
          <cell r="Y400">
            <v>0</v>
          </cell>
          <cell r="Z400">
            <v>77.62</v>
          </cell>
          <cell r="AA400">
            <v>77</v>
          </cell>
          <cell r="AB400">
            <v>96</v>
          </cell>
          <cell r="AC400">
            <v>80</v>
          </cell>
          <cell r="AD400">
            <v>13.49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Y400">
            <v>110416.56</v>
          </cell>
        </row>
        <row r="401">
          <cell r="A401">
            <v>2</v>
          </cell>
          <cell r="B401" t="str">
            <v>12</v>
          </cell>
          <cell r="C401" t="str">
            <v>000</v>
          </cell>
          <cell r="D401" t="str">
            <v>1</v>
          </cell>
          <cell r="E401" t="str">
            <v>703</v>
          </cell>
          <cell r="F401" t="str">
            <v>N000</v>
          </cell>
          <cell r="G401" t="str">
            <v>211</v>
          </cell>
          <cell r="H401" t="str">
            <v>1103</v>
          </cell>
          <cell r="I401" t="str">
            <v>CF01059</v>
          </cell>
          <cell r="J401" t="str">
            <v>28</v>
          </cell>
          <cell r="K401" t="str">
            <v>1</v>
          </cell>
          <cell r="L401">
            <v>10</v>
          </cell>
          <cell r="M401">
            <v>0</v>
          </cell>
          <cell r="N401">
            <v>3631.8</v>
          </cell>
          <cell r="O401" t="str">
            <v>M</v>
          </cell>
          <cell r="P401" t="str">
            <v>00000000</v>
          </cell>
          <cell r="Q401">
            <v>8731.1</v>
          </cell>
          <cell r="R401">
            <v>524.59</v>
          </cell>
          <cell r="S401">
            <v>100.88</v>
          </cell>
          <cell r="T401">
            <v>463.05</v>
          </cell>
          <cell r="U401">
            <v>181.59</v>
          </cell>
          <cell r="V401">
            <v>222.53</v>
          </cell>
          <cell r="W401">
            <v>72.64</v>
          </cell>
          <cell r="X401">
            <v>48.4</v>
          </cell>
          <cell r="Y401">
            <v>618.15</v>
          </cell>
          <cell r="Z401">
            <v>262.27999999999997</v>
          </cell>
          <cell r="AA401">
            <v>77</v>
          </cell>
          <cell r="AB401">
            <v>0</v>
          </cell>
          <cell r="AC401">
            <v>0</v>
          </cell>
          <cell r="AD401">
            <v>13.49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Y401">
            <v>1793700</v>
          </cell>
        </row>
        <row r="402">
          <cell r="A402">
            <v>2</v>
          </cell>
          <cell r="B402" t="str">
            <v>12</v>
          </cell>
          <cell r="C402" t="str">
            <v>000</v>
          </cell>
          <cell r="D402" t="str">
            <v>1</v>
          </cell>
          <cell r="E402" t="str">
            <v>703</v>
          </cell>
          <cell r="F402" t="str">
            <v>N000</v>
          </cell>
          <cell r="G402" t="str">
            <v>211</v>
          </cell>
          <cell r="H402" t="str">
            <v>1103</v>
          </cell>
          <cell r="I402" t="str">
            <v>CF03809</v>
          </cell>
          <cell r="J402" t="str">
            <v>25</v>
          </cell>
          <cell r="K402" t="str">
            <v>2</v>
          </cell>
          <cell r="L402">
            <v>2</v>
          </cell>
          <cell r="M402">
            <v>0</v>
          </cell>
          <cell r="N402">
            <v>2572.4</v>
          </cell>
          <cell r="O402" t="str">
            <v>M</v>
          </cell>
          <cell r="P402" t="str">
            <v>00000000</v>
          </cell>
          <cell r="Q402">
            <v>0</v>
          </cell>
          <cell r="R402">
            <v>371.57</v>
          </cell>
          <cell r="S402">
            <v>71.459999999999994</v>
          </cell>
          <cell r="T402">
            <v>327.98</v>
          </cell>
          <cell r="U402">
            <v>128.62</v>
          </cell>
          <cell r="V402">
            <v>46.3</v>
          </cell>
          <cell r="W402">
            <v>51.45</v>
          </cell>
          <cell r="X402">
            <v>0</v>
          </cell>
          <cell r="Y402">
            <v>0</v>
          </cell>
          <cell r="Z402">
            <v>65.37</v>
          </cell>
          <cell r="AA402">
            <v>77</v>
          </cell>
          <cell r="AB402">
            <v>96</v>
          </cell>
          <cell r="AC402">
            <v>80</v>
          </cell>
          <cell r="AD402">
            <v>13.49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Y402">
            <v>93639.360000000001</v>
          </cell>
        </row>
        <row r="403">
          <cell r="A403">
            <v>2</v>
          </cell>
          <cell r="B403" t="str">
            <v>12</v>
          </cell>
          <cell r="C403" t="str">
            <v>000</v>
          </cell>
          <cell r="D403" t="str">
            <v>1</v>
          </cell>
          <cell r="E403" t="str">
            <v>703</v>
          </cell>
          <cell r="F403" t="str">
            <v>N000</v>
          </cell>
          <cell r="G403" t="str">
            <v>211</v>
          </cell>
          <cell r="H403" t="str">
            <v>1103</v>
          </cell>
          <cell r="I403" t="str">
            <v>CF03820</v>
          </cell>
          <cell r="J403" t="str">
            <v>27Z</v>
          </cell>
          <cell r="K403" t="str">
            <v>2</v>
          </cell>
          <cell r="L403">
            <v>1</v>
          </cell>
          <cell r="M403">
            <v>0</v>
          </cell>
          <cell r="N403">
            <v>2900.25</v>
          </cell>
          <cell r="O403" t="str">
            <v>M</v>
          </cell>
          <cell r="P403" t="str">
            <v>00000000</v>
          </cell>
          <cell r="Q403">
            <v>205.15</v>
          </cell>
          <cell r="R403">
            <v>418.93</v>
          </cell>
          <cell r="S403">
            <v>80.56</v>
          </cell>
          <cell r="T403">
            <v>369.78</v>
          </cell>
          <cell r="U403">
            <v>145.01</v>
          </cell>
          <cell r="V403">
            <v>55.89</v>
          </cell>
          <cell r="W403">
            <v>58.01</v>
          </cell>
          <cell r="X403">
            <v>0</v>
          </cell>
          <cell r="Y403">
            <v>0</v>
          </cell>
          <cell r="Z403">
            <v>77.16</v>
          </cell>
          <cell r="AA403">
            <v>77</v>
          </cell>
          <cell r="AB403">
            <v>96</v>
          </cell>
          <cell r="AC403">
            <v>80</v>
          </cell>
          <cell r="AD403">
            <v>13.49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Y403">
            <v>54926.76</v>
          </cell>
        </row>
        <row r="404">
          <cell r="A404">
            <v>2</v>
          </cell>
          <cell r="B404" t="str">
            <v>12</v>
          </cell>
          <cell r="C404" t="str">
            <v>000</v>
          </cell>
          <cell r="D404" t="str">
            <v>1</v>
          </cell>
          <cell r="E404" t="str">
            <v>703</v>
          </cell>
          <cell r="F404" t="str">
            <v>N000</v>
          </cell>
          <cell r="G404" t="str">
            <v>211</v>
          </cell>
          <cell r="H404" t="str">
            <v>1103</v>
          </cell>
          <cell r="I404" t="str">
            <v>CF04806</v>
          </cell>
          <cell r="J404" t="str">
            <v>26</v>
          </cell>
          <cell r="K404" t="str">
            <v>2</v>
          </cell>
          <cell r="L404">
            <v>22</v>
          </cell>
          <cell r="M404">
            <v>0</v>
          </cell>
          <cell r="N404">
            <v>2692.2</v>
          </cell>
          <cell r="O404" t="str">
            <v>M</v>
          </cell>
          <cell r="P404" t="str">
            <v>00000000</v>
          </cell>
          <cell r="Q404">
            <v>0</v>
          </cell>
          <cell r="R404">
            <v>388.87</v>
          </cell>
          <cell r="S404">
            <v>74.78</v>
          </cell>
          <cell r="T404">
            <v>343.26</v>
          </cell>
          <cell r="U404">
            <v>134.61000000000001</v>
          </cell>
          <cell r="V404">
            <v>48.46</v>
          </cell>
          <cell r="W404">
            <v>53.84</v>
          </cell>
          <cell r="X404">
            <v>41.73</v>
          </cell>
          <cell r="Y404">
            <v>0</v>
          </cell>
          <cell r="Z404">
            <v>69.010000000000005</v>
          </cell>
          <cell r="AA404">
            <v>77</v>
          </cell>
          <cell r="AB404">
            <v>96</v>
          </cell>
          <cell r="AC404">
            <v>80</v>
          </cell>
          <cell r="AD404">
            <v>13.49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Y404">
            <v>1085898</v>
          </cell>
        </row>
        <row r="405">
          <cell r="A405">
            <v>2</v>
          </cell>
          <cell r="B405" t="str">
            <v>12</v>
          </cell>
          <cell r="C405" t="str">
            <v>000</v>
          </cell>
          <cell r="D405" t="str">
            <v>1</v>
          </cell>
          <cell r="E405" t="str">
            <v>703</v>
          </cell>
          <cell r="F405" t="str">
            <v>N000</v>
          </cell>
          <cell r="G405" t="str">
            <v>211</v>
          </cell>
          <cell r="H405" t="str">
            <v>1103</v>
          </cell>
          <cell r="I405" t="str">
            <v>CF04807</v>
          </cell>
          <cell r="J405" t="str">
            <v>27Z</v>
          </cell>
          <cell r="K405" t="str">
            <v>2</v>
          </cell>
          <cell r="L405">
            <v>8</v>
          </cell>
          <cell r="M405">
            <v>0</v>
          </cell>
          <cell r="N405">
            <v>2900.25</v>
          </cell>
          <cell r="O405" t="str">
            <v>M</v>
          </cell>
          <cell r="P405" t="str">
            <v>00000000</v>
          </cell>
          <cell r="Q405">
            <v>205.15</v>
          </cell>
          <cell r="R405">
            <v>418.93</v>
          </cell>
          <cell r="S405">
            <v>80.56</v>
          </cell>
          <cell r="T405">
            <v>369.78</v>
          </cell>
          <cell r="U405">
            <v>145.01</v>
          </cell>
          <cell r="V405">
            <v>55.89</v>
          </cell>
          <cell r="W405">
            <v>58.01</v>
          </cell>
          <cell r="X405">
            <v>55.88</v>
          </cell>
          <cell r="Y405">
            <v>0</v>
          </cell>
          <cell r="Z405">
            <v>78.28</v>
          </cell>
          <cell r="AA405">
            <v>77</v>
          </cell>
          <cell r="AB405">
            <v>96</v>
          </cell>
          <cell r="AC405">
            <v>80</v>
          </cell>
          <cell r="AD405">
            <v>13.49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Y405">
            <v>444886.08</v>
          </cell>
        </row>
        <row r="406">
          <cell r="A406">
            <v>2</v>
          </cell>
          <cell r="B406" t="str">
            <v>12</v>
          </cell>
          <cell r="C406" t="str">
            <v>000</v>
          </cell>
          <cell r="D406" t="str">
            <v>1</v>
          </cell>
          <cell r="E406" t="str">
            <v>703</v>
          </cell>
          <cell r="F406" t="str">
            <v>N000</v>
          </cell>
          <cell r="G406" t="str">
            <v>211</v>
          </cell>
          <cell r="H406" t="str">
            <v>1103</v>
          </cell>
          <cell r="I406" t="str">
            <v>CF04808</v>
          </cell>
          <cell r="J406" t="str">
            <v>27ZA</v>
          </cell>
          <cell r="K406" t="str">
            <v>2</v>
          </cell>
          <cell r="L406">
            <v>8</v>
          </cell>
          <cell r="M406">
            <v>0</v>
          </cell>
          <cell r="N406">
            <v>2982.9</v>
          </cell>
          <cell r="O406" t="str">
            <v>M</v>
          </cell>
          <cell r="P406" t="str">
            <v>00000000</v>
          </cell>
          <cell r="Q406">
            <v>579.4</v>
          </cell>
          <cell r="R406">
            <v>430.86</v>
          </cell>
          <cell r="S406">
            <v>82.86</v>
          </cell>
          <cell r="T406">
            <v>380.32</v>
          </cell>
          <cell r="U406">
            <v>149.15</v>
          </cell>
          <cell r="V406">
            <v>64.12</v>
          </cell>
          <cell r="W406">
            <v>59.66</v>
          </cell>
          <cell r="X406">
            <v>0</v>
          </cell>
          <cell r="Y406">
            <v>0</v>
          </cell>
          <cell r="Z406">
            <v>86.58</v>
          </cell>
          <cell r="AA406">
            <v>77</v>
          </cell>
          <cell r="AB406">
            <v>96</v>
          </cell>
          <cell r="AC406">
            <v>80</v>
          </cell>
          <cell r="AD406">
            <v>13.49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Y406">
            <v>487904.64</v>
          </cell>
        </row>
        <row r="407">
          <cell r="A407">
            <v>2</v>
          </cell>
          <cell r="B407" t="str">
            <v>12</v>
          </cell>
          <cell r="C407" t="str">
            <v>000</v>
          </cell>
          <cell r="D407" t="str">
            <v>1</v>
          </cell>
          <cell r="E407" t="str">
            <v>703</v>
          </cell>
          <cell r="F407" t="str">
            <v>N000</v>
          </cell>
          <cell r="G407" t="str">
            <v>211</v>
          </cell>
          <cell r="H407" t="str">
            <v>1103</v>
          </cell>
          <cell r="I407" t="str">
            <v>CF12825</v>
          </cell>
          <cell r="J407" t="str">
            <v>27ZB</v>
          </cell>
          <cell r="K407" t="str">
            <v>2</v>
          </cell>
          <cell r="L407">
            <v>2</v>
          </cell>
          <cell r="M407">
            <v>0</v>
          </cell>
          <cell r="N407">
            <v>3008.65</v>
          </cell>
          <cell r="O407" t="str">
            <v>M</v>
          </cell>
          <cell r="P407" t="str">
            <v>00000000</v>
          </cell>
          <cell r="Q407">
            <v>857</v>
          </cell>
          <cell r="R407">
            <v>434.58</v>
          </cell>
          <cell r="S407">
            <v>83.57</v>
          </cell>
          <cell r="T407">
            <v>383.6</v>
          </cell>
          <cell r="U407">
            <v>150.43</v>
          </cell>
          <cell r="V407">
            <v>69.59</v>
          </cell>
          <cell r="W407">
            <v>60.17</v>
          </cell>
          <cell r="X407">
            <v>0</v>
          </cell>
          <cell r="Y407">
            <v>0</v>
          </cell>
          <cell r="Z407">
            <v>92.74</v>
          </cell>
          <cell r="AA407">
            <v>77</v>
          </cell>
          <cell r="AB407">
            <v>96</v>
          </cell>
          <cell r="AC407">
            <v>80</v>
          </cell>
          <cell r="AD407">
            <v>13.49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Y407">
            <v>129763.68</v>
          </cell>
        </row>
        <row r="408">
          <cell r="A408">
            <v>2</v>
          </cell>
          <cell r="B408" t="str">
            <v>12</v>
          </cell>
          <cell r="C408" t="str">
            <v>000</v>
          </cell>
          <cell r="D408" t="str">
            <v>1</v>
          </cell>
          <cell r="E408" t="str">
            <v>703</v>
          </cell>
          <cell r="F408" t="str">
            <v>N000</v>
          </cell>
          <cell r="G408" t="str">
            <v>211</v>
          </cell>
          <cell r="H408" t="str">
            <v>1103</v>
          </cell>
          <cell r="I408" t="str">
            <v>CF21856</v>
          </cell>
          <cell r="J408" t="str">
            <v>27Z</v>
          </cell>
          <cell r="K408" t="str">
            <v>2</v>
          </cell>
          <cell r="L408">
            <v>5</v>
          </cell>
          <cell r="M408">
            <v>0</v>
          </cell>
          <cell r="N408">
            <v>2900.25</v>
          </cell>
          <cell r="O408" t="str">
            <v>M</v>
          </cell>
          <cell r="P408" t="str">
            <v>00000000</v>
          </cell>
          <cell r="Q408">
            <v>205.15</v>
          </cell>
          <cell r="R408">
            <v>418.93</v>
          </cell>
          <cell r="S408">
            <v>80.56</v>
          </cell>
          <cell r="T408">
            <v>369.78</v>
          </cell>
          <cell r="U408">
            <v>145.01</v>
          </cell>
          <cell r="V408">
            <v>55.89</v>
          </cell>
          <cell r="W408">
            <v>58.01</v>
          </cell>
          <cell r="X408">
            <v>31</v>
          </cell>
          <cell r="Y408">
            <v>0</v>
          </cell>
          <cell r="Z408">
            <v>77.78</v>
          </cell>
          <cell r="AA408">
            <v>77</v>
          </cell>
          <cell r="AB408">
            <v>96</v>
          </cell>
          <cell r="AC408">
            <v>80</v>
          </cell>
          <cell r="AD408">
            <v>13.49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Y408">
            <v>276531</v>
          </cell>
        </row>
        <row r="409">
          <cell r="A409">
            <v>2</v>
          </cell>
          <cell r="B409" t="str">
            <v>12</v>
          </cell>
          <cell r="C409" t="str">
            <v>000</v>
          </cell>
          <cell r="D409" t="str">
            <v>1</v>
          </cell>
          <cell r="E409" t="str">
            <v>703</v>
          </cell>
          <cell r="F409" t="str">
            <v>N000</v>
          </cell>
          <cell r="G409" t="str">
            <v>211</v>
          </cell>
          <cell r="H409" t="str">
            <v>1103</v>
          </cell>
          <cell r="I409" t="str">
            <v>CF21858</v>
          </cell>
          <cell r="J409" t="str">
            <v>27ZA</v>
          </cell>
          <cell r="K409" t="str">
            <v>2</v>
          </cell>
          <cell r="L409">
            <v>12</v>
          </cell>
          <cell r="M409">
            <v>0</v>
          </cell>
          <cell r="N409">
            <v>2982.9</v>
          </cell>
          <cell r="O409" t="str">
            <v>M</v>
          </cell>
          <cell r="P409" t="str">
            <v>00000000</v>
          </cell>
          <cell r="Q409">
            <v>579.4</v>
          </cell>
          <cell r="R409">
            <v>430.86</v>
          </cell>
          <cell r="S409">
            <v>82.86</v>
          </cell>
          <cell r="T409">
            <v>380.32</v>
          </cell>
          <cell r="U409">
            <v>149.15</v>
          </cell>
          <cell r="V409">
            <v>64.12</v>
          </cell>
          <cell r="W409">
            <v>59.66</v>
          </cell>
          <cell r="X409">
            <v>43.5</v>
          </cell>
          <cell r="Y409">
            <v>0</v>
          </cell>
          <cell r="Z409">
            <v>87.45</v>
          </cell>
          <cell r="AA409">
            <v>77</v>
          </cell>
          <cell r="AB409">
            <v>96</v>
          </cell>
          <cell r="AC409">
            <v>80</v>
          </cell>
          <cell r="AD409">
            <v>13.49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Y409">
            <v>738246.24</v>
          </cell>
        </row>
        <row r="410">
          <cell r="A410">
            <v>2</v>
          </cell>
          <cell r="B410" t="str">
            <v>12</v>
          </cell>
          <cell r="C410" t="str">
            <v>000</v>
          </cell>
          <cell r="D410" t="str">
            <v>1</v>
          </cell>
          <cell r="E410" t="str">
            <v>703</v>
          </cell>
          <cell r="F410" t="str">
            <v>N000</v>
          </cell>
          <cell r="G410" t="str">
            <v>211</v>
          </cell>
          <cell r="H410" t="str">
            <v>1103</v>
          </cell>
          <cell r="I410" t="str">
            <v>CF21859</v>
          </cell>
          <cell r="J410" t="str">
            <v>27ZB</v>
          </cell>
          <cell r="K410" t="str">
            <v>2</v>
          </cell>
          <cell r="L410">
            <v>4</v>
          </cell>
          <cell r="M410">
            <v>0</v>
          </cell>
          <cell r="N410">
            <v>3008.65</v>
          </cell>
          <cell r="O410" t="str">
            <v>M</v>
          </cell>
          <cell r="P410" t="str">
            <v>00000000</v>
          </cell>
          <cell r="Q410">
            <v>857</v>
          </cell>
          <cell r="R410">
            <v>434.58</v>
          </cell>
          <cell r="S410">
            <v>83.57</v>
          </cell>
          <cell r="T410">
            <v>383.6</v>
          </cell>
          <cell r="U410">
            <v>150.43</v>
          </cell>
          <cell r="V410">
            <v>69.59</v>
          </cell>
          <cell r="W410">
            <v>60.17</v>
          </cell>
          <cell r="X410">
            <v>95.5</v>
          </cell>
          <cell r="Y410">
            <v>0</v>
          </cell>
          <cell r="Z410">
            <v>94.65</v>
          </cell>
          <cell r="AA410">
            <v>77</v>
          </cell>
          <cell r="AB410">
            <v>96</v>
          </cell>
          <cell r="AC410">
            <v>80</v>
          </cell>
          <cell r="AD410">
            <v>13.49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Y410">
            <v>264203.03999999998</v>
          </cell>
        </row>
        <row r="411">
          <cell r="A411">
            <v>2</v>
          </cell>
          <cell r="B411" t="str">
            <v>12</v>
          </cell>
          <cell r="C411" t="str">
            <v>000</v>
          </cell>
          <cell r="D411" t="str">
            <v>1</v>
          </cell>
          <cell r="E411" t="str">
            <v>703</v>
          </cell>
          <cell r="F411" t="str">
            <v>N000</v>
          </cell>
          <cell r="G411" t="str">
            <v>211</v>
          </cell>
          <cell r="H411" t="str">
            <v>1103</v>
          </cell>
          <cell r="I411" t="str">
            <v>CF21864</v>
          </cell>
          <cell r="J411" t="str">
            <v>27C</v>
          </cell>
          <cell r="K411" t="str">
            <v>1</v>
          </cell>
          <cell r="L411">
            <v>2</v>
          </cell>
          <cell r="M411">
            <v>0</v>
          </cell>
          <cell r="N411">
            <v>3268.2</v>
          </cell>
          <cell r="O411" t="str">
            <v>M</v>
          </cell>
          <cell r="P411" t="str">
            <v>00000000</v>
          </cell>
          <cell r="Q411">
            <v>4783.05</v>
          </cell>
          <cell r="R411">
            <v>472.07</v>
          </cell>
          <cell r="S411">
            <v>90.78</v>
          </cell>
          <cell r="T411">
            <v>416.7</v>
          </cell>
          <cell r="U411">
            <v>163.41</v>
          </cell>
          <cell r="V411">
            <v>144.91999999999999</v>
          </cell>
          <cell r="W411">
            <v>65.36</v>
          </cell>
          <cell r="X411">
            <v>27.5</v>
          </cell>
          <cell r="Y411">
            <v>0</v>
          </cell>
          <cell r="Z411">
            <v>174.37</v>
          </cell>
          <cell r="AA411">
            <v>77</v>
          </cell>
          <cell r="AB411">
            <v>0</v>
          </cell>
          <cell r="AC411">
            <v>0</v>
          </cell>
          <cell r="AD411">
            <v>13.49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Y411">
            <v>232724.4</v>
          </cell>
        </row>
        <row r="412">
          <cell r="A412">
            <v>2</v>
          </cell>
          <cell r="B412" t="str">
            <v>12</v>
          </cell>
          <cell r="C412" t="str">
            <v>000</v>
          </cell>
          <cell r="D412" t="str">
            <v>1</v>
          </cell>
          <cell r="E412" t="str">
            <v>703</v>
          </cell>
          <cell r="F412" t="str">
            <v>N000</v>
          </cell>
          <cell r="G412" t="str">
            <v>211</v>
          </cell>
          <cell r="H412" t="str">
            <v>1103</v>
          </cell>
          <cell r="I412" t="str">
            <v>CF21865</v>
          </cell>
          <cell r="J412" t="str">
            <v>27B</v>
          </cell>
          <cell r="K412" t="str">
            <v>1</v>
          </cell>
          <cell r="L412">
            <v>10</v>
          </cell>
          <cell r="M412">
            <v>0</v>
          </cell>
          <cell r="N412">
            <v>3222.2</v>
          </cell>
          <cell r="O412" t="str">
            <v>M</v>
          </cell>
          <cell r="P412" t="str">
            <v>00000000</v>
          </cell>
          <cell r="Q412">
            <v>3558.85</v>
          </cell>
          <cell r="R412">
            <v>465.43</v>
          </cell>
          <cell r="S412">
            <v>89.51</v>
          </cell>
          <cell r="T412">
            <v>410.83</v>
          </cell>
          <cell r="U412">
            <v>161.11000000000001</v>
          </cell>
          <cell r="V412">
            <v>122.06</v>
          </cell>
          <cell r="W412">
            <v>64.44</v>
          </cell>
          <cell r="X412">
            <v>63.9</v>
          </cell>
          <cell r="Y412">
            <v>0</v>
          </cell>
          <cell r="Z412">
            <v>149.54</v>
          </cell>
          <cell r="AA412">
            <v>77</v>
          </cell>
          <cell r="AB412">
            <v>0</v>
          </cell>
          <cell r="AC412">
            <v>0</v>
          </cell>
          <cell r="AD412">
            <v>13.49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Y412">
            <v>1007803.2</v>
          </cell>
        </row>
        <row r="413">
          <cell r="A413">
            <v>2</v>
          </cell>
          <cell r="B413" t="str">
            <v>12</v>
          </cell>
          <cell r="C413" t="str">
            <v>000</v>
          </cell>
          <cell r="D413" t="str">
            <v>1</v>
          </cell>
          <cell r="E413" t="str">
            <v>703</v>
          </cell>
          <cell r="F413" t="str">
            <v>N000</v>
          </cell>
          <cell r="G413" t="str">
            <v>211</v>
          </cell>
          <cell r="H413" t="str">
            <v>1103</v>
          </cell>
          <cell r="I413" t="str">
            <v>CF21865</v>
          </cell>
          <cell r="J413" t="str">
            <v>27B</v>
          </cell>
          <cell r="K413" t="str">
            <v>1</v>
          </cell>
          <cell r="L413">
            <v>9</v>
          </cell>
          <cell r="M413">
            <v>0</v>
          </cell>
          <cell r="N413">
            <v>3222.2</v>
          </cell>
          <cell r="O413" t="str">
            <v>M</v>
          </cell>
          <cell r="P413" t="str">
            <v>00000000</v>
          </cell>
          <cell r="Q413">
            <v>3558.85</v>
          </cell>
          <cell r="R413">
            <v>465.43</v>
          </cell>
          <cell r="S413">
            <v>89.51</v>
          </cell>
          <cell r="T413">
            <v>410.83</v>
          </cell>
          <cell r="U413">
            <v>161.11000000000001</v>
          </cell>
          <cell r="V413">
            <v>122.06</v>
          </cell>
          <cell r="W413">
            <v>64.44</v>
          </cell>
          <cell r="X413">
            <v>0</v>
          </cell>
          <cell r="Y413">
            <v>0</v>
          </cell>
          <cell r="Z413">
            <v>148.26</v>
          </cell>
          <cell r="AA413">
            <v>77</v>
          </cell>
          <cell r="AB413">
            <v>0</v>
          </cell>
          <cell r="AC413">
            <v>0</v>
          </cell>
          <cell r="AD413">
            <v>13.49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Y413">
            <v>899983.44</v>
          </cell>
        </row>
        <row r="414">
          <cell r="A414">
            <v>2</v>
          </cell>
          <cell r="B414" t="str">
            <v>12</v>
          </cell>
          <cell r="C414" t="str">
            <v>000</v>
          </cell>
          <cell r="D414" t="str">
            <v>1</v>
          </cell>
          <cell r="E414" t="str">
            <v>703</v>
          </cell>
          <cell r="F414" t="str">
            <v>N000</v>
          </cell>
          <cell r="G414" t="str">
            <v>211</v>
          </cell>
          <cell r="H414" t="str">
            <v>1103</v>
          </cell>
          <cell r="I414" t="str">
            <v>CF21866</v>
          </cell>
          <cell r="J414" t="str">
            <v>27A</v>
          </cell>
          <cell r="K414" t="str">
            <v>1</v>
          </cell>
          <cell r="L414">
            <v>6</v>
          </cell>
          <cell r="M414">
            <v>0</v>
          </cell>
          <cell r="N414">
            <v>3185.4</v>
          </cell>
          <cell r="O414" t="str">
            <v>M</v>
          </cell>
          <cell r="P414" t="str">
            <v>00000000</v>
          </cell>
          <cell r="Q414">
            <v>2791.7</v>
          </cell>
          <cell r="R414">
            <v>460.11</v>
          </cell>
          <cell r="S414">
            <v>88.48</v>
          </cell>
          <cell r="T414">
            <v>406.14</v>
          </cell>
          <cell r="U414">
            <v>159.27000000000001</v>
          </cell>
          <cell r="V414">
            <v>107.59</v>
          </cell>
          <cell r="W414">
            <v>63.71</v>
          </cell>
          <cell r="X414">
            <v>7.67</v>
          </cell>
          <cell r="Y414">
            <v>0</v>
          </cell>
          <cell r="Z414">
            <v>132.21</v>
          </cell>
          <cell r="AA414">
            <v>77</v>
          </cell>
          <cell r="AB414">
            <v>0</v>
          </cell>
          <cell r="AC414">
            <v>0</v>
          </cell>
          <cell r="AD414">
            <v>13.49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Y414">
            <v>539479.43999999994</v>
          </cell>
        </row>
        <row r="415">
          <cell r="A415">
            <v>2</v>
          </cell>
          <cell r="B415" t="str">
            <v>12</v>
          </cell>
          <cell r="C415" t="str">
            <v>000</v>
          </cell>
          <cell r="D415" t="str">
            <v>1</v>
          </cell>
          <cell r="E415" t="str">
            <v>703</v>
          </cell>
          <cell r="F415" t="str">
            <v>N000</v>
          </cell>
          <cell r="G415" t="str">
            <v>211</v>
          </cell>
          <cell r="H415" t="str">
            <v>1103</v>
          </cell>
          <cell r="I415" t="str">
            <v>CF21869</v>
          </cell>
          <cell r="J415" t="str">
            <v>27B</v>
          </cell>
          <cell r="K415" t="str">
            <v>1</v>
          </cell>
          <cell r="L415">
            <v>8</v>
          </cell>
          <cell r="M415">
            <v>0</v>
          </cell>
          <cell r="N415">
            <v>3222.2</v>
          </cell>
          <cell r="O415" t="str">
            <v>M</v>
          </cell>
          <cell r="P415" t="str">
            <v>00000000</v>
          </cell>
          <cell r="Q415">
            <v>3558.85</v>
          </cell>
          <cell r="R415">
            <v>465.43</v>
          </cell>
          <cell r="S415">
            <v>89.51</v>
          </cell>
          <cell r="T415">
            <v>410.83</v>
          </cell>
          <cell r="U415">
            <v>161.11000000000001</v>
          </cell>
          <cell r="V415">
            <v>122.06</v>
          </cell>
          <cell r="W415">
            <v>64.44</v>
          </cell>
          <cell r="X415">
            <v>0</v>
          </cell>
          <cell r="Y415">
            <v>0</v>
          </cell>
          <cell r="Z415">
            <v>148.26</v>
          </cell>
          <cell r="AA415">
            <v>77</v>
          </cell>
          <cell r="AB415">
            <v>0</v>
          </cell>
          <cell r="AC415">
            <v>0</v>
          </cell>
          <cell r="AD415">
            <v>13.49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Y415">
            <v>799985.28</v>
          </cell>
        </row>
        <row r="416">
          <cell r="A416">
            <v>2</v>
          </cell>
          <cell r="B416" t="str">
            <v>12</v>
          </cell>
          <cell r="C416" t="str">
            <v>000</v>
          </cell>
          <cell r="D416" t="str">
            <v>1</v>
          </cell>
          <cell r="E416" t="str">
            <v>703</v>
          </cell>
          <cell r="F416" t="str">
            <v>N000</v>
          </cell>
          <cell r="G416" t="str">
            <v>211</v>
          </cell>
          <cell r="H416" t="str">
            <v>1103</v>
          </cell>
          <cell r="I416" t="str">
            <v>CF21869</v>
          </cell>
          <cell r="J416" t="str">
            <v>27B</v>
          </cell>
          <cell r="K416" t="str">
            <v>1</v>
          </cell>
          <cell r="L416">
            <v>8</v>
          </cell>
          <cell r="M416">
            <v>0</v>
          </cell>
          <cell r="N416">
            <v>3222.2</v>
          </cell>
          <cell r="O416" t="str">
            <v>M</v>
          </cell>
          <cell r="P416" t="str">
            <v>00000000</v>
          </cell>
          <cell r="Q416">
            <v>3558.85</v>
          </cell>
          <cell r="R416">
            <v>465.43</v>
          </cell>
          <cell r="S416">
            <v>89.51</v>
          </cell>
          <cell r="T416">
            <v>410.83</v>
          </cell>
          <cell r="U416">
            <v>161.11000000000001</v>
          </cell>
          <cell r="V416">
            <v>122.06</v>
          </cell>
          <cell r="W416">
            <v>64.44</v>
          </cell>
          <cell r="X416">
            <v>0</v>
          </cell>
          <cell r="Y416">
            <v>0</v>
          </cell>
          <cell r="Z416">
            <v>148.26</v>
          </cell>
          <cell r="AA416">
            <v>77</v>
          </cell>
          <cell r="AB416">
            <v>0</v>
          </cell>
          <cell r="AC416">
            <v>0</v>
          </cell>
          <cell r="AD416">
            <v>13.49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Y416">
            <v>799985.28</v>
          </cell>
        </row>
        <row r="417">
          <cell r="A417">
            <v>2</v>
          </cell>
          <cell r="B417" t="str">
            <v>12</v>
          </cell>
          <cell r="C417" t="str">
            <v>000</v>
          </cell>
          <cell r="D417" t="str">
            <v>1</v>
          </cell>
          <cell r="E417" t="str">
            <v>703</v>
          </cell>
          <cell r="F417" t="str">
            <v>N000</v>
          </cell>
          <cell r="G417" t="str">
            <v>211</v>
          </cell>
          <cell r="H417" t="str">
            <v>1103</v>
          </cell>
          <cell r="I417" t="str">
            <v>CF33834</v>
          </cell>
          <cell r="J417" t="str">
            <v>27</v>
          </cell>
          <cell r="K417" t="str">
            <v>2</v>
          </cell>
          <cell r="L417">
            <v>19</v>
          </cell>
          <cell r="M417">
            <v>0</v>
          </cell>
          <cell r="N417">
            <v>2817.8</v>
          </cell>
          <cell r="O417" t="str">
            <v>M</v>
          </cell>
          <cell r="P417" t="str">
            <v>00000000</v>
          </cell>
          <cell r="Q417">
            <v>0</v>
          </cell>
          <cell r="R417">
            <v>407.02</v>
          </cell>
          <cell r="S417">
            <v>78.27</v>
          </cell>
          <cell r="T417">
            <v>359.27</v>
          </cell>
          <cell r="U417">
            <v>140.88999999999999</v>
          </cell>
          <cell r="V417">
            <v>50.72</v>
          </cell>
          <cell r="W417">
            <v>56.36</v>
          </cell>
          <cell r="X417">
            <v>50.47</v>
          </cell>
          <cell r="Y417">
            <v>0</v>
          </cell>
          <cell r="Z417">
            <v>72.13</v>
          </cell>
          <cell r="AA417">
            <v>77</v>
          </cell>
          <cell r="AB417">
            <v>96</v>
          </cell>
          <cell r="AC417">
            <v>80</v>
          </cell>
          <cell r="AD417">
            <v>13.49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Y417">
            <v>980267.76</v>
          </cell>
        </row>
        <row r="418">
          <cell r="A418">
            <v>2</v>
          </cell>
          <cell r="B418" t="str">
            <v>12</v>
          </cell>
          <cell r="C418" t="str">
            <v>000</v>
          </cell>
          <cell r="D418" t="str">
            <v>1</v>
          </cell>
          <cell r="E418" t="str">
            <v>703</v>
          </cell>
          <cell r="F418" t="str">
            <v>N000</v>
          </cell>
          <cell r="G418" t="str">
            <v>211</v>
          </cell>
          <cell r="H418" t="str">
            <v>1103</v>
          </cell>
          <cell r="I418" t="str">
            <v>CF33892</v>
          </cell>
          <cell r="J418" t="str">
            <v>27ZA</v>
          </cell>
          <cell r="K418" t="str">
            <v>2</v>
          </cell>
          <cell r="L418">
            <v>55</v>
          </cell>
          <cell r="M418">
            <v>0</v>
          </cell>
          <cell r="N418">
            <v>2982.9</v>
          </cell>
          <cell r="O418" t="str">
            <v>M</v>
          </cell>
          <cell r="P418" t="str">
            <v>00000000</v>
          </cell>
          <cell r="Q418">
            <v>579.4</v>
          </cell>
          <cell r="R418">
            <v>430.86</v>
          </cell>
          <cell r="S418">
            <v>82.86</v>
          </cell>
          <cell r="T418">
            <v>380.32</v>
          </cell>
          <cell r="U418">
            <v>149.15</v>
          </cell>
          <cell r="V418">
            <v>64.12</v>
          </cell>
          <cell r="W418">
            <v>59.66</v>
          </cell>
          <cell r="X418">
            <v>68.040000000000006</v>
          </cell>
          <cell r="Y418">
            <v>0</v>
          </cell>
          <cell r="Z418">
            <v>87.94</v>
          </cell>
          <cell r="AA418">
            <v>77</v>
          </cell>
          <cell r="AB418">
            <v>96</v>
          </cell>
          <cell r="AC418">
            <v>80</v>
          </cell>
          <cell r="AD418">
            <v>13.49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Y418">
            <v>3400148.4</v>
          </cell>
        </row>
        <row r="419">
          <cell r="A419">
            <v>2</v>
          </cell>
          <cell r="B419" t="str">
            <v>12</v>
          </cell>
          <cell r="C419" t="str">
            <v>000</v>
          </cell>
          <cell r="D419" t="str">
            <v>1</v>
          </cell>
          <cell r="E419" t="str">
            <v>703</v>
          </cell>
          <cell r="F419" t="str">
            <v>N000</v>
          </cell>
          <cell r="G419" t="str">
            <v>211</v>
          </cell>
          <cell r="H419" t="str">
            <v>1103</v>
          </cell>
          <cell r="I419" t="str">
            <v>CF34806</v>
          </cell>
          <cell r="J419" t="str">
            <v>23</v>
          </cell>
          <cell r="K419" t="str">
            <v>2</v>
          </cell>
          <cell r="L419">
            <v>1</v>
          </cell>
          <cell r="M419">
            <v>0</v>
          </cell>
          <cell r="N419">
            <v>2451.25</v>
          </cell>
          <cell r="O419" t="str">
            <v>M</v>
          </cell>
          <cell r="P419" t="str">
            <v>00000000</v>
          </cell>
          <cell r="Q419">
            <v>0</v>
          </cell>
          <cell r="R419">
            <v>354.07</v>
          </cell>
          <cell r="S419">
            <v>68.09</v>
          </cell>
          <cell r="T419">
            <v>312.52999999999997</v>
          </cell>
          <cell r="U419">
            <v>122.56</v>
          </cell>
          <cell r="V419">
            <v>44.12</v>
          </cell>
          <cell r="W419">
            <v>49.02</v>
          </cell>
          <cell r="X419">
            <v>0</v>
          </cell>
          <cell r="Y419">
            <v>0</v>
          </cell>
          <cell r="Z419">
            <v>62.53</v>
          </cell>
          <cell r="AA419">
            <v>77</v>
          </cell>
          <cell r="AB419">
            <v>96</v>
          </cell>
          <cell r="AC419">
            <v>80</v>
          </cell>
          <cell r="AD419">
            <v>13.49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Y419">
            <v>44767.92</v>
          </cell>
        </row>
        <row r="420">
          <cell r="A420">
            <v>2</v>
          </cell>
          <cell r="B420" t="str">
            <v>12</v>
          </cell>
          <cell r="C420" t="str">
            <v>000</v>
          </cell>
          <cell r="D420" t="str">
            <v>1</v>
          </cell>
          <cell r="E420" t="str">
            <v>703</v>
          </cell>
          <cell r="F420" t="str">
            <v>N000</v>
          </cell>
          <cell r="G420" t="str">
            <v>211</v>
          </cell>
          <cell r="H420" t="str">
            <v>1103</v>
          </cell>
          <cell r="I420" t="str">
            <v>CF34832</v>
          </cell>
          <cell r="J420" t="str">
            <v>20</v>
          </cell>
          <cell r="K420" t="str">
            <v>2</v>
          </cell>
          <cell r="L420">
            <v>1</v>
          </cell>
          <cell r="M420">
            <v>0</v>
          </cell>
          <cell r="N420">
            <v>2138.85</v>
          </cell>
          <cell r="O420" t="str">
            <v>M</v>
          </cell>
          <cell r="P420" t="str">
            <v>00000000</v>
          </cell>
          <cell r="Q420">
            <v>0</v>
          </cell>
          <cell r="R420">
            <v>308.94</v>
          </cell>
          <cell r="S420">
            <v>59.41</v>
          </cell>
          <cell r="T420">
            <v>272.7</v>
          </cell>
          <cell r="U420">
            <v>106.94</v>
          </cell>
          <cell r="V420">
            <v>38.5</v>
          </cell>
          <cell r="W420">
            <v>42.78</v>
          </cell>
          <cell r="X420">
            <v>0</v>
          </cell>
          <cell r="Y420">
            <v>0</v>
          </cell>
          <cell r="Z420">
            <v>55.2</v>
          </cell>
          <cell r="AA420">
            <v>77</v>
          </cell>
          <cell r="AB420">
            <v>96</v>
          </cell>
          <cell r="AC420">
            <v>80</v>
          </cell>
          <cell r="AD420">
            <v>13.49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Y420">
            <v>39477.72</v>
          </cell>
        </row>
        <row r="421">
          <cell r="A421">
            <v>2</v>
          </cell>
          <cell r="B421" t="str">
            <v>12</v>
          </cell>
          <cell r="C421" t="str">
            <v>000</v>
          </cell>
          <cell r="D421" t="str">
            <v>1</v>
          </cell>
          <cell r="E421" t="str">
            <v>703</v>
          </cell>
          <cell r="F421" t="str">
            <v>N000</v>
          </cell>
          <cell r="G421" t="str">
            <v>211</v>
          </cell>
          <cell r="H421" t="str">
            <v>1103</v>
          </cell>
          <cell r="I421" t="str">
            <v>CF41015</v>
          </cell>
          <cell r="K421" t="str">
            <v>2</v>
          </cell>
          <cell r="L421">
            <v>1</v>
          </cell>
          <cell r="M421">
            <v>0</v>
          </cell>
          <cell r="N421">
            <v>7285</v>
          </cell>
          <cell r="O421" t="str">
            <v>M</v>
          </cell>
          <cell r="P421" t="str">
            <v>00000000</v>
          </cell>
          <cell r="Q421">
            <v>0</v>
          </cell>
          <cell r="R421">
            <v>1052.28</v>
          </cell>
          <cell r="S421">
            <v>202.36</v>
          </cell>
          <cell r="T421">
            <v>928.84</v>
          </cell>
          <cell r="U421">
            <v>364.25</v>
          </cell>
          <cell r="V421">
            <v>131.13</v>
          </cell>
          <cell r="W421">
            <v>145.69999999999999</v>
          </cell>
          <cell r="X421">
            <v>0</v>
          </cell>
          <cell r="Y421">
            <v>0</v>
          </cell>
          <cell r="Z421">
            <v>268.27</v>
          </cell>
          <cell r="AA421">
            <v>77</v>
          </cell>
          <cell r="AB421">
            <v>96</v>
          </cell>
          <cell r="AC421">
            <v>80</v>
          </cell>
          <cell r="AD421">
            <v>13.49</v>
          </cell>
          <cell r="AE421">
            <v>6.07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4615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Y421">
            <v>183184.68</v>
          </cell>
        </row>
        <row r="422">
          <cell r="A422">
            <v>2</v>
          </cell>
          <cell r="B422" t="str">
            <v>12</v>
          </cell>
          <cell r="C422" t="str">
            <v>000</v>
          </cell>
          <cell r="D422" t="str">
            <v>1</v>
          </cell>
          <cell r="E422" t="str">
            <v>703</v>
          </cell>
          <cell r="F422" t="str">
            <v>N000</v>
          </cell>
          <cell r="G422" t="str">
            <v>211</v>
          </cell>
          <cell r="H422" t="str">
            <v>1103</v>
          </cell>
          <cell r="I422" t="str">
            <v>CF41024</v>
          </cell>
          <cell r="K422" t="str">
            <v>2</v>
          </cell>
          <cell r="L422">
            <v>2</v>
          </cell>
          <cell r="M422">
            <v>0</v>
          </cell>
          <cell r="N422">
            <v>5681</v>
          </cell>
          <cell r="O422" t="str">
            <v>M</v>
          </cell>
          <cell r="P422" t="str">
            <v>00000000</v>
          </cell>
          <cell r="Q422">
            <v>0</v>
          </cell>
          <cell r="R422">
            <v>820.59</v>
          </cell>
          <cell r="S422">
            <v>157.81</v>
          </cell>
          <cell r="T422">
            <v>724.33</v>
          </cell>
          <cell r="U422">
            <v>284.05</v>
          </cell>
          <cell r="V422">
            <v>102.26</v>
          </cell>
          <cell r="W422">
            <v>113.62</v>
          </cell>
          <cell r="X422">
            <v>46</v>
          </cell>
          <cell r="Y422">
            <v>0</v>
          </cell>
          <cell r="Z422">
            <v>240.16</v>
          </cell>
          <cell r="AA422">
            <v>77</v>
          </cell>
          <cell r="AB422">
            <v>96</v>
          </cell>
          <cell r="AC422">
            <v>80</v>
          </cell>
          <cell r="AD422">
            <v>13.49</v>
          </cell>
          <cell r="AE422">
            <v>4.7300000000000004</v>
          </cell>
          <cell r="AF422">
            <v>0</v>
          </cell>
          <cell r="AG422">
            <v>0</v>
          </cell>
          <cell r="AH422">
            <v>2740</v>
          </cell>
          <cell r="AI422">
            <v>0</v>
          </cell>
          <cell r="AJ422">
            <v>2305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Y422">
            <v>323664.96000000002</v>
          </cell>
        </row>
        <row r="423">
          <cell r="A423">
            <v>2</v>
          </cell>
          <cell r="B423" t="str">
            <v>12</v>
          </cell>
          <cell r="C423" t="str">
            <v>000</v>
          </cell>
          <cell r="D423" t="str">
            <v>1</v>
          </cell>
          <cell r="E423" t="str">
            <v>703</v>
          </cell>
          <cell r="F423" t="str">
            <v>N000</v>
          </cell>
          <cell r="G423" t="str">
            <v>211</v>
          </cell>
          <cell r="H423" t="str">
            <v>1103</v>
          </cell>
          <cell r="I423" t="str">
            <v>CF41040</v>
          </cell>
          <cell r="K423" t="str">
            <v>2</v>
          </cell>
          <cell r="L423">
            <v>3</v>
          </cell>
          <cell r="M423">
            <v>0</v>
          </cell>
          <cell r="N423">
            <v>7482</v>
          </cell>
          <cell r="O423" t="str">
            <v>M</v>
          </cell>
          <cell r="P423" t="str">
            <v>00000000</v>
          </cell>
          <cell r="Q423">
            <v>0</v>
          </cell>
          <cell r="R423">
            <v>1080.73</v>
          </cell>
          <cell r="S423">
            <v>207.83</v>
          </cell>
          <cell r="T423">
            <v>953.96</v>
          </cell>
          <cell r="U423">
            <v>374.1</v>
          </cell>
          <cell r="V423">
            <v>134.68</v>
          </cell>
          <cell r="W423">
            <v>149.63999999999999</v>
          </cell>
          <cell r="X423">
            <v>42.67</v>
          </cell>
          <cell r="Y423">
            <v>0</v>
          </cell>
          <cell r="Z423">
            <v>290.07</v>
          </cell>
          <cell r="AA423">
            <v>77</v>
          </cell>
          <cell r="AB423">
            <v>96</v>
          </cell>
          <cell r="AC423">
            <v>80</v>
          </cell>
          <cell r="AD423">
            <v>13.49</v>
          </cell>
          <cell r="AE423">
            <v>6.24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5431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Y423">
            <v>591098.76</v>
          </cell>
        </row>
        <row r="424">
          <cell r="A424">
            <v>2</v>
          </cell>
          <cell r="B424" t="str">
            <v>12</v>
          </cell>
          <cell r="C424" t="str">
            <v>000</v>
          </cell>
          <cell r="D424" t="str">
            <v>1</v>
          </cell>
          <cell r="E424" t="str">
            <v>201</v>
          </cell>
          <cell r="F424" t="str">
            <v>N000</v>
          </cell>
          <cell r="G424" t="str">
            <v>212</v>
          </cell>
          <cell r="H424" t="str">
            <v>1103</v>
          </cell>
          <cell r="I424" t="str">
            <v>A01801</v>
          </cell>
          <cell r="J424" t="str">
            <v>17</v>
          </cell>
          <cell r="K424" t="str">
            <v>2</v>
          </cell>
          <cell r="L424">
            <v>7</v>
          </cell>
          <cell r="M424">
            <v>0</v>
          </cell>
          <cell r="N424">
            <v>1936.3</v>
          </cell>
          <cell r="O424" t="str">
            <v>M</v>
          </cell>
          <cell r="P424" t="str">
            <v>00000000</v>
          </cell>
          <cell r="Q424">
            <v>0</v>
          </cell>
          <cell r="R424">
            <v>279.69</v>
          </cell>
          <cell r="S424">
            <v>53.79</v>
          </cell>
          <cell r="T424">
            <v>246.88</v>
          </cell>
          <cell r="U424">
            <v>96.81</v>
          </cell>
          <cell r="V424">
            <v>34.85</v>
          </cell>
          <cell r="W424">
            <v>38.729999999999997</v>
          </cell>
          <cell r="X424">
            <v>46</v>
          </cell>
          <cell r="Y424">
            <v>0</v>
          </cell>
          <cell r="Z424">
            <v>51.41</v>
          </cell>
          <cell r="AA424">
            <v>77</v>
          </cell>
          <cell r="AB424">
            <v>96</v>
          </cell>
          <cell r="AC424">
            <v>80</v>
          </cell>
          <cell r="AD424">
            <v>13.49</v>
          </cell>
          <cell r="AE424">
            <v>1.61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Y424">
            <v>256415.04</v>
          </cell>
        </row>
        <row r="425">
          <cell r="A425">
            <v>2</v>
          </cell>
          <cell r="B425" t="str">
            <v>12</v>
          </cell>
          <cell r="C425" t="str">
            <v>000</v>
          </cell>
          <cell r="D425" t="str">
            <v>1</v>
          </cell>
          <cell r="E425" t="str">
            <v>201</v>
          </cell>
          <cell r="F425" t="str">
            <v>N000</v>
          </cell>
          <cell r="G425" t="str">
            <v>212</v>
          </cell>
          <cell r="H425" t="str">
            <v>1103</v>
          </cell>
          <cell r="I425" t="str">
            <v>A01801</v>
          </cell>
          <cell r="J425" t="str">
            <v>17</v>
          </cell>
          <cell r="K425" t="str">
            <v>3</v>
          </cell>
          <cell r="L425">
            <v>10</v>
          </cell>
          <cell r="M425">
            <v>0</v>
          </cell>
          <cell r="N425">
            <v>2324.9</v>
          </cell>
          <cell r="O425" t="str">
            <v>M</v>
          </cell>
          <cell r="P425" t="str">
            <v>00000000</v>
          </cell>
          <cell r="Q425">
            <v>0</v>
          </cell>
          <cell r="R425">
            <v>335.82</v>
          </cell>
          <cell r="S425">
            <v>64.58</v>
          </cell>
          <cell r="T425">
            <v>296.42</v>
          </cell>
          <cell r="U425">
            <v>116.25</v>
          </cell>
          <cell r="V425">
            <v>41.85</v>
          </cell>
          <cell r="W425">
            <v>46.5</v>
          </cell>
          <cell r="X425">
            <v>0</v>
          </cell>
          <cell r="Y425">
            <v>0</v>
          </cell>
          <cell r="Z425">
            <v>59.6</v>
          </cell>
          <cell r="AA425">
            <v>77</v>
          </cell>
          <cell r="AB425">
            <v>96</v>
          </cell>
          <cell r="AC425">
            <v>80</v>
          </cell>
          <cell r="AD425">
            <v>13.49</v>
          </cell>
          <cell r="AE425">
            <v>1.94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Y425">
            <v>426522</v>
          </cell>
        </row>
        <row r="426">
          <cell r="A426">
            <v>2</v>
          </cell>
          <cell r="B426" t="str">
            <v>12</v>
          </cell>
          <cell r="C426" t="str">
            <v>000</v>
          </cell>
          <cell r="D426" t="str">
            <v>1</v>
          </cell>
          <cell r="E426" t="str">
            <v>201</v>
          </cell>
          <cell r="F426" t="str">
            <v>N000</v>
          </cell>
          <cell r="G426" t="str">
            <v>212</v>
          </cell>
          <cell r="H426" t="str">
            <v>1103</v>
          </cell>
          <cell r="I426" t="str">
            <v>A01803</v>
          </cell>
          <cell r="J426" t="str">
            <v>19</v>
          </cell>
          <cell r="K426" t="str">
            <v>2</v>
          </cell>
          <cell r="L426">
            <v>13</v>
          </cell>
          <cell r="M426">
            <v>0</v>
          </cell>
          <cell r="N426">
            <v>2120.3000000000002</v>
          </cell>
          <cell r="O426" t="str">
            <v>M</v>
          </cell>
          <cell r="P426" t="str">
            <v>00000000</v>
          </cell>
          <cell r="Q426">
            <v>0</v>
          </cell>
          <cell r="R426">
            <v>306.27</v>
          </cell>
          <cell r="S426">
            <v>58.9</v>
          </cell>
          <cell r="T426">
            <v>270.33999999999997</v>
          </cell>
          <cell r="U426">
            <v>106.02</v>
          </cell>
          <cell r="V426">
            <v>38.17</v>
          </cell>
          <cell r="W426">
            <v>42.41</v>
          </cell>
          <cell r="X426">
            <v>0</v>
          </cell>
          <cell r="Y426">
            <v>0</v>
          </cell>
          <cell r="Z426">
            <v>54.8</v>
          </cell>
          <cell r="AA426">
            <v>77</v>
          </cell>
          <cell r="AB426">
            <v>96</v>
          </cell>
          <cell r="AC426">
            <v>80</v>
          </cell>
          <cell r="AD426">
            <v>13.49</v>
          </cell>
          <cell r="AE426">
            <v>1.63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Y426">
            <v>509391.48</v>
          </cell>
        </row>
        <row r="427">
          <cell r="A427">
            <v>2</v>
          </cell>
          <cell r="B427" t="str">
            <v>12</v>
          </cell>
          <cell r="C427" t="str">
            <v>000</v>
          </cell>
          <cell r="D427" t="str">
            <v>1</v>
          </cell>
          <cell r="E427" t="str">
            <v>201</v>
          </cell>
          <cell r="F427" t="str">
            <v>N000</v>
          </cell>
          <cell r="G427" t="str">
            <v>212</v>
          </cell>
          <cell r="H427" t="str">
            <v>1103</v>
          </cell>
          <cell r="I427" t="str">
            <v>A01803</v>
          </cell>
          <cell r="J427" t="str">
            <v>19</v>
          </cell>
          <cell r="K427" t="str">
            <v>3</v>
          </cell>
          <cell r="L427">
            <v>3</v>
          </cell>
          <cell r="M427">
            <v>0</v>
          </cell>
          <cell r="N427">
            <v>2511.3000000000002</v>
          </cell>
          <cell r="O427" t="str">
            <v>M</v>
          </cell>
          <cell r="P427" t="str">
            <v>00000000</v>
          </cell>
          <cell r="Q427">
            <v>0</v>
          </cell>
          <cell r="R427">
            <v>362.74</v>
          </cell>
          <cell r="S427">
            <v>69.760000000000005</v>
          </cell>
          <cell r="T427">
            <v>320.19</v>
          </cell>
          <cell r="U427">
            <v>125.57</v>
          </cell>
          <cell r="V427">
            <v>45.2</v>
          </cell>
          <cell r="W427">
            <v>50.23</v>
          </cell>
          <cell r="X427">
            <v>0</v>
          </cell>
          <cell r="Y427">
            <v>0</v>
          </cell>
          <cell r="Z427">
            <v>63.98</v>
          </cell>
          <cell r="AA427">
            <v>77</v>
          </cell>
          <cell r="AB427">
            <v>96</v>
          </cell>
          <cell r="AC427">
            <v>80</v>
          </cell>
          <cell r="AD427">
            <v>13.49</v>
          </cell>
          <cell r="AE427">
            <v>2.09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Y427">
            <v>137431.79999999999</v>
          </cell>
        </row>
        <row r="428">
          <cell r="A428">
            <v>2</v>
          </cell>
          <cell r="B428" t="str">
            <v>12</v>
          </cell>
          <cell r="C428" t="str">
            <v>000</v>
          </cell>
          <cell r="D428" t="str">
            <v>1</v>
          </cell>
          <cell r="E428" t="str">
            <v>201</v>
          </cell>
          <cell r="F428" t="str">
            <v>N000</v>
          </cell>
          <cell r="G428" t="str">
            <v>212</v>
          </cell>
          <cell r="H428" t="str">
            <v>1103</v>
          </cell>
          <cell r="I428" t="str">
            <v>A01805</v>
          </cell>
          <cell r="J428" t="str">
            <v>21</v>
          </cell>
          <cell r="K428" t="str">
            <v>2</v>
          </cell>
          <cell r="L428">
            <v>4</v>
          </cell>
          <cell r="M428">
            <v>0</v>
          </cell>
          <cell r="N428">
            <v>2238.1999999999998</v>
          </cell>
          <cell r="O428" t="str">
            <v>M</v>
          </cell>
          <cell r="P428" t="str">
            <v>00000000</v>
          </cell>
          <cell r="Q428">
            <v>0</v>
          </cell>
          <cell r="R428">
            <v>323.3</v>
          </cell>
          <cell r="S428">
            <v>62.17</v>
          </cell>
          <cell r="T428">
            <v>285.37</v>
          </cell>
          <cell r="U428">
            <v>111.91</v>
          </cell>
          <cell r="V428">
            <v>40.29</v>
          </cell>
          <cell r="W428">
            <v>44.76</v>
          </cell>
          <cell r="X428">
            <v>25.25</v>
          </cell>
          <cell r="Y428">
            <v>0</v>
          </cell>
          <cell r="Z428">
            <v>58.04</v>
          </cell>
          <cell r="AA428">
            <v>77</v>
          </cell>
          <cell r="AB428">
            <v>96</v>
          </cell>
          <cell r="AC428">
            <v>80</v>
          </cell>
          <cell r="AD428">
            <v>13.49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Y428">
            <v>165877.44</v>
          </cell>
        </row>
        <row r="429">
          <cell r="A429">
            <v>2</v>
          </cell>
          <cell r="B429" t="str">
            <v>12</v>
          </cell>
          <cell r="C429" t="str">
            <v>000</v>
          </cell>
          <cell r="D429" t="str">
            <v>1</v>
          </cell>
          <cell r="E429" t="str">
            <v>201</v>
          </cell>
          <cell r="F429" t="str">
            <v>N000</v>
          </cell>
          <cell r="G429" t="str">
            <v>212</v>
          </cell>
          <cell r="H429" t="str">
            <v>1103</v>
          </cell>
          <cell r="I429" t="str">
            <v>A01806</v>
          </cell>
          <cell r="J429" t="str">
            <v>25</v>
          </cell>
          <cell r="K429" t="str">
            <v>2</v>
          </cell>
          <cell r="L429">
            <v>3</v>
          </cell>
          <cell r="M429">
            <v>0</v>
          </cell>
          <cell r="N429">
            <v>2572.4</v>
          </cell>
          <cell r="O429" t="str">
            <v>M</v>
          </cell>
          <cell r="P429" t="str">
            <v>00000000</v>
          </cell>
          <cell r="Q429">
            <v>0</v>
          </cell>
          <cell r="R429">
            <v>371.57</v>
          </cell>
          <cell r="S429">
            <v>71.459999999999994</v>
          </cell>
          <cell r="T429">
            <v>327.98</v>
          </cell>
          <cell r="U429">
            <v>128.62</v>
          </cell>
          <cell r="V429">
            <v>46.3</v>
          </cell>
          <cell r="W429">
            <v>51.45</v>
          </cell>
          <cell r="X429">
            <v>36.33</v>
          </cell>
          <cell r="Y429">
            <v>0</v>
          </cell>
          <cell r="Z429">
            <v>66.099999999999994</v>
          </cell>
          <cell r="AA429">
            <v>77</v>
          </cell>
          <cell r="AB429">
            <v>96</v>
          </cell>
          <cell r="AC429">
            <v>80</v>
          </cell>
          <cell r="AD429">
            <v>13.49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Y429">
            <v>141793.20000000001</v>
          </cell>
        </row>
        <row r="430">
          <cell r="A430">
            <v>2</v>
          </cell>
          <cell r="B430" t="str">
            <v>12</v>
          </cell>
          <cell r="C430" t="str">
            <v>000</v>
          </cell>
          <cell r="D430" t="str">
            <v>1</v>
          </cell>
          <cell r="E430" t="str">
            <v>201</v>
          </cell>
          <cell r="F430" t="str">
            <v>N000</v>
          </cell>
          <cell r="G430" t="str">
            <v>212</v>
          </cell>
          <cell r="H430" t="str">
            <v>1103</v>
          </cell>
          <cell r="I430" t="str">
            <v>A01807</v>
          </cell>
          <cell r="J430" t="str">
            <v>27</v>
          </cell>
          <cell r="K430" t="str">
            <v>2</v>
          </cell>
          <cell r="L430">
            <v>4</v>
          </cell>
          <cell r="M430">
            <v>0</v>
          </cell>
          <cell r="N430">
            <v>2817.8</v>
          </cell>
          <cell r="O430" t="str">
            <v>M</v>
          </cell>
          <cell r="P430" t="str">
            <v>00000000</v>
          </cell>
          <cell r="Q430">
            <v>0</v>
          </cell>
          <cell r="R430">
            <v>407.02</v>
          </cell>
          <cell r="S430">
            <v>78.27</v>
          </cell>
          <cell r="T430">
            <v>359.27</v>
          </cell>
          <cell r="U430">
            <v>140.88999999999999</v>
          </cell>
          <cell r="V430">
            <v>50.72</v>
          </cell>
          <cell r="W430">
            <v>56.36</v>
          </cell>
          <cell r="X430">
            <v>88.75</v>
          </cell>
          <cell r="Y430">
            <v>0</v>
          </cell>
          <cell r="Z430">
            <v>72.900000000000006</v>
          </cell>
          <cell r="AA430">
            <v>77</v>
          </cell>
          <cell r="AB430">
            <v>96</v>
          </cell>
          <cell r="AC430">
            <v>80</v>
          </cell>
          <cell r="AD430">
            <v>13.49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Y430">
            <v>208246.56</v>
          </cell>
        </row>
        <row r="431">
          <cell r="A431">
            <v>2</v>
          </cell>
          <cell r="B431" t="str">
            <v>12</v>
          </cell>
          <cell r="C431" t="str">
            <v>000</v>
          </cell>
          <cell r="D431" t="str">
            <v>1</v>
          </cell>
          <cell r="E431" t="str">
            <v>201</v>
          </cell>
          <cell r="F431" t="str">
            <v>N000</v>
          </cell>
          <cell r="G431" t="str">
            <v>212</v>
          </cell>
          <cell r="H431" t="str">
            <v>1103</v>
          </cell>
          <cell r="I431" t="str">
            <v>A01808</v>
          </cell>
          <cell r="J431" t="str">
            <v>21</v>
          </cell>
          <cell r="K431" t="str">
            <v>2</v>
          </cell>
          <cell r="L431">
            <v>2</v>
          </cell>
          <cell r="M431">
            <v>0</v>
          </cell>
          <cell r="N431">
            <v>2238.1999999999998</v>
          </cell>
          <cell r="O431" t="str">
            <v>M</v>
          </cell>
          <cell r="P431" t="str">
            <v>00000000</v>
          </cell>
          <cell r="Q431">
            <v>0</v>
          </cell>
          <cell r="R431">
            <v>323.3</v>
          </cell>
          <cell r="S431">
            <v>62.17</v>
          </cell>
          <cell r="T431">
            <v>285.37</v>
          </cell>
          <cell r="U431">
            <v>111.91</v>
          </cell>
          <cell r="V431">
            <v>40.29</v>
          </cell>
          <cell r="W431">
            <v>44.76</v>
          </cell>
          <cell r="X431">
            <v>0</v>
          </cell>
          <cell r="Y431">
            <v>0</v>
          </cell>
          <cell r="Z431">
            <v>57.57</v>
          </cell>
          <cell r="AA431">
            <v>77</v>
          </cell>
          <cell r="AB431">
            <v>96</v>
          </cell>
          <cell r="AC431">
            <v>80</v>
          </cell>
          <cell r="AD431">
            <v>13.49</v>
          </cell>
          <cell r="AE431">
            <v>1.87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Y431">
            <v>82366.320000000007</v>
          </cell>
        </row>
        <row r="432">
          <cell r="A432">
            <v>2</v>
          </cell>
          <cell r="B432" t="str">
            <v>12</v>
          </cell>
          <cell r="C432" t="str">
            <v>000</v>
          </cell>
          <cell r="D432" t="str">
            <v>1</v>
          </cell>
          <cell r="E432" t="str">
            <v>201</v>
          </cell>
          <cell r="F432" t="str">
            <v>N000</v>
          </cell>
          <cell r="G432" t="str">
            <v>212</v>
          </cell>
          <cell r="H432" t="str">
            <v>1103</v>
          </cell>
          <cell r="I432" t="str">
            <v>A03801</v>
          </cell>
          <cell r="J432" t="str">
            <v>17</v>
          </cell>
          <cell r="K432" t="str">
            <v>2</v>
          </cell>
          <cell r="L432">
            <v>41</v>
          </cell>
          <cell r="M432">
            <v>0</v>
          </cell>
          <cell r="N432">
            <v>1936.3</v>
          </cell>
          <cell r="O432" t="str">
            <v>M</v>
          </cell>
          <cell r="P432" t="str">
            <v>00000000</v>
          </cell>
          <cell r="Q432">
            <v>0</v>
          </cell>
          <cell r="R432">
            <v>279.69</v>
          </cell>
          <cell r="S432">
            <v>53.79</v>
          </cell>
          <cell r="T432">
            <v>246.88</v>
          </cell>
          <cell r="U432">
            <v>96.81</v>
          </cell>
          <cell r="V432">
            <v>34.85</v>
          </cell>
          <cell r="W432">
            <v>38.729999999999997</v>
          </cell>
          <cell r="X432">
            <v>0</v>
          </cell>
          <cell r="Y432">
            <v>0</v>
          </cell>
          <cell r="Z432">
            <v>50.49</v>
          </cell>
          <cell r="AA432">
            <v>77</v>
          </cell>
          <cell r="AB432">
            <v>96</v>
          </cell>
          <cell r="AC432">
            <v>80</v>
          </cell>
          <cell r="AD432">
            <v>13.49</v>
          </cell>
          <cell r="AE432">
            <v>1.61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Y432">
            <v>1478774.88</v>
          </cell>
        </row>
        <row r="433">
          <cell r="A433">
            <v>2</v>
          </cell>
          <cell r="B433" t="str">
            <v>12</v>
          </cell>
          <cell r="C433" t="str">
            <v>000</v>
          </cell>
          <cell r="D433" t="str">
            <v>1</v>
          </cell>
          <cell r="E433" t="str">
            <v>201</v>
          </cell>
          <cell r="F433" t="str">
            <v>N000</v>
          </cell>
          <cell r="G433" t="str">
            <v>212</v>
          </cell>
          <cell r="H433" t="str">
            <v>1103</v>
          </cell>
          <cell r="I433" t="str">
            <v>A03801</v>
          </cell>
          <cell r="J433" t="str">
            <v>17</v>
          </cell>
          <cell r="K433" t="str">
            <v>3</v>
          </cell>
          <cell r="L433">
            <v>14</v>
          </cell>
          <cell r="M433">
            <v>0</v>
          </cell>
          <cell r="N433">
            <v>2324.9</v>
          </cell>
          <cell r="O433" t="str">
            <v>M</v>
          </cell>
          <cell r="P433" t="str">
            <v>00000000</v>
          </cell>
          <cell r="Q433">
            <v>0</v>
          </cell>
          <cell r="R433">
            <v>335.82</v>
          </cell>
          <cell r="S433">
            <v>64.58</v>
          </cell>
          <cell r="T433">
            <v>296.42</v>
          </cell>
          <cell r="U433">
            <v>116.25</v>
          </cell>
          <cell r="V433">
            <v>41.85</v>
          </cell>
          <cell r="W433">
            <v>46.5</v>
          </cell>
          <cell r="X433">
            <v>0</v>
          </cell>
          <cell r="Y433">
            <v>0</v>
          </cell>
          <cell r="Z433">
            <v>59.6</v>
          </cell>
          <cell r="AA433">
            <v>77</v>
          </cell>
          <cell r="AB433">
            <v>96</v>
          </cell>
          <cell r="AC433">
            <v>80</v>
          </cell>
          <cell r="AD433">
            <v>13.49</v>
          </cell>
          <cell r="AE433">
            <v>1.94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Y433">
            <v>597130.80000000005</v>
          </cell>
        </row>
        <row r="434">
          <cell r="A434">
            <v>2</v>
          </cell>
          <cell r="B434" t="str">
            <v>12</v>
          </cell>
          <cell r="C434" t="str">
            <v>000</v>
          </cell>
          <cell r="D434" t="str">
            <v>1</v>
          </cell>
          <cell r="E434" t="str">
            <v>201</v>
          </cell>
          <cell r="F434" t="str">
            <v>N000</v>
          </cell>
          <cell r="G434" t="str">
            <v>212</v>
          </cell>
          <cell r="H434" t="str">
            <v>1103</v>
          </cell>
          <cell r="I434" t="str">
            <v>A03804</v>
          </cell>
          <cell r="J434" t="str">
            <v>23</v>
          </cell>
          <cell r="K434" t="str">
            <v>2</v>
          </cell>
          <cell r="L434">
            <v>31</v>
          </cell>
          <cell r="M434">
            <v>0</v>
          </cell>
          <cell r="N434">
            <v>2451.25</v>
          </cell>
          <cell r="O434" t="str">
            <v>M</v>
          </cell>
          <cell r="P434" t="str">
            <v>00000000</v>
          </cell>
          <cell r="Q434">
            <v>0</v>
          </cell>
          <cell r="R434">
            <v>354.07</v>
          </cell>
          <cell r="S434">
            <v>68.09</v>
          </cell>
          <cell r="T434">
            <v>312.52999999999997</v>
          </cell>
          <cell r="U434">
            <v>122.56</v>
          </cell>
          <cell r="V434">
            <v>44.12</v>
          </cell>
          <cell r="W434">
            <v>49.02</v>
          </cell>
          <cell r="X434">
            <v>0</v>
          </cell>
          <cell r="Y434">
            <v>0</v>
          </cell>
          <cell r="Z434">
            <v>62.57</v>
          </cell>
          <cell r="AA434">
            <v>77</v>
          </cell>
          <cell r="AB434">
            <v>96</v>
          </cell>
          <cell r="AC434">
            <v>80</v>
          </cell>
          <cell r="AD434">
            <v>13.49</v>
          </cell>
          <cell r="AE434">
            <v>2.04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Y434">
            <v>1388579.28</v>
          </cell>
        </row>
        <row r="435">
          <cell r="A435">
            <v>2</v>
          </cell>
          <cell r="B435" t="str">
            <v>12</v>
          </cell>
          <cell r="C435" t="str">
            <v>000</v>
          </cell>
          <cell r="D435" t="str">
            <v>1</v>
          </cell>
          <cell r="E435" t="str">
            <v>201</v>
          </cell>
          <cell r="F435" t="str">
            <v>N000</v>
          </cell>
          <cell r="G435" t="str">
            <v>212</v>
          </cell>
          <cell r="H435" t="str">
            <v>1103</v>
          </cell>
          <cell r="I435" t="str">
            <v>CFMC03</v>
          </cell>
          <cell r="J435" t="str">
            <v>MC03</v>
          </cell>
          <cell r="K435" t="str">
            <v>1</v>
          </cell>
          <cell r="L435">
            <v>1</v>
          </cell>
          <cell r="M435">
            <v>0</v>
          </cell>
          <cell r="N435">
            <v>4311.3999999999996</v>
          </cell>
          <cell r="O435" t="str">
            <v>M</v>
          </cell>
          <cell r="P435" t="str">
            <v>00000000</v>
          </cell>
          <cell r="Q435">
            <v>11306.9</v>
          </cell>
          <cell r="R435">
            <v>622.76</v>
          </cell>
          <cell r="S435">
            <v>119.76</v>
          </cell>
          <cell r="T435">
            <v>549.70000000000005</v>
          </cell>
          <cell r="U435">
            <v>215.57</v>
          </cell>
          <cell r="V435">
            <v>281.13</v>
          </cell>
          <cell r="W435">
            <v>86.23</v>
          </cell>
          <cell r="X435">
            <v>0</v>
          </cell>
          <cell r="Y435">
            <v>780.91</v>
          </cell>
          <cell r="Z435">
            <v>328.76</v>
          </cell>
          <cell r="AA435">
            <v>77</v>
          </cell>
          <cell r="AB435">
            <v>0</v>
          </cell>
          <cell r="AC435">
            <v>0</v>
          </cell>
          <cell r="AD435">
            <v>13.49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Y435">
            <v>224323.32</v>
          </cell>
        </row>
        <row r="436">
          <cell r="A436">
            <v>2</v>
          </cell>
          <cell r="B436" t="str">
            <v>12</v>
          </cell>
          <cell r="C436" t="str">
            <v>000</v>
          </cell>
          <cell r="D436" t="str">
            <v>1</v>
          </cell>
          <cell r="E436" t="str">
            <v>201</v>
          </cell>
          <cell r="F436" t="str">
            <v>N000</v>
          </cell>
          <cell r="G436" t="str">
            <v>212</v>
          </cell>
          <cell r="H436" t="str">
            <v>1103</v>
          </cell>
          <cell r="I436" t="str">
            <v>CFMD09</v>
          </cell>
          <cell r="J436" t="str">
            <v>MD09</v>
          </cell>
          <cell r="K436" t="str">
            <v>1</v>
          </cell>
          <cell r="L436">
            <v>1</v>
          </cell>
          <cell r="M436">
            <v>0</v>
          </cell>
          <cell r="N436">
            <v>14852.65</v>
          </cell>
          <cell r="O436" t="str">
            <v>M</v>
          </cell>
          <cell r="P436" t="str">
            <v>00000000</v>
          </cell>
          <cell r="Q436">
            <v>100991.65</v>
          </cell>
          <cell r="R436">
            <v>2145.38</v>
          </cell>
          <cell r="S436">
            <v>412.57</v>
          </cell>
          <cell r="T436">
            <v>1893.71</v>
          </cell>
          <cell r="U436">
            <v>742.63</v>
          </cell>
          <cell r="V436">
            <v>2085.1999999999998</v>
          </cell>
          <cell r="W436">
            <v>297.05</v>
          </cell>
          <cell r="X436">
            <v>46</v>
          </cell>
          <cell r="Y436">
            <v>5792.22</v>
          </cell>
          <cell r="Z436">
            <v>2370.5100000000002</v>
          </cell>
          <cell r="AA436">
            <v>77</v>
          </cell>
          <cell r="AB436">
            <v>0</v>
          </cell>
          <cell r="AC436">
            <v>0</v>
          </cell>
          <cell r="AD436">
            <v>13.49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Y436">
            <v>1580640.72</v>
          </cell>
        </row>
        <row r="437">
          <cell r="A437">
            <v>2</v>
          </cell>
          <cell r="B437" t="str">
            <v>12</v>
          </cell>
          <cell r="C437" t="str">
            <v>000</v>
          </cell>
          <cell r="D437" t="str">
            <v>1</v>
          </cell>
          <cell r="E437" t="str">
            <v>201</v>
          </cell>
          <cell r="F437" t="str">
            <v>N000</v>
          </cell>
          <cell r="G437" t="str">
            <v>212</v>
          </cell>
          <cell r="H437" t="str">
            <v>1103</v>
          </cell>
          <cell r="I437" t="str">
            <v>CFMD12</v>
          </cell>
          <cell r="J437" t="str">
            <v>MD12</v>
          </cell>
          <cell r="K437" t="str">
            <v>1</v>
          </cell>
          <cell r="L437">
            <v>2</v>
          </cell>
          <cell r="M437">
            <v>0</v>
          </cell>
          <cell r="N437">
            <v>12026.05</v>
          </cell>
          <cell r="O437" t="str">
            <v>M</v>
          </cell>
          <cell r="P437" t="str">
            <v>00000000</v>
          </cell>
          <cell r="Q437">
            <v>72295.199999999997</v>
          </cell>
          <cell r="R437">
            <v>1737.1</v>
          </cell>
          <cell r="S437">
            <v>334.06</v>
          </cell>
          <cell r="T437">
            <v>1533.32</v>
          </cell>
          <cell r="U437">
            <v>601.29999999999995</v>
          </cell>
          <cell r="V437">
            <v>1517.78</v>
          </cell>
          <cell r="W437">
            <v>240.52</v>
          </cell>
          <cell r="X437">
            <v>82</v>
          </cell>
          <cell r="Y437">
            <v>4216.0600000000004</v>
          </cell>
          <cell r="Z437">
            <v>1731.03</v>
          </cell>
          <cell r="AA437">
            <v>77</v>
          </cell>
          <cell r="AB437">
            <v>0</v>
          </cell>
          <cell r="AC437">
            <v>0</v>
          </cell>
          <cell r="AD437">
            <v>13.49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Y437">
            <v>2313717.84</v>
          </cell>
        </row>
        <row r="438">
          <cell r="A438">
            <v>2</v>
          </cell>
          <cell r="B438" t="str">
            <v>12</v>
          </cell>
          <cell r="C438" t="str">
            <v>000</v>
          </cell>
          <cell r="D438" t="str">
            <v>1</v>
          </cell>
          <cell r="E438" t="str">
            <v>201</v>
          </cell>
          <cell r="F438" t="str">
            <v>N000</v>
          </cell>
          <cell r="G438" t="str">
            <v>212</v>
          </cell>
          <cell r="H438" t="str">
            <v>1103</v>
          </cell>
          <cell r="I438" t="str">
            <v>CFMG01</v>
          </cell>
          <cell r="J438" t="str">
            <v>MG01</v>
          </cell>
          <cell r="K438" t="str">
            <v>1</v>
          </cell>
          <cell r="L438">
            <v>1</v>
          </cell>
          <cell r="M438">
            <v>0</v>
          </cell>
          <cell r="N438">
            <v>9641.4</v>
          </cell>
          <cell r="O438" t="str">
            <v>M</v>
          </cell>
          <cell r="P438" t="str">
            <v>00000000</v>
          </cell>
          <cell r="Q438">
            <v>56872.15</v>
          </cell>
          <cell r="R438">
            <v>1392.65</v>
          </cell>
          <cell r="S438">
            <v>267.82</v>
          </cell>
          <cell r="T438">
            <v>1229.28</v>
          </cell>
          <cell r="U438">
            <v>482.07</v>
          </cell>
          <cell r="V438">
            <v>1197.25</v>
          </cell>
          <cell r="W438">
            <v>192.83</v>
          </cell>
          <cell r="X438">
            <v>55</v>
          </cell>
          <cell r="Y438">
            <v>3325.68</v>
          </cell>
          <cell r="Z438">
            <v>1366.12</v>
          </cell>
          <cell r="AA438">
            <v>77</v>
          </cell>
          <cell r="AB438">
            <v>0</v>
          </cell>
          <cell r="AC438">
            <v>0</v>
          </cell>
          <cell r="AD438">
            <v>13.49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Y438">
            <v>913352.88</v>
          </cell>
        </row>
        <row r="439">
          <cell r="A439">
            <v>2</v>
          </cell>
          <cell r="B439" t="str">
            <v>12</v>
          </cell>
          <cell r="C439" t="str">
            <v>000</v>
          </cell>
          <cell r="D439" t="str">
            <v>1</v>
          </cell>
          <cell r="E439" t="str">
            <v>201</v>
          </cell>
          <cell r="F439" t="str">
            <v>N000</v>
          </cell>
          <cell r="G439" t="str">
            <v>212</v>
          </cell>
          <cell r="H439" t="str">
            <v>1103</v>
          </cell>
          <cell r="I439" t="str">
            <v>CFMG06</v>
          </cell>
          <cell r="J439" t="str">
            <v>MG06</v>
          </cell>
          <cell r="K439" t="str">
            <v>1</v>
          </cell>
          <cell r="L439">
            <v>4</v>
          </cell>
          <cell r="M439">
            <v>0</v>
          </cell>
          <cell r="N439">
            <v>8232.25</v>
          </cell>
          <cell r="O439" t="str">
            <v>M</v>
          </cell>
          <cell r="P439" t="str">
            <v>00000000</v>
          </cell>
          <cell r="Q439">
            <v>38872.050000000003</v>
          </cell>
          <cell r="R439">
            <v>1189.0999999999999</v>
          </cell>
          <cell r="S439">
            <v>228.67</v>
          </cell>
          <cell r="T439">
            <v>1049.6099999999999</v>
          </cell>
          <cell r="U439">
            <v>411.61</v>
          </cell>
          <cell r="V439">
            <v>847.88</v>
          </cell>
          <cell r="W439">
            <v>164.65</v>
          </cell>
          <cell r="X439">
            <v>61.5</v>
          </cell>
          <cell r="Y439">
            <v>2355.2199999999998</v>
          </cell>
          <cell r="Z439">
            <v>973.21</v>
          </cell>
          <cell r="AA439">
            <v>77</v>
          </cell>
          <cell r="AB439">
            <v>0</v>
          </cell>
          <cell r="AC439">
            <v>0</v>
          </cell>
          <cell r="AD439">
            <v>13.49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Y439">
            <v>2614859.52</v>
          </cell>
        </row>
        <row r="440">
          <cell r="A440">
            <v>2</v>
          </cell>
          <cell r="B440" t="str">
            <v>12</v>
          </cell>
          <cell r="C440" t="str">
            <v>000</v>
          </cell>
          <cell r="D440" t="str">
            <v>1</v>
          </cell>
          <cell r="E440" t="str">
            <v>201</v>
          </cell>
          <cell r="F440" t="str">
            <v>N000</v>
          </cell>
          <cell r="G440" t="str">
            <v>212</v>
          </cell>
          <cell r="H440" t="str">
            <v>1103</v>
          </cell>
          <cell r="I440" t="str">
            <v>CFMG08</v>
          </cell>
          <cell r="J440" t="str">
            <v>MG08</v>
          </cell>
          <cell r="K440" t="str">
            <v>1</v>
          </cell>
          <cell r="L440">
            <v>1</v>
          </cell>
          <cell r="M440">
            <v>0</v>
          </cell>
          <cell r="N440">
            <v>6807.9</v>
          </cell>
          <cell r="O440" t="str">
            <v>M</v>
          </cell>
          <cell r="P440" t="str">
            <v>00000000</v>
          </cell>
          <cell r="Q440">
            <v>34139.449999999997</v>
          </cell>
          <cell r="R440">
            <v>983.36</v>
          </cell>
          <cell r="S440">
            <v>189.11</v>
          </cell>
          <cell r="T440">
            <v>868.01</v>
          </cell>
          <cell r="U440">
            <v>340.39</v>
          </cell>
          <cell r="V440">
            <v>737.05</v>
          </cell>
          <cell r="W440">
            <v>136.16</v>
          </cell>
          <cell r="X440">
            <v>46</v>
          </cell>
          <cell r="Y440">
            <v>2047.37</v>
          </cell>
          <cell r="Z440">
            <v>844.86</v>
          </cell>
          <cell r="AA440">
            <v>77</v>
          </cell>
          <cell r="AB440">
            <v>0</v>
          </cell>
          <cell r="AC440">
            <v>0</v>
          </cell>
          <cell r="AD440">
            <v>13.49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Y440">
            <v>566761.80000000005</v>
          </cell>
        </row>
        <row r="441">
          <cell r="A441">
            <v>2</v>
          </cell>
          <cell r="B441" t="str">
            <v>12</v>
          </cell>
          <cell r="C441" t="str">
            <v>000</v>
          </cell>
          <cell r="D441" t="str">
            <v>1</v>
          </cell>
          <cell r="E441" t="str">
            <v>201</v>
          </cell>
          <cell r="F441" t="str">
            <v>N000</v>
          </cell>
          <cell r="G441" t="str">
            <v>212</v>
          </cell>
          <cell r="H441" t="str">
            <v>1103</v>
          </cell>
          <cell r="I441" t="str">
            <v>CFMS06</v>
          </cell>
          <cell r="J441" t="str">
            <v>MS06</v>
          </cell>
          <cell r="K441" t="str">
            <v>1</v>
          </cell>
          <cell r="L441">
            <v>1</v>
          </cell>
          <cell r="M441">
            <v>0</v>
          </cell>
          <cell r="N441">
            <v>4801.8999999999996</v>
          </cell>
          <cell r="O441" t="str">
            <v>M</v>
          </cell>
          <cell r="P441" t="str">
            <v>00000000</v>
          </cell>
          <cell r="Q441">
            <v>21723.85</v>
          </cell>
          <cell r="R441">
            <v>693.61</v>
          </cell>
          <cell r="S441">
            <v>133.38999999999999</v>
          </cell>
          <cell r="T441">
            <v>612.24</v>
          </cell>
          <cell r="U441">
            <v>240.09</v>
          </cell>
          <cell r="V441">
            <v>477.46</v>
          </cell>
          <cell r="W441">
            <v>96.04</v>
          </cell>
          <cell r="X441">
            <v>46</v>
          </cell>
          <cell r="Y441">
            <v>1326.29</v>
          </cell>
          <cell r="Z441">
            <v>549.51</v>
          </cell>
          <cell r="AA441">
            <v>77</v>
          </cell>
          <cell r="AB441">
            <v>0</v>
          </cell>
          <cell r="AC441">
            <v>0</v>
          </cell>
          <cell r="AD441">
            <v>13.49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Y441">
            <v>369490.44</v>
          </cell>
        </row>
        <row r="442">
          <cell r="A442">
            <v>2</v>
          </cell>
          <cell r="B442" t="str">
            <v>12</v>
          </cell>
          <cell r="C442" t="str">
            <v>000</v>
          </cell>
          <cell r="D442" t="str">
            <v>1</v>
          </cell>
          <cell r="E442" t="str">
            <v>201</v>
          </cell>
          <cell r="F442" t="str">
            <v>N000</v>
          </cell>
          <cell r="G442" t="str">
            <v>212</v>
          </cell>
          <cell r="H442" t="str">
            <v>1103</v>
          </cell>
          <cell r="I442" t="str">
            <v>CFMS08</v>
          </cell>
          <cell r="J442" t="str">
            <v>MS08</v>
          </cell>
          <cell r="K442" t="str">
            <v>1</v>
          </cell>
          <cell r="L442">
            <v>14</v>
          </cell>
          <cell r="M442">
            <v>0</v>
          </cell>
          <cell r="N442">
            <v>4801.8999999999996</v>
          </cell>
          <cell r="O442" t="str">
            <v>M</v>
          </cell>
          <cell r="P442" t="str">
            <v>00000000</v>
          </cell>
          <cell r="Q442">
            <v>18269.849999999999</v>
          </cell>
          <cell r="R442">
            <v>693.61</v>
          </cell>
          <cell r="S442">
            <v>133.38999999999999</v>
          </cell>
          <cell r="T442">
            <v>612.24</v>
          </cell>
          <cell r="U442">
            <v>240.09</v>
          </cell>
          <cell r="V442">
            <v>415.29</v>
          </cell>
          <cell r="W442">
            <v>96.04</v>
          </cell>
          <cell r="X442">
            <v>24.86</v>
          </cell>
          <cell r="Y442">
            <v>1153.5899999999999</v>
          </cell>
          <cell r="Z442">
            <v>480.01</v>
          </cell>
          <cell r="AA442">
            <v>77</v>
          </cell>
          <cell r="AB442">
            <v>0</v>
          </cell>
          <cell r="AC442">
            <v>0</v>
          </cell>
          <cell r="AD442">
            <v>13.49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Y442">
            <v>4537908.4800000004</v>
          </cell>
        </row>
        <row r="443">
          <cell r="A443">
            <v>2</v>
          </cell>
          <cell r="B443" t="str">
            <v>12</v>
          </cell>
          <cell r="C443" t="str">
            <v>000</v>
          </cell>
          <cell r="D443" t="str">
            <v>1</v>
          </cell>
          <cell r="E443" t="str">
            <v>201</v>
          </cell>
          <cell r="F443" t="str">
            <v>N000</v>
          </cell>
          <cell r="G443" t="str">
            <v>212</v>
          </cell>
          <cell r="H443" t="str">
            <v>1103</v>
          </cell>
          <cell r="I443" t="str">
            <v>M01004</v>
          </cell>
          <cell r="K443" t="str">
            <v>2</v>
          </cell>
          <cell r="L443">
            <v>2</v>
          </cell>
          <cell r="M443">
            <v>0</v>
          </cell>
          <cell r="N443">
            <v>6400</v>
          </cell>
          <cell r="O443" t="str">
            <v>M</v>
          </cell>
          <cell r="P443" t="str">
            <v>00000000</v>
          </cell>
          <cell r="Q443">
            <v>0</v>
          </cell>
          <cell r="R443">
            <v>924.44</v>
          </cell>
          <cell r="S443">
            <v>177.78</v>
          </cell>
          <cell r="T443">
            <v>816</v>
          </cell>
          <cell r="U443">
            <v>320</v>
          </cell>
          <cell r="V443">
            <v>115.2</v>
          </cell>
          <cell r="W443">
            <v>128</v>
          </cell>
          <cell r="X443">
            <v>82</v>
          </cell>
          <cell r="Y443">
            <v>0</v>
          </cell>
          <cell r="Z443">
            <v>289.17</v>
          </cell>
          <cell r="AA443">
            <v>77</v>
          </cell>
          <cell r="AB443">
            <v>96</v>
          </cell>
          <cell r="AC443">
            <v>80</v>
          </cell>
          <cell r="AD443">
            <v>13.49</v>
          </cell>
          <cell r="AE443">
            <v>5.33</v>
          </cell>
          <cell r="AF443">
            <v>0</v>
          </cell>
          <cell r="AG443">
            <v>0</v>
          </cell>
          <cell r="AH443">
            <v>4086</v>
          </cell>
          <cell r="AI443">
            <v>0</v>
          </cell>
          <cell r="AJ443">
            <v>2530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Y443">
            <v>387369.84</v>
          </cell>
        </row>
        <row r="444">
          <cell r="A444">
            <v>2</v>
          </cell>
          <cell r="B444" t="str">
            <v>12</v>
          </cell>
          <cell r="C444" t="str">
            <v>000</v>
          </cell>
          <cell r="D444" t="str">
            <v>1</v>
          </cell>
          <cell r="E444" t="str">
            <v>201</v>
          </cell>
          <cell r="F444" t="str">
            <v>N000</v>
          </cell>
          <cell r="G444" t="str">
            <v>212</v>
          </cell>
          <cell r="H444" t="str">
            <v>1103</v>
          </cell>
          <cell r="I444" t="str">
            <v>M01006</v>
          </cell>
          <cell r="K444" t="str">
            <v>2</v>
          </cell>
          <cell r="L444">
            <v>101</v>
          </cell>
          <cell r="M444">
            <v>0</v>
          </cell>
          <cell r="N444">
            <v>5300</v>
          </cell>
          <cell r="O444" t="str">
            <v>M</v>
          </cell>
          <cell r="P444" t="str">
            <v>00000000</v>
          </cell>
          <cell r="Q444">
            <v>0</v>
          </cell>
          <cell r="R444">
            <v>765.56</v>
          </cell>
          <cell r="S444">
            <v>147.22</v>
          </cell>
          <cell r="T444">
            <v>675.75</v>
          </cell>
          <cell r="U444">
            <v>265</v>
          </cell>
          <cell r="V444">
            <v>95.4</v>
          </cell>
          <cell r="W444">
            <v>106</v>
          </cell>
          <cell r="X444">
            <v>8</v>
          </cell>
          <cell r="Y444">
            <v>0</v>
          </cell>
          <cell r="Z444">
            <v>238.08</v>
          </cell>
          <cell r="AA444">
            <v>77</v>
          </cell>
          <cell r="AB444">
            <v>96</v>
          </cell>
          <cell r="AC444">
            <v>80</v>
          </cell>
          <cell r="AD444">
            <v>13.49</v>
          </cell>
          <cell r="AE444">
            <v>4.42</v>
          </cell>
          <cell r="AF444">
            <v>0</v>
          </cell>
          <cell r="AG444">
            <v>0</v>
          </cell>
          <cell r="AH444">
            <v>2426</v>
          </cell>
          <cell r="AI444">
            <v>0</v>
          </cell>
          <cell r="AJ444">
            <v>3000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Y444">
            <v>16117079.039999999</v>
          </cell>
        </row>
        <row r="445">
          <cell r="A445">
            <v>2</v>
          </cell>
          <cell r="B445" t="str">
            <v>12</v>
          </cell>
          <cell r="C445" t="str">
            <v>000</v>
          </cell>
          <cell r="D445" t="str">
            <v>1</v>
          </cell>
          <cell r="E445" t="str">
            <v>201</v>
          </cell>
          <cell r="F445" t="str">
            <v>N000</v>
          </cell>
          <cell r="G445" t="str">
            <v>212</v>
          </cell>
          <cell r="H445" t="str">
            <v>1103</v>
          </cell>
          <cell r="I445" t="str">
            <v>M01006</v>
          </cell>
          <cell r="K445" t="str">
            <v>3</v>
          </cell>
          <cell r="L445">
            <v>15</v>
          </cell>
          <cell r="M445">
            <v>0</v>
          </cell>
          <cell r="N445">
            <v>5750</v>
          </cell>
          <cell r="O445" t="str">
            <v>M</v>
          </cell>
          <cell r="P445" t="str">
            <v>00000000</v>
          </cell>
          <cell r="Q445">
            <v>0</v>
          </cell>
          <cell r="R445">
            <v>830.56</v>
          </cell>
          <cell r="S445">
            <v>159.72</v>
          </cell>
          <cell r="T445">
            <v>733.13</v>
          </cell>
          <cell r="U445">
            <v>287.5</v>
          </cell>
          <cell r="V445">
            <v>103.5</v>
          </cell>
          <cell r="W445">
            <v>115</v>
          </cell>
          <cell r="X445">
            <v>0</v>
          </cell>
          <cell r="Y445">
            <v>0</v>
          </cell>
          <cell r="Z445">
            <v>258.62</v>
          </cell>
          <cell r="AA445">
            <v>77</v>
          </cell>
          <cell r="AB445">
            <v>96</v>
          </cell>
          <cell r="AC445">
            <v>80</v>
          </cell>
          <cell r="AD445">
            <v>13.49</v>
          </cell>
          <cell r="AE445">
            <v>4.79</v>
          </cell>
          <cell r="AF445">
            <v>0</v>
          </cell>
          <cell r="AG445">
            <v>0</v>
          </cell>
          <cell r="AH445">
            <v>2733</v>
          </cell>
          <cell r="AI445">
            <v>0</v>
          </cell>
          <cell r="AJ445">
            <v>3200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Y445">
            <v>2599615.7999999998</v>
          </cell>
        </row>
        <row r="446">
          <cell r="A446">
            <v>2</v>
          </cell>
          <cell r="B446" t="str">
            <v>12</v>
          </cell>
          <cell r="C446" t="str">
            <v>000</v>
          </cell>
          <cell r="D446" t="str">
            <v>1</v>
          </cell>
          <cell r="E446" t="str">
            <v>201</v>
          </cell>
          <cell r="F446" t="str">
            <v>N000</v>
          </cell>
          <cell r="G446" t="str">
            <v>212</v>
          </cell>
          <cell r="H446" t="str">
            <v>1103</v>
          </cell>
          <cell r="I446" t="str">
            <v>M01007</v>
          </cell>
          <cell r="K446" t="str">
            <v>3</v>
          </cell>
          <cell r="L446">
            <v>5</v>
          </cell>
          <cell r="M446">
            <v>0</v>
          </cell>
          <cell r="N446">
            <v>5505</v>
          </cell>
          <cell r="O446" t="str">
            <v>M</v>
          </cell>
          <cell r="P446" t="str">
            <v>00000000</v>
          </cell>
          <cell r="Q446">
            <v>0</v>
          </cell>
          <cell r="R446">
            <v>795.17</v>
          </cell>
          <cell r="S446">
            <v>152.91999999999999</v>
          </cell>
          <cell r="T446">
            <v>701.89</v>
          </cell>
          <cell r="U446">
            <v>275.25</v>
          </cell>
          <cell r="V446">
            <v>99.09</v>
          </cell>
          <cell r="W446">
            <v>110.1</v>
          </cell>
          <cell r="X446">
            <v>0</v>
          </cell>
          <cell r="Y446">
            <v>0</v>
          </cell>
          <cell r="Z446">
            <v>225.79</v>
          </cell>
          <cell r="AA446">
            <v>77</v>
          </cell>
          <cell r="AB446">
            <v>96</v>
          </cell>
          <cell r="AC446">
            <v>80</v>
          </cell>
          <cell r="AD446">
            <v>13.49</v>
          </cell>
          <cell r="AE446">
            <v>4.59</v>
          </cell>
          <cell r="AF446">
            <v>0</v>
          </cell>
          <cell r="AG446">
            <v>0</v>
          </cell>
          <cell r="AH446">
            <v>1779</v>
          </cell>
          <cell r="AI446">
            <v>0</v>
          </cell>
          <cell r="AJ446">
            <v>2800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Y446">
            <v>762917.4</v>
          </cell>
        </row>
        <row r="447">
          <cell r="A447">
            <v>2</v>
          </cell>
          <cell r="B447" t="str">
            <v>12</v>
          </cell>
          <cell r="C447" t="str">
            <v>000</v>
          </cell>
          <cell r="D447" t="str">
            <v>1</v>
          </cell>
          <cell r="E447" t="str">
            <v>201</v>
          </cell>
          <cell r="F447" t="str">
            <v>N000</v>
          </cell>
          <cell r="G447" t="str">
            <v>212</v>
          </cell>
          <cell r="H447" t="str">
            <v>1103</v>
          </cell>
          <cell r="I447" t="str">
            <v>M02015</v>
          </cell>
          <cell r="K447" t="str">
            <v>2</v>
          </cell>
          <cell r="L447">
            <v>1</v>
          </cell>
          <cell r="M447">
            <v>0</v>
          </cell>
          <cell r="N447">
            <v>5000</v>
          </cell>
          <cell r="O447" t="str">
            <v>M</v>
          </cell>
          <cell r="P447" t="str">
            <v>00000000</v>
          </cell>
          <cell r="Q447">
            <v>0</v>
          </cell>
          <cell r="R447">
            <v>722.22</v>
          </cell>
          <cell r="S447">
            <v>138.88999999999999</v>
          </cell>
          <cell r="T447">
            <v>637.5</v>
          </cell>
          <cell r="U447">
            <v>250</v>
          </cell>
          <cell r="V447">
            <v>90</v>
          </cell>
          <cell r="W447">
            <v>100</v>
          </cell>
          <cell r="X447">
            <v>82</v>
          </cell>
          <cell r="Y447">
            <v>0</v>
          </cell>
          <cell r="Z447">
            <v>176.01</v>
          </cell>
          <cell r="AA447">
            <v>77</v>
          </cell>
          <cell r="AB447">
            <v>96</v>
          </cell>
          <cell r="AC447">
            <v>80</v>
          </cell>
          <cell r="AD447">
            <v>13.49</v>
          </cell>
          <cell r="AE447">
            <v>4.17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2600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Y447">
            <v>120807.36</v>
          </cell>
        </row>
        <row r="448">
          <cell r="A448">
            <v>2</v>
          </cell>
          <cell r="B448" t="str">
            <v>12</v>
          </cell>
          <cell r="C448" t="str">
            <v>000</v>
          </cell>
          <cell r="D448" t="str">
            <v>1</v>
          </cell>
          <cell r="E448" t="str">
            <v>201</v>
          </cell>
          <cell r="F448" t="str">
            <v>N000</v>
          </cell>
          <cell r="G448" t="str">
            <v>212</v>
          </cell>
          <cell r="H448" t="str">
            <v>1103</v>
          </cell>
          <cell r="I448" t="str">
            <v>M02027</v>
          </cell>
          <cell r="K448" t="str">
            <v>2</v>
          </cell>
          <cell r="L448">
            <v>2</v>
          </cell>
          <cell r="M448">
            <v>0</v>
          </cell>
          <cell r="N448">
            <v>4940</v>
          </cell>
          <cell r="O448" t="str">
            <v>M</v>
          </cell>
          <cell r="P448" t="str">
            <v>00000000</v>
          </cell>
          <cell r="Q448">
            <v>0</v>
          </cell>
          <cell r="R448">
            <v>713.56</v>
          </cell>
          <cell r="S448">
            <v>137.22</v>
          </cell>
          <cell r="T448">
            <v>629.85</v>
          </cell>
          <cell r="U448">
            <v>247</v>
          </cell>
          <cell r="V448">
            <v>88.92</v>
          </cell>
          <cell r="W448">
            <v>98.8</v>
          </cell>
          <cell r="X448">
            <v>109</v>
          </cell>
          <cell r="Y448">
            <v>0</v>
          </cell>
          <cell r="Z448">
            <v>169.24</v>
          </cell>
          <cell r="AA448">
            <v>77</v>
          </cell>
          <cell r="AB448">
            <v>96</v>
          </cell>
          <cell r="AC448">
            <v>80</v>
          </cell>
          <cell r="AD448">
            <v>13.49</v>
          </cell>
          <cell r="AE448">
            <v>4.12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2305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Y448">
            <v>233020.79999999999</v>
          </cell>
        </row>
        <row r="449">
          <cell r="A449">
            <v>2</v>
          </cell>
          <cell r="B449" t="str">
            <v>12</v>
          </cell>
          <cell r="C449" t="str">
            <v>000</v>
          </cell>
          <cell r="D449" t="str">
            <v>1</v>
          </cell>
          <cell r="E449" t="str">
            <v>201</v>
          </cell>
          <cell r="F449" t="str">
            <v>N000</v>
          </cell>
          <cell r="G449" t="str">
            <v>212</v>
          </cell>
          <cell r="H449" t="str">
            <v>1103</v>
          </cell>
          <cell r="I449" t="str">
            <v>M02031</v>
          </cell>
          <cell r="K449" t="str">
            <v>2</v>
          </cell>
          <cell r="L449">
            <v>10</v>
          </cell>
          <cell r="M449">
            <v>0</v>
          </cell>
          <cell r="N449">
            <v>5200</v>
          </cell>
          <cell r="O449" t="str">
            <v>M</v>
          </cell>
          <cell r="P449" t="str">
            <v>00000000</v>
          </cell>
          <cell r="Q449">
            <v>0</v>
          </cell>
          <cell r="R449">
            <v>751.11</v>
          </cell>
          <cell r="S449">
            <v>144.44</v>
          </cell>
          <cell r="T449">
            <v>663</v>
          </cell>
          <cell r="U449">
            <v>260</v>
          </cell>
          <cell r="V449">
            <v>93.6</v>
          </cell>
          <cell r="W449">
            <v>104</v>
          </cell>
          <cell r="X449">
            <v>0</v>
          </cell>
          <cell r="Y449">
            <v>0</v>
          </cell>
          <cell r="Z449">
            <v>210.5</v>
          </cell>
          <cell r="AA449">
            <v>77</v>
          </cell>
          <cell r="AB449">
            <v>96</v>
          </cell>
          <cell r="AC449">
            <v>80</v>
          </cell>
          <cell r="AD449">
            <v>13.49</v>
          </cell>
          <cell r="AE449">
            <v>4.33</v>
          </cell>
          <cell r="AF449">
            <v>0</v>
          </cell>
          <cell r="AG449">
            <v>0</v>
          </cell>
          <cell r="AH449">
            <v>2172</v>
          </cell>
          <cell r="AI449">
            <v>0</v>
          </cell>
          <cell r="AJ449">
            <v>2000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Y449">
            <v>1424336.4</v>
          </cell>
        </row>
        <row r="450">
          <cell r="A450">
            <v>2</v>
          </cell>
          <cell r="B450" t="str">
            <v>12</v>
          </cell>
          <cell r="C450" t="str">
            <v>000</v>
          </cell>
          <cell r="D450" t="str">
            <v>1</v>
          </cell>
          <cell r="E450" t="str">
            <v>201</v>
          </cell>
          <cell r="F450" t="str">
            <v>N000</v>
          </cell>
          <cell r="G450" t="str">
            <v>212</v>
          </cell>
          <cell r="H450" t="str">
            <v>1103</v>
          </cell>
          <cell r="I450" t="str">
            <v>M02031</v>
          </cell>
          <cell r="K450" t="str">
            <v>3</v>
          </cell>
          <cell r="L450">
            <v>5</v>
          </cell>
          <cell r="M450">
            <v>0</v>
          </cell>
          <cell r="N450">
            <v>5736</v>
          </cell>
          <cell r="O450" t="str">
            <v>M</v>
          </cell>
          <cell r="P450" t="str">
            <v>00000000</v>
          </cell>
          <cell r="Q450">
            <v>0</v>
          </cell>
          <cell r="R450">
            <v>828.53</v>
          </cell>
          <cell r="S450">
            <v>159.33000000000001</v>
          </cell>
          <cell r="T450">
            <v>731.34</v>
          </cell>
          <cell r="U450">
            <v>286.8</v>
          </cell>
          <cell r="V450">
            <v>103.25</v>
          </cell>
          <cell r="W450">
            <v>114.72</v>
          </cell>
          <cell r="X450">
            <v>0</v>
          </cell>
          <cell r="Y450">
            <v>0</v>
          </cell>
          <cell r="Z450">
            <v>232.85</v>
          </cell>
          <cell r="AA450">
            <v>77</v>
          </cell>
          <cell r="AB450">
            <v>96</v>
          </cell>
          <cell r="AC450">
            <v>80</v>
          </cell>
          <cell r="AD450">
            <v>13.49</v>
          </cell>
          <cell r="AE450">
            <v>4.78</v>
          </cell>
          <cell r="AF450">
            <v>0</v>
          </cell>
          <cell r="AG450">
            <v>0</v>
          </cell>
          <cell r="AH450">
            <v>1592</v>
          </cell>
          <cell r="AI450">
            <v>0</v>
          </cell>
          <cell r="AJ450">
            <v>3069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Y450">
            <v>787505.4</v>
          </cell>
        </row>
        <row r="451">
          <cell r="A451">
            <v>2</v>
          </cell>
          <cell r="B451" t="str">
            <v>12</v>
          </cell>
          <cell r="C451" t="str">
            <v>000</v>
          </cell>
          <cell r="D451" t="str">
            <v>1</v>
          </cell>
          <cell r="E451" t="str">
            <v>201</v>
          </cell>
          <cell r="F451" t="str">
            <v>N000</v>
          </cell>
          <cell r="G451" t="str">
            <v>212</v>
          </cell>
          <cell r="H451" t="str">
            <v>1103</v>
          </cell>
          <cell r="I451" t="str">
            <v>M02035</v>
          </cell>
          <cell r="K451" t="str">
            <v>2</v>
          </cell>
          <cell r="L451">
            <v>28</v>
          </cell>
          <cell r="M451">
            <v>0</v>
          </cell>
          <cell r="N451">
            <v>3388</v>
          </cell>
          <cell r="O451" t="str">
            <v>M</v>
          </cell>
          <cell r="P451" t="str">
            <v>00000000</v>
          </cell>
          <cell r="Q451">
            <v>0</v>
          </cell>
          <cell r="R451">
            <v>489.38</v>
          </cell>
          <cell r="S451">
            <v>94.11</v>
          </cell>
          <cell r="T451">
            <v>431.97</v>
          </cell>
          <cell r="U451">
            <v>169.4</v>
          </cell>
          <cell r="V451">
            <v>60.98</v>
          </cell>
          <cell r="W451">
            <v>67.760000000000005</v>
          </cell>
          <cell r="X451">
            <v>0</v>
          </cell>
          <cell r="Y451">
            <v>0</v>
          </cell>
          <cell r="Z451">
            <v>136.43</v>
          </cell>
          <cell r="AA451">
            <v>77</v>
          </cell>
          <cell r="AB451">
            <v>96</v>
          </cell>
          <cell r="AC451">
            <v>80</v>
          </cell>
          <cell r="AD451">
            <v>13.49</v>
          </cell>
          <cell r="AE451">
            <v>2.82</v>
          </cell>
          <cell r="AF451">
            <v>0</v>
          </cell>
          <cell r="AG451">
            <v>0</v>
          </cell>
          <cell r="AH451">
            <v>734</v>
          </cell>
          <cell r="AI451">
            <v>0</v>
          </cell>
          <cell r="AJ451">
            <v>1860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Y451">
            <v>2587650.2400000002</v>
          </cell>
        </row>
        <row r="452">
          <cell r="A452">
            <v>2</v>
          </cell>
          <cell r="B452" t="str">
            <v>12</v>
          </cell>
          <cell r="C452" t="str">
            <v>000</v>
          </cell>
          <cell r="D452" t="str">
            <v>1</v>
          </cell>
          <cell r="E452" t="str">
            <v>201</v>
          </cell>
          <cell r="F452" t="str">
            <v>N000</v>
          </cell>
          <cell r="G452" t="str">
            <v>212</v>
          </cell>
          <cell r="H452" t="str">
            <v>1103</v>
          </cell>
          <cell r="I452" t="str">
            <v>M02035</v>
          </cell>
          <cell r="K452" t="str">
            <v>3</v>
          </cell>
          <cell r="L452">
            <v>8</v>
          </cell>
          <cell r="M452">
            <v>0</v>
          </cell>
          <cell r="N452">
            <v>3886</v>
          </cell>
          <cell r="O452" t="str">
            <v>M</v>
          </cell>
          <cell r="P452" t="str">
            <v>00000000</v>
          </cell>
          <cell r="Q452">
            <v>0</v>
          </cell>
          <cell r="R452">
            <v>561.30999999999995</v>
          </cell>
          <cell r="S452">
            <v>107.94</v>
          </cell>
          <cell r="T452">
            <v>495.47</v>
          </cell>
          <cell r="U452">
            <v>194.3</v>
          </cell>
          <cell r="V452">
            <v>69.95</v>
          </cell>
          <cell r="W452">
            <v>77.72</v>
          </cell>
          <cell r="X452">
            <v>0</v>
          </cell>
          <cell r="Y452">
            <v>0</v>
          </cell>
          <cell r="Z452">
            <v>155.37</v>
          </cell>
          <cell r="AA452">
            <v>77</v>
          </cell>
          <cell r="AB452">
            <v>96</v>
          </cell>
          <cell r="AC452">
            <v>80</v>
          </cell>
          <cell r="AD452">
            <v>13.49</v>
          </cell>
          <cell r="AE452">
            <v>3.24</v>
          </cell>
          <cell r="AF452">
            <v>0</v>
          </cell>
          <cell r="AG452">
            <v>0</v>
          </cell>
          <cell r="AH452">
            <v>859</v>
          </cell>
          <cell r="AI452">
            <v>0</v>
          </cell>
          <cell r="AJ452">
            <v>2098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Y452">
            <v>842379.84</v>
          </cell>
        </row>
        <row r="453">
          <cell r="A453">
            <v>2</v>
          </cell>
          <cell r="B453" t="str">
            <v>12</v>
          </cell>
          <cell r="C453" t="str">
            <v>000</v>
          </cell>
          <cell r="D453" t="str">
            <v>1</v>
          </cell>
          <cell r="E453" t="str">
            <v>201</v>
          </cell>
          <cell r="F453" t="str">
            <v>N000</v>
          </cell>
          <cell r="G453" t="str">
            <v>212</v>
          </cell>
          <cell r="H453" t="str">
            <v>1103</v>
          </cell>
          <cell r="I453" t="str">
            <v>M02049</v>
          </cell>
          <cell r="K453" t="str">
            <v>2</v>
          </cell>
          <cell r="L453">
            <v>20</v>
          </cell>
          <cell r="M453">
            <v>0</v>
          </cell>
          <cell r="N453">
            <v>4472</v>
          </cell>
          <cell r="O453" t="str">
            <v>M</v>
          </cell>
          <cell r="P453" t="str">
            <v>00000000</v>
          </cell>
          <cell r="Q453">
            <v>0</v>
          </cell>
          <cell r="R453">
            <v>645.96</v>
          </cell>
          <cell r="S453">
            <v>124.22</v>
          </cell>
          <cell r="T453">
            <v>570.17999999999995</v>
          </cell>
          <cell r="U453">
            <v>223.6</v>
          </cell>
          <cell r="V453">
            <v>80.5</v>
          </cell>
          <cell r="W453">
            <v>89.44</v>
          </cell>
          <cell r="X453">
            <v>0</v>
          </cell>
          <cell r="Y453">
            <v>0</v>
          </cell>
          <cell r="Z453">
            <v>153.18</v>
          </cell>
          <cell r="AA453">
            <v>77</v>
          </cell>
          <cell r="AB453">
            <v>96</v>
          </cell>
          <cell r="AC453">
            <v>80</v>
          </cell>
          <cell r="AD453">
            <v>13.49</v>
          </cell>
          <cell r="AE453">
            <v>3.73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2160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Y453">
            <v>2109432</v>
          </cell>
        </row>
        <row r="454">
          <cell r="A454">
            <v>2</v>
          </cell>
          <cell r="B454" t="str">
            <v>12</v>
          </cell>
          <cell r="C454" t="str">
            <v>000</v>
          </cell>
          <cell r="D454" t="str">
            <v>1</v>
          </cell>
          <cell r="E454" t="str">
            <v>201</v>
          </cell>
          <cell r="F454" t="str">
            <v>N000</v>
          </cell>
          <cell r="G454" t="str">
            <v>212</v>
          </cell>
          <cell r="H454" t="str">
            <v>1103</v>
          </cell>
          <cell r="I454" t="str">
            <v>M02049</v>
          </cell>
          <cell r="K454" t="str">
            <v>3</v>
          </cell>
          <cell r="L454">
            <v>4</v>
          </cell>
          <cell r="M454">
            <v>0</v>
          </cell>
          <cell r="N454">
            <v>4868</v>
          </cell>
          <cell r="O454" t="str">
            <v>M</v>
          </cell>
          <cell r="P454" t="str">
            <v>00000000</v>
          </cell>
          <cell r="Q454">
            <v>0</v>
          </cell>
          <cell r="R454">
            <v>703.16</v>
          </cell>
          <cell r="S454">
            <v>135.22</v>
          </cell>
          <cell r="T454">
            <v>620.66999999999996</v>
          </cell>
          <cell r="U454">
            <v>243.4</v>
          </cell>
          <cell r="V454">
            <v>87.62</v>
          </cell>
          <cell r="W454">
            <v>97.36</v>
          </cell>
          <cell r="X454">
            <v>0</v>
          </cell>
          <cell r="Y454">
            <v>0</v>
          </cell>
          <cell r="Z454">
            <v>166.29</v>
          </cell>
          <cell r="AA454">
            <v>77</v>
          </cell>
          <cell r="AB454">
            <v>96</v>
          </cell>
          <cell r="AC454">
            <v>80</v>
          </cell>
          <cell r="AD454">
            <v>13.49</v>
          </cell>
          <cell r="AE454">
            <v>4.0599999999999996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2351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Y454">
            <v>458076.96</v>
          </cell>
        </row>
        <row r="455">
          <cell r="A455">
            <v>2</v>
          </cell>
          <cell r="B455" t="str">
            <v>12</v>
          </cell>
          <cell r="C455" t="str">
            <v>000</v>
          </cell>
          <cell r="D455" t="str">
            <v>1</v>
          </cell>
          <cell r="E455" t="str">
            <v>201</v>
          </cell>
          <cell r="F455" t="str">
            <v>N000</v>
          </cell>
          <cell r="G455" t="str">
            <v>212</v>
          </cell>
          <cell r="H455" t="str">
            <v>1103</v>
          </cell>
          <cell r="I455" t="str">
            <v>M02058</v>
          </cell>
          <cell r="K455" t="str">
            <v>2</v>
          </cell>
          <cell r="L455">
            <v>1</v>
          </cell>
          <cell r="M455">
            <v>0</v>
          </cell>
          <cell r="N455">
            <v>3011</v>
          </cell>
          <cell r="O455" t="str">
            <v>M</v>
          </cell>
          <cell r="P455" t="str">
            <v>00000000</v>
          </cell>
          <cell r="Q455">
            <v>0</v>
          </cell>
          <cell r="R455">
            <v>434.92</v>
          </cell>
          <cell r="S455">
            <v>83.64</v>
          </cell>
          <cell r="T455">
            <v>383.9</v>
          </cell>
          <cell r="U455">
            <v>150.55000000000001</v>
          </cell>
          <cell r="V455">
            <v>54.2</v>
          </cell>
          <cell r="W455">
            <v>60.22</v>
          </cell>
          <cell r="X455">
            <v>0</v>
          </cell>
          <cell r="Y455">
            <v>0</v>
          </cell>
          <cell r="Z455">
            <v>106.68</v>
          </cell>
          <cell r="AA455">
            <v>77</v>
          </cell>
          <cell r="AB455">
            <v>96</v>
          </cell>
          <cell r="AC455">
            <v>80</v>
          </cell>
          <cell r="AD455">
            <v>13.49</v>
          </cell>
          <cell r="AE455">
            <v>2.5099999999999998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1549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Y455">
            <v>73237.320000000007</v>
          </cell>
        </row>
        <row r="456">
          <cell r="A456">
            <v>2</v>
          </cell>
          <cell r="B456" t="str">
            <v>12</v>
          </cell>
          <cell r="C456" t="str">
            <v>000</v>
          </cell>
          <cell r="D456" t="str">
            <v>1</v>
          </cell>
          <cell r="E456" t="str">
            <v>201</v>
          </cell>
          <cell r="F456" t="str">
            <v>N000</v>
          </cell>
          <cell r="G456" t="str">
            <v>212</v>
          </cell>
          <cell r="H456" t="str">
            <v>1103</v>
          </cell>
          <cell r="I456" t="str">
            <v>M03004</v>
          </cell>
          <cell r="K456" t="str">
            <v>2</v>
          </cell>
          <cell r="L456">
            <v>30</v>
          </cell>
          <cell r="M456">
            <v>0</v>
          </cell>
          <cell r="N456">
            <v>3011</v>
          </cell>
          <cell r="O456" t="str">
            <v>M</v>
          </cell>
          <cell r="P456" t="str">
            <v>00000000</v>
          </cell>
          <cell r="Q456">
            <v>0</v>
          </cell>
          <cell r="R456">
            <v>434.92</v>
          </cell>
          <cell r="S456">
            <v>83.64</v>
          </cell>
          <cell r="T456">
            <v>383.9</v>
          </cell>
          <cell r="U456">
            <v>150.55000000000001</v>
          </cell>
          <cell r="V456">
            <v>54.2</v>
          </cell>
          <cell r="W456">
            <v>60.22</v>
          </cell>
          <cell r="X456">
            <v>0</v>
          </cell>
          <cell r="Y456">
            <v>0</v>
          </cell>
          <cell r="Z456">
            <v>106.68</v>
          </cell>
          <cell r="AA456">
            <v>77</v>
          </cell>
          <cell r="AB456">
            <v>96</v>
          </cell>
          <cell r="AC456">
            <v>80</v>
          </cell>
          <cell r="AD456">
            <v>13.49</v>
          </cell>
          <cell r="AE456">
            <v>2.5099999999999998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1549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Y456">
            <v>2197119.6</v>
          </cell>
        </row>
        <row r="457">
          <cell r="A457">
            <v>2</v>
          </cell>
          <cell r="B457" t="str">
            <v>12</v>
          </cell>
          <cell r="C457" t="str">
            <v>000</v>
          </cell>
          <cell r="D457" t="str">
            <v>1</v>
          </cell>
          <cell r="E457" t="str">
            <v>201</v>
          </cell>
          <cell r="F457" t="str">
            <v>N000</v>
          </cell>
          <cell r="G457" t="str">
            <v>212</v>
          </cell>
          <cell r="H457" t="str">
            <v>1103</v>
          </cell>
          <cell r="I457" t="str">
            <v>M03004</v>
          </cell>
          <cell r="K457" t="str">
            <v>3</v>
          </cell>
          <cell r="L457">
            <v>3</v>
          </cell>
          <cell r="M457">
            <v>0</v>
          </cell>
          <cell r="N457">
            <v>3448</v>
          </cell>
          <cell r="O457" t="str">
            <v>M</v>
          </cell>
          <cell r="P457" t="str">
            <v>00000000</v>
          </cell>
          <cell r="Q457">
            <v>0</v>
          </cell>
          <cell r="R457">
            <v>498.04</v>
          </cell>
          <cell r="S457">
            <v>95.78</v>
          </cell>
          <cell r="T457">
            <v>439.62</v>
          </cell>
          <cell r="U457">
            <v>172.4</v>
          </cell>
          <cell r="V457">
            <v>62.06</v>
          </cell>
          <cell r="W457">
            <v>68.959999999999994</v>
          </cell>
          <cell r="X457">
            <v>0</v>
          </cell>
          <cell r="Y457">
            <v>0</v>
          </cell>
          <cell r="Z457">
            <v>122.05</v>
          </cell>
          <cell r="AA457">
            <v>77</v>
          </cell>
          <cell r="AB457">
            <v>96</v>
          </cell>
          <cell r="AC457">
            <v>80</v>
          </cell>
          <cell r="AD457">
            <v>13.49</v>
          </cell>
          <cell r="AE457">
            <v>2.87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1805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Y457">
            <v>251325.72</v>
          </cell>
        </row>
        <row r="458">
          <cell r="A458">
            <v>2</v>
          </cell>
          <cell r="B458" t="str">
            <v>12</v>
          </cell>
          <cell r="C458" t="str">
            <v>000</v>
          </cell>
          <cell r="D458" t="str">
            <v>1</v>
          </cell>
          <cell r="E458" t="str">
            <v>201</v>
          </cell>
          <cell r="F458" t="str">
            <v>N000</v>
          </cell>
          <cell r="G458" t="str">
            <v>212</v>
          </cell>
          <cell r="H458" t="str">
            <v>1103</v>
          </cell>
          <cell r="I458" t="str">
            <v>M03006</v>
          </cell>
          <cell r="K458" t="str">
            <v>2</v>
          </cell>
          <cell r="L458">
            <v>1</v>
          </cell>
          <cell r="M458">
            <v>0</v>
          </cell>
          <cell r="N458">
            <v>2580</v>
          </cell>
          <cell r="O458" t="str">
            <v>M</v>
          </cell>
          <cell r="P458" t="str">
            <v>00000000</v>
          </cell>
          <cell r="Q458">
            <v>0</v>
          </cell>
          <cell r="R458">
            <v>372.67</v>
          </cell>
          <cell r="S458">
            <v>71.67</v>
          </cell>
          <cell r="T458">
            <v>328.95</v>
          </cell>
          <cell r="U458">
            <v>129</v>
          </cell>
          <cell r="V458">
            <v>46.44</v>
          </cell>
          <cell r="W458">
            <v>51.6</v>
          </cell>
          <cell r="X458">
            <v>46</v>
          </cell>
          <cell r="Y458">
            <v>0</v>
          </cell>
          <cell r="Z458">
            <v>87.07</v>
          </cell>
          <cell r="AA458">
            <v>77</v>
          </cell>
          <cell r="AB458">
            <v>96</v>
          </cell>
          <cell r="AC458">
            <v>80</v>
          </cell>
          <cell r="AD458">
            <v>13.49</v>
          </cell>
          <cell r="AE458">
            <v>2.15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1028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Y458">
            <v>60120.480000000003</v>
          </cell>
        </row>
        <row r="459">
          <cell r="A459">
            <v>2</v>
          </cell>
          <cell r="B459" t="str">
            <v>12</v>
          </cell>
          <cell r="C459" t="str">
            <v>000</v>
          </cell>
          <cell r="D459" t="str">
            <v>1</v>
          </cell>
          <cell r="E459" t="str">
            <v>201</v>
          </cell>
          <cell r="F459" t="str">
            <v>N000</v>
          </cell>
          <cell r="G459" t="str">
            <v>212</v>
          </cell>
          <cell r="H459" t="str">
            <v>1103</v>
          </cell>
          <cell r="I459" t="str">
            <v>M03013</v>
          </cell>
          <cell r="K459" t="str">
            <v>2</v>
          </cell>
          <cell r="L459">
            <v>1</v>
          </cell>
          <cell r="M459">
            <v>0</v>
          </cell>
          <cell r="N459">
            <v>2989</v>
          </cell>
          <cell r="O459" t="str">
            <v>M</v>
          </cell>
          <cell r="P459" t="str">
            <v>00000000</v>
          </cell>
          <cell r="Q459">
            <v>0</v>
          </cell>
          <cell r="R459">
            <v>431.74</v>
          </cell>
          <cell r="S459">
            <v>83.03</v>
          </cell>
          <cell r="T459">
            <v>381.1</v>
          </cell>
          <cell r="U459">
            <v>149.44999999999999</v>
          </cell>
          <cell r="V459">
            <v>53.8</v>
          </cell>
          <cell r="W459">
            <v>59.78</v>
          </cell>
          <cell r="X459">
            <v>55</v>
          </cell>
          <cell r="Y459">
            <v>0</v>
          </cell>
          <cell r="Z459">
            <v>98.87</v>
          </cell>
          <cell r="AA459">
            <v>77</v>
          </cell>
          <cell r="AB459">
            <v>96</v>
          </cell>
          <cell r="AC459">
            <v>80</v>
          </cell>
          <cell r="AD459">
            <v>13.49</v>
          </cell>
          <cell r="AE459">
            <v>2.4900000000000002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1129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Y459">
            <v>68397</v>
          </cell>
        </row>
        <row r="460">
          <cell r="A460">
            <v>2</v>
          </cell>
          <cell r="B460" t="str">
            <v>12</v>
          </cell>
          <cell r="C460" t="str">
            <v>000</v>
          </cell>
          <cell r="D460" t="str">
            <v>1</v>
          </cell>
          <cell r="E460" t="str">
            <v>201</v>
          </cell>
          <cell r="F460" t="str">
            <v>N000</v>
          </cell>
          <cell r="G460" t="str">
            <v>212</v>
          </cell>
          <cell r="H460" t="str">
            <v>1103</v>
          </cell>
          <cell r="I460" t="str">
            <v>S01801</v>
          </cell>
          <cell r="J460" t="str">
            <v>14</v>
          </cell>
          <cell r="K460" t="str">
            <v>2</v>
          </cell>
          <cell r="L460">
            <v>7</v>
          </cell>
          <cell r="M460">
            <v>0</v>
          </cell>
          <cell r="N460">
            <v>1812.65</v>
          </cell>
          <cell r="O460" t="str">
            <v>M</v>
          </cell>
          <cell r="P460" t="str">
            <v>00000000</v>
          </cell>
          <cell r="Q460">
            <v>0</v>
          </cell>
          <cell r="R460">
            <v>261.83</v>
          </cell>
          <cell r="S460">
            <v>50.35</v>
          </cell>
          <cell r="T460">
            <v>231.11</v>
          </cell>
          <cell r="U460">
            <v>90.63</v>
          </cell>
          <cell r="V460">
            <v>32.630000000000003</v>
          </cell>
          <cell r="W460">
            <v>36.25</v>
          </cell>
          <cell r="X460">
            <v>0</v>
          </cell>
          <cell r="Y460">
            <v>0</v>
          </cell>
          <cell r="Z460">
            <v>47.59</v>
          </cell>
          <cell r="AA460">
            <v>77</v>
          </cell>
          <cell r="AB460">
            <v>96</v>
          </cell>
          <cell r="AC460">
            <v>80</v>
          </cell>
          <cell r="AD460">
            <v>13.49</v>
          </cell>
          <cell r="AE460">
            <v>1.51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Y460">
            <v>237807.35999999999</v>
          </cell>
        </row>
        <row r="461">
          <cell r="A461">
            <v>2</v>
          </cell>
          <cell r="B461" t="str">
            <v>12</v>
          </cell>
          <cell r="C461" t="str">
            <v>000</v>
          </cell>
          <cell r="D461" t="str">
            <v>1</v>
          </cell>
          <cell r="E461" t="str">
            <v>201</v>
          </cell>
          <cell r="F461" t="str">
            <v>N000</v>
          </cell>
          <cell r="G461" t="str">
            <v>212</v>
          </cell>
          <cell r="H461" t="str">
            <v>1103</v>
          </cell>
          <cell r="I461" t="str">
            <v>S01803</v>
          </cell>
          <cell r="J461" t="str">
            <v>19</v>
          </cell>
          <cell r="K461" t="str">
            <v>2</v>
          </cell>
          <cell r="L461">
            <v>43</v>
          </cell>
          <cell r="M461">
            <v>0</v>
          </cell>
          <cell r="N461">
            <v>2120.3000000000002</v>
          </cell>
          <cell r="O461" t="str">
            <v>M</v>
          </cell>
          <cell r="P461" t="str">
            <v>00000000</v>
          </cell>
          <cell r="Q461">
            <v>0</v>
          </cell>
          <cell r="R461">
            <v>306.27</v>
          </cell>
          <cell r="S461">
            <v>58.9</v>
          </cell>
          <cell r="T461">
            <v>270.33999999999997</v>
          </cell>
          <cell r="U461">
            <v>106.02</v>
          </cell>
          <cell r="V461">
            <v>38.17</v>
          </cell>
          <cell r="W461">
            <v>42.41</v>
          </cell>
          <cell r="X461">
            <v>0</v>
          </cell>
          <cell r="Y461">
            <v>0</v>
          </cell>
          <cell r="Z461">
            <v>54.8</v>
          </cell>
          <cell r="AA461">
            <v>77</v>
          </cell>
          <cell r="AB461">
            <v>96</v>
          </cell>
          <cell r="AC461">
            <v>80</v>
          </cell>
          <cell r="AD461">
            <v>13.49</v>
          </cell>
          <cell r="AE461">
            <v>1.73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Y461">
            <v>1684961.88</v>
          </cell>
        </row>
        <row r="462">
          <cell r="A462">
            <v>2</v>
          </cell>
          <cell r="B462" t="str">
            <v>12</v>
          </cell>
          <cell r="C462" t="str">
            <v>000</v>
          </cell>
          <cell r="D462" t="str">
            <v>1</v>
          </cell>
          <cell r="E462" t="str">
            <v>201</v>
          </cell>
          <cell r="F462" t="str">
            <v>N000</v>
          </cell>
          <cell r="G462" t="str">
            <v>212</v>
          </cell>
          <cell r="H462" t="str">
            <v>1103</v>
          </cell>
          <cell r="I462" t="str">
            <v>S01803</v>
          </cell>
          <cell r="J462" t="str">
            <v>19</v>
          </cell>
          <cell r="K462" t="str">
            <v>3</v>
          </cell>
          <cell r="L462">
            <v>37</v>
          </cell>
          <cell r="M462">
            <v>0</v>
          </cell>
          <cell r="N462">
            <v>2511.3000000000002</v>
          </cell>
          <cell r="O462" t="str">
            <v>M</v>
          </cell>
          <cell r="P462" t="str">
            <v>00000000</v>
          </cell>
          <cell r="Q462">
            <v>0</v>
          </cell>
          <cell r="R462">
            <v>362.74</v>
          </cell>
          <cell r="S462">
            <v>69.760000000000005</v>
          </cell>
          <cell r="T462">
            <v>320.19</v>
          </cell>
          <cell r="U462">
            <v>125.57</v>
          </cell>
          <cell r="V462">
            <v>45.2</v>
          </cell>
          <cell r="W462">
            <v>50.23</v>
          </cell>
          <cell r="X462">
            <v>0</v>
          </cell>
          <cell r="Y462">
            <v>0</v>
          </cell>
          <cell r="Z462">
            <v>63.98</v>
          </cell>
          <cell r="AA462">
            <v>77</v>
          </cell>
          <cell r="AB462">
            <v>96</v>
          </cell>
          <cell r="AC462">
            <v>80</v>
          </cell>
          <cell r="AD462">
            <v>13.49</v>
          </cell>
          <cell r="AE462">
            <v>2.09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Y462">
            <v>1694992.2</v>
          </cell>
        </row>
        <row r="463">
          <cell r="A463">
            <v>2</v>
          </cell>
          <cell r="B463" t="str">
            <v>12</v>
          </cell>
          <cell r="C463" t="str">
            <v>000</v>
          </cell>
          <cell r="D463" t="str">
            <v>1</v>
          </cell>
          <cell r="E463" t="str">
            <v>201</v>
          </cell>
          <cell r="F463" t="str">
            <v>N000</v>
          </cell>
          <cell r="G463" t="str">
            <v>212</v>
          </cell>
          <cell r="H463" t="str">
            <v>1103</v>
          </cell>
          <cell r="I463" t="str">
            <v>S03802</v>
          </cell>
          <cell r="J463" t="str">
            <v>20</v>
          </cell>
          <cell r="K463" t="str">
            <v>2</v>
          </cell>
          <cell r="L463">
            <v>73</v>
          </cell>
          <cell r="M463">
            <v>0</v>
          </cell>
          <cell r="N463">
            <v>2138.85</v>
          </cell>
          <cell r="O463" t="str">
            <v>M</v>
          </cell>
          <cell r="P463" t="str">
            <v>00000000</v>
          </cell>
          <cell r="Q463">
            <v>0</v>
          </cell>
          <cell r="R463">
            <v>308.94</v>
          </cell>
          <cell r="S463">
            <v>59.41</v>
          </cell>
          <cell r="T463">
            <v>272.7</v>
          </cell>
          <cell r="U463">
            <v>106.94</v>
          </cell>
          <cell r="V463">
            <v>38.5</v>
          </cell>
          <cell r="W463">
            <v>42.78</v>
          </cell>
          <cell r="X463">
            <v>0</v>
          </cell>
          <cell r="Y463">
            <v>0</v>
          </cell>
          <cell r="Z463">
            <v>55.24</v>
          </cell>
          <cell r="AA463">
            <v>77</v>
          </cell>
          <cell r="AB463">
            <v>96</v>
          </cell>
          <cell r="AC463">
            <v>80</v>
          </cell>
          <cell r="AD463">
            <v>13.49</v>
          </cell>
          <cell r="AE463">
            <v>1.78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Y463">
            <v>2883467.88</v>
          </cell>
        </row>
        <row r="464">
          <cell r="A464">
            <v>2</v>
          </cell>
          <cell r="B464" t="str">
            <v>12</v>
          </cell>
          <cell r="C464" t="str">
            <v>000</v>
          </cell>
          <cell r="D464" t="str">
            <v>1</v>
          </cell>
          <cell r="E464" t="str">
            <v>201</v>
          </cell>
          <cell r="F464" t="str">
            <v>N000</v>
          </cell>
          <cell r="G464" t="str">
            <v>212</v>
          </cell>
          <cell r="H464" t="str">
            <v>1103</v>
          </cell>
          <cell r="I464" t="str">
            <v>S03802</v>
          </cell>
          <cell r="J464" t="str">
            <v>20</v>
          </cell>
          <cell r="K464" t="str">
            <v>3</v>
          </cell>
          <cell r="L464">
            <v>21</v>
          </cell>
          <cell r="M464">
            <v>0</v>
          </cell>
          <cell r="N464">
            <v>2514.75</v>
          </cell>
          <cell r="O464" t="str">
            <v>M</v>
          </cell>
          <cell r="P464" t="str">
            <v>00000000</v>
          </cell>
          <cell r="Q464">
            <v>0</v>
          </cell>
          <cell r="R464">
            <v>363.24</v>
          </cell>
          <cell r="S464">
            <v>69.849999999999994</v>
          </cell>
          <cell r="T464">
            <v>320.63</v>
          </cell>
          <cell r="U464">
            <v>125.74</v>
          </cell>
          <cell r="V464">
            <v>45.27</v>
          </cell>
          <cell r="W464">
            <v>50.3</v>
          </cell>
          <cell r="X464">
            <v>0</v>
          </cell>
          <cell r="Y464">
            <v>0</v>
          </cell>
          <cell r="Z464">
            <v>64.06</v>
          </cell>
          <cell r="AA464">
            <v>77</v>
          </cell>
          <cell r="AB464">
            <v>96</v>
          </cell>
          <cell r="AC464">
            <v>80</v>
          </cell>
          <cell r="AD464">
            <v>13.49</v>
          </cell>
          <cell r="AE464">
            <v>2.1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Y464">
            <v>963252.36</v>
          </cell>
        </row>
        <row r="465">
          <cell r="A465">
            <v>2</v>
          </cell>
          <cell r="B465" t="str">
            <v>12</v>
          </cell>
          <cell r="C465" t="str">
            <v>000</v>
          </cell>
          <cell r="D465" t="str">
            <v>1</v>
          </cell>
          <cell r="E465" t="str">
            <v>201</v>
          </cell>
          <cell r="F465" t="str">
            <v>N000</v>
          </cell>
          <cell r="G465" t="str">
            <v>212</v>
          </cell>
          <cell r="H465" t="str">
            <v>1103</v>
          </cell>
          <cell r="I465" t="str">
            <v>S08802</v>
          </cell>
          <cell r="J465" t="str">
            <v>21</v>
          </cell>
          <cell r="K465" t="str">
            <v>3</v>
          </cell>
          <cell r="L465">
            <v>35</v>
          </cell>
          <cell r="M465">
            <v>0</v>
          </cell>
          <cell r="N465">
            <v>2612.5500000000002</v>
          </cell>
          <cell r="O465" t="str">
            <v>M</v>
          </cell>
          <cell r="P465" t="str">
            <v>00000000</v>
          </cell>
          <cell r="Q465">
            <v>0</v>
          </cell>
          <cell r="R465">
            <v>377.37</v>
          </cell>
          <cell r="S465">
            <v>72.569999999999993</v>
          </cell>
          <cell r="T465">
            <v>333.1</v>
          </cell>
          <cell r="U465">
            <v>130.63</v>
          </cell>
          <cell r="V465">
            <v>47.03</v>
          </cell>
          <cell r="W465">
            <v>52.25</v>
          </cell>
          <cell r="X465">
            <v>0</v>
          </cell>
          <cell r="Y465">
            <v>0</v>
          </cell>
          <cell r="Z465">
            <v>66.349999999999994</v>
          </cell>
          <cell r="AA465">
            <v>77</v>
          </cell>
          <cell r="AB465">
            <v>96</v>
          </cell>
          <cell r="AC465">
            <v>80</v>
          </cell>
          <cell r="AD465">
            <v>13.49</v>
          </cell>
          <cell r="AE465">
            <v>2.1800000000000002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Y465">
            <v>1663418.4</v>
          </cell>
        </row>
        <row r="466">
          <cell r="A466">
            <v>2</v>
          </cell>
          <cell r="B466" t="str">
            <v>12</v>
          </cell>
          <cell r="C466" t="str">
            <v>000</v>
          </cell>
          <cell r="D466" t="str">
            <v>1</v>
          </cell>
          <cell r="E466" t="str">
            <v>201</v>
          </cell>
          <cell r="F466" t="str">
            <v>N000</v>
          </cell>
          <cell r="G466" t="str">
            <v>212</v>
          </cell>
          <cell r="H466" t="str">
            <v>1103</v>
          </cell>
          <cell r="I466" t="str">
            <v>T02801</v>
          </cell>
          <cell r="J466" t="str">
            <v>16</v>
          </cell>
          <cell r="K466" t="str">
            <v>2</v>
          </cell>
          <cell r="L466">
            <v>5</v>
          </cell>
          <cell r="M466">
            <v>0</v>
          </cell>
          <cell r="N466">
            <v>1888.7</v>
          </cell>
          <cell r="O466" t="str">
            <v>M</v>
          </cell>
          <cell r="P466" t="str">
            <v>00000000</v>
          </cell>
          <cell r="Q466">
            <v>0</v>
          </cell>
          <cell r="R466">
            <v>272.81</v>
          </cell>
          <cell r="S466">
            <v>52.46</v>
          </cell>
          <cell r="T466">
            <v>240.81</v>
          </cell>
          <cell r="U466">
            <v>94.44</v>
          </cell>
          <cell r="V466">
            <v>34</v>
          </cell>
          <cell r="W466">
            <v>37.770000000000003</v>
          </cell>
          <cell r="X466">
            <v>0</v>
          </cell>
          <cell r="Y466">
            <v>0</v>
          </cell>
          <cell r="Z466">
            <v>49.37</v>
          </cell>
          <cell r="AA466">
            <v>77</v>
          </cell>
          <cell r="AB466">
            <v>96</v>
          </cell>
          <cell r="AC466">
            <v>80</v>
          </cell>
          <cell r="AD466">
            <v>13.49</v>
          </cell>
          <cell r="AE466">
            <v>1.57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Y466">
            <v>176305.2</v>
          </cell>
        </row>
        <row r="467">
          <cell r="A467">
            <v>2</v>
          </cell>
          <cell r="B467" t="str">
            <v>12</v>
          </cell>
          <cell r="C467" t="str">
            <v>000</v>
          </cell>
          <cell r="D467" t="str">
            <v>1</v>
          </cell>
          <cell r="E467" t="str">
            <v>201</v>
          </cell>
          <cell r="F467" t="str">
            <v>N000</v>
          </cell>
          <cell r="G467" t="str">
            <v>212</v>
          </cell>
          <cell r="H467" t="str">
            <v>1103</v>
          </cell>
          <cell r="I467" t="str">
            <v>T06803</v>
          </cell>
          <cell r="J467" t="str">
            <v>26</v>
          </cell>
          <cell r="K467" t="str">
            <v>2</v>
          </cell>
          <cell r="L467">
            <v>4</v>
          </cell>
          <cell r="M467">
            <v>0</v>
          </cell>
          <cell r="N467">
            <v>2692.2</v>
          </cell>
          <cell r="O467" t="str">
            <v>M</v>
          </cell>
          <cell r="P467" t="str">
            <v>00000000</v>
          </cell>
          <cell r="Q467">
            <v>0</v>
          </cell>
          <cell r="R467">
            <v>388.87</v>
          </cell>
          <cell r="S467">
            <v>74.78</v>
          </cell>
          <cell r="T467">
            <v>343.26</v>
          </cell>
          <cell r="U467">
            <v>134.61000000000001</v>
          </cell>
          <cell r="V467">
            <v>48.46</v>
          </cell>
          <cell r="W467">
            <v>53.84</v>
          </cell>
          <cell r="X467">
            <v>23</v>
          </cell>
          <cell r="Y467">
            <v>0</v>
          </cell>
          <cell r="Z467">
            <v>68.64</v>
          </cell>
          <cell r="AA467">
            <v>77</v>
          </cell>
          <cell r="AB467">
            <v>96</v>
          </cell>
          <cell r="AC467">
            <v>80</v>
          </cell>
          <cell r="AD467">
            <v>13.49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Y467">
            <v>196519.2</v>
          </cell>
        </row>
        <row r="468">
          <cell r="A468">
            <v>2</v>
          </cell>
          <cell r="B468" t="str">
            <v>12</v>
          </cell>
          <cell r="C468" t="str">
            <v>000</v>
          </cell>
          <cell r="D468" t="str">
            <v>1</v>
          </cell>
          <cell r="E468" t="str">
            <v>201</v>
          </cell>
          <cell r="F468" t="str">
            <v>N000</v>
          </cell>
          <cell r="G468" t="str">
            <v>212</v>
          </cell>
          <cell r="H468" t="str">
            <v>1103</v>
          </cell>
          <cell r="I468" t="str">
            <v>T06807</v>
          </cell>
          <cell r="J468" t="str">
            <v>24</v>
          </cell>
          <cell r="K468" t="str">
            <v>2</v>
          </cell>
          <cell r="L468">
            <v>2</v>
          </cell>
          <cell r="M468">
            <v>0</v>
          </cell>
          <cell r="N468">
            <v>2479.75</v>
          </cell>
          <cell r="O468" t="str">
            <v>M</v>
          </cell>
          <cell r="P468" t="str">
            <v>00000000</v>
          </cell>
          <cell r="Q468">
            <v>0</v>
          </cell>
          <cell r="R468">
            <v>358.19</v>
          </cell>
          <cell r="S468">
            <v>68.88</v>
          </cell>
          <cell r="T468">
            <v>316.17</v>
          </cell>
          <cell r="U468">
            <v>123.99</v>
          </cell>
          <cell r="V468">
            <v>44.64</v>
          </cell>
          <cell r="W468">
            <v>49.59</v>
          </cell>
          <cell r="X468">
            <v>23</v>
          </cell>
          <cell r="Y468">
            <v>0</v>
          </cell>
          <cell r="Z468">
            <v>63.66</v>
          </cell>
          <cell r="AA468">
            <v>77</v>
          </cell>
          <cell r="AB468">
            <v>96</v>
          </cell>
          <cell r="AC468">
            <v>80</v>
          </cell>
          <cell r="AD468">
            <v>13.49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Y468">
            <v>91064.639999999999</v>
          </cell>
        </row>
        <row r="469">
          <cell r="A469">
            <v>2</v>
          </cell>
          <cell r="B469" t="str">
            <v>12</v>
          </cell>
          <cell r="C469" t="str">
            <v>000</v>
          </cell>
          <cell r="D469" t="str">
            <v>1</v>
          </cell>
          <cell r="E469" t="str">
            <v>201</v>
          </cell>
          <cell r="F469" t="str">
            <v>N000</v>
          </cell>
          <cell r="G469" t="str">
            <v>212</v>
          </cell>
          <cell r="H469" t="str">
            <v>1103</v>
          </cell>
          <cell r="I469" t="str">
            <v>T09803</v>
          </cell>
          <cell r="J469" t="str">
            <v>23</v>
          </cell>
          <cell r="K469" t="str">
            <v>2</v>
          </cell>
          <cell r="L469">
            <v>5</v>
          </cell>
          <cell r="M469">
            <v>0</v>
          </cell>
          <cell r="N469">
            <v>2451.25</v>
          </cell>
          <cell r="O469" t="str">
            <v>M</v>
          </cell>
          <cell r="P469" t="str">
            <v>00000000</v>
          </cell>
          <cell r="Q469">
            <v>0</v>
          </cell>
          <cell r="R469">
            <v>354.07</v>
          </cell>
          <cell r="S469">
            <v>68.09</v>
          </cell>
          <cell r="T469">
            <v>312.52999999999997</v>
          </cell>
          <cell r="U469">
            <v>122.56</v>
          </cell>
          <cell r="V469">
            <v>44.12</v>
          </cell>
          <cell r="W469">
            <v>49.02</v>
          </cell>
          <cell r="X469">
            <v>0</v>
          </cell>
          <cell r="Y469">
            <v>0</v>
          </cell>
          <cell r="Z469">
            <v>62.57</v>
          </cell>
          <cell r="AA469">
            <v>77</v>
          </cell>
          <cell r="AB469">
            <v>96</v>
          </cell>
          <cell r="AC469">
            <v>80</v>
          </cell>
          <cell r="AD469">
            <v>13.49</v>
          </cell>
          <cell r="AE469">
            <v>2.04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Y469">
            <v>223964.4</v>
          </cell>
        </row>
        <row r="470">
          <cell r="A470">
            <v>2</v>
          </cell>
          <cell r="B470" t="str">
            <v>12</v>
          </cell>
          <cell r="C470" t="str">
            <v>000</v>
          </cell>
          <cell r="D470" t="str">
            <v>1</v>
          </cell>
          <cell r="E470" t="str">
            <v>201</v>
          </cell>
          <cell r="F470" t="str">
            <v>N000</v>
          </cell>
          <cell r="G470" t="str">
            <v>212</v>
          </cell>
          <cell r="H470" t="str">
            <v>1103</v>
          </cell>
          <cell r="I470" t="str">
            <v>CF01059</v>
          </cell>
          <cell r="J470" t="str">
            <v>28</v>
          </cell>
          <cell r="K470" t="str">
            <v>1</v>
          </cell>
          <cell r="L470">
            <v>4</v>
          </cell>
          <cell r="M470">
            <v>0</v>
          </cell>
          <cell r="N470">
            <v>3631.8</v>
          </cell>
          <cell r="O470" t="str">
            <v>M</v>
          </cell>
          <cell r="P470" t="str">
            <v>00000000</v>
          </cell>
          <cell r="Q470">
            <v>8731.1</v>
          </cell>
          <cell r="R470">
            <v>524.59</v>
          </cell>
          <cell r="S470">
            <v>100.88</v>
          </cell>
          <cell r="T470">
            <v>463.05</v>
          </cell>
          <cell r="U470">
            <v>181.59</v>
          </cell>
          <cell r="V470">
            <v>222.53</v>
          </cell>
          <cell r="W470">
            <v>72.64</v>
          </cell>
          <cell r="X470">
            <v>13.75</v>
          </cell>
          <cell r="Y470">
            <v>618.15</v>
          </cell>
          <cell r="Z470">
            <v>261.58</v>
          </cell>
          <cell r="AA470">
            <v>77</v>
          </cell>
          <cell r="AB470">
            <v>0</v>
          </cell>
          <cell r="AC470">
            <v>0</v>
          </cell>
          <cell r="AD470">
            <v>13.49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Y470">
            <v>715783.2</v>
          </cell>
        </row>
        <row r="471">
          <cell r="A471">
            <v>2</v>
          </cell>
          <cell r="B471" t="str">
            <v>12</v>
          </cell>
          <cell r="C471" t="str">
            <v>000</v>
          </cell>
          <cell r="D471" t="str">
            <v>1</v>
          </cell>
          <cell r="E471" t="str">
            <v>201</v>
          </cell>
          <cell r="F471" t="str">
            <v>N000</v>
          </cell>
          <cell r="G471" t="str">
            <v>212</v>
          </cell>
          <cell r="H471" t="str">
            <v>1103</v>
          </cell>
          <cell r="I471" t="str">
            <v>CF03809</v>
          </cell>
          <cell r="J471" t="str">
            <v>25</v>
          </cell>
          <cell r="K471" t="str">
            <v>2</v>
          </cell>
          <cell r="L471">
            <v>3</v>
          </cell>
          <cell r="M471">
            <v>0</v>
          </cell>
          <cell r="N471">
            <v>2572.4</v>
          </cell>
          <cell r="O471" t="str">
            <v>M</v>
          </cell>
          <cell r="P471" t="str">
            <v>00000000</v>
          </cell>
          <cell r="Q471">
            <v>0</v>
          </cell>
          <cell r="R471">
            <v>371.57</v>
          </cell>
          <cell r="S471">
            <v>71.459999999999994</v>
          </cell>
          <cell r="T471">
            <v>327.98</v>
          </cell>
          <cell r="U471">
            <v>128.62</v>
          </cell>
          <cell r="V471">
            <v>46.3</v>
          </cell>
          <cell r="W471">
            <v>51.45</v>
          </cell>
          <cell r="X471">
            <v>0</v>
          </cell>
          <cell r="Y471">
            <v>0</v>
          </cell>
          <cell r="Z471">
            <v>65.37</v>
          </cell>
          <cell r="AA471">
            <v>77</v>
          </cell>
          <cell r="AB471">
            <v>96</v>
          </cell>
          <cell r="AC471">
            <v>80</v>
          </cell>
          <cell r="AD471">
            <v>13.49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Y471">
            <v>140459.04</v>
          </cell>
        </row>
        <row r="472">
          <cell r="A472">
            <v>2</v>
          </cell>
          <cell r="B472" t="str">
            <v>12</v>
          </cell>
          <cell r="C472" t="str">
            <v>000</v>
          </cell>
          <cell r="D472" t="str">
            <v>1</v>
          </cell>
          <cell r="E472" t="str">
            <v>201</v>
          </cell>
          <cell r="F472" t="str">
            <v>N000</v>
          </cell>
          <cell r="G472" t="str">
            <v>212</v>
          </cell>
          <cell r="H472" t="str">
            <v>1103</v>
          </cell>
          <cell r="I472" t="str">
            <v>CF03820</v>
          </cell>
          <cell r="J472" t="str">
            <v>27Z</v>
          </cell>
          <cell r="K472" t="str">
            <v>2</v>
          </cell>
          <cell r="L472">
            <v>3</v>
          </cell>
          <cell r="M472">
            <v>0</v>
          </cell>
          <cell r="N472">
            <v>2900.25</v>
          </cell>
          <cell r="O472" t="str">
            <v>M</v>
          </cell>
          <cell r="P472" t="str">
            <v>00000000</v>
          </cell>
          <cell r="Q472">
            <v>205.15</v>
          </cell>
          <cell r="R472">
            <v>418.93</v>
          </cell>
          <cell r="S472">
            <v>80.56</v>
          </cell>
          <cell r="T472">
            <v>369.78</v>
          </cell>
          <cell r="U472">
            <v>145.01</v>
          </cell>
          <cell r="V472">
            <v>55.89</v>
          </cell>
          <cell r="W472">
            <v>58.01</v>
          </cell>
          <cell r="X472">
            <v>0</v>
          </cell>
          <cell r="Y472">
            <v>0</v>
          </cell>
          <cell r="Z472">
            <v>77.16</v>
          </cell>
          <cell r="AA472">
            <v>77</v>
          </cell>
          <cell r="AB472">
            <v>96</v>
          </cell>
          <cell r="AC472">
            <v>80</v>
          </cell>
          <cell r="AD472">
            <v>13.49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Y472">
            <v>164780.28</v>
          </cell>
        </row>
        <row r="473">
          <cell r="A473">
            <v>2</v>
          </cell>
          <cell r="B473" t="str">
            <v>12</v>
          </cell>
          <cell r="C473" t="str">
            <v>000</v>
          </cell>
          <cell r="D473" t="str">
            <v>1</v>
          </cell>
          <cell r="E473" t="str">
            <v>201</v>
          </cell>
          <cell r="F473" t="str">
            <v>N000</v>
          </cell>
          <cell r="G473" t="str">
            <v>212</v>
          </cell>
          <cell r="H473" t="str">
            <v>1103</v>
          </cell>
          <cell r="I473" t="str">
            <v>CF04806</v>
          </cell>
          <cell r="J473" t="str">
            <v>26</v>
          </cell>
          <cell r="K473" t="str">
            <v>2</v>
          </cell>
          <cell r="L473">
            <v>6</v>
          </cell>
          <cell r="M473">
            <v>0</v>
          </cell>
          <cell r="N473">
            <v>2692.2</v>
          </cell>
          <cell r="O473" t="str">
            <v>M</v>
          </cell>
          <cell r="P473" t="str">
            <v>00000000</v>
          </cell>
          <cell r="Q473">
            <v>0</v>
          </cell>
          <cell r="R473">
            <v>388.87</v>
          </cell>
          <cell r="S473">
            <v>74.78</v>
          </cell>
          <cell r="T473">
            <v>343.26</v>
          </cell>
          <cell r="U473">
            <v>134.61000000000001</v>
          </cell>
          <cell r="V473">
            <v>48.46</v>
          </cell>
          <cell r="W473">
            <v>53.84</v>
          </cell>
          <cell r="X473">
            <v>45.5</v>
          </cell>
          <cell r="Y473">
            <v>0</v>
          </cell>
          <cell r="Z473">
            <v>69.09</v>
          </cell>
          <cell r="AA473">
            <v>77</v>
          </cell>
          <cell r="AB473">
            <v>96</v>
          </cell>
          <cell r="AC473">
            <v>80</v>
          </cell>
          <cell r="AD473">
            <v>13.49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Y473">
            <v>296431.2</v>
          </cell>
        </row>
        <row r="474">
          <cell r="A474">
            <v>2</v>
          </cell>
          <cell r="B474" t="str">
            <v>12</v>
          </cell>
          <cell r="C474" t="str">
            <v>000</v>
          </cell>
          <cell r="D474" t="str">
            <v>1</v>
          </cell>
          <cell r="E474" t="str">
            <v>201</v>
          </cell>
          <cell r="F474" t="str">
            <v>N000</v>
          </cell>
          <cell r="G474" t="str">
            <v>212</v>
          </cell>
          <cell r="H474" t="str">
            <v>1103</v>
          </cell>
          <cell r="I474" t="str">
            <v>CF04807</v>
          </cell>
          <cell r="J474" t="str">
            <v>27Z</v>
          </cell>
          <cell r="K474" t="str">
            <v>2</v>
          </cell>
          <cell r="L474">
            <v>5</v>
          </cell>
          <cell r="M474">
            <v>0</v>
          </cell>
          <cell r="N474">
            <v>2900.25</v>
          </cell>
          <cell r="O474" t="str">
            <v>M</v>
          </cell>
          <cell r="P474" t="str">
            <v>00000000</v>
          </cell>
          <cell r="Q474">
            <v>205.15</v>
          </cell>
          <cell r="R474">
            <v>418.93</v>
          </cell>
          <cell r="S474">
            <v>80.56</v>
          </cell>
          <cell r="T474">
            <v>369.78</v>
          </cell>
          <cell r="U474">
            <v>145.01</v>
          </cell>
          <cell r="V474">
            <v>55.89</v>
          </cell>
          <cell r="W474">
            <v>58.01</v>
          </cell>
          <cell r="X474">
            <v>16.399999999999999</v>
          </cell>
          <cell r="Y474">
            <v>0</v>
          </cell>
          <cell r="Z474">
            <v>77.489999999999995</v>
          </cell>
          <cell r="AA474">
            <v>77</v>
          </cell>
          <cell r="AB474">
            <v>96</v>
          </cell>
          <cell r="AC474">
            <v>80</v>
          </cell>
          <cell r="AD474">
            <v>13.49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Y474">
            <v>275637.59999999998</v>
          </cell>
        </row>
        <row r="475">
          <cell r="A475">
            <v>2</v>
          </cell>
          <cell r="B475" t="str">
            <v>12</v>
          </cell>
          <cell r="C475" t="str">
            <v>000</v>
          </cell>
          <cell r="D475" t="str">
            <v>1</v>
          </cell>
          <cell r="E475" t="str">
            <v>201</v>
          </cell>
          <cell r="F475" t="str">
            <v>N000</v>
          </cell>
          <cell r="G475" t="str">
            <v>212</v>
          </cell>
          <cell r="H475" t="str">
            <v>1103</v>
          </cell>
          <cell r="I475" t="str">
            <v>CF04808</v>
          </cell>
          <cell r="J475" t="str">
            <v>27ZA</v>
          </cell>
          <cell r="K475" t="str">
            <v>2</v>
          </cell>
          <cell r="L475">
            <v>11</v>
          </cell>
          <cell r="M475">
            <v>0</v>
          </cell>
          <cell r="N475">
            <v>2982.9</v>
          </cell>
          <cell r="O475" t="str">
            <v>M</v>
          </cell>
          <cell r="P475" t="str">
            <v>00000000</v>
          </cell>
          <cell r="Q475">
            <v>579.4</v>
          </cell>
          <cell r="R475">
            <v>430.86</v>
          </cell>
          <cell r="S475">
            <v>82.86</v>
          </cell>
          <cell r="T475">
            <v>380.32</v>
          </cell>
          <cell r="U475">
            <v>149.15</v>
          </cell>
          <cell r="V475">
            <v>64.12</v>
          </cell>
          <cell r="W475">
            <v>59.66</v>
          </cell>
          <cell r="X475">
            <v>5</v>
          </cell>
          <cell r="Y475">
            <v>0</v>
          </cell>
          <cell r="Z475">
            <v>86.68</v>
          </cell>
          <cell r="AA475">
            <v>77</v>
          </cell>
          <cell r="AB475">
            <v>96</v>
          </cell>
          <cell r="AC475">
            <v>80</v>
          </cell>
          <cell r="AD475">
            <v>13.49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Y475">
            <v>671542.08</v>
          </cell>
        </row>
        <row r="476">
          <cell r="A476">
            <v>2</v>
          </cell>
          <cell r="B476" t="str">
            <v>12</v>
          </cell>
          <cell r="C476" t="str">
            <v>000</v>
          </cell>
          <cell r="D476" t="str">
            <v>1</v>
          </cell>
          <cell r="E476" t="str">
            <v>201</v>
          </cell>
          <cell r="F476" t="str">
            <v>N000</v>
          </cell>
          <cell r="G476" t="str">
            <v>212</v>
          </cell>
          <cell r="H476" t="str">
            <v>1103</v>
          </cell>
          <cell r="I476" t="str">
            <v>CF12805</v>
          </cell>
          <cell r="J476" t="str">
            <v>27Z</v>
          </cell>
          <cell r="K476" t="str">
            <v>2</v>
          </cell>
          <cell r="L476">
            <v>4</v>
          </cell>
          <cell r="M476">
            <v>0</v>
          </cell>
          <cell r="N476">
            <v>2900.25</v>
          </cell>
          <cell r="O476" t="str">
            <v>M</v>
          </cell>
          <cell r="P476" t="str">
            <v>00000000</v>
          </cell>
          <cell r="Q476">
            <v>205.15</v>
          </cell>
          <cell r="R476">
            <v>418.93</v>
          </cell>
          <cell r="S476">
            <v>80.56</v>
          </cell>
          <cell r="T476">
            <v>369.78</v>
          </cell>
          <cell r="U476">
            <v>145.01</v>
          </cell>
          <cell r="V476">
            <v>55.89</v>
          </cell>
          <cell r="W476">
            <v>58.01</v>
          </cell>
          <cell r="X476">
            <v>0</v>
          </cell>
          <cell r="Y476">
            <v>0</v>
          </cell>
          <cell r="Z476">
            <v>77.209999999999994</v>
          </cell>
          <cell r="AA476">
            <v>77</v>
          </cell>
          <cell r="AB476">
            <v>96</v>
          </cell>
          <cell r="AC476">
            <v>80</v>
          </cell>
          <cell r="AD476">
            <v>13.49</v>
          </cell>
          <cell r="AE476">
            <v>2.42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Y476">
            <v>219825.6</v>
          </cell>
        </row>
        <row r="477">
          <cell r="A477">
            <v>2</v>
          </cell>
          <cell r="B477" t="str">
            <v>12</v>
          </cell>
          <cell r="C477" t="str">
            <v>000</v>
          </cell>
          <cell r="D477" t="str">
            <v>1</v>
          </cell>
          <cell r="E477" t="str">
            <v>201</v>
          </cell>
          <cell r="F477" t="str">
            <v>N000</v>
          </cell>
          <cell r="G477" t="str">
            <v>212</v>
          </cell>
          <cell r="H477" t="str">
            <v>1103</v>
          </cell>
          <cell r="I477" t="str">
            <v>CF21858</v>
          </cell>
          <cell r="J477" t="str">
            <v>27ZA</v>
          </cell>
          <cell r="K477" t="str">
            <v>2</v>
          </cell>
          <cell r="L477">
            <v>1</v>
          </cell>
          <cell r="M477">
            <v>0</v>
          </cell>
          <cell r="N477">
            <v>2982.9</v>
          </cell>
          <cell r="O477" t="str">
            <v>M</v>
          </cell>
          <cell r="P477" t="str">
            <v>00000000</v>
          </cell>
          <cell r="Q477">
            <v>579.4</v>
          </cell>
          <cell r="R477">
            <v>430.86</v>
          </cell>
          <cell r="S477">
            <v>82.86</v>
          </cell>
          <cell r="T477">
            <v>380.32</v>
          </cell>
          <cell r="U477">
            <v>149.15</v>
          </cell>
          <cell r="V477">
            <v>64.12</v>
          </cell>
          <cell r="W477">
            <v>59.66</v>
          </cell>
          <cell r="X477">
            <v>0</v>
          </cell>
          <cell r="Y477">
            <v>0</v>
          </cell>
          <cell r="Z477">
            <v>86.58</v>
          </cell>
          <cell r="AA477">
            <v>77</v>
          </cell>
          <cell r="AB477">
            <v>96</v>
          </cell>
          <cell r="AC477">
            <v>80</v>
          </cell>
          <cell r="AD477">
            <v>13.49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Y477">
            <v>60988.08</v>
          </cell>
        </row>
        <row r="478">
          <cell r="A478">
            <v>2</v>
          </cell>
          <cell r="B478" t="str">
            <v>12</v>
          </cell>
          <cell r="C478" t="str">
            <v>000</v>
          </cell>
          <cell r="D478" t="str">
            <v>1</v>
          </cell>
          <cell r="E478" t="str">
            <v>201</v>
          </cell>
          <cell r="F478" t="str">
            <v>N000</v>
          </cell>
          <cell r="G478" t="str">
            <v>212</v>
          </cell>
          <cell r="H478" t="str">
            <v>1103</v>
          </cell>
          <cell r="I478" t="str">
            <v>CF21859</v>
          </cell>
          <cell r="J478" t="str">
            <v>27ZB</v>
          </cell>
          <cell r="K478" t="str">
            <v>2</v>
          </cell>
          <cell r="L478">
            <v>4</v>
          </cell>
          <cell r="M478">
            <v>0</v>
          </cell>
          <cell r="N478">
            <v>3008.65</v>
          </cell>
          <cell r="O478" t="str">
            <v>M</v>
          </cell>
          <cell r="P478" t="str">
            <v>00000000</v>
          </cell>
          <cell r="Q478">
            <v>857</v>
          </cell>
          <cell r="R478">
            <v>434.58</v>
          </cell>
          <cell r="S478">
            <v>83.57</v>
          </cell>
          <cell r="T478">
            <v>383.6</v>
          </cell>
          <cell r="U478">
            <v>150.43</v>
          </cell>
          <cell r="V478">
            <v>69.59</v>
          </cell>
          <cell r="W478">
            <v>60.17</v>
          </cell>
          <cell r="X478">
            <v>32</v>
          </cell>
          <cell r="Y478">
            <v>0</v>
          </cell>
          <cell r="Z478">
            <v>93.38</v>
          </cell>
          <cell r="AA478">
            <v>77</v>
          </cell>
          <cell r="AB478">
            <v>96</v>
          </cell>
          <cell r="AC478">
            <v>80</v>
          </cell>
          <cell r="AD478">
            <v>13.49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Y478">
            <v>261094.08</v>
          </cell>
        </row>
        <row r="479">
          <cell r="A479">
            <v>2</v>
          </cell>
          <cell r="B479" t="str">
            <v>12</v>
          </cell>
          <cell r="C479" t="str">
            <v>000</v>
          </cell>
          <cell r="D479" t="str">
            <v>1</v>
          </cell>
          <cell r="E479" t="str">
            <v>201</v>
          </cell>
          <cell r="F479" t="str">
            <v>N000</v>
          </cell>
          <cell r="G479" t="str">
            <v>212</v>
          </cell>
          <cell r="H479" t="str">
            <v>1103</v>
          </cell>
          <cell r="I479" t="str">
            <v>CF21864</v>
          </cell>
          <cell r="J479" t="str">
            <v>27C</v>
          </cell>
          <cell r="K479" t="str">
            <v>1</v>
          </cell>
          <cell r="L479">
            <v>5</v>
          </cell>
          <cell r="M479">
            <v>0</v>
          </cell>
          <cell r="N479">
            <v>3268.2</v>
          </cell>
          <cell r="O479" t="str">
            <v>M</v>
          </cell>
          <cell r="P479" t="str">
            <v>00000000</v>
          </cell>
          <cell r="Q479">
            <v>4783.05</v>
          </cell>
          <cell r="R479">
            <v>472.07</v>
          </cell>
          <cell r="S479">
            <v>90.78</v>
          </cell>
          <cell r="T479">
            <v>416.7</v>
          </cell>
          <cell r="U479">
            <v>163.41</v>
          </cell>
          <cell r="V479">
            <v>144.91999999999999</v>
          </cell>
          <cell r="W479">
            <v>65.36</v>
          </cell>
          <cell r="X479">
            <v>27.2</v>
          </cell>
          <cell r="Y479">
            <v>0</v>
          </cell>
          <cell r="Z479">
            <v>174.37</v>
          </cell>
          <cell r="AA479">
            <v>77</v>
          </cell>
          <cell r="AB479">
            <v>0</v>
          </cell>
          <cell r="AC479">
            <v>0</v>
          </cell>
          <cell r="AD479">
            <v>13.49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Y479">
            <v>581793</v>
          </cell>
        </row>
        <row r="480">
          <cell r="A480">
            <v>2</v>
          </cell>
          <cell r="B480" t="str">
            <v>12</v>
          </cell>
          <cell r="C480" t="str">
            <v>000</v>
          </cell>
          <cell r="D480" t="str">
            <v>1</v>
          </cell>
          <cell r="E480" t="str">
            <v>201</v>
          </cell>
          <cell r="F480" t="str">
            <v>N000</v>
          </cell>
          <cell r="G480" t="str">
            <v>212</v>
          </cell>
          <cell r="H480" t="str">
            <v>1103</v>
          </cell>
          <cell r="I480" t="str">
            <v>CF21865</v>
          </cell>
          <cell r="J480" t="str">
            <v>27B</v>
          </cell>
          <cell r="K480" t="str">
            <v>1</v>
          </cell>
          <cell r="L480">
            <v>3</v>
          </cell>
          <cell r="M480">
            <v>0</v>
          </cell>
          <cell r="N480">
            <v>3222.2</v>
          </cell>
          <cell r="O480" t="str">
            <v>M</v>
          </cell>
          <cell r="P480" t="str">
            <v>00000000</v>
          </cell>
          <cell r="Q480">
            <v>3558.85</v>
          </cell>
          <cell r="R480">
            <v>465.43</v>
          </cell>
          <cell r="S480">
            <v>89.51</v>
          </cell>
          <cell r="T480">
            <v>410.83</v>
          </cell>
          <cell r="U480">
            <v>161.11000000000001</v>
          </cell>
          <cell r="V480">
            <v>122.06</v>
          </cell>
          <cell r="W480">
            <v>64.44</v>
          </cell>
          <cell r="X480">
            <v>36.67</v>
          </cell>
          <cell r="Y480">
            <v>0</v>
          </cell>
          <cell r="Z480">
            <v>148.99</v>
          </cell>
          <cell r="AA480">
            <v>77</v>
          </cell>
          <cell r="AB480">
            <v>0</v>
          </cell>
          <cell r="AC480">
            <v>0</v>
          </cell>
          <cell r="AD480">
            <v>13.49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Y480">
            <v>301340.88</v>
          </cell>
        </row>
        <row r="481">
          <cell r="A481">
            <v>2</v>
          </cell>
          <cell r="B481" t="str">
            <v>12</v>
          </cell>
          <cell r="C481" t="str">
            <v>000</v>
          </cell>
          <cell r="D481" t="str">
            <v>1</v>
          </cell>
          <cell r="E481" t="str">
            <v>201</v>
          </cell>
          <cell r="F481" t="str">
            <v>N000</v>
          </cell>
          <cell r="G481" t="str">
            <v>212</v>
          </cell>
          <cell r="H481" t="str">
            <v>1103</v>
          </cell>
          <cell r="I481" t="str">
            <v>CF21866</v>
          </cell>
          <cell r="J481" t="str">
            <v>27A</v>
          </cell>
          <cell r="K481" t="str">
            <v>1</v>
          </cell>
          <cell r="L481">
            <v>1</v>
          </cell>
          <cell r="M481">
            <v>0</v>
          </cell>
          <cell r="N481">
            <v>3185.4</v>
          </cell>
          <cell r="O481" t="str">
            <v>M</v>
          </cell>
          <cell r="P481" t="str">
            <v>00000000</v>
          </cell>
          <cell r="Q481">
            <v>2791.7</v>
          </cell>
          <cell r="R481">
            <v>460.11</v>
          </cell>
          <cell r="S481">
            <v>88.48</v>
          </cell>
          <cell r="T481">
            <v>406.14</v>
          </cell>
          <cell r="U481">
            <v>159.27000000000001</v>
          </cell>
          <cell r="V481">
            <v>107.59</v>
          </cell>
          <cell r="W481">
            <v>63.71</v>
          </cell>
          <cell r="X481">
            <v>46</v>
          </cell>
          <cell r="Y481">
            <v>0</v>
          </cell>
          <cell r="Z481">
            <v>132.97</v>
          </cell>
          <cell r="AA481">
            <v>77</v>
          </cell>
          <cell r="AB481">
            <v>0</v>
          </cell>
          <cell r="AC481">
            <v>0</v>
          </cell>
          <cell r="AD481">
            <v>13.49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Y481">
            <v>90382.32</v>
          </cell>
        </row>
        <row r="482">
          <cell r="A482">
            <v>2</v>
          </cell>
          <cell r="B482" t="str">
            <v>12</v>
          </cell>
          <cell r="C482" t="str">
            <v>000</v>
          </cell>
          <cell r="D482" t="str">
            <v>1</v>
          </cell>
          <cell r="E482" t="str">
            <v>201</v>
          </cell>
          <cell r="F482" t="str">
            <v>N000</v>
          </cell>
          <cell r="G482" t="str">
            <v>212</v>
          </cell>
          <cell r="H482" t="str">
            <v>1103</v>
          </cell>
          <cell r="I482" t="str">
            <v>CF21868</v>
          </cell>
          <cell r="J482" t="str">
            <v>27A</v>
          </cell>
          <cell r="K482" t="str">
            <v>1</v>
          </cell>
          <cell r="L482">
            <v>15</v>
          </cell>
          <cell r="M482">
            <v>0</v>
          </cell>
          <cell r="N482">
            <v>3185.4</v>
          </cell>
          <cell r="O482" t="str">
            <v>M</v>
          </cell>
          <cell r="P482" t="str">
            <v>00000000</v>
          </cell>
          <cell r="Q482">
            <v>2791.7</v>
          </cell>
          <cell r="R482">
            <v>460.11</v>
          </cell>
          <cell r="S482">
            <v>88.48</v>
          </cell>
          <cell r="T482">
            <v>406.14</v>
          </cell>
          <cell r="U482">
            <v>159.27000000000001</v>
          </cell>
          <cell r="V482">
            <v>107.59</v>
          </cell>
          <cell r="W482">
            <v>63.71</v>
          </cell>
          <cell r="X482">
            <v>0</v>
          </cell>
          <cell r="Y482">
            <v>0</v>
          </cell>
          <cell r="Z482">
            <v>132.11000000000001</v>
          </cell>
          <cell r="AA482">
            <v>77</v>
          </cell>
          <cell r="AB482">
            <v>0</v>
          </cell>
          <cell r="AC482">
            <v>0</v>
          </cell>
          <cell r="AD482">
            <v>13.49</v>
          </cell>
          <cell r="AE482">
            <v>2.65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Y482">
            <v>1347777</v>
          </cell>
        </row>
        <row r="483">
          <cell r="A483">
            <v>2</v>
          </cell>
          <cell r="B483" t="str">
            <v>12</v>
          </cell>
          <cell r="C483" t="str">
            <v>000</v>
          </cell>
          <cell r="D483" t="str">
            <v>1</v>
          </cell>
          <cell r="E483" t="str">
            <v>201</v>
          </cell>
          <cell r="F483" t="str">
            <v>N000</v>
          </cell>
          <cell r="G483" t="str">
            <v>212</v>
          </cell>
          <cell r="H483" t="str">
            <v>1103</v>
          </cell>
          <cell r="I483" t="str">
            <v>CF21905</v>
          </cell>
          <cell r="J483" t="str">
            <v>27H</v>
          </cell>
          <cell r="K483" t="str">
            <v>1</v>
          </cell>
          <cell r="L483">
            <v>1</v>
          </cell>
          <cell r="M483">
            <v>0</v>
          </cell>
          <cell r="N483">
            <v>4311.3999999999996</v>
          </cell>
          <cell r="O483" t="str">
            <v>M</v>
          </cell>
          <cell r="P483" t="str">
            <v>00000000</v>
          </cell>
          <cell r="Q483">
            <v>15441.65</v>
          </cell>
          <cell r="R483">
            <v>622.76</v>
          </cell>
          <cell r="S483">
            <v>119.76</v>
          </cell>
          <cell r="T483">
            <v>549.70000000000005</v>
          </cell>
          <cell r="U483">
            <v>215.57</v>
          </cell>
          <cell r="V483">
            <v>355.56</v>
          </cell>
          <cell r="W483">
            <v>86.23</v>
          </cell>
          <cell r="X483">
            <v>0</v>
          </cell>
          <cell r="Y483">
            <v>987.65</v>
          </cell>
          <cell r="Z483">
            <v>411.45</v>
          </cell>
          <cell r="AA483">
            <v>77</v>
          </cell>
          <cell r="AB483">
            <v>0</v>
          </cell>
          <cell r="AC483">
            <v>0</v>
          </cell>
          <cell r="AD483">
            <v>13.49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Y483">
            <v>278306.64</v>
          </cell>
        </row>
        <row r="484">
          <cell r="A484">
            <v>2</v>
          </cell>
          <cell r="B484" t="str">
            <v>12</v>
          </cell>
          <cell r="C484" t="str">
            <v>000</v>
          </cell>
          <cell r="D484" t="str">
            <v>1</v>
          </cell>
          <cell r="E484" t="str">
            <v>201</v>
          </cell>
          <cell r="F484" t="str">
            <v>N000</v>
          </cell>
          <cell r="G484" t="str">
            <v>212</v>
          </cell>
          <cell r="H484" t="str">
            <v>1103</v>
          </cell>
          <cell r="I484" t="str">
            <v>CF33834</v>
          </cell>
          <cell r="J484" t="str">
            <v>27</v>
          </cell>
          <cell r="K484" t="str">
            <v>2</v>
          </cell>
          <cell r="L484">
            <v>4</v>
          </cell>
          <cell r="M484">
            <v>0</v>
          </cell>
          <cell r="N484">
            <v>2817.8</v>
          </cell>
          <cell r="O484" t="str">
            <v>M</v>
          </cell>
          <cell r="P484" t="str">
            <v>00000000</v>
          </cell>
          <cell r="Q484">
            <v>0</v>
          </cell>
          <cell r="R484">
            <v>407.02</v>
          </cell>
          <cell r="S484">
            <v>78.27</v>
          </cell>
          <cell r="T484">
            <v>359.27</v>
          </cell>
          <cell r="U484">
            <v>140.88999999999999</v>
          </cell>
          <cell r="V484">
            <v>50.72</v>
          </cell>
          <cell r="W484">
            <v>56.36</v>
          </cell>
          <cell r="X484">
            <v>75</v>
          </cell>
          <cell r="Y484">
            <v>0</v>
          </cell>
          <cell r="Z484">
            <v>72.63</v>
          </cell>
          <cell r="AA484">
            <v>77</v>
          </cell>
          <cell r="AB484">
            <v>96</v>
          </cell>
          <cell r="AC484">
            <v>80</v>
          </cell>
          <cell r="AD484">
            <v>13.49</v>
          </cell>
          <cell r="AE484">
            <v>0.59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Y484">
            <v>207601.92000000001</v>
          </cell>
        </row>
        <row r="485">
          <cell r="A485">
            <v>2</v>
          </cell>
          <cell r="B485" t="str">
            <v>12</v>
          </cell>
          <cell r="C485" t="str">
            <v>000</v>
          </cell>
          <cell r="D485" t="str">
            <v>1</v>
          </cell>
          <cell r="E485" t="str">
            <v>201</v>
          </cell>
          <cell r="F485" t="str">
            <v>N000</v>
          </cell>
          <cell r="G485" t="str">
            <v>212</v>
          </cell>
          <cell r="H485" t="str">
            <v>1103</v>
          </cell>
          <cell r="I485" t="str">
            <v>CF33891</v>
          </cell>
          <cell r="J485" t="str">
            <v>22</v>
          </cell>
          <cell r="K485" t="str">
            <v>2</v>
          </cell>
          <cell r="L485">
            <v>1</v>
          </cell>
          <cell r="M485">
            <v>0</v>
          </cell>
          <cell r="N485">
            <v>2342.3000000000002</v>
          </cell>
          <cell r="O485" t="str">
            <v>M</v>
          </cell>
          <cell r="P485" t="str">
            <v>00000000</v>
          </cell>
          <cell r="Q485">
            <v>0</v>
          </cell>
          <cell r="R485">
            <v>338.33</v>
          </cell>
          <cell r="S485">
            <v>65.06</v>
          </cell>
          <cell r="T485">
            <v>298.64</v>
          </cell>
          <cell r="U485">
            <v>117.12</v>
          </cell>
          <cell r="V485">
            <v>42.16</v>
          </cell>
          <cell r="W485">
            <v>46.85</v>
          </cell>
          <cell r="X485">
            <v>0</v>
          </cell>
          <cell r="Y485">
            <v>0</v>
          </cell>
          <cell r="Z485">
            <v>59.97</v>
          </cell>
          <cell r="AA485">
            <v>77</v>
          </cell>
          <cell r="AB485">
            <v>96</v>
          </cell>
          <cell r="AC485">
            <v>80</v>
          </cell>
          <cell r="AD485">
            <v>13.49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Y485">
            <v>42923.040000000001</v>
          </cell>
        </row>
        <row r="486">
          <cell r="A486">
            <v>2</v>
          </cell>
          <cell r="B486" t="str">
            <v>12</v>
          </cell>
          <cell r="C486" t="str">
            <v>000</v>
          </cell>
          <cell r="D486" t="str">
            <v>1</v>
          </cell>
          <cell r="E486" t="str">
            <v>201</v>
          </cell>
          <cell r="F486" t="str">
            <v>N000</v>
          </cell>
          <cell r="G486" t="str">
            <v>212</v>
          </cell>
          <cell r="H486" t="str">
            <v>1103</v>
          </cell>
          <cell r="I486" t="str">
            <v>CF33892</v>
          </cell>
          <cell r="J486" t="str">
            <v>27ZA</v>
          </cell>
          <cell r="K486" t="str">
            <v>2</v>
          </cell>
          <cell r="L486">
            <v>39</v>
          </cell>
          <cell r="M486">
            <v>0</v>
          </cell>
          <cell r="N486">
            <v>2982.9</v>
          </cell>
          <cell r="O486" t="str">
            <v>M</v>
          </cell>
          <cell r="P486" t="str">
            <v>00000000</v>
          </cell>
          <cell r="Q486">
            <v>579.4</v>
          </cell>
          <cell r="R486">
            <v>430.86</v>
          </cell>
          <cell r="S486">
            <v>82.86</v>
          </cell>
          <cell r="T486">
            <v>380.32</v>
          </cell>
          <cell r="U486">
            <v>149.15</v>
          </cell>
          <cell r="V486">
            <v>64.12</v>
          </cell>
          <cell r="W486">
            <v>59.66</v>
          </cell>
          <cell r="X486">
            <v>50.82</v>
          </cell>
          <cell r="Y486">
            <v>0</v>
          </cell>
          <cell r="Z486">
            <v>87.6</v>
          </cell>
          <cell r="AA486">
            <v>77</v>
          </cell>
          <cell r="AB486">
            <v>96</v>
          </cell>
          <cell r="AC486">
            <v>80</v>
          </cell>
          <cell r="AD486">
            <v>13.49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Y486">
            <v>2402796.2400000002</v>
          </cell>
        </row>
        <row r="487">
          <cell r="A487">
            <v>2</v>
          </cell>
          <cell r="B487" t="str">
            <v>12</v>
          </cell>
          <cell r="C487" t="str">
            <v>000</v>
          </cell>
          <cell r="D487" t="str">
            <v>1</v>
          </cell>
          <cell r="E487" t="str">
            <v>201</v>
          </cell>
          <cell r="F487" t="str">
            <v>N000</v>
          </cell>
          <cell r="G487" t="str">
            <v>212</v>
          </cell>
          <cell r="H487" t="str">
            <v>1103</v>
          </cell>
          <cell r="I487" t="str">
            <v>CF41015</v>
          </cell>
          <cell r="K487" t="str">
            <v>2</v>
          </cell>
          <cell r="L487">
            <v>22</v>
          </cell>
          <cell r="M487">
            <v>0</v>
          </cell>
          <cell r="N487">
            <v>7285</v>
          </cell>
          <cell r="O487" t="str">
            <v>M</v>
          </cell>
          <cell r="P487" t="str">
            <v>00000000</v>
          </cell>
          <cell r="Q487">
            <v>0</v>
          </cell>
          <cell r="R487">
            <v>1052.28</v>
          </cell>
          <cell r="S487">
            <v>202.36</v>
          </cell>
          <cell r="T487">
            <v>928.84</v>
          </cell>
          <cell r="U487">
            <v>364.25</v>
          </cell>
          <cell r="V487">
            <v>131.13</v>
          </cell>
          <cell r="W487">
            <v>145.69999999999999</v>
          </cell>
          <cell r="X487">
            <v>2.09</v>
          </cell>
          <cell r="Y487">
            <v>0</v>
          </cell>
          <cell r="Z487">
            <v>268.32</v>
          </cell>
          <cell r="AA487">
            <v>77</v>
          </cell>
          <cell r="AB487">
            <v>96</v>
          </cell>
          <cell r="AC487">
            <v>80</v>
          </cell>
          <cell r="AD487">
            <v>13.49</v>
          </cell>
          <cell r="AE487">
            <v>6.07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4615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Y487">
            <v>4030627.92</v>
          </cell>
        </row>
        <row r="488">
          <cell r="A488">
            <v>2</v>
          </cell>
          <cell r="B488" t="str">
            <v>12</v>
          </cell>
          <cell r="C488" t="str">
            <v>000</v>
          </cell>
          <cell r="D488" t="str">
            <v>1</v>
          </cell>
          <cell r="E488" t="str">
            <v>201</v>
          </cell>
          <cell r="F488" t="str">
            <v>N000</v>
          </cell>
          <cell r="G488" t="str">
            <v>212</v>
          </cell>
          <cell r="H488" t="str">
            <v>1103</v>
          </cell>
          <cell r="I488" t="str">
            <v>CF41015</v>
          </cell>
          <cell r="K488" t="str">
            <v>3</v>
          </cell>
          <cell r="L488">
            <v>2</v>
          </cell>
          <cell r="M488">
            <v>0</v>
          </cell>
          <cell r="N488">
            <v>7839</v>
          </cell>
          <cell r="O488" t="str">
            <v>M</v>
          </cell>
          <cell r="P488" t="str">
            <v>00000000</v>
          </cell>
          <cell r="Q488">
            <v>0</v>
          </cell>
          <cell r="R488">
            <v>1132.3</v>
          </cell>
          <cell r="S488">
            <v>217.75</v>
          </cell>
          <cell r="T488">
            <v>999.47</v>
          </cell>
          <cell r="U488">
            <v>391.95</v>
          </cell>
          <cell r="V488">
            <v>141.1</v>
          </cell>
          <cell r="W488">
            <v>156.78</v>
          </cell>
          <cell r="X488">
            <v>0</v>
          </cell>
          <cell r="Y488">
            <v>0</v>
          </cell>
          <cell r="Z488">
            <v>289.31</v>
          </cell>
          <cell r="AA488">
            <v>77</v>
          </cell>
          <cell r="AB488">
            <v>96</v>
          </cell>
          <cell r="AC488">
            <v>80</v>
          </cell>
          <cell r="AD488">
            <v>13.49</v>
          </cell>
          <cell r="AE488">
            <v>6.53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5017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Y488">
            <v>394984.32</v>
          </cell>
        </row>
        <row r="489">
          <cell r="A489">
            <v>2</v>
          </cell>
          <cell r="B489" t="str">
            <v>12</v>
          </cell>
          <cell r="C489" t="str">
            <v>000</v>
          </cell>
          <cell r="D489" t="str">
            <v>1</v>
          </cell>
          <cell r="E489" t="str">
            <v>201</v>
          </cell>
          <cell r="F489" t="str">
            <v>N000</v>
          </cell>
          <cell r="G489" t="str">
            <v>212</v>
          </cell>
          <cell r="H489" t="str">
            <v>1103</v>
          </cell>
          <cell r="I489" t="str">
            <v>CF41043</v>
          </cell>
          <cell r="K489" t="str">
            <v>2</v>
          </cell>
          <cell r="L489">
            <v>2</v>
          </cell>
          <cell r="M489">
            <v>0</v>
          </cell>
          <cell r="N489">
            <v>11280.9</v>
          </cell>
          <cell r="O489" t="str">
            <v>M</v>
          </cell>
          <cell r="P489" t="str">
            <v>00000000</v>
          </cell>
          <cell r="Q489">
            <v>0</v>
          </cell>
          <cell r="R489">
            <v>1629.46</v>
          </cell>
          <cell r="S489">
            <v>313.36</v>
          </cell>
          <cell r="T489">
            <v>1438.31</v>
          </cell>
          <cell r="U489">
            <v>564.04</v>
          </cell>
          <cell r="V489">
            <v>203.06</v>
          </cell>
          <cell r="W489">
            <v>225.62</v>
          </cell>
          <cell r="X489">
            <v>0</v>
          </cell>
          <cell r="Y489">
            <v>0</v>
          </cell>
          <cell r="Z489">
            <v>269.72000000000003</v>
          </cell>
          <cell r="AA489">
            <v>77</v>
          </cell>
          <cell r="AB489">
            <v>96</v>
          </cell>
          <cell r="AC489">
            <v>80</v>
          </cell>
          <cell r="AD489">
            <v>13.49</v>
          </cell>
          <cell r="AE489">
            <v>9.4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Y489">
            <v>388808.64</v>
          </cell>
        </row>
        <row r="490">
          <cell r="A490">
            <v>2</v>
          </cell>
          <cell r="B490" t="str">
            <v>12</v>
          </cell>
          <cell r="C490" t="str">
            <v>000</v>
          </cell>
          <cell r="D490" t="str">
            <v>1</v>
          </cell>
          <cell r="E490" t="str">
            <v>201</v>
          </cell>
          <cell r="F490" t="str">
            <v>N000</v>
          </cell>
          <cell r="G490" t="str">
            <v>212</v>
          </cell>
          <cell r="H490" t="str">
            <v>1103</v>
          </cell>
          <cell r="I490" t="str">
            <v>CF52317</v>
          </cell>
          <cell r="J490" t="str">
            <v>30</v>
          </cell>
          <cell r="K490" t="str">
            <v>1</v>
          </cell>
          <cell r="L490">
            <v>1</v>
          </cell>
          <cell r="M490">
            <v>0</v>
          </cell>
          <cell r="N490">
            <v>5431.75</v>
          </cell>
          <cell r="O490" t="str">
            <v>M</v>
          </cell>
          <cell r="P490" t="str">
            <v>00000000</v>
          </cell>
          <cell r="Q490">
            <v>24512.85</v>
          </cell>
          <cell r="R490">
            <v>784.59</v>
          </cell>
          <cell r="S490">
            <v>150.88</v>
          </cell>
          <cell r="T490">
            <v>692.55</v>
          </cell>
          <cell r="U490">
            <v>271.58999999999997</v>
          </cell>
          <cell r="V490">
            <v>539</v>
          </cell>
          <cell r="W490">
            <v>108.64</v>
          </cell>
          <cell r="X490">
            <v>0</v>
          </cell>
          <cell r="Y490">
            <v>1497.23</v>
          </cell>
          <cell r="Z490">
            <v>619.14</v>
          </cell>
          <cell r="AA490">
            <v>77</v>
          </cell>
          <cell r="AB490">
            <v>0</v>
          </cell>
          <cell r="AC490">
            <v>0</v>
          </cell>
          <cell r="AD490">
            <v>13.49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Y490">
            <v>416384.52</v>
          </cell>
        </row>
        <row r="491">
          <cell r="A491">
            <v>2</v>
          </cell>
          <cell r="B491" t="str">
            <v>12</v>
          </cell>
          <cell r="C491" t="str">
            <v>000</v>
          </cell>
          <cell r="D491" t="str">
            <v>1</v>
          </cell>
          <cell r="E491" t="str">
            <v>101</v>
          </cell>
          <cell r="F491" t="str">
            <v>N000</v>
          </cell>
          <cell r="G491" t="str">
            <v>300</v>
          </cell>
          <cell r="H491" t="str">
            <v>1103</v>
          </cell>
          <cell r="I491" t="str">
            <v>A01803</v>
          </cell>
          <cell r="J491" t="str">
            <v>19</v>
          </cell>
          <cell r="K491" t="str">
            <v>2</v>
          </cell>
          <cell r="L491">
            <v>2</v>
          </cell>
          <cell r="M491">
            <v>0</v>
          </cell>
          <cell r="N491">
            <v>2120.3000000000002</v>
          </cell>
          <cell r="O491" t="str">
            <v>M</v>
          </cell>
          <cell r="P491" t="str">
            <v>00000000</v>
          </cell>
          <cell r="Q491">
            <v>0</v>
          </cell>
          <cell r="R491">
            <v>306.27</v>
          </cell>
          <cell r="S491">
            <v>58.9</v>
          </cell>
          <cell r="T491">
            <v>270.33999999999997</v>
          </cell>
          <cell r="U491">
            <v>106.02</v>
          </cell>
          <cell r="V491">
            <v>38.17</v>
          </cell>
          <cell r="W491">
            <v>42.41</v>
          </cell>
          <cell r="X491">
            <v>50.5</v>
          </cell>
          <cell r="Y491">
            <v>0</v>
          </cell>
          <cell r="Z491">
            <v>55.78</v>
          </cell>
          <cell r="AA491">
            <v>77</v>
          </cell>
          <cell r="AB491">
            <v>96</v>
          </cell>
          <cell r="AC491">
            <v>80</v>
          </cell>
          <cell r="AD491">
            <v>13.49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Y491">
            <v>79564.320000000007</v>
          </cell>
        </row>
        <row r="492">
          <cell r="A492">
            <v>2</v>
          </cell>
          <cell r="B492" t="str">
            <v>12</v>
          </cell>
          <cell r="C492" t="str">
            <v>000</v>
          </cell>
          <cell r="D492" t="str">
            <v>1</v>
          </cell>
          <cell r="E492" t="str">
            <v>101</v>
          </cell>
          <cell r="F492" t="str">
            <v>N000</v>
          </cell>
          <cell r="G492" t="str">
            <v>300</v>
          </cell>
          <cell r="H492" t="str">
            <v>1103</v>
          </cell>
          <cell r="I492" t="str">
            <v>A01807</v>
          </cell>
          <cell r="J492" t="str">
            <v>27</v>
          </cell>
          <cell r="K492" t="str">
            <v>2</v>
          </cell>
          <cell r="L492">
            <v>18</v>
          </cell>
          <cell r="M492">
            <v>0</v>
          </cell>
          <cell r="N492">
            <v>2817.8</v>
          </cell>
          <cell r="O492" t="str">
            <v>M</v>
          </cell>
          <cell r="P492" t="str">
            <v>00000000</v>
          </cell>
          <cell r="Q492">
            <v>0</v>
          </cell>
          <cell r="R492">
            <v>407.02</v>
          </cell>
          <cell r="S492">
            <v>78.27</v>
          </cell>
          <cell r="T492">
            <v>359.27</v>
          </cell>
          <cell r="U492">
            <v>140.88999999999999</v>
          </cell>
          <cell r="V492">
            <v>50.72</v>
          </cell>
          <cell r="W492">
            <v>56.36</v>
          </cell>
          <cell r="X492">
            <v>50.5</v>
          </cell>
          <cell r="Y492">
            <v>0</v>
          </cell>
          <cell r="Z492">
            <v>72.13</v>
          </cell>
          <cell r="AA492">
            <v>77</v>
          </cell>
          <cell r="AB492">
            <v>96</v>
          </cell>
          <cell r="AC492">
            <v>80</v>
          </cell>
          <cell r="AD492">
            <v>13.49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Y492">
            <v>928681.2</v>
          </cell>
        </row>
        <row r="493">
          <cell r="A493">
            <v>2</v>
          </cell>
          <cell r="B493" t="str">
            <v>12</v>
          </cell>
          <cell r="C493" t="str">
            <v>000</v>
          </cell>
          <cell r="D493" t="str">
            <v>1</v>
          </cell>
          <cell r="E493" t="str">
            <v>101</v>
          </cell>
          <cell r="F493" t="str">
            <v>N000</v>
          </cell>
          <cell r="G493" t="str">
            <v>300</v>
          </cell>
          <cell r="H493" t="str">
            <v>1103</v>
          </cell>
          <cell r="I493" t="str">
            <v>A03803</v>
          </cell>
          <cell r="J493" t="str">
            <v>20</v>
          </cell>
          <cell r="K493" t="str">
            <v>2</v>
          </cell>
          <cell r="L493">
            <v>1</v>
          </cell>
          <cell r="M493">
            <v>0</v>
          </cell>
          <cell r="N493">
            <v>2138.85</v>
          </cell>
          <cell r="O493" t="str">
            <v>M</v>
          </cell>
          <cell r="P493" t="str">
            <v>00000000</v>
          </cell>
          <cell r="Q493">
            <v>0</v>
          </cell>
          <cell r="R493">
            <v>308.94</v>
          </cell>
          <cell r="S493">
            <v>59.41</v>
          </cell>
          <cell r="T493">
            <v>272.7</v>
          </cell>
          <cell r="U493">
            <v>106.94</v>
          </cell>
          <cell r="V493">
            <v>38.5</v>
          </cell>
          <cell r="W493">
            <v>42.78</v>
          </cell>
          <cell r="X493">
            <v>0</v>
          </cell>
          <cell r="Y493">
            <v>0</v>
          </cell>
          <cell r="Z493">
            <v>55.2</v>
          </cell>
          <cell r="AA493">
            <v>77</v>
          </cell>
          <cell r="AB493">
            <v>96</v>
          </cell>
          <cell r="AC493">
            <v>80</v>
          </cell>
          <cell r="AD493">
            <v>13.49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Y493">
            <v>39477.72</v>
          </cell>
        </row>
        <row r="494">
          <cell r="A494">
            <v>2</v>
          </cell>
          <cell r="B494" t="str">
            <v>12</v>
          </cell>
          <cell r="C494" t="str">
            <v>000</v>
          </cell>
          <cell r="D494" t="str">
            <v>1</v>
          </cell>
          <cell r="E494" t="str">
            <v>101</v>
          </cell>
          <cell r="F494" t="str">
            <v>N000</v>
          </cell>
          <cell r="G494" t="str">
            <v>300</v>
          </cell>
          <cell r="H494" t="str">
            <v>1103</v>
          </cell>
          <cell r="I494" t="str">
            <v>A03804</v>
          </cell>
          <cell r="J494" t="str">
            <v>23</v>
          </cell>
          <cell r="K494" t="str">
            <v>2</v>
          </cell>
          <cell r="L494">
            <v>3</v>
          </cell>
          <cell r="M494">
            <v>0</v>
          </cell>
          <cell r="N494">
            <v>2451.25</v>
          </cell>
          <cell r="O494" t="str">
            <v>M</v>
          </cell>
          <cell r="P494" t="str">
            <v>00000000</v>
          </cell>
          <cell r="Q494">
            <v>0</v>
          </cell>
          <cell r="R494">
            <v>354.07</v>
          </cell>
          <cell r="S494">
            <v>68.09</v>
          </cell>
          <cell r="T494">
            <v>312.52999999999997</v>
          </cell>
          <cell r="U494">
            <v>122.56</v>
          </cell>
          <cell r="V494">
            <v>44.12</v>
          </cell>
          <cell r="W494">
            <v>49.02</v>
          </cell>
          <cell r="X494">
            <v>79</v>
          </cell>
          <cell r="Y494">
            <v>0</v>
          </cell>
          <cell r="Z494">
            <v>64.11</v>
          </cell>
          <cell r="AA494">
            <v>77</v>
          </cell>
          <cell r="AB494">
            <v>96</v>
          </cell>
          <cell r="AC494">
            <v>80</v>
          </cell>
          <cell r="AD494">
            <v>13.49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Y494">
            <v>137204.64000000001</v>
          </cell>
        </row>
        <row r="495">
          <cell r="A495">
            <v>2</v>
          </cell>
          <cell r="B495" t="str">
            <v>12</v>
          </cell>
          <cell r="C495" t="str">
            <v>000</v>
          </cell>
          <cell r="D495" t="str">
            <v>1</v>
          </cell>
          <cell r="E495" t="str">
            <v>101</v>
          </cell>
          <cell r="F495" t="str">
            <v>N000</v>
          </cell>
          <cell r="G495" t="str">
            <v>300</v>
          </cell>
          <cell r="H495" t="str">
            <v>1103</v>
          </cell>
          <cell r="I495" t="str">
            <v>CFMD01</v>
          </cell>
          <cell r="J495" t="str">
            <v>MD01</v>
          </cell>
          <cell r="K495" t="str">
            <v>1</v>
          </cell>
          <cell r="L495">
            <v>1</v>
          </cell>
          <cell r="M495">
            <v>0</v>
          </cell>
          <cell r="N495">
            <v>19938.849999999999</v>
          </cell>
          <cell r="O495" t="str">
            <v>M</v>
          </cell>
          <cell r="P495" t="str">
            <v>00000000</v>
          </cell>
          <cell r="Q495">
            <v>125984.15</v>
          </cell>
          <cell r="R495">
            <v>2880.06</v>
          </cell>
          <cell r="S495">
            <v>553.86</v>
          </cell>
          <cell r="T495">
            <v>2542.1999999999998</v>
          </cell>
          <cell r="U495">
            <v>996.94</v>
          </cell>
          <cell r="V495">
            <v>2626.61</v>
          </cell>
          <cell r="W495">
            <v>398.78</v>
          </cell>
          <cell r="X495">
            <v>55</v>
          </cell>
          <cell r="Y495">
            <v>7296.15</v>
          </cell>
          <cell r="Z495">
            <v>2989.78</v>
          </cell>
          <cell r="AA495">
            <v>77</v>
          </cell>
          <cell r="AB495">
            <v>0</v>
          </cell>
          <cell r="AC495">
            <v>0</v>
          </cell>
          <cell r="AD495">
            <v>13.49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Y495">
            <v>1996234.44</v>
          </cell>
        </row>
        <row r="496">
          <cell r="A496">
            <v>2</v>
          </cell>
          <cell r="B496" t="str">
            <v>12</v>
          </cell>
          <cell r="C496" t="str">
            <v>000</v>
          </cell>
          <cell r="D496" t="str">
            <v>1</v>
          </cell>
          <cell r="E496" t="str">
            <v>101</v>
          </cell>
          <cell r="F496" t="str">
            <v>N000</v>
          </cell>
          <cell r="G496" t="str">
            <v>300</v>
          </cell>
          <cell r="H496" t="str">
            <v>1103</v>
          </cell>
          <cell r="I496" t="str">
            <v>CFMD12</v>
          </cell>
          <cell r="J496" t="str">
            <v>MD12</v>
          </cell>
          <cell r="K496" t="str">
            <v>1</v>
          </cell>
          <cell r="L496">
            <v>1</v>
          </cell>
          <cell r="M496">
            <v>0</v>
          </cell>
          <cell r="N496">
            <v>12026.05</v>
          </cell>
          <cell r="O496" t="str">
            <v>M</v>
          </cell>
          <cell r="P496" t="str">
            <v>00000000</v>
          </cell>
          <cell r="Q496">
            <v>72295.199999999997</v>
          </cell>
          <cell r="R496">
            <v>1737.1</v>
          </cell>
          <cell r="S496">
            <v>334.06</v>
          </cell>
          <cell r="T496">
            <v>1533.32</v>
          </cell>
          <cell r="U496">
            <v>601.29999999999995</v>
          </cell>
          <cell r="V496">
            <v>1517.78</v>
          </cell>
          <cell r="W496">
            <v>240.52</v>
          </cell>
          <cell r="X496">
            <v>82</v>
          </cell>
          <cell r="Y496">
            <v>4216.0600000000004</v>
          </cell>
          <cell r="Z496">
            <v>1731.03</v>
          </cell>
          <cell r="AA496">
            <v>77</v>
          </cell>
          <cell r="AB496">
            <v>0</v>
          </cell>
          <cell r="AC496">
            <v>0</v>
          </cell>
          <cell r="AD496">
            <v>13.49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Y496">
            <v>1156858.92</v>
          </cell>
        </row>
        <row r="497">
          <cell r="A497">
            <v>2</v>
          </cell>
          <cell r="B497" t="str">
            <v>12</v>
          </cell>
          <cell r="C497" t="str">
            <v>000</v>
          </cell>
          <cell r="D497" t="str">
            <v>1</v>
          </cell>
          <cell r="E497" t="str">
            <v>101</v>
          </cell>
          <cell r="F497" t="str">
            <v>N000</v>
          </cell>
          <cell r="G497" t="str">
            <v>300</v>
          </cell>
          <cell r="H497" t="str">
            <v>1103</v>
          </cell>
          <cell r="I497" t="str">
            <v>CFMG06</v>
          </cell>
          <cell r="J497" t="str">
            <v>MG06</v>
          </cell>
          <cell r="K497" t="str">
            <v>1</v>
          </cell>
          <cell r="L497">
            <v>2</v>
          </cell>
          <cell r="M497">
            <v>0</v>
          </cell>
          <cell r="N497">
            <v>8232.25</v>
          </cell>
          <cell r="O497" t="str">
            <v>M</v>
          </cell>
          <cell r="P497" t="str">
            <v>00000000</v>
          </cell>
          <cell r="Q497">
            <v>38872.050000000003</v>
          </cell>
          <cell r="R497">
            <v>1189.0999999999999</v>
          </cell>
          <cell r="S497">
            <v>228.67</v>
          </cell>
          <cell r="T497">
            <v>1049.6099999999999</v>
          </cell>
          <cell r="U497">
            <v>411.61</v>
          </cell>
          <cell r="V497">
            <v>847.88</v>
          </cell>
          <cell r="W497">
            <v>164.65</v>
          </cell>
          <cell r="X497">
            <v>91</v>
          </cell>
          <cell r="Y497">
            <v>2355.2199999999998</v>
          </cell>
          <cell r="Z497">
            <v>973.8</v>
          </cell>
          <cell r="AA497">
            <v>77</v>
          </cell>
          <cell r="AB497">
            <v>0</v>
          </cell>
          <cell r="AC497">
            <v>0</v>
          </cell>
          <cell r="AD497">
            <v>13.49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Y497">
            <v>1308151.92</v>
          </cell>
        </row>
        <row r="498">
          <cell r="A498">
            <v>2</v>
          </cell>
          <cell r="B498" t="str">
            <v>12</v>
          </cell>
          <cell r="C498" t="str">
            <v>000</v>
          </cell>
          <cell r="D498" t="str">
            <v>1</v>
          </cell>
          <cell r="E498" t="str">
            <v>101</v>
          </cell>
          <cell r="F498" t="str">
            <v>N000</v>
          </cell>
          <cell r="G498" t="str">
            <v>300</v>
          </cell>
          <cell r="H498" t="str">
            <v>1103</v>
          </cell>
          <cell r="I498" t="str">
            <v>CFMS03</v>
          </cell>
          <cell r="J498" t="str">
            <v>MS03</v>
          </cell>
          <cell r="K498" t="str">
            <v>1</v>
          </cell>
          <cell r="L498">
            <v>2</v>
          </cell>
          <cell r="M498">
            <v>0</v>
          </cell>
          <cell r="N498">
            <v>5431.75</v>
          </cell>
          <cell r="O498" t="str">
            <v>M</v>
          </cell>
          <cell r="P498" t="str">
            <v>00000000</v>
          </cell>
          <cell r="Q498">
            <v>24512.85</v>
          </cell>
          <cell r="R498">
            <v>784.59</v>
          </cell>
          <cell r="S498">
            <v>150.88</v>
          </cell>
          <cell r="T498">
            <v>692.55</v>
          </cell>
          <cell r="U498">
            <v>271.58999999999997</v>
          </cell>
          <cell r="V498">
            <v>539</v>
          </cell>
          <cell r="W498">
            <v>108.64</v>
          </cell>
          <cell r="X498">
            <v>50.5</v>
          </cell>
          <cell r="Y498">
            <v>1497.23</v>
          </cell>
          <cell r="Z498">
            <v>620.15</v>
          </cell>
          <cell r="AA498">
            <v>77</v>
          </cell>
          <cell r="AB498">
            <v>0</v>
          </cell>
          <cell r="AC498">
            <v>0</v>
          </cell>
          <cell r="AD498">
            <v>13.49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Y498">
            <v>834005.28</v>
          </cell>
        </row>
        <row r="499">
          <cell r="A499">
            <v>2</v>
          </cell>
          <cell r="B499" t="str">
            <v>12</v>
          </cell>
          <cell r="C499" t="str">
            <v>000</v>
          </cell>
          <cell r="D499" t="str">
            <v>1</v>
          </cell>
          <cell r="E499" t="str">
            <v>101</v>
          </cell>
          <cell r="F499" t="str">
            <v>N000</v>
          </cell>
          <cell r="G499" t="str">
            <v>300</v>
          </cell>
          <cell r="H499" t="str">
            <v>1103</v>
          </cell>
          <cell r="I499" t="str">
            <v>CFMS08</v>
          </cell>
          <cell r="J499" t="str">
            <v>MS08</v>
          </cell>
          <cell r="K499" t="str">
            <v>1</v>
          </cell>
          <cell r="L499">
            <v>1</v>
          </cell>
          <cell r="M499">
            <v>0</v>
          </cell>
          <cell r="N499">
            <v>4801.8999999999996</v>
          </cell>
          <cell r="O499" t="str">
            <v>M</v>
          </cell>
          <cell r="P499" t="str">
            <v>00000000</v>
          </cell>
          <cell r="Q499">
            <v>18269.849999999999</v>
          </cell>
          <cell r="R499">
            <v>693.61</v>
          </cell>
          <cell r="S499">
            <v>133.38999999999999</v>
          </cell>
          <cell r="T499">
            <v>612.24</v>
          </cell>
          <cell r="U499">
            <v>240.09</v>
          </cell>
          <cell r="V499">
            <v>415.29</v>
          </cell>
          <cell r="W499">
            <v>96.04</v>
          </cell>
          <cell r="X499">
            <v>82</v>
          </cell>
          <cell r="Y499">
            <v>1153.5899999999999</v>
          </cell>
          <cell r="Z499">
            <v>481.16</v>
          </cell>
          <cell r="AA499">
            <v>77</v>
          </cell>
          <cell r="AB499">
            <v>0</v>
          </cell>
          <cell r="AC499">
            <v>0</v>
          </cell>
          <cell r="AD499">
            <v>13.49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Y499">
            <v>324835.8</v>
          </cell>
        </row>
        <row r="500">
          <cell r="A500">
            <v>2</v>
          </cell>
          <cell r="B500" t="str">
            <v>12</v>
          </cell>
          <cell r="C500" t="str">
            <v>000</v>
          </cell>
          <cell r="D500" t="str">
            <v>1</v>
          </cell>
          <cell r="E500" t="str">
            <v>101</v>
          </cell>
          <cell r="F500" t="str">
            <v>N000</v>
          </cell>
          <cell r="G500" t="str">
            <v>300</v>
          </cell>
          <cell r="H500" t="str">
            <v>1103</v>
          </cell>
          <cell r="I500" t="str">
            <v>M01004</v>
          </cell>
          <cell r="K500" t="str">
            <v>2</v>
          </cell>
          <cell r="L500">
            <v>1</v>
          </cell>
          <cell r="M500">
            <v>0</v>
          </cell>
          <cell r="N500">
            <v>6400</v>
          </cell>
          <cell r="O500" t="str">
            <v>M</v>
          </cell>
          <cell r="P500" t="str">
            <v>00000000</v>
          </cell>
          <cell r="Q500">
            <v>0</v>
          </cell>
          <cell r="R500">
            <v>924.44</v>
          </cell>
          <cell r="S500">
            <v>177.78</v>
          </cell>
          <cell r="T500">
            <v>816</v>
          </cell>
          <cell r="U500">
            <v>320</v>
          </cell>
          <cell r="V500">
            <v>115.2</v>
          </cell>
          <cell r="W500">
            <v>128</v>
          </cell>
          <cell r="X500">
            <v>0</v>
          </cell>
          <cell r="Y500">
            <v>0</v>
          </cell>
          <cell r="Z500">
            <v>287.52999999999997</v>
          </cell>
          <cell r="AA500">
            <v>77</v>
          </cell>
          <cell r="AB500">
            <v>96</v>
          </cell>
          <cell r="AC500">
            <v>80</v>
          </cell>
          <cell r="AD500">
            <v>13.49</v>
          </cell>
          <cell r="AE500">
            <v>5.33</v>
          </cell>
          <cell r="AF500">
            <v>0</v>
          </cell>
          <cell r="AG500">
            <v>0</v>
          </cell>
          <cell r="AH500">
            <v>4086</v>
          </cell>
          <cell r="AI500">
            <v>0</v>
          </cell>
          <cell r="AJ500">
            <v>2530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Y500">
            <v>192681.24</v>
          </cell>
        </row>
        <row r="501">
          <cell r="A501">
            <v>2</v>
          </cell>
          <cell r="B501" t="str">
            <v>12</v>
          </cell>
          <cell r="C501" t="str">
            <v>000</v>
          </cell>
          <cell r="D501" t="str">
            <v>1</v>
          </cell>
          <cell r="E501" t="str">
            <v>101</v>
          </cell>
          <cell r="F501" t="str">
            <v>N000</v>
          </cell>
          <cell r="G501" t="str">
            <v>300</v>
          </cell>
          <cell r="H501" t="str">
            <v>1103</v>
          </cell>
          <cell r="I501" t="str">
            <v>M02027</v>
          </cell>
          <cell r="K501" t="str">
            <v>2</v>
          </cell>
          <cell r="L501">
            <v>1</v>
          </cell>
          <cell r="M501">
            <v>0</v>
          </cell>
          <cell r="N501">
            <v>4940</v>
          </cell>
          <cell r="O501" t="str">
            <v>M</v>
          </cell>
          <cell r="P501" t="str">
            <v>00000000</v>
          </cell>
          <cell r="Q501">
            <v>0</v>
          </cell>
          <cell r="R501">
            <v>713.56</v>
          </cell>
          <cell r="S501">
            <v>137.22</v>
          </cell>
          <cell r="T501">
            <v>629.85</v>
          </cell>
          <cell r="U501">
            <v>247</v>
          </cell>
          <cell r="V501">
            <v>88.92</v>
          </cell>
          <cell r="W501">
            <v>98.8</v>
          </cell>
          <cell r="X501">
            <v>0</v>
          </cell>
          <cell r="Y501">
            <v>0</v>
          </cell>
          <cell r="Z501">
            <v>167.06</v>
          </cell>
          <cell r="AA501">
            <v>77</v>
          </cell>
          <cell r="AB501">
            <v>96</v>
          </cell>
          <cell r="AC501">
            <v>80</v>
          </cell>
          <cell r="AD501">
            <v>13.49</v>
          </cell>
          <cell r="AE501">
            <v>4.12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2305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Y501">
            <v>115176.24</v>
          </cell>
        </row>
        <row r="502">
          <cell r="A502">
            <v>2</v>
          </cell>
          <cell r="B502" t="str">
            <v>12</v>
          </cell>
          <cell r="C502" t="str">
            <v>000</v>
          </cell>
          <cell r="D502" t="str">
            <v>1</v>
          </cell>
          <cell r="E502" t="str">
            <v>101</v>
          </cell>
          <cell r="F502" t="str">
            <v>N000</v>
          </cell>
          <cell r="G502" t="str">
            <v>300</v>
          </cell>
          <cell r="H502" t="str">
            <v>1103</v>
          </cell>
          <cell r="I502" t="str">
            <v>M03005</v>
          </cell>
          <cell r="K502" t="str">
            <v>2</v>
          </cell>
          <cell r="L502">
            <v>1</v>
          </cell>
          <cell r="M502">
            <v>0</v>
          </cell>
          <cell r="N502">
            <v>2580</v>
          </cell>
          <cell r="O502" t="str">
            <v>M</v>
          </cell>
          <cell r="P502" t="str">
            <v>00000000</v>
          </cell>
          <cell r="Q502">
            <v>0</v>
          </cell>
          <cell r="R502">
            <v>372.67</v>
          </cell>
          <cell r="S502">
            <v>71.67</v>
          </cell>
          <cell r="T502">
            <v>328.95</v>
          </cell>
          <cell r="U502">
            <v>129</v>
          </cell>
          <cell r="V502">
            <v>46.44</v>
          </cell>
          <cell r="W502">
            <v>51.6</v>
          </cell>
          <cell r="X502">
            <v>82</v>
          </cell>
          <cell r="Y502">
            <v>0</v>
          </cell>
          <cell r="Z502">
            <v>87.79</v>
          </cell>
          <cell r="AA502">
            <v>77</v>
          </cell>
          <cell r="AB502">
            <v>96</v>
          </cell>
          <cell r="AC502">
            <v>80</v>
          </cell>
          <cell r="AD502">
            <v>13.49</v>
          </cell>
          <cell r="AE502">
            <v>2.15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1028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Y502">
            <v>60561.120000000003</v>
          </cell>
        </row>
        <row r="503">
          <cell r="A503">
            <v>2</v>
          </cell>
          <cell r="B503" t="str">
            <v>12</v>
          </cell>
          <cell r="C503" t="str">
            <v>000</v>
          </cell>
          <cell r="D503" t="str">
            <v>1</v>
          </cell>
          <cell r="E503" t="str">
            <v>101</v>
          </cell>
          <cell r="F503" t="str">
            <v>N000</v>
          </cell>
          <cell r="G503" t="str">
            <v>300</v>
          </cell>
          <cell r="H503" t="str">
            <v>1103</v>
          </cell>
          <cell r="I503" t="str">
            <v>S01803</v>
          </cell>
          <cell r="J503" t="str">
            <v>19</v>
          </cell>
          <cell r="K503" t="str">
            <v>2</v>
          </cell>
          <cell r="L503">
            <v>6</v>
          </cell>
          <cell r="M503">
            <v>0</v>
          </cell>
          <cell r="N503">
            <v>2120.3000000000002</v>
          </cell>
          <cell r="O503" t="str">
            <v>M</v>
          </cell>
          <cell r="P503" t="str">
            <v>00000000</v>
          </cell>
          <cell r="Q503">
            <v>0</v>
          </cell>
          <cell r="R503">
            <v>306.27</v>
          </cell>
          <cell r="S503">
            <v>58.9</v>
          </cell>
          <cell r="T503">
            <v>270.33999999999997</v>
          </cell>
          <cell r="U503">
            <v>106.02</v>
          </cell>
          <cell r="V503">
            <v>38.17</v>
          </cell>
          <cell r="W503">
            <v>42.41</v>
          </cell>
          <cell r="X503">
            <v>27.33</v>
          </cell>
          <cell r="Y503">
            <v>0</v>
          </cell>
          <cell r="Z503">
            <v>55.32</v>
          </cell>
          <cell r="AA503">
            <v>77</v>
          </cell>
          <cell r="AB503">
            <v>96</v>
          </cell>
          <cell r="AC503">
            <v>80</v>
          </cell>
          <cell r="AD503">
            <v>13.49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Y503">
            <v>236991.6</v>
          </cell>
        </row>
        <row r="504">
          <cell r="A504">
            <v>2</v>
          </cell>
          <cell r="B504" t="str">
            <v>12</v>
          </cell>
          <cell r="C504" t="str">
            <v>000</v>
          </cell>
          <cell r="D504" t="str">
            <v>1</v>
          </cell>
          <cell r="E504" t="str">
            <v>101</v>
          </cell>
          <cell r="F504" t="str">
            <v>N000</v>
          </cell>
          <cell r="G504" t="str">
            <v>300</v>
          </cell>
          <cell r="H504" t="str">
            <v>1103</v>
          </cell>
          <cell r="I504" t="str">
            <v>S01811</v>
          </cell>
          <cell r="J504" t="str">
            <v>25</v>
          </cell>
          <cell r="K504" t="str">
            <v>2</v>
          </cell>
          <cell r="L504">
            <v>2</v>
          </cell>
          <cell r="M504">
            <v>0</v>
          </cell>
          <cell r="N504">
            <v>2572.4</v>
          </cell>
          <cell r="O504" t="str">
            <v>M</v>
          </cell>
          <cell r="P504" t="str">
            <v>00000000</v>
          </cell>
          <cell r="Q504">
            <v>0</v>
          </cell>
          <cell r="R504">
            <v>371.57</v>
          </cell>
          <cell r="S504">
            <v>71.459999999999994</v>
          </cell>
          <cell r="T504">
            <v>327.98</v>
          </cell>
          <cell r="U504">
            <v>128.62</v>
          </cell>
          <cell r="V504">
            <v>46.3</v>
          </cell>
          <cell r="W504">
            <v>51.45</v>
          </cell>
          <cell r="X504">
            <v>55</v>
          </cell>
          <cell r="Y504">
            <v>0</v>
          </cell>
          <cell r="Z504">
            <v>66.47</v>
          </cell>
          <cell r="AA504">
            <v>77</v>
          </cell>
          <cell r="AB504">
            <v>96</v>
          </cell>
          <cell r="AC504">
            <v>80</v>
          </cell>
          <cell r="AD504">
            <v>13.49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Y504">
            <v>94985.76</v>
          </cell>
        </row>
        <row r="505">
          <cell r="A505">
            <v>2</v>
          </cell>
          <cell r="B505" t="str">
            <v>12</v>
          </cell>
          <cell r="C505" t="str">
            <v>000</v>
          </cell>
          <cell r="D505" t="str">
            <v>1</v>
          </cell>
          <cell r="E505" t="str">
            <v>101</v>
          </cell>
          <cell r="F505" t="str">
            <v>N000</v>
          </cell>
          <cell r="G505" t="str">
            <v>300</v>
          </cell>
          <cell r="H505" t="str">
            <v>1103</v>
          </cell>
          <cell r="I505" t="str">
            <v>S08802</v>
          </cell>
          <cell r="J505" t="str">
            <v>21</v>
          </cell>
          <cell r="K505" t="str">
            <v>2</v>
          </cell>
          <cell r="L505">
            <v>2</v>
          </cell>
          <cell r="M505">
            <v>0</v>
          </cell>
          <cell r="N505">
            <v>2238.1999999999998</v>
          </cell>
          <cell r="O505" t="str">
            <v>M</v>
          </cell>
          <cell r="P505" t="str">
            <v>00000000</v>
          </cell>
          <cell r="Q505">
            <v>0</v>
          </cell>
          <cell r="R505">
            <v>323.3</v>
          </cell>
          <cell r="S505">
            <v>62.17</v>
          </cell>
          <cell r="T505">
            <v>285.37</v>
          </cell>
          <cell r="U505">
            <v>111.91</v>
          </cell>
          <cell r="V505">
            <v>40.29</v>
          </cell>
          <cell r="W505">
            <v>44.76</v>
          </cell>
          <cell r="X505">
            <v>50.5</v>
          </cell>
          <cell r="Y505">
            <v>0</v>
          </cell>
          <cell r="Z505">
            <v>58.54</v>
          </cell>
          <cell r="AA505">
            <v>77</v>
          </cell>
          <cell r="AB505">
            <v>96</v>
          </cell>
          <cell r="AC505">
            <v>80</v>
          </cell>
          <cell r="AD505">
            <v>13.49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Y505">
            <v>83556.72</v>
          </cell>
        </row>
        <row r="506">
          <cell r="A506">
            <v>2</v>
          </cell>
          <cell r="B506" t="str">
            <v>12</v>
          </cell>
          <cell r="C506" t="str">
            <v>000</v>
          </cell>
          <cell r="D506" t="str">
            <v>1</v>
          </cell>
          <cell r="E506" t="str">
            <v>101</v>
          </cell>
          <cell r="F506" t="str">
            <v>N000</v>
          </cell>
          <cell r="G506" t="str">
            <v>300</v>
          </cell>
          <cell r="H506" t="str">
            <v>1103</v>
          </cell>
          <cell r="I506" t="str">
            <v>T03804</v>
          </cell>
          <cell r="J506" t="str">
            <v>25</v>
          </cell>
          <cell r="K506" t="str">
            <v>2</v>
          </cell>
          <cell r="L506">
            <v>2</v>
          </cell>
          <cell r="M506">
            <v>0</v>
          </cell>
          <cell r="N506">
            <v>2572.4</v>
          </cell>
          <cell r="O506" t="str">
            <v>M</v>
          </cell>
          <cell r="P506" t="str">
            <v>00000000</v>
          </cell>
          <cell r="Q506">
            <v>0</v>
          </cell>
          <cell r="R506">
            <v>371.57</v>
          </cell>
          <cell r="S506">
            <v>71.459999999999994</v>
          </cell>
          <cell r="T506">
            <v>327.98</v>
          </cell>
          <cell r="U506">
            <v>128.62</v>
          </cell>
          <cell r="V506">
            <v>46.3</v>
          </cell>
          <cell r="W506">
            <v>51.45</v>
          </cell>
          <cell r="X506">
            <v>41</v>
          </cell>
          <cell r="Y506">
            <v>0</v>
          </cell>
          <cell r="Z506">
            <v>66.19</v>
          </cell>
          <cell r="AA506">
            <v>77</v>
          </cell>
          <cell r="AB506">
            <v>96</v>
          </cell>
          <cell r="AC506">
            <v>80</v>
          </cell>
          <cell r="AD506">
            <v>13.49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Y506">
            <v>94643.04</v>
          </cell>
        </row>
        <row r="507">
          <cell r="A507">
            <v>2</v>
          </cell>
          <cell r="B507" t="str">
            <v>12</v>
          </cell>
          <cell r="C507" t="str">
            <v>000</v>
          </cell>
          <cell r="D507" t="str">
            <v>1</v>
          </cell>
          <cell r="E507" t="str">
            <v>101</v>
          </cell>
          <cell r="F507" t="str">
            <v>N000</v>
          </cell>
          <cell r="G507" t="str">
            <v>300</v>
          </cell>
          <cell r="H507" t="str">
            <v>1103</v>
          </cell>
          <cell r="I507" t="str">
            <v>T06803</v>
          </cell>
          <cell r="J507" t="str">
            <v>26</v>
          </cell>
          <cell r="K507" t="str">
            <v>2</v>
          </cell>
          <cell r="L507">
            <v>5</v>
          </cell>
          <cell r="M507">
            <v>0</v>
          </cell>
          <cell r="N507">
            <v>2692.2</v>
          </cell>
          <cell r="O507" t="str">
            <v>M</v>
          </cell>
          <cell r="P507" t="str">
            <v>00000000</v>
          </cell>
          <cell r="Q507">
            <v>0</v>
          </cell>
          <cell r="R507">
            <v>388.87</v>
          </cell>
          <cell r="S507">
            <v>74.78</v>
          </cell>
          <cell r="T507">
            <v>343.26</v>
          </cell>
          <cell r="U507">
            <v>134.61000000000001</v>
          </cell>
          <cell r="V507">
            <v>48.46</v>
          </cell>
          <cell r="W507">
            <v>53.84</v>
          </cell>
          <cell r="X507">
            <v>25.6</v>
          </cell>
          <cell r="Y507">
            <v>0</v>
          </cell>
          <cell r="Z507">
            <v>68.69</v>
          </cell>
          <cell r="AA507">
            <v>77</v>
          </cell>
          <cell r="AB507">
            <v>96</v>
          </cell>
          <cell r="AC507">
            <v>80</v>
          </cell>
          <cell r="AD507">
            <v>13.49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Y507">
            <v>245808</v>
          </cell>
        </row>
        <row r="508">
          <cell r="A508">
            <v>2</v>
          </cell>
          <cell r="B508" t="str">
            <v>12</v>
          </cell>
          <cell r="C508" t="str">
            <v>000</v>
          </cell>
          <cell r="D508" t="str">
            <v>1</v>
          </cell>
          <cell r="E508" t="str">
            <v>101</v>
          </cell>
          <cell r="F508" t="str">
            <v>N000</v>
          </cell>
          <cell r="G508" t="str">
            <v>300</v>
          </cell>
          <cell r="H508" t="str">
            <v>1103</v>
          </cell>
          <cell r="I508" t="str">
            <v>T06804</v>
          </cell>
          <cell r="J508" t="str">
            <v>27Z</v>
          </cell>
          <cell r="K508" t="str">
            <v>2</v>
          </cell>
          <cell r="L508">
            <v>1</v>
          </cell>
          <cell r="M508">
            <v>0</v>
          </cell>
          <cell r="N508">
            <v>2900.25</v>
          </cell>
          <cell r="O508" t="str">
            <v>M</v>
          </cell>
          <cell r="P508" t="str">
            <v>00000000</v>
          </cell>
          <cell r="Q508">
            <v>205.15</v>
          </cell>
          <cell r="R508">
            <v>418.93</v>
          </cell>
          <cell r="S508">
            <v>80.56</v>
          </cell>
          <cell r="T508">
            <v>369.78</v>
          </cell>
          <cell r="U508">
            <v>145.01</v>
          </cell>
          <cell r="V508">
            <v>55.89</v>
          </cell>
          <cell r="W508">
            <v>58.01</v>
          </cell>
          <cell r="X508">
            <v>46</v>
          </cell>
          <cell r="Y508">
            <v>0</v>
          </cell>
          <cell r="Z508">
            <v>78.08</v>
          </cell>
          <cell r="AA508">
            <v>77</v>
          </cell>
          <cell r="AB508">
            <v>96</v>
          </cell>
          <cell r="AC508">
            <v>80</v>
          </cell>
          <cell r="AD508">
            <v>13.49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Y508">
            <v>55489.8</v>
          </cell>
        </row>
        <row r="509">
          <cell r="A509">
            <v>2</v>
          </cell>
          <cell r="B509" t="str">
            <v>12</v>
          </cell>
          <cell r="C509" t="str">
            <v>000</v>
          </cell>
          <cell r="D509" t="str">
            <v>1</v>
          </cell>
          <cell r="E509" t="str">
            <v>101</v>
          </cell>
          <cell r="F509" t="str">
            <v>N000</v>
          </cell>
          <cell r="G509" t="str">
            <v>300</v>
          </cell>
          <cell r="H509" t="str">
            <v>1103</v>
          </cell>
          <cell r="I509" t="str">
            <v>T06807</v>
          </cell>
          <cell r="J509" t="str">
            <v>24</v>
          </cell>
          <cell r="K509" t="str">
            <v>2</v>
          </cell>
          <cell r="L509">
            <v>2</v>
          </cell>
          <cell r="M509">
            <v>0</v>
          </cell>
          <cell r="N509">
            <v>2479.75</v>
          </cell>
          <cell r="O509" t="str">
            <v>M</v>
          </cell>
          <cell r="P509" t="str">
            <v>00000000</v>
          </cell>
          <cell r="Q509">
            <v>0</v>
          </cell>
          <cell r="R509">
            <v>358.19</v>
          </cell>
          <cell r="S509">
            <v>68.88</v>
          </cell>
          <cell r="T509">
            <v>316.17</v>
          </cell>
          <cell r="U509">
            <v>123.99</v>
          </cell>
          <cell r="V509">
            <v>44.64</v>
          </cell>
          <cell r="W509">
            <v>49.59</v>
          </cell>
          <cell r="X509">
            <v>55</v>
          </cell>
          <cell r="Y509">
            <v>0</v>
          </cell>
          <cell r="Z509">
            <v>64.3</v>
          </cell>
          <cell r="AA509">
            <v>77</v>
          </cell>
          <cell r="AB509">
            <v>96</v>
          </cell>
          <cell r="AC509">
            <v>80</v>
          </cell>
          <cell r="AD509">
            <v>13.49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Y509">
            <v>91848</v>
          </cell>
        </row>
        <row r="510">
          <cell r="A510">
            <v>2</v>
          </cell>
          <cell r="B510" t="str">
            <v>12</v>
          </cell>
          <cell r="C510" t="str">
            <v>000</v>
          </cell>
          <cell r="D510" t="str">
            <v>1</v>
          </cell>
          <cell r="E510" t="str">
            <v>101</v>
          </cell>
          <cell r="F510" t="str">
            <v>N000</v>
          </cell>
          <cell r="G510" t="str">
            <v>300</v>
          </cell>
          <cell r="H510" t="str">
            <v>1103</v>
          </cell>
          <cell r="I510" t="str">
            <v>CF03809</v>
          </cell>
          <cell r="J510" t="str">
            <v>25</v>
          </cell>
          <cell r="K510" t="str">
            <v>2</v>
          </cell>
          <cell r="L510">
            <v>2</v>
          </cell>
          <cell r="M510">
            <v>0</v>
          </cell>
          <cell r="N510">
            <v>2572.4</v>
          </cell>
          <cell r="O510" t="str">
            <v>M</v>
          </cell>
          <cell r="P510" t="str">
            <v>00000000</v>
          </cell>
          <cell r="Q510">
            <v>0</v>
          </cell>
          <cell r="R510">
            <v>371.57</v>
          </cell>
          <cell r="S510">
            <v>71.459999999999994</v>
          </cell>
          <cell r="T510">
            <v>327.98</v>
          </cell>
          <cell r="U510">
            <v>128.62</v>
          </cell>
          <cell r="V510">
            <v>46.3</v>
          </cell>
          <cell r="W510">
            <v>51.45</v>
          </cell>
          <cell r="X510">
            <v>55</v>
          </cell>
          <cell r="Y510">
            <v>0</v>
          </cell>
          <cell r="Z510">
            <v>66.47</v>
          </cell>
          <cell r="AA510">
            <v>77</v>
          </cell>
          <cell r="AB510">
            <v>96</v>
          </cell>
          <cell r="AC510">
            <v>80</v>
          </cell>
          <cell r="AD510">
            <v>13.49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Y510">
            <v>94985.76</v>
          </cell>
        </row>
        <row r="511">
          <cell r="A511">
            <v>2</v>
          </cell>
          <cell r="B511" t="str">
            <v>12</v>
          </cell>
          <cell r="C511" t="str">
            <v>000</v>
          </cell>
          <cell r="D511" t="str">
            <v>1</v>
          </cell>
          <cell r="E511" t="str">
            <v>101</v>
          </cell>
          <cell r="F511" t="str">
            <v>N000</v>
          </cell>
          <cell r="G511" t="str">
            <v>300</v>
          </cell>
          <cell r="H511" t="str">
            <v>1103</v>
          </cell>
          <cell r="I511" t="str">
            <v>CF03820</v>
          </cell>
          <cell r="J511" t="str">
            <v>27Z</v>
          </cell>
          <cell r="K511" t="str">
            <v>2</v>
          </cell>
          <cell r="L511">
            <v>6</v>
          </cell>
          <cell r="M511">
            <v>0</v>
          </cell>
          <cell r="N511">
            <v>2900.25</v>
          </cell>
          <cell r="O511" t="str">
            <v>M</v>
          </cell>
          <cell r="P511" t="str">
            <v>00000000</v>
          </cell>
          <cell r="Q511">
            <v>205.15</v>
          </cell>
          <cell r="R511">
            <v>418.93</v>
          </cell>
          <cell r="S511">
            <v>80.56</v>
          </cell>
          <cell r="T511">
            <v>369.78</v>
          </cell>
          <cell r="U511">
            <v>145.01</v>
          </cell>
          <cell r="V511">
            <v>55.89</v>
          </cell>
          <cell r="W511">
            <v>58.01</v>
          </cell>
          <cell r="X511">
            <v>55</v>
          </cell>
          <cell r="Y511">
            <v>0</v>
          </cell>
          <cell r="Z511">
            <v>78.260000000000005</v>
          </cell>
          <cell r="AA511">
            <v>77</v>
          </cell>
          <cell r="AB511">
            <v>96</v>
          </cell>
          <cell r="AC511">
            <v>80</v>
          </cell>
          <cell r="AD511">
            <v>13.49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Y511">
            <v>333599.76</v>
          </cell>
        </row>
        <row r="512">
          <cell r="A512">
            <v>2</v>
          </cell>
          <cell r="B512" t="str">
            <v>12</v>
          </cell>
          <cell r="C512" t="str">
            <v>000</v>
          </cell>
          <cell r="D512" t="str">
            <v>1</v>
          </cell>
          <cell r="E512" t="str">
            <v>101</v>
          </cell>
          <cell r="F512" t="str">
            <v>N000</v>
          </cell>
          <cell r="G512" t="str">
            <v>300</v>
          </cell>
          <cell r="H512" t="str">
            <v>1103</v>
          </cell>
          <cell r="I512" t="str">
            <v>CF04808</v>
          </cell>
          <cell r="J512" t="str">
            <v>27ZA</v>
          </cell>
          <cell r="K512" t="str">
            <v>2</v>
          </cell>
          <cell r="L512">
            <v>5</v>
          </cell>
          <cell r="M512">
            <v>0</v>
          </cell>
          <cell r="N512">
            <v>2982.9</v>
          </cell>
          <cell r="O512" t="str">
            <v>M</v>
          </cell>
          <cell r="P512" t="str">
            <v>00000000</v>
          </cell>
          <cell r="Q512">
            <v>579.4</v>
          </cell>
          <cell r="R512">
            <v>430.86</v>
          </cell>
          <cell r="S512">
            <v>82.86</v>
          </cell>
          <cell r="T512">
            <v>380.32</v>
          </cell>
          <cell r="U512">
            <v>149.15</v>
          </cell>
          <cell r="V512">
            <v>64.12</v>
          </cell>
          <cell r="W512">
            <v>59.66</v>
          </cell>
          <cell r="X512">
            <v>42</v>
          </cell>
          <cell r="Y512">
            <v>0</v>
          </cell>
          <cell r="Z512">
            <v>87.42</v>
          </cell>
          <cell r="AA512">
            <v>77</v>
          </cell>
          <cell r="AB512">
            <v>96</v>
          </cell>
          <cell r="AC512">
            <v>80</v>
          </cell>
          <cell r="AD512">
            <v>13.49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Y512">
            <v>307510.8</v>
          </cell>
        </row>
        <row r="513">
          <cell r="A513">
            <v>2</v>
          </cell>
          <cell r="B513" t="str">
            <v>12</v>
          </cell>
          <cell r="C513" t="str">
            <v>000</v>
          </cell>
          <cell r="D513" t="str">
            <v>1</v>
          </cell>
          <cell r="E513" t="str">
            <v>101</v>
          </cell>
          <cell r="F513" t="str">
            <v>N000</v>
          </cell>
          <cell r="G513" t="str">
            <v>300</v>
          </cell>
          <cell r="H513" t="str">
            <v>1103</v>
          </cell>
          <cell r="I513" t="str">
            <v>CF04810</v>
          </cell>
          <cell r="J513" t="str">
            <v>27ZB</v>
          </cell>
          <cell r="K513" t="str">
            <v>2</v>
          </cell>
          <cell r="L513">
            <v>2</v>
          </cell>
          <cell r="M513">
            <v>0</v>
          </cell>
          <cell r="N513">
            <v>3008.65</v>
          </cell>
          <cell r="O513" t="str">
            <v>M</v>
          </cell>
          <cell r="P513" t="str">
            <v>00000000</v>
          </cell>
          <cell r="Q513">
            <v>857</v>
          </cell>
          <cell r="R513">
            <v>434.58</v>
          </cell>
          <cell r="S513">
            <v>83.57</v>
          </cell>
          <cell r="T513">
            <v>383.6</v>
          </cell>
          <cell r="U513">
            <v>150.43</v>
          </cell>
          <cell r="V513">
            <v>69.59</v>
          </cell>
          <cell r="W513">
            <v>60.17</v>
          </cell>
          <cell r="X513">
            <v>95.5</v>
          </cell>
          <cell r="Y513">
            <v>0</v>
          </cell>
          <cell r="Z513">
            <v>94.65</v>
          </cell>
          <cell r="AA513">
            <v>77</v>
          </cell>
          <cell r="AB513">
            <v>96</v>
          </cell>
          <cell r="AC513">
            <v>80</v>
          </cell>
          <cell r="AD513">
            <v>13.49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Y513">
            <v>132101.51999999999</v>
          </cell>
        </row>
        <row r="514">
          <cell r="A514">
            <v>2</v>
          </cell>
          <cell r="B514" t="str">
            <v>12</v>
          </cell>
          <cell r="C514" t="str">
            <v>000</v>
          </cell>
          <cell r="D514" t="str">
            <v>1</v>
          </cell>
          <cell r="E514" t="str">
            <v>101</v>
          </cell>
          <cell r="F514" t="str">
            <v>N000</v>
          </cell>
          <cell r="G514" t="str">
            <v>300</v>
          </cell>
          <cell r="H514" t="str">
            <v>1103</v>
          </cell>
          <cell r="I514" t="str">
            <v>CF21856</v>
          </cell>
          <cell r="J514" t="str">
            <v>27Z</v>
          </cell>
          <cell r="K514" t="str">
            <v>2</v>
          </cell>
          <cell r="L514">
            <v>1</v>
          </cell>
          <cell r="M514">
            <v>0</v>
          </cell>
          <cell r="N514">
            <v>2900.25</v>
          </cell>
          <cell r="O514" t="str">
            <v>M</v>
          </cell>
          <cell r="P514" t="str">
            <v>00000000</v>
          </cell>
          <cell r="Q514">
            <v>205.15</v>
          </cell>
          <cell r="R514">
            <v>418.93</v>
          </cell>
          <cell r="S514">
            <v>80.56</v>
          </cell>
          <cell r="T514">
            <v>369.78</v>
          </cell>
          <cell r="U514">
            <v>145.01</v>
          </cell>
          <cell r="V514">
            <v>55.89</v>
          </cell>
          <cell r="W514">
            <v>58.01</v>
          </cell>
          <cell r="X514">
            <v>46</v>
          </cell>
          <cell r="Y514">
            <v>0</v>
          </cell>
          <cell r="Z514">
            <v>78.08</v>
          </cell>
          <cell r="AA514">
            <v>77</v>
          </cell>
          <cell r="AB514">
            <v>96</v>
          </cell>
          <cell r="AC514">
            <v>80</v>
          </cell>
          <cell r="AD514">
            <v>13.49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Y514">
            <v>55489.8</v>
          </cell>
        </row>
        <row r="515">
          <cell r="A515">
            <v>2</v>
          </cell>
          <cell r="B515" t="str">
            <v>12</v>
          </cell>
          <cell r="C515" t="str">
            <v>000</v>
          </cell>
          <cell r="D515" t="str">
            <v>1</v>
          </cell>
          <cell r="E515" t="str">
            <v>101</v>
          </cell>
          <cell r="F515" t="str">
            <v>N000</v>
          </cell>
          <cell r="G515" t="str">
            <v>300</v>
          </cell>
          <cell r="H515" t="str">
            <v>1103</v>
          </cell>
          <cell r="I515" t="str">
            <v>CF21864</v>
          </cell>
          <cell r="J515" t="str">
            <v>27C</v>
          </cell>
          <cell r="K515" t="str">
            <v>1</v>
          </cell>
          <cell r="L515">
            <v>4</v>
          </cell>
          <cell r="M515">
            <v>0</v>
          </cell>
          <cell r="N515">
            <v>3268.2</v>
          </cell>
          <cell r="O515" t="str">
            <v>M</v>
          </cell>
          <cell r="P515" t="str">
            <v>00000000</v>
          </cell>
          <cell r="Q515">
            <v>4783.05</v>
          </cell>
          <cell r="R515">
            <v>472.07</v>
          </cell>
          <cell r="S515">
            <v>90.78</v>
          </cell>
          <cell r="T515">
            <v>416.7</v>
          </cell>
          <cell r="U515">
            <v>163.41</v>
          </cell>
          <cell r="V515">
            <v>144.91999999999999</v>
          </cell>
          <cell r="W515">
            <v>65.36</v>
          </cell>
          <cell r="X515">
            <v>52.5</v>
          </cell>
          <cell r="Y515">
            <v>0</v>
          </cell>
          <cell r="Z515">
            <v>174.87</v>
          </cell>
          <cell r="AA515">
            <v>77</v>
          </cell>
          <cell r="AB515">
            <v>0</v>
          </cell>
          <cell r="AC515">
            <v>0</v>
          </cell>
          <cell r="AD515">
            <v>13.49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Y515">
            <v>466672.8</v>
          </cell>
        </row>
        <row r="516">
          <cell r="A516">
            <v>2</v>
          </cell>
          <cell r="B516" t="str">
            <v>12</v>
          </cell>
          <cell r="C516" t="str">
            <v>000</v>
          </cell>
          <cell r="D516" t="str">
            <v>1</v>
          </cell>
          <cell r="E516" t="str">
            <v>101</v>
          </cell>
          <cell r="F516" t="str">
            <v>N000</v>
          </cell>
          <cell r="G516" t="str">
            <v>300</v>
          </cell>
          <cell r="H516" t="str">
            <v>1103</v>
          </cell>
          <cell r="I516" t="str">
            <v>CF21865</v>
          </cell>
          <cell r="J516" t="str">
            <v>27B</v>
          </cell>
          <cell r="K516" t="str">
            <v>1</v>
          </cell>
          <cell r="L516">
            <v>3</v>
          </cell>
          <cell r="M516">
            <v>0</v>
          </cell>
          <cell r="N516">
            <v>3222.2</v>
          </cell>
          <cell r="O516" t="str">
            <v>M</v>
          </cell>
          <cell r="P516" t="str">
            <v>00000000</v>
          </cell>
          <cell r="Q516">
            <v>3558.85</v>
          </cell>
          <cell r="R516">
            <v>465.43</v>
          </cell>
          <cell r="S516">
            <v>89.51</v>
          </cell>
          <cell r="T516">
            <v>410.83</v>
          </cell>
          <cell r="U516">
            <v>161.11000000000001</v>
          </cell>
          <cell r="V516">
            <v>122.06</v>
          </cell>
          <cell r="W516">
            <v>64.44</v>
          </cell>
          <cell r="X516">
            <v>61</v>
          </cell>
          <cell r="Y516">
            <v>0</v>
          </cell>
          <cell r="Z516">
            <v>149.47999999999999</v>
          </cell>
          <cell r="AA516">
            <v>77</v>
          </cell>
          <cell r="AB516">
            <v>0</v>
          </cell>
          <cell r="AC516">
            <v>0</v>
          </cell>
          <cell r="AD516">
            <v>13.49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Y516">
            <v>302234.40000000002</v>
          </cell>
        </row>
        <row r="517">
          <cell r="A517">
            <v>2</v>
          </cell>
          <cell r="B517" t="str">
            <v>12</v>
          </cell>
          <cell r="C517" t="str">
            <v>000</v>
          </cell>
          <cell r="D517" t="str">
            <v>1</v>
          </cell>
          <cell r="E517" t="str">
            <v>101</v>
          </cell>
          <cell r="F517" t="str">
            <v>N000</v>
          </cell>
          <cell r="G517" t="str">
            <v>300</v>
          </cell>
          <cell r="H517" t="str">
            <v>1103</v>
          </cell>
          <cell r="I517" t="str">
            <v>CF21866</v>
          </cell>
          <cell r="J517" t="str">
            <v>27A</v>
          </cell>
          <cell r="K517" t="str">
            <v>1</v>
          </cell>
          <cell r="L517">
            <v>1</v>
          </cell>
          <cell r="M517">
            <v>0</v>
          </cell>
          <cell r="N517">
            <v>3185.4</v>
          </cell>
          <cell r="O517" t="str">
            <v>M</v>
          </cell>
          <cell r="P517" t="str">
            <v>00000000</v>
          </cell>
          <cell r="Q517">
            <v>2791.7</v>
          </cell>
          <cell r="R517">
            <v>460.11</v>
          </cell>
          <cell r="S517">
            <v>88.48</v>
          </cell>
          <cell r="T517">
            <v>406.14</v>
          </cell>
          <cell r="U517">
            <v>159.27000000000001</v>
          </cell>
          <cell r="V517">
            <v>107.59</v>
          </cell>
          <cell r="W517">
            <v>63.71</v>
          </cell>
          <cell r="X517">
            <v>55</v>
          </cell>
          <cell r="Y517">
            <v>0</v>
          </cell>
          <cell r="Z517">
            <v>133.15</v>
          </cell>
          <cell r="AA517">
            <v>77</v>
          </cell>
          <cell r="AB517">
            <v>0</v>
          </cell>
          <cell r="AC517">
            <v>0</v>
          </cell>
          <cell r="AD517">
            <v>13.49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Y517">
            <v>90492.479999999996</v>
          </cell>
        </row>
        <row r="518">
          <cell r="A518">
            <v>2</v>
          </cell>
          <cell r="B518" t="str">
            <v>12</v>
          </cell>
          <cell r="C518" t="str">
            <v>000</v>
          </cell>
          <cell r="D518" t="str">
            <v>1</v>
          </cell>
          <cell r="E518" t="str">
            <v>101</v>
          </cell>
          <cell r="F518" t="str">
            <v>N000</v>
          </cell>
          <cell r="G518" t="str">
            <v>300</v>
          </cell>
          <cell r="H518" t="str">
            <v>1103</v>
          </cell>
          <cell r="I518" t="str">
            <v>CF33892</v>
          </cell>
          <cell r="J518" t="str">
            <v>27ZA</v>
          </cell>
          <cell r="K518" t="str">
            <v>2</v>
          </cell>
          <cell r="L518">
            <v>6</v>
          </cell>
          <cell r="M518">
            <v>0</v>
          </cell>
          <cell r="N518">
            <v>2982.9</v>
          </cell>
          <cell r="O518" t="str">
            <v>M</v>
          </cell>
          <cell r="P518" t="str">
            <v>00000000</v>
          </cell>
          <cell r="Q518">
            <v>579.4</v>
          </cell>
          <cell r="R518">
            <v>430.86</v>
          </cell>
          <cell r="S518">
            <v>82.86</v>
          </cell>
          <cell r="T518">
            <v>380.32</v>
          </cell>
          <cell r="U518">
            <v>149.15</v>
          </cell>
          <cell r="V518">
            <v>64.12</v>
          </cell>
          <cell r="W518">
            <v>59.66</v>
          </cell>
          <cell r="X518">
            <v>82</v>
          </cell>
          <cell r="Y518">
            <v>0</v>
          </cell>
          <cell r="Z518">
            <v>88.22</v>
          </cell>
          <cell r="AA518">
            <v>77</v>
          </cell>
          <cell r="AB518">
            <v>96</v>
          </cell>
          <cell r="AC518">
            <v>80</v>
          </cell>
          <cell r="AD518">
            <v>13.49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Y518">
            <v>371950.56</v>
          </cell>
        </row>
        <row r="519">
          <cell r="A519">
            <v>2</v>
          </cell>
          <cell r="B519" t="str">
            <v>12</v>
          </cell>
          <cell r="C519" t="str">
            <v>000</v>
          </cell>
          <cell r="D519" t="str">
            <v>1</v>
          </cell>
          <cell r="E519" t="str">
            <v>101</v>
          </cell>
          <cell r="F519" t="str">
            <v>N000</v>
          </cell>
          <cell r="G519" t="str">
            <v>300</v>
          </cell>
          <cell r="H519" t="str">
            <v>1103</v>
          </cell>
          <cell r="I519" t="str">
            <v>CF34834</v>
          </cell>
          <cell r="J519" t="str">
            <v>27ZA</v>
          </cell>
          <cell r="K519" t="str">
            <v>2</v>
          </cell>
          <cell r="L519">
            <v>3</v>
          </cell>
          <cell r="M519">
            <v>0</v>
          </cell>
          <cell r="N519">
            <v>2982.9</v>
          </cell>
          <cell r="O519" t="str">
            <v>M</v>
          </cell>
          <cell r="P519" t="str">
            <v>00000000</v>
          </cell>
          <cell r="Q519">
            <v>579.4</v>
          </cell>
          <cell r="R519">
            <v>430.86</v>
          </cell>
          <cell r="S519">
            <v>82.86</v>
          </cell>
          <cell r="T519">
            <v>380.32</v>
          </cell>
          <cell r="U519">
            <v>149.15</v>
          </cell>
          <cell r="V519">
            <v>64.12</v>
          </cell>
          <cell r="W519">
            <v>59.66</v>
          </cell>
          <cell r="X519">
            <v>82</v>
          </cell>
          <cell r="Y519">
            <v>0</v>
          </cell>
          <cell r="Z519">
            <v>88.22</v>
          </cell>
          <cell r="AA519">
            <v>77</v>
          </cell>
          <cell r="AB519">
            <v>96</v>
          </cell>
          <cell r="AC519">
            <v>80</v>
          </cell>
          <cell r="AD519">
            <v>13.49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Y519">
            <v>185975.28</v>
          </cell>
        </row>
        <row r="520">
          <cell r="A520">
            <v>2</v>
          </cell>
          <cell r="B520" t="str">
            <v>12</v>
          </cell>
          <cell r="C520" t="str">
            <v>000</v>
          </cell>
          <cell r="D520" t="str">
            <v>1</v>
          </cell>
          <cell r="E520" t="str">
            <v>101</v>
          </cell>
          <cell r="F520" t="str">
            <v>N000</v>
          </cell>
          <cell r="G520" t="str">
            <v>300</v>
          </cell>
          <cell r="H520" t="str">
            <v>1103</v>
          </cell>
          <cell r="I520" t="str">
            <v>CF41015</v>
          </cell>
          <cell r="K520" t="str">
            <v>2</v>
          </cell>
          <cell r="L520">
            <v>1</v>
          </cell>
          <cell r="M520">
            <v>0</v>
          </cell>
          <cell r="N520">
            <v>7285</v>
          </cell>
          <cell r="O520" t="str">
            <v>M</v>
          </cell>
          <cell r="P520" t="str">
            <v>00000000</v>
          </cell>
          <cell r="Q520">
            <v>0</v>
          </cell>
          <cell r="R520">
            <v>1052.28</v>
          </cell>
          <cell r="S520">
            <v>202.36</v>
          </cell>
          <cell r="T520">
            <v>928.84</v>
          </cell>
          <cell r="U520">
            <v>364.25</v>
          </cell>
          <cell r="V520">
            <v>131.13</v>
          </cell>
          <cell r="W520">
            <v>145.69999999999999</v>
          </cell>
          <cell r="X520">
            <v>55</v>
          </cell>
          <cell r="Y520">
            <v>0</v>
          </cell>
          <cell r="Z520">
            <v>269.37</v>
          </cell>
          <cell r="AA520">
            <v>77</v>
          </cell>
          <cell r="AB520">
            <v>96</v>
          </cell>
          <cell r="AC520">
            <v>80</v>
          </cell>
          <cell r="AD520">
            <v>13.49</v>
          </cell>
          <cell r="AE520">
            <v>6.07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4615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Y520">
            <v>183857.88</v>
          </cell>
        </row>
        <row r="521">
          <cell r="A521">
            <v>2</v>
          </cell>
          <cell r="B521" t="str">
            <v>12</v>
          </cell>
          <cell r="C521" t="str">
            <v>000</v>
          </cell>
          <cell r="D521" t="str">
            <v>1</v>
          </cell>
          <cell r="E521" t="str">
            <v>101</v>
          </cell>
          <cell r="F521" t="str">
            <v>N000</v>
          </cell>
          <cell r="G521" t="str">
            <v>300</v>
          </cell>
          <cell r="H521" t="str">
            <v>1103</v>
          </cell>
          <cell r="I521" t="str">
            <v>CF52000</v>
          </cell>
          <cell r="J521" t="str">
            <v>33A</v>
          </cell>
          <cell r="K521" t="str">
            <v>1</v>
          </cell>
          <cell r="L521">
            <v>1</v>
          </cell>
          <cell r="M521">
            <v>0</v>
          </cell>
          <cell r="N521">
            <v>9641.4</v>
          </cell>
          <cell r="O521" t="str">
            <v>M</v>
          </cell>
          <cell r="P521" t="str">
            <v>00000000</v>
          </cell>
          <cell r="Q521">
            <v>52502.9</v>
          </cell>
          <cell r="R521">
            <v>1392.65</v>
          </cell>
          <cell r="S521">
            <v>267.82</v>
          </cell>
          <cell r="T521">
            <v>1229.28</v>
          </cell>
          <cell r="U521">
            <v>482.07</v>
          </cell>
          <cell r="V521">
            <v>1118.5999999999999</v>
          </cell>
          <cell r="W521">
            <v>192.83</v>
          </cell>
          <cell r="X521">
            <v>55</v>
          </cell>
          <cell r="Y521">
            <v>3107.22</v>
          </cell>
          <cell r="Z521">
            <v>1278.74</v>
          </cell>
          <cell r="AA521">
            <v>77</v>
          </cell>
          <cell r="AB521">
            <v>0</v>
          </cell>
          <cell r="AC521">
            <v>0</v>
          </cell>
          <cell r="AD521">
            <v>13.49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Y521">
            <v>856308</v>
          </cell>
        </row>
        <row r="522">
          <cell r="A522">
            <v>2</v>
          </cell>
          <cell r="B522" t="str">
            <v>12</v>
          </cell>
          <cell r="C522" t="str">
            <v>000</v>
          </cell>
          <cell r="D522" t="str">
            <v>1</v>
          </cell>
          <cell r="E522" t="str">
            <v>201</v>
          </cell>
          <cell r="F522" t="str">
            <v>N000</v>
          </cell>
          <cell r="G522" t="str">
            <v>310</v>
          </cell>
          <cell r="H522" t="str">
            <v>1103</v>
          </cell>
          <cell r="I522" t="str">
            <v>A01803</v>
          </cell>
          <cell r="J522" t="str">
            <v>19</v>
          </cell>
          <cell r="K522" t="str">
            <v>2</v>
          </cell>
          <cell r="L522">
            <v>5</v>
          </cell>
          <cell r="M522">
            <v>0</v>
          </cell>
          <cell r="N522">
            <v>2120.3000000000002</v>
          </cell>
          <cell r="O522" t="str">
            <v>M</v>
          </cell>
          <cell r="P522" t="str">
            <v>00000000</v>
          </cell>
          <cell r="Q522">
            <v>0</v>
          </cell>
          <cell r="R522">
            <v>306.27</v>
          </cell>
          <cell r="S522">
            <v>58.9</v>
          </cell>
          <cell r="T522">
            <v>270.33999999999997</v>
          </cell>
          <cell r="U522">
            <v>106.02</v>
          </cell>
          <cell r="V522">
            <v>38.17</v>
          </cell>
          <cell r="W522">
            <v>42.41</v>
          </cell>
          <cell r="X522">
            <v>73</v>
          </cell>
          <cell r="Y522">
            <v>0</v>
          </cell>
          <cell r="Z522">
            <v>56.23</v>
          </cell>
          <cell r="AA522">
            <v>77</v>
          </cell>
          <cell r="AB522">
            <v>96</v>
          </cell>
          <cell r="AC522">
            <v>80</v>
          </cell>
          <cell r="AD522">
            <v>13.49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Y522">
            <v>200287.8</v>
          </cell>
        </row>
        <row r="523">
          <cell r="A523">
            <v>2</v>
          </cell>
          <cell r="B523" t="str">
            <v>12</v>
          </cell>
          <cell r="C523" t="str">
            <v>000</v>
          </cell>
          <cell r="D523" t="str">
            <v>1</v>
          </cell>
          <cell r="E523" t="str">
            <v>201</v>
          </cell>
          <cell r="F523" t="str">
            <v>N000</v>
          </cell>
          <cell r="G523" t="str">
            <v>310</v>
          </cell>
          <cell r="H523" t="str">
            <v>1103</v>
          </cell>
          <cell r="I523" t="str">
            <v>A01805</v>
          </cell>
          <cell r="J523" t="str">
            <v>21</v>
          </cell>
          <cell r="K523" t="str">
            <v>2</v>
          </cell>
          <cell r="L523">
            <v>6</v>
          </cell>
          <cell r="M523">
            <v>0</v>
          </cell>
          <cell r="N523">
            <v>2238.1999999999998</v>
          </cell>
          <cell r="O523" t="str">
            <v>M</v>
          </cell>
          <cell r="P523" t="str">
            <v>00000000</v>
          </cell>
          <cell r="Q523">
            <v>0</v>
          </cell>
          <cell r="R523">
            <v>323.3</v>
          </cell>
          <cell r="S523">
            <v>62.17</v>
          </cell>
          <cell r="T523">
            <v>285.37</v>
          </cell>
          <cell r="U523">
            <v>111.91</v>
          </cell>
          <cell r="V523">
            <v>40.29</v>
          </cell>
          <cell r="W523">
            <v>44.76</v>
          </cell>
          <cell r="X523">
            <v>30.67</v>
          </cell>
          <cell r="Y523">
            <v>0</v>
          </cell>
          <cell r="Z523">
            <v>58.15</v>
          </cell>
          <cell r="AA523">
            <v>77</v>
          </cell>
          <cell r="AB523">
            <v>96</v>
          </cell>
          <cell r="AC523">
            <v>80</v>
          </cell>
          <cell r="AD523">
            <v>13.49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Y523">
            <v>249214.32</v>
          </cell>
        </row>
        <row r="524">
          <cell r="A524">
            <v>2</v>
          </cell>
          <cell r="B524" t="str">
            <v>12</v>
          </cell>
          <cell r="C524" t="str">
            <v>000</v>
          </cell>
          <cell r="D524" t="str">
            <v>1</v>
          </cell>
          <cell r="E524" t="str">
            <v>201</v>
          </cell>
          <cell r="F524" t="str">
            <v>N000</v>
          </cell>
          <cell r="G524" t="str">
            <v>310</v>
          </cell>
          <cell r="H524" t="str">
            <v>1103</v>
          </cell>
          <cell r="I524" t="str">
            <v>A01807</v>
          </cell>
          <cell r="J524" t="str">
            <v>27</v>
          </cell>
          <cell r="K524" t="str">
            <v>2</v>
          </cell>
          <cell r="L524">
            <v>19</v>
          </cell>
          <cell r="M524">
            <v>0</v>
          </cell>
          <cell r="N524">
            <v>2817.8</v>
          </cell>
          <cell r="O524" t="str">
            <v>M</v>
          </cell>
          <cell r="P524" t="str">
            <v>00000000</v>
          </cell>
          <cell r="Q524">
            <v>0</v>
          </cell>
          <cell r="R524">
            <v>407.02</v>
          </cell>
          <cell r="S524">
            <v>78.27</v>
          </cell>
          <cell r="T524">
            <v>359.27</v>
          </cell>
          <cell r="U524">
            <v>140.88999999999999</v>
          </cell>
          <cell r="V524">
            <v>50.72</v>
          </cell>
          <cell r="W524">
            <v>56.36</v>
          </cell>
          <cell r="X524">
            <v>18.79</v>
          </cell>
          <cell r="Y524">
            <v>0</v>
          </cell>
          <cell r="Z524">
            <v>71.5</v>
          </cell>
          <cell r="AA524">
            <v>77</v>
          </cell>
          <cell r="AB524">
            <v>96</v>
          </cell>
          <cell r="AC524">
            <v>80</v>
          </cell>
          <cell r="AD524">
            <v>13.49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Y524">
            <v>972901.08</v>
          </cell>
        </row>
        <row r="525">
          <cell r="A525">
            <v>2</v>
          </cell>
          <cell r="B525" t="str">
            <v>12</v>
          </cell>
          <cell r="C525" t="str">
            <v>000</v>
          </cell>
          <cell r="D525" t="str">
            <v>1</v>
          </cell>
          <cell r="E525" t="str">
            <v>201</v>
          </cell>
          <cell r="F525" t="str">
            <v>N000</v>
          </cell>
          <cell r="G525" t="str">
            <v>310</v>
          </cell>
          <cell r="H525" t="str">
            <v>1103</v>
          </cell>
          <cell r="I525" t="str">
            <v>A03803</v>
          </cell>
          <cell r="J525" t="str">
            <v>20</v>
          </cell>
          <cell r="K525" t="str">
            <v>2</v>
          </cell>
          <cell r="L525">
            <v>3</v>
          </cell>
          <cell r="M525">
            <v>0</v>
          </cell>
          <cell r="N525">
            <v>2138.85</v>
          </cell>
          <cell r="O525" t="str">
            <v>M</v>
          </cell>
          <cell r="P525" t="str">
            <v>00000000</v>
          </cell>
          <cell r="Q525">
            <v>0</v>
          </cell>
          <cell r="R525">
            <v>308.94</v>
          </cell>
          <cell r="S525">
            <v>59.41</v>
          </cell>
          <cell r="T525">
            <v>272.7</v>
          </cell>
          <cell r="U525">
            <v>106.94</v>
          </cell>
          <cell r="V525">
            <v>38.5</v>
          </cell>
          <cell r="W525">
            <v>42.78</v>
          </cell>
          <cell r="X525">
            <v>0</v>
          </cell>
          <cell r="Y525">
            <v>0</v>
          </cell>
          <cell r="Z525">
            <v>55.2</v>
          </cell>
          <cell r="AA525">
            <v>77</v>
          </cell>
          <cell r="AB525">
            <v>96</v>
          </cell>
          <cell r="AC525">
            <v>80</v>
          </cell>
          <cell r="AD525">
            <v>13.49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Y525">
            <v>118433.16</v>
          </cell>
        </row>
        <row r="526">
          <cell r="A526">
            <v>2</v>
          </cell>
          <cell r="B526" t="str">
            <v>12</v>
          </cell>
          <cell r="C526" t="str">
            <v>000</v>
          </cell>
          <cell r="D526" t="str">
            <v>1</v>
          </cell>
          <cell r="E526" t="str">
            <v>201</v>
          </cell>
          <cell r="F526" t="str">
            <v>N000</v>
          </cell>
          <cell r="G526" t="str">
            <v>310</v>
          </cell>
          <cell r="H526" t="str">
            <v>1103</v>
          </cell>
          <cell r="I526" t="str">
            <v>A03804</v>
          </cell>
          <cell r="J526" t="str">
            <v>23</v>
          </cell>
          <cell r="K526" t="str">
            <v>2</v>
          </cell>
          <cell r="L526">
            <v>4</v>
          </cell>
          <cell r="M526">
            <v>0</v>
          </cell>
          <cell r="N526">
            <v>2451.25</v>
          </cell>
          <cell r="O526" t="str">
            <v>M</v>
          </cell>
          <cell r="P526" t="str">
            <v>00000000</v>
          </cell>
          <cell r="Q526">
            <v>0</v>
          </cell>
          <cell r="R526">
            <v>354.07</v>
          </cell>
          <cell r="S526">
            <v>68.09</v>
          </cell>
          <cell r="T526">
            <v>312.52999999999997</v>
          </cell>
          <cell r="U526">
            <v>122.56</v>
          </cell>
          <cell r="V526">
            <v>44.12</v>
          </cell>
          <cell r="W526">
            <v>49.02</v>
          </cell>
          <cell r="X526">
            <v>47.75</v>
          </cell>
          <cell r="Y526">
            <v>0</v>
          </cell>
          <cell r="Z526">
            <v>63.48</v>
          </cell>
          <cell r="AA526">
            <v>77</v>
          </cell>
          <cell r="AB526">
            <v>96</v>
          </cell>
          <cell r="AC526">
            <v>80</v>
          </cell>
          <cell r="AD526">
            <v>13.49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Y526">
            <v>181409.28</v>
          </cell>
        </row>
        <row r="527">
          <cell r="A527">
            <v>2</v>
          </cell>
          <cell r="B527" t="str">
            <v>12</v>
          </cell>
          <cell r="C527" t="str">
            <v>000</v>
          </cell>
          <cell r="D527" t="str">
            <v>1</v>
          </cell>
          <cell r="E527" t="str">
            <v>201</v>
          </cell>
          <cell r="F527" t="str">
            <v>N000</v>
          </cell>
          <cell r="G527" t="str">
            <v>310</v>
          </cell>
          <cell r="H527" t="str">
            <v>1103</v>
          </cell>
          <cell r="I527" t="str">
            <v>CFMC03</v>
          </cell>
          <cell r="J527" t="str">
            <v>MC03</v>
          </cell>
          <cell r="K527" t="str">
            <v>1</v>
          </cell>
          <cell r="L527">
            <v>3</v>
          </cell>
          <cell r="M527">
            <v>0</v>
          </cell>
          <cell r="N527">
            <v>4311.3999999999996</v>
          </cell>
          <cell r="O527" t="str">
            <v>M</v>
          </cell>
          <cell r="P527" t="str">
            <v>00000000</v>
          </cell>
          <cell r="Q527">
            <v>11306.9</v>
          </cell>
          <cell r="R527">
            <v>622.76</v>
          </cell>
          <cell r="S527">
            <v>119.76</v>
          </cell>
          <cell r="T527">
            <v>549.70000000000005</v>
          </cell>
          <cell r="U527">
            <v>215.57</v>
          </cell>
          <cell r="V527">
            <v>281.13</v>
          </cell>
          <cell r="W527">
            <v>86.23</v>
          </cell>
          <cell r="X527">
            <v>33.67</v>
          </cell>
          <cell r="Y527">
            <v>780.91</v>
          </cell>
          <cell r="Z527">
            <v>329.43</v>
          </cell>
          <cell r="AA527">
            <v>77</v>
          </cell>
          <cell r="AB527">
            <v>0</v>
          </cell>
          <cell r="AC527">
            <v>0</v>
          </cell>
          <cell r="AD527">
            <v>13.49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Y527">
            <v>674206.2</v>
          </cell>
        </row>
        <row r="528">
          <cell r="A528">
            <v>2</v>
          </cell>
          <cell r="B528" t="str">
            <v>12</v>
          </cell>
          <cell r="C528" t="str">
            <v>000</v>
          </cell>
          <cell r="D528" t="str">
            <v>1</v>
          </cell>
          <cell r="E528" t="str">
            <v>201</v>
          </cell>
          <cell r="F528" t="str">
            <v>N000</v>
          </cell>
          <cell r="G528" t="str">
            <v>310</v>
          </cell>
          <cell r="H528" t="str">
            <v>1103</v>
          </cell>
          <cell r="I528" t="str">
            <v>CFMD09</v>
          </cell>
          <cell r="J528" t="str">
            <v>MD09</v>
          </cell>
          <cell r="K528" t="str">
            <v>1</v>
          </cell>
          <cell r="L528">
            <v>1</v>
          </cell>
          <cell r="M528">
            <v>0</v>
          </cell>
          <cell r="N528">
            <v>14852.65</v>
          </cell>
          <cell r="O528" t="str">
            <v>M</v>
          </cell>
          <cell r="P528" t="str">
            <v>00000000</v>
          </cell>
          <cell r="Q528">
            <v>100991.65</v>
          </cell>
          <cell r="R528">
            <v>2145.38</v>
          </cell>
          <cell r="S528">
            <v>412.57</v>
          </cell>
          <cell r="T528">
            <v>1893.71</v>
          </cell>
          <cell r="U528">
            <v>742.63</v>
          </cell>
          <cell r="V528">
            <v>2085.1999999999998</v>
          </cell>
          <cell r="W528">
            <v>297.05</v>
          </cell>
          <cell r="X528">
            <v>46</v>
          </cell>
          <cell r="Y528">
            <v>5792.22</v>
          </cell>
          <cell r="Z528">
            <v>2370.5100000000002</v>
          </cell>
          <cell r="AA528">
            <v>77</v>
          </cell>
          <cell r="AB528">
            <v>0</v>
          </cell>
          <cell r="AC528">
            <v>0</v>
          </cell>
          <cell r="AD528">
            <v>13.49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Y528">
            <v>1580640.72</v>
          </cell>
        </row>
        <row r="529">
          <cell r="A529">
            <v>2</v>
          </cell>
          <cell r="B529" t="str">
            <v>12</v>
          </cell>
          <cell r="C529" t="str">
            <v>000</v>
          </cell>
          <cell r="D529" t="str">
            <v>1</v>
          </cell>
          <cell r="E529" t="str">
            <v>201</v>
          </cell>
          <cell r="F529" t="str">
            <v>N000</v>
          </cell>
          <cell r="G529" t="str">
            <v>310</v>
          </cell>
          <cell r="H529" t="str">
            <v>1103</v>
          </cell>
          <cell r="I529" t="str">
            <v>CFMG06</v>
          </cell>
          <cell r="J529" t="str">
            <v>MG06</v>
          </cell>
          <cell r="K529" t="str">
            <v>1</v>
          </cell>
          <cell r="L529">
            <v>4</v>
          </cell>
          <cell r="M529">
            <v>0</v>
          </cell>
          <cell r="N529">
            <v>8232.25</v>
          </cell>
          <cell r="O529" t="str">
            <v>M</v>
          </cell>
          <cell r="P529" t="str">
            <v>00000000</v>
          </cell>
          <cell r="Q529">
            <v>38872.050000000003</v>
          </cell>
          <cell r="R529">
            <v>1189.0999999999999</v>
          </cell>
          <cell r="S529">
            <v>228.67</v>
          </cell>
          <cell r="T529">
            <v>1049.6099999999999</v>
          </cell>
          <cell r="U529">
            <v>411.61</v>
          </cell>
          <cell r="V529">
            <v>847.88</v>
          </cell>
          <cell r="W529">
            <v>164.65</v>
          </cell>
          <cell r="X529">
            <v>95.5</v>
          </cell>
          <cell r="Y529">
            <v>2355.2199999999998</v>
          </cell>
          <cell r="Z529">
            <v>973.89</v>
          </cell>
          <cell r="AA529">
            <v>77</v>
          </cell>
          <cell r="AB529">
            <v>0</v>
          </cell>
          <cell r="AC529">
            <v>0</v>
          </cell>
          <cell r="AD529">
            <v>13.49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Y529">
            <v>2616524.16</v>
          </cell>
        </row>
        <row r="530">
          <cell r="A530">
            <v>2</v>
          </cell>
          <cell r="B530" t="str">
            <v>12</v>
          </cell>
          <cell r="C530" t="str">
            <v>000</v>
          </cell>
          <cell r="D530" t="str">
            <v>1</v>
          </cell>
          <cell r="E530" t="str">
            <v>201</v>
          </cell>
          <cell r="F530" t="str">
            <v>N000</v>
          </cell>
          <cell r="G530" t="str">
            <v>310</v>
          </cell>
          <cell r="H530" t="str">
            <v>1103</v>
          </cell>
          <cell r="I530" t="str">
            <v>CFMS06</v>
          </cell>
          <cell r="J530" t="str">
            <v>MS06</v>
          </cell>
          <cell r="K530" t="str">
            <v>1</v>
          </cell>
          <cell r="L530">
            <v>1</v>
          </cell>
          <cell r="M530">
            <v>0</v>
          </cell>
          <cell r="N530">
            <v>4801.8999999999996</v>
          </cell>
          <cell r="O530" t="str">
            <v>M</v>
          </cell>
          <cell r="P530" t="str">
            <v>00000000</v>
          </cell>
          <cell r="Q530">
            <v>21723.85</v>
          </cell>
          <cell r="R530">
            <v>693.61</v>
          </cell>
          <cell r="S530">
            <v>133.38999999999999</v>
          </cell>
          <cell r="T530">
            <v>612.24</v>
          </cell>
          <cell r="U530">
            <v>240.09</v>
          </cell>
          <cell r="V530">
            <v>477.46</v>
          </cell>
          <cell r="W530">
            <v>96.04</v>
          </cell>
          <cell r="X530">
            <v>0</v>
          </cell>
          <cell r="Y530">
            <v>1326.29</v>
          </cell>
          <cell r="Z530">
            <v>548.6</v>
          </cell>
          <cell r="AA530">
            <v>77</v>
          </cell>
          <cell r="AB530">
            <v>0</v>
          </cell>
          <cell r="AC530">
            <v>0</v>
          </cell>
          <cell r="AD530">
            <v>13.49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Y530">
            <v>368927.52</v>
          </cell>
        </row>
        <row r="531">
          <cell r="A531">
            <v>2</v>
          </cell>
          <cell r="B531" t="str">
            <v>12</v>
          </cell>
          <cell r="C531" t="str">
            <v>000</v>
          </cell>
          <cell r="D531" t="str">
            <v>1</v>
          </cell>
          <cell r="E531" t="str">
            <v>201</v>
          </cell>
          <cell r="F531" t="str">
            <v>N000</v>
          </cell>
          <cell r="G531" t="str">
            <v>310</v>
          </cell>
          <cell r="H531" t="str">
            <v>1103</v>
          </cell>
          <cell r="I531" t="str">
            <v>CFMS08</v>
          </cell>
          <cell r="J531" t="str">
            <v>MS08</v>
          </cell>
          <cell r="K531" t="str">
            <v>1</v>
          </cell>
          <cell r="L531">
            <v>9</v>
          </cell>
          <cell r="M531">
            <v>0</v>
          </cell>
          <cell r="N531">
            <v>4801.8999999999996</v>
          </cell>
          <cell r="O531" t="str">
            <v>M</v>
          </cell>
          <cell r="P531" t="str">
            <v>00000000</v>
          </cell>
          <cell r="Q531">
            <v>18269.849999999999</v>
          </cell>
          <cell r="R531">
            <v>693.61</v>
          </cell>
          <cell r="S531">
            <v>133.38999999999999</v>
          </cell>
          <cell r="T531">
            <v>612.24</v>
          </cell>
          <cell r="U531">
            <v>240.09</v>
          </cell>
          <cell r="V531">
            <v>415.29</v>
          </cell>
          <cell r="W531">
            <v>96.04</v>
          </cell>
          <cell r="X531">
            <v>56.78</v>
          </cell>
          <cell r="Y531">
            <v>1153.5899999999999</v>
          </cell>
          <cell r="Z531">
            <v>480.65</v>
          </cell>
          <cell r="AA531">
            <v>77</v>
          </cell>
          <cell r="AB531">
            <v>0</v>
          </cell>
          <cell r="AC531">
            <v>0</v>
          </cell>
          <cell r="AD531">
            <v>13.49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Y531">
            <v>2920743.36</v>
          </cell>
        </row>
        <row r="532">
          <cell r="A532">
            <v>2</v>
          </cell>
          <cell r="B532" t="str">
            <v>12</v>
          </cell>
          <cell r="C532" t="str">
            <v>000</v>
          </cell>
          <cell r="D532" t="str">
            <v>1</v>
          </cell>
          <cell r="E532" t="str">
            <v>201</v>
          </cell>
          <cell r="F532" t="str">
            <v>N000</v>
          </cell>
          <cell r="G532" t="str">
            <v>310</v>
          </cell>
          <cell r="H532" t="str">
            <v>1103</v>
          </cell>
          <cell r="I532" t="str">
            <v>M01004</v>
          </cell>
          <cell r="K532" t="str">
            <v>2</v>
          </cell>
          <cell r="L532">
            <v>18</v>
          </cell>
          <cell r="M532">
            <v>0</v>
          </cell>
          <cell r="N532">
            <v>6400</v>
          </cell>
          <cell r="O532" t="str">
            <v>M</v>
          </cell>
          <cell r="P532" t="str">
            <v>00000000</v>
          </cell>
          <cell r="Q532">
            <v>0</v>
          </cell>
          <cell r="R532">
            <v>924.44</v>
          </cell>
          <cell r="S532">
            <v>177.78</v>
          </cell>
          <cell r="T532">
            <v>816</v>
          </cell>
          <cell r="U532">
            <v>320</v>
          </cell>
          <cell r="V532">
            <v>115.2</v>
          </cell>
          <cell r="W532">
            <v>128</v>
          </cell>
          <cell r="X532">
            <v>36.56</v>
          </cell>
          <cell r="Y532">
            <v>0</v>
          </cell>
          <cell r="Z532">
            <v>288.26</v>
          </cell>
          <cell r="AA532">
            <v>77</v>
          </cell>
          <cell r="AB532">
            <v>96</v>
          </cell>
          <cell r="AC532">
            <v>80</v>
          </cell>
          <cell r="AD532">
            <v>13.49</v>
          </cell>
          <cell r="AE532">
            <v>5.33</v>
          </cell>
          <cell r="AF532">
            <v>0</v>
          </cell>
          <cell r="AG532">
            <v>0</v>
          </cell>
          <cell r="AH532">
            <v>4086</v>
          </cell>
          <cell r="AI532">
            <v>0</v>
          </cell>
          <cell r="AJ532">
            <v>2530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Y532">
            <v>3476316.96</v>
          </cell>
        </row>
        <row r="533">
          <cell r="A533">
            <v>2</v>
          </cell>
          <cell r="B533" t="str">
            <v>12</v>
          </cell>
          <cell r="C533" t="str">
            <v>000</v>
          </cell>
          <cell r="D533" t="str">
            <v>1</v>
          </cell>
          <cell r="E533" t="str">
            <v>201</v>
          </cell>
          <cell r="F533" t="str">
            <v>N000</v>
          </cell>
          <cell r="G533" t="str">
            <v>310</v>
          </cell>
          <cell r="H533" t="str">
            <v>1103</v>
          </cell>
          <cell r="I533" t="str">
            <v>M01006</v>
          </cell>
          <cell r="K533" t="str">
            <v>2</v>
          </cell>
          <cell r="L533">
            <v>17</v>
          </cell>
          <cell r="M533">
            <v>0</v>
          </cell>
          <cell r="N533">
            <v>5300</v>
          </cell>
          <cell r="O533" t="str">
            <v>M</v>
          </cell>
          <cell r="P533" t="str">
            <v>00000000</v>
          </cell>
          <cell r="Q533">
            <v>0</v>
          </cell>
          <cell r="R533">
            <v>765.56</v>
          </cell>
          <cell r="S533">
            <v>147.22</v>
          </cell>
          <cell r="T533">
            <v>675.75</v>
          </cell>
          <cell r="U533">
            <v>265</v>
          </cell>
          <cell r="V533">
            <v>95.4</v>
          </cell>
          <cell r="W533">
            <v>106</v>
          </cell>
          <cell r="X533">
            <v>21.65</v>
          </cell>
          <cell r="Y533">
            <v>0</v>
          </cell>
          <cell r="Z533">
            <v>238.36</v>
          </cell>
          <cell r="AA533">
            <v>77</v>
          </cell>
          <cell r="AB533">
            <v>96</v>
          </cell>
          <cell r="AC533">
            <v>80</v>
          </cell>
          <cell r="AD533">
            <v>13.49</v>
          </cell>
          <cell r="AE533">
            <v>4.42</v>
          </cell>
          <cell r="AF533">
            <v>0</v>
          </cell>
          <cell r="AG533">
            <v>0</v>
          </cell>
          <cell r="AH533">
            <v>2426</v>
          </cell>
          <cell r="AI533">
            <v>0</v>
          </cell>
          <cell r="AJ533">
            <v>3000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Y533">
            <v>2715617.4</v>
          </cell>
        </row>
        <row r="534">
          <cell r="A534">
            <v>2</v>
          </cell>
          <cell r="B534" t="str">
            <v>12</v>
          </cell>
          <cell r="C534" t="str">
            <v>000</v>
          </cell>
          <cell r="D534" t="str">
            <v>1</v>
          </cell>
          <cell r="E534" t="str">
            <v>201</v>
          </cell>
          <cell r="F534" t="str">
            <v>N000</v>
          </cell>
          <cell r="G534" t="str">
            <v>310</v>
          </cell>
          <cell r="H534" t="str">
            <v>1103</v>
          </cell>
          <cell r="I534" t="str">
            <v>M01007</v>
          </cell>
          <cell r="K534" t="str">
            <v>2</v>
          </cell>
          <cell r="L534">
            <v>3</v>
          </cell>
          <cell r="M534">
            <v>0</v>
          </cell>
          <cell r="N534">
            <v>5074</v>
          </cell>
          <cell r="O534" t="str">
            <v>M</v>
          </cell>
          <cell r="P534" t="str">
            <v>00000000</v>
          </cell>
          <cell r="Q534">
            <v>0</v>
          </cell>
          <cell r="R534">
            <v>732.91</v>
          </cell>
          <cell r="S534">
            <v>140.94</v>
          </cell>
          <cell r="T534">
            <v>646.94000000000005</v>
          </cell>
          <cell r="U534">
            <v>253.7</v>
          </cell>
          <cell r="V534">
            <v>91.33</v>
          </cell>
          <cell r="W534">
            <v>101.48</v>
          </cell>
          <cell r="X534">
            <v>36.67</v>
          </cell>
          <cell r="Y534">
            <v>0</v>
          </cell>
          <cell r="Z534">
            <v>207.08</v>
          </cell>
          <cell r="AA534">
            <v>77</v>
          </cell>
          <cell r="AB534">
            <v>96</v>
          </cell>
          <cell r="AC534">
            <v>80</v>
          </cell>
          <cell r="AD534">
            <v>13.49</v>
          </cell>
          <cell r="AE534">
            <v>4.2300000000000004</v>
          </cell>
          <cell r="AF534">
            <v>0</v>
          </cell>
          <cell r="AG534">
            <v>0</v>
          </cell>
          <cell r="AH534">
            <v>2004</v>
          </cell>
          <cell r="AI534">
            <v>0</v>
          </cell>
          <cell r="AJ534">
            <v>2108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Y534">
            <v>420039.72</v>
          </cell>
        </row>
        <row r="535">
          <cell r="A535">
            <v>2</v>
          </cell>
          <cell r="B535" t="str">
            <v>12</v>
          </cell>
          <cell r="C535" t="str">
            <v>000</v>
          </cell>
          <cell r="D535" t="str">
            <v>1</v>
          </cell>
          <cell r="E535" t="str">
            <v>201</v>
          </cell>
          <cell r="F535" t="str">
            <v>N000</v>
          </cell>
          <cell r="G535" t="str">
            <v>310</v>
          </cell>
          <cell r="H535" t="str">
            <v>1103</v>
          </cell>
          <cell r="I535" t="str">
            <v>M01008</v>
          </cell>
          <cell r="K535" t="str">
            <v>2</v>
          </cell>
          <cell r="L535">
            <v>3</v>
          </cell>
          <cell r="M535">
            <v>0</v>
          </cell>
          <cell r="N535">
            <v>5546</v>
          </cell>
          <cell r="O535" t="str">
            <v>M</v>
          </cell>
          <cell r="P535" t="str">
            <v>00000000</v>
          </cell>
          <cell r="Q535">
            <v>0</v>
          </cell>
          <cell r="R535">
            <v>801.09</v>
          </cell>
          <cell r="S535">
            <v>154.06</v>
          </cell>
          <cell r="T535">
            <v>707.12</v>
          </cell>
          <cell r="U535">
            <v>277.3</v>
          </cell>
          <cell r="V535">
            <v>99.83</v>
          </cell>
          <cell r="W535">
            <v>110.92</v>
          </cell>
          <cell r="X535">
            <v>45.67</v>
          </cell>
          <cell r="Y535">
            <v>0</v>
          </cell>
          <cell r="Z535">
            <v>251.17</v>
          </cell>
          <cell r="AA535">
            <v>77</v>
          </cell>
          <cell r="AB535">
            <v>96</v>
          </cell>
          <cell r="AC535">
            <v>80</v>
          </cell>
          <cell r="AD535">
            <v>13.49</v>
          </cell>
          <cell r="AE535">
            <v>4.62</v>
          </cell>
          <cell r="AF535">
            <v>0</v>
          </cell>
          <cell r="AG535">
            <v>0</v>
          </cell>
          <cell r="AH535">
            <v>2739</v>
          </cell>
          <cell r="AI535">
            <v>0</v>
          </cell>
          <cell r="AJ535">
            <v>3015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Y535">
            <v>504657.72</v>
          </cell>
        </row>
        <row r="536">
          <cell r="A536">
            <v>2</v>
          </cell>
          <cell r="B536" t="str">
            <v>12</v>
          </cell>
          <cell r="C536" t="str">
            <v>000</v>
          </cell>
          <cell r="D536" t="str">
            <v>1</v>
          </cell>
          <cell r="E536" t="str">
            <v>201</v>
          </cell>
          <cell r="F536" t="str">
            <v>N000</v>
          </cell>
          <cell r="G536" t="str">
            <v>310</v>
          </cell>
          <cell r="H536" t="str">
            <v>1103</v>
          </cell>
          <cell r="I536" t="str">
            <v>M01009</v>
          </cell>
          <cell r="K536" t="str">
            <v>2</v>
          </cell>
          <cell r="L536">
            <v>2</v>
          </cell>
          <cell r="M536">
            <v>0</v>
          </cell>
          <cell r="N536">
            <v>6121</v>
          </cell>
          <cell r="O536" t="str">
            <v>M</v>
          </cell>
          <cell r="P536" t="str">
            <v>00000000</v>
          </cell>
          <cell r="Q536">
            <v>0</v>
          </cell>
          <cell r="R536">
            <v>884.14</v>
          </cell>
          <cell r="S536">
            <v>170.03</v>
          </cell>
          <cell r="T536">
            <v>780.43</v>
          </cell>
          <cell r="U536">
            <v>306.05</v>
          </cell>
          <cell r="V536">
            <v>110.18</v>
          </cell>
          <cell r="W536">
            <v>122.42</v>
          </cell>
          <cell r="X536">
            <v>95.5</v>
          </cell>
          <cell r="Y536">
            <v>0</v>
          </cell>
          <cell r="Z536">
            <v>276.08</v>
          </cell>
          <cell r="AA536">
            <v>77</v>
          </cell>
          <cell r="AB536">
            <v>96</v>
          </cell>
          <cell r="AC536">
            <v>80</v>
          </cell>
          <cell r="AD536">
            <v>13.49</v>
          </cell>
          <cell r="AE536">
            <v>5.0999999999999996</v>
          </cell>
          <cell r="AF536">
            <v>0</v>
          </cell>
          <cell r="AG536">
            <v>0</v>
          </cell>
          <cell r="AH536">
            <v>3865</v>
          </cell>
          <cell r="AI536">
            <v>0</v>
          </cell>
          <cell r="AJ536">
            <v>2410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Y536">
            <v>369898.08</v>
          </cell>
        </row>
        <row r="537">
          <cell r="A537">
            <v>2</v>
          </cell>
          <cell r="B537" t="str">
            <v>12</v>
          </cell>
          <cell r="C537" t="str">
            <v>000</v>
          </cell>
          <cell r="D537" t="str">
            <v>1</v>
          </cell>
          <cell r="E537" t="str">
            <v>201</v>
          </cell>
          <cell r="F537" t="str">
            <v>N000</v>
          </cell>
          <cell r="G537" t="str">
            <v>310</v>
          </cell>
          <cell r="H537" t="str">
            <v>1103</v>
          </cell>
          <cell r="I537" t="str">
            <v>M01010</v>
          </cell>
          <cell r="K537" t="str">
            <v>2</v>
          </cell>
          <cell r="L537">
            <v>21</v>
          </cell>
          <cell r="M537">
            <v>0</v>
          </cell>
          <cell r="N537">
            <v>6750</v>
          </cell>
          <cell r="O537" t="str">
            <v>M</v>
          </cell>
          <cell r="P537" t="str">
            <v>00000000</v>
          </cell>
          <cell r="Q537">
            <v>0</v>
          </cell>
          <cell r="R537">
            <v>975</v>
          </cell>
          <cell r="S537">
            <v>187.5</v>
          </cell>
          <cell r="T537">
            <v>860.63</v>
          </cell>
          <cell r="U537">
            <v>337.5</v>
          </cell>
          <cell r="V537">
            <v>121.5</v>
          </cell>
          <cell r="W537">
            <v>135</v>
          </cell>
          <cell r="X537">
            <v>2.62</v>
          </cell>
          <cell r="Y537">
            <v>0</v>
          </cell>
          <cell r="Z537">
            <v>301.68</v>
          </cell>
          <cell r="AA537">
            <v>77</v>
          </cell>
          <cell r="AB537">
            <v>96</v>
          </cell>
          <cell r="AC537">
            <v>80</v>
          </cell>
          <cell r="AD537">
            <v>13.49</v>
          </cell>
          <cell r="AE537">
            <v>5.63</v>
          </cell>
          <cell r="AF537">
            <v>0</v>
          </cell>
          <cell r="AG537">
            <v>0</v>
          </cell>
          <cell r="AH537">
            <v>4210</v>
          </cell>
          <cell r="AI537">
            <v>0</v>
          </cell>
          <cell r="AJ537">
            <v>2700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Y537">
            <v>4247094.5999999996</v>
          </cell>
        </row>
        <row r="538">
          <cell r="A538">
            <v>2</v>
          </cell>
          <cell r="B538" t="str">
            <v>12</v>
          </cell>
          <cell r="C538" t="str">
            <v>000</v>
          </cell>
          <cell r="D538" t="str">
            <v>1</v>
          </cell>
          <cell r="E538" t="str">
            <v>201</v>
          </cell>
          <cell r="F538" t="str">
            <v>N000</v>
          </cell>
          <cell r="G538" t="str">
            <v>310</v>
          </cell>
          <cell r="H538" t="str">
            <v>1103</v>
          </cell>
          <cell r="I538" t="str">
            <v>M01011</v>
          </cell>
          <cell r="K538" t="str">
            <v>2</v>
          </cell>
          <cell r="L538">
            <v>2</v>
          </cell>
          <cell r="M538">
            <v>0</v>
          </cell>
          <cell r="N538">
            <v>7310</v>
          </cell>
          <cell r="O538" t="str">
            <v>M</v>
          </cell>
          <cell r="P538" t="str">
            <v>00000000</v>
          </cell>
          <cell r="Q538">
            <v>0</v>
          </cell>
          <cell r="R538">
            <v>1055.8900000000001</v>
          </cell>
          <cell r="S538">
            <v>203.06</v>
          </cell>
          <cell r="T538">
            <v>932.02</v>
          </cell>
          <cell r="U538">
            <v>365.5</v>
          </cell>
          <cell r="V538">
            <v>131.58000000000001</v>
          </cell>
          <cell r="W538">
            <v>146.19999999999999</v>
          </cell>
          <cell r="X538">
            <v>23</v>
          </cell>
          <cell r="Y538">
            <v>0</v>
          </cell>
          <cell r="Z538">
            <v>330.18</v>
          </cell>
          <cell r="AA538">
            <v>77</v>
          </cell>
          <cell r="AB538">
            <v>96</v>
          </cell>
          <cell r="AC538">
            <v>80</v>
          </cell>
          <cell r="AD538">
            <v>13.49</v>
          </cell>
          <cell r="AE538">
            <v>6.09</v>
          </cell>
          <cell r="AF538">
            <v>0</v>
          </cell>
          <cell r="AG538">
            <v>0</v>
          </cell>
          <cell r="AH538">
            <v>4524</v>
          </cell>
          <cell r="AI538">
            <v>0</v>
          </cell>
          <cell r="AJ538">
            <v>3134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Y538">
            <v>442272.24</v>
          </cell>
        </row>
        <row r="539">
          <cell r="A539">
            <v>2</v>
          </cell>
          <cell r="B539" t="str">
            <v>12</v>
          </cell>
          <cell r="C539" t="str">
            <v>000</v>
          </cell>
          <cell r="D539" t="str">
            <v>1</v>
          </cell>
          <cell r="E539" t="str">
            <v>201</v>
          </cell>
          <cell r="F539" t="str">
            <v>N000</v>
          </cell>
          <cell r="G539" t="str">
            <v>310</v>
          </cell>
          <cell r="H539" t="str">
            <v>1103</v>
          </cell>
          <cell r="I539" t="str">
            <v>M02001</v>
          </cell>
          <cell r="K539" t="str">
            <v>2</v>
          </cell>
          <cell r="L539">
            <v>5</v>
          </cell>
          <cell r="M539">
            <v>0</v>
          </cell>
          <cell r="N539">
            <v>5000</v>
          </cell>
          <cell r="O539" t="str">
            <v>M</v>
          </cell>
          <cell r="P539" t="str">
            <v>00000000</v>
          </cell>
          <cell r="Q539">
            <v>0</v>
          </cell>
          <cell r="R539">
            <v>722.22</v>
          </cell>
          <cell r="S539">
            <v>138.88999999999999</v>
          </cell>
          <cell r="T539">
            <v>637.5</v>
          </cell>
          <cell r="U539">
            <v>250</v>
          </cell>
          <cell r="V539">
            <v>90</v>
          </cell>
          <cell r="W539">
            <v>100</v>
          </cell>
          <cell r="X539">
            <v>31.2</v>
          </cell>
          <cell r="Y539">
            <v>0</v>
          </cell>
          <cell r="Z539">
            <v>174.99</v>
          </cell>
          <cell r="AA539">
            <v>77</v>
          </cell>
          <cell r="AB539">
            <v>96</v>
          </cell>
          <cell r="AC539">
            <v>80</v>
          </cell>
          <cell r="AD539">
            <v>13.49</v>
          </cell>
          <cell r="AE539">
            <v>4.17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2600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Y539">
            <v>600927.6</v>
          </cell>
        </row>
        <row r="540">
          <cell r="A540">
            <v>2</v>
          </cell>
          <cell r="B540" t="str">
            <v>12</v>
          </cell>
          <cell r="C540" t="str">
            <v>000</v>
          </cell>
          <cell r="D540" t="str">
            <v>1</v>
          </cell>
          <cell r="E540" t="str">
            <v>201</v>
          </cell>
          <cell r="F540" t="str">
            <v>N000</v>
          </cell>
          <cell r="G540" t="str">
            <v>310</v>
          </cell>
          <cell r="H540" t="str">
            <v>1103</v>
          </cell>
          <cell r="I540" t="str">
            <v>M02002</v>
          </cell>
          <cell r="K540" t="str">
            <v>2</v>
          </cell>
          <cell r="L540">
            <v>2</v>
          </cell>
          <cell r="M540">
            <v>0</v>
          </cell>
          <cell r="N540">
            <v>5000</v>
          </cell>
          <cell r="O540" t="str">
            <v>M</v>
          </cell>
          <cell r="P540" t="str">
            <v>00000000</v>
          </cell>
          <cell r="Q540">
            <v>0</v>
          </cell>
          <cell r="R540">
            <v>722.22</v>
          </cell>
          <cell r="S540">
            <v>138.88999999999999</v>
          </cell>
          <cell r="T540">
            <v>637.5</v>
          </cell>
          <cell r="U540">
            <v>250</v>
          </cell>
          <cell r="V540">
            <v>90</v>
          </cell>
          <cell r="W540">
            <v>100</v>
          </cell>
          <cell r="X540">
            <v>23</v>
          </cell>
          <cell r="Y540">
            <v>0</v>
          </cell>
          <cell r="Z540">
            <v>174.83</v>
          </cell>
          <cell r="AA540">
            <v>77</v>
          </cell>
          <cell r="AB540">
            <v>96</v>
          </cell>
          <cell r="AC540">
            <v>80</v>
          </cell>
          <cell r="AD540">
            <v>13.49</v>
          </cell>
          <cell r="AE540">
            <v>4.17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2600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Y540">
            <v>240170.4</v>
          </cell>
        </row>
        <row r="541">
          <cell r="A541">
            <v>2</v>
          </cell>
          <cell r="B541" t="str">
            <v>12</v>
          </cell>
          <cell r="C541" t="str">
            <v>000</v>
          </cell>
          <cell r="D541" t="str">
            <v>1</v>
          </cell>
          <cell r="E541" t="str">
            <v>201</v>
          </cell>
          <cell r="F541" t="str">
            <v>N000</v>
          </cell>
          <cell r="G541" t="str">
            <v>310</v>
          </cell>
          <cell r="H541" t="str">
            <v>1103</v>
          </cell>
          <cell r="I541" t="str">
            <v>M02015</v>
          </cell>
          <cell r="K541" t="str">
            <v>2</v>
          </cell>
          <cell r="L541">
            <v>4</v>
          </cell>
          <cell r="M541">
            <v>0</v>
          </cell>
          <cell r="N541">
            <v>5000</v>
          </cell>
          <cell r="O541" t="str">
            <v>M</v>
          </cell>
          <cell r="P541" t="str">
            <v>00000000</v>
          </cell>
          <cell r="Q541">
            <v>0</v>
          </cell>
          <cell r="R541">
            <v>722.22</v>
          </cell>
          <cell r="S541">
            <v>138.88999999999999</v>
          </cell>
          <cell r="T541">
            <v>637.5</v>
          </cell>
          <cell r="U541">
            <v>250</v>
          </cell>
          <cell r="V541">
            <v>90</v>
          </cell>
          <cell r="W541">
            <v>100</v>
          </cell>
          <cell r="X541">
            <v>39</v>
          </cell>
          <cell r="Y541">
            <v>0</v>
          </cell>
          <cell r="Z541">
            <v>175.15</v>
          </cell>
          <cell r="AA541">
            <v>77</v>
          </cell>
          <cell r="AB541">
            <v>96</v>
          </cell>
          <cell r="AC541">
            <v>80</v>
          </cell>
          <cell r="AD541">
            <v>13.49</v>
          </cell>
          <cell r="AE541">
            <v>4.17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2600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Y541">
            <v>481124.16</v>
          </cell>
        </row>
        <row r="542">
          <cell r="A542">
            <v>2</v>
          </cell>
          <cell r="B542" t="str">
            <v>12</v>
          </cell>
          <cell r="C542" t="str">
            <v>000</v>
          </cell>
          <cell r="D542" t="str">
            <v>1</v>
          </cell>
          <cell r="E542" t="str">
            <v>201</v>
          </cell>
          <cell r="F542" t="str">
            <v>N000</v>
          </cell>
          <cell r="G542" t="str">
            <v>310</v>
          </cell>
          <cell r="H542" t="str">
            <v>1103</v>
          </cell>
          <cell r="I542" t="str">
            <v>M02016</v>
          </cell>
          <cell r="K542" t="str">
            <v>2</v>
          </cell>
          <cell r="L542">
            <v>80</v>
          </cell>
          <cell r="M542">
            <v>0</v>
          </cell>
          <cell r="N542">
            <v>3221</v>
          </cell>
          <cell r="O542" t="str">
            <v>M</v>
          </cell>
          <cell r="P542" t="str">
            <v>00000000</v>
          </cell>
          <cell r="Q542">
            <v>0</v>
          </cell>
          <cell r="R542">
            <v>465.26</v>
          </cell>
          <cell r="S542">
            <v>89.47</v>
          </cell>
          <cell r="T542">
            <v>410.68</v>
          </cell>
          <cell r="U542">
            <v>161.05000000000001</v>
          </cell>
          <cell r="V542">
            <v>57.98</v>
          </cell>
          <cell r="W542">
            <v>64.42</v>
          </cell>
          <cell r="X542">
            <v>24.7</v>
          </cell>
          <cell r="Y542">
            <v>0</v>
          </cell>
          <cell r="Z542">
            <v>113.12</v>
          </cell>
          <cell r="AA542">
            <v>77</v>
          </cell>
          <cell r="AB542">
            <v>96</v>
          </cell>
          <cell r="AC542">
            <v>80</v>
          </cell>
          <cell r="AD542">
            <v>13.49</v>
          </cell>
          <cell r="AE542">
            <v>2.68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1600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Y542">
            <v>6217776</v>
          </cell>
        </row>
        <row r="543">
          <cell r="A543">
            <v>2</v>
          </cell>
          <cell r="B543" t="str">
            <v>12</v>
          </cell>
          <cell r="C543" t="str">
            <v>000</v>
          </cell>
          <cell r="D543" t="str">
            <v>1</v>
          </cell>
          <cell r="E543" t="str">
            <v>201</v>
          </cell>
          <cell r="F543" t="str">
            <v>N000</v>
          </cell>
          <cell r="G543" t="str">
            <v>310</v>
          </cell>
          <cell r="H543" t="str">
            <v>1103</v>
          </cell>
          <cell r="I543" t="str">
            <v>M02027</v>
          </cell>
          <cell r="K543" t="str">
            <v>2</v>
          </cell>
          <cell r="L543">
            <v>29</v>
          </cell>
          <cell r="M543">
            <v>0</v>
          </cell>
          <cell r="N543">
            <v>4940</v>
          </cell>
          <cell r="O543" t="str">
            <v>M</v>
          </cell>
          <cell r="P543" t="str">
            <v>00000000</v>
          </cell>
          <cell r="Q543">
            <v>0</v>
          </cell>
          <cell r="R543">
            <v>713.56</v>
          </cell>
          <cell r="S543">
            <v>137.22</v>
          </cell>
          <cell r="T543">
            <v>629.85</v>
          </cell>
          <cell r="U543">
            <v>247</v>
          </cell>
          <cell r="V543">
            <v>88.92</v>
          </cell>
          <cell r="W543">
            <v>98.8</v>
          </cell>
          <cell r="X543">
            <v>56.1</v>
          </cell>
          <cell r="Y543">
            <v>0</v>
          </cell>
          <cell r="Z543">
            <v>168.18</v>
          </cell>
          <cell r="AA543">
            <v>77</v>
          </cell>
          <cell r="AB543">
            <v>96</v>
          </cell>
          <cell r="AC543">
            <v>80</v>
          </cell>
          <cell r="AD543">
            <v>13.49</v>
          </cell>
          <cell r="AE543">
            <v>4.12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2305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Y543">
            <v>3360023.52</v>
          </cell>
        </row>
        <row r="544">
          <cell r="A544">
            <v>2</v>
          </cell>
          <cell r="B544" t="str">
            <v>12</v>
          </cell>
          <cell r="C544" t="str">
            <v>000</v>
          </cell>
          <cell r="D544" t="str">
            <v>1</v>
          </cell>
          <cell r="E544" t="str">
            <v>201</v>
          </cell>
          <cell r="F544" t="str">
            <v>N000</v>
          </cell>
          <cell r="G544" t="str">
            <v>310</v>
          </cell>
          <cell r="H544" t="str">
            <v>1103</v>
          </cell>
          <cell r="I544" t="str">
            <v>M02031</v>
          </cell>
          <cell r="K544" t="str">
            <v>2</v>
          </cell>
          <cell r="L544">
            <v>6</v>
          </cell>
          <cell r="M544">
            <v>0</v>
          </cell>
          <cell r="N544">
            <v>5200</v>
          </cell>
          <cell r="O544" t="str">
            <v>M</v>
          </cell>
          <cell r="P544" t="str">
            <v>00000000</v>
          </cell>
          <cell r="Q544">
            <v>0</v>
          </cell>
          <cell r="R544">
            <v>751.11</v>
          </cell>
          <cell r="S544">
            <v>144.44</v>
          </cell>
          <cell r="T544">
            <v>663</v>
          </cell>
          <cell r="U544">
            <v>260</v>
          </cell>
          <cell r="V544">
            <v>93.6</v>
          </cell>
          <cell r="W544">
            <v>104</v>
          </cell>
          <cell r="X544">
            <v>79</v>
          </cell>
          <cell r="Y544">
            <v>0</v>
          </cell>
          <cell r="Z544">
            <v>212.08</v>
          </cell>
          <cell r="AA544">
            <v>77</v>
          </cell>
          <cell r="AB544">
            <v>96</v>
          </cell>
          <cell r="AC544">
            <v>80</v>
          </cell>
          <cell r="AD544">
            <v>13.49</v>
          </cell>
          <cell r="AE544">
            <v>4.33</v>
          </cell>
          <cell r="AF544">
            <v>0</v>
          </cell>
          <cell r="AG544">
            <v>0</v>
          </cell>
          <cell r="AH544">
            <v>2172</v>
          </cell>
          <cell r="AI544">
            <v>0</v>
          </cell>
          <cell r="AJ544">
            <v>2000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Y544">
            <v>860403.6</v>
          </cell>
        </row>
        <row r="545">
          <cell r="A545">
            <v>2</v>
          </cell>
          <cell r="B545" t="str">
            <v>12</v>
          </cell>
          <cell r="C545" t="str">
            <v>000</v>
          </cell>
          <cell r="D545" t="str">
            <v>1</v>
          </cell>
          <cell r="E545" t="str">
            <v>201</v>
          </cell>
          <cell r="F545" t="str">
            <v>N000</v>
          </cell>
          <cell r="G545" t="str">
            <v>310</v>
          </cell>
          <cell r="H545" t="str">
            <v>1103</v>
          </cell>
          <cell r="I545" t="str">
            <v>M02035</v>
          </cell>
          <cell r="K545" t="str">
            <v>2</v>
          </cell>
          <cell r="L545">
            <v>1</v>
          </cell>
          <cell r="M545">
            <v>0</v>
          </cell>
          <cell r="N545">
            <v>3388</v>
          </cell>
          <cell r="O545" t="str">
            <v>M</v>
          </cell>
          <cell r="P545" t="str">
            <v>00000000</v>
          </cell>
          <cell r="Q545">
            <v>0</v>
          </cell>
          <cell r="R545">
            <v>489.38</v>
          </cell>
          <cell r="S545">
            <v>94.11</v>
          </cell>
          <cell r="T545">
            <v>431.97</v>
          </cell>
          <cell r="U545">
            <v>169.4</v>
          </cell>
          <cell r="V545">
            <v>60.98</v>
          </cell>
          <cell r="W545">
            <v>67.760000000000005</v>
          </cell>
          <cell r="X545">
            <v>0</v>
          </cell>
          <cell r="Y545">
            <v>0</v>
          </cell>
          <cell r="Z545">
            <v>136.43</v>
          </cell>
          <cell r="AA545">
            <v>77</v>
          </cell>
          <cell r="AB545">
            <v>96</v>
          </cell>
          <cell r="AC545">
            <v>80</v>
          </cell>
          <cell r="AD545">
            <v>13.49</v>
          </cell>
          <cell r="AE545">
            <v>2.82</v>
          </cell>
          <cell r="AF545">
            <v>0</v>
          </cell>
          <cell r="AG545">
            <v>0</v>
          </cell>
          <cell r="AH545">
            <v>734</v>
          </cell>
          <cell r="AI545">
            <v>0</v>
          </cell>
          <cell r="AJ545">
            <v>1860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Y545">
            <v>92416.08</v>
          </cell>
        </row>
        <row r="546">
          <cell r="A546">
            <v>2</v>
          </cell>
          <cell r="B546" t="str">
            <v>12</v>
          </cell>
          <cell r="C546" t="str">
            <v>000</v>
          </cell>
          <cell r="D546" t="str">
            <v>1</v>
          </cell>
          <cell r="E546" t="str">
            <v>201</v>
          </cell>
          <cell r="F546" t="str">
            <v>N000</v>
          </cell>
          <cell r="G546" t="str">
            <v>310</v>
          </cell>
          <cell r="H546" t="str">
            <v>1103</v>
          </cell>
          <cell r="I546" t="str">
            <v>M02040</v>
          </cell>
          <cell r="K546" t="str">
            <v>2</v>
          </cell>
          <cell r="L546">
            <v>6</v>
          </cell>
          <cell r="M546">
            <v>0</v>
          </cell>
          <cell r="N546">
            <v>3314</v>
          </cell>
          <cell r="O546" t="str">
            <v>M</v>
          </cell>
          <cell r="P546" t="str">
            <v>00000000</v>
          </cell>
          <cell r="Q546">
            <v>0</v>
          </cell>
          <cell r="R546">
            <v>478.69</v>
          </cell>
          <cell r="S546">
            <v>92.06</v>
          </cell>
          <cell r="T546">
            <v>422.54</v>
          </cell>
          <cell r="U546">
            <v>165.7</v>
          </cell>
          <cell r="V546">
            <v>59.65</v>
          </cell>
          <cell r="W546">
            <v>66.28</v>
          </cell>
          <cell r="X546">
            <v>44.33</v>
          </cell>
          <cell r="Y546">
            <v>0</v>
          </cell>
          <cell r="Z546">
            <v>118.66</v>
          </cell>
          <cell r="AA546">
            <v>77</v>
          </cell>
          <cell r="AB546">
            <v>96</v>
          </cell>
          <cell r="AC546">
            <v>80</v>
          </cell>
          <cell r="AD546">
            <v>13.49</v>
          </cell>
          <cell r="AE546">
            <v>2.76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1748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Y546">
            <v>488099.52</v>
          </cell>
        </row>
        <row r="547">
          <cell r="A547">
            <v>2</v>
          </cell>
          <cell r="B547" t="str">
            <v>12</v>
          </cell>
          <cell r="C547" t="str">
            <v>000</v>
          </cell>
          <cell r="D547" t="str">
            <v>1</v>
          </cell>
          <cell r="E547" t="str">
            <v>201</v>
          </cell>
          <cell r="F547" t="str">
            <v>N000</v>
          </cell>
          <cell r="G547" t="str">
            <v>310</v>
          </cell>
          <cell r="H547" t="str">
            <v>1103</v>
          </cell>
          <cell r="I547" t="str">
            <v>M02049</v>
          </cell>
          <cell r="K547" t="str">
            <v>2</v>
          </cell>
          <cell r="L547">
            <v>1</v>
          </cell>
          <cell r="M547">
            <v>0</v>
          </cell>
          <cell r="N547">
            <v>4472</v>
          </cell>
          <cell r="O547" t="str">
            <v>M</v>
          </cell>
          <cell r="P547" t="str">
            <v>00000000</v>
          </cell>
          <cell r="Q547">
            <v>0</v>
          </cell>
          <cell r="R547">
            <v>645.96</v>
          </cell>
          <cell r="S547">
            <v>124.22</v>
          </cell>
          <cell r="T547">
            <v>570.17999999999995</v>
          </cell>
          <cell r="U547">
            <v>223.6</v>
          </cell>
          <cell r="V547">
            <v>80.5</v>
          </cell>
          <cell r="W547">
            <v>89.44</v>
          </cell>
          <cell r="X547">
            <v>0</v>
          </cell>
          <cell r="Y547">
            <v>0</v>
          </cell>
          <cell r="Z547">
            <v>153.18</v>
          </cell>
          <cell r="AA547">
            <v>77</v>
          </cell>
          <cell r="AB547">
            <v>96</v>
          </cell>
          <cell r="AC547">
            <v>80</v>
          </cell>
          <cell r="AD547">
            <v>13.49</v>
          </cell>
          <cell r="AE547">
            <v>3.73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2160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Y547">
            <v>105471.6</v>
          </cell>
        </row>
        <row r="548">
          <cell r="A548">
            <v>2</v>
          </cell>
          <cell r="B548" t="str">
            <v>12</v>
          </cell>
          <cell r="C548" t="str">
            <v>000</v>
          </cell>
          <cell r="D548" t="str">
            <v>1</v>
          </cell>
          <cell r="E548" t="str">
            <v>201</v>
          </cell>
          <cell r="F548" t="str">
            <v>N000</v>
          </cell>
          <cell r="G548" t="str">
            <v>310</v>
          </cell>
          <cell r="H548" t="str">
            <v>1103</v>
          </cell>
          <cell r="I548" t="str">
            <v>M02072</v>
          </cell>
          <cell r="K548" t="str">
            <v>2</v>
          </cell>
          <cell r="L548">
            <v>4</v>
          </cell>
          <cell r="M548">
            <v>0</v>
          </cell>
          <cell r="N548">
            <v>3812</v>
          </cell>
          <cell r="O548" t="str">
            <v>M</v>
          </cell>
          <cell r="P548" t="str">
            <v>00000000</v>
          </cell>
          <cell r="Q548">
            <v>0</v>
          </cell>
          <cell r="R548">
            <v>550.62</v>
          </cell>
          <cell r="S548">
            <v>105.89</v>
          </cell>
          <cell r="T548">
            <v>486.03</v>
          </cell>
          <cell r="U548">
            <v>190.6</v>
          </cell>
          <cell r="V548">
            <v>68.62</v>
          </cell>
          <cell r="W548">
            <v>76.239999999999995</v>
          </cell>
          <cell r="X548">
            <v>57.25</v>
          </cell>
          <cell r="Y548">
            <v>0</v>
          </cell>
          <cell r="Z548">
            <v>136.4</v>
          </cell>
          <cell r="AA548">
            <v>77</v>
          </cell>
          <cell r="AB548">
            <v>96</v>
          </cell>
          <cell r="AC548">
            <v>80</v>
          </cell>
          <cell r="AD548">
            <v>13.49</v>
          </cell>
          <cell r="AE548">
            <v>3.18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2038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Y548">
            <v>373983.36</v>
          </cell>
        </row>
        <row r="549">
          <cell r="A549">
            <v>2</v>
          </cell>
          <cell r="B549" t="str">
            <v>12</v>
          </cell>
          <cell r="C549" t="str">
            <v>000</v>
          </cell>
          <cell r="D549" t="str">
            <v>1</v>
          </cell>
          <cell r="E549" t="str">
            <v>201</v>
          </cell>
          <cell r="F549" t="str">
            <v>N000</v>
          </cell>
          <cell r="G549" t="str">
            <v>310</v>
          </cell>
          <cell r="H549" t="str">
            <v>1103</v>
          </cell>
          <cell r="I549" t="str">
            <v>M02084</v>
          </cell>
          <cell r="K549" t="str">
            <v>2</v>
          </cell>
          <cell r="L549">
            <v>3</v>
          </cell>
          <cell r="M549">
            <v>0</v>
          </cell>
          <cell r="N549">
            <v>4188</v>
          </cell>
          <cell r="O549" t="str">
            <v>M</v>
          </cell>
          <cell r="P549" t="str">
            <v>00000000</v>
          </cell>
          <cell r="Q549">
            <v>0</v>
          </cell>
          <cell r="R549">
            <v>604.92999999999995</v>
          </cell>
          <cell r="S549">
            <v>116.33</v>
          </cell>
          <cell r="T549">
            <v>533.97</v>
          </cell>
          <cell r="U549">
            <v>209.4</v>
          </cell>
          <cell r="V549">
            <v>75.38</v>
          </cell>
          <cell r="W549">
            <v>83.76</v>
          </cell>
          <cell r="X549">
            <v>109</v>
          </cell>
          <cell r="Y549">
            <v>0</v>
          </cell>
          <cell r="Z549">
            <v>150.34</v>
          </cell>
          <cell r="AA549">
            <v>77</v>
          </cell>
          <cell r="AB549">
            <v>96</v>
          </cell>
          <cell r="AC549">
            <v>80</v>
          </cell>
          <cell r="AD549">
            <v>13.49</v>
          </cell>
          <cell r="AE549">
            <v>3.49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2242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Y549">
            <v>308991.24</v>
          </cell>
        </row>
        <row r="550">
          <cell r="A550">
            <v>2</v>
          </cell>
          <cell r="B550" t="str">
            <v>12</v>
          </cell>
          <cell r="C550" t="str">
            <v>000</v>
          </cell>
          <cell r="D550" t="str">
            <v>1</v>
          </cell>
          <cell r="E550" t="str">
            <v>201</v>
          </cell>
          <cell r="F550" t="str">
            <v>N000</v>
          </cell>
          <cell r="G550" t="str">
            <v>310</v>
          </cell>
          <cell r="H550" t="str">
            <v>1103</v>
          </cell>
          <cell r="I550" t="str">
            <v>S01803</v>
          </cell>
          <cell r="J550" t="str">
            <v>19</v>
          </cell>
          <cell r="K550" t="str">
            <v>2</v>
          </cell>
          <cell r="L550">
            <v>3</v>
          </cell>
          <cell r="M550">
            <v>0</v>
          </cell>
          <cell r="N550">
            <v>2120.3000000000002</v>
          </cell>
          <cell r="O550" t="str">
            <v>M</v>
          </cell>
          <cell r="P550" t="str">
            <v>00000000</v>
          </cell>
          <cell r="Q550">
            <v>0</v>
          </cell>
          <cell r="R550">
            <v>306.27</v>
          </cell>
          <cell r="S550">
            <v>58.9</v>
          </cell>
          <cell r="T550">
            <v>270.33999999999997</v>
          </cell>
          <cell r="U550">
            <v>106.02</v>
          </cell>
          <cell r="V550">
            <v>38.17</v>
          </cell>
          <cell r="W550">
            <v>42.41</v>
          </cell>
          <cell r="X550">
            <v>0</v>
          </cell>
          <cell r="Y550">
            <v>0</v>
          </cell>
          <cell r="Z550">
            <v>54.77</v>
          </cell>
          <cell r="AA550">
            <v>77</v>
          </cell>
          <cell r="AB550">
            <v>96</v>
          </cell>
          <cell r="AC550">
            <v>80</v>
          </cell>
          <cell r="AD550">
            <v>13.49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Y550">
            <v>117492.12</v>
          </cell>
        </row>
        <row r="551">
          <cell r="A551">
            <v>2</v>
          </cell>
          <cell r="B551" t="str">
            <v>12</v>
          </cell>
          <cell r="C551" t="str">
            <v>000</v>
          </cell>
          <cell r="D551" t="str">
            <v>1</v>
          </cell>
          <cell r="E551" t="str">
            <v>201</v>
          </cell>
          <cell r="F551" t="str">
            <v>N000</v>
          </cell>
          <cell r="G551" t="str">
            <v>310</v>
          </cell>
          <cell r="H551" t="str">
            <v>1103</v>
          </cell>
          <cell r="I551" t="str">
            <v>S03810</v>
          </cell>
          <cell r="J551" t="str">
            <v>22</v>
          </cell>
          <cell r="K551" t="str">
            <v>2</v>
          </cell>
          <cell r="L551">
            <v>3</v>
          </cell>
          <cell r="M551">
            <v>0</v>
          </cell>
          <cell r="N551">
            <v>2342.3000000000002</v>
          </cell>
          <cell r="O551" t="str">
            <v>M</v>
          </cell>
          <cell r="P551" t="str">
            <v>00000000</v>
          </cell>
          <cell r="Q551">
            <v>0</v>
          </cell>
          <cell r="R551">
            <v>338.33</v>
          </cell>
          <cell r="S551">
            <v>65.06</v>
          </cell>
          <cell r="T551">
            <v>298.64</v>
          </cell>
          <cell r="U551">
            <v>117.12</v>
          </cell>
          <cell r="V551">
            <v>42.16</v>
          </cell>
          <cell r="W551">
            <v>46.85</v>
          </cell>
          <cell r="X551">
            <v>0</v>
          </cell>
          <cell r="Y551">
            <v>0</v>
          </cell>
          <cell r="Z551">
            <v>59.97</v>
          </cell>
          <cell r="AA551">
            <v>77</v>
          </cell>
          <cell r="AB551">
            <v>96</v>
          </cell>
          <cell r="AC551">
            <v>80</v>
          </cell>
          <cell r="AD551">
            <v>13.49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Y551">
            <v>128769.12</v>
          </cell>
        </row>
        <row r="552">
          <cell r="A552">
            <v>2</v>
          </cell>
          <cell r="B552" t="str">
            <v>12</v>
          </cell>
          <cell r="C552" t="str">
            <v>000</v>
          </cell>
          <cell r="D552" t="str">
            <v>1</v>
          </cell>
          <cell r="E552" t="str">
            <v>201</v>
          </cell>
          <cell r="F552" t="str">
            <v>N000</v>
          </cell>
          <cell r="G552" t="str">
            <v>310</v>
          </cell>
          <cell r="H552" t="str">
            <v>1103</v>
          </cell>
          <cell r="I552" t="str">
            <v>S08802</v>
          </cell>
          <cell r="J552" t="str">
            <v>21</v>
          </cell>
          <cell r="K552" t="str">
            <v>2</v>
          </cell>
          <cell r="L552">
            <v>1</v>
          </cell>
          <cell r="M552">
            <v>0</v>
          </cell>
          <cell r="N552">
            <v>2238.1999999999998</v>
          </cell>
          <cell r="O552" t="str">
            <v>M</v>
          </cell>
          <cell r="P552" t="str">
            <v>00000000</v>
          </cell>
          <cell r="Q552">
            <v>0</v>
          </cell>
          <cell r="R552">
            <v>323.3</v>
          </cell>
          <cell r="S552">
            <v>62.17</v>
          </cell>
          <cell r="T552">
            <v>285.37</v>
          </cell>
          <cell r="U552">
            <v>111.91</v>
          </cell>
          <cell r="V552">
            <v>40.29</v>
          </cell>
          <cell r="W552">
            <v>44.76</v>
          </cell>
          <cell r="X552">
            <v>82</v>
          </cell>
          <cell r="Y552">
            <v>0</v>
          </cell>
          <cell r="Z552">
            <v>59.17</v>
          </cell>
          <cell r="AA552">
            <v>77</v>
          </cell>
          <cell r="AB552">
            <v>96</v>
          </cell>
          <cell r="AC552">
            <v>80</v>
          </cell>
          <cell r="AD552">
            <v>13.49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Y552">
            <v>42163.92</v>
          </cell>
        </row>
        <row r="553">
          <cell r="A553">
            <v>2</v>
          </cell>
          <cell r="B553" t="str">
            <v>12</v>
          </cell>
          <cell r="C553" t="str">
            <v>000</v>
          </cell>
          <cell r="D553" t="str">
            <v>1</v>
          </cell>
          <cell r="E553" t="str">
            <v>201</v>
          </cell>
          <cell r="F553" t="str">
            <v>N000</v>
          </cell>
          <cell r="G553" t="str">
            <v>310</v>
          </cell>
          <cell r="H553" t="str">
            <v>1103</v>
          </cell>
          <cell r="I553" t="str">
            <v>T03804</v>
          </cell>
          <cell r="J553" t="str">
            <v>25</v>
          </cell>
          <cell r="K553" t="str">
            <v>2</v>
          </cell>
          <cell r="L553">
            <v>11</v>
          </cell>
          <cell r="M553">
            <v>0</v>
          </cell>
          <cell r="N553">
            <v>2572.4</v>
          </cell>
          <cell r="O553" t="str">
            <v>M</v>
          </cell>
          <cell r="P553" t="str">
            <v>00000000</v>
          </cell>
          <cell r="Q553">
            <v>0</v>
          </cell>
          <cell r="R553">
            <v>371.57</v>
          </cell>
          <cell r="S553">
            <v>71.459999999999994</v>
          </cell>
          <cell r="T553">
            <v>327.98</v>
          </cell>
          <cell r="U553">
            <v>128.62</v>
          </cell>
          <cell r="V553">
            <v>46.3</v>
          </cell>
          <cell r="W553">
            <v>51.45</v>
          </cell>
          <cell r="X553">
            <v>48.18</v>
          </cell>
          <cell r="Y553">
            <v>0</v>
          </cell>
          <cell r="Z553">
            <v>66.33</v>
          </cell>
          <cell r="AA553">
            <v>77</v>
          </cell>
          <cell r="AB553">
            <v>96</v>
          </cell>
          <cell r="AC553">
            <v>80</v>
          </cell>
          <cell r="AD553">
            <v>13.49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Y553">
            <v>521502.96</v>
          </cell>
        </row>
        <row r="554">
          <cell r="A554">
            <v>2</v>
          </cell>
          <cell r="B554" t="str">
            <v>12</v>
          </cell>
          <cell r="C554" t="str">
            <v>000</v>
          </cell>
          <cell r="D554" t="str">
            <v>1</v>
          </cell>
          <cell r="E554" t="str">
            <v>201</v>
          </cell>
          <cell r="F554" t="str">
            <v>N000</v>
          </cell>
          <cell r="G554" t="str">
            <v>310</v>
          </cell>
          <cell r="H554" t="str">
            <v>1103</v>
          </cell>
          <cell r="I554" t="str">
            <v>T06803</v>
          </cell>
          <cell r="J554" t="str">
            <v>26</v>
          </cell>
          <cell r="K554" t="str">
            <v>2</v>
          </cell>
          <cell r="L554">
            <v>3</v>
          </cell>
          <cell r="M554">
            <v>0</v>
          </cell>
          <cell r="N554">
            <v>2692.2</v>
          </cell>
          <cell r="O554" t="str">
            <v>M</v>
          </cell>
          <cell r="P554" t="str">
            <v>00000000</v>
          </cell>
          <cell r="Q554">
            <v>0</v>
          </cell>
          <cell r="R554">
            <v>388.87</v>
          </cell>
          <cell r="S554">
            <v>74.78</v>
          </cell>
          <cell r="T554">
            <v>343.26</v>
          </cell>
          <cell r="U554">
            <v>134.61000000000001</v>
          </cell>
          <cell r="V554">
            <v>48.46</v>
          </cell>
          <cell r="W554">
            <v>53.84</v>
          </cell>
          <cell r="X554">
            <v>27.33</v>
          </cell>
          <cell r="Y554">
            <v>0</v>
          </cell>
          <cell r="Z554">
            <v>68.72</v>
          </cell>
          <cell r="AA554">
            <v>77</v>
          </cell>
          <cell r="AB554">
            <v>96</v>
          </cell>
          <cell r="AC554">
            <v>80</v>
          </cell>
          <cell r="AD554">
            <v>13.49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Y554">
            <v>147548.16</v>
          </cell>
        </row>
        <row r="555">
          <cell r="A555">
            <v>2</v>
          </cell>
          <cell r="B555" t="str">
            <v>12</v>
          </cell>
          <cell r="C555" t="str">
            <v>000</v>
          </cell>
          <cell r="D555" t="str">
            <v>1</v>
          </cell>
          <cell r="E555" t="str">
            <v>201</v>
          </cell>
          <cell r="F555" t="str">
            <v>N000</v>
          </cell>
          <cell r="G555" t="str">
            <v>310</v>
          </cell>
          <cell r="H555" t="str">
            <v>1103</v>
          </cell>
          <cell r="I555" t="str">
            <v>T06804</v>
          </cell>
          <cell r="J555" t="str">
            <v>27Z</v>
          </cell>
          <cell r="K555" t="str">
            <v>2</v>
          </cell>
          <cell r="L555">
            <v>6</v>
          </cell>
          <cell r="M555">
            <v>0</v>
          </cell>
          <cell r="N555">
            <v>2900.25</v>
          </cell>
          <cell r="O555" t="str">
            <v>M</v>
          </cell>
          <cell r="P555" t="str">
            <v>00000000</v>
          </cell>
          <cell r="Q555">
            <v>205.15</v>
          </cell>
          <cell r="R555">
            <v>418.93</v>
          </cell>
          <cell r="S555">
            <v>80.56</v>
          </cell>
          <cell r="T555">
            <v>369.78</v>
          </cell>
          <cell r="U555">
            <v>145.01</v>
          </cell>
          <cell r="V555">
            <v>55.89</v>
          </cell>
          <cell r="W555">
            <v>58.01</v>
          </cell>
          <cell r="X555">
            <v>9.17</v>
          </cell>
          <cell r="Y555">
            <v>0</v>
          </cell>
          <cell r="Z555">
            <v>77.34</v>
          </cell>
          <cell r="AA555">
            <v>77</v>
          </cell>
          <cell r="AB555">
            <v>96</v>
          </cell>
          <cell r="AC555">
            <v>80</v>
          </cell>
          <cell r="AD555">
            <v>13.49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Y555">
            <v>330233.76</v>
          </cell>
        </row>
        <row r="556">
          <cell r="A556">
            <v>2</v>
          </cell>
          <cell r="B556" t="str">
            <v>12</v>
          </cell>
          <cell r="C556" t="str">
            <v>000</v>
          </cell>
          <cell r="D556" t="str">
            <v>1</v>
          </cell>
          <cell r="E556" t="str">
            <v>201</v>
          </cell>
          <cell r="F556" t="str">
            <v>N000</v>
          </cell>
          <cell r="G556" t="str">
            <v>310</v>
          </cell>
          <cell r="H556" t="str">
            <v>1103</v>
          </cell>
          <cell r="I556" t="str">
            <v>CF01059</v>
          </cell>
          <cell r="J556" t="str">
            <v>28</v>
          </cell>
          <cell r="K556" t="str">
            <v>1</v>
          </cell>
          <cell r="L556">
            <v>5</v>
          </cell>
          <cell r="M556">
            <v>0</v>
          </cell>
          <cell r="N556">
            <v>3631.8</v>
          </cell>
          <cell r="O556" t="str">
            <v>M</v>
          </cell>
          <cell r="P556" t="str">
            <v>00000000</v>
          </cell>
          <cell r="Q556">
            <v>8731.1</v>
          </cell>
          <cell r="R556">
            <v>524.59</v>
          </cell>
          <cell r="S556">
            <v>100.88</v>
          </cell>
          <cell r="T556">
            <v>463.05</v>
          </cell>
          <cell r="U556">
            <v>181.59</v>
          </cell>
          <cell r="V556">
            <v>222.53</v>
          </cell>
          <cell r="W556">
            <v>72.64</v>
          </cell>
          <cell r="X556">
            <v>85.6</v>
          </cell>
          <cell r="Y556">
            <v>618.15</v>
          </cell>
          <cell r="Z556">
            <v>263.02</v>
          </cell>
          <cell r="AA556">
            <v>77</v>
          </cell>
          <cell r="AB556">
            <v>0</v>
          </cell>
          <cell r="AC556">
            <v>0</v>
          </cell>
          <cell r="AD556">
            <v>13.49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Y556">
            <v>899126.4</v>
          </cell>
        </row>
        <row r="557">
          <cell r="A557">
            <v>2</v>
          </cell>
          <cell r="B557" t="str">
            <v>12</v>
          </cell>
          <cell r="C557" t="str">
            <v>000</v>
          </cell>
          <cell r="D557" t="str">
            <v>1</v>
          </cell>
          <cell r="E557" t="str">
            <v>201</v>
          </cell>
          <cell r="F557" t="str">
            <v>N000</v>
          </cell>
          <cell r="G557" t="str">
            <v>310</v>
          </cell>
          <cell r="H557" t="str">
            <v>1103</v>
          </cell>
          <cell r="I557" t="str">
            <v>CF03809</v>
          </cell>
          <cell r="J557" t="str">
            <v>25</v>
          </cell>
          <cell r="K557" t="str">
            <v>2</v>
          </cell>
          <cell r="L557">
            <v>6</v>
          </cell>
          <cell r="M557">
            <v>0</v>
          </cell>
          <cell r="N557">
            <v>2572.4</v>
          </cell>
          <cell r="O557" t="str">
            <v>M</v>
          </cell>
          <cell r="P557" t="str">
            <v>00000000</v>
          </cell>
          <cell r="Q557">
            <v>0</v>
          </cell>
          <cell r="R557">
            <v>371.57</v>
          </cell>
          <cell r="S557">
            <v>71.459999999999994</v>
          </cell>
          <cell r="T557">
            <v>327.98</v>
          </cell>
          <cell r="U557">
            <v>128.62</v>
          </cell>
          <cell r="V557">
            <v>46.3</v>
          </cell>
          <cell r="W557">
            <v>51.45</v>
          </cell>
          <cell r="X557">
            <v>68.5</v>
          </cell>
          <cell r="Y557">
            <v>0</v>
          </cell>
          <cell r="Z557">
            <v>66.739999999999995</v>
          </cell>
          <cell r="AA557">
            <v>77</v>
          </cell>
          <cell r="AB557">
            <v>96</v>
          </cell>
          <cell r="AC557">
            <v>80</v>
          </cell>
          <cell r="AD557">
            <v>13.49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Y557">
            <v>285948.71999999997</v>
          </cell>
        </row>
        <row r="558">
          <cell r="A558">
            <v>2</v>
          </cell>
          <cell r="B558" t="str">
            <v>12</v>
          </cell>
          <cell r="C558" t="str">
            <v>000</v>
          </cell>
          <cell r="D558" t="str">
            <v>1</v>
          </cell>
          <cell r="E558" t="str">
            <v>201</v>
          </cell>
          <cell r="F558" t="str">
            <v>N000</v>
          </cell>
          <cell r="G558" t="str">
            <v>310</v>
          </cell>
          <cell r="H558" t="str">
            <v>1103</v>
          </cell>
          <cell r="I558" t="str">
            <v>CF04806</v>
          </cell>
          <cell r="J558" t="str">
            <v>26</v>
          </cell>
          <cell r="K558" t="str">
            <v>2</v>
          </cell>
          <cell r="L558">
            <v>20</v>
          </cell>
          <cell r="M558">
            <v>0</v>
          </cell>
          <cell r="N558">
            <v>2692.2</v>
          </cell>
          <cell r="O558" t="str">
            <v>M</v>
          </cell>
          <cell r="P558" t="str">
            <v>00000000</v>
          </cell>
          <cell r="Q558">
            <v>0</v>
          </cell>
          <cell r="R558">
            <v>388.87</v>
          </cell>
          <cell r="S558">
            <v>74.78</v>
          </cell>
          <cell r="T558">
            <v>343.26</v>
          </cell>
          <cell r="U558">
            <v>134.61000000000001</v>
          </cell>
          <cell r="V558">
            <v>48.46</v>
          </cell>
          <cell r="W558">
            <v>53.84</v>
          </cell>
          <cell r="X558">
            <v>35.6</v>
          </cell>
          <cell r="Y558">
            <v>0</v>
          </cell>
          <cell r="Z558">
            <v>68.89</v>
          </cell>
          <cell r="AA558">
            <v>77</v>
          </cell>
          <cell r="AB558">
            <v>96</v>
          </cell>
          <cell r="AC558">
            <v>80</v>
          </cell>
          <cell r="AD558">
            <v>13.49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Y558">
            <v>985680</v>
          </cell>
        </row>
        <row r="559">
          <cell r="A559">
            <v>2</v>
          </cell>
          <cell r="B559" t="str">
            <v>12</v>
          </cell>
          <cell r="C559" t="str">
            <v>000</v>
          </cell>
          <cell r="D559" t="str">
            <v>1</v>
          </cell>
          <cell r="E559" t="str">
            <v>201</v>
          </cell>
          <cell r="F559" t="str">
            <v>N000</v>
          </cell>
          <cell r="G559" t="str">
            <v>310</v>
          </cell>
          <cell r="H559" t="str">
            <v>1103</v>
          </cell>
          <cell r="I559" t="str">
            <v>CF04807</v>
          </cell>
          <cell r="J559" t="str">
            <v>27Z</v>
          </cell>
          <cell r="K559" t="str">
            <v>2</v>
          </cell>
          <cell r="L559">
            <v>9</v>
          </cell>
          <cell r="M559">
            <v>0</v>
          </cell>
          <cell r="N559">
            <v>2900.25</v>
          </cell>
          <cell r="O559" t="str">
            <v>M</v>
          </cell>
          <cell r="P559" t="str">
            <v>00000000</v>
          </cell>
          <cell r="Q559">
            <v>205.15</v>
          </cell>
          <cell r="R559">
            <v>418.93</v>
          </cell>
          <cell r="S559">
            <v>80.56</v>
          </cell>
          <cell r="T559">
            <v>369.78</v>
          </cell>
          <cell r="U559">
            <v>145.01</v>
          </cell>
          <cell r="V559">
            <v>55.89</v>
          </cell>
          <cell r="W559">
            <v>58.01</v>
          </cell>
          <cell r="X559">
            <v>45.67</v>
          </cell>
          <cell r="Y559">
            <v>0</v>
          </cell>
          <cell r="Z559">
            <v>78.069999999999993</v>
          </cell>
          <cell r="AA559">
            <v>77</v>
          </cell>
          <cell r="AB559">
            <v>96</v>
          </cell>
          <cell r="AC559">
            <v>80</v>
          </cell>
          <cell r="AD559">
            <v>13.49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Y559">
            <v>499371.48</v>
          </cell>
        </row>
        <row r="560">
          <cell r="A560">
            <v>2</v>
          </cell>
          <cell r="B560" t="str">
            <v>12</v>
          </cell>
          <cell r="C560" t="str">
            <v>000</v>
          </cell>
          <cell r="D560" t="str">
            <v>1</v>
          </cell>
          <cell r="E560" t="str">
            <v>201</v>
          </cell>
          <cell r="F560" t="str">
            <v>N000</v>
          </cell>
          <cell r="G560" t="str">
            <v>310</v>
          </cell>
          <cell r="H560" t="str">
            <v>1103</v>
          </cell>
          <cell r="I560" t="str">
            <v>CF04808</v>
          </cell>
          <cell r="J560" t="str">
            <v>27ZA</v>
          </cell>
          <cell r="K560" t="str">
            <v>2</v>
          </cell>
          <cell r="L560">
            <v>8</v>
          </cell>
          <cell r="M560">
            <v>0</v>
          </cell>
          <cell r="N560">
            <v>2982.9</v>
          </cell>
          <cell r="O560" t="str">
            <v>M</v>
          </cell>
          <cell r="P560" t="str">
            <v>00000000</v>
          </cell>
          <cell r="Q560">
            <v>579.4</v>
          </cell>
          <cell r="R560">
            <v>430.86</v>
          </cell>
          <cell r="S560">
            <v>82.86</v>
          </cell>
          <cell r="T560">
            <v>380.32</v>
          </cell>
          <cell r="U560">
            <v>149.15</v>
          </cell>
          <cell r="V560">
            <v>64.12</v>
          </cell>
          <cell r="W560">
            <v>59.66</v>
          </cell>
          <cell r="X560">
            <v>13.63</v>
          </cell>
          <cell r="Y560">
            <v>0</v>
          </cell>
          <cell r="Z560">
            <v>86.85</v>
          </cell>
          <cell r="AA560">
            <v>77</v>
          </cell>
          <cell r="AB560">
            <v>96</v>
          </cell>
          <cell r="AC560">
            <v>80</v>
          </cell>
          <cell r="AD560">
            <v>13.49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Y560">
            <v>489239.03999999998</v>
          </cell>
        </row>
        <row r="561">
          <cell r="A561">
            <v>2</v>
          </cell>
          <cell r="B561" t="str">
            <v>12</v>
          </cell>
          <cell r="C561" t="str">
            <v>000</v>
          </cell>
          <cell r="D561" t="str">
            <v>1</v>
          </cell>
          <cell r="E561" t="str">
            <v>201</v>
          </cell>
          <cell r="F561" t="str">
            <v>N000</v>
          </cell>
          <cell r="G561" t="str">
            <v>310</v>
          </cell>
          <cell r="H561" t="str">
            <v>1103</v>
          </cell>
          <cell r="I561" t="str">
            <v>CF21829</v>
          </cell>
          <cell r="J561" t="str">
            <v>27ZB</v>
          </cell>
          <cell r="K561" t="str">
            <v>2</v>
          </cell>
          <cell r="L561">
            <v>3</v>
          </cell>
          <cell r="M561">
            <v>0</v>
          </cell>
          <cell r="N561">
            <v>3008.65</v>
          </cell>
          <cell r="O561" t="str">
            <v>M</v>
          </cell>
          <cell r="P561" t="str">
            <v>00000000</v>
          </cell>
          <cell r="Q561">
            <v>857</v>
          </cell>
          <cell r="R561">
            <v>434.58</v>
          </cell>
          <cell r="S561">
            <v>83.57</v>
          </cell>
          <cell r="T561">
            <v>383.6</v>
          </cell>
          <cell r="U561">
            <v>150.43</v>
          </cell>
          <cell r="V561">
            <v>69.59</v>
          </cell>
          <cell r="W561">
            <v>60.17</v>
          </cell>
          <cell r="X561">
            <v>33.67</v>
          </cell>
          <cell r="Y561">
            <v>0</v>
          </cell>
          <cell r="Z561">
            <v>93.41</v>
          </cell>
          <cell r="AA561">
            <v>77</v>
          </cell>
          <cell r="AB561">
            <v>96</v>
          </cell>
          <cell r="AC561">
            <v>80</v>
          </cell>
          <cell r="AD561">
            <v>13.49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Y561">
            <v>195881.76</v>
          </cell>
        </row>
        <row r="562">
          <cell r="A562">
            <v>2</v>
          </cell>
          <cell r="B562" t="str">
            <v>12</v>
          </cell>
          <cell r="C562" t="str">
            <v>000</v>
          </cell>
          <cell r="D562" t="str">
            <v>1</v>
          </cell>
          <cell r="E562" t="str">
            <v>201</v>
          </cell>
          <cell r="F562" t="str">
            <v>N000</v>
          </cell>
          <cell r="G562" t="str">
            <v>310</v>
          </cell>
          <cell r="H562" t="str">
            <v>1103</v>
          </cell>
          <cell r="I562" t="str">
            <v>CF21864</v>
          </cell>
          <cell r="J562" t="str">
            <v>27C</v>
          </cell>
          <cell r="K562" t="str">
            <v>1</v>
          </cell>
          <cell r="L562">
            <v>6</v>
          </cell>
          <cell r="M562">
            <v>0</v>
          </cell>
          <cell r="N562">
            <v>3268.2</v>
          </cell>
          <cell r="O562" t="str">
            <v>M</v>
          </cell>
          <cell r="P562" t="str">
            <v>00000000</v>
          </cell>
          <cell r="Q562">
            <v>4783.05</v>
          </cell>
          <cell r="R562">
            <v>472.07</v>
          </cell>
          <cell r="S562">
            <v>90.78</v>
          </cell>
          <cell r="T562">
            <v>416.7</v>
          </cell>
          <cell r="U562">
            <v>163.41</v>
          </cell>
          <cell r="V562">
            <v>144.91999999999999</v>
          </cell>
          <cell r="W562">
            <v>65.36</v>
          </cell>
          <cell r="X562">
            <v>21.33</v>
          </cell>
          <cell r="Y562">
            <v>0</v>
          </cell>
          <cell r="Z562">
            <v>174.25</v>
          </cell>
          <cell r="AA562">
            <v>77</v>
          </cell>
          <cell r="AB562">
            <v>0</v>
          </cell>
          <cell r="AC562">
            <v>0</v>
          </cell>
          <cell r="AD562">
            <v>13.49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Y562">
            <v>697720.31999999995</v>
          </cell>
        </row>
        <row r="563">
          <cell r="A563">
            <v>2</v>
          </cell>
          <cell r="B563" t="str">
            <v>12</v>
          </cell>
          <cell r="C563" t="str">
            <v>000</v>
          </cell>
          <cell r="D563" t="str">
            <v>1</v>
          </cell>
          <cell r="E563" t="str">
            <v>201</v>
          </cell>
          <cell r="F563" t="str">
            <v>N000</v>
          </cell>
          <cell r="G563" t="str">
            <v>310</v>
          </cell>
          <cell r="H563" t="str">
            <v>1103</v>
          </cell>
          <cell r="I563" t="str">
            <v>CF21865</v>
          </cell>
          <cell r="J563" t="str">
            <v>27B</v>
          </cell>
          <cell r="K563" t="str">
            <v>1</v>
          </cell>
          <cell r="L563">
            <v>1</v>
          </cell>
          <cell r="M563">
            <v>0</v>
          </cell>
          <cell r="N563">
            <v>3222.2</v>
          </cell>
          <cell r="O563" t="str">
            <v>M</v>
          </cell>
          <cell r="P563" t="str">
            <v>00000000</v>
          </cell>
          <cell r="Q563">
            <v>3558.85</v>
          </cell>
          <cell r="R563">
            <v>465.43</v>
          </cell>
          <cell r="S563">
            <v>89.51</v>
          </cell>
          <cell r="T563">
            <v>410.83</v>
          </cell>
          <cell r="U563">
            <v>161.11000000000001</v>
          </cell>
          <cell r="V563">
            <v>122.06</v>
          </cell>
          <cell r="W563">
            <v>64.44</v>
          </cell>
          <cell r="X563">
            <v>0</v>
          </cell>
          <cell r="Y563">
            <v>0</v>
          </cell>
          <cell r="Z563">
            <v>148.26</v>
          </cell>
          <cell r="AA563">
            <v>77</v>
          </cell>
          <cell r="AB563">
            <v>0</v>
          </cell>
          <cell r="AC563">
            <v>0</v>
          </cell>
          <cell r="AD563">
            <v>13.49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Y563">
            <v>99998.16</v>
          </cell>
        </row>
        <row r="564">
          <cell r="A564">
            <v>2</v>
          </cell>
          <cell r="B564" t="str">
            <v>12</v>
          </cell>
          <cell r="C564" t="str">
            <v>000</v>
          </cell>
          <cell r="D564" t="str">
            <v>1</v>
          </cell>
          <cell r="E564" t="str">
            <v>201</v>
          </cell>
          <cell r="F564" t="str">
            <v>N000</v>
          </cell>
          <cell r="G564" t="str">
            <v>310</v>
          </cell>
          <cell r="H564" t="str">
            <v>1103</v>
          </cell>
          <cell r="I564" t="str">
            <v>CF21866</v>
          </cell>
          <cell r="J564" t="str">
            <v>27A</v>
          </cell>
          <cell r="K564" t="str">
            <v>1</v>
          </cell>
          <cell r="L564">
            <v>1</v>
          </cell>
          <cell r="M564">
            <v>0</v>
          </cell>
          <cell r="N564">
            <v>3185.4</v>
          </cell>
          <cell r="O564" t="str">
            <v>M</v>
          </cell>
          <cell r="P564" t="str">
            <v>00000000</v>
          </cell>
          <cell r="Q564">
            <v>2791.7</v>
          </cell>
          <cell r="R564">
            <v>460.11</v>
          </cell>
          <cell r="S564">
            <v>88.48</v>
          </cell>
          <cell r="T564">
            <v>406.14</v>
          </cell>
          <cell r="U564">
            <v>159.27000000000001</v>
          </cell>
          <cell r="V564">
            <v>107.59</v>
          </cell>
          <cell r="W564">
            <v>63.71</v>
          </cell>
          <cell r="X564">
            <v>55</v>
          </cell>
          <cell r="Y564">
            <v>0</v>
          </cell>
          <cell r="Z564">
            <v>133.15</v>
          </cell>
          <cell r="AA564">
            <v>77</v>
          </cell>
          <cell r="AB564">
            <v>0</v>
          </cell>
          <cell r="AC564">
            <v>0</v>
          </cell>
          <cell r="AD564">
            <v>13.49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Y564">
            <v>90492.479999999996</v>
          </cell>
        </row>
        <row r="565">
          <cell r="A565">
            <v>2</v>
          </cell>
          <cell r="B565" t="str">
            <v>12</v>
          </cell>
          <cell r="C565" t="str">
            <v>000</v>
          </cell>
          <cell r="D565" t="str">
            <v>1</v>
          </cell>
          <cell r="E565" t="str">
            <v>201</v>
          </cell>
          <cell r="F565" t="str">
            <v>N000</v>
          </cell>
          <cell r="G565" t="str">
            <v>310</v>
          </cell>
          <cell r="H565" t="str">
            <v>1103</v>
          </cell>
          <cell r="I565" t="str">
            <v>CF21869</v>
          </cell>
          <cell r="J565" t="str">
            <v>27B</v>
          </cell>
          <cell r="K565" t="str">
            <v>1</v>
          </cell>
          <cell r="L565">
            <v>1</v>
          </cell>
          <cell r="M565">
            <v>0</v>
          </cell>
          <cell r="N565">
            <v>3222.2</v>
          </cell>
          <cell r="O565" t="str">
            <v>M</v>
          </cell>
          <cell r="P565" t="str">
            <v>00000000</v>
          </cell>
          <cell r="Q565">
            <v>3558.85</v>
          </cell>
          <cell r="R565">
            <v>465.43</v>
          </cell>
          <cell r="S565">
            <v>89.51</v>
          </cell>
          <cell r="T565">
            <v>410.83</v>
          </cell>
          <cell r="U565">
            <v>161.11000000000001</v>
          </cell>
          <cell r="V565">
            <v>122.06</v>
          </cell>
          <cell r="W565">
            <v>64.44</v>
          </cell>
          <cell r="X565">
            <v>82</v>
          </cell>
          <cell r="Y565">
            <v>0</v>
          </cell>
          <cell r="Z565">
            <v>149.9</v>
          </cell>
          <cell r="AA565">
            <v>77</v>
          </cell>
          <cell r="AB565">
            <v>0</v>
          </cell>
          <cell r="AC565">
            <v>0</v>
          </cell>
          <cell r="AD565">
            <v>13.49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Y565">
            <v>101001.84</v>
          </cell>
        </row>
        <row r="566">
          <cell r="A566">
            <v>2</v>
          </cell>
          <cell r="B566" t="str">
            <v>12</v>
          </cell>
          <cell r="C566" t="str">
            <v>000</v>
          </cell>
          <cell r="D566" t="str">
            <v>1</v>
          </cell>
          <cell r="E566" t="str">
            <v>201</v>
          </cell>
          <cell r="F566" t="str">
            <v>N000</v>
          </cell>
          <cell r="G566" t="str">
            <v>310</v>
          </cell>
          <cell r="H566" t="str">
            <v>1103</v>
          </cell>
          <cell r="I566" t="str">
            <v>CF33834</v>
          </cell>
          <cell r="J566" t="str">
            <v>27</v>
          </cell>
          <cell r="K566" t="str">
            <v>2</v>
          </cell>
          <cell r="L566">
            <v>24</v>
          </cell>
          <cell r="M566">
            <v>0</v>
          </cell>
          <cell r="N566">
            <v>2817.8</v>
          </cell>
          <cell r="O566" t="str">
            <v>M</v>
          </cell>
          <cell r="P566" t="str">
            <v>00000000</v>
          </cell>
          <cell r="Q566">
            <v>0</v>
          </cell>
          <cell r="R566">
            <v>407.02</v>
          </cell>
          <cell r="S566">
            <v>78.27</v>
          </cell>
          <cell r="T566">
            <v>359.27</v>
          </cell>
          <cell r="U566">
            <v>140.88999999999999</v>
          </cell>
          <cell r="V566">
            <v>50.72</v>
          </cell>
          <cell r="W566">
            <v>56.36</v>
          </cell>
          <cell r="X566">
            <v>40.67</v>
          </cell>
          <cell r="Y566">
            <v>0</v>
          </cell>
          <cell r="Z566">
            <v>71.94</v>
          </cell>
          <cell r="AA566">
            <v>77</v>
          </cell>
          <cell r="AB566">
            <v>96</v>
          </cell>
          <cell r="AC566">
            <v>80</v>
          </cell>
          <cell r="AD566">
            <v>13.49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Y566">
            <v>1235355.8400000001</v>
          </cell>
        </row>
        <row r="567">
          <cell r="A567">
            <v>2</v>
          </cell>
          <cell r="B567" t="str">
            <v>12</v>
          </cell>
          <cell r="C567" t="str">
            <v>000</v>
          </cell>
          <cell r="D567" t="str">
            <v>1</v>
          </cell>
          <cell r="E567" t="str">
            <v>201</v>
          </cell>
          <cell r="F567" t="str">
            <v>N000</v>
          </cell>
          <cell r="G567" t="str">
            <v>310</v>
          </cell>
          <cell r="H567" t="str">
            <v>1103</v>
          </cell>
          <cell r="I567" t="str">
            <v>CF33892</v>
          </cell>
          <cell r="J567" t="str">
            <v>27ZA</v>
          </cell>
          <cell r="K567" t="str">
            <v>2</v>
          </cell>
          <cell r="L567">
            <v>27</v>
          </cell>
          <cell r="M567">
            <v>0</v>
          </cell>
          <cell r="N567">
            <v>2982.9</v>
          </cell>
          <cell r="O567" t="str">
            <v>M</v>
          </cell>
          <cell r="P567" t="str">
            <v>00000000</v>
          </cell>
          <cell r="Q567">
            <v>579.4</v>
          </cell>
          <cell r="R567">
            <v>430.86</v>
          </cell>
          <cell r="S567">
            <v>82.86</v>
          </cell>
          <cell r="T567">
            <v>380.32</v>
          </cell>
          <cell r="U567">
            <v>149.15</v>
          </cell>
          <cell r="V567">
            <v>64.12</v>
          </cell>
          <cell r="W567">
            <v>59.66</v>
          </cell>
          <cell r="X567">
            <v>76.81</v>
          </cell>
          <cell r="Y567">
            <v>0</v>
          </cell>
          <cell r="Z567">
            <v>88.12</v>
          </cell>
          <cell r="AA567">
            <v>77</v>
          </cell>
          <cell r="AB567">
            <v>96</v>
          </cell>
          <cell r="AC567">
            <v>80</v>
          </cell>
          <cell r="AD567">
            <v>13.49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Y567">
            <v>1672063.56</v>
          </cell>
        </row>
        <row r="568">
          <cell r="A568">
            <v>2</v>
          </cell>
          <cell r="B568" t="str">
            <v>12</v>
          </cell>
          <cell r="C568" t="str">
            <v>000</v>
          </cell>
          <cell r="D568" t="str">
            <v>1</v>
          </cell>
          <cell r="E568" t="str">
            <v>201</v>
          </cell>
          <cell r="F568" t="str">
            <v>N000</v>
          </cell>
          <cell r="G568" t="str">
            <v>310</v>
          </cell>
          <cell r="H568" t="str">
            <v>1103</v>
          </cell>
          <cell r="I568" t="str">
            <v>CF41015</v>
          </cell>
          <cell r="K568" t="str">
            <v>2</v>
          </cell>
          <cell r="L568">
            <v>1</v>
          </cell>
          <cell r="M568">
            <v>0</v>
          </cell>
          <cell r="N568">
            <v>7285</v>
          </cell>
          <cell r="O568" t="str">
            <v>M</v>
          </cell>
          <cell r="P568" t="str">
            <v>00000000</v>
          </cell>
          <cell r="Q568">
            <v>0</v>
          </cell>
          <cell r="R568">
            <v>1052.28</v>
          </cell>
          <cell r="S568">
            <v>202.36</v>
          </cell>
          <cell r="T568">
            <v>928.84</v>
          </cell>
          <cell r="U568">
            <v>364.25</v>
          </cell>
          <cell r="V568">
            <v>131.13</v>
          </cell>
          <cell r="W568">
            <v>145.69999999999999</v>
          </cell>
          <cell r="X568">
            <v>46</v>
          </cell>
          <cell r="Y568">
            <v>0</v>
          </cell>
          <cell r="Z568">
            <v>269.19</v>
          </cell>
          <cell r="AA568">
            <v>77</v>
          </cell>
          <cell r="AB568">
            <v>96</v>
          </cell>
          <cell r="AC568">
            <v>80</v>
          </cell>
          <cell r="AD568">
            <v>13.49</v>
          </cell>
          <cell r="AE568">
            <v>6.07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4615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Y568">
            <v>183747.72</v>
          </cell>
        </row>
        <row r="569">
          <cell r="A569">
            <v>2</v>
          </cell>
          <cell r="B569" t="str">
            <v>12</v>
          </cell>
          <cell r="C569" t="str">
            <v>000</v>
          </cell>
          <cell r="D569" t="str">
            <v>1</v>
          </cell>
          <cell r="E569" t="str">
            <v>201</v>
          </cell>
          <cell r="F569" t="str">
            <v>N000</v>
          </cell>
          <cell r="G569" t="str">
            <v>310</v>
          </cell>
          <cell r="H569" t="str">
            <v>1103</v>
          </cell>
          <cell r="I569" t="str">
            <v>CF41040</v>
          </cell>
          <cell r="K569" t="str">
            <v>2</v>
          </cell>
          <cell r="L569">
            <v>30</v>
          </cell>
          <cell r="M569">
            <v>0</v>
          </cell>
          <cell r="N569">
            <v>7482</v>
          </cell>
          <cell r="O569" t="str">
            <v>M</v>
          </cell>
          <cell r="P569" t="str">
            <v>00000000</v>
          </cell>
          <cell r="Q569">
            <v>0</v>
          </cell>
          <cell r="R569">
            <v>1080.73</v>
          </cell>
          <cell r="S569">
            <v>207.83</v>
          </cell>
          <cell r="T569">
            <v>953.96</v>
          </cell>
          <cell r="U569">
            <v>374.1</v>
          </cell>
          <cell r="V569">
            <v>134.68</v>
          </cell>
          <cell r="W569">
            <v>149.63999999999999</v>
          </cell>
          <cell r="X569">
            <v>58.7</v>
          </cell>
          <cell r="Y569">
            <v>0</v>
          </cell>
          <cell r="Z569">
            <v>290.39</v>
          </cell>
          <cell r="AA569">
            <v>77</v>
          </cell>
          <cell r="AB569">
            <v>96</v>
          </cell>
          <cell r="AC569">
            <v>80</v>
          </cell>
          <cell r="AD569">
            <v>13.49</v>
          </cell>
          <cell r="AE569">
            <v>6.24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5431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Y569">
            <v>5916873.5999999996</v>
          </cell>
        </row>
        <row r="570">
          <cell r="A570">
            <v>2</v>
          </cell>
          <cell r="B570" t="str">
            <v>12</v>
          </cell>
          <cell r="C570" t="str">
            <v>000</v>
          </cell>
          <cell r="D570" t="str">
            <v>1</v>
          </cell>
          <cell r="E570" t="str">
            <v>201</v>
          </cell>
          <cell r="F570" t="str">
            <v>N000</v>
          </cell>
          <cell r="G570" t="str">
            <v>310</v>
          </cell>
          <cell r="H570" t="str">
            <v>1103</v>
          </cell>
          <cell r="I570" t="str">
            <v>CF41043</v>
          </cell>
          <cell r="K570" t="str">
            <v>2</v>
          </cell>
          <cell r="L570">
            <v>1</v>
          </cell>
          <cell r="M570">
            <v>0</v>
          </cell>
          <cell r="N570">
            <v>11280.9</v>
          </cell>
          <cell r="O570" t="str">
            <v>M</v>
          </cell>
          <cell r="P570" t="str">
            <v>00000000</v>
          </cell>
          <cell r="Q570">
            <v>0</v>
          </cell>
          <cell r="R570">
            <v>1629.46</v>
          </cell>
          <cell r="S570">
            <v>313.36</v>
          </cell>
          <cell r="T570">
            <v>1438.31</v>
          </cell>
          <cell r="U570">
            <v>564.04</v>
          </cell>
          <cell r="V570">
            <v>203.06</v>
          </cell>
          <cell r="W570">
            <v>225.62</v>
          </cell>
          <cell r="X570">
            <v>0</v>
          </cell>
          <cell r="Y570">
            <v>0</v>
          </cell>
          <cell r="Z570">
            <v>269.72000000000003</v>
          </cell>
          <cell r="AA570">
            <v>77</v>
          </cell>
          <cell r="AB570">
            <v>96</v>
          </cell>
          <cell r="AC570">
            <v>80</v>
          </cell>
          <cell r="AD570">
            <v>13.49</v>
          </cell>
          <cell r="AE570">
            <v>9.4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Y570">
            <v>194404.32</v>
          </cell>
        </row>
        <row r="571">
          <cell r="A571">
            <v>2</v>
          </cell>
          <cell r="B571" t="str">
            <v>12</v>
          </cell>
          <cell r="C571" t="str">
            <v>000</v>
          </cell>
          <cell r="D571" t="str">
            <v>1</v>
          </cell>
          <cell r="E571" t="str">
            <v>201</v>
          </cell>
          <cell r="F571" t="str">
            <v>N000</v>
          </cell>
          <cell r="G571" t="str">
            <v>310</v>
          </cell>
          <cell r="H571" t="str">
            <v>1103</v>
          </cell>
          <cell r="I571" t="str">
            <v>CF41044</v>
          </cell>
          <cell r="K571" t="str">
            <v>2</v>
          </cell>
          <cell r="L571">
            <v>1</v>
          </cell>
          <cell r="M571">
            <v>0</v>
          </cell>
          <cell r="N571">
            <v>5597.4</v>
          </cell>
          <cell r="O571" t="str">
            <v>M</v>
          </cell>
          <cell r="P571" t="str">
            <v>00000000</v>
          </cell>
          <cell r="Q571">
            <v>0</v>
          </cell>
          <cell r="R571">
            <v>808.51</v>
          </cell>
          <cell r="S571">
            <v>155.47999999999999</v>
          </cell>
          <cell r="T571">
            <v>713.67</v>
          </cell>
          <cell r="U571">
            <v>279.87</v>
          </cell>
          <cell r="V571">
            <v>100.75</v>
          </cell>
          <cell r="W571">
            <v>111.95</v>
          </cell>
          <cell r="X571">
            <v>82</v>
          </cell>
          <cell r="Y571">
            <v>0</v>
          </cell>
          <cell r="Z571">
            <v>138.02000000000001</v>
          </cell>
          <cell r="AA571">
            <v>77</v>
          </cell>
          <cell r="AB571">
            <v>96</v>
          </cell>
          <cell r="AC571">
            <v>80</v>
          </cell>
          <cell r="AD571">
            <v>13.49</v>
          </cell>
          <cell r="AE571">
            <v>4.66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Y571">
            <v>99105.600000000006</v>
          </cell>
        </row>
        <row r="572">
          <cell r="A572">
            <v>2</v>
          </cell>
          <cell r="B572" t="str">
            <v>12</v>
          </cell>
          <cell r="C572" t="str">
            <v>000</v>
          </cell>
          <cell r="D572" t="str">
            <v>1</v>
          </cell>
          <cell r="E572" t="str">
            <v>201</v>
          </cell>
          <cell r="F572" t="str">
            <v>N000</v>
          </cell>
          <cell r="G572" t="str">
            <v>310</v>
          </cell>
          <cell r="H572" t="str">
            <v>1103</v>
          </cell>
          <cell r="I572" t="str">
            <v>CF41049</v>
          </cell>
          <cell r="K572" t="str">
            <v>2</v>
          </cell>
          <cell r="L572">
            <v>1</v>
          </cell>
          <cell r="M572">
            <v>0</v>
          </cell>
          <cell r="N572">
            <v>3988.9</v>
          </cell>
          <cell r="O572" t="str">
            <v>M</v>
          </cell>
          <cell r="P572" t="str">
            <v>00000000</v>
          </cell>
          <cell r="Q572">
            <v>0</v>
          </cell>
          <cell r="R572">
            <v>576.16999999999996</v>
          </cell>
          <cell r="S572">
            <v>110.8</v>
          </cell>
          <cell r="T572">
            <v>508.58</v>
          </cell>
          <cell r="U572">
            <v>199.45</v>
          </cell>
          <cell r="V572">
            <v>71.8</v>
          </cell>
          <cell r="W572">
            <v>79.78</v>
          </cell>
          <cell r="X572">
            <v>0</v>
          </cell>
          <cell r="Y572">
            <v>0</v>
          </cell>
          <cell r="Z572">
            <v>98.64</v>
          </cell>
          <cell r="AA572">
            <v>77</v>
          </cell>
          <cell r="AB572">
            <v>96</v>
          </cell>
          <cell r="AC572">
            <v>80</v>
          </cell>
          <cell r="AD572">
            <v>13.49</v>
          </cell>
          <cell r="AE572">
            <v>3.32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Y572">
            <v>70847.16</v>
          </cell>
        </row>
        <row r="573">
          <cell r="A573">
            <v>2</v>
          </cell>
          <cell r="B573" t="str">
            <v>12</v>
          </cell>
          <cell r="C573" t="str">
            <v>000</v>
          </cell>
          <cell r="D573" t="str">
            <v>1</v>
          </cell>
          <cell r="E573" t="str">
            <v>201</v>
          </cell>
          <cell r="F573" t="str">
            <v>N000</v>
          </cell>
          <cell r="G573" t="str">
            <v>311</v>
          </cell>
          <cell r="H573" t="str">
            <v>1103</v>
          </cell>
          <cell r="I573" t="str">
            <v>A01803</v>
          </cell>
          <cell r="J573" t="str">
            <v>19</v>
          </cell>
          <cell r="K573" t="str">
            <v>2</v>
          </cell>
          <cell r="L573">
            <v>3</v>
          </cell>
          <cell r="M573">
            <v>0</v>
          </cell>
          <cell r="N573">
            <v>2120.3000000000002</v>
          </cell>
          <cell r="O573" t="str">
            <v>M</v>
          </cell>
          <cell r="P573" t="str">
            <v>00000000</v>
          </cell>
          <cell r="Q573">
            <v>0</v>
          </cell>
          <cell r="R573">
            <v>306.27</v>
          </cell>
          <cell r="S573">
            <v>58.9</v>
          </cell>
          <cell r="T573">
            <v>270.33999999999997</v>
          </cell>
          <cell r="U573">
            <v>106.02</v>
          </cell>
          <cell r="V573">
            <v>38.17</v>
          </cell>
          <cell r="W573">
            <v>42.41</v>
          </cell>
          <cell r="X573">
            <v>0</v>
          </cell>
          <cell r="Y573">
            <v>0</v>
          </cell>
          <cell r="Z573">
            <v>54.77</v>
          </cell>
          <cell r="AA573">
            <v>77</v>
          </cell>
          <cell r="AB573">
            <v>96</v>
          </cell>
          <cell r="AC573">
            <v>80</v>
          </cell>
          <cell r="AD573">
            <v>13.49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Y573">
            <v>117492.12</v>
          </cell>
        </row>
        <row r="574">
          <cell r="A574">
            <v>2</v>
          </cell>
          <cell r="B574" t="str">
            <v>12</v>
          </cell>
          <cell r="C574" t="str">
            <v>000</v>
          </cell>
          <cell r="D574" t="str">
            <v>1</v>
          </cell>
          <cell r="E574" t="str">
            <v>201</v>
          </cell>
          <cell r="F574" t="str">
            <v>N000</v>
          </cell>
          <cell r="G574" t="str">
            <v>311</v>
          </cell>
          <cell r="H574" t="str">
            <v>1103</v>
          </cell>
          <cell r="I574" t="str">
            <v>A01805</v>
          </cell>
          <cell r="J574" t="str">
            <v>21</v>
          </cell>
          <cell r="K574" t="str">
            <v>2</v>
          </cell>
          <cell r="L574">
            <v>3</v>
          </cell>
          <cell r="M574">
            <v>0</v>
          </cell>
          <cell r="N574">
            <v>2238.1999999999998</v>
          </cell>
          <cell r="O574" t="str">
            <v>M</v>
          </cell>
          <cell r="P574" t="str">
            <v>00000000</v>
          </cell>
          <cell r="Q574">
            <v>0</v>
          </cell>
          <cell r="R574">
            <v>323.3</v>
          </cell>
          <cell r="S574">
            <v>62.17</v>
          </cell>
          <cell r="T574">
            <v>285.37</v>
          </cell>
          <cell r="U574">
            <v>111.91</v>
          </cell>
          <cell r="V574">
            <v>40.29</v>
          </cell>
          <cell r="W574">
            <v>44.76</v>
          </cell>
          <cell r="X574">
            <v>82</v>
          </cell>
          <cell r="Y574">
            <v>0</v>
          </cell>
          <cell r="Z574">
            <v>59.17</v>
          </cell>
          <cell r="AA574">
            <v>77</v>
          </cell>
          <cell r="AB574">
            <v>96</v>
          </cell>
          <cell r="AC574">
            <v>80</v>
          </cell>
          <cell r="AD574">
            <v>13.49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Y574">
            <v>126491.76</v>
          </cell>
        </row>
        <row r="575">
          <cell r="A575">
            <v>2</v>
          </cell>
          <cell r="B575" t="str">
            <v>12</v>
          </cell>
          <cell r="C575" t="str">
            <v>000</v>
          </cell>
          <cell r="D575" t="str">
            <v>1</v>
          </cell>
          <cell r="E575" t="str">
            <v>201</v>
          </cell>
          <cell r="F575" t="str">
            <v>N000</v>
          </cell>
          <cell r="G575" t="str">
            <v>311</v>
          </cell>
          <cell r="H575" t="str">
            <v>1103</v>
          </cell>
          <cell r="I575" t="str">
            <v>A01806</v>
          </cell>
          <cell r="J575" t="str">
            <v>25</v>
          </cell>
          <cell r="K575" t="str">
            <v>2</v>
          </cell>
          <cell r="L575">
            <v>6</v>
          </cell>
          <cell r="M575">
            <v>0</v>
          </cell>
          <cell r="N575">
            <v>2572.4</v>
          </cell>
          <cell r="O575" t="str">
            <v>M</v>
          </cell>
          <cell r="P575" t="str">
            <v>00000000</v>
          </cell>
          <cell r="Q575">
            <v>0</v>
          </cell>
          <cell r="R575">
            <v>371.57</v>
          </cell>
          <cell r="S575">
            <v>71.459999999999994</v>
          </cell>
          <cell r="T575">
            <v>327.98</v>
          </cell>
          <cell r="U575">
            <v>128.62</v>
          </cell>
          <cell r="V575">
            <v>46.3</v>
          </cell>
          <cell r="W575">
            <v>51.45</v>
          </cell>
          <cell r="X575">
            <v>61</v>
          </cell>
          <cell r="Y575">
            <v>0</v>
          </cell>
          <cell r="Z575">
            <v>66.59</v>
          </cell>
          <cell r="AA575">
            <v>77</v>
          </cell>
          <cell r="AB575">
            <v>96</v>
          </cell>
          <cell r="AC575">
            <v>80</v>
          </cell>
          <cell r="AD575">
            <v>13.49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Y575">
            <v>285397.92</v>
          </cell>
        </row>
        <row r="576">
          <cell r="A576">
            <v>2</v>
          </cell>
          <cell r="B576" t="str">
            <v>12</v>
          </cell>
          <cell r="C576" t="str">
            <v>000</v>
          </cell>
          <cell r="D576" t="str">
            <v>1</v>
          </cell>
          <cell r="E576" t="str">
            <v>201</v>
          </cell>
          <cell r="F576" t="str">
            <v>N000</v>
          </cell>
          <cell r="G576" t="str">
            <v>311</v>
          </cell>
          <cell r="H576" t="str">
            <v>1103</v>
          </cell>
          <cell r="I576" t="str">
            <v>A01807</v>
          </cell>
          <cell r="J576" t="str">
            <v>27</v>
          </cell>
          <cell r="K576" t="str">
            <v>2</v>
          </cell>
          <cell r="L576">
            <v>13</v>
          </cell>
          <cell r="M576">
            <v>0</v>
          </cell>
          <cell r="N576">
            <v>2817.8</v>
          </cell>
          <cell r="O576" t="str">
            <v>M</v>
          </cell>
          <cell r="P576" t="str">
            <v>00000000</v>
          </cell>
          <cell r="Q576">
            <v>0</v>
          </cell>
          <cell r="R576">
            <v>407.02</v>
          </cell>
          <cell r="S576">
            <v>78.27</v>
          </cell>
          <cell r="T576">
            <v>359.27</v>
          </cell>
          <cell r="U576">
            <v>140.88999999999999</v>
          </cell>
          <cell r="V576">
            <v>50.72</v>
          </cell>
          <cell r="W576">
            <v>56.36</v>
          </cell>
          <cell r="X576">
            <v>75.77</v>
          </cell>
          <cell r="Y576">
            <v>0</v>
          </cell>
          <cell r="Z576">
            <v>72.64</v>
          </cell>
          <cell r="AA576">
            <v>77</v>
          </cell>
          <cell r="AB576">
            <v>96</v>
          </cell>
          <cell r="AC576">
            <v>80</v>
          </cell>
          <cell r="AD576">
            <v>13.49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Y576">
            <v>674735.88</v>
          </cell>
        </row>
        <row r="577">
          <cell r="A577">
            <v>2</v>
          </cell>
          <cell r="B577" t="str">
            <v>12</v>
          </cell>
          <cell r="C577" t="str">
            <v>000</v>
          </cell>
          <cell r="D577" t="str">
            <v>1</v>
          </cell>
          <cell r="E577" t="str">
            <v>201</v>
          </cell>
          <cell r="F577" t="str">
            <v>N000</v>
          </cell>
          <cell r="G577" t="str">
            <v>311</v>
          </cell>
          <cell r="H577" t="str">
            <v>1103</v>
          </cell>
          <cell r="I577" t="str">
            <v>A03803</v>
          </cell>
          <cell r="J577" t="str">
            <v>20</v>
          </cell>
          <cell r="K577" t="str">
            <v>2</v>
          </cell>
          <cell r="L577">
            <v>1</v>
          </cell>
          <cell r="M577">
            <v>0</v>
          </cell>
          <cell r="N577">
            <v>2138.85</v>
          </cell>
          <cell r="O577" t="str">
            <v>M</v>
          </cell>
          <cell r="P577" t="str">
            <v>00000000</v>
          </cell>
          <cell r="Q577">
            <v>0</v>
          </cell>
          <cell r="R577">
            <v>308.94</v>
          </cell>
          <cell r="S577">
            <v>59.41</v>
          </cell>
          <cell r="T577">
            <v>272.7</v>
          </cell>
          <cell r="U577">
            <v>106.94</v>
          </cell>
          <cell r="V577">
            <v>38.5</v>
          </cell>
          <cell r="W577">
            <v>42.78</v>
          </cell>
          <cell r="X577">
            <v>0</v>
          </cell>
          <cell r="Y577">
            <v>0</v>
          </cell>
          <cell r="Z577">
            <v>55.2</v>
          </cell>
          <cell r="AA577">
            <v>77</v>
          </cell>
          <cell r="AB577">
            <v>96</v>
          </cell>
          <cell r="AC577">
            <v>80</v>
          </cell>
          <cell r="AD577">
            <v>13.49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Y577">
            <v>39477.72</v>
          </cell>
        </row>
        <row r="578">
          <cell r="A578">
            <v>2</v>
          </cell>
          <cell r="B578" t="str">
            <v>12</v>
          </cell>
          <cell r="C578" t="str">
            <v>000</v>
          </cell>
          <cell r="D578" t="str">
            <v>1</v>
          </cell>
          <cell r="E578" t="str">
            <v>201</v>
          </cell>
          <cell r="F578" t="str">
            <v>N000</v>
          </cell>
          <cell r="G578" t="str">
            <v>311</v>
          </cell>
          <cell r="H578" t="str">
            <v>1103</v>
          </cell>
          <cell r="I578" t="str">
            <v>A03804</v>
          </cell>
          <cell r="J578" t="str">
            <v>23</v>
          </cell>
          <cell r="K578" t="str">
            <v>2</v>
          </cell>
          <cell r="L578">
            <v>4</v>
          </cell>
          <cell r="M578">
            <v>0</v>
          </cell>
          <cell r="N578">
            <v>2451.25</v>
          </cell>
          <cell r="O578" t="str">
            <v>M</v>
          </cell>
          <cell r="P578" t="str">
            <v>00000000</v>
          </cell>
          <cell r="Q578">
            <v>0</v>
          </cell>
          <cell r="R578">
            <v>354.07</v>
          </cell>
          <cell r="S578">
            <v>68.09</v>
          </cell>
          <cell r="T578">
            <v>312.52999999999997</v>
          </cell>
          <cell r="U578">
            <v>122.56</v>
          </cell>
          <cell r="V578">
            <v>44.12</v>
          </cell>
          <cell r="W578">
            <v>49.02</v>
          </cell>
          <cell r="X578">
            <v>34.25</v>
          </cell>
          <cell r="Y578">
            <v>0</v>
          </cell>
          <cell r="Z578">
            <v>63.21</v>
          </cell>
          <cell r="AA578">
            <v>77</v>
          </cell>
          <cell r="AB578">
            <v>96</v>
          </cell>
          <cell r="AC578">
            <v>80</v>
          </cell>
          <cell r="AD578">
            <v>13.49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Y578">
            <v>180748.32</v>
          </cell>
        </row>
        <row r="579">
          <cell r="A579">
            <v>2</v>
          </cell>
          <cell r="B579" t="str">
            <v>12</v>
          </cell>
          <cell r="C579" t="str">
            <v>000</v>
          </cell>
          <cell r="D579" t="str">
            <v>1</v>
          </cell>
          <cell r="E579" t="str">
            <v>201</v>
          </cell>
          <cell r="F579" t="str">
            <v>N000</v>
          </cell>
          <cell r="G579" t="str">
            <v>311</v>
          </cell>
          <cell r="H579" t="str">
            <v>1103</v>
          </cell>
          <cell r="I579" t="str">
            <v>CFMC03</v>
          </cell>
          <cell r="J579" t="str">
            <v>MC03</v>
          </cell>
          <cell r="K579" t="str">
            <v>1</v>
          </cell>
          <cell r="L579">
            <v>4</v>
          </cell>
          <cell r="M579">
            <v>0</v>
          </cell>
          <cell r="N579">
            <v>4311.3999999999996</v>
          </cell>
          <cell r="O579" t="str">
            <v>M</v>
          </cell>
          <cell r="P579" t="str">
            <v>00000000</v>
          </cell>
          <cell r="Q579">
            <v>11306.9</v>
          </cell>
          <cell r="R579">
            <v>622.76</v>
          </cell>
          <cell r="S579">
            <v>119.76</v>
          </cell>
          <cell r="T579">
            <v>549.70000000000005</v>
          </cell>
          <cell r="U579">
            <v>215.57</v>
          </cell>
          <cell r="V579">
            <v>281.13</v>
          </cell>
          <cell r="W579">
            <v>86.23</v>
          </cell>
          <cell r="X579">
            <v>20.5</v>
          </cell>
          <cell r="Y579">
            <v>780.91</v>
          </cell>
          <cell r="Z579">
            <v>329.17</v>
          </cell>
          <cell r="AA579">
            <v>77</v>
          </cell>
          <cell r="AB579">
            <v>0</v>
          </cell>
          <cell r="AC579">
            <v>0</v>
          </cell>
          <cell r="AD579">
            <v>13.49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Y579">
            <v>898296.96</v>
          </cell>
        </row>
        <row r="580">
          <cell r="A580">
            <v>2</v>
          </cell>
          <cell r="B580" t="str">
            <v>12</v>
          </cell>
          <cell r="C580" t="str">
            <v>000</v>
          </cell>
          <cell r="D580" t="str">
            <v>1</v>
          </cell>
          <cell r="E580" t="str">
            <v>201</v>
          </cell>
          <cell r="F580" t="str">
            <v>N000</v>
          </cell>
          <cell r="G580" t="str">
            <v>311</v>
          </cell>
          <cell r="H580" t="str">
            <v>1103</v>
          </cell>
          <cell r="I580" t="str">
            <v>CFMD09</v>
          </cell>
          <cell r="J580" t="str">
            <v>MD09</v>
          </cell>
          <cell r="K580" t="str">
            <v>1</v>
          </cell>
          <cell r="L580">
            <v>1</v>
          </cell>
          <cell r="M580">
            <v>0</v>
          </cell>
          <cell r="N580">
            <v>14852.65</v>
          </cell>
          <cell r="O580" t="str">
            <v>M</v>
          </cell>
          <cell r="P580" t="str">
            <v>00000000</v>
          </cell>
          <cell r="Q580">
            <v>100991.65</v>
          </cell>
          <cell r="R580">
            <v>2145.38</v>
          </cell>
          <cell r="S580">
            <v>412.57</v>
          </cell>
          <cell r="T580">
            <v>1893.71</v>
          </cell>
          <cell r="U580">
            <v>742.63</v>
          </cell>
          <cell r="V580">
            <v>2085.1999999999998</v>
          </cell>
          <cell r="W580">
            <v>297.05</v>
          </cell>
          <cell r="X580">
            <v>0</v>
          </cell>
          <cell r="Y580">
            <v>5792.22</v>
          </cell>
          <cell r="Z580">
            <v>2369.59</v>
          </cell>
          <cell r="AA580">
            <v>77</v>
          </cell>
          <cell r="AB580">
            <v>0</v>
          </cell>
          <cell r="AC580">
            <v>0</v>
          </cell>
          <cell r="AD580">
            <v>13.49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Y580">
            <v>1580077.68</v>
          </cell>
        </row>
        <row r="581">
          <cell r="A581">
            <v>2</v>
          </cell>
          <cell r="B581" t="str">
            <v>12</v>
          </cell>
          <cell r="C581" t="str">
            <v>000</v>
          </cell>
          <cell r="D581" t="str">
            <v>1</v>
          </cell>
          <cell r="E581" t="str">
            <v>201</v>
          </cell>
          <cell r="F581" t="str">
            <v>N000</v>
          </cell>
          <cell r="G581" t="str">
            <v>311</v>
          </cell>
          <cell r="H581" t="str">
            <v>1103</v>
          </cell>
          <cell r="I581" t="str">
            <v>CFMG06</v>
          </cell>
          <cell r="J581" t="str">
            <v>MG06</v>
          </cell>
          <cell r="K581" t="str">
            <v>1</v>
          </cell>
          <cell r="L581">
            <v>4</v>
          </cell>
          <cell r="M581">
            <v>0</v>
          </cell>
          <cell r="N581">
            <v>8232.25</v>
          </cell>
          <cell r="O581" t="str">
            <v>M</v>
          </cell>
          <cell r="P581" t="str">
            <v>00000000</v>
          </cell>
          <cell r="Q581">
            <v>38872.050000000003</v>
          </cell>
          <cell r="R581">
            <v>1189.0999999999999</v>
          </cell>
          <cell r="S581">
            <v>228.67</v>
          </cell>
          <cell r="T581">
            <v>1049.6099999999999</v>
          </cell>
          <cell r="U581">
            <v>411.61</v>
          </cell>
          <cell r="V581">
            <v>847.88</v>
          </cell>
          <cell r="W581">
            <v>164.65</v>
          </cell>
          <cell r="X581">
            <v>13.75</v>
          </cell>
          <cell r="Y581">
            <v>2355.2199999999998</v>
          </cell>
          <cell r="Z581">
            <v>972.26</v>
          </cell>
          <cell r="AA581">
            <v>77</v>
          </cell>
          <cell r="AB581">
            <v>0</v>
          </cell>
          <cell r="AC581">
            <v>0</v>
          </cell>
          <cell r="AD581">
            <v>13.49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Y581">
            <v>2612521.92</v>
          </cell>
        </row>
        <row r="582">
          <cell r="A582">
            <v>2</v>
          </cell>
          <cell r="B582" t="str">
            <v>12</v>
          </cell>
          <cell r="C582" t="str">
            <v>000</v>
          </cell>
          <cell r="D582" t="str">
            <v>1</v>
          </cell>
          <cell r="E582" t="str">
            <v>201</v>
          </cell>
          <cell r="F582" t="str">
            <v>N000</v>
          </cell>
          <cell r="G582" t="str">
            <v>311</v>
          </cell>
          <cell r="H582" t="str">
            <v>1103</v>
          </cell>
          <cell r="I582" t="str">
            <v>CFMS06</v>
          </cell>
          <cell r="J582" t="str">
            <v>MS06</v>
          </cell>
          <cell r="K582" t="str">
            <v>1</v>
          </cell>
          <cell r="L582">
            <v>1</v>
          </cell>
          <cell r="M582">
            <v>0</v>
          </cell>
          <cell r="N582">
            <v>4801.8999999999996</v>
          </cell>
          <cell r="O582" t="str">
            <v>M</v>
          </cell>
          <cell r="P582" t="str">
            <v>00000000</v>
          </cell>
          <cell r="Q582">
            <v>21723.85</v>
          </cell>
          <cell r="R582">
            <v>693.61</v>
          </cell>
          <cell r="S582">
            <v>133.38999999999999</v>
          </cell>
          <cell r="T582">
            <v>612.24</v>
          </cell>
          <cell r="U582">
            <v>240.09</v>
          </cell>
          <cell r="V582">
            <v>477.46</v>
          </cell>
          <cell r="W582">
            <v>96.04</v>
          </cell>
          <cell r="X582">
            <v>0</v>
          </cell>
          <cell r="Y582">
            <v>1326.29</v>
          </cell>
          <cell r="Z582">
            <v>548.6</v>
          </cell>
          <cell r="AA582">
            <v>77</v>
          </cell>
          <cell r="AB582">
            <v>0</v>
          </cell>
          <cell r="AC582">
            <v>0</v>
          </cell>
          <cell r="AD582">
            <v>13.49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Y582">
            <v>368927.52</v>
          </cell>
        </row>
        <row r="583">
          <cell r="A583">
            <v>2</v>
          </cell>
          <cell r="B583" t="str">
            <v>12</v>
          </cell>
          <cell r="C583" t="str">
            <v>000</v>
          </cell>
          <cell r="D583" t="str">
            <v>1</v>
          </cell>
          <cell r="E583" t="str">
            <v>201</v>
          </cell>
          <cell r="F583" t="str">
            <v>N000</v>
          </cell>
          <cell r="G583" t="str">
            <v>311</v>
          </cell>
          <cell r="H583" t="str">
            <v>1103</v>
          </cell>
          <cell r="I583" t="str">
            <v>CFMS08</v>
          </cell>
          <cell r="J583" t="str">
            <v>MS08</v>
          </cell>
          <cell r="K583" t="str">
            <v>1</v>
          </cell>
          <cell r="L583">
            <v>7</v>
          </cell>
          <cell r="M583">
            <v>0</v>
          </cell>
          <cell r="N583">
            <v>4801.8999999999996</v>
          </cell>
          <cell r="O583" t="str">
            <v>M</v>
          </cell>
          <cell r="P583" t="str">
            <v>00000000</v>
          </cell>
          <cell r="Q583">
            <v>18269.849999999999</v>
          </cell>
          <cell r="R583">
            <v>693.61</v>
          </cell>
          <cell r="S583">
            <v>133.38999999999999</v>
          </cell>
          <cell r="T583">
            <v>612.24</v>
          </cell>
          <cell r="U583">
            <v>240.09</v>
          </cell>
          <cell r="V583">
            <v>415.29</v>
          </cell>
          <cell r="W583">
            <v>96.04</v>
          </cell>
          <cell r="X583">
            <v>67.709999999999994</v>
          </cell>
          <cell r="Y583">
            <v>1153.5899999999999</v>
          </cell>
          <cell r="Z583">
            <v>480.87</v>
          </cell>
          <cell r="AA583">
            <v>77</v>
          </cell>
          <cell r="AB583">
            <v>0</v>
          </cell>
          <cell r="AC583">
            <v>0</v>
          </cell>
          <cell r="AD583">
            <v>13.49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Y583">
            <v>2272625.88</v>
          </cell>
        </row>
        <row r="584">
          <cell r="A584">
            <v>2</v>
          </cell>
          <cell r="B584" t="str">
            <v>12</v>
          </cell>
          <cell r="C584" t="str">
            <v>000</v>
          </cell>
          <cell r="D584" t="str">
            <v>1</v>
          </cell>
          <cell r="E584" t="str">
            <v>201</v>
          </cell>
          <cell r="F584" t="str">
            <v>N000</v>
          </cell>
          <cell r="G584" t="str">
            <v>311</v>
          </cell>
          <cell r="H584" t="str">
            <v>1103</v>
          </cell>
          <cell r="I584" t="str">
            <v>M01004</v>
          </cell>
          <cell r="K584" t="str">
            <v>2</v>
          </cell>
          <cell r="L584">
            <v>5</v>
          </cell>
          <cell r="M584">
            <v>0</v>
          </cell>
          <cell r="N584">
            <v>6400</v>
          </cell>
          <cell r="O584" t="str">
            <v>M</v>
          </cell>
          <cell r="P584" t="str">
            <v>00000000</v>
          </cell>
          <cell r="Q584">
            <v>0</v>
          </cell>
          <cell r="R584">
            <v>924.44</v>
          </cell>
          <cell r="S584">
            <v>177.78</v>
          </cell>
          <cell r="T584">
            <v>816</v>
          </cell>
          <cell r="U584">
            <v>320</v>
          </cell>
          <cell r="V584">
            <v>115.2</v>
          </cell>
          <cell r="W584">
            <v>128</v>
          </cell>
          <cell r="X584">
            <v>25.6</v>
          </cell>
          <cell r="Y584">
            <v>0</v>
          </cell>
          <cell r="Z584">
            <v>288.04000000000002</v>
          </cell>
          <cell r="AA584">
            <v>77</v>
          </cell>
          <cell r="AB584">
            <v>96</v>
          </cell>
          <cell r="AC584">
            <v>80</v>
          </cell>
          <cell r="AD584">
            <v>13.49</v>
          </cell>
          <cell r="AE584">
            <v>5.33</v>
          </cell>
          <cell r="AF584">
            <v>0</v>
          </cell>
          <cell r="AG584">
            <v>0</v>
          </cell>
          <cell r="AH584">
            <v>4086</v>
          </cell>
          <cell r="AI584">
            <v>0</v>
          </cell>
          <cell r="AJ584">
            <v>2530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Y584">
            <v>964972.8</v>
          </cell>
        </row>
        <row r="585">
          <cell r="A585">
            <v>2</v>
          </cell>
          <cell r="B585" t="str">
            <v>12</v>
          </cell>
          <cell r="C585" t="str">
            <v>000</v>
          </cell>
          <cell r="D585" t="str">
            <v>1</v>
          </cell>
          <cell r="E585" t="str">
            <v>201</v>
          </cell>
          <cell r="F585" t="str">
            <v>N000</v>
          </cell>
          <cell r="G585" t="str">
            <v>311</v>
          </cell>
          <cell r="H585" t="str">
            <v>1103</v>
          </cell>
          <cell r="I585" t="str">
            <v>M01006</v>
          </cell>
          <cell r="K585" t="str">
            <v>2</v>
          </cell>
          <cell r="L585">
            <v>13</v>
          </cell>
          <cell r="M585">
            <v>0</v>
          </cell>
          <cell r="N585">
            <v>5300</v>
          </cell>
          <cell r="O585" t="str">
            <v>M</v>
          </cell>
          <cell r="P585" t="str">
            <v>00000000</v>
          </cell>
          <cell r="Q585">
            <v>0</v>
          </cell>
          <cell r="R585">
            <v>765.56</v>
          </cell>
          <cell r="S585">
            <v>147.22</v>
          </cell>
          <cell r="T585">
            <v>675.75</v>
          </cell>
          <cell r="U585">
            <v>265</v>
          </cell>
          <cell r="V585">
            <v>95.4</v>
          </cell>
          <cell r="W585">
            <v>106</v>
          </cell>
          <cell r="X585">
            <v>47.31</v>
          </cell>
          <cell r="Y585">
            <v>0</v>
          </cell>
          <cell r="Z585">
            <v>238.87</v>
          </cell>
          <cell r="AA585">
            <v>77</v>
          </cell>
          <cell r="AB585">
            <v>96</v>
          </cell>
          <cell r="AC585">
            <v>80</v>
          </cell>
          <cell r="AD585">
            <v>13.49</v>
          </cell>
          <cell r="AE585">
            <v>4.42</v>
          </cell>
          <cell r="AF585">
            <v>0</v>
          </cell>
          <cell r="AG585">
            <v>0</v>
          </cell>
          <cell r="AH585">
            <v>2426</v>
          </cell>
          <cell r="AI585">
            <v>0</v>
          </cell>
          <cell r="AJ585">
            <v>3000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Y585">
            <v>2080731.12</v>
          </cell>
        </row>
        <row r="586">
          <cell r="A586">
            <v>2</v>
          </cell>
          <cell r="B586" t="str">
            <v>12</v>
          </cell>
          <cell r="C586" t="str">
            <v>000</v>
          </cell>
          <cell r="D586" t="str">
            <v>1</v>
          </cell>
          <cell r="E586" t="str">
            <v>201</v>
          </cell>
          <cell r="F586" t="str">
            <v>N000</v>
          </cell>
          <cell r="G586" t="str">
            <v>311</v>
          </cell>
          <cell r="H586" t="str">
            <v>1103</v>
          </cell>
          <cell r="I586" t="str">
            <v>M01007</v>
          </cell>
          <cell r="K586" t="str">
            <v>2</v>
          </cell>
          <cell r="L586">
            <v>3</v>
          </cell>
          <cell r="M586">
            <v>0</v>
          </cell>
          <cell r="N586">
            <v>5074</v>
          </cell>
          <cell r="O586" t="str">
            <v>M</v>
          </cell>
          <cell r="P586" t="str">
            <v>00000000</v>
          </cell>
          <cell r="Q586">
            <v>0</v>
          </cell>
          <cell r="R586">
            <v>732.91</v>
          </cell>
          <cell r="S586">
            <v>140.94</v>
          </cell>
          <cell r="T586">
            <v>646.94000000000005</v>
          </cell>
          <cell r="U586">
            <v>253.7</v>
          </cell>
          <cell r="V586">
            <v>91.33</v>
          </cell>
          <cell r="W586">
            <v>101.48</v>
          </cell>
          <cell r="X586">
            <v>45.67</v>
          </cell>
          <cell r="Y586">
            <v>0</v>
          </cell>
          <cell r="Z586">
            <v>207.25</v>
          </cell>
          <cell r="AA586">
            <v>77</v>
          </cell>
          <cell r="AB586">
            <v>96</v>
          </cell>
          <cell r="AC586">
            <v>80</v>
          </cell>
          <cell r="AD586">
            <v>13.49</v>
          </cell>
          <cell r="AE586">
            <v>4.2300000000000004</v>
          </cell>
          <cell r="AF586">
            <v>0</v>
          </cell>
          <cell r="AG586">
            <v>0</v>
          </cell>
          <cell r="AH586">
            <v>2004</v>
          </cell>
          <cell r="AI586">
            <v>0</v>
          </cell>
          <cell r="AJ586">
            <v>2108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Y586">
            <v>420369.84</v>
          </cell>
        </row>
        <row r="587">
          <cell r="A587">
            <v>2</v>
          </cell>
          <cell r="B587" t="str">
            <v>12</v>
          </cell>
          <cell r="C587" t="str">
            <v>000</v>
          </cell>
          <cell r="D587" t="str">
            <v>1</v>
          </cell>
          <cell r="E587" t="str">
            <v>201</v>
          </cell>
          <cell r="F587" t="str">
            <v>N000</v>
          </cell>
          <cell r="G587" t="str">
            <v>311</v>
          </cell>
          <cell r="H587" t="str">
            <v>1103</v>
          </cell>
          <cell r="I587" t="str">
            <v>M01008</v>
          </cell>
          <cell r="K587" t="str">
            <v>2</v>
          </cell>
          <cell r="L587">
            <v>3</v>
          </cell>
          <cell r="M587">
            <v>0</v>
          </cell>
          <cell r="N587">
            <v>5546</v>
          </cell>
          <cell r="O587" t="str">
            <v>M</v>
          </cell>
          <cell r="P587" t="str">
            <v>00000000</v>
          </cell>
          <cell r="Q587">
            <v>0</v>
          </cell>
          <cell r="R587">
            <v>801.09</v>
          </cell>
          <cell r="S587">
            <v>154.06</v>
          </cell>
          <cell r="T587">
            <v>707.12</v>
          </cell>
          <cell r="U587">
            <v>277.3</v>
          </cell>
          <cell r="V587">
            <v>99.83</v>
          </cell>
          <cell r="W587">
            <v>110.92</v>
          </cell>
          <cell r="X587">
            <v>49</v>
          </cell>
          <cell r="Y587">
            <v>0</v>
          </cell>
          <cell r="Z587">
            <v>251.24</v>
          </cell>
          <cell r="AA587">
            <v>77</v>
          </cell>
          <cell r="AB587">
            <v>96</v>
          </cell>
          <cell r="AC587">
            <v>80</v>
          </cell>
          <cell r="AD587">
            <v>13.49</v>
          </cell>
          <cell r="AE587">
            <v>4.62</v>
          </cell>
          <cell r="AF587">
            <v>0</v>
          </cell>
          <cell r="AG587">
            <v>0</v>
          </cell>
          <cell r="AH587">
            <v>2739</v>
          </cell>
          <cell r="AI587">
            <v>0</v>
          </cell>
          <cell r="AJ587">
            <v>3015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Y587">
            <v>504780.12</v>
          </cell>
        </row>
        <row r="588">
          <cell r="A588">
            <v>2</v>
          </cell>
          <cell r="B588" t="str">
            <v>12</v>
          </cell>
          <cell r="C588" t="str">
            <v>000</v>
          </cell>
          <cell r="D588" t="str">
            <v>1</v>
          </cell>
          <cell r="E588" t="str">
            <v>201</v>
          </cell>
          <cell r="F588" t="str">
            <v>N000</v>
          </cell>
          <cell r="G588" t="str">
            <v>311</v>
          </cell>
          <cell r="H588" t="str">
            <v>1103</v>
          </cell>
          <cell r="I588" t="str">
            <v>M01009</v>
          </cell>
          <cell r="K588" t="str">
            <v>2</v>
          </cell>
          <cell r="L588">
            <v>1</v>
          </cell>
          <cell r="M588">
            <v>0</v>
          </cell>
          <cell r="N588">
            <v>6121</v>
          </cell>
          <cell r="O588" t="str">
            <v>M</v>
          </cell>
          <cell r="P588" t="str">
            <v>00000000</v>
          </cell>
          <cell r="Q588">
            <v>0</v>
          </cell>
          <cell r="R588">
            <v>884.14</v>
          </cell>
          <cell r="S588">
            <v>170.03</v>
          </cell>
          <cell r="T588">
            <v>780.43</v>
          </cell>
          <cell r="U588">
            <v>306.05</v>
          </cell>
          <cell r="V588">
            <v>110.18</v>
          </cell>
          <cell r="W588">
            <v>122.42</v>
          </cell>
          <cell r="X588">
            <v>0</v>
          </cell>
          <cell r="Y588">
            <v>0</v>
          </cell>
          <cell r="Z588">
            <v>274.17</v>
          </cell>
          <cell r="AA588">
            <v>77</v>
          </cell>
          <cell r="AB588">
            <v>96</v>
          </cell>
          <cell r="AC588">
            <v>80</v>
          </cell>
          <cell r="AD588">
            <v>13.49</v>
          </cell>
          <cell r="AE588">
            <v>5.0999999999999996</v>
          </cell>
          <cell r="AF588">
            <v>0</v>
          </cell>
          <cell r="AG588">
            <v>0</v>
          </cell>
          <cell r="AH588">
            <v>3865</v>
          </cell>
          <cell r="AI588">
            <v>0</v>
          </cell>
          <cell r="AJ588">
            <v>2410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Y588">
            <v>183780.12</v>
          </cell>
        </row>
        <row r="589">
          <cell r="A589">
            <v>2</v>
          </cell>
          <cell r="B589" t="str">
            <v>12</v>
          </cell>
          <cell r="C589" t="str">
            <v>000</v>
          </cell>
          <cell r="D589" t="str">
            <v>1</v>
          </cell>
          <cell r="E589" t="str">
            <v>201</v>
          </cell>
          <cell r="F589" t="str">
            <v>N000</v>
          </cell>
          <cell r="G589" t="str">
            <v>311</v>
          </cell>
          <cell r="H589" t="str">
            <v>1103</v>
          </cell>
          <cell r="I589" t="str">
            <v>M01011</v>
          </cell>
          <cell r="K589" t="str">
            <v>2</v>
          </cell>
          <cell r="L589">
            <v>1</v>
          </cell>
          <cell r="M589">
            <v>0</v>
          </cell>
          <cell r="N589">
            <v>7310</v>
          </cell>
          <cell r="O589" t="str">
            <v>M</v>
          </cell>
          <cell r="P589" t="str">
            <v>00000000</v>
          </cell>
          <cell r="Q589">
            <v>0</v>
          </cell>
          <cell r="R589">
            <v>1055.8900000000001</v>
          </cell>
          <cell r="S589">
            <v>203.06</v>
          </cell>
          <cell r="T589">
            <v>932.02</v>
          </cell>
          <cell r="U589">
            <v>365.5</v>
          </cell>
          <cell r="V589">
            <v>131.58000000000001</v>
          </cell>
          <cell r="W589">
            <v>146.19999999999999</v>
          </cell>
          <cell r="X589">
            <v>55</v>
          </cell>
          <cell r="Y589">
            <v>0</v>
          </cell>
          <cell r="Z589">
            <v>330.82</v>
          </cell>
          <cell r="AA589">
            <v>77</v>
          </cell>
          <cell r="AB589">
            <v>96</v>
          </cell>
          <cell r="AC589">
            <v>80</v>
          </cell>
          <cell r="AD589">
            <v>13.49</v>
          </cell>
          <cell r="AE589">
            <v>6.09</v>
          </cell>
          <cell r="AF589">
            <v>0</v>
          </cell>
          <cell r="AG589">
            <v>0</v>
          </cell>
          <cell r="AH589">
            <v>4524</v>
          </cell>
          <cell r="AI589">
            <v>0</v>
          </cell>
          <cell r="AJ589">
            <v>3134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Y589">
            <v>221527.8</v>
          </cell>
        </row>
        <row r="590">
          <cell r="A590">
            <v>2</v>
          </cell>
          <cell r="B590" t="str">
            <v>12</v>
          </cell>
          <cell r="C590" t="str">
            <v>000</v>
          </cell>
          <cell r="D590" t="str">
            <v>1</v>
          </cell>
          <cell r="E590" t="str">
            <v>201</v>
          </cell>
          <cell r="F590" t="str">
            <v>N000</v>
          </cell>
          <cell r="G590" t="str">
            <v>311</v>
          </cell>
          <cell r="H590" t="str">
            <v>1103</v>
          </cell>
          <cell r="I590" t="str">
            <v>M01015</v>
          </cell>
          <cell r="K590" t="str">
            <v>2</v>
          </cell>
          <cell r="L590">
            <v>1</v>
          </cell>
          <cell r="M590">
            <v>0</v>
          </cell>
          <cell r="N590">
            <v>5588</v>
          </cell>
          <cell r="O590" t="str">
            <v>M</v>
          </cell>
          <cell r="P590" t="str">
            <v>00000000</v>
          </cell>
          <cell r="Q590">
            <v>0</v>
          </cell>
          <cell r="R590">
            <v>807.16</v>
          </cell>
          <cell r="S590">
            <v>155.22</v>
          </cell>
          <cell r="T590">
            <v>712.47</v>
          </cell>
          <cell r="U590">
            <v>279.39999999999998</v>
          </cell>
          <cell r="V590">
            <v>100.58</v>
          </cell>
          <cell r="W590">
            <v>111.76</v>
          </cell>
          <cell r="X590">
            <v>82</v>
          </cell>
          <cell r="Y590">
            <v>0</v>
          </cell>
          <cell r="Z590">
            <v>228.24</v>
          </cell>
          <cell r="AA590">
            <v>77</v>
          </cell>
          <cell r="AB590">
            <v>96</v>
          </cell>
          <cell r="AC590">
            <v>80</v>
          </cell>
          <cell r="AD590">
            <v>13.49</v>
          </cell>
          <cell r="AE590">
            <v>4.66</v>
          </cell>
          <cell r="AF590">
            <v>0</v>
          </cell>
          <cell r="AG590">
            <v>0</v>
          </cell>
          <cell r="AH590">
            <v>2196</v>
          </cell>
          <cell r="AI590">
            <v>0</v>
          </cell>
          <cell r="AJ590">
            <v>2326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Y590">
            <v>154295.76</v>
          </cell>
        </row>
        <row r="591">
          <cell r="A591">
            <v>2</v>
          </cell>
          <cell r="B591" t="str">
            <v>12</v>
          </cell>
          <cell r="C591" t="str">
            <v>000</v>
          </cell>
          <cell r="D591" t="str">
            <v>1</v>
          </cell>
          <cell r="E591" t="str">
            <v>201</v>
          </cell>
          <cell r="F591" t="str">
            <v>N000</v>
          </cell>
          <cell r="G591" t="str">
            <v>311</v>
          </cell>
          <cell r="H591" t="str">
            <v>1103</v>
          </cell>
          <cell r="I591" t="str">
            <v>M02015</v>
          </cell>
          <cell r="K591" t="str">
            <v>2</v>
          </cell>
          <cell r="L591">
            <v>1</v>
          </cell>
          <cell r="M591">
            <v>0</v>
          </cell>
          <cell r="N591">
            <v>5000</v>
          </cell>
          <cell r="O591" t="str">
            <v>M</v>
          </cell>
          <cell r="P591" t="str">
            <v>00000000</v>
          </cell>
          <cell r="Q591">
            <v>0</v>
          </cell>
          <cell r="R591">
            <v>722.22</v>
          </cell>
          <cell r="S591">
            <v>138.88999999999999</v>
          </cell>
          <cell r="T591">
            <v>637.5</v>
          </cell>
          <cell r="U591">
            <v>250</v>
          </cell>
          <cell r="V591">
            <v>90</v>
          </cell>
          <cell r="W591">
            <v>100</v>
          </cell>
          <cell r="X591">
            <v>46</v>
          </cell>
          <cell r="Y591">
            <v>0</v>
          </cell>
          <cell r="Z591">
            <v>175.29</v>
          </cell>
          <cell r="AA591">
            <v>77</v>
          </cell>
          <cell r="AB591">
            <v>96</v>
          </cell>
          <cell r="AC591">
            <v>80</v>
          </cell>
          <cell r="AD591">
            <v>13.49</v>
          </cell>
          <cell r="AE591">
            <v>4.17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2600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Y591">
            <v>120366.72</v>
          </cell>
        </row>
        <row r="592">
          <cell r="A592">
            <v>2</v>
          </cell>
          <cell r="B592" t="str">
            <v>12</v>
          </cell>
          <cell r="C592" t="str">
            <v>000</v>
          </cell>
          <cell r="D592" t="str">
            <v>1</v>
          </cell>
          <cell r="E592" t="str">
            <v>201</v>
          </cell>
          <cell r="F592" t="str">
            <v>N000</v>
          </cell>
          <cell r="G592" t="str">
            <v>311</v>
          </cell>
          <cell r="H592" t="str">
            <v>1103</v>
          </cell>
          <cell r="I592" t="str">
            <v>M02027</v>
          </cell>
          <cell r="K592" t="str">
            <v>2</v>
          </cell>
          <cell r="L592">
            <v>5</v>
          </cell>
          <cell r="M592">
            <v>0</v>
          </cell>
          <cell r="N592">
            <v>4940</v>
          </cell>
          <cell r="O592" t="str">
            <v>M</v>
          </cell>
          <cell r="P592" t="str">
            <v>00000000</v>
          </cell>
          <cell r="Q592">
            <v>0</v>
          </cell>
          <cell r="R592">
            <v>713.56</v>
          </cell>
          <cell r="S592">
            <v>137.22</v>
          </cell>
          <cell r="T592">
            <v>629.85</v>
          </cell>
          <cell r="U592">
            <v>247</v>
          </cell>
          <cell r="V592">
            <v>88.92</v>
          </cell>
          <cell r="W592">
            <v>98.8</v>
          </cell>
          <cell r="X592">
            <v>53</v>
          </cell>
          <cell r="Y592">
            <v>0</v>
          </cell>
          <cell r="Z592">
            <v>168.12</v>
          </cell>
          <cell r="AA592">
            <v>77</v>
          </cell>
          <cell r="AB592">
            <v>96</v>
          </cell>
          <cell r="AC592">
            <v>80</v>
          </cell>
          <cell r="AD592">
            <v>13.49</v>
          </cell>
          <cell r="AE592">
            <v>4.12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2305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Y592">
            <v>579124.80000000005</v>
          </cell>
        </row>
        <row r="593">
          <cell r="A593">
            <v>2</v>
          </cell>
          <cell r="B593" t="str">
            <v>12</v>
          </cell>
          <cell r="C593" t="str">
            <v>000</v>
          </cell>
          <cell r="D593" t="str">
            <v>1</v>
          </cell>
          <cell r="E593" t="str">
            <v>201</v>
          </cell>
          <cell r="F593" t="str">
            <v>N000</v>
          </cell>
          <cell r="G593" t="str">
            <v>311</v>
          </cell>
          <cell r="H593" t="str">
            <v>1103</v>
          </cell>
          <cell r="I593" t="str">
            <v>M02028</v>
          </cell>
          <cell r="K593" t="str">
            <v>2</v>
          </cell>
          <cell r="L593">
            <v>1</v>
          </cell>
          <cell r="M593">
            <v>0</v>
          </cell>
          <cell r="N593">
            <v>4811</v>
          </cell>
          <cell r="O593" t="str">
            <v>M</v>
          </cell>
          <cell r="P593" t="str">
            <v>00000000</v>
          </cell>
          <cell r="Q593">
            <v>0</v>
          </cell>
          <cell r="R593">
            <v>694.92</v>
          </cell>
          <cell r="S593">
            <v>133.63999999999999</v>
          </cell>
          <cell r="T593">
            <v>613.4</v>
          </cell>
          <cell r="U593">
            <v>240.55</v>
          </cell>
          <cell r="V593">
            <v>86.6</v>
          </cell>
          <cell r="W593">
            <v>96.22</v>
          </cell>
          <cell r="X593">
            <v>82</v>
          </cell>
          <cell r="Y593">
            <v>0</v>
          </cell>
          <cell r="Z593">
            <v>164.49</v>
          </cell>
          <cell r="AA593">
            <v>77</v>
          </cell>
          <cell r="AB593">
            <v>96</v>
          </cell>
          <cell r="AC593">
            <v>80</v>
          </cell>
          <cell r="AD593">
            <v>13.49</v>
          </cell>
          <cell r="AE593">
            <v>4.01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2246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Y593">
            <v>113271.84</v>
          </cell>
        </row>
        <row r="594">
          <cell r="A594">
            <v>2</v>
          </cell>
          <cell r="B594" t="str">
            <v>12</v>
          </cell>
          <cell r="C594" t="str">
            <v>000</v>
          </cell>
          <cell r="D594" t="str">
            <v>1</v>
          </cell>
          <cell r="E594" t="str">
            <v>201</v>
          </cell>
          <cell r="F594" t="str">
            <v>N000</v>
          </cell>
          <cell r="G594" t="str">
            <v>311</v>
          </cell>
          <cell r="H594" t="str">
            <v>1103</v>
          </cell>
          <cell r="I594" t="str">
            <v>M02029</v>
          </cell>
          <cell r="K594" t="str">
            <v>2</v>
          </cell>
          <cell r="L594">
            <v>2</v>
          </cell>
          <cell r="M594">
            <v>0</v>
          </cell>
          <cell r="N594">
            <v>4472</v>
          </cell>
          <cell r="O594" t="str">
            <v>M</v>
          </cell>
          <cell r="P594" t="str">
            <v>00000000</v>
          </cell>
          <cell r="Q594">
            <v>0</v>
          </cell>
          <cell r="R594">
            <v>645.96</v>
          </cell>
          <cell r="S594">
            <v>124.22</v>
          </cell>
          <cell r="T594">
            <v>570.17999999999995</v>
          </cell>
          <cell r="U594">
            <v>223.6</v>
          </cell>
          <cell r="V594">
            <v>80.5</v>
          </cell>
          <cell r="W594">
            <v>89.44</v>
          </cell>
          <cell r="X594">
            <v>95.5</v>
          </cell>
          <cell r="Y594">
            <v>0</v>
          </cell>
          <cell r="Z594">
            <v>155.09</v>
          </cell>
          <cell r="AA594">
            <v>77</v>
          </cell>
          <cell r="AB594">
            <v>96</v>
          </cell>
          <cell r="AC594">
            <v>80</v>
          </cell>
          <cell r="AD594">
            <v>13.49</v>
          </cell>
          <cell r="AE594">
            <v>3.73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2160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Y594">
            <v>213281.04</v>
          </cell>
        </row>
        <row r="595">
          <cell r="A595">
            <v>2</v>
          </cell>
          <cell r="B595" t="str">
            <v>12</v>
          </cell>
          <cell r="C595" t="str">
            <v>000</v>
          </cell>
          <cell r="D595" t="str">
            <v>1</v>
          </cell>
          <cell r="E595" t="str">
            <v>201</v>
          </cell>
          <cell r="F595" t="str">
            <v>N000</v>
          </cell>
          <cell r="G595" t="str">
            <v>311</v>
          </cell>
          <cell r="H595" t="str">
            <v>1103</v>
          </cell>
          <cell r="I595" t="str">
            <v>M02031</v>
          </cell>
          <cell r="K595" t="str">
            <v>2</v>
          </cell>
          <cell r="L595">
            <v>1</v>
          </cell>
          <cell r="M595">
            <v>0</v>
          </cell>
          <cell r="N595">
            <v>5200</v>
          </cell>
          <cell r="O595" t="str">
            <v>M</v>
          </cell>
          <cell r="P595" t="str">
            <v>00000000</v>
          </cell>
          <cell r="Q595">
            <v>0</v>
          </cell>
          <cell r="R595">
            <v>751.11</v>
          </cell>
          <cell r="S595">
            <v>144.44</v>
          </cell>
          <cell r="T595">
            <v>663</v>
          </cell>
          <cell r="U595">
            <v>260</v>
          </cell>
          <cell r="V595">
            <v>93.6</v>
          </cell>
          <cell r="W595">
            <v>104</v>
          </cell>
          <cell r="X595">
            <v>109</v>
          </cell>
          <cell r="Y595">
            <v>0</v>
          </cell>
          <cell r="Z595">
            <v>212.68</v>
          </cell>
          <cell r="AA595">
            <v>77</v>
          </cell>
          <cell r="AB595">
            <v>96</v>
          </cell>
          <cell r="AC595">
            <v>80</v>
          </cell>
          <cell r="AD595">
            <v>13.49</v>
          </cell>
          <cell r="AE595">
            <v>4.33</v>
          </cell>
          <cell r="AF595">
            <v>0</v>
          </cell>
          <cell r="AG595">
            <v>0</v>
          </cell>
          <cell r="AH595">
            <v>2172</v>
          </cell>
          <cell r="AI595">
            <v>0</v>
          </cell>
          <cell r="AJ595">
            <v>2000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Y595">
            <v>143767.79999999999</v>
          </cell>
        </row>
        <row r="596">
          <cell r="A596">
            <v>2</v>
          </cell>
          <cell r="B596" t="str">
            <v>12</v>
          </cell>
          <cell r="C596" t="str">
            <v>000</v>
          </cell>
          <cell r="D596" t="str">
            <v>1</v>
          </cell>
          <cell r="E596" t="str">
            <v>201</v>
          </cell>
          <cell r="F596" t="str">
            <v>N000</v>
          </cell>
          <cell r="G596" t="str">
            <v>311</v>
          </cell>
          <cell r="H596" t="str">
            <v>1103</v>
          </cell>
          <cell r="I596" t="str">
            <v>M02040</v>
          </cell>
          <cell r="K596" t="str">
            <v>2</v>
          </cell>
          <cell r="L596">
            <v>7</v>
          </cell>
          <cell r="M596">
            <v>0</v>
          </cell>
          <cell r="N596">
            <v>3314</v>
          </cell>
          <cell r="O596" t="str">
            <v>M</v>
          </cell>
          <cell r="P596" t="str">
            <v>00000000</v>
          </cell>
          <cell r="Q596">
            <v>0</v>
          </cell>
          <cell r="R596">
            <v>478.69</v>
          </cell>
          <cell r="S596">
            <v>92.06</v>
          </cell>
          <cell r="T596">
            <v>422.54</v>
          </cell>
          <cell r="U596">
            <v>165.7</v>
          </cell>
          <cell r="V596">
            <v>59.65</v>
          </cell>
          <cell r="W596">
            <v>66.28</v>
          </cell>
          <cell r="X596">
            <v>51.14</v>
          </cell>
          <cell r="Y596">
            <v>0</v>
          </cell>
          <cell r="Z596">
            <v>118.79</v>
          </cell>
          <cell r="AA596">
            <v>77</v>
          </cell>
          <cell r="AB596">
            <v>96</v>
          </cell>
          <cell r="AC596">
            <v>80</v>
          </cell>
          <cell r="AD596">
            <v>13.49</v>
          </cell>
          <cell r="AE596">
            <v>2.76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1748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Y596">
            <v>570032.4</v>
          </cell>
        </row>
        <row r="597">
          <cell r="A597">
            <v>2</v>
          </cell>
          <cell r="B597" t="str">
            <v>12</v>
          </cell>
          <cell r="C597" t="str">
            <v>000</v>
          </cell>
          <cell r="D597" t="str">
            <v>1</v>
          </cell>
          <cell r="E597" t="str">
            <v>201</v>
          </cell>
          <cell r="F597" t="str">
            <v>N000</v>
          </cell>
          <cell r="G597" t="str">
            <v>311</v>
          </cell>
          <cell r="H597" t="str">
            <v>1103</v>
          </cell>
          <cell r="I597" t="str">
            <v>M02049</v>
          </cell>
          <cell r="K597" t="str">
            <v>2</v>
          </cell>
          <cell r="L597">
            <v>4</v>
          </cell>
          <cell r="M597">
            <v>0</v>
          </cell>
          <cell r="N597">
            <v>4472</v>
          </cell>
          <cell r="O597" t="str">
            <v>M</v>
          </cell>
          <cell r="P597" t="str">
            <v>00000000</v>
          </cell>
          <cell r="Q597">
            <v>0</v>
          </cell>
          <cell r="R597">
            <v>645.96</v>
          </cell>
          <cell r="S597">
            <v>124.22</v>
          </cell>
          <cell r="T597">
            <v>570.17999999999995</v>
          </cell>
          <cell r="U597">
            <v>223.6</v>
          </cell>
          <cell r="V597">
            <v>80.5</v>
          </cell>
          <cell r="W597">
            <v>89.44</v>
          </cell>
          <cell r="X597">
            <v>34.25</v>
          </cell>
          <cell r="Y597">
            <v>0</v>
          </cell>
          <cell r="Z597">
            <v>153.86000000000001</v>
          </cell>
          <cell r="AA597">
            <v>77</v>
          </cell>
          <cell r="AB597">
            <v>96</v>
          </cell>
          <cell r="AC597">
            <v>80</v>
          </cell>
          <cell r="AD597">
            <v>13.49</v>
          </cell>
          <cell r="AE597">
            <v>3.73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2160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Y597">
            <v>423563.04</v>
          </cell>
        </row>
        <row r="598">
          <cell r="A598">
            <v>2</v>
          </cell>
          <cell r="B598" t="str">
            <v>12</v>
          </cell>
          <cell r="C598" t="str">
            <v>000</v>
          </cell>
          <cell r="D598" t="str">
            <v>1</v>
          </cell>
          <cell r="E598" t="str">
            <v>201</v>
          </cell>
          <cell r="F598" t="str">
            <v>N000</v>
          </cell>
          <cell r="G598" t="str">
            <v>311</v>
          </cell>
          <cell r="H598" t="str">
            <v>1103</v>
          </cell>
          <cell r="I598" t="str">
            <v>M02072</v>
          </cell>
          <cell r="K598" t="str">
            <v>2</v>
          </cell>
          <cell r="L598">
            <v>3</v>
          </cell>
          <cell r="M598">
            <v>0</v>
          </cell>
          <cell r="N598">
            <v>3812</v>
          </cell>
          <cell r="O598" t="str">
            <v>M</v>
          </cell>
          <cell r="P598" t="str">
            <v>00000000</v>
          </cell>
          <cell r="Q598">
            <v>0</v>
          </cell>
          <cell r="R598">
            <v>550.62</v>
          </cell>
          <cell r="S598">
            <v>105.89</v>
          </cell>
          <cell r="T598">
            <v>486.03</v>
          </cell>
          <cell r="U598">
            <v>190.6</v>
          </cell>
          <cell r="V598">
            <v>68.62</v>
          </cell>
          <cell r="W598">
            <v>76.239999999999995</v>
          </cell>
          <cell r="X598">
            <v>109</v>
          </cell>
          <cell r="Y598">
            <v>0</v>
          </cell>
          <cell r="Z598">
            <v>137.43</v>
          </cell>
          <cell r="AA598">
            <v>77</v>
          </cell>
          <cell r="AB598">
            <v>96</v>
          </cell>
          <cell r="AC598">
            <v>80</v>
          </cell>
          <cell r="AD598">
            <v>13.49</v>
          </cell>
          <cell r="AE598">
            <v>3.18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2038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Y598">
            <v>282387.59999999998</v>
          </cell>
        </row>
        <row r="599">
          <cell r="A599">
            <v>2</v>
          </cell>
          <cell r="B599" t="str">
            <v>12</v>
          </cell>
          <cell r="C599" t="str">
            <v>000</v>
          </cell>
          <cell r="D599" t="str">
            <v>1</v>
          </cell>
          <cell r="E599" t="str">
            <v>201</v>
          </cell>
          <cell r="F599" t="str">
            <v>N000</v>
          </cell>
          <cell r="G599" t="str">
            <v>311</v>
          </cell>
          <cell r="H599" t="str">
            <v>1103</v>
          </cell>
          <cell r="I599" t="str">
            <v>S01803</v>
          </cell>
          <cell r="J599" t="str">
            <v>19</v>
          </cell>
          <cell r="K599" t="str">
            <v>2</v>
          </cell>
          <cell r="L599">
            <v>1</v>
          </cell>
          <cell r="M599">
            <v>0</v>
          </cell>
          <cell r="N599">
            <v>2120.3000000000002</v>
          </cell>
          <cell r="O599" t="str">
            <v>M</v>
          </cell>
          <cell r="P599" t="str">
            <v>00000000</v>
          </cell>
          <cell r="Q599">
            <v>0</v>
          </cell>
          <cell r="R599">
            <v>306.27</v>
          </cell>
          <cell r="S599">
            <v>58.9</v>
          </cell>
          <cell r="T599">
            <v>270.33999999999997</v>
          </cell>
          <cell r="U599">
            <v>106.02</v>
          </cell>
          <cell r="V599">
            <v>38.17</v>
          </cell>
          <cell r="W599">
            <v>42.41</v>
          </cell>
          <cell r="X599">
            <v>0</v>
          </cell>
          <cell r="Y599">
            <v>0</v>
          </cell>
          <cell r="Z599">
            <v>54.77</v>
          </cell>
          <cell r="AA599">
            <v>77</v>
          </cell>
          <cell r="AB599">
            <v>96</v>
          </cell>
          <cell r="AC599">
            <v>80</v>
          </cell>
          <cell r="AD599">
            <v>13.49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Y599">
            <v>39164.04</v>
          </cell>
        </row>
        <row r="600">
          <cell r="A600">
            <v>2</v>
          </cell>
          <cell r="B600" t="str">
            <v>12</v>
          </cell>
          <cell r="C600" t="str">
            <v>000</v>
          </cell>
          <cell r="D600" t="str">
            <v>1</v>
          </cell>
          <cell r="E600" t="str">
            <v>201</v>
          </cell>
          <cell r="F600" t="str">
            <v>N000</v>
          </cell>
          <cell r="G600" t="str">
            <v>311</v>
          </cell>
          <cell r="H600" t="str">
            <v>1103</v>
          </cell>
          <cell r="I600" t="str">
            <v>S03810</v>
          </cell>
          <cell r="J600" t="str">
            <v>22</v>
          </cell>
          <cell r="K600" t="str">
            <v>2</v>
          </cell>
          <cell r="L600">
            <v>2</v>
          </cell>
          <cell r="M600">
            <v>0</v>
          </cell>
          <cell r="N600">
            <v>2342.3000000000002</v>
          </cell>
          <cell r="O600" t="str">
            <v>M</v>
          </cell>
          <cell r="P600" t="str">
            <v>00000000</v>
          </cell>
          <cell r="Q600">
            <v>0</v>
          </cell>
          <cell r="R600">
            <v>338.33</v>
          </cell>
          <cell r="S600">
            <v>65.06</v>
          </cell>
          <cell r="T600">
            <v>298.64</v>
          </cell>
          <cell r="U600">
            <v>117.12</v>
          </cell>
          <cell r="V600">
            <v>42.16</v>
          </cell>
          <cell r="W600">
            <v>46.85</v>
          </cell>
          <cell r="X600">
            <v>0</v>
          </cell>
          <cell r="Y600">
            <v>0</v>
          </cell>
          <cell r="Z600">
            <v>59.97</v>
          </cell>
          <cell r="AA600">
            <v>77</v>
          </cell>
          <cell r="AB600">
            <v>96</v>
          </cell>
          <cell r="AC600">
            <v>80</v>
          </cell>
          <cell r="AD600">
            <v>13.49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Y600">
            <v>85846.080000000002</v>
          </cell>
        </row>
        <row r="601">
          <cell r="A601">
            <v>2</v>
          </cell>
          <cell r="B601" t="str">
            <v>12</v>
          </cell>
          <cell r="C601" t="str">
            <v>000</v>
          </cell>
          <cell r="D601" t="str">
            <v>1</v>
          </cell>
          <cell r="E601" t="str">
            <v>201</v>
          </cell>
          <cell r="F601" t="str">
            <v>N000</v>
          </cell>
          <cell r="G601" t="str">
            <v>311</v>
          </cell>
          <cell r="H601" t="str">
            <v>1103</v>
          </cell>
          <cell r="I601" t="str">
            <v>T03804</v>
          </cell>
          <cell r="J601" t="str">
            <v>25</v>
          </cell>
          <cell r="K601" t="str">
            <v>2</v>
          </cell>
          <cell r="L601">
            <v>3</v>
          </cell>
          <cell r="M601">
            <v>0</v>
          </cell>
          <cell r="N601">
            <v>2572.4</v>
          </cell>
          <cell r="O601" t="str">
            <v>M</v>
          </cell>
          <cell r="P601" t="str">
            <v>00000000</v>
          </cell>
          <cell r="Q601">
            <v>0</v>
          </cell>
          <cell r="R601">
            <v>371.57</v>
          </cell>
          <cell r="S601">
            <v>71.459999999999994</v>
          </cell>
          <cell r="T601">
            <v>327.98</v>
          </cell>
          <cell r="U601">
            <v>128.62</v>
          </cell>
          <cell r="V601">
            <v>46.3</v>
          </cell>
          <cell r="W601">
            <v>51.45</v>
          </cell>
          <cell r="X601">
            <v>58</v>
          </cell>
          <cell r="Y601">
            <v>0</v>
          </cell>
          <cell r="Z601">
            <v>66.53</v>
          </cell>
          <cell r="AA601">
            <v>77</v>
          </cell>
          <cell r="AB601">
            <v>96</v>
          </cell>
          <cell r="AC601">
            <v>80</v>
          </cell>
          <cell r="AD601">
            <v>13.49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Y601">
            <v>142588.79999999999</v>
          </cell>
        </row>
        <row r="602">
          <cell r="A602">
            <v>2</v>
          </cell>
          <cell r="B602" t="str">
            <v>12</v>
          </cell>
          <cell r="C602" t="str">
            <v>000</v>
          </cell>
          <cell r="D602" t="str">
            <v>1</v>
          </cell>
          <cell r="E602" t="str">
            <v>201</v>
          </cell>
          <cell r="F602" t="str">
            <v>N000</v>
          </cell>
          <cell r="G602" t="str">
            <v>311</v>
          </cell>
          <cell r="H602" t="str">
            <v>1103</v>
          </cell>
          <cell r="I602" t="str">
            <v>T06803</v>
          </cell>
          <cell r="J602" t="str">
            <v>26</v>
          </cell>
          <cell r="K602" t="str">
            <v>2</v>
          </cell>
          <cell r="L602">
            <v>1</v>
          </cell>
          <cell r="M602">
            <v>0</v>
          </cell>
          <cell r="N602">
            <v>2692.2</v>
          </cell>
          <cell r="O602" t="str">
            <v>M</v>
          </cell>
          <cell r="P602" t="str">
            <v>00000000</v>
          </cell>
          <cell r="Q602">
            <v>0</v>
          </cell>
          <cell r="R602">
            <v>388.87</v>
          </cell>
          <cell r="S602">
            <v>74.78</v>
          </cell>
          <cell r="T602">
            <v>343.26</v>
          </cell>
          <cell r="U602">
            <v>134.61000000000001</v>
          </cell>
          <cell r="V602">
            <v>48.46</v>
          </cell>
          <cell r="W602">
            <v>53.84</v>
          </cell>
          <cell r="X602">
            <v>46</v>
          </cell>
          <cell r="Y602">
            <v>0</v>
          </cell>
          <cell r="Z602">
            <v>69.099999999999994</v>
          </cell>
          <cell r="AA602">
            <v>77</v>
          </cell>
          <cell r="AB602">
            <v>96</v>
          </cell>
          <cell r="AC602">
            <v>80</v>
          </cell>
          <cell r="AD602">
            <v>13.49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Y602">
            <v>49411.32</v>
          </cell>
        </row>
        <row r="603">
          <cell r="A603">
            <v>2</v>
          </cell>
          <cell r="B603" t="str">
            <v>12</v>
          </cell>
          <cell r="C603" t="str">
            <v>000</v>
          </cell>
          <cell r="D603" t="str">
            <v>1</v>
          </cell>
          <cell r="E603" t="str">
            <v>201</v>
          </cell>
          <cell r="F603" t="str">
            <v>N000</v>
          </cell>
          <cell r="G603" t="str">
            <v>311</v>
          </cell>
          <cell r="H603" t="str">
            <v>1103</v>
          </cell>
          <cell r="I603" t="str">
            <v>T06807</v>
          </cell>
          <cell r="J603" t="str">
            <v>24</v>
          </cell>
          <cell r="K603" t="str">
            <v>2</v>
          </cell>
          <cell r="L603">
            <v>1</v>
          </cell>
          <cell r="M603">
            <v>0</v>
          </cell>
          <cell r="N603">
            <v>2479.75</v>
          </cell>
          <cell r="O603" t="str">
            <v>M</v>
          </cell>
          <cell r="P603" t="str">
            <v>00000000</v>
          </cell>
          <cell r="Q603">
            <v>0</v>
          </cell>
          <cell r="R603">
            <v>358.19</v>
          </cell>
          <cell r="S603">
            <v>68.88</v>
          </cell>
          <cell r="T603">
            <v>316.17</v>
          </cell>
          <cell r="U603">
            <v>123.99</v>
          </cell>
          <cell r="V603">
            <v>44.64</v>
          </cell>
          <cell r="W603">
            <v>49.59</v>
          </cell>
          <cell r="X603">
            <v>0</v>
          </cell>
          <cell r="Y603">
            <v>0</v>
          </cell>
          <cell r="Z603">
            <v>63.2</v>
          </cell>
          <cell r="AA603">
            <v>77</v>
          </cell>
          <cell r="AB603">
            <v>96</v>
          </cell>
          <cell r="AC603">
            <v>80</v>
          </cell>
          <cell r="AD603">
            <v>13.49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Y603">
            <v>45250.8</v>
          </cell>
        </row>
        <row r="604">
          <cell r="A604">
            <v>2</v>
          </cell>
          <cell r="B604" t="str">
            <v>12</v>
          </cell>
          <cell r="C604" t="str">
            <v>000</v>
          </cell>
          <cell r="D604" t="str">
            <v>1</v>
          </cell>
          <cell r="E604" t="str">
            <v>201</v>
          </cell>
          <cell r="F604" t="str">
            <v>N000</v>
          </cell>
          <cell r="G604" t="str">
            <v>311</v>
          </cell>
          <cell r="H604" t="str">
            <v>1103</v>
          </cell>
          <cell r="I604" t="str">
            <v>CF01059</v>
          </cell>
          <cell r="J604" t="str">
            <v>28</v>
          </cell>
          <cell r="K604" t="str">
            <v>1</v>
          </cell>
          <cell r="L604">
            <v>7</v>
          </cell>
          <cell r="M604">
            <v>0</v>
          </cell>
          <cell r="N604">
            <v>3631.8</v>
          </cell>
          <cell r="O604" t="str">
            <v>M</v>
          </cell>
          <cell r="P604" t="str">
            <v>00000000</v>
          </cell>
          <cell r="Q604">
            <v>8731.1</v>
          </cell>
          <cell r="R604">
            <v>524.59</v>
          </cell>
          <cell r="S604">
            <v>100.88</v>
          </cell>
          <cell r="T604">
            <v>463.05</v>
          </cell>
          <cell r="U604">
            <v>181.59</v>
          </cell>
          <cell r="V604">
            <v>222.53</v>
          </cell>
          <cell r="W604">
            <v>72.64</v>
          </cell>
          <cell r="X604">
            <v>53.57</v>
          </cell>
          <cell r="Y604">
            <v>618.15</v>
          </cell>
          <cell r="Z604">
            <v>262.38</v>
          </cell>
          <cell r="AA604">
            <v>77</v>
          </cell>
          <cell r="AB604">
            <v>0</v>
          </cell>
          <cell r="AC604">
            <v>0</v>
          </cell>
          <cell r="AD604">
            <v>13.49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Y604">
            <v>1256032.68</v>
          </cell>
        </row>
        <row r="605">
          <cell r="A605">
            <v>2</v>
          </cell>
          <cell r="B605" t="str">
            <v>12</v>
          </cell>
          <cell r="C605" t="str">
            <v>000</v>
          </cell>
          <cell r="D605" t="str">
            <v>1</v>
          </cell>
          <cell r="E605" t="str">
            <v>201</v>
          </cell>
          <cell r="F605" t="str">
            <v>N000</v>
          </cell>
          <cell r="G605" t="str">
            <v>311</v>
          </cell>
          <cell r="H605" t="str">
            <v>1103</v>
          </cell>
          <cell r="I605" t="str">
            <v>CF03809</v>
          </cell>
          <cell r="J605" t="str">
            <v>25</v>
          </cell>
          <cell r="K605" t="str">
            <v>2</v>
          </cell>
          <cell r="L605">
            <v>3</v>
          </cell>
          <cell r="M605">
            <v>0</v>
          </cell>
          <cell r="N605">
            <v>2572.4</v>
          </cell>
          <cell r="O605" t="str">
            <v>M</v>
          </cell>
          <cell r="P605" t="str">
            <v>00000000</v>
          </cell>
          <cell r="Q605">
            <v>0</v>
          </cell>
          <cell r="R605">
            <v>371.57</v>
          </cell>
          <cell r="S605">
            <v>71.459999999999994</v>
          </cell>
          <cell r="T605">
            <v>327.98</v>
          </cell>
          <cell r="U605">
            <v>128.62</v>
          </cell>
          <cell r="V605">
            <v>46.3</v>
          </cell>
          <cell r="W605">
            <v>51.45</v>
          </cell>
          <cell r="X605">
            <v>0</v>
          </cell>
          <cell r="Y605">
            <v>0</v>
          </cell>
          <cell r="Z605">
            <v>65.37</v>
          </cell>
          <cell r="AA605">
            <v>77</v>
          </cell>
          <cell r="AB605">
            <v>96</v>
          </cell>
          <cell r="AC605">
            <v>80</v>
          </cell>
          <cell r="AD605">
            <v>13.49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Y605">
            <v>140459.04</v>
          </cell>
        </row>
        <row r="606">
          <cell r="A606">
            <v>2</v>
          </cell>
          <cell r="B606" t="str">
            <v>12</v>
          </cell>
          <cell r="C606" t="str">
            <v>000</v>
          </cell>
          <cell r="D606" t="str">
            <v>1</v>
          </cell>
          <cell r="E606" t="str">
            <v>201</v>
          </cell>
          <cell r="F606" t="str">
            <v>N000</v>
          </cell>
          <cell r="G606" t="str">
            <v>311</v>
          </cell>
          <cell r="H606" t="str">
            <v>1103</v>
          </cell>
          <cell r="I606" t="str">
            <v>CF04806</v>
          </cell>
          <cell r="J606" t="str">
            <v>26</v>
          </cell>
          <cell r="K606" t="str">
            <v>2</v>
          </cell>
          <cell r="L606">
            <v>11</v>
          </cell>
          <cell r="M606">
            <v>0</v>
          </cell>
          <cell r="N606">
            <v>2692.2</v>
          </cell>
          <cell r="O606" t="str">
            <v>M</v>
          </cell>
          <cell r="P606" t="str">
            <v>00000000</v>
          </cell>
          <cell r="Q606">
            <v>0</v>
          </cell>
          <cell r="R606">
            <v>388.87</v>
          </cell>
          <cell r="S606">
            <v>74.78</v>
          </cell>
          <cell r="T606">
            <v>343.26</v>
          </cell>
          <cell r="U606">
            <v>134.61000000000001</v>
          </cell>
          <cell r="V606">
            <v>48.46</v>
          </cell>
          <cell r="W606">
            <v>53.84</v>
          </cell>
          <cell r="X606">
            <v>47.64</v>
          </cell>
          <cell r="Y606">
            <v>0</v>
          </cell>
          <cell r="Z606">
            <v>69.13</v>
          </cell>
          <cell r="AA606">
            <v>77</v>
          </cell>
          <cell r="AB606">
            <v>96</v>
          </cell>
          <cell r="AC606">
            <v>80</v>
          </cell>
          <cell r="AD606">
            <v>13.49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Y606">
            <v>543744.96</v>
          </cell>
        </row>
        <row r="607">
          <cell r="A607">
            <v>2</v>
          </cell>
          <cell r="B607" t="str">
            <v>12</v>
          </cell>
          <cell r="C607" t="str">
            <v>000</v>
          </cell>
          <cell r="D607" t="str">
            <v>1</v>
          </cell>
          <cell r="E607" t="str">
            <v>201</v>
          </cell>
          <cell r="F607" t="str">
            <v>N000</v>
          </cell>
          <cell r="G607" t="str">
            <v>311</v>
          </cell>
          <cell r="H607" t="str">
            <v>1103</v>
          </cell>
          <cell r="I607" t="str">
            <v>CF04807</v>
          </cell>
          <cell r="J607" t="str">
            <v>27Z</v>
          </cell>
          <cell r="K607" t="str">
            <v>2</v>
          </cell>
          <cell r="L607">
            <v>16</v>
          </cell>
          <cell r="M607">
            <v>0</v>
          </cell>
          <cell r="N607">
            <v>2900.25</v>
          </cell>
          <cell r="O607" t="str">
            <v>M</v>
          </cell>
          <cell r="P607" t="str">
            <v>00000000</v>
          </cell>
          <cell r="Q607">
            <v>205.15</v>
          </cell>
          <cell r="R607">
            <v>418.93</v>
          </cell>
          <cell r="S607">
            <v>80.56</v>
          </cell>
          <cell r="T607">
            <v>369.78</v>
          </cell>
          <cell r="U607">
            <v>145.01</v>
          </cell>
          <cell r="V607">
            <v>55.89</v>
          </cell>
          <cell r="W607">
            <v>58.01</v>
          </cell>
          <cell r="X607">
            <v>65</v>
          </cell>
          <cell r="Y607">
            <v>0</v>
          </cell>
          <cell r="Z607">
            <v>78.459999999999994</v>
          </cell>
          <cell r="AA607">
            <v>77</v>
          </cell>
          <cell r="AB607">
            <v>96</v>
          </cell>
          <cell r="AC607">
            <v>80</v>
          </cell>
          <cell r="AD607">
            <v>13.49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Y607">
            <v>891557.76</v>
          </cell>
        </row>
        <row r="608">
          <cell r="A608">
            <v>2</v>
          </cell>
          <cell r="B608" t="str">
            <v>12</v>
          </cell>
          <cell r="C608" t="str">
            <v>000</v>
          </cell>
          <cell r="D608" t="str">
            <v>1</v>
          </cell>
          <cell r="E608" t="str">
            <v>201</v>
          </cell>
          <cell r="F608" t="str">
            <v>N000</v>
          </cell>
          <cell r="G608" t="str">
            <v>311</v>
          </cell>
          <cell r="H608" t="str">
            <v>1103</v>
          </cell>
          <cell r="I608" t="str">
            <v>CF04808</v>
          </cell>
          <cell r="J608" t="str">
            <v>27ZA</v>
          </cell>
          <cell r="K608" t="str">
            <v>2</v>
          </cell>
          <cell r="L608">
            <v>8</v>
          </cell>
          <cell r="M608">
            <v>0</v>
          </cell>
          <cell r="N608">
            <v>2982.9</v>
          </cell>
          <cell r="O608" t="str">
            <v>M</v>
          </cell>
          <cell r="P608" t="str">
            <v>00000000</v>
          </cell>
          <cell r="Q608">
            <v>579.4</v>
          </cell>
          <cell r="R608">
            <v>430.86</v>
          </cell>
          <cell r="S608">
            <v>82.86</v>
          </cell>
          <cell r="T608">
            <v>380.32</v>
          </cell>
          <cell r="U608">
            <v>149.15</v>
          </cell>
          <cell r="V608">
            <v>64.12</v>
          </cell>
          <cell r="W608">
            <v>59.66</v>
          </cell>
          <cell r="X608">
            <v>18.38</v>
          </cell>
          <cell r="Y608">
            <v>0</v>
          </cell>
          <cell r="Z608">
            <v>86.95</v>
          </cell>
          <cell r="AA608">
            <v>77</v>
          </cell>
          <cell r="AB608">
            <v>96</v>
          </cell>
          <cell r="AC608">
            <v>80</v>
          </cell>
          <cell r="AD608">
            <v>13.49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Y608">
            <v>489704.64</v>
          </cell>
        </row>
        <row r="609">
          <cell r="A609">
            <v>2</v>
          </cell>
          <cell r="B609" t="str">
            <v>12</v>
          </cell>
          <cell r="C609" t="str">
            <v>000</v>
          </cell>
          <cell r="D609" t="str">
            <v>1</v>
          </cell>
          <cell r="E609" t="str">
            <v>201</v>
          </cell>
          <cell r="F609" t="str">
            <v>N000</v>
          </cell>
          <cell r="G609" t="str">
            <v>311</v>
          </cell>
          <cell r="H609" t="str">
            <v>1103</v>
          </cell>
          <cell r="I609" t="str">
            <v>CF21858</v>
          </cell>
          <cell r="J609" t="str">
            <v>27ZA</v>
          </cell>
          <cell r="K609" t="str">
            <v>2</v>
          </cell>
          <cell r="L609">
            <v>1</v>
          </cell>
          <cell r="M609">
            <v>0</v>
          </cell>
          <cell r="N609">
            <v>2982.9</v>
          </cell>
          <cell r="O609" t="str">
            <v>M</v>
          </cell>
          <cell r="P609" t="str">
            <v>00000000</v>
          </cell>
          <cell r="Q609">
            <v>579.4</v>
          </cell>
          <cell r="R609">
            <v>430.86</v>
          </cell>
          <cell r="S609">
            <v>82.86</v>
          </cell>
          <cell r="T609">
            <v>380.32</v>
          </cell>
          <cell r="U609">
            <v>149.15</v>
          </cell>
          <cell r="V609">
            <v>64.12</v>
          </cell>
          <cell r="W609">
            <v>59.66</v>
          </cell>
          <cell r="X609">
            <v>0</v>
          </cell>
          <cell r="Y609">
            <v>0</v>
          </cell>
          <cell r="Z609">
            <v>86.58</v>
          </cell>
          <cell r="AA609">
            <v>77</v>
          </cell>
          <cell r="AB609">
            <v>96</v>
          </cell>
          <cell r="AC609">
            <v>80</v>
          </cell>
          <cell r="AD609">
            <v>13.49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Y609">
            <v>60988.08</v>
          </cell>
        </row>
        <row r="610">
          <cell r="A610">
            <v>2</v>
          </cell>
          <cell r="B610" t="str">
            <v>12</v>
          </cell>
          <cell r="C610" t="str">
            <v>000</v>
          </cell>
          <cell r="D610" t="str">
            <v>1</v>
          </cell>
          <cell r="E610" t="str">
            <v>201</v>
          </cell>
          <cell r="F610" t="str">
            <v>N000</v>
          </cell>
          <cell r="G610" t="str">
            <v>311</v>
          </cell>
          <cell r="H610" t="str">
            <v>1103</v>
          </cell>
          <cell r="I610" t="str">
            <v>CF21859</v>
          </cell>
          <cell r="J610" t="str">
            <v>27ZB</v>
          </cell>
          <cell r="K610" t="str">
            <v>2</v>
          </cell>
          <cell r="L610">
            <v>5</v>
          </cell>
          <cell r="M610">
            <v>0</v>
          </cell>
          <cell r="N610">
            <v>3008.65</v>
          </cell>
          <cell r="O610" t="str">
            <v>M</v>
          </cell>
          <cell r="P610" t="str">
            <v>00000000</v>
          </cell>
          <cell r="Q610">
            <v>857</v>
          </cell>
          <cell r="R610">
            <v>434.58</v>
          </cell>
          <cell r="S610">
            <v>83.57</v>
          </cell>
          <cell r="T610">
            <v>383.6</v>
          </cell>
          <cell r="U610">
            <v>150.43</v>
          </cell>
          <cell r="V610">
            <v>69.59</v>
          </cell>
          <cell r="W610">
            <v>60.17</v>
          </cell>
          <cell r="X610">
            <v>92.8</v>
          </cell>
          <cell r="Y610">
            <v>0</v>
          </cell>
          <cell r="Z610">
            <v>94.59</v>
          </cell>
          <cell r="AA610">
            <v>77</v>
          </cell>
          <cell r="AB610">
            <v>96</v>
          </cell>
          <cell r="AC610">
            <v>80</v>
          </cell>
          <cell r="AD610">
            <v>13.49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Y610">
            <v>330088.2</v>
          </cell>
        </row>
        <row r="611">
          <cell r="A611">
            <v>2</v>
          </cell>
          <cell r="B611" t="str">
            <v>12</v>
          </cell>
          <cell r="C611" t="str">
            <v>000</v>
          </cell>
          <cell r="D611" t="str">
            <v>1</v>
          </cell>
          <cell r="E611" t="str">
            <v>201</v>
          </cell>
          <cell r="F611" t="str">
            <v>N000</v>
          </cell>
          <cell r="G611" t="str">
            <v>311</v>
          </cell>
          <cell r="H611" t="str">
            <v>1103</v>
          </cell>
          <cell r="I611" t="str">
            <v>CF21864</v>
          </cell>
          <cell r="J611" t="str">
            <v>27C</v>
          </cell>
          <cell r="K611" t="str">
            <v>1</v>
          </cell>
          <cell r="L611">
            <v>8</v>
          </cell>
          <cell r="M611">
            <v>0</v>
          </cell>
          <cell r="N611">
            <v>3268.2</v>
          </cell>
          <cell r="O611" t="str">
            <v>M</v>
          </cell>
          <cell r="P611" t="str">
            <v>00000000</v>
          </cell>
          <cell r="Q611">
            <v>4783.05</v>
          </cell>
          <cell r="R611">
            <v>472.07</v>
          </cell>
          <cell r="S611">
            <v>90.78</v>
          </cell>
          <cell r="T611">
            <v>416.7</v>
          </cell>
          <cell r="U611">
            <v>163.41</v>
          </cell>
          <cell r="V611">
            <v>144.91999999999999</v>
          </cell>
          <cell r="W611">
            <v>65.36</v>
          </cell>
          <cell r="X611">
            <v>48</v>
          </cell>
          <cell r="Y611">
            <v>0</v>
          </cell>
          <cell r="Z611">
            <v>174.78</v>
          </cell>
          <cell r="AA611">
            <v>77</v>
          </cell>
          <cell r="AB611">
            <v>0</v>
          </cell>
          <cell r="AC611">
            <v>0</v>
          </cell>
          <cell r="AD611">
            <v>13.49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Y611">
            <v>932904.95999999996</v>
          </cell>
        </row>
        <row r="612">
          <cell r="A612">
            <v>2</v>
          </cell>
          <cell r="B612" t="str">
            <v>12</v>
          </cell>
          <cell r="C612" t="str">
            <v>000</v>
          </cell>
          <cell r="D612" t="str">
            <v>1</v>
          </cell>
          <cell r="E612" t="str">
            <v>201</v>
          </cell>
          <cell r="F612" t="str">
            <v>N000</v>
          </cell>
          <cell r="G612" t="str">
            <v>311</v>
          </cell>
          <cell r="H612" t="str">
            <v>1103</v>
          </cell>
          <cell r="I612" t="str">
            <v>CF21865</v>
          </cell>
          <cell r="J612" t="str">
            <v>27B</v>
          </cell>
          <cell r="K612" t="str">
            <v>1</v>
          </cell>
          <cell r="L612">
            <v>1</v>
          </cell>
          <cell r="M612">
            <v>0</v>
          </cell>
          <cell r="N612">
            <v>3222.2</v>
          </cell>
          <cell r="O612" t="str">
            <v>M</v>
          </cell>
          <cell r="P612" t="str">
            <v>00000000</v>
          </cell>
          <cell r="Q612">
            <v>3558.85</v>
          </cell>
          <cell r="R612">
            <v>465.43</v>
          </cell>
          <cell r="S612">
            <v>89.51</v>
          </cell>
          <cell r="T612">
            <v>410.83</v>
          </cell>
          <cell r="U612">
            <v>161.11000000000001</v>
          </cell>
          <cell r="V612">
            <v>122.06</v>
          </cell>
          <cell r="W612">
            <v>64.44</v>
          </cell>
          <cell r="X612">
            <v>0</v>
          </cell>
          <cell r="Y612">
            <v>0</v>
          </cell>
          <cell r="Z612">
            <v>148.26</v>
          </cell>
          <cell r="AA612">
            <v>77</v>
          </cell>
          <cell r="AB612">
            <v>0</v>
          </cell>
          <cell r="AC612">
            <v>0</v>
          </cell>
          <cell r="AD612">
            <v>13.49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Y612">
            <v>99998.16</v>
          </cell>
        </row>
        <row r="613">
          <cell r="A613">
            <v>2</v>
          </cell>
          <cell r="B613" t="str">
            <v>12</v>
          </cell>
          <cell r="C613" t="str">
            <v>000</v>
          </cell>
          <cell r="D613" t="str">
            <v>1</v>
          </cell>
          <cell r="E613" t="str">
            <v>201</v>
          </cell>
          <cell r="F613" t="str">
            <v>N000</v>
          </cell>
          <cell r="G613" t="str">
            <v>311</v>
          </cell>
          <cell r="H613" t="str">
            <v>1103</v>
          </cell>
          <cell r="I613" t="str">
            <v>CF21866</v>
          </cell>
          <cell r="J613" t="str">
            <v>27A</v>
          </cell>
          <cell r="K613" t="str">
            <v>1</v>
          </cell>
          <cell r="L613">
            <v>6</v>
          </cell>
          <cell r="M613">
            <v>0</v>
          </cell>
          <cell r="N613">
            <v>3185.4</v>
          </cell>
          <cell r="O613" t="str">
            <v>M</v>
          </cell>
          <cell r="P613" t="str">
            <v>00000000</v>
          </cell>
          <cell r="Q613">
            <v>2791.7</v>
          </cell>
          <cell r="R613">
            <v>460.11</v>
          </cell>
          <cell r="S613">
            <v>88.48</v>
          </cell>
          <cell r="T613">
            <v>406.14</v>
          </cell>
          <cell r="U613">
            <v>159.27000000000001</v>
          </cell>
          <cell r="V613">
            <v>107.59</v>
          </cell>
          <cell r="W613">
            <v>63.71</v>
          </cell>
          <cell r="X613">
            <v>26</v>
          </cell>
          <cell r="Y613">
            <v>0</v>
          </cell>
          <cell r="Z613">
            <v>132.57</v>
          </cell>
          <cell r="AA613">
            <v>77</v>
          </cell>
          <cell r="AB613">
            <v>0</v>
          </cell>
          <cell r="AC613">
            <v>0</v>
          </cell>
          <cell r="AD613">
            <v>13.49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Y613">
            <v>540825.12</v>
          </cell>
        </row>
        <row r="614">
          <cell r="A614">
            <v>2</v>
          </cell>
          <cell r="B614" t="str">
            <v>12</v>
          </cell>
          <cell r="C614" t="str">
            <v>000</v>
          </cell>
          <cell r="D614" t="str">
            <v>1</v>
          </cell>
          <cell r="E614" t="str">
            <v>201</v>
          </cell>
          <cell r="F614" t="str">
            <v>N000</v>
          </cell>
          <cell r="G614" t="str">
            <v>311</v>
          </cell>
          <cell r="H614" t="str">
            <v>1103</v>
          </cell>
          <cell r="I614" t="str">
            <v>CF33834</v>
          </cell>
          <cell r="J614" t="str">
            <v>27</v>
          </cell>
          <cell r="K614" t="str">
            <v>2</v>
          </cell>
          <cell r="L614">
            <v>4</v>
          </cell>
          <cell r="M614">
            <v>0</v>
          </cell>
          <cell r="N614">
            <v>2817.8</v>
          </cell>
          <cell r="O614" t="str">
            <v>M</v>
          </cell>
          <cell r="P614" t="str">
            <v>00000000</v>
          </cell>
          <cell r="Q614">
            <v>0</v>
          </cell>
          <cell r="R614">
            <v>407.02</v>
          </cell>
          <cell r="S614">
            <v>78.27</v>
          </cell>
          <cell r="T614">
            <v>359.27</v>
          </cell>
          <cell r="U614">
            <v>140.88999999999999</v>
          </cell>
          <cell r="V614">
            <v>50.72</v>
          </cell>
          <cell r="W614">
            <v>56.36</v>
          </cell>
          <cell r="X614">
            <v>64</v>
          </cell>
          <cell r="Y614">
            <v>0</v>
          </cell>
          <cell r="Z614">
            <v>72.400000000000006</v>
          </cell>
          <cell r="AA614">
            <v>77</v>
          </cell>
          <cell r="AB614">
            <v>96</v>
          </cell>
          <cell r="AC614">
            <v>80</v>
          </cell>
          <cell r="AD614">
            <v>13.49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Y614">
            <v>207034.56</v>
          </cell>
        </row>
        <row r="615">
          <cell r="A615">
            <v>2</v>
          </cell>
          <cell r="B615" t="str">
            <v>12</v>
          </cell>
          <cell r="C615" t="str">
            <v>000</v>
          </cell>
          <cell r="D615" t="str">
            <v>1</v>
          </cell>
          <cell r="E615" t="str">
            <v>201</v>
          </cell>
          <cell r="F615" t="str">
            <v>N000</v>
          </cell>
          <cell r="G615" t="str">
            <v>311</v>
          </cell>
          <cell r="H615" t="str">
            <v>1103</v>
          </cell>
          <cell r="I615" t="str">
            <v>CF33892</v>
          </cell>
          <cell r="J615" t="str">
            <v>27ZA</v>
          </cell>
          <cell r="K615" t="str">
            <v>2</v>
          </cell>
          <cell r="L615">
            <v>49</v>
          </cell>
          <cell r="M615">
            <v>0</v>
          </cell>
          <cell r="N615">
            <v>2982.9</v>
          </cell>
          <cell r="O615" t="str">
            <v>M</v>
          </cell>
          <cell r="P615" t="str">
            <v>00000000</v>
          </cell>
          <cell r="Q615">
            <v>579.4</v>
          </cell>
          <cell r="R615">
            <v>430.86</v>
          </cell>
          <cell r="S615">
            <v>82.86</v>
          </cell>
          <cell r="T615">
            <v>380.32</v>
          </cell>
          <cell r="U615">
            <v>149.15</v>
          </cell>
          <cell r="V615">
            <v>64.12</v>
          </cell>
          <cell r="W615">
            <v>59.66</v>
          </cell>
          <cell r="X615">
            <v>66.92</v>
          </cell>
          <cell r="Y615">
            <v>0</v>
          </cell>
          <cell r="Z615">
            <v>87.92</v>
          </cell>
          <cell r="AA615">
            <v>77</v>
          </cell>
          <cell r="AB615">
            <v>96</v>
          </cell>
          <cell r="AC615">
            <v>80</v>
          </cell>
          <cell r="AD615">
            <v>13.49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Y615">
            <v>3028552.8</v>
          </cell>
        </row>
        <row r="616">
          <cell r="A616">
            <v>2</v>
          </cell>
          <cell r="B616" t="str">
            <v>12</v>
          </cell>
          <cell r="C616" t="str">
            <v>000</v>
          </cell>
          <cell r="D616" t="str">
            <v>1</v>
          </cell>
          <cell r="E616" t="str">
            <v>201</v>
          </cell>
          <cell r="F616" t="str">
            <v>N000</v>
          </cell>
          <cell r="G616" t="str">
            <v>311</v>
          </cell>
          <cell r="H616" t="str">
            <v>1103</v>
          </cell>
          <cell r="I616" t="str">
            <v>CF41040</v>
          </cell>
          <cell r="K616" t="str">
            <v>2</v>
          </cell>
          <cell r="L616">
            <v>1</v>
          </cell>
          <cell r="M616">
            <v>0</v>
          </cell>
          <cell r="N616">
            <v>7482</v>
          </cell>
          <cell r="O616" t="str">
            <v>M</v>
          </cell>
          <cell r="P616" t="str">
            <v>00000000</v>
          </cell>
          <cell r="Q616">
            <v>0</v>
          </cell>
          <cell r="R616">
            <v>1080.73</v>
          </cell>
          <cell r="S616">
            <v>207.83</v>
          </cell>
          <cell r="T616">
            <v>953.96</v>
          </cell>
          <cell r="U616">
            <v>374.1</v>
          </cell>
          <cell r="V616">
            <v>134.68</v>
          </cell>
          <cell r="W616">
            <v>149.63999999999999</v>
          </cell>
          <cell r="X616">
            <v>82</v>
          </cell>
          <cell r="Y616">
            <v>0</v>
          </cell>
          <cell r="Z616">
            <v>290.86</v>
          </cell>
          <cell r="AA616">
            <v>77</v>
          </cell>
          <cell r="AB616">
            <v>96</v>
          </cell>
          <cell r="AC616">
            <v>80</v>
          </cell>
          <cell r="AD616">
            <v>13.49</v>
          </cell>
          <cell r="AE616">
            <v>6.24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5431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Y616">
            <v>197514.36</v>
          </cell>
        </row>
        <row r="617">
          <cell r="A617">
            <v>2</v>
          </cell>
          <cell r="B617" t="str">
            <v>12</v>
          </cell>
          <cell r="C617" t="str">
            <v>000</v>
          </cell>
          <cell r="D617" t="str">
            <v>1</v>
          </cell>
          <cell r="E617" t="str">
            <v>702</v>
          </cell>
          <cell r="F617" t="str">
            <v>N000</v>
          </cell>
          <cell r="G617" t="str">
            <v>312</v>
          </cell>
          <cell r="H617" t="str">
            <v>1103</v>
          </cell>
          <cell r="I617" t="str">
            <v>A01803</v>
          </cell>
          <cell r="J617" t="str">
            <v>19</v>
          </cell>
          <cell r="K617" t="str">
            <v>2</v>
          </cell>
          <cell r="L617">
            <v>7</v>
          </cell>
          <cell r="M617">
            <v>0</v>
          </cell>
          <cell r="N617">
            <v>2120.3000000000002</v>
          </cell>
          <cell r="O617" t="str">
            <v>M</v>
          </cell>
          <cell r="P617" t="str">
            <v>00000000</v>
          </cell>
          <cell r="Q617">
            <v>0</v>
          </cell>
          <cell r="R617">
            <v>306.27</v>
          </cell>
          <cell r="S617">
            <v>58.9</v>
          </cell>
          <cell r="T617">
            <v>270.33999999999997</v>
          </cell>
          <cell r="U617">
            <v>106.02</v>
          </cell>
          <cell r="V617">
            <v>38.17</v>
          </cell>
          <cell r="W617">
            <v>42.41</v>
          </cell>
          <cell r="X617">
            <v>55</v>
          </cell>
          <cell r="Y617">
            <v>0</v>
          </cell>
          <cell r="Z617">
            <v>55.87</v>
          </cell>
          <cell r="AA617">
            <v>77</v>
          </cell>
          <cell r="AB617">
            <v>96</v>
          </cell>
          <cell r="AC617">
            <v>80</v>
          </cell>
          <cell r="AD617">
            <v>13.49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Y617">
            <v>278860.68</v>
          </cell>
        </row>
        <row r="618">
          <cell r="A618">
            <v>2</v>
          </cell>
          <cell r="B618" t="str">
            <v>12</v>
          </cell>
          <cell r="C618" t="str">
            <v>000</v>
          </cell>
          <cell r="D618" t="str">
            <v>1</v>
          </cell>
          <cell r="E618" t="str">
            <v>702</v>
          </cell>
          <cell r="F618" t="str">
            <v>N000</v>
          </cell>
          <cell r="G618" t="str">
            <v>312</v>
          </cell>
          <cell r="H618" t="str">
            <v>1103</v>
          </cell>
          <cell r="I618" t="str">
            <v>A01805</v>
          </cell>
          <cell r="J618" t="str">
            <v>21</v>
          </cell>
          <cell r="K618" t="str">
            <v>2</v>
          </cell>
          <cell r="L618">
            <v>9</v>
          </cell>
          <cell r="M618">
            <v>0</v>
          </cell>
          <cell r="N618">
            <v>2238.1999999999998</v>
          </cell>
          <cell r="O618" t="str">
            <v>M</v>
          </cell>
          <cell r="P618" t="str">
            <v>00000000</v>
          </cell>
          <cell r="Q618">
            <v>0</v>
          </cell>
          <cell r="R618">
            <v>323.3</v>
          </cell>
          <cell r="S618">
            <v>62.17</v>
          </cell>
          <cell r="T618">
            <v>285.37</v>
          </cell>
          <cell r="U618">
            <v>111.91</v>
          </cell>
          <cell r="V618">
            <v>40.29</v>
          </cell>
          <cell r="W618">
            <v>44.76</v>
          </cell>
          <cell r="X618">
            <v>30.56</v>
          </cell>
          <cell r="Y618">
            <v>0</v>
          </cell>
          <cell r="Z618">
            <v>58.14</v>
          </cell>
          <cell r="AA618">
            <v>77</v>
          </cell>
          <cell r="AB618">
            <v>96</v>
          </cell>
          <cell r="AC618">
            <v>80</v>
          </cell>
          <cell r="AD618">
            <v>13.49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Y618">
            <v>373808.52</v>
          </cell>
        </row>
        <row r="619">
          <cell r="A619">
            <v>2</v>
          </cell>
          <cell r="B619" t="str">
            <v>12</v>
          </cell>
          <cell r="C619" t="str">
            <v>000</v>
          </cell>
          <cell r="D619" t="str">
            <v>1</v>
          </cell>
          <cell r="E619" t="str">
            <v>702</v>
          </cell>
          <cell r="F619" t="str">
            <v>N000</v>
          </cell>
          <cell r="G619" t="str">
            <v>312</v>
          </cell>
          <cell r="H619" t="str">
            <v>1103</v>
          </cell>
          <cell r="I619" t="str">
            <v>A01806</v>
          </cell>
          <cell r="J619" t="str">
            <v>25</v>
          </cell>
          <cell r="K619" t="str">
            <v>2</v>
          </cell>
          <cell r="L619">
            <v>4</v>
          </cell>
          <cell r="M619">
            <v>0</v>
          </cell>
          <cell r="N619">
            <v>2572.4</v>
          </cell>
          <cell r="O619" t="str">
            <v>M</v>
          </cell>
          <cell r="P619" t="str">
            <v>00000000</v>
          </cell>
          <cell r="Q619">
            <v>0</v>
          </cell>
          <cell r="R619">
            <v>371.57</v>
          </cell>
          <cell r="S619">
            <v>71.459999999999994</v>
          </cell>
          <cell r="T619">
            <v>327.98</v>
          </cell>
          <cell r="U619">
            <v>128.62</v>
          </cell>
          <cell r="V619">
            <v>46.3</v>
          </cell>
          <cell r="W619">
            <v>51.45</v>
          </cell>
          <cell r="X619">
            <v>68.5</v>
          </cell>
          <cell r="Y619">
            <v>0</v>
          </cell>
          <cell r="Z619">
            <v>66.739999999999995</v>
          </cell>
          <cell r="AA619">
            <v>77</v>
          </cell>
          <cell r="AB619">
            <v>96</v>
          </cell>
          <cell r="AC619">
            <v>80</v>
          </cell>
          <cell r="AD619">
            <v>13.49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Y619">
            <v>190632.48</v>
          </cell>
        </row>
        <row r="620">
          <cell r="A620">
            <v>2</v>
          </cell>
          <cell r="B620" t="str">
            <v>12</v>
          </cell>
          <cell r="C620" t="str">
            <v>000</v>
          </cell>
          <cell r="D620" t="str">
            <v>1</v>
          </cell>
          <cell r="E620" t="str">
            <v>702</v>
          </cell>
          <cell r="F620" t="str">
            <v>N000</v>
          </cell>
          <cell r="G620" t="str">
            <v>312</v>
          </cell>
          <cell r="H620" t="str">
            <v>1103</v>
          </cell>
          <cell r="I620" t="str">
            <v>A01807</v>
          </cell>
          <cell r="J620" t="str">
            <v>27</v>
          </cell>
          <cell r="K620" t="str">
            <v>2</v>
          </cell>
          <cell r="L620">
            <v>9</v>
          </cell>
          <cell r="M620">
            <v>0</v>
          </cell>
          <cell r="N620">
            <v>2817.8</v>
          </cell>
          <cell r="O620" t="str">
            <v>M</v>
          </cell>
          <cell r="P620" t="str">
            <v>00000000</v>
          </cell>
          <cell r="Q620">
            <v>0</v>
          </cell>
          <cell r="R620">
            <v>407.02</v>
          </cell>
          <cell r="S620">
            <v>78.27</v>
          </cell>
          <cell r="T620">
            <v>359.27</v>
          </cell>
          <cell r="U620">
            <v>140.88999999999999</v>
          </cell>
          <cell r="V620">
            <v>50.72</v>
          </cell>
          <cell r="W620">
            <v>56.36</v>
          </cell>
          <cell r="X620">
            <v>66.89</v>
          </cell>
          <cell r="Y620">
            <v>0</v>
          </cell>
          <cell r="Z620">
            <v>72.459999999999994</v>
          </cell>
          <cell r="AA620">
            <v>77</v>
          </cell>
          <cell r="AB620">
            <v>96</v>
          </cell>
          <cell r="AC620">
            <v>80</v>
          </cell>
          <cell r="AD620">
            <v>13.49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Y620">
            <v>466146.36</v>
          </cell>
        </row>
        <row r="621">
          <cell r="A621">
            <v>2</v>
          </cell>
          <cell r="B621" t="str">
            <v>12</v>
          </cell>
          <cell r="C621" t="str">
            <v>000</v>
          </cell>
          <cell r="D621" t="str">
            <v>1</v>
          </cell>
          <cell r="E621" t="str">
            <v>702</v>
          </cell>
          <cell r="F621" t="str">
            <v>N000</v>
          </cell>
          <cell r="G621" t="str">
            <v>312</v>
          </cell>
          <cell r="H621" t="str">
            <v>1103</v>
          </cell>
          <cell r="I621" t="str">
            <v>A03803</v>
          </cell>
          <cell r="J621" t="str">
            <v>20</v>
          </cell>
          <cell r="K621" t="str">
            <v>2</v>
          </cell>
          <cell r="L621">
            <v>1</v>
          </cell>
          <cell r="M621">
            <v>0</v>
          </cell>
          <cell r="N621">
            <v>2138.85</v>
          </cell>
          <cell r="O621" t="str">
            <v>M</v>
          </cell>
          <cell r="P621" t="str">
            <v>00000000</v>
          </cell>
          <cell r="Q621">
            <v>0</v>
          </cell>
          <cell r="R621">
            <v>308.94</v>
          </cell>
          <cell r="S621">
            <v>59.41</v>
          </cell>
          <cell r="T621">
            <v>272.7</v>
          </cell>
          <cell r="U621">
            <v>106.94</v>
          </cell>
          <cell r="V621">
            <v>38.5</v>
          </cell>
          <cell r="W621">
            <v>42.78</v>
          </cell>
          <cell r="X621">
            <v>0</v>
          </cell>
          <cell r="Y621">
            <v>0</v>
          </cell>
          <cell r="Z621">
            <v>55.2</v>
          </cell>
          <cell r="AA621">
            <v>77</v>
          </cell>
          <cell r="AB621">
            <v>96</v>
          </cell>
          <cell r="AC621">
            <v>80</v>
          </cell>
          <cell r="AD621">
            <v>13.49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Y621">
            <v>39477.72</v>
          </cell>
        </row>
        <row r="622">
          <cell r="A622">
            <v>2</v>
          </cell>
          <cell r="B622" t="str">
            <v>12</v>
          </cell>
          <cell r="C622" t="str">
            <v>000</v>
          </cell>
          <cell r="D622" t="str">
            <v>1</v>
          </cell>
          <cell r="E622" t="str">
            <v>702</v>
          </cell>
          <cell r="F622" t="str">
            <v>N000</v>
          </cell>
          <cell r="G622" t="str">
            <v>312</v>
          </cell>
          <cell r="H622" t="str">
            <v>1103</v>
          </cell>
          <cell r="I622" t="str">
            <v>A03804</v>
          </cell>
          <cell r="J622" t="str">
            <v>23</v>
          </cell>
          <cell r="K622" t="str">
            <v>2</v>
          </cell>
          <cell r="L622">
            <v>3</v>
          </cell>
          <cell r="M622">
            <v>0</v>
          </cell>
          <cell r="N622">
            <v>2451.25</v>
          </cell>
          <cell r="O622" t="str">
            <v>M</v>
          </cell>
          <cell r="P622" t="str">
            <v>00000000</v>
          </cell>
          <cell r="Q622">
            <v>0</v>
          </cell>
          <cell r="R622">
            <v>354.07</v>
          </cell>
          <cell r="S622">
            <v>68.09</v>
          </cell>
          <cell r="T622">
            <v>312.52999999999997</v>
          </cell>
          <cell r="U622">
            <v>122.56</v>
          </cell>
          <cell r="V622">
            <v>44.12</v>
          </cell>
          <cell r="W622">
            <v>49.02</v>
          </cell>
          <cell r="X622">
            <v>52</v>
          </cell>
          <cell r="Y622">
            <v>0</v>
          </cell>
          <cell r="Z622">
            <v>63.57</v>
          </cell>
          <cell r="AA622">
            <v>77</v>
          </cell>
          <cell r="AB622">
            <v>96</v>
          </cell>
          <cell r="AC622">
            <v>80</v>
          </cell>
          <cell r="AD622">
            <v>13.49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Y622">
            <v>136213.20000000001</v>
          </cell>
        </row>
        <row r="623">
          <cell r="A623">
            <v>2</v>
          </cell>
          <cell r="B623" t="str">
            <v>12</v>
          </cell>
          <cell r="C623" t="str">
            <v>000</v>
          </cell>
          <cell r="D623" t="str">
            <v>1</v>
          </cell>
          <cell r="E623" t="str">
            <v>702</v>
          </cell>
          <cell r="F623" t="str">
            <v>N000</v>
          </cell>
          <cell r="G623" t="str">
            <v>312</v>
          </cell>
          <cell r="H623" t="str">
            <v>1103</v>
          </cell>
          <cell r="I623" t="str">
            <v>CFMC03</v>
          </cell>
          <cell r="J623" t="str">
            <v>MC03</v>
          </cell>
          <cell r="K623" t="str">
            <v>1</v>
          </cell>
          <cell r="L623">
            <v>7</v>
          </cell>
          <cell r="M623">
            <v>0</v>
          </cell>
          <cell r="N623">
            <v>4311.3999999999996</v>
          </cell>
          <cell r="O623" t="str">
            <v>M</v>
          </cell>
          <cell r="P623" t="str">
            <v>00000000</v>
          </cell>
          <cell r="Q623">
            <v>11306.9</v>
          </cell>
          <cell r="R623">
            <v>622.76</v>
          </cell>
          <cell r="S623">
            <v>119.76</v>
          </cell>
          <cell r="T623">
            <v>549.70000000000005</v>
          </cell>
          <cell r="U623">
            <v>215.57</v>
          </cell>
          <cell r="V623">
            <v>281.13</v>
          </cell>
          <cell r="W623">
            <v>86.23</v>
          </cell>
          <cell r="X623">
            <v>30</v>
          </cell>
          <cell r="Y623">
            <v>780.91</v>
          </cell>
          <cell r="Z623">
            <v>329.36</v>
          </cell>
          <cell r="AA623">
            <v>77</v>
          </cell>
          <cell r="AB623">
            <v>0</v>
          </cell>
          <cell r="AC623">
            <v>0</v>
          </cell>
          <cell r="AD623">
            <v>13.49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Y623">
            <v>1572833.64</v>
          </cell>
        </row>
        <row r="624">
          <cell r="A624">
            <v>2</v>
          </cell>
          <cell r="B624" t="str">
            <v>12</v>
          </cell>
          <cell r="C624" t="str">
            <v>000</v>
          </cell>
          <cell r="D624" t="str">
            <v>1</v>
          </cell>
          <cell r="E624" t="str">
            <v>702</v>
          </cell>
          <cell r="F624" t="str">
            <v>N000</v>
          </cell>
          <cell r="G624" t="str">
            <v>312</v>
          </cell>
          <cell r="H624" t="str">
            <v>1103</v>
          </cell>
          <cell r="I624" t="str">
            <v>CFMD09</v>
          </cell>
          <cell r="J624" t="str">
            <v>MD09</v>
          </cell>
          <cell r="K624" t="str">
            <v>1</v>
          </cell>
          <cell r="L624">
            <v>1</v>
          </cell>
          <cell r="M624">
            <v>0</v>
          </cell>
          <cell r="N624">
            <v>14852.65</v>
          </cell>
          <cell r="O624" t="str">
            <v>M</v>
          </cell>
          <cell r="P624" t="str">
            <v>00000000</v>
          </cell>
          <cell r="Q624">
            <v>100991.65</v>
          </cell>
          <cell r="R624">
            <v>2145.38</v>
          </cell>
          <cell r="S624">
            <v>412.57</v>
          </cell>
          <cell r="T624">
            <v>1893.71</v>
          </cell>
          <cell r="U624">
            <v>742.63</v>
          </cell>
          <cell r="V624">
            <v>2085.1999999999998</v>
          </cell>
          <cell r="W624">
            <v>297.05</v>
          </cell>
          <cell r="X624">
            <v>55</v>
          </cell>
          <cell r="Y624">
            <v>5792.22</v>
          </cell>
          <cell r="Z624">
            <v>2370.6799999999998</v>
          </cell>
          <cell r="AA624">
            <v>77</v>
          </cell>
          <cell r="AB624">
            <v>0</v>
          </cell>
          <cell r="AC624">
            <v>0</v>
          </cell>
          <cell r="AD624">
            <v>13.49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Y624">
            <v>1580750.76</v>
          </cell>
        </row>
        <row r="625">
          <cell r="A625">
            <v>2</v>
          </cell>
          <cell r="B625" t="str">
            <v>12</v>
          </cell>
          <cell r="C625" t="str">
            <v>000</v>
          </cell>
          <cell r="D625" t="str">
            <v>1</v>
          </cell>
          <cell r="E625" t="str">
            <v>702</v>
          </cell>
          <cell r="F625" t="str">
            <v>N000</v>
          </cell>
          <cell r="G625" t="str">
            <v>312</v>
          </cell>
          <cell r="H625" t="str">
            <v>1103</v>
          </cell>
          <cell r="I625" t="str">
            <v>CFMG06</v>
          </cell>
          <cell r="J625" t="str">
            <v>MG06</v>
          </cell>
          <cell r="K625" t="str">
            <v>1</v>
          </cell>
          <cell r="L625">
            <v>3</v>
          </cell>
          <cell r="M625">
            <v>0</v>
          </cell>
          <cell r="N625">
            <v>8232.25</v>
          </cell>
          <cell r="O625" t="str">
            <v>M</v>
          </cell>
          <cell r="P625" t="str">
            <v>00000000</v>
          </cell>
          <cell r="Q625">
            <v>38872.050000000003</v>
          </cell>
          <cell r="R625">
            <v>1189.0999999999999</v>
          </cell>
          <cell r="S625">
            <v>228.67</v>
          </cell>
          <cell r="T625">
            <v>1049.6099999999999</v>
          </cell>
          <cell r="U625">
            <v>411.61</v>
          </cell>
          <cell r="V625">
            <v>847.88</v>
          </cell>
          <cell r="W625">
            <v>164.65</v>
          </cell>
          <cell r="X625">
            <v>52</v>
          </cell>
          <cell r="Y625">
            <v>2355.2199999999998</v>
          </cell>
          <cell r="Z625">
            <v>973.02</v>
          </cell>
          <cell r="AA625">
            <v>77</v>
          </cell>
          <cell r="AB625">
            <v>0</v>
          </cell>
          <cell r="AC625">
            <v>0</v>
          </cell>
          <cell r="AD625">
            <v>13.49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Y625">
            <v>1960795.8</v>
          </cell>
        </row>
        <row r="626">
          <cell r="A626">
            <v>2</v>
          </cell>
          <cell r="B626" t="str">
            <v>12</v>
          </cell>
          <cell r="C626" t="str">
            <v>000</v>
          </cell>
          <cell r="D626" t="str">
            <v>1</v>
          </cell>
          <cell r="E626" t="str">
            <v>702</v>
          </cell>
          <cell r="F626" t="str">
            <v>N000</v>
          </cell>
          <cell r="G626" t="str">
            <v>312</v>
          </cell>
          <cell r="H626" t="str">
            <v>1103</v>
          </cell>
          <cell r="I626" t="str">
            <v>CFMS06</v>
          </cell>
          <cell r="J626" t="str">
            <v>MS06</v>
          </cell>
          <cell r="K626" t="str">
            <v>1</v>
          </cell>
          <cell r="L626">
            <v>1</v>
          </cell>
          <cell r="M626">
            <v>0</v>
          </cell>
          <cell r="N626">
            <v>4801.8999999999996</v>
          </cell>
          <cell r="O626" t="str">
            <v>M</v>
          </cell>
          <cell r="P626" t="str">
            <v>00000000</v>
          </cell>
          <cell r="Q626">
            <v>21723.85</v>
          </cell>
          <cell r="R626">
            <v>693.61</v>
          </cell>
          <cell r="S626">
            <v>133.38999999999999</v>
          </cell>
          <cell r="T626">
            <v>612.24</v>
          </cell>
          <cell r="U626">
            <v>240.09</v>
          </cell>
          <cell r="V626">
            <v>477.46</v>
          </cell>
          <cell r="W626">
            <v>96.04</v>
          </cell>
          <cell r="X626">
            <v>136</v>
          </cell>
          <cell r="Y626">
            <v>1326.29</v>
          </cell>
          <cell r="Z626">
            <v>551.32000000000005</v>
          </cell>
          <cell r="AA626">
            <v>77</v>
          </cell>
          <cell r="AB626">
            <v>0</v>
          </cell>
          <cell r="AC626">
            <v>0</v>
          </cell>
          <cell r="AD626">
            <v>13.49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Y626">
            <v>370592.16</v>
          </cell>
        </row>
        <row r="627">
          <cell r="A627">
            <v>2</v>
          </cell>
          <cell r="B627" t="str">
            <v>12</v>
          </cell>
          <cell r="C627" t="str">
            <v>000</v>
          </cell>
          <cell r="D627" t="str">
            <v>1</v>
          </cell>
          <cell r="E627" t="str">
            <v>702</v>
          </cell>
          <cell r="F627" t="str">
            <v>N000</v>
          </cell>
          <cell r="G627" t="str">
            <v>312</v>
          </cell>
          <cell r="H627" t="str">
            <v>1103</v>
          </cell>
          <cell r="I627" t="str">
            <v>CFMS08</v>
          </cell>
          <cell r="J627" t="str">
            <v>MS08</v>
          </cell>
          <cell r="K627" t="str">
            <v>1</v>
          </cell>
          <cell r="L627">
            <v>9</v>
          </cell>
          <cell r="M627">
            <v>0</v>
          </cell>
          <cell r="N627">
            <v>4801.8999999999996</v>
          </cell>
          <cell r="O627" t="str">
            <v>M</v>
          </cell>
          <cell r="P627" t="str">
            <v>00000000</v>
          </cell>
          <cell r="Q627">
            <v>18269.849999999999</v>
          </cell>
          <cell r="R627">
            <v>693.61</v>
          </cell>
          <cell r="S627">
            <v>133.38999999999999</v>
          </cell>
          <cell r="T627">
            <v>612.24</v>
          </cell>
          <cell r="U627">
            <v>240.09</v>
          </cell>
          <cell r="V627">
            <v>415.29</v>
          </cell>
          <cell r="W627">
            <v>96.04</v>
          </cell>
          <cell r="X627">
            <v>51.67</v>
          </cell>
          <cell r="Y627">
            <v>1153.5899999999999</v>
          </cell>
          <cell r="Z627">
            <v>480.55</v>
          </cell>
          <cell r="AA627">
            <v>77</v>
          </cell>
          <cell r="AB627">
            <v>0</v>
          </cell>
          <cell r="AC627">
            <v>0</v>
          </cell>
          <cell r="AD627">
            <v>13.49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Y627">
            <v>2920180.68</v>
          </cell>
        </row>
        <row r="628">
          <cell r="A628">
            <v>2</v>
          </cell>
          <cell r="B628" t="str">
            <v>12</v>
          </cell>
          <cell r="C628" t="str">
            <v>000</v>
          </cell>
          <cell r="D628" t="str">
            <v>1</v>
          </cell>
          <cell r="E628" t="str">
            <v>702</v>
          </cell>
          <cell r="F628" t="str">
            <v>N000</v>
          </cell>
          <cell r="G628" t="str">
            <v>312</v>
          </cell>
          <cell r="H628" t="str">
            <v>1103</v>
          </cell>
          <cell r="I628" t="str">
            <v>M01006</v>
          </cell>
          <cell r="K628" t="str">
            <v>2</v>
          </cell>
          <cell r="L628">
            <v>1</v>
          </cell>
          <cell r="M628">
            <v>0</v>
          </cell>
          <cell r="N628">
            <v>5300</v>
          </cell>
          <cell r="O628" t="str">
            <v>M</v>
          </cell>
          <cell r="P628" t="str">
            <v>00000000</v>
          </cell>
          <cell r="Q628">
            <v>0</v>
          </cell>
          <cell r="R628">
            <v>765.56</v>
          </cell>
          <cell r="S628">
            <v>147.22</v>
          </cell>
          <cell r="T628">
            <v>675.75</v>
          </cell>
          <cell r="U628">
            <v>265</v>
          </cell>
          <cell r="V628">
            <v>95.4</v>
          </cell>
          <cell r="W628">
            <v>106</v>
          </cell>
          <cell r="X628">
            <v>55</v>
          </cell>
          <cell r="Y628">
            <v>0</v>
          </cell>
          <cell r="Z628">
            <v>239.02</v>
          </cell>
          <cell r="AA628">
            <v>77</v>
          </cell>
          <cell r="AB628">
            <v>96</v>
          </cell>
          <cell r="AC628">
            <v>80</v>
          </cell>
          <cell r="AD628">
            <v>13.49</v>
          </cell>
          <cell r="AE628">
            <v>4.42</v>
          </cell>
          <cell r="AF628">
            <v>0</v>
          </cell>
          <cell r="AG628">
            <v>0</v>
          </cell>
          <cell r="AH628">
            <v>2426</v>
          </cell>
          <cell r="AI628">
            <v>0</v>
          </cell>
          <cell r="AJ628">
            <v>3000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Y628">
            <v>160150.32</v>
          </cell>
        </row>
        <row r="629">
          <cell r="A629">
            <v>2</v>
          </cell>
          <cell r="B629" t="str">
            <v>12</v>
          </cell>
          <cell r="C629" t="str">
            <v>000</v>
          </cell>
          <cell r="D629" t="str">
            <v>1</v>
          </cell>
          <cell r="E629" t="str">
            <v>702</v>
          </cell>
          <cell r="F629" t="str">
            <v>N000</v>
          </cell>
          <cell r="G629" t="str">
            <v>312</v>
          </cell>
          <cell r="H629" t="str">
            <v>1103</v>
          </cell>
          <cell r="I629" t="str">
            <v>M01007</v>
          </cell>
          <cell r="K629" t="str">
            <v>2</v>
          </cell>
          <cell r="L629">
            <v>4</v>
          </cell>
          <cell r="M629">
            <v>0</v>
          </cell>
          <cell r="N629">
            <v>5074</v>
          </cell>
          <cell r="O629" t="str">
            <v>M</v>
          </cell>
          <cell r="P629" t="str">
            <v>00000000</v>
          </cell>
          <cell r="Q629">
            <v>0</v>
          </cell>
          <cell r="R629">
            <v>732.91</v>
          </cell>
          <cell r="S629">
            <v>140.94</v>
          </cell>
          <cell r="T629">
            <v>646.94000000000005</v>
          </cell>
          <cell r="U629">
            <v>253.7</v>
          </cell>
          <cell r="V629">
            <v>91.33</v>
          </cell>
          <cell r="W629">
            <v>101.48</v>
          </cell>
          <cell r="X629">
            <v>48.25</v>
          </cell>
          <cell r="Y629">
            <v>0</v>
          </cell>
          <cell r="Z629">
            <v>207.31</v>
          </cell>
          <cell r="AA629">
            <v>77</v>
          </cell>
          <cell r="AB629">
            <v>96</v>
          </cell>
          <cell r="AC629">
            <v>80</v>
          </cell>
          <cell r="AD629">
            <v>13.49</v>
          </cell>
          <cell r="AE629">
            <v>4.2300000000000004</v>
          </cell>
          <cell r="AF629">
            <v>0</v>
          </cell>
          <cell r="AG629">
            <v>0</v>
          </cell>
          <cell r="AH629">
            <v>2004</v>
          </cell>
          <cell r="AI629">
            <v>0</v>
          </cell>
          <cell r="AJ629">
            <v>2108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Y629">
            <v>560619.84</v>
          </cell>
        </row>
        <row r="630">
          <cell r="A630">
            <v>2</v>
          </cell>
          <cell r="B630" t="str">
            <v>12</v>
          </cell>
          <cell r="C630" t="str">
            <v>000</v>
          </cell>
          <cell r="D630" t="str">
            <v>1</v>
          </cell>
          <cell r="E630" t="str">
            <v>702</v>
          </cell>
          <cell r="F630" t="str">
            <v>N000</v>
          </cell>
          <cell r="G630" t="str">
            <v>312</v>
          </cell>
          <cell r="H630" t="str">
            <v>1103</v>
          </cell>
          <cell r="I630" t="str">
            <v>M02027</v>
          </cell>
          <cell r="K630" t="str">
            <v>2</v>
          </cell>
          <cell r="L630">
            <v>2</v>
          </cell>
          <cell r="M630">
            <v>0</v>
          </cell>
          <cell r="N630">
            <v>4940</v>
          </cell>
          <cell r="O630" t="str">
            <v>M</v>
          </cell>
          <cell r="P630" t="str">
            <v>00000000</v>
          </cell>
          <cell r="Q630">
            <v>0</v>
          </cell>
          <cell r="R630">
            <v>713.56</v>
          </cell>
          <cell r="S630">
            <v>137.22</v>
          </cell>
          <cell r="T630">
            <v>629.85</v>
          </cell>
          <cell r="U630">
            <v>247</v>
          </cell>
          <cell r="V630">
            <v>88.92</v>
          </cell>
          <cell r="W630">
            <v>98.8</v>
          </cell>
          <cell r="X630">
            <v>68.5</v>
          </cell>
          <cell r="Y630">
            <v>0</v>
          </cell>
          <cell r="Z630">
            <v>168.43</v>
          </cell>
          <cell r="AA630">
            <v>77</v>
          </cell>
          <cell r="AB630">
            <v>96</v>
          </cell>
          <cell r="AC630">
            <v>80</v>
          </cell>
          <cell r="AD630">
            <v>13.49</v>
          </cell>
          <cell r="AE630">
            <v>4.12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2305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Y630">
            <v>232029.36</v>
          </cell>
        </row>
        <row r="631">
          <cell r="A631">
            <v>2</v>
          </cell>
          <cell r="B631" t="str">
            <v>12</v>
          </cell>
          <cell r="C631" t="str">
            <v>000</v>
          </cell>
          <cell r="D631" t="str">
            <v>1</v>
          </cell>
          <cell r="E631" t="str">
            <v>702</v>
          </cell>
          <cell r="F631" t="str">
            <v>N000</v>
          </cell>
          <cell r="G631" t="str">
            <v>312</v>
          </cell>
          <cell r="H631" t="str">
            <v>1103</v>
          </cell>
          <cell r="I631" t="str">
            <v>M02028</v>
          </cell>
          <cell r="K631" t="str">
            <v>2</v>
          </cell>
          <cell r="L631">
            <v>1</v>
          </cell>
          <cell r="M631">
            <v>0</v>
          </cell>
          <cell r="N631">
            <v>4811</v>
          </cell>
          <cell r="O631" t="str">
            <v>M</v>
          </cell>
          <cell r="P631" t="str">
            <v>00000000</v>
          </cell>
          <cell r="Q631">
            <v>0</v>
          </cell>
          <cell r="R631">
            <v>694.92</v>
          </cell>
          <cell r="S631">
            <v>133.63999999999999</v>
          </cell>
          <cell r="T631">
            <v>613.4</v>
          </cell>
          <cell r="U631">
            <v>240.55</v>
          </cell>
          <cell r="V631">
            <v>86.6</v>
          </cell>
          <cell r="W631">
            <v>96.22</v>
          </cell>
          <cell r="X631">
            <v>0</v>
          </cell>
          <cell r="Y631">
            <v>0</v>
          </cell>
          <cell r="Z631">
            <v>162.85</v>
          </cell>
          <cell r="AA631">
            <v>77</v>
          </cell>
          <cell r="AB631">
            <v>96</v>
          </cell>
          <cell r="AC631">
            <v>80</v>
          </cell>
          <cell r="AD631">
            <v>13.49</v>
          </cell>
          <cell r="AE631">
            <v>4.01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2246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Y631">
            <v>112268.16</v>
          </cell>
        </row>
        <row r="632">
          <cell r="A632">
            <v>2</v>
          </cell>
          <cell r="B632" t="str">
            <v>12</v>
          </cell>
          <cell r="C632" t="str">
            <v>000</v>
          </cell>
          <cell r="D632" t="str">
            <v>1</v>
          </cell>
          <cell r="E632" t="str">
            <v>702</v>
          </cell>
          <cell r="F632" t="str">
            <v>N000</v>
          </cell>
          <cell r="G632" t="str">
            <v>312</v>
          </cell>
          <cell r="H632" t="str">
            <v>1103</v>
          </cell>
          <cell r="I632" t="str">
            <v>M02034</v>
          </cell>
          <cell r="K632" t="str">
            <v>2</v>
          </cell>
          <cell r="L632">
            <v>1</v>
          </cell>
          <cell r="M632">
            <v>0</v>
          </cell>
          <cell r="N632">
            <v>3826</v>
          </cell>
          <cell r="O632" t="str">
            <v>M</v>
          </cell>
          <cell r="P632" t="str">
            <v>00000000</v>
          </cell>
          <cell r="Q632">
            <v>0</v>
          </cell>
          <cell r="R632">
            <v>552.64</v>
          </cell>
          <cell r="S632">
            <v>106.28</v>
          </cell>
          <cell r="T632">
            <v>487.81</v>
          </cell>
          <cell r="U632">
            <v>191.3</v>
          </cell>
          <cell r="V632">
            <v>68.87</v>
          </cell>
          <cell r="W632">
            <v>76.52</v>
          </cell>
          <cell r="X632">
            <v>0</v>
          </cell>
          <cell r="Y632">
            <v>0</v>
          </cell>
          <cell r="Z632">
            <v>151.5</v>
          </cell>
          <cell r="AA632">
            <v>77</v>
          </cell>
          <cell r="AB632">
            <v>96</v>
          </cell>
          <cell r="AC632">
            <v>80</v>
          </cell>
          <cell r="AD632">
            <v>13.49</v>
          </cell>
          <cell r="AE632">
            <v>3.19</v>
          </cell>
          <cell r="AF632">
            <v>0</v>
          </cell>
          <cell r="AG632">
            <v>0</v>
          </cell>
          <cell r="AH632">
            <v>788</v>
          </cell>
          <cell r="AI632">
            <v>0</v>
          </cell>
          <cell r="AJ632">
            <v>2046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Y632">
            <v>102775.2</v>
          </cell>
        </row>
        <row r="633">
          <cell r="A633">
            <v>2</v>
          </cell>
          <cell r="B633" t="str">
            <v>12</v>
          </cell>
          <cell r="C633" t="str">
            <v>000</v>
          </cell>
          <cell r="D633" t="str">
            <v>1</v>
          </cell>
          <cell r="E633" t="str">
            <v>702</v>
          </cell>
          <cell r="F633" t="str">
            <v>N000</v>
          </cell>
          <cell r="G633" t="str">
            <v>312</v>
          </cell>
          <cell r="H633" t="str">
            <v>1103</v>
          </cell>
          <cell r="I633" t="str">
            <v>M02059</v>
          </cell>
          <cell r="K633" t="str">
            <v>2</v>
          </cell>
          <cell r="L633">
            <v>1</v>
          </cell>
          <cell r="M633">
            <v>0</v>
          </cell>
          <cell r="N633">
            <v>2600</v>
          </cell>
          <cell r="O633" t="str">
            <v>M</v>
          </cell>
          <cell r="P633" t="str">
            <v>00000000</v>
          </cell>
          <cell r="Q633">
            <v>0</v>
          </cell>
          <cell r="R633">
            <v>375.56</v>
          </cell>
          <cell r="S633">
            <v>72.22</v>
          </cell>
          <cell r="T633">
            <v>331.5</v>
          </cell>
          <cell r="U633">
            <v>130</v>
          </cell>
          <cell r="V633">
            <v>46.8</v>
          </cell>
          <cell r="W633">
            <v>52</v>
          </cell>
          <cell r="X633">
            <v>55</v>
          </cell>
          <cell r="Y633">
            <v>0</v>
          </cell>
          <cell r="Z633">
            <v>90.92</v>
          </cell>
          <cell r="AA633">
            <v>77</v>
          </cell>
          <cell r="AB633">
            <v>96</v>
          </cell>
          <cell r="AC633">
            <v>80</v>
          </cell>
          <cell r="AD633">
            <v>13.49</v>
          </cell>
          <cell r="AE633">
            <v>2.17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1188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Y633">
            <v>62527.92</v>
          </cell>
        </row>
        <row r="634">
          <cell r="A634">
            <v>2</v>
          </cell>
          <cell r="B634" t="str">
            <v>12</v>
          </cell>
          <cell r="C634" t="str">
            <v>000</v>
          </cell>
          <cell r="D634" t="str">
            <v>1</v>
          </cell>
          <cell r="E634" t="str">
            <v>702</v>
          </cell>
          <cell r="F634" t="str">
            <v>N000</v>
          </cell>
          <cell r="G634" t="str">
            <v>312</v>
          </cell>
          <cell r="H634" t="str">
            <v>1103</v>
          </cell>
          <cell r="I634" t="str">
            <v>S01803</v>
          </cell>
          <cell r="J634" t="str">
            <v>19</v>
          </cell>
          <cell r="K634" t="str">
            <v>2</v>
          </cell>
          <cell r="L634">
            <v>4</v>
          </cell>
          <cell r="M634">
            <v>0</v>
          </cell>
          <cell r="N634">
            <v>2120.3000000000002</v>
          </cell>
          <cell r="O634" t="str">
            <v>M</v>
          </cell>
          <cell r="P634" t="str">
            <v>00000000</v>
          </cell>
          <cell r="Q634">
            <v>0</v>
          </cell>
          <cell r="R634">
            <v>306.27</v>
          </cell>
          <cell r="S634">
            <v>58.9</v>
          </cell>
          <cell r="T634">
            <v>270.33999999999997</v>
          </cell>
          <cell r="U634">
            <v>106.02</v>
          </cell>
          <cell r="V634">
            <v>38.17</v>
          </cell>
          <cell r="W634">
            <v>42.41</v>
          </cell>
          <cell r="X634">
            <v>55</v>
          </cell>
          <cell r="Y634">
            <v>0</v>
          </cell>
          <cell r="Z634">
            <v>55.87</v>
          </cell>
          <cell r="AA634">
            <v>77</v>
          </cell>
          <cell r="AB634">
            <v>96</v>
          </cell>
          <cell r="AC634">
            <v>80</v>
          </cell>
          <cell r="AD634">
            <v>13.49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Y634">
            <v>159348.96</v>
          </cell>
        </row>
        <row r="635">
          <cell r="A635">
            <v>2</v>
          </cell>
          <cell r="B635" t="str">
            <v>12</v>
          </cell>
          <cell r="C635" t="str">
            <v>000</v>
          </cell>
          <cell r="D635" t="str">
            <v>1</v>
          </cell>
          <cell r="E635" t="str">
            <v>702</v>
          </cell>
          <cell r="F635" t="str">
            <v>N000</v>
          </cell>
          <cell r="G635" t="str">
            <v>312</v>
          </cell>
          <cell r="H635" t="str">
            <v>1103</v>
          </cell>
          <cell r="I635" t="str">
            <v>S01811</v>
          </cell>
          <cell r="J635" t="str">
            <v>25</v>
          </cell>
          <cell r="K635" t="str">
            <v>2</v>
          </cell>
          <cell r="L635">
            <v>2</v>
          </cell>
          <cell r="M635">
            <v>0</v>
          </cell>
          <cell r="N635">
            <v>2572.4</v>
          </cell>
          <cell r="O635" t="str">
            <v>M</v>
          </cell>
          <cell r="P635" t="str">
            <v>00000000</v>
          </cell>
          <cell r="Q635">
            <v>0</v>
          </cell>
          <cell r="R635">
            <v>371.57</v>
          </cell>
          <cell r="S635">
            <v>71.459999999999994</v>
          </cell>
          <cell r="T635">
            <v>327.98</v>
          </cell>
          <cell r="U635">
            <v>128.62</v>
          </cell>
          <cell r="V635">
            <v>46.3</v>
          </cell>
          <cell r="W635">
            <v>51.45</v>
          </cell>
          <cell r="X635">
            <v>55</v>
          </cell>
          <cell r="Y635">
            <v>0</v>
          </cell>
          <cell r="Z635">
            <v>66.47</v>
          </cell>
          <cell r="AA635">
            <v>77</v>
          </cell>
          <cell r="AB635">
            <v>96</v>
          </cell>
          <cell r="AC635">
            <v>80</v>
          </cell>
          <cell r="AD635">
            <v>13.49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Y635">
            <v>94985.76</v>
          </cell>
        </row>
        <row r="636">
          <cell r="A636">
            <v>2</v>
          </cell>
          <cell r="B636" t="str">
            <v>12</v>
          </cell>
          <cell r="C636" t="str">
            <v>000</v>
          </cell>
          <cell r="D636" t="str">
            <v>1</v>
          </cell>
          <cell r="E636" t="str">
            <v>702</v>
          </cell>
          <cell r="F636" t="str">
            <v>N000</v>
          </cell>
          <cell r="G636" t="str">
            <v>312</v>
          </cell>
          <cell r="H636" t="str">
            <v>1103</v>
          </cell>
          <cell r="I636" t="str">
            <v>T03804</v>
          </cell>
          <cell r="J636" t="str">
            <v>25</v>
          </cell>
          <cell r="K636" t="str">
            <v>2</v>
          </cell>
          <cell r="L636">
            <v>4</v>
          </cell>
          <cell r="M636">
            <v>0</v>
          </cell>
          <cell r="N636">
            <v>2572.4</v>
          </cell>
          <cell r="O636" t="str">
            <v>M</v>
          </cell>
          <cell r="P636" t="str">
            <v>00000000</v>
          </cell>
          <cell r="Q636">
            <v>0</v>
          </cell>
          <cell r="R636">
            <v>371.57</v>
          </cell>
          <cell r="S636">
            <v>71.459999999999994</v>
          </cell>
          <cell r="T636">
            <v>327.98</v>
          </cell>
          <cell r="U636">
            <v>128.62</v>
          </cell>
          <cell r="V636">
            <v>46.3</v>
          </cell>
          <cell r="W636">
            <v>51.45</v>
          </cell>
          <cell r="X636">
            <v>57.25</v>
          </cell>
          <cell r="Y636">
            <v>0</v>
          </cell>
          <cell r="Z636">
            <v>66.510000000000005</v>
          </cell>
          <cell r="AA636">
            <v>77</v>
          </cell>
          <cell r="AB636">
            <v>96</v>
          </cell>
          <cell r="AC636">
            <v>80</v>
          </cell>
          <cell r="AD636">
            <v>13.49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Y636">
            <v>190081.44</v>
          </cell>
        </row>
        <row r="637">
          <cell r="A637">
            <v>2</v>
          </cell>
          <cell r="B637" t="str">
            <v>12</v>
          </cell>
          <cell r="C637" t="str">
            <v>000</v>
          </cell>
          <cell r="D637" t="str">
            <v>1</v>
          </cell>
          <cell r="E637" t="str">
            <v>702</v>
          </cell>
          <cell r="F637" t="str">
            <v>N000</v>
          </cell>
          <cell r="G637" t="str">
            <v>312</v>
          </cell>
          <cell r="H637" t="str">
            <v>1103</v>
          </cell>
          <cell r="I637" t="str">
            <v>T06803</v>
          </cell>
          <cell r="J637" t="str">
            <v>26</v>
          </cell>
          <cell r="K637" t="str">
            <v>2</v>
          </cell>
          <cell r="L637">
            <v>23</v>
          </cell>
          <cell r="M637">
            <v>0</v>
          </cell>
          <cell r="N637">
            <v>2692.2</v>
          </cell>
          <cell r="O637" t="str">
            <v>M</v>
          </cell>
          <cell r="P637" t="str">
            <v>00000000</v>
          </cell>
          <cell r="Q637">
            <v>0</v>
          </cell>
          <cell r="R637">
            <v>388.87</v>
          </cell>
          <cell r="S637">
            <v>74.78</v>
          </cell>
          <cell r="T637">
            <v>343.26</v>
          </cell>
          <cell r="U637">
            <v>134.61000000000001</v>
          </cell>
          <cell r="V637">
            <v>48.46</v>
          </cell>
          <cell r="W637">
            <v>53.84</v>
          </cell>
          <cell r="X637">
            <v>58.3</v>
          </cell>
          <cell r="Y637">
            <v>0</v>
          </cell>
          <cell r="Z637">
            <v>69.34</v>
          </cell>
          <cell r="AA637">
            <v>77</v>
          </cell>
          <cell r="AB637">
            <v>96</v>
          </cell>
          <cell r="AC637">
            <v>80</v>
          </cell>
          <cell r="AD637">
            <v>13.49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Y637">
            <v>1139921.3999999999</v>
          </cell>
        </row>
        <row r="638">
          <cell r="A638">
            <v>2</v>
          </cell>
          <cell r="B638" t="str">
            <v>12</v>
          </cell>
          <cell r="C638" t="str">
            <v>000</v>
          </cell>
          <cell r="D638" t="str">
            <v>1</v>
          </cell>
          <cell r="E638" t="str">
            <v>702</v>
          </cell>
          <cell r="F638" t="str">
            <v>N000</v>
          </cell>
          <cell r="G638" t="str">
            <v>312</v>
          </cell>
          <cell r="H638" t="str">
            <v>1103</v>
          </cell>
          <cell r="I638" t="str">
            <v>T06804</v>
          </cell>
          <cell r="J638" t="str">
            <v>27Z</v>
          </cell>
          <cell r="K638" t="str">
            <v>2</v>
          </cell>
          <cell r="L638">
            <v>2</v>
          </cell>
          <cell r="M638">
            <v>0</v>
          </cell>
          <cell r="N638">
            <v>2900.25</v>
          </cell>
          <cell r="O638" t="str">
            <v>M</v>
          </cell>
          <cell r="P638" t="str">
            <v>00000000</v>
          </cell>
          <cell r="Q638">
            <v>205.15</v>
          </cell>
          <cell r="R638">
            <v>418.93</v>
          </cell>
          <cell r="S638">
            <v>80.56</v>
          </cell>
          <cell r="T638">
            <v>369.78</v>
          </cell>
          <cell r="U638">
            <v>145.01</v>
          </cell>
          <cell r="V638">
            <v>55.89</v>
          </cell>
          <cell r="W638">
            <v>58.01</v>
          </cell>
          <cell r="X638">
            <v>95.5</v>
          </cell>
          <cell r="Y638">
            <v>0</v>
          </cell>
          <cell r="Z638">
            <v>79.069999999999993</v>
          </cell>
          <cell r="AA638">
            <v>77</v>
          </cell>
          <cell r="AB638">
            <v>96</v>
          </cell>
          <cell r="AC638">
            <v>80</v>
          </cell>
          <cell r="AD638">
            <v>13.49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Y638">
            <v>112191.36</v>
          </cell>
        </row>
        <row r="639">
          <cell r="A639">
            <v>2</v>
          </cell>
          <cell r="B639" t="str">
            <v>12</v>
          </cell>
          <cell r="C639" t="str">
            <v>000</v>
          </cell>
          <cell r="D639" t="str">
            <v>1</v>
          </cell>
          <cell r="E639" t="str">
            <v>702</v>
          </cell>
          <cell r="F639" t="str">
            <v>N000</v>
          </cell>
          <cell r="G639" t="str">
            <v>312</v>
          </cell>
          <cell r="H639" t="str">
            <v>1103</v>
          </cell>
          <cell r="I639" t="str">
            <v>T06807</v>
          </cell>
          <cell r="J639" t="str">
            <v>24</v>
          </cell>
          <cell r="K639" t="str">
            <v>2</v>
          </cell>
          <cell r="L639">
            <v>20</v>
          </cell>
          <cell r="M639">
            <v>0</v>
          </cell>
          <cell r="N639">
            <v>2479.75</v>
          </cell>
          <cell r="O639" t="str">
            <v>M</v>
          </cell>
          <cell r="P639" t="str">
            <v>00000000</v>
          </cell>
          <cell r="Q639">
            <v>0</v>
          </cell>
          <cell r="R639">
            <v>358.19</v>
          </cell>
          <cell r="S639">
            <v>68.88</v>
          </cell>
          <cell r="T639">
            <v>316.17</v>
          </cell>
          <cell r="U639">
            <v>123.99</v>
          </cell>
          <cell r="V639">
            <v>44.64</v>
          </cell>
          <cell r="W639">
            <v>49.59</v>
          </cell>
          <cell r="X639">
            <v>41.2</v>
          </cell>
          <cell r="Y639">
            <v>0</v>
          </cell>
          <cell r="Z639">
            <v>64.02</v>
          </cell>
          <cell r="AA639">
            <v>77</v>
          </cell>
          <cell r="AB639">
            <v>96</v>
          </cell>
          <cell r="AC639">
            <v>80</v>
          </cell>
          <cell r="AD639">
            <v>13.49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Y639">
            <v>915100.8</v>
          </cell>
        </row>
        <row r="640">
          <cell r="A640">
            <v>2</v>
          </cell>
          <cell r="B640" t="str">
            <v>12</v>
          </cell>
          <cell r="C640" t="str">
            <v>000</v>
          </cell>
          <cell r="D640" t="str">
            <v>1</v>
          </cell>
          <cell r="E640" t="str">
            <v>702</v>
          </cell>
          <cell r="F640" t="str">
            <v>N000</v>
          </cell>
          <cell r="G640" t="str">
            <v>312</v>
          </cell>
          <cell r="H640" t="str">
            <v>1103</v>
          </cell>
          <cell r="I640" t="str">
            <v>CF03809</v>
          </cell>
          <cell r="J640" t="str">
            <v>25</v>
          </cell>
          <cell r="K640" t="str">
            <v>2</v>
          </cell>
          <cell r="L640">
            <v>4</v>
          </cell>
          <cell r="M640">
            <v>0</v>
          </cell>
          <cell r="N640">
            <v>2572.4</v>
          </cell>
          <cell r="O640" t="str">
            <v>M</v>
          </cell>
          <cell r="P640" t="str">
            <v>00000000</v>
          </cell>
          <cell r="Q640">
            <v>0</v>
          </cell>
          <cell r="R640">
            <v>371.57</v>
          </cell>
          <cell r="S640">
            <v>71.459999999999994</v>
          </cell>
          <cell r="T640">
            <v>327.98</v>
          </cell>
          <cell r="U640">
            <v>128.62</v>
          </cell>
          <cell r="V640">
            <v>46.3</v>
          </cell>
          <cell r="W640">
            <v>51.45</v>
          </cell>
          <cell r="X640">
            <v>55</v>
          </cell>
          <cell r="Y640">
            <v>0</v>
          </cell>
          <cell r="Z640">
            <v>66.47</v>
          </cell>
          <cell r="AA640">
            <v>77</v>
          </cell>
          <cell r="AB640">
            <v>96</v>
          </cell>
          <cell r="AC640">
            <v>80</v>
          </cell>
          <cell r="AD640">
            <v>13.49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Y640">
            <v>189971.52</v>
          </cell>
        </row>
        <row r="641">
          <cell r="A641">
            <v>2</v>
          </cell>
          <cell r="B641" t="str">
            <v>12</v>
          </cell>
          <cell r="C641" t="str">
            <v>000</v>
          </cell>
          <cell r="D641" t="str">
            <v>1</v>
          </cell>
          <cell r="E641" t="str">
            <v>702</v>
          </cell>
          <cell r="F641" t="str">
            <v>N000</v>
          </cell>
          <cell r="G641" t="str">
            <v>312</v>
          </cell>
          <cell r="H641" t="str">
            <v>1103</v>
          </cell>
          <cell r="I641" t="str">
            <v>CF03820</v>
          </cell>
          <cell r="J641" t="str">
            <v>27Z</v>
          </cell>
          <cell r="K641" t="str">
            <v>2</v>
          </cell>
          <cell r="L641">
            <v>1</v>
          </cell>
          <cell r="M641">
            <v>0</v>
          </cell>
          <cell r="N641">
            <v>2900.25</v>
          </cell>
          <cell r="O641" t="str">
            <v>M</v>
          </cell>
          <cell r="P641" t="str">
            <v>00000000</v>
          </cell>
          <cell r="Q641">
            <v>205.15</v>
          </cell>
          <cell r="R641">
            <v>418.93</v>
          </cell>
          <cell r="S641">
            <v>80.56</v>
          </cell>
          <cell r="T641">
            <v>369.78</v>
          </cell>
          <cell r="U641">
            <v>145.01</v>
          </cell>
          <cell r="V641">
            <v>55.89</v>
          </cell>
          <cell r="W641">
            <v>58.01</v>
          </cell>
          <cell r="X641">
            <v>0</v>
          </cell>
          <cell r="Y641">
            <v>0</v>
          </cell>
          <cell r="Z641">
            <v>77.16</v>
          </cell>
          <cell r="AA641">
            <v>77</v>
          </cell>
          <cell r="AB641">
            <v>96</v>
          </cell>
          <cell r="AC641">
            <v>80</v>
          </cell>
          <cell r="AD641">
            <v>13.49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Y641">
            <v>54926.76</v>
          </cell>
        </row>
        <row r="642">
          <cell r="A642">
            <v>2</v>
          </cell>
          <cell r="B642" t="str">
            <v>12</v>
          </cell>
          <cell r="C642" t="str">
            <v>000</v>
          </cell>
          <cell r="D642" t="str">
            <v>1</v>
          </cell>
          <cell r="E642" t="str">
            <v>702</v>
          </cell>
          <cell r="F642" t="str">
            <v>N000</v>
          </cell>
          <cell r="G642" t="str">
            <v>312</v>
          </cell>
          <cell r="H642" t="str">
            <v>1103</v>
          </cell>
          <cell r="I642" t="str">
            <v>CF04806</v>
          </cell>
          <cell r="J642" t="str">
            <v>26</v>
          </cell>
          <cell r="K642" t="str">
            <v>2</v>
          </cell>
          <cell r="L642">
            <v>22</v>
          </cell>
          <cell r="M642">
            <v>0</v>
          </cell>
          <cell r="N642">
            <v>2692.2</v>
          </cell>
          <cell r="O642" t="str">
            <v>M</v>
          </cell>
          <cell r="P642" t="str">
            <v>00000000</v>
          </cell>
          <cell r="Q642">
            <v>0</v>
          </cell>
          <cell r="R642">
            <v>388.87</v>
          </cell>
          <cell r="S642">
            <v>74.78</v>
          </cell>
          <cell r="T642">
            <v>343.26</v>
          </cell>
          <cell r="U642">
            <v>134.61000000000001</v>
          </cell>
          <cell r="V642">
            <v>48.46</v>
          </cell>
          <cell r="W642">
            <v>53.84</v>
          </cell>
          <cell r="X642">
            <v>38.590000000000003</v>
          </cell>
          <cell r="Y642">
            <v>0</v>
          </cell>
          <cell r="Z642">
            <v>68.95</v>
          </cell>
          <cell r="AA642">
            <v>77</v>
          </cell>
          <cell r="AB642">
            <v>96</v>
          </cell>
          <cell r="AC642">
            <v>80</v>
          </cell>
          <cell r="AD642">
            <v>13.49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Y642">
            <v>1085053.2</v>
          </cell>
        </row>
        <row r="643">
          <cell r="A643">
            <v>2</v>
          </cell>
          <cell r="B643" t="str">
            <v>12</v>
          </cell>
          <cell r="C643" t="str">
            <v>000</v>
          </cell>
          <cell r="D643" t="str">
            <v>1</v>
          </cell>
          <cell r="E643" t="str">
            <v>702</v>
          </cell>
          <cell r="F643" t="str">
            <v>N000</v>
          </cell>
          <cell r="G643" t="str">
            <v>312</v>
          </cell>
          <cell r="H643" t="str">
            <v>1103</v>
          </cell>
          <cell r="I643" t="str">
            <v>CF04807</v>
          </cell>
          <cell r="J643" t="str">
            <v>27Z</v>
          </cell>
          <cell r="K643" t="str">
            <v>2</v>
          </cell>
          <cell r="L643">
            <v>8</v>
          </cell>
          <cell r="M643">
            <v>0</v>
          </cell>
          <cell r="N643">
            <v>2900.25</v>
          </cell>
          <cell r="O643" t="str">
            <v>M</v>
          </cell>
          <cell r="P643" t="str">
            <v>00000000</v>
          </cell>
          <cell r="Q643">
            <v>205.15</v>
          </cell>
          <cell r="R643">
            <v>418.93</v>
          </cell>
          <cell r="S643">
            <v>80.56</v>
          </cell>
          <cell r="T643">
            <v>369.78</v>
          </cell>
          <cell r="U643">
            <v>145.01</v>
          </cell>
          <cell r="V643">
            <v>55.89</v>
          </cell>
          <cell r="W643">
            <v>58.01</v>
          </cell>
          <cell r="X643">
            <v>41.13</v>
          </cell>
          <cell r="Y643">
            <v>0</v>
          </cell>
          <cell r="Z643">
            <v>77.98</v>
          </cell>
          <cell r="AA643">
            <v>77</v>
          </cell>
          <cell r="AB643">
            <v>96</v>
          </cell>
          <cell r="AC643">
            <v>80</v>
          </cell>
          <cell r="AD643">
            <v>13.49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Y643">
            <v>443441.28</v>
          </cell>
        </row>
        <row r="644">
          <cell r="A644">
            <v>2</v>
          </cell>
          <cell r="B644" t="str">
            <v>12</v>
          </cell>
          <cell r="C644" t="str">
            <v>000</v>
          </cell>
          <cell r="D644" t="str">
            <v>1</v>
          </cell>
          <cell r="E644" t="str">
            <v>702</v>
          </cell>
          <cell r="F644" t="str">
            <v>N000</v>
          </cell>
          <cell r="G644" t="str">
            <v>312</v>
          </cell>
          <cell r="H644" t="str">
            <v>1103</v>
          </cell>
          <cell r="I644" t="str">
            <v>CF04808</v>
          </cell>
          <cell r="J644" t="str">
            <v>27ZA</v>
          </cell>
          <cell r="K644" t="str">
            <v>2</v>
          </cell>
          <cell r="L644">
            <v>5</v>
          </cell>
          <cell r="M644">
            <v>0</v>
          </cell>
          <cell r="N644">
            <v>2982.9</v>
          </cell>
          <cell r="O644" t="str">
            <v>M</v>
          </cell>
          <cell r="P644" t="str">
            <v>00000000</v>
          </cell>
          <cell r="Q644">
            <v>579.4</v>
          </cell>
          <cell r="R644">
            <v>430.86</v>
          </cell>
          <cell r="S644">
            <v>82.86</v>
          </cell>
          <cell r="T644">
            <v>380.32</v>
          </cell>
          <cell r="U644">
            <v>149.15</v>
          </cell>
          <cell r="V644">
            <v>64.12</v>
          </cell>
          <cell r="W644">
            <v>59.66</v>
          </cell>
          <cell r="X644">
            <v>60.4</v>
          </cell>
          <cell r="Y644">
            <v>0</v>
          </cell>
          <cell r="Z644">
            <v>87.79</v>
          </cell>
          <cell r="AA644">
            <v>77</v>
          </cell>
          <cell r="AB644">
            <v>96</v>
          </cell>
          <cell r="AC644">
            <v>80</v>
          </cell>
          <cell r="AD644">
            <v>13.49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Y644">
            <v>308637</v>
          </cell>
        </row>
        <row r="645">
          <cell r="A645">
            <v>2</v>
          </cell>
          <cell r="B645" t="str">
            <v>12</v>
          </cell>
          <cell r="C645" t="str">
            <v>000</v>
          </cell>
          <cell r="D645" t="str">
            <v>1</v>
          </cell>
          <cell r="E645" t="str">
            <v>702</v>
          </cell>
          <cell r="F645" t="str">
            <v>N000</v>
          </cell>
          <cell r="G645" t="str">
            <v>312</v>
          </cell>
          <cell r="H645" t="str">
            <v>1103</v>
          </cell>
          <cell r="I645" t="str">
            <v>CF12825</v>
          </cell>
          <cell r="J645" t="str">
            <v>27ZB</v>
          </cell>
          <cell r="K645" t="str">
            <v>2</v>
          </cell>
          <cell r="L645">
            <v>1</v>
          </cell>
          <cell r="M645">
            <v>0</v>
          </cell>
          <cell r="N645">
            <v>3008.65</v>
          </cell>
          <cell r="O645" t="str">
            <v>M</v>
          </cell>
          <cell r="P645" t="str">
            <v>00000000</v>
          </cell>
          <cell r="Q645">
            <v>857</v>
          </cell>
          <cell r="R645">
            <v>434.58</v>
          </cell>
          <cell r="S645">
            <v>83.57</v>
          </cell>
          <cell r="T645">
            <v>383.6</v>
          </cell>
          <cell r="U645">
            <v>150.43</v>
          </cell>
          <cell r="V645">
            <v>69.59</v>
          </cell>
          <cell r="W645">
            <v>60.17</v>
          </cell>
          <cell r="X645">
            <v>0</v>
          </cell>
          <cell r="Y645">
            <v>0</v>
          </cell>
          <cell r="Z645">
            <v>92.74</v>
          </cell>
          <cell r="AA645">
            <v>77</v>
          </cell>
          <cell r="AB645">
            <v>96</v>
          </cell>
          <cell r="AC645">
            <v>80</v>
          </cell>
          <cell r="AD645">
            <v>13.49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Y645">
            <v>64881.84</v>
          </cell>
        </row>
        <row r="646">
          <cell r="A646">
            <v>2</v>
          </cell>
          <cell r="B646" t="str">
            <v>12</v>
          </cell>
          <cell r="C646" t="str">
            <v>000</v>
          </cell>
          <cell r="D646" t="str">
            <v>1</v>
          </cell>
          <cell r="E646" t="str">
            <v>702</v>
          </cell>
          <cell r="F646" t="str">
            <v>N000</v>
          </cell>
          <cell r="G646" t="str">
            <v>312</v>
          </cell>
          <cell r="H646" t="str">
            <v>1103</v>
          </cell>
          <cell r="I646" t="str">
            <v>CF21807</v>
          </cell>
          <cell r="J646" t="str">
            <v>26</v>
          </cell>
          <cell r="K646" t="str">
            <v>2</v>
          </cell>
          <cell r="L646">
            <v>1</v>
          </cell>
          <cell r="M646">
            <v>0</v>
          </cell>
          <cell r="N646">
            <v>2692.2</v>
          </cell>
          <cell r="O646" t="str">
            <v>M</v>
          </cell>
          <cell r="P646" t="str">
            <v>00000000</v>
          </cell>
          <cell r="Q646">
            <v>0</v>
          </cell>
          <cell r="R646">
            <v>388.87</v>
          </cell>
          <cell r="S646">
            <v>74.78</v>
          </cell>
          <cell r="T646">
            <v>343.26</v>
          </cell>
          <cell r="U646">
            <v>134.61000000000001</v>
          </cell>
          <cell r="V646">
            <v>48.46</v>
          </cell>
          <cell r="W646">
            <v>53.84</v>
          </cell>
          <cell r="X646">
            <v>82</v>
          </cell>
          <cell r="Y646">
            <v>0</v>
          </cell>
          <cell r="Z646">
            <v>69.819999999999993</v>
          </cell>
          <cell r="AA646">
            <v>77</v>
          </cell>
          <cell r="AB646">
            <v>96</v>
          </cell>
          <cell r="AC646">
            <v>80</v>
          </cell>
          <cell r="AD646">
            <v>13.49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Y646">
            <v>49851.96</v>
          </cell>
        </row>
        <row r="647">
          <cell r="A647">
            <v>2</v>
          </cell>
          <cell r="B647" t="str">
            <v>12</v>
          </cell>
          <cell r="C647" t="str">
            <v>000</v>
          </cell>
          <cell r="D647" t="str">
            <v>1</v>
          </cell>
          <cell r="E647" t="str">
            <v>702</v>
          </cell>
          <cell r="F647" t="str">
            <v>N000</v>
          </cell>
          <cell r="G647" t="str">
            <v>312</v>
          </cell>
          <cell r="H647" t="str">
            <v>1103</v>
          </cell>
          <cell r="I647" t="str">
            <v>CF21858</v>
          </cell>
          <cell r="J647" t="str">
            <v>27ZA</v>
          </cell>
          <cell r="K647" t="str">
            <v>2</v>
          </cell>
          <cell r="L647">
            <v>2</v>
          </cell>
          <cell r="M647">
            <v>0</v>
          </cell>
          <cell r="N647">
            <v>2982.9</v>
          </cell>
          <cell r="O647" t="str">
            <v>M</v>
          </cell>
          <cell r="P647" t="str">
            <v>00000000</v>
          </cell>
          <cell r="Q647">
            <v>579.4</v>
          </cell>
          <cell r="R647">
            <v>430.86</v>
          </cell>
          <cell r="S647">
            <v>82.86</v>
          </cell>
          <cell r="T647">
            <v>380.32</v>
          </cell>
          <cell r="U647">
            <v>149.15</v>
          </cell>
          <cell r="V647">
            <v>64.12</v>
          </cell>
          <cell r="W647">
            <v>59.66</v>
          </cell>
          <cell r="X647">
            <v>82</v>
          </cell>
          <cell r="Y647">
            <v>0</v>
          </cell>
          <cell r="Z647">
            <v>88.22</v>
          </cell>
          <cell r="AA647">
            <v>77</v>
          </cell>
          <cell r="AB647">
            <v>96</v>
          </cell>
          <cell r="AC647">
            <v>80</v>
          </cell>
          <cell r="AD647">
            <v>13.49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Y647">
            <v>123983.52</v>
          </cell>
        </row>
        <row r="648">
          <cell r="A648">
            <v>2</v>
          </cell>
          <cell r="B648" t="str">
            <v>12</v>
          </cell>
          <cell r="C648" t="str">
            <v>000</v>
          </cell>
          <cell r="D648" t="str">
            <v>1</v>
          </cell>
          <cell r="E648" t="str">
            <v>702</v>
          </cell>
          <cell r="F648" t="str">
            <v>N000</v>
          </cell>
          <cell r="G648" t="str">
            <v>312</v>
          </cell>
          <cell r="H648" t="str">
            <v>1103</v>
          </cell>
          <cell r="I648" t="str">
            <v>CF21859</v>
          </cell>
          <cell r="J648" t="str">
            <v>27ZB</v>
          </cell>
          <cell r="K648" t="str">
            <v>2</v>
          </cell>
          <cell r="L648">
            <v>4</v>
          </cell>
          <cell r="M648">
            <v>0</v>
          </cell>
          <cell r="N648">
            <v>3008.65</v>
          </cell>
          <cell r="O648" t="str">
            <v>M</v>
          </cell>
          <cell r="P648" t="str">
            <v>00000000</v>
          </cell>
          <cell r="Q648">
            <v>857</v>
          </cell>
          <cell r="R648">
            <v>434.58</v>
          </cell>
          <cell r="S648">
            <v>83.57</v>
          </cell>
          <cell r="T648">
            <v>383.6</v>
          </cell>
          <cell r="U648">
            <v>150.43</v>
          </cell>
          <cell r="V648">
            <v>69.59</v>
          </cell>
          <cell r="W648">
            <v>60.17</v>
          </cell>
          <cell r="X648">
            <v>82</v>
          </cell>
          <cell r="Y648">
            <v>0</v>
          </cell>
          <cell r="Z648">
            <v>94.38</v>
          </cell>
          <cell r="AA648">
            <v>77</v>
          </cell>
          <cell r="AB648">
            <v>96</v>
          </cell>
          <cell r="AC648">
            <v>80</v>
          </cell>
          <cell r="AD648">
            <v>13.49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Y648">
            <v>263542.08</v>
          </cell>
        </row>
        <row r="649">
          <cell r="A649">
            <v>2</v>
          </cell>
          <cell r="B649" t="str">
            <v>12</v>
          </cell>
          <cell r="C649" t="str">
            <v>000</v>
          </cell>
          <cell r="D649" t="str">
            <v>1</v>
          </cell>
          <cell r="E649" t="str">
            <v>702</v>
          </cell>
          <cell r="F649" t="str">
            <v>N000</v>
          </cell>
          <cell r="G649" t="str">
            <v>312</v>
          </cell>
          <cell r="H649" t="str">
            <v>1103</v>
          </cell>
          <cell r="I649" t="str">
            <v>CF21864</v>
          </cell>
          <cell r="J649" t="str">
            <v>27C</v>
          </cell>
          <cell r="K649" t="str">
            <v>1</v>
          </cell>
          <cell r="L649">
            <v>2</v>
          </cell>
          <cell r="M649">
            <v>0</v>
          </cell>
          <cell r="N649">
            <v>3268.2</v>
          </cell>
          <cell r="O649" t="str">
            <v>M</v>
          </cell>
          <cell r="P649" t="str">
            <v>00000000</v>
          </cell>
          <cell r="Q649">
            <v>4783.05</v>
          </cell>
          <cell r="R649">
            <v>472.07</v>
          </cell>
          <cell r="S649">
            <v>90.78</v>
          </cell>
          <cell r="T649">
            <v>416.7</v>
          </cell>
          <cell r="U649">
            <v>163.41</v>
          </cell>
          <cell r="V649">
            <v>144.91999999999999</v>
          </cell>
          <cell r="W649">
            <v>65.36</v>
          </cell>
          <cell r="X649">
            <v>46</v>
          </cell>
          <cell r="Y649">
            <v>0</v>
          </cell>
          <cell r="Z649">
            <v>174.74</v>
          </cell>
          <cell r="AA649">
            <v>77</v>
          </cell>
          <cell r="AB649">
            <v>0</v>
          </cell>
          <cell r="AC649">
            <v>0</v>
          </cell>
          <cell r="AD649">
            <v>13.49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Y649">
            <v>233177.28</v>
          </cell>
        </row>
        <row r="650">
          <cell r="A650">
            <v>2</v>
          </cell>
          <cell r="B650" t="str">
            <v>12</v>
          </cell>
          <cell r="C650" t="str">
            <v>000</v>
          </cell>
          <cell r="D650" t="str">
            <v>1</v>
          </cell>
          <cell r="E650" t="str">
            <v>702</v>
          </cell>
          <cell r="F650" t="str">
            <v>N000</v>
          </cell>
          <cell r="G650" t="str">
            <v>312</v>
          </cell>
          <cell r="H650" t="str">
            <v>1103</v>
          </cell>
          <cell r="I650" t="str">
            <v>CF21866</v>
          </cell>
          <cell r="J650" t="str">
            <v>27A</v>
          </cell>
          <cell r="K650" t="str">
            <v>1</v>
          </cell>
          <cell r="L650">
            <v>1</v>
          </cell>
          <cell r="M650">
            <v>0</v>
          </cell>
          <cell r="N650">
            <v>3185.4</v>
          </cell>
          <cell r="O650" t="str">
            <v>M</v>
          </cell>
          <cell r="P650" t="str">
            <v>00000000</v>
          </cell>
          <cell r="Q650">
            <v>2791.7</v>
          </cell>
          <cell r="R650">
            <v>460.11</v>
          </cell>
          <cell r="S650">
            <v>88.48</v>
          </cell>
          <cell r="T650">
            <v>406.14</v>
          </cell>
          <cell r="U650">
            <v>159.27000000000001</v>
          </cell>
          <cell r="V650">
            <v>107.59</v>
          </cell>
          <cell r="W650">
            <v>63.71</v>
          </cell>
          <cell r="X650">
            <v>55</v>
          </cell>
          <cell r="Y650">
            <v>0</v>
          </cell>
          <cell r="Z650">
            <v>133.15</v>
          </cell>
          <cell r="AA650">
            <v>77</v>
          </cell>
          <cell r="AB650">
            <v>0</v>
          </cell>
          <cell r="AC650">
            <v>0</v>
          </cell>
          <cell r="AD650">
            <v>13.49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Y650">
            <v>90492.479999999996</v>
          </cell>
        </row>
        <row r="651">
          <cell r="A651">
            <v>2</v>
          </cell>
          <cell r="B651" t="str">
            <v>12</v>
          </cell>
          <cell r="C651" t="str">
            <v>000</v>
          </cell>
          <cell r="D651" t="str">
            <v>1</v>
          </cell>
          <cell r="E651" t="str">
            <v>702</v>
          </cell>
          <cell r="F651" t="str">
            <v>N000</v>
          </cell>
          <cell r="G651" t="str">
            <v>312</v>
          </cell>
          <cell r="H651" t="str">
            <v>1103</v>
          </cell>
          <cell r="I651" t="str">
            <v>CF33834</v>
          </cell>
          <cell r="J651" t="str">
            <v>27</v>
          </cell>
          <cell r="K651" t="str">
            <v>2</v>
          </cell>
          <cell r="L651">
            <v>8</v>
          </cell>
          <cell r="M651">
            <v>0</v>
          </cell>
          <cell r="N651">
            <v>2817.8</v>
          </cell>
          <cell r="O651" t="str">
            <v>M</v>
          </cell>
          <cell r="P651" t="str">
            <v>00000000</v>
          </cell>
          <cell r="Q651">
            <v>0</v>
          </cell>
          <cell r="R651">
            <v>407.02</v>
          </cell>
          <cell r="S651">
            <v>78.27</v>
          </cell>
          <cell r="T651">
            <v>359.27</v>
          </cell>
          <cell r="U651">
            <v>140.88999999999999</v>
          </cell>
          <cell r="V651">
            <v>50.72</v>
          </cell>
          <cell r="W651">
            <v>56.36</v>
          </cell>
          <cell r="X651">
            <v>50.25</v>
          </cell>
          <cell r="Y651">
            <v>0</v>
          </cell>
          <cell r="Z651">
            <v>72.13</v>
          </cell>
          <cell r="AA651">
            <v>77</v>
          </cell>
          <cell r="AB651">
            <v>96</v>
          </cell>
          <cell r="AC651">
            <v>80</v>
          </cell>
          <cell r="AD651">
            <v>13.49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Y651">
            <v>412723.20000000001</v>
          </cell>
        </row>
        <row r="652">
          <cell r="A652">
            <v>2</v>
          </cell>
          <cell r="B652" t="str">
            <v>12</v>
          </cell>
          <cell r="C652" t="str">
            <v>000</v>
          </cell>
          <cell r="D652" t="str">
            <v>1</v>
          </cell>
          <cell r="E652" t="str">
            <v>702</v>
          </cell>
          <cell r="F652" t="str">
            <v>N000</v>
          </cell>
          <cell r="G652" t="str">
            <v>312</v>
          </cell>
          <cell r="H652" t="str">
            <v>1103</v>
          </cell>
          <cell r="I652" t="str">
            <v>CF33892</v>
          </cell>
          <cell r="J652" t="str">
            <v>27ZA</v>
          </cell>
          <cell r="K652" t="str">
            <v>2</v>
          </cell>
          <cell r="L652">
            <v>102</v>
          </cell>
          <cell r="M652">
            <v>0</v>
          </cell>
          <cell r="N652">
            <v>2982.9</v>
          </cell>
          <cell r="O652" t="str">
            <v>M</v>
          </cell>
          <cell r="P652" t="str">
            <v>00000000</v>
          </cell>
          <cell r="Q652">
            <v>579.4</v>
          </cell>
          <cell r="R652">
            <v>430.86</v>
          </cell>
          <cell r="S652">
            <v>82.86</v>
          </cell>
          <cell r="T652">
            <v>380.32</v>
          </cell>
          <cell r="U652">
            <v>149.15</v>
          </cell>
          <cell r="V652">
            <v>64.12</v>
          </cell>
          <cell r="W652">
            <v>59.66</v>
          </cell>
          <cell r="X652">
            <v>67.97</v>
          </cell>
          <cell r="Y652">
            <v>0</v>
          </cell>
          <cell r="Z652">
            <v>87.94</v>
          </cell>
          <cell r="AA652">
            <v>77</v>
          </cell>
          <cell r="AB652">
            <v>96</v>
          </cell>
          <cell r="AC652">
            <v>80</v>
          </cell>
          <cell r="AD652">
            <v>13.49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Y652">
            <v>6305644.0800000001</v>
          </cell>
        </row>
        <row r="653">
          <cell r="A653">
            <v>2</v>
          </cell>
          <cell r="B653" t="str">
            <v>12</v>
          </cell>
          <cell r="C653" t="str">
            <v>000</v>
          </cell>
          <cell r="D653" t="str">
            <v>1</v>
          </cell>
          <cell r="E653" t="str">
            <v>702</v>
          </cell>
          <cell r="F653" t="str">
            <v>N000</v>
          </cell>
          <cell r="G653" t="str">
            <v>312</v>
          </cell>
          <cell r="H653" t="str">
            <v>1103</v>
          </cell>
          <cell r="I653" t="str">
            <v>CF41049</v>
          </cell>
          <cell r="K653" t="str">
            <v>2</v>
          </cell>
          <cell r="L653">
            <v>1</v>
          </cell>
          <cell r="M653">
            <v>0</v>
          </cell>
          <cell r="N653">
            <v>3988.9</v>
          </cell>
          <cell r="O653" t="str">
            <v>M</v>
          </cell>
          <cell r="P653" t="str">
            <v>00000000</v>
          </cell>
          <cell r="Q653">
            <v>0</v>
          </cell>
          <cell r="R653">
            <v>576.16999999999996</v>
          </cell>
          <cell r="S653">
            <v>110.8</v>
          </cell>
          <cell r="T653">
            <v>508.58</v>
          </cell>
          <cell r="U653">
            <v>199.45</v>
          </cell>
          <cell r="V653">
            <v>71.8</v>
          </cell>
          <cell r="W653">
            <v>79.78</v>
          </cell>
          <cell r="X653">
            <v>55</v>
          </cell>
          <cell r="Y653">
            <v>0</v>
          </cell>
          <cell r="Z653">
            <v>99.74</v>
          </cell>
          <cell r="AA653">
            <v>77</v>
          </cell>
          <cell r="AB653">
            <v>96</v>
          </cell>
          <cell r="AC653">
            <v>80</v>
          </cell>
          <cell r="AD653">
            <v>13.49</v>
          </cell>
          <cell r="AE653">
            <v>3.32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Y653">
            <v>71520.36</v>
          </cell>
        </row>
        <row r="654">
          <cell r="A654">
            <v>2</v>
          </cell>
          <cell r="B654" t="str">
            <v>12</v>
          </cell>
          <cell r="C654" t="str">
            <v>000</v>
          </cell>
          <cell r="D654" t="str">
            <v>1</v>
          </cell>
          <cell r="E654" t="str">
            <v>204</v>
          </cell>
          <cell r="F654" t="str">
            <v>N000</v>
          </cell>
          <cell r="G654" t="str">
            <v>313</v>
          </cell>
          <cell r="H654" t="str">
            <v>1103</v>
          </cell>
          <cell r="I654" t="str">
            <v>A01803</v>
          </cell>
          <cell r="J654" t="str">
            <v>19</v>
          </cell>
          <cell r="K654" t="str">
            <v>2</v>
          </cell>
          <cell r="L654">
            <v>4</v>
          </cell>
          <cell r="M654">
            <v>0</v>
          </cell>
          <cell r="N654">
            <v>2120.3000000000002</v>
          </cell>
          <cell r="O654" t="str">
            <v>M</v>
          </cell>
          <cell r="P654" t="str">
            <v>00000000</v>
          </cell>
          <cell r="Q654">
            <v>0</v>
          </cell>
          <cell r="R654">
            <v>306.27</v>
          </cell>
          <cell r="S654">
            <v>58.9</v>
          </cell>
          <cell r="T654">
            <v>270.33999999999997</v>
          </cell>
          <cell r="U654">
            <v>106.02</v>
          </cell>
          <cell r="V654">
            <v>38.17</v>
          </cell>
          <cell r="W654">
            <v>42.41</v>
          </cell>
          <cell r="X654">
            <v>50.5</v>
          </cell>
          <cell r="Y654">
            <v>0</v>
          </cell>
          <cell r="Z654">
            <v>55.78</v>
          </cell>
          <cell r="AA654">
            <v>77</v>
          </cell>
          <cell r="AB654">
            <v>96</v>
          </cell>
          <cell r="AC654">
            <v>80</v>
          </cell>
          <cell r="AD654">
            <v>13.49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Y654">
            <v>159128.64000000001</v>
          </cell>
        </row>
        <row r="655">
          <cell r="A655">
            <v>2</v>
          </cell>
          <cell r="B655" t="str">
            <v>12</v>
          </cell>
          <cell r="C655" t="str">
            <v>000</v>
          </cell>
          <cell r="D655" t="str">
            <v>1</v>
          </cell>
          <cell r="E655" t="str">
            <v>204</v>
          </cell>
          <cell r="F655" t="str">
            <v>N000</v>
          </cell>
          <cell r="G655" t="str">
            <v>313</v>
          </cell>
          <cell r="H655" t="str">
            <v>1103</v>
          </cell>
          <cell r="I655" t="str">
            <v>A01805</v>
          </cell>
          <cell r="J655" t="str">
            <v>21</v>
          </cell>
          <cell r="K655" t="str">
            <v>2</v>
          </cell>
          <cell r="L655">
            <v>2</v>
          </cell>
          <cell r="M655">
            <v>0</v>
          </cell>
          <cell r="N655">
            <v>2238.1999999999998</v>
          </cell>
          <cell r="O655" t="str">
            <v>M</v>
          </cell>
          <cell r="P655" t="str">
            <v>00000000</v>
          </cell>
          <cell r="Q655">
            <v>0</v>
          </cell>
          <cell r="R655">
            <v>323.3</v>
          </cell>
          <cell r="S655">
            <v>62.17</v>
          </cell>
          <cell r="T655">
            <v>285.37</v>
          </cell>
          <cell r="U655">
            <v>111.91</v>
          </cell>
          <cell r="V655">
            <v>40.29</v>
          </cell>
          <cell r="W655">
            <v>44.76</v>
          </cell>
          <cell r="X655">
            <v>23</v>
          </cell>
          <cell r="Y655">
            <v>0</v>
          </cell>
          <cell r="Z655">
            <v>57.99</v>
          </cell>
          <cell r="AA655">
            <v>77</v>
          </cell>
          <cell r="AB655">
            <v>96</v>
          </cell>
          <cell r="AC655">
            <v>80</v>
          </cell>
          <cell r="AD655">
            <v>13.49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Y655">
            <v>82883.520000000004</v>
          </cell>
        </row>
        <row r="656">
          <cell r="A656">
            <v>2</v>
          </cell>
          <cell r="B656" t="str">
            <v>12</v>
          </cell>
          <cell r="C656" t="str">
            <v>000</v>
          </cell>
          <cell r="D656" t="str">
            <v>1</v>
          </cell>
          <cell r="E656" t="str">
            <v>204</v>
          </cell>
          <cell r="F656" t="str">
            <v>N000</v>
          </cell>
          <cell r="G656" t="str">
            <v>313</v>
          </cell>
          <cell r="H656" t="str">
            <v>1103</v>
          </cell>
          <cell r="I656" t="str">
            <v>A01806</v>
          </cell>
          <cell r="J656" t="str">
            <v>25</v>
          </cell>
          <cell r="K656" t="str">
            <v>2</v>
          </cell>
          <cell r="L656">
            <v>2</v>
          </cell>
          <cell r="M656">
            <v>0</v>
          </cell>
          <cell r="N656">
            <v>2572.4</v>
          </cell>
          <cell r="O656" t="str">
            <v>M</v>
          </cell>
          <cell r="P656" t="str">
            <v>00000000</v>
          </cell>
          <cell r="Q656">
            <v>0</v>
          </cell>
          <cell r="R656">
            <v>371.57</v>
          </cell>
          <cell r="S656">
            <v>71.459999999999994</v>
          </cell>
          <cell r="T656">
            <v>327.98</v>
          </cell>
          <cell r="U656">
            <v>128.62</v>
          </cell>
          <cell r="V656">
            <v>46.3</v>
          </cell>
          <cell r="W656">
            <v>51.45</v>
          </cell>
          <cell r="X656">
            <v>64</v>
          </cell>
          <cell r="Y656">
            <v>0</v>
          </cell>
          <cell r="Z656">
            <v>66.650000000000006</v>
          </cell>
          <cell r="AA656">
            <v>77</v>
          </cell>
          <cell r="AB656">
            <v>96</v>
          </cell>
          <cell r="AC656">
            <v>80</v>
          </cell>
          <cell r="AD656">
            <v>13.49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Y656">
            <v>95206.080000000002</v>
          </cell>
        </row>
        <row r="657">
          <cell r="A657">
            <v>2</v>
          </cell>
          <cell r="B657" t="str">
            <v>12</v>
          </cell>
          <cell r="C657" t="str">
            <v>000</v>
          </cell>
          <cell r="D657" t="str">
            <v>1</v>
          </cell>
          <cell r="E657" t="str">
            <v>204</v>
          </cell>
          <cell r="F657" t="str">
            <v>N000</v>
          </cell>
          <cell r="G657" t="str">
            <v>313</v>
          </cell>
          <cell r="H657" t="str">
            <v>1103</v>
          </cell>
          <cell r="I657" t="str">
            <v>A01807</v>
          </cell>
          <cell r="J657" t="str">
            <v>27</v>
          </cell>
          <cell r="K657" t="str">
            <v>2</v>
          </cell>
          <cell r="L657">
            <v>1</v>
          </cell>
          <cell r="M657">
            <v>0</v>
          </cell>
          <cell r="N657">
            <v>2817.8</v>
          </cell>
          <cell r="O657" t="str">
            <v>M</v>
          </cell>
          <cell r="P657" t="str">
            <v>00000000</v>
          </cell>
          <cell r="Q657">
            <v>0</v>
          </cell>
          <cell r="R657">
            <v>407.02</v>
          </cell>
          <cell r="S657">
            <v>78.27</v>
          </cell>
          <cell r="T657">
            <v>359.27</v>
          </cell>
          <cell r="U657">
            <v>140.88999999999999</v>
          </cell>
          <cell r="V657">
            <v>50.72</v>
          </cell>
          <cell r="W657">
            <v>56.36</v>
          </cell>
          <cell r="X657">
            <v>0</v>
          </cell>
          <cell r="Y657">
            <v>0</v>
          </cell>
          <cell r="Z657">
            <v>71.12</v>
          </cell>
          <cell r="AA657">
            <v>77</v>
          </cell>
          <cell r="AB657">
            <v>96</v>
          </cell>
          <cell r="AC657">
            <v>80</v>
          </cell>
          <cell r="AD657">
            <v>13.49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Y657">
            <v>50975.28</v>
          </cell>
        </row>
        <row r="658">
          <cell r="A658">
            <v>2</v>
          </cell>
          <cell r="B658" t="str">
            <v>12</v>
          </cell>
          <cell r="C658" t="str">
            <v>000</v>
          </cell>
          <cell r="D658" t="str">
            <v>1</v>
          </cell>
          <cell r="E658" t="str">
            <v>204</v>
          </cell>
          <cell r="F658" t="str">
            <v>N000</v>
          </cell>
          <cell r="G658" t="str">
            <v>313</v>
          </cell>
          <cell r="H658" t="str">
            <v>1103</v>
          </cell>
          <cell r="I658" t="str">
            <v>A03804</v>
          </cell>
          <cell r="J658" t="str">
            <v>23</v>
          </cell>
          <cell r="K658" t="str">
            <v>2</v>
          </cell>
          <cell r="L658">
            <v>1</v>
          </cell>
          <cell r="M658">
            <v>0</v>
          </cell>
          <cell r="N658">
            <v>2451.25</v>
          </cell>
          <cell r="O658" t="str">
            <v>M</v>
          </cell>
          <cell r="P658" t="str">
            <v>00000000</v>
          </cell>
          <cell r="Q658">
            <v>0</v>
          </cell>
          <cell r="R658">
            <v>354.07</v>
          </cell>
          <cell r="S658">
            <v>68.09</v>
          </cell>
          <cell r="T658">
            <v>312.52999999999997</v>
          </cell>
          <cell r="U658">
            <v>122.56</v>
          </cell>
          <cell r="V658">
            <v>44.12</v>
          </cell>
          <cell r="W658">
            <v>49.02</v>
          </cell>
          <cell r="X658">
            <v>46</v>
          </cell>
          <cell r="Y658">
            <v>0</v>
          </cell>
          <cell r="Z658">
            <v>63.45</v>
          </cell>
          <cell r="AA658">
            <v>77</v>
          </cell>
          <cell r="AB658">
            <v>96</v>
          </cell>
          <cell r="AC658">
            <v>80</v>
          </cell>
          <cell r="AD658">
            <v>13.49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Y658">
            <v>45330.96</v>
          </cell>
        </row>
        <row r="659">
          <cell r="A659">
            <v>2</v>
          </cell>
          <cell r="B659" t="str">
            <v>12</v>
          </cell>
          <cell r="C659" t="str">
            <v>000</v>
          </cell>
          <cell r="D659" t="str">
            <v>1</v>
          </cell>
          <cell r="E659" t="str">
            <v>204</v>
          </cell>
          <cell r="F659" t="str">
            <v>N000</v>
          </cell>
          <cell r="G659" t="str">
            <v>313</v>
          </cell>
          <cell r="H659" t="str">
            <v>1103</v>
          </cell>
          <cell r="I659" t="str">
            <v>CFMC03</v>
          </cell>
          <cell r="J659" t="str">
            <v>MC03</v>
          </cell>
          <cell r="K659" t="str">
            <v>1</v>
          </cell>
          <cell r="L659">
            <v>3</v>
          </cell>
          <cell r="M659">
            <v>0</v>
          </cell>
          <cell r="N659">
            <v>4311.3999999999996</v>
          </cell>
          <cell r="O659" t="str">
            <v>M</v>
          </cell>
          <cell r="P659" t="str">
            <v>00000000</v>
          </cell>
          <cell r="Q659">
            <v>11306.9</v>
          </cell>
          <cell r="R659">
            <v>622.76</v>
          </cell>
          <cell r="S659">
            <v>119.76</v>
          </cell>
          <cell r="T659">
            <v>549.70000000000005</v>
          </cell>
          <cell r="U659">
            <v>215.57</v>
          </cell>
          <cell r="V659">
            <v>281.13</v>
          </cell>
          <cell r="W659">
            <v>86.23</v>
          </cell>
          <cell r="X659">
            <v>18.329999999999998</v>
          </cell>
          <cell r="Y659">
            <v>780.91</v>
          </cell>
          <cell r="Z659">
            <v>329.12</v>
          </cell>
          <cell r="AA659">
            <v>77</v>
          </cell>
          <cell r="AB659">
            <v>0</v>
          </cell>
          <cell r="AC659">
            <v>0</v>
          </cell>
          <cell r="AD659">
            <v>13.49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Y659">
            <v>673642.8</v>
          </cell>
        </row>
        <row r="660">
          <cell r="A660">
            <v>2</v>
          </cell>
          <cell r="B660" t="str">
            <v>12</v>
          </cell>
          <cell r="C660" t="str">
            <v>000</v>
          </cell>
          <cell r="D660" t="str">
            <v>1</v>
          </cell>
          <cell r="E660" t="str">
            <v>204</v>
          </cell>
          <cell r="F660" t="str">
            <v>N000</v>
          </cell>
          <cell r="G660" t="str">
            <v>313</v>
          </cell>
          <cell r="H660" t="str">
            <v>1103</v>
          </cell>
          <cell r="I660" t="str">
            <v>CFMD09</v>
          </cell>
          <cell r="J660" t="str">
            <v>MD09</v>
          </cell>
          <cell r="K660" t="str">
            <v>1</v>
          </cell>
          <cell r="L660">
            <v>1</v>
          </cell>
          <cell r="M660">
            <v>0</v>
          </cell>
          <cell r="N660">
            <v>14852.65</v>
          </cell>
          <cell r="O660" t="str">
            <v>M</v>
          </cell>
          <cell r="P660" t="str">
            <v>00000000</v>
          </cell>
          <cell r="Q660">
            <v>100991.65</v>
          </cell>
          <cell r="R660">
            <v>2145.38</v>
          </cell>
          <cell r="S660">
            <v>412.57</v>
          </cell>
          <cell r="T660">
            <v>1893.71</v>
          </cell>
          <cell r="U660">
            <v>742.63</v>
          </cell>
          <cell r="V660">
            <v>2085.1999999999998</v>
          </cell>
          <cell r="W660">
            <v>297.05</v>
          </cell>
          <cell r="X660">
            <v>0</v>
          </cell>
          <cell r="Y660">
            <v>5792.22</v>
          </cell>
          <cell r="Z660">
            <v>2369.59</v>
          </cell>
          <cell r="AA660">
            <v>77</v>
          </cell>
          <cell r="AB660">
            <v>0</v>
          </cell>
          <cell r="AC660">
            <v>0</v>
          </cell>
          <cell r="AD660">
            <v>13.49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Y660">
            <v>1580077.68</v>
          </cell>
        </row>
        <row r="661">
          <cell r="A661">
            <v>2</v>
          </cell>
          <cell r="B661" t="str">
            <v>12</v>
          </cell>
          <cell r="C661" t="str">
            <v>000</v>
          </cell>
          <cell r="D661" t="str">
            <v>1</v>
          </cell>
          <cell r="E661" t="str">
            <v>204</v>
          </cell>
          <cell r="F661" t="str">
            <v>N000</v>
          </cell>
          <cell r="G661" t="str">
            <v>313</v>
          </cell>
          <cell r="H661" t="str">
            <v>1103</v>
          </cell>
          <cell r="I661" t="str">
            <v>CFMG06</v>
          </cell>
          <cell r="J661" t="str">
            <v>MG06</v>
          </cell>
          <cell r="K661" t="str">
            <v>1</v>
          </cell>
          <cell r="L661">
            <v>3</v>
          </cell>
          <cell r="M661">
            <v>0</v>
          </cell>
          <cell r="N661">
            <v>8232.25</v>
          </cell>
          <cell r="O661" t="str">
            <v>M</v>
          </cell>
          <cell r="P661" t="str">
            <v>00000000</v>
          </cell>
          <cell r="Q661">
            <v>38872.050000000003</v>
          </cell>
          <cell r="R661">
            <v>1189.0999999999999</v>
          </cell>
          <cell r="S661">
            <v>228.67</v>
          </cell>
          <cell r="T661">
            <v>1049.6099999999999</v>
          </cell>
          <cell r="U661">
            <v>411.61</v>
          </cell>
          <cell r="V661">
            <v>847.88</v>
          </cell>
          <cell r="W661">
            <v>164.65</v>
          </cell>
          <cell r="X661">
            <v>0</v>
          </cell>
          <cell r="Y661">
            <v>2355.2199999999998</v>
          </cell>
          <cell r="Z661">
            <v>971.98</v>
          </cell>
          <cell r="AA661">
            <v>77</v>
          </cell>
          <cell r="AB661">
            <v>0</v>
          </cell>
          <cell r="AC661">
            <v>0</v>
          </cell>
          <cell r="AD661">
            <v>13.49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Y661">
            <v>1958886.36</v>
          </cell>
        </row>
        <row r="662">
          <cell r="A662">
            <v>2</v>
          </cell>
          <cell r="B662" t="str">
            <v>12</v>
          </cell>
          <cell r="C662" t="str">
            <v>000</v>
          </cell>
          <cell r="D662" t="str">
            <v>1</v>
          </cell>
          <cell r="E662" t="str">
            <v>204</v>
          </cell>
          <cell r="F662" t="str">
            <v>N000</v>
          </cell>
          <cell r="G662" t="str">
            <v>313</v>
          </cell>
          <cell r="H662" t="str">
            <v>1103</v>
          </cell>
          <cell r="I662" t="str">
            <v>CFMS06</v>
          </cell>
          <cell r="J662" t="str">
            <v>MS06</v>
          </cell>
          <cell r="K662" t="str">
            <v>1</v>
          </cell>
          <cell r="L662">
            <v>1</v>
          </cell>
          <cell r="M662">
            <v>0</v>
          </cell>
          <cell r="N662">
            <v>4801.8999999999996</v>
          </cell>
          <cell r="O662" t="str">
            <v>M</v>
          </cell>
          <cell r="P662" t="str">
            <v>00000000</v>
          </cell>
          <cell r="Q662">
            <v>21723.85</v>
          </cell>
          <cell r="R662">
            <v>693.61</v>
          </cell>
          <cell r="S662">
            <v>133.38999999999999</v>
          </cell>
          <cell r="T662">
            <v>612.24</v>
          </cell>
          <cell r="U662">
            <v>240.09</v>
          </cell>
          <cell r="V662">
            <v>477.46</v>
          </cell>
          <cell r="W662">
            <v>96.04</v>
          </cell>
          <cell r="X662">
            <v>0</v>
          </cell>
          <cell r="Y662">
            <v>1326.29</v>
          </cell>
          <cell r="Z662">
            <v>548.6</v>
          </cell>
          <cell r="AA662">
            <v>77</v>
          </cell>
          <cell r="AB662">
            <v>0</v>
          </cell>
          <cell r="AC662">
            <v>0</v>
          </cell>
          <cell r="AD662">
            <v>13.49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Y662">
            <v>368927.52</v>
          </cell>
        </row>
        <row r="663">
          <cell r="A663">
            <v>2</v>
          </cell>
          <cell r="B663" t="str">
            <v>12</v>
          </cell>
          <cell r="C663" t="str">
            <v>000</v>
          </cell>
          <cell r="D663" t="str">
            <v>1</v>
          </cell>
          <cell r="E663" t="str">
            <v>204</v>
          </cell>
          <cell r="F663" t="str">
            <v>N000</v>
          </cell>
          <cell r="G663" t="str">
            <v>313</v>
          </cell>
          <cell r="H663" t="str">
            <v>1103</v>
          </cell>
          <cell r="I663" t="str">
            <v>CFMS08</v>
          </cell>
          <cell r="J663" t="str">
            <v>MS08</v>
          </cell>
          <cell r="K663" t="str">
            <v>1</v>
          </cell>
          <cell r="L663">
            <v>5</v>
          </cell>
          <cell r="M663">
            <v>0</v>
          </cell>
          <cell r="N663">
            <v>4801.8999999999996</v>
          </cell>
          <cell r="O663" t="str">
            <v>M</v>
          </cell>
          <cell r="P663" t="str">
            <v>00000000</v>
          </cell>
          <cell r="Q663">
            <v>18269.849999999999</v>
          </cell>
          <cell r="R663">
            <v>693.61</v>
          </cell>
          <cell r="S663">
            <v>133.38999999999999</v>
          </cell>
          <cell r="T663">
            <v>612.24</v>
          </cell>
          <cell r="U663">
            <v>240.09</v>
          </cell>
          <cell r="V663">
            <v>415.29</v>
          </cell>
          <cell r="W663">
            <v>96.04</v>
          </cell>
          <cell r="X663">
            <v>21.8</v>
          </cell>
          <cell r="Y663">
            <v>1153.5899999999999</v>
          </cell>
          <cell r="Z663">
            <v>479.95</v>
          </cell>
          <cell r="AA663">
            <v>77</v>
          </cell>
          <cell r="AB663">
            <v>0</v>
          </cell>
          <cell r="AC663">
            <v>0</v>
          </cell>
          <cell r="AD663">
            <v>13.49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Y663">
            <v>1620494.4</v>
          </cell>
        </row>
        <row r="664">
          <cell r="A664">
            <v>2</v>
          </cell>
          <cell r="B664" t="str">
            <v>12</v>
          </cell>
          <cell r="C664" t="str">
            <v>000</v>
          </cell>
          <cell r="D664" t="str">
            <v>1</v>
          </cell>
          <cell r="E664" t="str">
            <v>204</v>
          </cell>
          <cell r="F664" t="str">
            <v>N000</v>
          </cell>
          <cell r="G664" t="str">
            <v>313</v>
          </cell>
          <cell r="H664" t="str">
            <v>1103</v>
          </cell>
          <cell r="I664" t="str">
            <v>M01009</v>
          </cell>
          <cell r="K664" t="str">
            <v>2</v>
          </cell>
          <cell r="L664">
            <v>1</v>
          </cell>
          <cell r="M664">
            <v>0</v>
          </cell>
          <cell r="N664">
            <v>6121</v>
          </cell>
          <cell r="O664" t="str">
            <v>M</v>
          </cell>
          <cell r="P664" t="str">
            <v>00000000</v>
          </cell>
          <cell r="Q664">
            <v>0</v>
          </cell>
          <cell r="R664">
            <v>884.14</v>
          </cell>
          <cell r="S664">
            <v>170.03</v>
          </cell>
          <cell r="T664">
            <v>780.43</v>
          </cell>
          <cell r="U664">
            <v>306.05</v>
          </cell>
          <cell r="V664">
            <v>110.18</v>
          </cell>
          <cell r="W664">
            <v>122.42</v>
          </cell>
          <cell r="X664">
            <v>0</v>
          </cell>
          <cell r="Y664">
            <v>0</v>
          </cell>
          <cell r="Z664">
            <v>274.17</v>
          </cell>
          <cell r="AA664">
            <v>77</v>
          </cell>
          <cell r="AB664">
            <v>96</v>
          </cell>
          <cell r="AC664">
            <v>80</v>
          </cell>
          <cell r="AD664">
            <v>13.49</v>
          </cell>
          <cell r="AE664">
            <v>5.0999999999999996</v>
          </cell>
          <cell r="AF664">
            <v>0</v>
          </cell>
          <cell r="AG664">
            <v>0</v>
          </cell>
          <cell r="AH664">
            <v>3865</v>
          </cell>
          <cell r="AI664">
            <v>0</v>
          </cell>
          <cell r="AJ664">
            <v>2410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Y664">
            <v>183780.12</v>
          </cell>
        </row>
        <row r="665">
          <cell r="A665">
            <v>2</v>
          </cell>
          <cell r="B665" t="str">
            <v>12</v>
          </cell>
          <cell r="C665" t="str">
            <v>000</v>
          </cell>
          <cell r="D665" t="str">
            <v>1</v>
          </cell>
          <cell r="E665" t="str">
            <v>204</v>
          </cell>
          <cell r="F665" t="str">
            <v>N000</v>
          </cell>
          <cell r="G665" t="str">
            <v>313</v>
          </cell>
          <cell r="H665" t="str">
            <v>1103</v>
          </cell>
          <cell r="I665" t="str">
            <v>T03804</v>
          </cell>
          <cell r="J665" t="str">
            <v>25</v>
          </cell>
          <cell r="K665" t="str">
            <v>2</v>
          </cell>
          <cell r="L665">
            <v>2</v>
          </cell>
          <cell r="M665">
            <v>0</v>
          </cell>
          <cell r="N665">
            <v>2572.4</v>
          </cell>
          <cell r="O665" t="str">
            <v>M</v>
          </cell>
          <cell r="P665" t="str">
            <v>00000000</v>
          </cell>
          <cell r="Q665">
            <v>0</v>
          </cell>
          <cell r="R665">
            <v>371.57</v>
          </cell>
          <cell r="S665">
            <v>71.459999999999994</v>
          </cell>
          <cell r="T665">
            <v>327.98</v>
          </cell>
          <cell r="U665">
            <v>128.62</v>
          </cell>
          <cell r="V665">
            <v>46.3</v>
          </cell>
          <cell r="W665">
            <v>51.45</v>
          </cell>
          <cell r="X665">
            <v>64</v>
          </cell>
          <cell r="Y665">
            <v>0</v>
          </cell>
          <cell r="Z665">
            <v>66.650000000000006</v>
          </cell>
          <cell r="AA665">
            <v>77</v>
          </cell>
          <cell r="AB665">
            <v>96</v>
          </cell>
          <cell r="AC665">
            <v>80</v>
          </cell>
          <cell r="AD665">
            <v>13.49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Y665">
            <v>95206.080000000002</v>
          </cell>
        </row>
        <row r="666">
          <cell r="A666">
            <v>2</v>
          </cell>
          <cell r="B666" t="str">
            <v>12</v>
          </cell>
          <cell r="C666" t="str">
            <v>000</v>
          </cell>
          <cell r="D666" t="str">
            <v>1</v>
          </cell>
          <cell r="E666" t="str">
            <v>204</v>
          </cell>
          <cell r="F666" t="str">
            <v>N000</v>
          </cell>
          <cell r="G666" t="str">
            <v>313</v>
          </cell>
          <cell r="H666" t="str">
            <v>1103</v>
          </cell>
          <cell r="I666" t="str">
            <v>CF01059</v>
          </cell>
          <cell r="J666" t="str">
            <v>28</v>
          </cell>
          <cell r="K666" t="str">
            <v>1</v>
          </cell>
          <cell r="L666">
            <v>6</v>
          </cell>
          <cell r="M666">
            <v>0</v>
          </cell>
          <cell r="N666">
            <v>3631.8</v>
          </cell>
          <cell r="O666" t="str">
            <v>M</v>
          </cell>
          <cell r="P666" t="str">
            <v>00000000</v>
          </cell>
          <cell r="Q666">
            <v>8731.1</v>
          </cell>
          <cell r="R666">
            <v>524.59</v>
          </cell>
          <cell r="S666">
            <v>100.88</v>
          </cell>
          <cell r="T666">
            <v>463.05</v>
          </cell>
          <cell r="U666">
            <v>181.59</v>
          </cell>
          <cell r="V666">
            <v>222.53</v>
          </cell>
          <cell r="W666">
            <v>72.64</v>
          </cell>
          <cell r="X666">
            <v>24.5</v>
          </cell>
          <cell r="Y666">
            <v>618.15</v>
          </cell>
          <cell r="Z666">
            <v>261.8</v>
          </cell>
          <cell r="AA666">
            <v>77</v>
          </cell>
          <cell r="AB666">
            <v>0</v>
          </cell>
          <cell r="AC666">
            <v>0</v>
          </cell>
          <cell r="AD666">
            <v>13.49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Y666">
            <v>1074464.6399999999</v>
          </cell>
        </row>
        <row r="667">
          <cell r="A667">
            <v>2</v>
          </cell>
          <cell r="B667" t="str">
            <v>12</v>
          </cell>
          <cell r="C667" t="str">
            <v>000</v>
          </cell>
          <cell r="D667" t="str">
            <v>1</v>
          </cell>
          <cell r="E667" t="str">
            <v>204</v>
          </cell>
          <cell r="F667" t="str">
            <v>N000</v>
          </cell>
          <cell r="G667" t="str">
            <v>313</v>
          </cell>
          <cell r="H667" t="str">
            <v>1103</v>
          </cell>
          <cell r="I667" t="str">
            <v>CF03820</v>
          </cell>
          <cell r="J667" t="str">
            <v>27Z</v>
          </cell>
          <cell r="K667" t="str">
            <v>2</v>
          </cell>
          <cell r="L667">
            <v>1</v>
          </cell>
          <cell r="M667">
            <v>0</v>
          </cell>
          <cell r="N667">
            <v>2900.25</v>
          </cell>
          <cell r="O667" t="str">
            <v>M</v>
          </cell>
          <cell r="P667" t="str">
            <v>00000000</v>
          </cell>
          <cell r="Q667">
            <v>205.15</v>
          </cell>
          <cell r="R667">
            <v>418.93</v>
          </cell>
          <cell r="S667">
            <v>80.56</v>
          </cell>
          <cell r="T667">
            <v>369.78</v>
          </cell>
          <cell r="U667">
            <v>145.01</v>
          </cell>
          <cell r="V667">
            <v>55.89</v>
          </cell>
          <cell r="W667">
            <v>58.01</v>
          </cell>
          <cell r="X667">
            <v>0</v>
          </cell>
          <cell r="Y667">
            <v>0</v>
          </cell>
          <cell r="Z667">
            <v>77.16</v>
          </cell>
          <cell r="AA667">
            <v>77</v>
          </cell>
          <cell r="AB667">
            <v>96</v>
          </cell>
          <cell r="AC667">
            <v>80</v>
          </cell>
          <cell r="AD667">
            <v>13.49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Y667">
            <v>54926.76</v>
          </cell>
        </row>
        <row r="668">
          <cell r="A668">
            <v>2</v>
          </cell>
          <cell r="B668" t="str">
            <v>12</v>
          </cell>
          <cell r="C668" t="str">
            <v>000</v>
          </cell>
          <cell r="D668" t="str">
            <v>1</v>
          </cell>
          <cell r="E668" t="str">
            <v>204</v>
          </cell>
          <cell r="F668" t="str">
            <v>N000</v>
          </cell>
          <cell r="G668" t="str">
            <v>313</v>
          </cell>
          <cell r="H668" t="str">
            <v>1103</v>
          </cell>
          <cell r="I668" t="str">
            <v>CF04807</v>
          </cell>
          <cell r="J668" t="str">
            <v>27Z</v>
          </cell>
          <cell r="K668" t="str">
            <v>2</v>
          </cell>
          <cell r="L668">
            <v>3</v>
          </cell>
          <cell r="M668">
            <v>0</v>
          </cell>
          <cell r="N668">
            <v>2900.25</v>
          </cell>
          <cell r="O668" t="str">
            <v>M</v>
          </cell>
          <cell r="P668" t="str">
            <v>00000000</v>
          </cell>
          <cell r="Q668">
            <v>205.15</v>
          </cell>
          <cell r="R668">
            <v>418.93</v>
          </cell>
          <cell r="S668">
            <v>80.56</v>
          </cell>
          <cell r="T668">
            <v>369.78</v>
          </cell>
          <cell r="U668">
            <v>145.01</v>
          </cell>
          <cell r="V668">
            <v>55.89</v>
          </cell>
          <cell r="W668">
            <v>58.01</v>
          </cell>
          <cell r="X668">
            <v>49</v>
          </cell>
          <cell r="Y668">
            <v>0</v>
          </cell>
          <cell r="Z668">
            <v>78.14</v>
          </cell>
          <cell r="AA668">
            <v>77</v>
          </cell>
          <cell r="AB668">
            <v>96</v>
          </cell>
          <cell r="AC668">
            <v>80</v>
          </cell>
          <cell r="AD668">
            <v>13.49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Y668">
            <v>166579.56</v>
          </cell>
        </row>
        <row r="669">
          <cell r="A669">
            <v>2</v>
          </cell>
          <cell r="B669" t="str">
            <v>12</v>
          </cell>
          <cell r="C669" t="str">
            <v>000</v>
          </cell>
          <cell r="D669" t="str">
            <v>1</v>
          </cell>
          <cell r="E669" t="str">
            <v>204</v>
          </cell>
          <cell r="F669" t="str">
            <v>N000</v>
          </cell>
          <cell r="G669" t="str">
            <v>313</v>
          </cell>
          <cell r="H669" t="str">
            <v>1103</v>
          </cell>
          <cell r="I669" t="str">
            <v>CF04808</v>
          </cell>
          <cell r="J669" t="str">
            <v>27ZA</v>
          </cell>
          <cell r="K669" t="str">
            <v>2</v>
          </cell>
          <cell r="L669">
            <v>10</v>
          </cell>
          <cell r="M669">
            <v>0</v>
          </cell>
          <cell r="N669">
            <v>2982.9</v>
          </cell>
          <cell r="O669" t="str">
            <v>M</v>
          </cell>
          <cell r="P669" t="str">
            <v>00000000</v>
          </cell>
          <cell r="Q669">
            <v>579.4</v>
          </cell>
          <cell r="R669">
            <v>430.86</v>
          </cell>
          <cell r="S669">
            <v>82.86</v>
          </cell>
          <cell r="T669">
            <v>380.32</v>
          </cell>
          <cell r="U669">
            <v>149.15</v>
          </cell>
          <cell r="V669">
            <v>64.12</v>
          </cell>
          <cell r="W669">
            <v>59.66</v>
          </cell>
          <cell r="X669">
            <v>24.6</v>
          </cell>
          <cell r="Y669">
            <v>0</v>
          </cell>
          <cell r="Z669">
            <v>87.07</v>
          </cell>
          <cell r="AA669">
            <v>77</v>
          </cell>
          <cell r="AB669">
            <v>96</v>
          </cell>
          <cell r="AC669">
            <v>80</v>
          </cell>
          <cell r="AD669">
            <v>13.49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Y669">
            <v>612891.6</v>
          </cell>
        </row>
        <row r="670">
          <cell r="A670">
            <v>2</v>
          </cell>
          <cell r="B670" t="str">
            <v>12</v>
          </cell>
          <cell r="C670" t="str">
            <v>000</v>
          </cell>
          <cell r="D670" t="str">
            <v>1</v>
          </cell>
          <cell r="E670" t="str">
            <v>204</v>
          </cell>
          <cell r="F670" t="str">
            <v>N000</v>
          </cell>
          <cell r="G670" t="str">
            <v>313</v>
          </cell>
          <cell r="H670" t="str">
            <v>1103</v>
          </cell>
          <cell r="I670" t="str">
            <v>CF04809</v>
          </cell>
          <cell r="J670" t="str">
            <v>27ZB</v>
          </cell>
          <cell r="K670" t="str">
            <v>2</v>
          </cell>
          <cell r="L670">
            <v>2</v>
          </cell>
          <cell r="M670">
            <v>0</v>
          </cell>
          <cell r="N670">
            <v>3008.65</v>
          </cell>
          <cell r="O670" t="str">
            <v>M</v>
          </cell>
          <cell r="P670" t="str">
            <v>00000000</v>
          </cell>
          <cell r="Q670">
            <v>857</v>
          </cell>
          <cell r="R670">
            <v>434.58</v>
          </cell>
          <cell r="S670">
            <v>83.57</v>
          </cell>
          <cell r="T670">
            <v>383.6</v>
          </cell>
          <cell r="U670">
            <v>150.43</v>
          </cell>
          <cell r="V670">
            <v>69.59</v>
          </cell>
          <cell r="W670">
            <v>60.17</v>
          </cell>
          <cell r="X670">
            <v>27.5</v>
          </cell>
          <cell r="Y670">
            <v>0</v>
          </cell>
          <cell r="Z670">
            <v>93.29</v>
          </cell>
          <cell r="AA670">
            <v>77</v>
          </cell>
          <cell r="AB670">
            <v>96</v>
          </cell>
          <cell r="AC670">
            <v>80</v>
          </cell>
          <cell r="AD670">
            <v>13.49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Y670">
            <v>130436.88</v>
          </cell>
        </row>
        <row r="671">
          <cell r="A671">
            <v>2</v>
          </cell>
          <cell r="B671" t="str">
            <v>12</v>
          </cell>
          <cell r="C671" t="str">
            <v>000</v>
          </cell>
          <cell r="D671" t="str">
            <v>1</v>
          </cell>
          <cell r="E671" t="str">
            <v>204</v>
          </cell>
          <cell r="F671" t="str">
            <v>N000</v>
          </cell>
          <cell r="G671" t="str">
            <v>313</v>
          </cell>
          <cell r="H671" t="str">
            <v>1103</v>
          </cell>
          <cell r="I671" t="str">
            <v>CF21817</v>
          </cell>
          <cell r="J671" t="str">
            <v>27ZA</v>
          </cell>
          <cell r="K671" t="str">
            <v>2</v>
          </cell>
          <cell r="L671">
            <v>1</v>
          </cell>
          <cell r="M671">
            <v>0</v>
          </cell>
          <cell r="N671">
            <v>2982.9</v>
          </cell>
          <cell r="O671" t="str">
            <v>M</v>
          </cell>
          <cell r="P671" t="str">
            <v>00000000</v>
          </cell>
          <cell r="Q671">
            <v>579.4</v>
          </cell>
          <cell r="R671">
            <v>430.86</v>
          </cell>
          <cell r="S671">
            <v>82.86</v>
          </cell>
          <cell r="T671">
            <v>380.32</v>
          </cell>
          <cell r="U671">
            <v>149.15</v>
          </cell>
          <cell r="V671">
            <v>64.12</v>
          </cell>
          <cell r="W671">
            <v>59.66</v>
          </cell>
          <cell r="X671">
            <v>82</v>
          </cell>
          <cell r="Y671">
            <v>0</v>
          </cell>
          <cell r="Z671">
            <v>88.22</v>
          </cell>
          <cell r="AA671">
            <v>77</v>
          </cell>
          <cell r="AB671">
            <v>96</v>
          </cell>
          <cell r="AC671">
            <v>80</v>
          </cell>
          <cell r="AD671">
            <v>13.49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Y671">
            <v>61991.76</v>
          </cell>
        </row>
        <row r="672">
          <cell r="A672">
            <v>2</v>
          </cell>
          <cell r="B672" t="str">
            <v>12</v>
          </cell>
          <cell r="C672" t="str">
            <v>000</v>
          </cell>
          <cell r="D672" t="str">
            <v>1</v>
          </cell>
          <cell r="E672" t="str">
            <v>204</v>
          </cell>
          <cell r="F672" t="str">
            <v>N000</v>
          </cell>
          <cell r="G672" t="str">
            <v>313</v>
          </cell>
          <cell r="H672" t="str">
            <v>1103</v>
          </cell>
          <cell r="I672" t="str">
            <v>CF21864</v>
          </cell>
          <cell r="J672" t="str">
            <v>27C</v>
          </cell>
          <cell r="K672" t="str">
            <v>1</v>
          </cell>
          <cell r="L672">
            <v>3</v>
          </cell>
          <cell r="M672">
            <v>0</v>
          </cell>
          <cell r="N672">
            <v>3268.2</v>
          </cell>
          <cell r="O672" t="str">
            <v>M</v>
          </cell>
          <cell r="P672" t="str">
            <v>00000000</v>
          </cell>
          <cell r="Q672">
            <v>4783.05</v>
          </cell>
          <cell r="R672">
            <v>472.07</v>
          </cell>
          <cell r="S672">
            <v>90.78</v>
          </cell>
          <cell r="T672">
            <v>416.7</v>
          </cell>
          <cell r="U672">
            <v>163.41</v>
          </cell>
          <cell r="V672">
            <v>144.91999999999999</v>
          </cell>
          <cell r="W672">
            <v>65.36</v>
          </cell>
          <cell r="X672">
            <v>36.67</v>
          </cell>
          <cell r="Y672">
            <v>0</v>
          </cell>
          <cell r="Z672">
            <v>174.56</v>
          </cell>
          <cell r="AA672">
            <v>77</v>
          </cell>
          <cell r="AB672">
            <v>0</v>
          </cell>
          <cell r="AC672">
            <v>0</v>
          </cell>
          <cell r="AD672">
            <v>13.49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Y672">
            <v>349423.56</v>
          </cell>
        </row>
        <row r="673">
          <cell r="A673">
            <v>2</v>
          </cell>
          <cell r="B673" t="str">
            <v>12</v>
          </cell>
          <cell r="C673" t="str">
            <v>000</v>
          </cell>
          <cell r="D673" t="str">
            <v>1</v>
          </cell>
          <cell r="E673" t="str">
            <v>204</v>
          </cell>
          <cell r="F673" t="str">
            <v>N000</v>
          </cell>
          <cell r="G673" t="str">
            <v>313</v>
          </cell>
          <cell r="H673" t="str">
            <v>1103</v>
          </cell>
          <cell r="I673" t="str">
            <v>CF21865</v>
          </cell>
          <cell r="J673" t="str">
            <v>27B</v>
          </cell>
          <cell r="K673" t="str">
            <v>1</v>
          </cell>
          <cell r="L673">
            <v>4</v>
          </cell>
          <cell r="M673">
            <v>0</v>
          </cell>
          <cell r="N673">
            <v>3222.2</v>
          </cell>
          <cell r="O673" t="str">
            <v>M</v>
          </cell>
          <cell r="P673" t="str">
            <v>00000000</v>
          </cell>
          <cell r="Q673">
            <v>3558.85</v>
          </cell>
          <cell r="R673">
            <v>465.43</v>
          </cell>
          <cell r="S673">
            <v>89.51</v>
          </cell>
          <cell r="T673">
            <v>410.83</v>
          </cell>
          <cell r="U673">
            <v>161.11000000000001</v>
          </cell>
          <cell r="V673">
            <v>122.06</v>
          </cell>
          <cell r="W673">
            <v>64.44</v>
          </cell>
          <cell r="X673">
            <v>36.75</v>
          </cell>
          <cell r="Y673">
            <v>0</v>
          </cell>
          <cell r="Z673">
            <v>148.99</v>
          </cell>
          <cell r="AA673">
            <v>77</v>
          </cell>
          <cell r="AB673">
            <v>0</v>
          </cell>
          <cell r="AC673">
            <v>0</v>
          </cell>
          <cell r="AD673">
            <v>13.49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Y673">
            <v>401791.68</v>
          </cell>
        </row>
        <row r="674">
          <cell r="A674">
            <v>2</v>
          </cell>
          <cell r="B674" t="str">
            <v>12</v>
          </cell>
          <cell r="C674" t="str">
            <v>000</v>
          </cell>
          <cell r="D674" t="str">
            <v>1</v>
          </cell>
          <cell r="E674" t="str">
            <v>204</v>
          </cell>
          <cell r="F674" t="str">
            <v>N000</v>
          </cell>
          <cell r="G674" t="str">
            <v>313</v>
          </cell>
          <cell r="H674" t="str">
            <v>1103</v>
          </cell>
          <cell r="I674" t="str">
            <v>CF21866</v>
          </cell>
          <cell r="J674" t="str">
            <v>27A</v>
          </cell>
          <cell r="K674" t="str">
            <v>1</v>
          </cell>
          <cell r="L674">
            <v>3</v>
          </cell>
          <cell r="M674">
            <v>0</v>
          </cell>
          <cell r="N674">
            <v>3185.4</v>
          </cell>
          <cell r="O674" t="str">
            <v>M</v>
          </cell>
          <cell r="P674" t="str">
            <v>00000000</v>
          </cell>
          <cell r="Q674">
            <v>2791.7</v>
          </cell>
          <cell r="R674">
            <v>460.11</v>
          </cell>
          <cell r="S674">
            <v>88.48</v>
          </cell>
          <cell r="T674">
            <v>406.14</v>
          </cell>
          <cell r="U674">
            <v>159.27000000000001</v>
          </cell>
          <cell r="V674">
            <v>107.59</v>
          </cell>
          <cell r="W674">
            <v>63.71</v>
          </cell>
          <cell r="X674">
            <v>36.33</v>
          </cell>
          <cell r="Y674">
            <v>0</v>
          </cell>
          <cell r="Z674">
            <v>132.78</v>
          </cell>
          <cell r="AA674">
            <v>77</v>
          </cell>
          <cell r="AB674">
            <v>0</v>
          </cell>
          <cell r="AC674">
            <v>0</v>
          </cell>
          <cell r="AD674">
            <v>13.49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Y674">
            <v>270792</v>
          </cell>
        </row>
        <row r="675">
          <cell r="A675">
            <v>2</v>
          </cell>
          <cell r="B675" t="str">
            <v>12</v>
          </cell>
          <cell r="C675" t="str">
            <v>000</v>
          </cell>
          <cell r="D675" t="str">
            <v>1</v>
          </cell>
          <cell r="E675" t="str">
            <v>204</v>
          </cell>
          <cell r="F675" t="str">
            <v>N000</v>
          </cell>
          <cell r="G675" t="str">
            <v>313</v>
          </cell>
          <cell r="H675" t="str">
            <v>1103</v>
          </cell>
          <cell r="I675" t="str">
            <v>CF33834</v>
          </cell>
          <cell r="J675" t="str">
            <v>27</v>
          </cell>
          <cell r="K675" t="str">
            <v>2</v>
          </cell>
          <cell r="L675">
            <v>2</v>
          </cell>
          <cell r="M675">
            <v>0</v>
          </cell>
          <cell r="N675">
            <v>2817.8</v>
          </cell>
          <cell r="O675" t="str">
            <v>M</v>
          </cell>
          <cell r="P675" t="str">
            <v>00000000</v>
          </cell>
          <cell r="Q675">
            <v>0</v>
          </cell>
          <cell r="R675">
            <v>407.02</v>
          </cell>
          <cell r="S675">
            <v>78.27</v>
          </cell>
          <cell r="T675">
            <v>359.27</v>
          </cell>
          <cell r="U675">
            <v>140.88999999999999</v>
          </cell>
          <cell r="V675">
            <v>50.72</v>
          </cell>
          <cell r="W675">
            <v>56.36</v>
          </cell>
          <cell r="X675">
            <v>46</v>
          </cell>
          <cell r="Y675">
            <v>0</v>
          </cell>
          <cell r="Z675">
            <v>72.040000000000006</v>
          </cell>
          <cell r="AA675">
            <v>77</v>
          </cell>
          <cell r="AB675">
            <v>96</v>
          </cell>
          <cell r="AC675">
            <v>80</v>
          </cell>
          <cell r="AD675">
            <v>13.49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Y675">
            <v>103076.64</v>
          </cell>
        </row>
        <row r="676">
          <cell r="A676">
            <v>2</v>
          </cell>
          <cell r="B676" t="str">
            <v>12</v>
          </cell>
          <cell r="C676" t="str">
            <v>000</v>
          </cell>
          <cell r="D676" t="str">
            <v>1</v>
          </cell>
          <cell r="E676" t="str">
            <v>204</v>
          </cell>
          <cell r="F676" t="str">
            <v>N000</v>
          </cell>
          <cell r="G676" t="str">
            <v>313</v>
          </cell>
          <cell r="H676" t="str">
            <v>1103</v>
          </cell>
          <cell r="I676" t="str">
            <v>CF33892</v>
          </cell>
          <cell r="J676" t="str">
            <v>27ZA</v>
          </cell>
          <cell r="K676" t="str">
            <v>2</v>
          </cell>
          <cell r="L676">
            <v>22</v>
          </cell>
          <cell r="M676">
            <v>0</v>
          </cell>
          <cell r="N676">
            <v>2982.9</v>
          </cell>
          <cell r="O676" t="str">
            <v>M</v>
          </cell>
          <cell r="P676" t="str">
            <v>00000000</v>
          </cell>
          <cell r="Q676">
            <v>579.4</v>
          </cell>
          <cell r="R676">
            <v>430.86</v>
          </cell>
          <cell r="S676">
            <v>82.86</v>
          </cell>
          <cell r="T676">
            <v>380.32</v>
          </cell>
          <cell r="U676">
            <v>149.15</v>
          </cell>
          <cell r="V676">
            <v>64.12</v>
          </cell>
          <cell r="W676">
            <v>59.66</v>
          </cell>
          <cell r="X676">
            <v>67.64</v>
          </cell>
          <cell r="Y676">
            <v>0</v>
          </cell>
          <cell r="Z676">
            <v>87.93</v>
          </cell>
          <cell r="AA676">
            <v>77</v>
          </cell>
          <cell r="AB676">
            <v>96</v>
          </cell>
          <cell r="AC676">
            <v>80</v>
          </cell>
          <cell r="AD676">
            <v>13.49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Y676">
            <v>1359951.12</v>
          </cell>
        </row>
        <row r="677">
          <cell r="A677">
            <v>2</v>
          </cell>
          <cell r="B677" t="str">
            <v>12</v>
          </cell>
          <cell r="C677" t="str">
            <v>000</v>
          </cell>
          <cell r="D677" t="str">
            <v>1</v>
          </cell>
          <cell r="E677" t="str">
            <v>204</v>
          </cell>
          <cell r="F677" t="str">
            <v>N000</v>
          </cell>
          <cell r="G677" t="str">
            <v>313</v>
          </cell>
          <cell r="H677" t="str">
            <v>1103</v>
          </cell>
          <cell r="I677" t="str">
            <v>CF34813</v>
          </cell>
          <cell r="J677" t="str">
            <v>27</v>
          </cell>
          <cell r="K677" t="str">
            <v>2</v>
          </cell>
          <cell r="L677">
            <v>1</v>
          </cell>
          <cell r="M677">
            <v>0</v>
          </cell>
          <cell r="N677">
            <v>2817.8</v>
          </cell>
          <cell r="O677" t="str">
            <v>M</v>
          </cell>
          <cell r="P677" t="str">
            <v>00000000</v>
          </cell>
          <cell r="Q677">
            <v>0</v>
          </cell>
          <cell r="R677">
            <v>407.02</v>
          </cell>
          <cell r="S677">
            <v>78.27</v>
          </cell>
          <cell r="T677">
            <v>359.27</v>
          </cell>
          <cell r="U677">
            <v>140.88999999999999</v>
          </cell>
          <cell r="V677">
            <v>50.72</v>
          </cell>
          <cell r="W677">
            <v>56.36</v>
          </cell>
          <cell r="X677">
            <v>0</v>
          </cell>
          <cell r="Y677">
            <v>0</v>
          </cell>
          <cell r="Z677">
            <v>71.12</v>
          </cell>
          <cell r="AA677">
            <v>77</v>
          </cell>
          <cell r="AB677">
            <v>96</v>
          </cell>
          <cell r="AC677">
            <v>80</v>
          </cell>
          <cell r="AD677">
            <v>13.49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Y677">
            <v>50975.28</v>
          </cell>
        </row>
        <row r="678">
          <cell r="A678">
            <v>2</v>
          </cell>
          <cell r="B678" t="str">
            <v>12</v>
          </cell>
          <cell r="C678" t="str">
            <v>000</v>
          </cell>
          <cell r="D678" t="str">
            <v>1</v>
          </cell>
          <cell r="E678" t="str">
            <v>204</v>
          </cell>
          <cell r="F678" t="str">
            <v>N000</v>
          </cell>
          <cell r="G678" t="str">
            <v>313</v>
          </cell>
          <cell r="H678" t="str">
            <v>1103</v>
          </cell>
          <cell r="I678" t="str">
            <v>CF41015</v>
          </cell>
          <cell r="K678" t="str">
            <v>2</v>
          </cell>
          <cell r="L678">
            <v>1</v>
          </cell>
          <cell r="M678">
            <v>0</v>
          </cell>
          <cell r="N678">
            <v>7285</v>
          </cell>
          <cell r="O678" t="str">
            <v>M</v>
          </cell>
          <cell r="P678" t="str">
            <v>00000000</v>
          </cell>
          <cell r="Q678">
            <v>0</v>
          </cell>
          <cell r="R678">
            <v>1052.28</v>
          </cell>
          <cell r="S678">
            <v>202.36</v>
          </cell>
          <cell r="T678">
            <v>928.84</v>
          </cell>
          <cell r="U678">
            <v>364.25</v>
          </cell>
          <cell r="V678">
            <v>131.13</v>
          </cell>
          <cell r="W678">
            <v>145.69999999999999</v>
          </cell>
          <cell r="X678">
            <v>0</v>
          </cell>
          <cell r="Y678">
            <v>0</v>
          </cell>
          <cell r="Z678">
            <v>268.27</v>
          </cell>
          <cell r="AA678">
            <v>77</v>
          </cell>
          <cell r="AB678">
            <v>96</v>
          </cell>
          <cell r="AC678">
            <v>80</v>
          </cell>
          <cell r="AD678">
            <v>13.49</v>
          </cell>
          <cell r="AE678">
            <v>6.07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4615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Y678">
            <v>183184.68</v>
          </cell>
        </row>
        <row r="679">
          <cell r="A679">
            <v>2</v>
          </cell>
          <cell r="B679" t="str">
            <v>12</v>
          </cell>
          <cell r="C679" t="str">
            <v>000</v>
          </cell>
          <cell r="D679" t="str">
            <v>1</v>
          </cell>
          <cell r="E679" t="str">
            <v>204</v>
          </cell>
          <cell r="F679" t="str">
            <v>N000</v>
          </cell>
          <cell r="G679" t="str">
            <v>313</v>
          </cell>
          <cell r="H679" t="str">
            <v>1103</v>
          </cell>
          <cell r="I679" t="str">
            <v>CF41040</v>
          </cell>
          <cell r="K679" t="str">
            <v>2</v>
          </cell>
          <cell r="L679">
            <v>1</v>
          </cell>
          <cell r="M679">
            <v>0</v>
          </cell>
          <cell r="N679">
            <v>7482</v>
          </cell>
          <cell r="O679" t="str">
            <v>M</v>
          </cell>
          <cell r="P679" t="str">
            <v>00000000</v>
          </cell>
          <cell r="Q679">
            <v>0</v>
          </cell>
          <cell r="R679">
            <v>1080.73</v>
          </cell>
          <cell r="S679">
            <v>207.83</v>
          </cell>
          <cell r="T679">
            <v>953.96</v>
          </cell>
          <cell r="U679">
            <v>374.1</v>
          </cell>
          <cell r="V679">
            <v>134.68</v>
          </cell>
          <cell r="W679">
            <v>149.63999999999999</v>
          </cell>
          <cell r="X679">
            <v>55</v>
          </cell>
          <cell r="Y679">
            <v>0</v>
          </cell>
          <cell r="Z679">
            <v>290.32</v>
          </cell>
          <cell r="AA679">
            <v>77</v>
          </cell>
          <cell r="AB679">
            <v>96</v>
          </cell>
          <cell r="AC679">
            <v>80</v>
          </cell>
          <cell r="AD679">
            <v>13.49</v>
          </cell>
          <cell r="AE679">
            <v>6.24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5431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Y679">
            <v>197183.88</v>
          </cell>
        </row>
        <row r="680">
          <cell r="A680">
            <v>2</v>
          </cell>
          <cell r="B680" t="str">
            <v>12</v>
          </cell>
          <cell r="C680" t="str">
            <v>000</v>
          </cell>
          <cell r="D680" t="str">
            <v>1</v>
          </cell>
          <cell r="E680" t="str">
            <v>101</v>
          </cell>
          <cell r="F680" t="str">
            <v>N000</v>
          </cell>
          <cell r="G680" t="str">
            <v>400</v>
          </cell>
          <cell r="H680" t="str">
            <v>1103</v>
          </cell>
          <cell r="I680" t="str">
            <v>A01803</v>
          </cell>
          <cell r="J680" t="str">
            <v>19</v>
          </cell>
          <cell r="K680" t="str">
            <v>2</v>
          </cell>
          <cell r="L680">
            <v>1</v>
          </cell>
          <cell r="M680">
            <v>0</v>
          </cell>
          <cell r="N680">
            <v>2120.3000000000002</v>
          </cell>
          <cell r="O680" t="str">
            <v>M</v>
          </cell>
          <cell r="P680" t="str">
            <v>00000000</v>
          </cell>
          <cell r="Q680">
            <v>0</v>
          </cell>
          <cell r="R680">
            <v>306.27</v>
          </cell>
          <cell r="S680">
            <v>58.9</v>
          </cell>
          <cell r="T680">
            <v>270.33999999999997</v>
          </cell>
          <cell r="U680">
            <v>106.02</v>
          </cell>
          <cell r="V680">
            <v>38.17</v>
          </cell>
          <cell r="W680">
            <v>42.41</v>
          </cell>
          <cell r="X680">
            <v>0</v>
          </cell>
          <cell r="Y680">
            <v>0</v>
          </cell>
          <cell r="Z680">
            <v>54.77</v>
          </cell>
          <cell r="AA680">
            <v>77</v>
          </cell>
          <cell r="AB680">
            <v>96</v>
          </cell>
          <cell r="AC680">
            <v>80</v>
          </cell>
          <cell r="AD680">
            <v>13.49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Y680">
            <v>39164.04</v>
          </cell>
        </row>
        <row r="681">
          <cell r="A681">
            <v>2</v>
          </cell>
          <cell r="B681" t="str">
            <v>12</v>
          </cell>
          <cell r="C681" t="str">
            <v>000</v>
          </cell>
          <cell r="D681" t="str">
            <v>1</v>
          </cell>
          <cell r="E681" t="str">
            <v>101</v>
          </cell>
          <cell r="F681" t="str">
            <v>N000</v>
          </cell>
          <cell r="G681" t="str">
            <v>400</v>
          </cell>
          <cell r="H681" t="str">
            <v>1103</v>
          </cell>
          <cell r="I681" t="str">
            <v>A01805</v>
          </cell>
          <cell r="J681" t="str">
            <v>21</v>
          </cell>
          <cell r="K681" t="str">
            <v>2</v>
          </cell>
          <cell r="L681">
            <v>12</v>
          </cell>
          <cell r="M681">
            <v>0</v>
          </cell>
          <cell r="N681">
            <v>2238.1999999999998</v>
          </cell>
          <cell r="O681" t="str">
            <v>M</v>
          </cell>
          <cell r="P681" t="str">
            <v>00000000</v>
          </cell>
          <cell r="Q681">
            <v>0</v>
          </cell>
          <cell r="R681">
            <v>323.3</v>
          </cell>
          <cell r="S681">
            <v>62.17</v>
          </cell>
          <cell r="T681">
            <v>285.37</v>
          </cell>
          <cell r="U681">
            <v>111.91</v>
          </cell>
          <cell r="V681">
            <v>40.29</v>
          </cell>
          <cell r="W681">
            <v>44.76</v>
          </cell>
          <cell r="X681">
            <v>29.83</v>
          </cell>
          <cell r="Y681">
            <v>0</v>
          </cell>
          <cell r="Z681">
            <v>58.13</v>
          </cell>
          <cell r="AA681">
            <v>77</v>
          </cell>
          <cell r="AB681">
            <v>96</v>
          </cell>
          <cell r="AC681">
            <v>80</v>
          </cell>
          <cell r="AD681">
            <v>13.49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Y681">
            <v>498304.8</v>
          </cell>
        </row>
        <row r="682">
          <cell r="A682">
            <v>2</v>
          </cell>
          <cell r="B682" t="str">
            <v>12</v>
          </cell>
          <cell r="C682" t="str">
            <v>000</v>
          </cell>
          <cell r="D682" t="str">
            <v>1</v>
          </cell>
          <cell r="E682" t="str">
            <v>101</v>
          </cell>
          <cell r="F682" t="str">
            <v>N000</v>
          </cell>
          <cell r="G682" t="str">
            <v>400</v>
          </cell>
          <cell r="H682" t="str">
            <v>1103</v>
          </cell>
          <cell r="I682" t="str">
            <v>A01806</v>
          </cell>
          <cell r="J682" t="str">
            <v>25</v>
          </cell>
          <cell r="K682" t="str">
            <v>2</v>
          </cell>
          <cell r="L682">
            <v>3</v>
          </cell>
          <cell r="M682">
            <v>0</v>
          </cell>
          <cell r="N682">
            <v>2572.4</v>
          </cell>
          <cell r="O682" t="str">
            <v>M</v>
          </cell>
          <cell r="P682" t="str">
            <v>00000000</v>
          </cell>
          <cell r="Q682">
            <v>0</v>
          </cell>
          <cell r="R682">
            <v>371.57</v>
          </cell>
          <cell r="S682">
            <v>71.459999999999994</v>
          </cell>
          <cell r="T682">
            <v>327.98</v>
          </cell>
          <cell r="U682">
            <v>128.62</v>
          </cell>
          <cell r="V682">
            <v>46.3</v>
          </cell>
          <cell r="W682">
            <v>51.45</v>
          </cell>
          <cell r="X682">
            <v>36.33</v>
          </cell>
          <cell r="Y682">
            <v>0</v>
          </cell>
          <cell r="Z682">
            <v>66.099999999999994</v>
          </cell>
          <cell r="AA682">
            <v>77</v>
          </cell>
          <cell r="AB682">
            <v>96</v>
          </cell>
          <cell r="AC682">
            <v>80</v>
          </cell>
          <cell r="AD682">
            <v>13.49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Y682">
            <v>141793.20000000001</v>
          </cell>
        </row>
        <row r="683">
          <cell r="A683">
            <v>2</v>
          </cell>
          <cell r="B683" t="str">
            <v>12</v>
          </cell>
          <cell r="C683" t="str">
            <v>000</v>
          </cell>
          <cell r="D683" t="str">
            <v>1</v>
          </cell>
          <cell r="E683" t="str">
            <v>101</v>
          </cell>
          <cell r="F683" t="str">
            <v>N000</v>
          </cell>
          <cell r="G683" t="str">
            <v>400</v>
          </cell>
          <cell r="H683" t="str">
            <v>1103</v>
          </cell>
          <cell r="I683" t="str">
            <v>A01807</v>
          </cell>
          <cell r="J683" t="str">
            <v>27</v>
          </cell>
          <cell r="K683" t="str">
            <v>2</v>
          </cell>
          <cell r="L683">
            <v>5</v>
          </cell>
          <cell r="M683">
            <v>0</v>
          </cell>
          <cell r="N683">
            <v>2817.8</v>
          </cell>
          <cell r="O683" t="str">
            <v>M</v>
          </cell>
          <cell r="P683" t="str">
            <v>00000000</v>
          </cell>
          <cell r="Q683">
            <v>0</v>
          </cell>
          <cell r="R683">
            <v>407.02</v>
          </cell>
          <cell r="S683">
            <v>78.27</v>
          </cell>
          <cell r="T683">
            <v>359.27</v>
          </cell>
          <cell r="U683">
            <v>140.88999999999999</v>
          </cell>
          <cell r="V683">
            <v>50.72</v>
          </cell>
          <cell r="W683">
            <v>56.36</v>
          </cell>
          <cell r="X683">
            <v>67.400000000000006</v>
          </cell>
          <cell r="Y683">
            <v>0</v>
          </cell>
          <cell r="Z683">
            <v>72.47</v>
          </cell>
          <cell r="AA683">
            <v>77</v>
          </cell>
          <cell r="AB683">
            <v>96</v>
          </cell>
          <cell r="AC683">
            <v>80</v>
          </cell>
          <cell r="AD683">
            <v>13.49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Y683">
            <v>259001.4</v>
          </cell>
        </row>
        <row r="684">
          <cell r="A684">
            <v>2</v>
          </cell>
          <cell r="B684" t="str">
            <v>12</v>
          </cell>
          <cell r="C684" t="str">
            <v>000</v>
          </cell>
          <cell r="D684" t="str">
            <v>1</v>
          </cell>
          <cell r="E684" t="str">
            <v>101</v>
          </cell>
          <cell r="F684" t="str">
            <v>N000</v>
          </cell>
          <cell r="G684" t="str">
            <v>400</v>
          </cell>
          <cell r="H684" t="str">
            <v>1103</v>
          </cell>
          <cell r="I684" t="str">
            <v>A03803</v>
          </cell>
          <cell r="J684" t="str">
            <v>20</v>
          </cell>
          <cell r="K684" t="str">
            <v>2</v>
          </cell>
          <cell r="L684">
            <v>4</v>
          </cell>
          <cell r="M684">
            <v>0</v>
          </cell>
          <cell r="N684">
            <v>2138.85</v>
          </cell>
          <cell r="O684" t="str">
            <v>M</v>
          </cell>
          <cell r="P684" t="str">
            <v>00000000</v>
          </cell>
          <cell r="Q684">
            <v>0</v>
          </cell>
          <cell r="R684">
            <v>308.94</v>
          </cell>
          <cell r="S684">
            <v>59.41</v>
          </cell>
          <cell r="T684">
            <v>272.7</v>
          </cell>
          <cell r="U684">
            <v>106.94</v>
          </cell>
          <cell r="V684">
            <v>38.5</v>
          </cell>
          <cell r="W684">
            <v>42.78</v>
          </cell>
          <cell r="X684">
            <v>11.5</v>
          </cell>
          <cell r="Y684">
            <v>0</v>
          </cell>
          <cell r="Z684">
            <v>55.43</v>
          </cell>
          <cell r="AA684">
            <v>77</v>
          </cell>
          <cell r="AB684">
            <v>96</v>
          </cell>
          <cell r="AC684">
            <v>80</v>
          </cell>
          <cell r="AD684">
            <v>13.49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Y684">
            <v>158473.92000000001</v>
          </cell>
        </row>
        <row r="685">
          <cell r="A685">
            <v>2</v>
          </cell>
          <cell r="B685" t="str">
            <v>12</v>
          </cell>
          <cell r="C685" t="str">
            <v>000</v>
          </cell>
          <cell r="D685" t="str">
            <v>1</v>
          </cell>
          <cell r="E685" t="str">
            <v>101</v>
          </cell>
          <cell r="F685" t="str">
            <v>N000</v>
          </cell>
          <cell r="G685" t="str">
            <v>400</v>
          </cell>
          <cell r="H685" t="str">
            <v>1103</v>
          </cell>
          <cell r="I685" t="str">
            <v>A03804</v>
          </cell>
          <cell r="J685" t="str">
            <v>23</v>
          </cell>
          <cell r="K685" t="str">
            <v>2</v>
          </cell>
          <cell r="L685">
            <v>7</v>
          </cell>
          <cell r="M685">
            <v>0</v>
          </cell>
          <cell r="N685">
            <v>2451.25</v>
          </cell>
          <cell r="O685" t="str">
            <v>M</v>
          </cell>
          <cell r="P685" t="str">
            <v>00000000</v>
          </cell>
          <cell r="Q685">
            <v>0</v>
          </cell>
          <cell r="R685">
            <v>354.07</v>
          </cell>
          <cell r="S685">
            <v>68.09</v>
          </cell>
          <cell r="T685">
            <v>312.52999999999997</v>
          </cell>
          <cell r="U685">
            <v>122.56</v>
          </cell>
          <cell r="V685">
            <v>44.12</v>
          </cell>
          <cell r="W685">
            <v>49.02</v>
          </cell>
          <cell r="X685">
            <v>46</v>
          </cell>
          <cell r="Y685">
            <v>0</v>
          </cell>
          <cell r="Z685">
            <v>63.45</v>
          </cell>
          <cell r="AA685">
            <v>77</v>
          </cell>
          <cell r="AB685">
            <v>96</v>
          </cell>
          <cell r="AC685">
            <v>80</v>
          </cell>
          <cell r="AD685">
            <v>13.49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Y685">
            <v>317316.71999999997</v>
          </cell>
        </row>
        <row r="686">
          <cell r="A686">
            <v>2</v>
          </cell>
          <cell r="B686" t="str">
            <v>12</v>
          </cell>
          <cell r="C686" t="str">
            <v>000</v>
          </cell>
          <cell r="D686" t="str">
            <v>1</v>
          </cell>
          <cell r="E686" t="str">
            <v>101</v>
          </cell>
          <cell r="F686" t="str">
            <v>N000</v>
          </cell>
          <cell r="G686" t="str">
            <v>400</v>
          </cell>
          <cell r="H686" t="str">
            <v>1103</v>
          </cell>
          <cell r="I686" t="str">
            <v>CFMC03</v>
          </cell>
          <cell r="J686" t="str">
            <v>MC03</v>
          </cell>
          <cell r="K686" t="str">
            <v>1</v>
          </cell>
          <cell r="L686">
            <v>2</v>
          </cell>
          <cell r="M686">
            <v>0</v>
          </cell>
          <cell r="N686">
            <v>4311.3999999999996</v>
          </cell>
          <cell r="O686" t="str">
            <v>M</v>
          </cell>
          <cell r="P686" t="str">
            <v>00000000</v>
          </cell>
          <cell r="Q686">
            <v>11306.9</v>
          </cell>
          <cell r="R686">
            <v>622.76</v>
          </cell>
          <cell r="S686">
            <v>119.76</v>
          </cell>
          <cell r="T686">
            <v>549.70000000000005</v>
          </cell>
          <cell r="U686">
            <v>215.57</v>
          </cell>
          <cell r="V686">
            <v>281.13</v>
          </cell>
          <cell r="W686">
            <v>86.23</v>
          </cell>
          <cell r="X686">
            <v>68</v>
          </cell>
          <cell r="Y686">
            <v>780.91</v>
          </cell>
          <cell r="Z686">
            <v>330.12</v>
          </cell>
          <cell r="AA686">
            <v>77</v>
          </cell>
          <cell r="AB686">
            <v>0</v>
          </cell>
          <cell r="AC686">
            <v>0</v>
          </cell>
          <cell r="AD686">
            <v>13.49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Y686">
            <v>450311.28</v>
          </cell>
        </row>
        <row r="687">
          <cell r="A687">
            <v>2</v>
          </cell>
          <cell r="B687" t="str">
            <v>12</v>
          </cell>
          <cell r="C687" t="str">
            <v>000</v>
          </cell>
          <cell r="D687" t="str">
            <v>1</v>
          </cell>
          <cell r="E687" t="str">
            <v>101</v>
          </cell>
          <cell r="F687" t="str">
            <v>N000</v>
          </cell>
          <cell r="G687" t="str">
            <v>400</v>
          </cell>
          <cell r="H687" t="str">
            <v>1103</v>
          </cell>
          <cell r="I687" t="str">
            <v>CFMD01</v>
          </cell>
          <cell r="J687" t="str">
            <v>MD01</v>
          </cell>
          <cell r="K687" t="str">
            <v>1</v>
          </cell>
          <cell r="L687">
            <v>1</v>
          </cell>
          <cell r="M687">
            <v>0</v>
          </cell>
          <cell r="N687">
            <v>19938.849999999999</v>
          </cell>
          <cell r="O687" t="str">
            <v>M</v>
          </cell>
          <cell r="P687" t="str">
            <v>00000000</v>
          </cell>
          <cell r="Q687">
            <v>125984.15</v>
          </cell>
          <cell r="R687">
            <v>2880.06</v>
          </cell>
          <cell r="S687">
            <v>553.86</v>
          </cell>
          <cell r="T687">
            <v>2542.1999999999998</v>
          </cell>
          <cell r="U687">
            <v>996.94</v>
          </cell>
          <cell r="V687">
            <v>2626.61</v>
          </cell>
          <cell r="W687">
            <v>398.78</v>
          </cell>
          <cell r="X687">
            <v>82</v>
          </cell>
          <cell r="Y687">
            <v>7296.15</v>
          </cell>
          <cell r="Z687">
            <v>2990.32</v>
          </cell>
          <cell r="AA687">
            <v>77</v>
          </cell>
          <cell r="AB687">
            <v>0</v>
          </cell>
          <cell r="AC687">
            <v>0</v>
          </cell>
          <cell r="AD687">
            <v>13.49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Y687">
            <v>1996564.92</v>
          </cell>
        </row>
        <row r="688">
          <cell r="A688">
            <v>2</v>
          </cell>
          <cell r="B688" t="str">
            <v>12</v>
          </cell>
          <cell r="C688" t="str">
            <v>000</v>
          </cell>
          <cell r="D688" t="str">
            <v>1</v>
          </cell>
          <cell r="E688" t="str">
            <v>101</v>
          </cell>
          <cell r="F688" t="str">
            <v>N000</v>
          </cell>
          <cell r="G688" t="str">
            <v>400</v>
          </cell>
          <cell r="H688" t="str">
            <v>1103</v>
          </cell>
          <cell r="I688" t="str">
            <v>CFMD09</v>
          </cell>
          <cell r="J688" t="str">
            <v>MD09</v>
          </cell>
          <cell r="K688" t="str">
            <v>1</v>
          </cell>
          <cell r="L688">
            <v>1</v>
          </cell>
          <cell r="M688">
            <v>0</v>
          </cell>
          <cell r="N688">
            <v>14852.65</v>
          </cell>
          <cell r="O688" t="str">
            <v>M</v>
          </cell>
          <cell r="P688" t="str">
            <v>00000000</v>
          </cell>
          <cell r="Q688">
            <v>100991.65</v>
          </cell>
          <cell r="R688">
            <v>2145.38</v>
          </cell>
          <cell r="S688">
            <v>412.57</v>
          </cell>
          <cell r="T688">
            <v>1893.71</v>
          </cell>
          <cell r="U688">
            <v>742.63</v>
          </cell>
          <cell r="V688">
            <v>2085.1999999999998</v>
          </cell>
          <cell r="W688">
            <v>297.05</v>
          </cell>
          <cell r="X688">
            <v>82</v>
          </cell>
          <cell r="Y688">
            <v>5792.22</v>
          </cell>
          <cell r="Z688">
            <v>2371.2199999999998</v>
          </cell>
          <cell r="AA688">
            <v>77</v>
          </cell>
          <cell r="AB688">
            <v>0</v>
          </cell>
          <cell r="AC688">
            <v>0</v>
          </cell>
          <cell r="AD688">
            <v>13.49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Y688">
            <v>1581081.24</v>
          </cell>
        </row>
        <row r="689">
          <cell r="A689">
            <v>2</v>
          </cell>
          <cell r="B689" t="str">
            <v>12</v>
          </cell>
          <cell r="C689" t="str">
            <v>000</v>
          </cell>
          <cell r="D689" t="str">
            <v>1</v>
          </cell>
          <cell r="E689" t="str">
            <v>101</v>
          </cell>
          <cell r="F689" t="str">
            <v>N000</v>
          </cell>
          <cell r="G689" t="str">
            <v>400</v>
          </cell>
          <cell r="H689" t="str">
            <v>1103</v>
          </cell>
          <cell r="I689" t="str">
            <v>CFMD12</v>
          </cell>
          <cell r="J689" t="str">
            <v>MD12</v>
          </cell>
          <cell r="K689" t="str">
            <v>1</v>
          </cell>
          <cell r="L689">
            <v>1</v>
          </cell>
          <cell r="M689">
            <v>0</v>
          </cell>
          <cell r="N689">
            <v>12026.05</v>
          </cell>
          <cell r="O689" t="str">
            <v>M</v>
          </cell>
          <cell r="P689" t="str">
            <v>00000000</v>
          </cell>
          <cell r="Q689">
            <v>72295.199999999997</v>
          </cell>
          <cell r="R689">
            <v>1737.1</v>
          </cell>
          <cell r="S689">
            <v>334.06</v>
          </cell>
          <cell r="T689">
            <v>1533.32</v>
          </cell>
          <cell r="U689">
            <v>601.29999999999995</v>
          </cell>
          <cell r="V689">
            <v>1517.78</v>
          </cell>
          <cell r="W689">
            <v>240.52</v>
          </cell>
          <cell r="X689">
            <v>82</v>
          </cell>
          <cell r="Y689">
            <v>4216.0600000000004</v>
          </cell>
          <cell r="Z689">
            <v>1731.03</v>
          </cell>
          <cell r="AA689">
            <v>77</v>
          </cell>
          <cell r="AB689">
            <v>0</v>
          </cell>
          <cell r="AC689">
            <v>0</v>
          </cell>
          <cell r="AD689">
            <v>13.49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Y689">
            <v>1156858.92</v>
          </cell>
        </row>
        <row r="690">
          <cell r="A690">
            <v>2</v>
          </cell>
          <cell r="B690" t="str">
            <v>12</v>
          </cell>
          <cell r="C690" t="str">
            <v>000</v>
          </cell>
          <cell r="D690" t="str">
            <v>1</v>
          </cell>
          <cell r="E690" t="str">
            <v>101</v>
          </cell>
          <cell r="F690" t="str">
            <v>N000</v>
          </cell>
          <cell r="G690" t="str">
            <v>400</v>
          </cell>
          <cell r="H690" t="str">
            <v>1103</v>
          </cell>
          <cell r="I690" t="str">
            <v>CFMG06</v>
          </cell>
          <cell r="J690" t="str">
            <v>MG06</v>
          </cell>
          <cell r="K690" t="str">
            <v>1</v>
          </cell>
          <cell r="L690">
            <v>2</v>
          </cell>
          <cell r="M690">
            <v>0</v>
          </cell>
          <cell r="N690">
            <v>8232.25</v>
          </cell>
          <cell r="O690" t="str">
            <v>M</v>
          </cell>
          <cell r="P690" t="str">
            <v>00000000</v>
          </cell>
          <cell r="Q690">
            <v>38872.050000000003</v>
          </cell>
          <cell r="R690">
            <v>1189.0999999999999</v>
          </cell>
          <cell r="S690">
            <v>228.67</v>
          </cell>
          <cell r="T690">
            <v>1049.6099999999999</v>
          </cell>
          <cell r="U690">
            <v>411.61</v>
          </cell>
          <cell r="V690">
            <v>847.88</v>
          </cell>
          <cell r="W690">
            <v>164.65</v>
          </cell>
          <cell r="X690">
            <v>41</v>
          </cell>
          <cell r="Y690">
            <v>2355.2199999999998</v>
          </cell>
          <cell r="Z690">
            <v>972.8</v>
          </cell>
          <cell r="AA690">
            <v>77</v>
          </cell>
          <cell r="AB690">
            <v>0</v>
          </cell>
          <cell r="AC690">
            <v>0</v>
          </cell>
          <cell r="AD690">
            <v>13.49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Y690">
            <v>1306927.92</v>
          </cell>
        </row>
        <row r="691">
          <cell r="A691">
            <v>2</v>
          </cell>
          <cell r="B691" t="str">
            <v>12</v>
          </cell>
          <cell r="C691" t="str">
            <v>000</v>
          </cell>
          <cell r="D691" t="str">
            <v>1</v>
          </cell>
          <cell r="E691" t="str">
            <v>101</v>
          </cell>
          <cell r="F691" t="str">
            <v>N000</v>
          </cell>
          <cell r="G691" t="str">
            <v>400</v>
          </cell>
          <cell r="H691" t="str">
            <v>1103</v>
          </cell>
          <cell r="I691" t="str">
            <v>CFMS03</v>
          </cell>
          <cell r="J691" t="str">
            <v>MS03</v>
          </cell>
          <cell r="K691" t="str">
            <v>1</v>
          </cell>
          <cell r="L691">
            <v>2</v>
          </cell>
          <cell r="M691">
            <v>0</v>
          </cell>
          <cell r="N691">
            <v>5431.75</v>
          </cell>
          <cell r="O691" t="str">
            <v>M</v>
          </cell>
          <cell r="P691" t="str">
            <v>00000000</v>
          </cell>
          <cell r="Q691">
            <v>24512.85</v>
          </cell>
          <cell r="R691">
            <v>784.59</v>
          </cell>
          <cell r="S691">
            <v>150.88</v>
          </cell>
          <cell r="T691">
            <v>692.55</v>
          </cell>
          <cell r="U691">
            <v>271.58999999999997</v>
          </cell>
          <cell r="V691">
            <v>539</v>
          </cell>
          <cell r="W691">
            <v>108.64</v>
          </cell>
          <cell r="X691">
            <v>55</v>
          </cell>
          <cell r="Y691">
            <v>1497.23</v>
          </cell>
          <cell r="Z691">
            <v>620.24</v>
          </cell>
          <cell r="AA691">
            <v>77</v>
          </cell>
          <cell r="AB691">
            <v>0</v>
          </cell>
          <cell r="AC691">
            <v>0</v>
          </cell>
          <cell r="AD691">
            <v>13.49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Y691">
            <v>834115.44</v>
          </cell>
        </row>
        <row r="692">
          <cell r="A692">
            <v>2</v>
          </cell>
          <cell r="B692" t="str">
            <v>12</v>
          </cell>
          <cell r="C692" t="str">
            <v>000</v>
          </cell>
          <cell r="D692" t="str">
            <v>1</v>
          </cell>
          <cell r="E692" t="str">
            <v>101</v>
          </cell>
          <cell r="F692" t="str">
            <v>N000</v>
          </cell>
          <cell r="G692" t="str">
            <v>400</v>
          </cell>
          <cell r="H692" t="str">
            <v>1103</v>
          </cell>
          <cell r="I692" t="str">
            <v>CFMS08</v>
          </cell>
          <cell r="J692" t="str">
            <v>MS08</v>
          </cell>
          <cell r="K692" t="str">
            <v>1</v>
          </cell>
          <cell r="L692">
            <v>3</v>
          </cell>
          <cell r="M692">
            <v>0</v>
          </cell>
          <cell r="N692">
            <v>4801.8999999999996</v>
          </cell>
          <cell r="O692" t="str">
            <v>M</v>
          </cell>
          <cell r="P692" t="str">
            <v>00000000</v>
          </cell>
          <cell r="Q692">
            <v>18269.849999999999</v>
          </cell>
          <cell r="R692">
            <v>693.61</v>
          </cell>
          <cell r="S692">
            <v>133.38999999999999</v>
          </cell>
          <cell r="T692">
            <v>612.24</v>
          </cell>
          <cell r="U692">
            <v>240.09</v>
          </cell>
          <cell r="V692">
            <v>415.29</v>
          </cell>
          <cell r="W692">
            <v>96.04</v>
          </cell>
          <cell r="X692">
            <v>51.67</v>
          </cell>
          <cell r="Y692">
            <v>1153.5899999999999</v>
          </cell>
          <cell r="Z692">
            <v>480.55</v>
          </cell>
          <cell r="AA692">
            <v>77</v>
          </cell>
          <cell r="AB692">
            <v>0</v>
          </cell>
          <cell r="AC692">
            <v>0</v>
          </cell>
          <cell r="AD692">
            <v>13.49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Y692">
            <v>973393.56</v>
          </cell>
        </row>
        <row r="693">
          <cell r="A693">
            <v>2</v>
          </cell>
          <cell r="B693" t="str">
            <v>12</v>
          </cell>
          <cell r="C693" t="str">
            <v>000</v>
          </cell>
          <cell r="D693" t="str">
            <v>1</v>
          </cell>
          <cell r="E693" t="str">
            <v>101</v>
          </cell>
          <cell r="F693" t="str">
            <v>N000</v>
          </cell>
          <cell r="G693" t="str">
            <v>400</v>
          </cell>
          <cell r="H693" t="str">
            <v>1103</v>
          </cell>
          <cell r="I693" t="str">
            <v>M01004</v>
          </cell>
          <cell r="K693" t="str">
            <v>2</v>
          </cell>
          <cell r="L693">
            <v>2</v>
          </cell>
          <cell r="M693">
            <v>0</v>
          </cell>
          <cell r="N693">
            <v>6400</v>
          </cell>
          <cell r="O693" t="str">
            <v>M</v>
          </cell>
          <cell r="P693" t="str">
            <v>00000000</v>
          </cell>
          <cell r="Q693">
            <v>0</v>
          </cell>
          <cell r="R693">
            <v>924.44</v>
          </cell>
          <cell r="S693">
            <v>177.78</v>
          </cell>
          <cell r="T693">
            <v>816</v>
          </cell>
          <cell r="U693">
            <v>320</v>
          </cell>
          <cell r="V693">
            <v>115.2</v>
          </cell>
          <cell r="W693">
            <v>128</v>
          </cell>
          <cell r="X693">
            <v>109</v>
          </cell>
          <cell r="Y693">
            <v>0</v>
          </cell>
          <cell r="Z693">
            <v>289.70999999999998</v>
          </cell>
          <cell r="AA693">
            <v>77</v>
          </cell>
          <cell r="AB693">
            <v>96</v>
          </cell>
          <cell r="AC693">
            <v>80</v>
          </cell>
          <cell r="AD693">
            <v>13.49</v>
          </cell>
          <cell r="AE693">
            <v>5.33</v>
          </cell>
          <cell r="AF693">
            <v>0</v>
          </cell>
          <cell r="AG693">
            <v>0</v>
          </cell>
          <cell r="AH693">
            <v>4086</v>
          </cell>
          <cell r="AI693">
            <v>0</v>
          </cell>
          <cell r="AJ693">
            <v>2530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Y693">
            <v>388030.8</v>
          </cell>
        </row>
        <row r="694">
          <cell r="A694">
            <v>2</v>
          </cell>
          <cell r="B694" t="str">
            <v>12</v>
          </cell>
          <cell r="C694" t="str">
            <v>000</v>
          </cell>
          <cell r="D694" t="str">
            <v>1</v>
          </cell>
          <cell r="E694" t="str">
            <v>101</v>
          </cell>
          <cell r="F694" t="str">
            <v>N000</v>
          </cell>
          <cell r="G694" t="str">
            <v>400</v>
          </cell>
          <cell r="H694" t="str">
            <v>1103</v>
          </cell>
          <cell r="I694" t="str">
            <v>M02001</v>
          </cell>
          <cell r="K694" t="str">
            <v>2</v>
          </cell>
          <cell r="L694">
            <v>2</v>
          </cell>
          <cell r="M694">
            <v>0</v>
          </cell>
          <cell r="N694">
            <v>5000</v>
          </cell>
          <cell r="O694" t="str">
            <v>M</v>
          </cell>
          <cell r="P694" t="str">
            <v>00000000</v>
          </cell>
          <cell r="Q694">
            <v>0</v>
          </cell>
          <cell r="R694">
            <v>722.22</v>
          </cell>
          <cell r="S694">
            <v>138.88999999999999</v>
          </cell>
          <cell r="T694">
            <v>637.5</v>
          </cell>
          <cell r="U694">
            <v>250</v>
          </cell>
          <cell r="V694">
            <v>90</v>
          </cell>
          <cell r="W694">
            <v>100</v>
          </cell>
          <cell r="X694">
            <v>64</v>
          </cell>
          <cell r="Y694">
            <v>0</v>
          </cell>
          <cell r="Z694">
            <v>175.65</v>
          </cell>
          <cell r="AA694">
            <v>77</v>
          </cell>
          <cell r="AB694">
            <v>96</v>
          </cell>
          <cell r="AC694">
            <v>80</v>
          </cell>
          <cell r="AD694">
            <v>13.49</v>
          </cell>
          <cell r="AE694">
            <v>4.17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2600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Y694">
            <v>241174.08</v>
          </cell>
        </row>
        <row r="695">
          <cell r="A695">
            <v>2</v>
          </cell>
          <cell r="B695" t="str">
            <v>12</v>
          </cell>
          <cell r="C695" t="str">
            <v>000</v>
          </cell>
          <cell r="D695" t="str">
            <v>1</v>
          </cell>
          <cell r="E695" t="str">
            <v>101</v>
          </cell>
          <cell r="F695" t="str">
            <v>N000</v>
          </cell>
          <cell r="G695" t="str">
            <v>400</v>
          </cell>
          <cell r="H695" t="str">
            <v>1103</v>
          </cell>
          <cell r="I695" t="str">
            <v>M02027</v>
          </cell>
          <cell r="K695" t="str">
            <v>2</v>
          </cell>
          <cell r="L695">
            <v>3</v>
          </cell>
          <cell r="M695">
            <v>0</v>
          </cell>
          <cell r="N695">
            <v>4940</v>
          </cell>
          <cell r="O695" t="str">
            <v>M</v>
          </cell>
          <cell r="P695" t="str">
            <v>00000000</v>
          </cell>
          <cell r="Q695">
            <v>0</v>
          </cell>
          <cell r="R695">
            <v>713.56</v>
          </cell>
          <cell r="S695">
            <v>137.22</v>
          </cell>
          <cell r="T695">
            <v>629.85</v>
          </cell>
          <cell r="U695">
            <v>247</v>
          </cell>
          <cell r="V695">
            <v>88.92</v>
          </cell>
          <cell r="W695">
            <v>98.8</v>
          </cell>
          <cell r="X695">
            <v>63.67</v>
          </cell>
          <cell r="Y695">
            <v>0</v>
          </cell>
          <cell r="Z695">
            <v>168.33</v>
          </cell>
          <cell r="AA695">
            <v>77</v>
          </cell>
          <cell r="AB695">
            <v>96</v>
          </cell>
          <cell r="AC695">
            <v>80</v>
          </cell>
          <cell r="AD695">
            <v>13.49</v>
          </cell>
          <cell r="AE695">
            <v>4.12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2305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Y695">
            <v>347866.56</v>
          </cell>
        </row>
        <row r="696">
          <cell r="A696">
            <v>2</v>
          </cell>
          <cell r="B696" t="str">
            <v>12</v>
          </cell>
          <cell r="C696" t="str">
            <v>000</v>
          </cell>
          <cell r="D696" t="str">
            <v>1</v>
          </cell>
          <cell r="E696" t="str">
            <v>101</v>
          </cell>
          <cell r="F696" t="str">
            <v>N000</v>
          </cell>
          <cell r="G696" t="str">
            <v>400</v>
          </cell>
          <cell r="H696" t="str">
            <v>1103</v>
          </cell>
          <cell r="I696" t="str">
            <v>M02046</v>
          </cell>
          <cell r="K696" t="str">
            <v>2</v>
          </cell>
          <cell r="L696">
            <v>1</v>
          </cell>
          <cell r="M696">
            <v>0</v>
          </cell>
          <cell r="N696">
            <v>2793</v>
          </cell>
          <cell r="O696" t="str">
            <v>M</v>
          </cell>
          <cell r="P696" t="str">
            <v>00000000</v>
          </cell>
          <cell r="Q696">
            <v>0</v>
          </cell>
          <cell r="R696">
            <v>403.43</v>
          </cell>
          <cell r="S696">
            <v>77.58</v>
          </cell>
          <cell r="T696">
            <v>356.11</v>
          </cell>
          <cell r="U696">
            <v>139.65</v>
          </cell>
          <cell r="V696">
            <v>50.27</v>
          </cell>
          <cell r="W696">
            <v>55.86</v>
          </cell>
          <cell r="X696">
            <v>46</v>
          </cell>
          <cell r="Y696">
            <v>0</v>
          </cell>
          <cell r="Z696">
            <v>96.71</v>
          </cell>
          <cell r="AA696">
            <v>77</v>
          </cell>
          <cell r="AB696">
            <v>96</v>
          </cell>
          <cell r="AC696">
            <v>80</v>
          </cell>
          <cell r="AD696">
            <v>13.49</v>
          </cell>
          <cell r="AE696">
            <v>2.33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1260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Y696">
            <v>66569.16</v>
          </cell>
        </row>
        <row r="697">
          <cell r="A697">
            <v>2</v>
          </cell>
          <cell r="B697" t="str">
            <v>12</v>
          </cell>
          <cell r="C697" t="str">
            <v>000</v>
          </cell>
          <cell r="D697" t="str">
            <v>1</v>
          </cell>
          <cell r="E697" t="str">
            <v>101</v>
          </cell>
          <cell r="F697" t="str">
            <v>N000</v>
          </cell>
          <cell r="G697" t="str">
            <v>400</v>
          </cell>
          <cell r="H697" t="str">
            <v>1103</v>
          </cell>
          <cell r="I697" t="str">
            <v>M02056</v>
          </cell>
          <cell r="K697" t="str">
            <v>2</v>
          </cell>
          <cell r="L697">
            <v>12</v>
          </cell>
          <cell r="M697">
            <v>0</v>
          </cell>
          <cell r="N697">
            <v>3221</v>
          </cell>
          <cell r="O697" t="str">
            <v>M</v>
          </cell>
          <cell r="P697" t="str">
            <v>00000000</v>
          </cell>
          <cell r="Q697">
            <v>0</v>
          </cell>
          <cell r="R697">
            <v>465.26</v>
          </cell>
          <cell r="S697">
            <v>89.47</v>
          </cell>
          <cell r="T697">
            <v>410.68</v>
          </cell>
          <cell r="U697">
            <v>161.05000000000001</v>
          </cell>
          <cell r="V697">
            <v>57.98</v>
          </cell>
          <cell r="W697">
            <v>64.42</v>
          </cell>
          <cell r="X697">
            <v>0</v>
          </cell>
          <cell r="Y697">
            <v>0</v>
          </cell>
          <cell r="Z697">
            <v>112.63</v>
          </cell>
          <cell r="AA697">
            <v>77</v>
          </cell>
          <cell r="AB697">
            <v>96</v>
          </cell>
          <cell r="AC697">
            <v>80</v>
          </cell>
          <cell r="AD697">
            <v>13.49</v>
          </cell>
          <cell r="AE697">
            <v>2.68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1600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Y697">
            <v>929039.04</v>
          </cell>
        </row>
        <row r="698">
          <cell r="A698">
            <v>2</v>
          </cell>
          <cell r="B698" t="str">
            <v>12</v>
          </cell>
          <cell r="C698" t="str">
            <v>000</v>
          </cell>
          <cell r="D698" t="str">
            <v>1</v>
          </cell>
          <cell r="E698" t="str">
            <v>101</v>
          </cell>
          <cell r="F698" t="str">
            <v>N000</v>
          </cell>
          <cell r="G698" t="str">
            <v>400</v>
          </cell>
          <cell r="H698" t="str">
            <v>1103</v>
          </cell>
          <cell r="I698" t="str">
            <v>M02087</v>
          </cell>
          <cell r="K698" t="str">
            <v>2</v>
          </cell>
          <cell r="L698">
            <v>1</v>
          </cell>
          <cell r="M698">
            <v>0</v>
          </cell>
          <cell r="N698">
            <v>4285</v>
          </cell>
          <cell r="O698" t="str">
            <v>M</v>
          </cell>
          <cell r="P698" t="str">
            <v>00000000</v>
          </cell>
          <cell r="Q698">
            <v>0</v>
          </cell>
          <cell r="R698">
            <v>618.94000000000005</v>
          </cell>
          <cell r="S698">
            <v>119.03</v>
          </cell>
          <cell r="T698">
            <v>546.34</v>
          </cell>
          <cell r="U698">
            <v>214.25</v>
          </cell>
          <cell r="V698">
            <v>77.13</v>
          </cell>
          <cell r="W698">
            <v>85.7</v>
          </cell>
          <cell r="X698">
            <v>0</v>
          </cell>
          <cell r="Y698">
            <v>0</v>
          </cell>
          <cell r="Z698">
            <v>166.25</v>
          </cell>
          <cell r="AA698">
            <v>77</v>
          </cell>
          <cell r="AB698">
            <v>96</v>
          </cell>
          <cell r="AC698">
            <v>80</v>
          </cell>
          <cell r="AD698">
            <v>13.49</v>
          </cell>
          <cell r="AE698">
            <v>3.57</v>
          </cell>
          <cell r="AF698">
            <v>0</v>
          </cell>
          <cell r="AG698">
            <v>0</v>
          </cell>
          <cell r="AH698">
            <v>837</v>
          </cell>
          <cell r="AI698">
            <v>0</v>
          </cell>
          <cell r="AJ698">
            <v>2196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Y698">
            <v>112988.4</v>
          </cell>
        </row>
        <row r="699">
          <cell r="A699">
            <v>2</v>
          </cell>
          <cell r="B699" t="str">
            <v>12</v>
          </cell>
          <cell r="C699" t="str">
            <v>000</v>
          </cell>
          <cell r="D699" t="str">
            <v>1</v>
          </cell>
          <cell r="E699" t="str">
            <v>101</v>
          </cell>
          <cell r="F699" t="str">
            <v>N000</v>
          </cell>
          <cell r="G699" t="str">
            <v>400</v>
          </cell>
          <cell r="H699" t="str">
            <v>1103</v>
          </cell>
          <cell r="I699" t="str">
            <v>S01805</v>
          </cell>
          <cell r="J699" t="str">
            <v>23</v>
          </cell>
          <cell r="K699" t="str">
            <v>2</v>
          </cell>
          <cell r="L699">
            <v>1</v>
          </cell>
          <cell r="M699">
            <v>0</v>
          </cell>
          <cell r="N699">
            <v>2451.25</v>
          </cell>
          <cell r="O699" t="str">
            <v>M</v>
          </cell>
          <cell r="P699" t="str">
            <v>00000000</v>
          </cell>
          <cell r="Q699">
            <v>0</v>
          </cell>
          <cell r="R699">
            <v>354.07</v>
          </cell>
          <cell r="S699">
            <v>68.09</v>
          </cell>
          <cell r="T699">
            <v>312.52999999999997</v>
          </cell>
          <cell r="U699">
            <v>122.56</v>
          </cell>
          <cell r="V699">
            <v>44.12</v>
          </cell>
          <cell r="W699">
            <v>49.02</v>
          </cell>
          <cell r="X699">
            <v>46</v>
          </cell>
          <cell r="Y699">
            <v>0</v>
          </cell>
          <cell r="Z699">
            <v>63.45</v>
          </cell>
          <cell r="AA699">
            <v>77</v>
          </cell>
          <cell r="AB699">
            <v>96</v>
          </cell>
          <cell r="AC699">
            <v>80</v>
          </cell>
          <cell r="AD699">
            <v>13.49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Y699">
            <v>45330.96</v>
          </cell>
        </row>
        <row r="700">
          <cell r="A700">
            <v>2</v>
          </cell>
          <cell r="B700" t="str">
            <v>12</v>
          </cell>
          <cell r="C700" t="str">
            <v>000</v>
          </cell>
          <cell r="D700" t="str">
            <v>1</v>
          </cell>
          <cell r="E700" t="str">
            <v>101</v>
          </cell>
          <cell r="F700" t="str">
            <v>N000</v>
          </cell>
          <cell r="G700" t="str">
            <v>400</v>
          </cell>
          <cell r="H700" t="str">
            <v>1103</v>
          </cell>
          <cell r="I700" t="str">
            <v>S03810</v>
          </cell>
          <cell r="J700" t="str">
            <v>22</v>
          </cell>
          <cell r="K700" t="str">
            <v>2</v>
          </cell>
          <cell r="L700">
            <v>6</v>
          </cell>
          <cell r="M700">
            <v>0</v>
          </cell>
          <cell r="N700">
            <v>2342.3000000000002</v>
          </cell>
          <cell r="O700" t="str">
            <v>M</v>
          </cell>
          <cell r="P700" t="str">
            <v>00000000</v>
          </cell>
          <cell r="Q700">
            <v>0</v>
          </cell>
          <cell r="R700">
            <v>338.33</v>
          </cell>
          <cell r="S700">
            <v>65.06</v>
          </cell>
          <cell r="T700">
            <v>298.64</v>
          </cell>
          <cell r="U700">
            <v>117.12</v>
          </cell>
          <cell r="V700">
            <v>42.16</v>
          </cell>
          <cell r="W700">
            <v>46.85</v>
          </cell>
          <cell r="X700">
            <v>0</v>
          </cell>
          <cell r="Y700">
            <v>0</v>
          </cell>
          <cell r="Z700">
            <v>59.97</v>
          </cell>
          <cell r="AA700">
            <v>77</v>
          </cell>
          <cell r="AB700">
            <v>96</v>
          </cell>
          <cell r="AC700">
            <v>80</v>
          </cell>
          <cell r="AD700">
            <v>13.49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Y700">
            <v>257538.24</v>
          </cell>
        </row>
        <row r="701">
          <cell r="A701">
            <v>2</v>
          </cell>
          <cell r="B701" t="str">
            <v>12</v>
          </cell>
          <cell r="C701" t="str">
            <v>000</v>
          </cell>
          <cell r="D701" t="str">
            <v>1</v>
          </cell>
          <cell r="E701" t="str">
            <v>101</v>
          </cell>
          <cell r="F701" t="str">
            <v>N000</v>
          </cell>
          <cell r="G701" t="str">
            <v>400</v>
          </cell>
          <cell r="H701" t="str">
            <v>1103</v>
          </cell>
          <cell r="I701" t="str">
            <v>S08802</v>
          </cell>
          <cell r="J701" t="str">
            <v>21</v>
          </cell>
          <cell r="K701" t="str">
            <v>2</v>
          </cell>
          <cell r="L701">
            <v>1</v>
          </cell>
          <cell r="M701">
            <v>0</v>
          </cell>
          <cell r="N701">
            <v>2238.1999999999998</v>
          </cell>
          <cell r="O701" t="str">
            <v>M</v>
          </cell>
          <cell r="P701" t="str">
            <v>00000000</v>
          </cell>
          <cell r="Q701">
            <v>0</v>
          </cell>
          <cell r="R701">
            <v>323.3</v>
          </cell>
          <cell r="S701">
            <v>62.17</v>
          </cell>
          <cell r="T701">
            <v>285.37</v>
          </cell>
          <cell r="U701">
            <v>111.91</v>
          </cell>
          <cell r="V701">
            <v>40.29</v>
          </cell>
          <cell r="W701">
            <v>44.76</v>
          </cell>
          <cell r="X701">
            <v>46</v>
          </cell>
          <cell r="Y701">
            <v>0</v>
          </cell>
          <cell r="Z701">
            <v>58.45</v>
          </cell>
          <cell r="AA701">
            <v>77</v>
          </cell>
          <cell r="AB701">
            <v>96</v>
          </cell>
          <cell r="AC701">
            <v>80</v>
          </cell>
          <cell r="AD701">
            <v>13.49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Y701">
            <v>41723.279999999999</v>
          </cell>
        </row>
        <row r="702">
          <cell r="A702">
            <v>2</v>
          </cell>
          <cell r="B702" t="str">
            <v>12</v>
          </cell>
          <cell r="C702" t="str">
            <v>000</v>
          </cell>
          <cell r="D702" t="str">
            <v>1</v>
          </cell>
          <cell r="E702" t="str">
            <v>101</v>
          </cell>
          <cell r="F702" t="str">
            <v>N000</v>
          </cell>
          <cell r="G702" t="str">
            <v>400</v>
          </cell>
          <cell r="H702" t="str">
            <v>1103</v>
          </cell>
          <cell r="I702" t="str">
            <v>T03804</v>
          </cell>
          <cell r="J702" t="str">
            <v>25</v>
          </cell>
          <cell r="K702" t="str">
            <v>2</v>
          </cell>
          <cell r="L702">
            <v>6</v>
          </cell>
          <cell r="M702">
            <v>0</v>
          </cell>
          <cell r="N702">
            <v>2572.4</v>
          </cell>
          <cell r="O702" t="str">
            <v>M</v>
          </cell>
          <cell r="P702" t="str">
            <v>00000000</v>
          </cell>
          <cell r="Q702">
            <v>0</v>
          </cell>
          <cell r="R702">
            <v>371.57</v>
          </cell>
          <cell r="S702">
            <v>71.459999999999994</v>
          </cell>
          <cell r="T702">
            <v>327.98</v>
          </cell>
          <cell r="U702">
            <v>128.62</v>
          </cell>
          <cell r="V702">
            <v>46.3</v>
          </cell>
          <cell r="W702">
            <v>51.45</v>
          </cell>
          <cell r="X702">
            <v>65.33</v>
          </cell>
          <cell r="Y702">
            <v>0</v>
          </cell>
          <cell r="Z702">
            <v>66.680000000000007</v>
          </cell>
          <cell r="AA702">
            <v>77</v>
          </cell>
          <cell r="AB702">
            <v>96</v>
          </cell>
          <cell r="AC702">
            <v>80</v>
          </cell>
          <cell r="AD702">
            <v>13.49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Y702">
            <v>285716.15999999997</v>
          </cell>
        </row>
        <row r="703">
          <cell r="A703">
            <v>2</v>
          </cell>
          <cell r="B703" t="str">
            <v>12</v>
          </cell>
          <cell r="C703" t="str">
            <v>000</v>
          </cell>
          <cell r="D703" t="str">
            <v>1</v>
          </cell>
          <cell r="E703" t="str">
            <v>101</v>
          </cell>
          <cell r="F703" t="str">
            <v>N000</v>
          </cell>
          <cell r="G703" t="str">
            <v>400</v>
          </cell>
          <cell r="H703" t="str">
            <v>1103</v>
          </cell>
          <cell r="I703" t="str">
            <v>CF01059</v>
          </cell>
          <cell r="J703" t="str">
            <v>28</v>
          </cell>
          <cell r="K703" t="str">
            <v>1</v>
          </cell>
          <cell r="L703">
            <v>4</v>
          </cell>
          <cell r="M703">
            <v>0</v>
          </cell>
          <cell r="N703">
            <v>3631.8</v>
          </cell>
          <cell r="O703" t="str">
            <v>M</v>
          </cell>
          <cell r="P703" t="str">
            <v>00000000</v>
          </cell>
          <cell r="Q703">
            <v>8731.1</v>
          </cell>
          <cell r="R703">
            <v>524.59</v>
          </cell>
          <cell r="S703">
            <v>100.88</v>
          </cell>
          <cell r="T703">
            <v>463.05</v>
          </cell>
          <cell r="U703">
            <v>181.59</v>
          </cell>
          <cell r="V703">
            <v>222.53</v>
          </cell>
          <cell r="W703">
            <v>72.64</v>
          </cell>
          <cell r="X703">
            <v>20.5</v>
          </cell>
          <cell r="Y703">
            <v>618.15</v>
          </cell>
          <cell r="Z703">
            <v>261.72000000000003</v>
          </cell>
          <cell r="AA703">
            <v>77</v>
          </cell>
          <cell r="AB703">
            <v>0</v>
          </cell>
          <cell r="AC703">
            <v>0</v>
          </cell>
          <cell r="AD703">
            <v>13.49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Y703">
            <v>716113.92000000004</v>
          </cell>
        </row>
        <row r="704">
          <cell r="A704">
            <v>2</v>
          </cell>
          <cell r="B704" t="str">
            <v>12</v>
          </cell>
          <cell r="C704" t="str">
            <v>000</v>
          </cell>
          <cell r="D704" t="str">
            <v>1</v>
          </cell>
          <cell r="E704" t="str">
            <v>101</v>
          </cell>
          <cell r="F704" t="str">
            <v>N000</v>
          </cell>
          <cell r="G704" t="str">
            <v>400</v>
          </cell>
          <cell r="H704" t="str">
            <v>1103</v>
          </cell>
          <cell r="I704" t="str">
            <v>CF03809</v>
          </cell>
          <cell r="J704" t="str">
            <v>25</v>
          </cell>
          <cell r="K704" t="str">
            <v>2</v>
          </cell>
          <cell r="L704">
            <v>9</v>
          </cell>
          <cell r="M704">
            <v>0</v>
          </cell>
          <cell r="N704">
            <v>2572.4</v>
          </cell>
          <cell r="O704" t="str">
            <v>M</v>
          </cell>
          <cell r="P704" t="str">
            <v>00000000</v>
          </cell>
          <cell r="Q704">
            <v>0</v>
          </cell>
          <cell r="R704">
            <v>371.57</v>
          </cell>
          <cell r="S704">
            <v>71.459999999999994</v>
          </cell>
          <cell r="T704">
            <v>327.98</v>
          </cell>
          <cell r="U704">
            <v>128.62</v>
          </cell>
          <cell r="V704">
            <v>46.3</v>
          </cell>
          <cell r="W704">
            <v>51.45</v>
          </cell>
          <cell r="X704">
            <v>0</v>
          </cell>
          <cell r="Y704">
            <v>0</v>
          </cell>
          <cell r="Z704">
            <v>65.37</v>
          </cell>
          <cell r="AA704">
            <v>77</v>
          </cell>
          <cell r="AB704">
            <v>96</v>
          </cell>
          <cell r="AC704">
            <v>80</v>
          </cell>
          <cell r="AD704">
            <v>13.49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Y704">
            <v>421377.12</v>
          </cell>
        </row>
        <row r="705">
          <cell r="A705">
            <v>2</v>
          </cell>
          <cell r="B705" t="str">
            <v>12</v>
          </cell>
          <cell r="C705" t="str">
            <v>000</v>
          </cell>
          <cell r="D705" t="str">
            <v>1</v>
          </cell>
          <cell r="E705" t="str">
            <v>101</v>
          </cell>
          <cell r="F705" t="str">
            <v>N000</v>
          </cell>
          <cell r="G705" t="str">
            <v>400</v>
          </cell>
          <cell r="H705" t="str">
            <v>1103</v>
          </cell>
          <cell r="I705" t="str">
            <v>CF04806</v>
          </cell>
          <cell r="J705" t="str">
            <v>26</v>
          </cell>
          <cell r="K705" t="str">
            <v>2</v>
          </cell>
          <cell r="L705">
            <v>9</v>
          </cell>
          <cell r="M705">
            <v>0</v>
          </cell>
          <cell r="N705">
            <v>2692.2</v>
          </cell>
          <cell r="O705" t="str">
            <v>M</v>
          </cell>
          <cell r="P705" t="str">
            <v>00000000</v>
          </cell>
          <cell r="Q705">
            <v>0</v>
          </cell>
          <cell r="R705">
            <v>388.87</v>
          </cell>
          <cell r="S705">
            <v>74.78</v>
          </cell>
          <cell r="T705">
            <v>343.26</v>
          </cell>
          <cell r="U705">
            <v>134.61000000000001</v>
          </cell>
          <cell r="V705">
            <v>48.46</v>
          </cell>
          <cell r="W705">
            <v>53.84</v>
          </cell>
          <cell r="X705">
            <v>44.89</v>
          </cell>
          <cell r="Y705">
            <v>0</v>
          </cell>
          <cell r="Z705">
            <v>69.069999999999993</v>
          </cell>
          <cell r="AA705">
            <v>77</v>
          </cell>
          <cell r="AB705">
            <v>96</v>
          </cell>
          <cell r="AC705">
            <v>80</v>
          </cell>
          <cell r="AD705">
            <v>13.49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Y705">
            <v>444578.76</v>
          </cell>
        </row>
        <row r="706">
          <cell r="A706">
            <v>2</v>
          </cell>
          <cell r="B706" t="str">
            <v>12</v>
          </cell>
          <cell r="C706" t="str">
            <v>000</v>
          </cell>
          <cell r="D706" t="str">
            <v>1</v>
          </cell>
          <cell r="E706" t="str">
            <v>101</v>
          </cell>
          <cell r="F706" t="str">
            <v>N000</v>
          </cell>
          <cell r="G706" t="str">
            <v>400</v>
          </cell>
          <cell r="H706" t="str">
            <v>1103</v>
          </cell>
          <cell r="I706" t="str">
            <v>CF04807</v>
          </cell>
          <cell r="J706" t="str">
            <v>27Z</v>
          </cell>
          <cell r="K706" t="str">
            <v>2</v>
          </cell>
          <cell r="L706">
            <v>4</v>
          </cell>
          <cell r="M706">
            <v>0</v>
          </cell>
          <cell r="N706">
            <v>2900.25</v>
          </cell>
          <cell r="O706" t="str">
            <v>M</v>
          </cell>
          <cell r="P706" t="str">
            <v>00000000</v>
          </cell>
          <cell r="Q706">
            <v>205.15</v>
          </cell>
          <cell r="R706">
            <v>418.93</v>
          </cell>
          <cell r="S706">
            <v>80.56</v>
          </cell>
          <cell r="T706">
            <v>369.78</v>
          </cell>
          <cell r="U706">
            <v>145.01</v>
          </cell>
          <cell r="V706">
            <v>55.89</v>
          </cell>
          <cell r="W706">
            <v>58.01</v>
          </cell>
          <cell r="X706">
            <v>61.5</v>
          </cell>
          <cell r="Y706">
            <v>0</v>
          </cell>
          <cell r="Z706">
            <v>78.39</v>
          </cell>
          <cell r="AA706">
            <v>77</v>
          </cell>
          <cell r="AB706">
            <v>96</v>
          </cell>
          <cell r="AC706">
            <v>80</v>
          </cell>
          <cell r="AD706">
            <v>13.49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Y706">
            <v>222718.07999999999</v>
          </cell>
        </row>
        <row r="707">
          <cell r="A707">
            <v>2</v>
          </cell>
          <cell r="B707" t="str">
            <v>12</v>
          </cell>
          <cell r="C707" t="str">
            <v>000</v>
          </cell>
          <cell r="D707" t="str">
            <v>1</v>
          </cell>
          <cell r="E707" t="str">
            <v>101</v>
          </cell>
          <cell r="F707" t="str">
            <v>N000</v>
          </cell>
          <cell r="G707" t="str">
            <v>400</v>
          </cell>
          <cell r="H707" t="str">
            <v>1103</v>
          </cell>
          <cell r="I707" t="str">
            <v>CF04808</v>
          </cell>
          <cell r="J707" t="str">
            <v>27ZA</v>
          </cell>
          <cell r="K707" t="str">
            <v>2</v>
          </cell>
          <cell r="L707">
            <v>11</v>
          </cell>
          <cell r="M707">
            <v>0</v>
          </cell>
          <cell r="N707">
            <v>2982.9</v>
          </cell>
          <cell r="O707" t="str">
            <v>M</v>
          </cell>
          <cell r="P707" t="str">
            <v>00000000</v>
          </cell>
          <cell r="Q707">
            <v>579.4</v>
          </cell>
          <cell r="R707">
            <v>430.86</v>
          </cell>
          <cell r="S707">
            <v>82.86</v>
          </cell>
          <cell r="T707">
            <v>380.32</v>
          </cell>
          <cell r="U707">
            <v>149.15</v>
          </cell>
          <cell r="V707">
            <v>64.12</v>
          </cell>
          <cell r="W707">
            <v>59.66</v>
          </cell>
          <cell r="X707">
            <v>20.82</v>
          </cell>
          <cell r="Y707">
            <v>0</v>
          </cell>
          <cell r="Z707">
            <v>87</v>
          </cell>
          <cell r="AA707">
            <v>77</v>
          </cell>
          <cell r="AB707">
            <v>96</v>
          </cell>
          <cell r="AC707">
            <v>80</v>
          </cell>
          <cell r="AD707">
            <v>13.49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Y707">
            <v>673672.56</v>
          </cell>
        </row>
        <row r="708">
          <cell r="A708">
            <v>2</v>
          </cell>
          <cell r="B708" t="str">
            <v>12</v>
          </cell>
          <cell r="C708" t="str">
            <v>000</v>
          </cell>
          <cell r="D708" t="str">
            <v>1</v>
          </cell>
          <cell r="E708" t="str">
            <v>101</v>
          </cell>
          <cell r="F708" t="str">
            <v>N000</v>
          </cell>
          <cell r="G708" t="str">
            <v>400</v>
          </cell>
          <cell r="H708" t="str">
            <v>1103</v>
          </cell>
          <cell r="I708" t="str">
            <v>CF04810</v>
          </cell>
          <cell r="J708" t="str">
            <v>27ZB</v>
          </cell>
          <cell r="K708" t="str">
            <v>2</v>
          </cell>
          <cell r="L708">
            <v>2</v>
          </cell>
          <cell r="M708">
            <v>0</v>
          </cell>
          <cell r="N708">
            <v>3008.65</v>
          </cell>
          <cell r="O708" t="str">
            <v>M</v>
          </cell>
          <cell r="P708" t="str">
            <v>00000000</v>
          </cell>
          <cell r="Q708">
            <v>857</v>
          </cell>
          <cell r="R708">
            <v>434.58</v>
          </cell>
          <cell r="S708">
            <v>83.57</v>
          </cell>
          <cell r="T708">
            <v>383.6</v>
          </cell>
          <cell r="U708">
            <v>150.43</v>
          </cell>
          <cell r="V708">
            <v>69.59</v>
          </cell>
          <cell r="W708">
            <v>60.17</v>
          </cell>
          <cell r="X708">
            <v>95.5</v>
          </cell>
          <cell r="Y708">
            <v>0</v>
          </cell>
          <cell r="Z708">
            <v>94.65</v>
          </cell>
          <cell r="AA708">
            <v>77</v>
          </cell>
          <cell r="AB708">
            <v>96</v>
          </cell>
          <cell r="AC708">
            <v>80</v>
          </cell>
          <cell r="AD708">
            <v>13.49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Y708">
            <v>132101.51999999999</v>
          </cell>
        </row>
        <row r="709">
          <cell r="A709">
            <v>2</v>
          </cell>
          <cell r="B709" t="str">
            <v>12</v>
          </cell>
          <cell r="C709" t="str">
            <v>000</v>
          </cell>
          <cell r="D709" t="str">
            <v>1</v>
          </cell>
          <cell r="E709" t="str">
            <v>101</v>
          </cell>
          <cell r="F709" t="str">
            <v>N000</v>
          </cell>
          <cell r="G709" t="str">
            <v>400</v>
          </cell>
          <cell r="H709" t="str">
            <v>1103</v>
          </cell>
          <cell r="I709" t="str">
            <v>CF21829</v>
          </cell>
          <cell r="J709" t="str">
            <v>27ZB</v>
          </cell>
          <cell r="K709" t="str">
            <v>2</v>
          </cell>
          <cell r="L709">
            <v>1</v>
          </cell>
          <cell r="M709">
            <v>0</v>
          </cell>
          <cell r="N709">
            <v>3008.65</v>
          </cell>
          <cell r="O709" t="str">
            <v>M</v>
          </cell>
          <cell r="P709" t="str">
            <v>00000000</v>
          </cell>
          <cell r="Q709">
            <v>857</v>
          </cell>
          <cell r="R709">
            <v>434.58</v>
          </cell>
          <cell r="S709">
            <v>83.57</v>
          </cell>
          <cell r="T709">
            <v>383.6</v>
          </cell>
          <cell r="U709">
            <v>150.43</v>
          </cell>
          <cell r="V709">
            <v>69.59</v>
          </cell>
          <cell r="W709">
            <v>60.17</v>
          </cell>
          <cell r="X709">
            <v>0</v>
          </cell>
          <cell r="Y709">
            <v>0</v>
          </cell>
          <cell r="Z709">
            <v>92.74</v>
          </cell>
          <cell r="AA709">
            <v>77</v>
          </cell>
          <cell r="AB709">
            <v>96</v>
          </cell>
          <cell r="AC709">
            <v>80</v>
          </cell>
          <cell r="AD709">
            <v>13.49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Y709">
            <v>64881.84</v>
          </cell>
        </row>
        <row r="710">
          <cell r="A710">
            <v>2</v>
          </cell>
          <cell r="B710" t="str">
            <v>12</v>
          </cell>
          <cell r="C710" t="str">
            <v>000</v>
          </cell>
          <cell r="D710" t="str">
            <v>1</v>
          </cell>
          <cell r="E710" t="str">
            <v>101</v>
          </cell>
          <cell r="F710" t="str">
            <v>N000</v>
          </cell>
          <cell r="G710" t="str">
            <v>400</v>
          </cell>
          <cell r="H710" t="str">
            <v>1103</v>
          </cell>
          <cell r="I710" t="str">
            <v>CF21856</v>
          </cell>
          <cell r="J710" t="str">
            <v>27Z</v>
          </cell>
          <cell r="K710" t="str">
            <v>2</v>
          </cell>
          <cell r="L710">
            <v>3</v>
          </cell>
          <cell r="M710">
            <v>0</v>
          </cell>
          <cell r="N710">
            <v>2900.25</v>
          </cell>
          <cell r="O710" t="str">
            <v>M</v>
          </cell>
          <cell r="P710" t="str">
            <v>00000000</v>
          </cell>
          <cell r="Q710">
            <v>205.15</v>
          </cell>
          <cell r="R710">
            <v>418.93</v>
          </cell>
          <cell r="S710">
            <v>80.56</v>
          </cell>
          <cell r="T710">
            <v>369.78</v>
          </cell>
          <cell r="U710">
            <v>145.01</v>
          </cell>
          <cell r="V710">
            <v>55.89</v>
          </cell>
          <cell r="W710">
            <v>58.01</v>
          </cell>
          <cell r="X710">
            <v>61</v>
          </cell>
          <cell r="Y710">
            <v>0</v>
          </cell>
          <cell r="Z710">
            <v>78.38</v>
          </cell>
          <cell r="AA710">
            <v>77</v>
          </cell>
          <cell r="AB710">
            <v>96</v>
          </cell>
          <cell r="AC710">
            <v>80</v>
          </cell>
          <cell r="AD710">
            <v>13.49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Y710">
            <v>167020.20000000001</v>
          </cell>
        </row>
        <row r="711">
          <cell r="A711">
            <v>2</v>
          </cell>
          <cell r="B711" t="str">
            <v>12</v>
          </cell>
          <cell r="C711" t="str">
            <v>000</v>
          </cell>
          <cell r="D711" t="str">
            <v>1</v>
          </cell>
          <cell r="E711" t="str">
            <v>101</v>
          </cell>
          <cell r="F711" t="str">
            <v>N000</v>
          </cell>
          <cell r="G711" t="str">
            <v>400</v>
          </cell>
          <cell r="H711" t="str">
            <v>1103</v>
          </cell>
          <cell r="I711" t="str">
            <v>CF21858</v>
          </cell>
          <cell r="J711" t="str">
            <v>27ZA</v>
          </cell>
          <cell r="K711" t="str">
            <v>2</v>
          </cell>
          <cell r="L711">
            <v>2</v>
          </cell>
          <cell r="M711">
            <v>0</v>
          </cell>
          <cell r="N711">
            <v>2982.9</v>
          </cell>
          <cell r="O711" t="str">
            <v>M</v>
          </cell>
          <cell r="P711" t="str">
            <v>00000000</v>
          </cell>
          <cell r="Q711">
            <v>579.4</v>
          </cell>
          <cell r="R711">
            <v>430.86</v>
          </cell>
          <cell r="S711">
            <v>82.86</v>
          </cell>
          <cell r="T711">
            <v>380.32</v>
          </cell>
          <cell r="U711">
            <v>149.15</v>
          </cell>
          <cell r="V711">
            <v>64.12</v>
          </cell>
          <cell r="W711">
            <v>59.66</v>
          </cell>
          <cell r="X711">
            <v>23</v>
          </cell>
          <cell r="Y711">
            <v>0</v>
          </cell>
          <cell r="Z711">
            <v>87.04</v>
          </cell>
          <cell r="AA711">
            <v>77</v>
          </cell>
          <cell r="AB711">
            <v>96</v>
          </cell>
          <cell r="AC711">
            <v>80</v>
          </cell>
          <cell r="AD711">
            <v>13.49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Y711">
            <v>122539.2</v>
          </cell>
        </row>
        <row r="712">
          <cell r="A712">
            <v>2</v>
          </cell>
          <cell r="B712" t="str">
            <v>12</v>
          </cell>
          <cell r="C712" t="str">
            <v>000</v>
          </cell>
          <cell r="D712" t="str">
            <v>1</v>
          </cell>
          <cell r="E712" t="str">
            <v>101</v>
          </cell>
          <cell r="F712" t="str">
            <v>N000</v>
          </cell>
          <cell r="G712" t="str">
            <v>400</v>
          </cell>
          <cell r="H712" t="str">
            <v>1103</v>
          </cell>
          <cell r="I712" t="str">
            <v>CF21859</v>
          </cell>
          <cell r="J712" t="str">
            <v>27ZB</v>
          </cell>
          <cell r="K712" t="str">
            <v>2</v>
          </cell>
          <cell r="L712">
            <v>1</v>
          </cell>
          <cell r="M712">
            <v>0</v>
          </cell>
          <cell r="N712">
            <v>3008.65</v>
          </cell>
          <cell r="O712" t="str">
            <v>M</v>
          </cell>
          <cell r="P712" t="str">
            <v>00000000</v>
          </cell>
          <cell r="Q712">
            <v>857</v>
          </cell>
          <cell r="R712">
            <v>434.58</v>
          </cell>
          <cell r="S712">
            <v>83.57</v>
          </cell>
          <cell r="T712">
            <v>383.6</v>
          </cell>
          <cell r="U712">
            <v>150.43</v>
          </cell>
          <cell r="V712">
            <v>69.59</v>
          </cell>
          <cell r="W712">
            <v>60.17</v>
          </cell>
          <cell r="X712">
            <v>55</v>
          </cell>
          <cell r="Y712">
            <v>0</v>
          </cell>
          <cell r="Z712">
            <v>93.84</v>
          </cell>
          <cell r="AA712">
            <v>77</v>
          </cell>
          <cell r="AB712">
            <v>96</v>
          </cell>
          <cell r="AC712">
            <v>80</v>
          </cell>
          <cell r="AD712">
            <v>13.49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Y712">
            <v>65555.039999999994</v>
          </cell>
        </row>
        <row r="713">
          <cell r="A713">
            <v>2</v>
          </cell>
          <cell r="B713" t="str">
            <v>12</v>
          </cell>
          <cell r="C713" t="str">
            <v>000</v>
          </cell>
          <cell r="D713" t="str">
            <v>1</v>
          </cell>
          <cell r="E713" t="str">
            <v>101</v>
          </cell>
          <cell r="F713" t="str">
            <v>N000</v>
          </cell>
          <cell r="G713" t="str">
            <v>400</v>
          </cell>
          <cell r="H713" t="str">
            <v>1103</v>
          </cell>
          <cell r="I713" t="str">
            <v>CF21864</v>
          </cell>
          <cell r="J713" t="str">
            <v>27C</v>
          </cell>
          <cell r="K713" t="str">
            <v>1</v>
          </cell>
          <cell r="L713">
            <v>19</v>
          </cell>
          <cell r="M713">
            <v>0</v>
          </cell>
          <cell r="N713">
            <v>3268.2</v>
          </cell>
          <cell r="O713" t="str">
            <v>M</v>
          </cell>
          <cell r="P713" t="str">
            <v>00000000</v>
          </cell>
          <cell r="Q713">
            <v>4783.05</v>
          </cell>
          <cell r="R713">
            <v>472.07</v>
          </cell>
          <cell r="S713">
            <v>90.78</v>
          </cell>
          <cell r="T713">
            <v>416.7</v>
          </cell>
          <cell r="U713">
            <v>163.41</v>
          </cell>
          <cell r="V713">
            <v>144.91999999999999</v>
          </cell>
          <cell r="W713">
            <v>65.36</v>
          </cell>
          <cell r="X713">
            <v>40.840000000000003</v>
          </cell>
          <cell r="Y713">
            <v>0</v>
          </cell>
          <cell r="Z713">
            <v>174.64</v>
          </cell>
          <cell r="AA713">
            <v>77</v>
          </cell>
          <cell r="AB713">
            <v>0</v>
          </cell>
          <cell r="AC713">
            <v>0</v>
          </cell>
          <cell r="AD713">
            <v>13.49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Y713">
            <v>2213984.88</v>
          </cell>
        </row>
        <row r="714">
          <cell r="A714">
            <v>2</v>
          </cell>
          <cell r="B714" t="str">
            <v>12</v>
          </cell>
          <cell r="C714" t="str">
            <v>000</v>
          </cell>
          <cell r="D714" t="str">
            <v>1</v>
          </cell>
          <cell r="E714" t="str">
            <v>101</v>
          </cell>
          <cell r="F714" t="str">
            <v>N000</v>
          </cell>
          <cell r="G714" t="str">
            <v>400</v>
          </cell>
          <cell r="H714" t="str">
            <v>1103</v>
          </cell>
          <cell r="I714" t="str">
            <v>CF21865</v>
          </cell>
          <cell r="J714" t="str">
            <v>27B</v>
          </cell>
          <cell r="K714" t="str">
            <v>1</v>
          </cell>
          <cell r="L714">
            <v>4</v>
          </cell>
          <cell r="M714">
            <v>0</v>
          </cell>
          <cell r="N714">
            <v>3222.2</v>
          </cell>
          <cell r="O714" t="str">
            <v>M</v>
          </cell>
          <cell r="P714" t="str">
            <v>00000000</v>
          </cell>
          <cell r="Q714">
            <v>3558.85</v>
          </cell>
          <cell r="R714">
            <v>465.43</v>
          </cell>
          <cell r="S714">
            <v>89.51</v>
          </cell>
          <cell r="T714">
            <v>410.83</v>
          </cell>
          <cell r="U714">
            <v>161.11000000000001</v>
          </cell>
          <cell r="V714">
            <v>122.06</v>
          </cell>
          <cell r="W714">
            <v>64.44</v>
          </cell>
          <cell r="X714">
            <v>34.25</v>
          </cell>
          <cell r="Y714">
            <v>0</v>
          </cell>
          <cell r="Z714">
            <v>148.94</v>
          </cell>
          <cell r="AA714">
            <v>77</v>
          </cell>
          <cell r="AB714">
            <v>0</v>
          </cell>
          <cell r="AC714">
            <v>0</v>
          </cell>
          <cell r="AD714">
            <v>13.49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Y714">
            <v>401669.28</v>
          </cell>
        </row>
        <row r="715">
          <cell r="A715">
            <v>2</v>
          </cell>
          <cell r="B715" t="str">
            <v>12</v>
          </cell>
          <cell r="C715" t="str">
            <v>000</v>
          </cell>
          <cell r="D715" t="str">
            <v>1</v>
          </cell>
          <cell r="E715" t="str">
            <v>101</v>
          </cell>
          <cell r="F715" t="str">
            <v>N000</v>
          </cell>
          <cell r="G715" t="str">
            <v>400</v>
          </cell>
          <cell r="H715" t="str">
            <v>1103</v>
          </cell>
          <cell r="I715" t="str">
            <v>CF21866</v>
          </cell>
          <cell r="J715" t="str">
            <v>27A</v>
          </cell>
          <cell r="K715" t="str">
            <v>1</v>
          </cell>
          <cell r="L715">
            <v>2</v>
          </cell>
          <cell r="M715">
            <v>0</v>
          </cell>
          <cell r="N715">
            <v>3185.4</v>
          </cell>
          <cell r="O715" t="str">
            <v>M</v>
          </cell>
          <cell r="P715" t="str">
            <v>00000000</v>
          </cell>
          <cell r="Q715">
            <v>2791.7</v>
          </cell>
          <cell r="R715">
            <v>460.11</v>
          </cell>
          <cell r="S715">
            <v>88.48</v>
          </cell>
          <cell r="T715">
            <v>406.14</v>
          </cell>
          <cell r="U715">
            <v>159.27000000000001</v>
          </cell>
          <cell r="V715">
            <v>107.59</v>
          </cell>
          <cell r="W715">
            <v>63.71</v>
          </cell>
          <cell r="X715">
            <v>23</v>
          </cell>
          <cell r="Y715">
            <v>0</v>
          </cell>
          <cell r="Z715">
            <v>132.51</v>
          </cell>
          <cell r="AA715">
            <v>77</v>
          </cell>
          <cell r="AB715">
            <v>0</v>
          </cell>
          <cell r="AC715">
            <v>0</v>
          </cell>
          <cell r="AD715">
            <v>13.49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Y715">
            <v>180201.60000000001</v>
          </cell>
        </row>
        <row r="716">
          <cell r="A716">
            <v>2</v>
          </cell>
          <cell r="B716" t="str">
            <v>12</v>
          </cell>
          <cell r="C716" t="str">
            <v>000</v>
          </cell>
          <cell r="D716" t="str">
            <v>1</v>
          </cell>
          <cell r="E716" t="str">
            <v>101</v>
          </cell>
          <cell r="F716" t="str">
            <v>N000</v>
          </cell>
          <cell r="G716" t="str">
            <v>400</v>
          </cell>
          <cell r="H716" t="str">
            <v>1103</v>
          </cell>
          <cell r="I716" t="str">
            <v>CF33834</v>
          </cell>
          <cell r="J716" t="str">
            <v>27</v>
          </cell>
          <cell r="K716" t="str">
            <v>2</v>
          </cell>
          <cell r="L716">
            <v>3</v>
          </cell>
          <cell r="M716">
            <v>0</v>
          </cell>
          <cell r="N716">
            <v>2817.8</v>
          </cell>
          <cell r="O716" t="str">
            <v>M</v>
          </cell>
          <cell r="P716" t="str">
            <v>00000000</v>
          </cell>
          <cell r="Q716">
            <v>0</v>
          </cell>
          <cell r="R716">
            <v>407.02</v>
          </cell>
          <cell r="S716">
            <v>78.27</v>
          </cell>
          <cell r="T716">
            <v>359.27</v>
          </cell>
          <cell r="U716">
            <v>140.88999999999999</v>
          </cell>
          <cell r="V716">
            <v>50.72</v>
          </cell>
          <cell r="W716">
            <v>56.36</v>
          </cell>
          <cell r="X716">
            <v>70</v>
          </cell>
          <cell r="Y716">
            <v>0</v>
          </cell>
          <cell r="Z716">
            <v>72.52</v>
          </cell>
          <cell r="AA716">
            <v>77</v>
          </cell>
          <cell r="AB716">
            <v>96</v>
          </cell>
          <cell r="AC716">
            <v>80</v>
          </cell>
          <cell r="AD716">
            <v>13.49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Y716">
            <v>155496.24</v>
          </cell>
        </row>
        <row r="717">
          <cell r="A717">
            <v>2</v>
          </cell>
          <cell r="B717" t="str">
            <v>12</v>
          </cell>
          <cell r="C717" t="str">
            <v>000</v>
          </cell>
          <cell r="D717" t="str">
            <v>1</v>
          </cell>
          <cell r="E717" t="str">
            <v>101</v>
          </cell>
          <cell r="F717" t="str">
            <v>N000</v>
          </cell>
          <cell r="G717" t="str">
            <v>400</v>
          </cell>
          <cell r="H717" t="str">
            <v>1103</v>
          </cell>
          <cell r="I717" t="str">
            <v>CF33892</v>
          </cell>
          <cell r="J717" t="str">
            <v>27ZA</v>
          </cell>
          <cell r="K717" t="str">
            <v>2</v>
          </cell>
          <cell r="L717">
            <v>34</v>
          </cell>
          <cell r="M717">
            <v>0</v>
          </cell>
          <cell r="N717">
            <v>2982.9</v>
          </cell>
          <cell r="O717" t="str">
            <v>M</v>
          </cell>
          <cell r="P717" t="str">
            <v>00000000</v>
          </cell>
          <cell r="Q717">
            <v>579.4</v>
          </cell>
          <cell r="R717">
            <v>430.86</v>
          </cell>
          <cell r="S717">
            <v>82.86</v>
          </cell>
          <cell r="T717">
            <v>380.32</v>
          </cell>
          <cell r="U717">
            <v>149.15</v>
          </cell>
          <cell r="V717">
            <v>64.12</v>
          </cell>
          <cell r="W717">
            <v>59.66</v>
          </cell>
          <cell r="X717">
            <v>48.41</v>
          </cell>
          <cell r="Y717">
            <v>0</v>
          </cell>
          <cell r="Z717">
            <v>87.55</v>
          </cell>
          <cell r="AA717">
            <v>77</v>
          </cell>
          <cell r="AB717">
            <v>96</v>
          </cell>
          <cell r="AC717">
            <v>80</v>
          </cell>
          <cell r="AD717">
            <v>13.49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Y717">
            <v>2093741.76</v>
          </cell>
        </row>
        <row r="718">
          <cell r="A718">
            <v>2</v>
          </cell>
          <cell r="B718" t="str">
            <v>12</v>
          </cell>
          <cell r="C718" t="str">
            <v>000</v>
          </cell>
          <cell r="D718" t="str">
            <v>1</v>
          </cell>
          <cell r="E718" t="str">
            <v>101</v>
          </cell>
          <cell r="F718" t="str">
            <v>N000</v>
          </cell>
          <cell r="G718" t="str">
            <v>400</v>
          </cell>
          <cell r="H718" t="str">
            <v>1103</v>
          </cell>
          <cell r="I718" t="str">
            <v>CF34834</v>
          </cell>
          <cell r="J718" t="str">
            <v>27ZA</v>
          </cell>
          <cell r="K718" t="str">
            <v>2</v>
          </cell>
          <cell r="L718">
            <v>1</v>
          </cell>
          <cell r="M718">
            <v>0</v>
          </cell>
          <cell r="N718">
            <v>2982.9</v>
          </cell>
          <cell r="O718" t="str">
            <v>M</v>
          </cell>
          <cell r="P718" t="str">
            <v>00000000</v>
          </cell>
          <cell r="Q718">
            <v>579.4</v>
          </cell>
          <cell r="R718">
            <v>430.86</v>
          </cell>
          <cell r="S718">
            <v>82.86</v>
          </cell>
          <cell r="T718">
            <v>380.32</v>
          </cell>
          <cell r="U718">
            <v>149.15</v>
          </cell>
          <cell r="V718">
            <v>64.12</v>
          </cell>
          <cell r="W718">
            <v>59.66</v>
          </cell>
          <cell r="X718">
            <v>0</v>
          </cell>
          <cell r="Y718">
            <v>0</v>
          </cell>
          <cell r="Z718">
            <v>86.58</v>
          </cell>
          <cell r="AA718">
            <v>77</v>
          </cell>
          <cell r="AB718">
            <v>96</v>
          </cell>
          <cell r="AC718">
            <v>80</v>
          </cell>
          <cell r="AD718">
            <v>13.49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Y718">
            <v>60988.08</v>
          </cell>
        </row>
        <row r="719">
          <cell r="A719">
            <v>2</v>
          </cell>
          <cell r="B719" t="str">
            <v>12</v>
          </cell>
          <cell r="C719" t="str">
            <v>000</v>
          </cell>
          <cell r="D719" t="str">
            <v>1</v>
          </cell>
          <cell r="E719" t="str">
            <v>101</v>
          </cell>
          <cell r="F719" t="str">
            <v>N000</v>
          </cell>
          <cell r="G719" t="str">
            <v>400</v>
          </cell>
          <cell r="H719" t="str">
            <v>1103</v>
          </cell>
          <cell r="I719" t="str">
            <v>CF41043</v>
          </cell>
          <cell r="K719" t="str">
            <v>2</v>
          </cell>
          <cell r="L719">
            <v>1</v>
          </cell>
          <cell r="M719">
            <v>0</v>
          </cell>
          <cell r="N719">
            <v>11280.9</v>
          </cell>
          <cell r="O719" t="str">
            <v>M</v>
          </cell>
          <cell r="P719" t="str">
            <v>00000000</v>
          </cell>
          <cell r="Q719">
            <v>0</v>
          </cell>
          <cell r="R719">
            <v>1629.46</v>
          </cell>
          <cell r="S719">
            <v>313.36</v>
          </cell>
          <cell r="T719">
            <v>1438.31</v>
          </cell>
          <cell r="U719">
            <v>564.04</v>
          </cell>
          <cell r="V719">
            <v>203.06</v>
          </cell>
          <cell r="W719">
            <v>225.62</v>
          </cell>
          <cell r="X719">
            <v>0</v>
          </cell>
          <cell r="Y719">
            <v>0</v>
          </cell>
          <cell r="Z719">
            <v>269.72000000000003</v>
          </cell>
          <cell r="AA719">
            <v>77</v>
          </cell>
          <cell r="AB719">
            <v>96</v>
          </cell>
          <cell r="AC719">
            <v>80</v>
          </cell>
          <cell r="AD719">
            <v>13.49</v>
          </cell>
          <cell r="AE719">
            <v>9.4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Y719">
            <v>194404.32</v>
          </cell>
        </row>
        <row r="720">
          <cell r="A720">
            <v>2</v>
          </cell>
          <cell r="B720" t="str">
            <v>12</v>
          </cell>
          <cell r="C720" t="str">
            <v>000</v>
          </cell>
          <cell r="D720" t="str">
            <v>1</v>
          </cell>
          <cell r="E720" t="str">
            <v>101</v>
          </cell>
          <cell r="F720" t="str">
            <v>N000</v>
          </cell>
          <cell r="G720" t="str">
            <v>400</v>
          </cell>
          <cell r="H720" t="str">
            <v>1103</v>
          </cell>
          <cell r="I720" t="str">
            <v>CF41055</v>
          </cell>
          <cell r="K720" t="str">
            <v>2</v>
          </cell>
          <cell r="L720">
            <v>21</v>
          </cell>
          <cell r="M720">
            <v>0</v>
          </cell>
          <cell r="N720">
            <v>2814</v>
          </cell>
          <cell r="O720" t="str">
            <v>M</v>
          </cell>
          <cell r="P720" t="str">
            <v>00000000</v>
          </cell>
          <cell r="Q720">
            <v>0</v>
          </cell>
          <cell r="R720">
            <v>406.47</v>
          </cell>
          <cell r="S720">
            <v>78.17</v>
          </cell>
          <cell r="T720">
            <v>358.79</v>
          </cell>
          <cell r="U720">
            <v>140.69999999999999</v>
          </cell>
          <cell r="V720">
            <v>50.65</v>
          </cell>
          <cell r="W720">
            <v>56.28</v>
          </cell>
          <cell r="X720">
            <v>2.62</v>
          </cell>
          <cell r="Y720">
            <v>0</v>
          </cell>
          <cell r="Z720">
            <v>97.41</v>
          </cell>
          <cell r="AA720">
            <v>77</v>
          </cell>
          <cell r="AB720">
            <v>96</v>
          </cell>
          <cell r="AC720">
            <v>80</v>
          </cell>
          <cell r="AD720">
            <v>13.49</v>
          </cell>
          <cell r="AE720">
            <v>2.35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1314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Y720">
            <v>1408158.36</v>
          </cell>
        </row>
        <row r="721">
          <cell r="A721">
            <v>2</v>
          </cell>
          <cell r="B721" t="str">
            <v>12</v>
          </cell>
          <cell r="C721" t="str">
            <v>000</v>
          </cell>
          <cell r="D721" t="str">
            <v>1</v>
          </cell>
          <cell r="E721" t="str">
            <v>101</v>
          </cell>
          <cell r="F721" t="str">
            <v>N000</v>
          </cell>
          <cell r="G721" t="str">
            <v>400</v>
          </cell>
          <cell r="H721" t="str">
            <v>1103</v>
          </cell>
          <cell r="I721" t="str">
            <v>CF41057</v>
          </cell>
          <cell r="K721" t="str">
            <v>2</v>
          </cell>
          <cell r="L721">
            <v>37</v>
          </cell>
          <cell r="M721">
            <v>0</v>
          </cell>
          <cell r="N721">
            <v>3718</v>
          </cell>
          <cell r="O721" t="str">
            <v>M</v>
          </cell>
          <cell r="P721" t="str">
            <v>00000000</v>
          </cell>
          <cell r="Q721">
            <v>0</v>
          </cell>
          <cell r="R721">
            <v>537.04</v>
          </cell>
          <cell r="S721">
            <v>103.28</v>
          </cell>
          <cell r="T721">
            <v>474.05</v>
          </cell>
          <cell r="U721">
            <v>185.9</v>
          </cell>
          <cell r="V721">
            <v>66.92</v>
          </cell>
          <cell r="W721">
            <v>74.36</v>
          </cell>
          <cell r="X721">
            <v>24.57</v>
          </cell>
          <cell r="Y721">
            <v>0</v>
          </cell>
          <cell r="Z721">
            <v>147.02000000000001</v>
          </cell>
          <cell r="AA721">
            <v>77</v>
          </cell>
          <cell r="AB721">
            <v>96</v>
          </cell>
          <cell r="AC721">
            <v>80</v>
          </cell>
          <cell r="AD721">
            <v>13.49</v>
          </cell>
          <cell r="AE721">
            <v>3.1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2712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Y721">
            <v>3690852.12</v>
          </cell>
        </row>
        <row r="722">
          <cell r="A722">
            <v>2</v>
          </cell>
          <cell r="B722" t="str">
            <v>12</v>
          </cell>
          <cell r="C722" t="str">
            <v>000</v>
          </cell>
          <cell r="D722" t="str">
            <v>1</v>
          </cell>
          <cell r="E722" t="str">
            <v>101</v>
          </cell>
          <cell r="F722" t="str">
            <v>N000</v>
          </cell>
          <cell r="G722" t="str">
            <v>400</v>
          </cell>
          <cell r="H722" t="str">
            <v>1103</v>
          </cell>
          <cell r="I722" t="str">
            <v>CF41058</v>
          </cell>
          <cell r="K722" t="str">
            <v>2</v>
          </cell>
          <cell r="L722">
            <v>1</v>
          </cell>
          <cell r="M722">
            <v>0</v>
          </cell>
          <cell r="N722">
            <v>4168</v>
          </cell>
          <cell r="O722" t="str">
            <v>M</v>
          </cell>
          <cell r="P722" t="str">
            <v>00000000</v>
          </cell>
          <cell r="Q722">
            <v>0</v>
          </cell>
          <cell r="R722">
            <v>602.04</v>
          </cell>
          <cell r="S722">
            <v>115.78</v>
          </cell>
          <cell r="T722">
            <v>531.41999999999996</v>
          </cell>
          <cell r="U722">
            <v>208.4</v>
          </cell>
          <cell r="V722">
            <v>75.02</v>
          </cell>
          <cell r="W722">
            <v>83.36</v>
          </cell>
          <cell r="X722">
            <v>0</v>
          </cell>
          <cell r="Y722">
            <v>0</v>
          </cell>
          <cell r="Z722">
            <v>161.41</v>
          </cell>
          <cell r="AA722">
            <v>77</v>
          </cell>
          <cell r="AB722">
            <v>96</v>
          </cell>
          <cell r="AC722">
            <v>80</v>
          </cell>
          <cell r="AD722">
            <v>13.49</v>
          </cell>
          <cell r="AE722">
            <v>3.47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2928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Y722">
            <v>109720.68</v>
          </cell>
        </row>
        <row r="723">
          <cell r="A723">
            <v>2</v>
          </cell>
          <cell r="B723" t="str">
            <v>12</v>
          </cell>
          <cell r="C723" t="str">
            <v>000</v>
          </cell>
          <cell r="D723" t="str">
            <v>1</v>
          </cell>
          <cell r="E723" t="str">
            <v>101</v>
          </cell>
          <cell r="F723" t="str">
            <v>N000</v>
          </cell>
          <cell r="G723" t="str">
            <v>400</v>
          </cell>
          <cell r="H723" t="str">
            <v>1103</v>
          </cell>
          <cell r="I723" t="str">
            <v>CF41059</v>
          </cell>
          <cell r="K723" t="str">
            <v>2</v>
          </cell>
          <cell r="L723">
            <v>7</v>
          </cell>
          <cell r="M723">
            <v>0</v>
          </cell>
          <cell r="N723">
            <v>4776</v>
          </cell>
          <cell r="O723" t="str">
            <v>M</v>
          </cell>
          <cell r="P723" t="str">
            <v>00000000</v>
          </cell>
          <cell r="Q723">
            <v>0</v>
          </cell>
          <cell r="R723">
            <v>689.87</v>
          </cell>
          <cell r="S723">
            <v>132.66999999999999</v>
          </cell>
          <cell r="T723">
            <v>608.94000000000005</v>
          </cell>
          <cell r="U723">
            <v>238.8</v>
          </cell>
          <cell r="V723">
            <v>85.97</v>
          </cell>
          <cell r="W723">
            <v>95.52</v>
          </cell>
          <cell r="X723">
            <v>0</v>
          </cell>
          <cell r="Y723">
            <v>0</v>
          </cell>
          <cell r="Z723">
            <v>178.39</v>
          </cell>
          <cell r="AA723">
            <v>77</v>
          </cell>
          <cell r="AB723">
            <v>96</v>
          </cell>
          <cell r="AC723">
            <v>80</v>
          </cell>
          <cell r="AD723">
            <v>13.49</v>
          </cell>
          <cell r="AE723">
            <v>3.98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3064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Y723">
            <v>851812.92</v>
          </cell>
        </row>
        <row r="724">
          <cell r="A724">
            <v>2</v>
          </cell>
          <cell r="B724" t="str">
            <v>12</v>
          </cell>
          <cell r="C724" t="str">
            <v>000</v>
          </cell>
          <cell r="D724" t="str">
            <v>1</v>
          </cell>
          <cell r="E724" t="str">
            <v>101</v>
          </cell>
          <cell r="F724" t="str">
            <v>N000</v>
          </cell>
          <cell r="G724" t="str">
            <v>400</v>
          </cell>
          <cell r="H724" t="str">
            <v>1103</v>
          </cell>
          <cell r="I724" t="str">
            <v>CF41060</v>
          </cell>
          <cell r="K724" t="str">
            <v>2</v>
          </cell>
          <cell r="L724">
            <v>12</v>
          </cell>
          <cell r="M724">
            <v>0</v>
          </cell>
          <cell r="N724">
            <v>5274</v>
          </cell>
          <cell r="O724" t="str">
            <v>M</v>
          </cell>
          <cell r="P724" t="str">
            <v>00000000</v>
          </cell>
          <cell r="Q724">
            <v>0</v>
          </cell>
          <cell r="R724">
            <v>761.8</v>
          </cell>
          <cell r="S724">
            <v>146.5</v>
          </cell>
          <cell r="T724">
            <v>672.44</v>
          </cell>
          <cell r="U724">
            <v>263.7</v>
          </cell>
          <cell r="V724">
            <v>94.93</v>
          </cell>
          <cell r="W724">
            <v>105.48</v>
          </cell>
          <cell r="X724">
            <v>0</v>
          </cell>
          <cell r="Y724">
            <v>0</v>
          </cell>
          <cell r="Z724">
            <v>195.11</v>
          </cell>
          <cell r="AA724">
            <v>77</v>
          </cell>
          <cell r="AB724">
            <v>96</v>
          </cell>
          <cell r="AC724">
            <v>80</v>
          </cell>
          <cell r="AD724">
            <v>13.49</v>
          </cell>
          <cell r="AE724">
            <v>4.4000000000000004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3316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Y724">
            <v>1598522.4</v>
          </cell>
        </row>
        <row r="725">
          <cell r="A725">
            <v>2</v>
          </cell>
          <cell r="B725" t="str">
            <v>12</v>
          </cell>
          <cell r="C725" t="str">
            <v>000</v>
          </cell>
          <cell r="D725" t="str">
            <v>1</v>
          </cell>
          <cell r="E725" t="str">
            <v>101</v>
          </cell>
          <cell r="F725" t="str">
            <v>N000</v>
          </cell>
          <cell r="G725" t="str">
            <v>400</v>
          </cell>
          <cell r="H725" t="str">
            <v>1103</v>
          </cell>
          <cell r="I725" t="str">
            <v>CF41061</v>
          </cell>
          <cell r="K725" t="str">
            <v>2</v>
          </cell>
          <cell r="L725">
            <v>22</v>
          </cell>
          <cell r="M725">
            <v>0</v>
          </cell>
          <cell r="N725">
            <v>5300</v>
          </cell>
          <cell r="O725" t="str">
            <v>M</v>
          </cell>
          <cell r="P725" t="str">
            <v>00000000</v>
          </cell>
          <cell r="Q725">
            <v>0</v>
          </cell>
          <cell r="R725">
            <v>765.56</v>
          </cell>
          <cell r="S725">
            <v>147.22</v>
          </cell>
          <cell r="T725">
            <v>675.75</v>
          </cell>
          <cell r="U725">
            <v>265</v>
          </cell>
          <cell r="V725">
            <v>95.4</v>
          </cell>
          <cell r="W725">
            <v>106</v>
          </cell>
          <cell r="X725">
            <v>2.09</v>
          </cell>
          <cell r="Y725">
            <v>0</v>
          </cell>
          <cell r="Z725">
            <v>237.97</v>
          </cell>
          <cell r="AA725">
            <v>77</v>
          </cell>
          <cell r="AB725">
            <v>96</v>
          </cell>
          <cell r="AC725">
            <v>80</v>
          </cell>
          <cell r="AD725">
            <v>13.49</v>
          </cell>
          <cell r="AE725">
            <v>4.42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5426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Y725">
            <v>3509061.6</v>
          </cell>
        </row>
        <row r="726">
          <cell r="A726">
            <v>2</v>
          </cell>
          <cell r="B726" t="str">
            <v>12</v>
          </cell>
          <cell r="C726" t="str">
            <v>000</v>
          </cell>
          <cell r="D726" t="str">
            <v>1</v>
          </cell>
          <cell r="E726" t="str">
            <v>101</v>
          </cell>
          <cell r="F726" t="str">
            <v>N000</v>
          </cell>
          <cell r="G726" t="str">
            <v>400</v>
          </cell>
          <cell r="H726" t="str">
            <v>1103</v>
          </cell>
          <cell r="I726" t="str">
            <v>CF41062</v>
          </cell>
          <cell r="K726" t="str">
            <v>2</v>
          </cell>
          <cell r="L726">
            <v>7</v>
          </cell>
          <cell r="M726">
            <v>0</v>
          </cell>
          <cell r="N726">
            <v>5546</v>
          </cell>
          <cell r="O726" t="str">
            <v>M</v>
          </cell>
          <cell r="P726" t="str">
            <v>00000000</v>
          </cell>
          <cell r="Q726">
            <v>0</v>
          </cell>
          <cell r="R726">
            <v>801.09</v>
          </cell>
          <cell r="S726">
            <v>154.06</v>
          </cell>
          <cell r="T726">
            <v>707.12</v>
          </cell>
          <cell r="U726">
            <v>277.3</v>
          </cell>
          <cell r="V726">
            <v>99.83</v>
          </cell>
          <cell r="W726">
            <v>110.92</v>
          </cell>
          <cell r="X726">
            <v>0</v>
          </cell>
          <cell r="Y726">
            <v>0</v>
          </cell>
          <cell r="Z726">
            <v>250.26</v>
          </cell>
          <cell r="AA726">
            <v>77</v>
          </cell>
          <cell r="AB726">
            <v>96</v>
          </cell>
          <cell r="AC726">
            <v>80</v>
          </cell>
          <cell r="AD726">
            <v>13.49</v>
          </cell>
          <cell r="AE726">
            <v>4.62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5754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Y726">
            <v>1173621.96</v>
          </cell>
        </row>
        <row r="727">
          <cell r="A727">
            <v>2</v>
          </cell>
          <cell r="B727" t="str">
            <v>12</v>
          </cell>
          <cell r="C727" t="str">
            <v>000</v>
          </cell>
          <cell r="D727" t="str">
            <v>1</v>
          </cell>
          <cell r="E727" t="str">
            <v>101</v>
          </cell>
          <cell r="F727" t="str">
            <v>N000</v>
          </cell>
          <cell r="G727" t="str">
            <v>400</v>
          </cell>
          <cell r="H727" t="str">
            <v>1103</v>
          </cell>
          <cell r="I727" t="str">
            <v>CF41063</v>
          </cell>
          <cell r="K727" t="str">
            <v>2</v>
          </cell>
          <cell r="L727">
            <v>12</v>
          </cell>
          <cell r="M727">
            <v>0</v>
          </cell>
          <cell r="N727">
            <v>5954</v>
          </cell>
          <cell r="O727" t="str">
            <v>M</v>
          </cell>
          <cell r="P727" t="str">
            <v>00000000</v>
          </cell>
          <cell r="Q727">
            <v>0</v>
          </cell>
          <cell r="R727">
            <v>860.02</v>
          </cell>
          <cell r="S727">
            <v>165.39</v>
          </cell>
          <cell r="T727">
            <v>759.13</v>
          </cell>
          <cell r="U727">
            <v>297.7</v>
          </cell>
          <cell r="V727">
            <v>107.17</v>
          </cell>
          <cell r="W727">
            <v>119.08</v>
          </cell>
          <cell r="X727">
            <v>0</v>
          </cell>
          <cell r="Y727">
            <v>0</v>
          </cell>
          <cell r="Z727">
            <v>262.25</v>
          </cell>
          <cell r="AA727">
            <v>77</v>
          </cell>
          <cell r="AB727">
            <v>96</v>
          </cell>
          <cell r="AC727">
            <v>80</v>
          </cell>
          <cell r="AD727">
            <v>13.49</v>
          </cell>
          <cell r="AE727">
            <v>4.96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5875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Y727">
            <v>2112651.36</v>
          </cell>
        </row>
        <row r="728">
          <cell r="A728">
            <v>2</v>
          </cell>
          <cell r="B728" t="str">
            <v>12</v>
          </cell>
          <cell r="C728" t="str">
            <v>000</v>
          </cell>
          <cell r="D728" t="str">
            <v>1</v>
          </cell>
          <cell r="E728" t="str">
            <v>101</v>
          </cell>
          <cell r="F728" t="str">
            <v>N000</v>
          </cell>
          <cell r="G728" t="str">
            <v>400</v>
          </cell>
          <cell r="H728" t="str">
            <v>1103</v>
          </cell>
          <cell r="I728" t="str">
            <v>CF41064</v>
          </cell>
          <cell r="K728" t="str">
            <v>2</v>
          </cell>
          <cell r="L728">
            <v>10</v>
          </cell>
          <cell r="M728">
            <v>0</v>
          </cell>
          <cell r="N728">
            <v>6121</v>
          </cell>
          <cell r="O728" t="str">
            <v>M</v>
          </cell>
          <cell r="P728" t="str">
            <v>00000000</v>
          </cell>
          <cell r="Q728">
            <v>0</v>
          </cell>
          <cell r="R728">
            <v>884.14</v>
          </cell>
          <cell r="S728">
            <v>170.03</v>
          </cell>
          <cell r="T728">
            <v>780.43</v>
          </cell>
          <cell r="U728">
            <v>306.05</v>
          </cell>
          <cell r="V728">
            <v>110.18</v>
          </cell>
          <cell r="W728">
            <v>122.42</v>
          </cell>
          <cell r="X728">
            <v>28.3</v>
          </cell>
          <cell r="Y728">
            <v>0</v>
          </cell>
          <cell r="Z728">
            <v>274.73</v>
          </cell>
          <cell r="AA728">
            <v>77</v>
          </cell>
          <cell r="AB728">
            <v>96</v>
          </cell>
          <cell r="AC728">
            <v>80</v>
          </cell>
          <cell r="AD728">
            <v>13.49</v>
          </cell>
          <cell r="AE728">
            <v>5.0999999999999996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6275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Y728">
            <v>1841264.4</v>
          </cell>
        </row>
        <row r="729">
          <cell r="A729">
            <v>2</v>
          </cell>
          <cell r="B729" t="str">
            <v>12</v>
          </cell>
          <cell r="C729" t="str">
            <v>000</v>
          </cell>
          <cell r="D729" t="str">
            <v>1</v>
          </cell>
          <cell r="E729" t="str">
            <v>101</v>
          </cell>
          <cell r="F729" t="str">
            <v>N000</v>
          </cell>
          <cell r="G729" t="str">
            <v>400</v>
          </cell>
          <cell r="H729" t="str">
            <v>1103</v>
          </cell>
          <cell r="I729" t="str">
            <v>CF41065</v>
          </cell>
          <cell r="K729" t="str">
            <v>2</v>
          </cell>
          <cell r="L729">
            <v>5</v>
          </cell>
          <cell r="M729">
            <v>0</v>
          </cell>
          <cell r="N729">
            <v>6457</v>
          </cell>
          <cell r="O729" t="str">
            <v>M</v>
          </cell>
          <cell r="P729" t="str">
            <v>00000000</v>
          </cell>
          <cell r="Q729">
            <v>0</v>
          </cell>
          <cell r="R729">
            <v>932.68</v>
          </cell>
          <cell r="S729">
            <v>179.36</v>
          </cell>
          <cell r="T729">
            <v>823.27</v>
          </cell>
          <cell r="U729">
            <v>322.85000000000002</v>
          </cell>
          <cell r="V729">
            <v>116.23</v>
          </cell>
          <cell r="W729">
            <v>129.13999999999999</v>
          </cell>
          <cell r="X729">
            <v>0</v>
          </cell>
          <cell r="Y729">
            <v>0</v>
          </cell>
          <cell r="Z729">
            <v>289.85000000000002</v>
          </cell>
          <cell r="AA729">
            <v>77</v>
          </cell>
          <cell r="AB729">
            <v>96</v>
          </cell>
          <cell r="AC729">
            <v>80</v>
          </cell>
          <cell r="AD729">
            <v>13.49</v>
          </cell>
          <cell r="AE729">
            <v>5.38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6665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Y729">
            <v>971235</v>
          </cell>
        </row>
        <row r="730">
          <cell r="A730">
            <v>2</v>
          </cell>
          <cell r="B730" t="str">
            <v>12</v>
          </cell>
          <cell r="C730" t="str">
            <v>000</v>
          </cell>
          <cell r="D730" t="str">
            <v>1</v>
          </cell>
          <cell r="E730" t="str">
            <v>101</v>
          </cell>
          <cell r="F730" t="str">
            <v>N000</v>
          </cell>
          <cell r="G730" t="str">
            <v>400</v>
          </cell>
          <cell r="H730" t="str">
            <v>1103</v>
          </cell>
          <cell r="I730" t="str">
            <v>CF53805</v>
          </cell>
          <cell r="J730" t="str">
            <v>25</v>
          </cell>
          <cell r="K730" t="str">
            <v>2</v>
          </cell>
          <cell r="L730">
            <v>3</v>
          </cell>
          <cell r="M730">
            <v>0</v>
          </cell>
          <cell r="N730">
            <v>2572.4</v>
          </cell>
          <cell r="O730" t="str">
            <v>M</v>
          </cell>
          <cell r="P730" t="str">
            <v>00000000</v>
          </cell>
          <cell r="Q730">
            <v>0</v>
          </cell>
          <cell r="R730">
            <v>371.57</v>
          </cell>
          <cell r="S730">
            <v>71.459999999999994</v>
          </cell>
          <cell r="T730">
            <v>327.98</v>
          </cell>
          <cell r="U730">
            <v>128.62</v>
          </cell>
          <cell r="V730">
            <v>46.3</v>
          </cell>
          <cell r="W730">
            <v>51.45</v>
          </cell>
          <cell r="X730">
            <v>54.67</v>
          </cell>
          <cell r="Y730">
            <v>0</v>
          </cell>
          <cell r="Z730">
            <v>66.459999999999994</v>
          </cell>
          <cell r="AA730">
            <v>77</v>
          </cell>
          <cell r="AB730">
            <v>96</v>
          </cell>
          <cell r="AC730">
            <v>80</v>
          </cell>
          <cell r="AD730">
            <v>13.49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Y730">
            <v>142466.4</v>
          </cell>
        </row>
        <row r="731">
          <cell r="A731">
            <v>2</v>
          </cell>
          <cell r="B731" t="str">
            <v>12</v>
          </cell>
          <cell r="C731" t="str">
            <v>000</v>
          </cell>
          <cell r="D731" t="str">
            <v>1</v>
          </cell>
          <cell r="E731" t="str">
            <v>306</v>
          </cell>
          <cell r="F731" t="str">
            <v>N000</v>
          </cell>
          <cell r="G731" t="str">
            <v>410</v>
          </cell>
          <cell r="H731" t="str">
            <v>1103</v>
          </cell>
          <cell r="I731" t="str">
            <v>A01803</v>
          </cell>
          <cell r="J731" t="str">
            <v>19</v>
          </cell>
          <cell r="K731" t="str">
            <v>2</v>
          </cell>
          <cell r="L731">
            <v>12</v>
          </cell>
          <cell r="M731">
            <v>0</v>
          </cell>
          <cell r="N731">
            <v>2120.3000000000002</v>
          </cell>
          <cell r="O731" t="str">
            <v>M</v>
          </cell>
          <cell r="P731" t="str">
            <v>00000000</v>
          </cell>
          <cell r="Q731">
            <v>0</v>
          </cell>
          <cell r="R731">
            <v>306.27</v>
          </cell>
          <cell r="S731">
            <v>58.9</v>
          </cell>
          <cell r="T731">
            <v>270.33999999999997</v>
          </cell>
          <cell r="U731">
            <v>106.02</v>
          </cell>
          <cell r="V731">
            <v>38.17</v>
          </cell>
          <cell r="W731">
            <v>42.41</v>
          </cell>
          <cell r="X731">
            <v>10.67</v>
          </cell>
          <cell r="Y731">
            <v>0</v>
          </cell>
          <cell r="Z731">
            <v>54.98</v>
          </cell>
          <cell r="AA731">
            <v>77</v>
          </cell>
          <cell r="AB731">
            <v>96</v>
          </cell>
          <cell r="AC731">
            <v>80</v>
          </cell>
          <cell r="AD731">
            <v>13.49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Y731">
            <v>471535.2</v>
          </cell>
        </row>
        <row r="732">
          <cell r="A732">
            <v>2</v>
          </cell>
          <cell r="B732" t="str">
            <v>12</v>
          </cell>
          <cell r="C732" t="str">
            <v>000</v>
          </cell>
          <cell r="D732" t="str">
            <v>1</v>
          </cell>
          <cell r="E732" t="str">
            <v>306</v>
          </cell>
          <cell r="F732" t="str">
            <v>N000</v>
          </cell>
          <cell r="G732" t="str">
            <v>410</v>
          </cell>
          <cell r="H732" t="str">
            <v>1103</v>
          </cell>
          <cell r="I732" t="str">
            <v>A01805</v>
          </cell>
          <cell r="J732" t="str">
            <v>21</v>
          </cell>
          <cell r="K732" t="str">
            <v>2</v>
          </cell>
          <cell r="L732">
            <v>27</v>
          </cell>
          <cell r="M732">
            <v>0</v>
          </cell>
          <cell r="N732">
            <v>2238.1999999999998</v>
          </cell>
          <cell r="O732" t="str">
            <v>M</v>
          </cell>
          <cell r="P732" t="str">
            <v>00000000</v>
          </cell>
          <cell r="Q732">
            <v>0</v>
          </cell>
          <cell r="R732">
            <v>323.3</v>
          </cell>
          <cell r="S732">
            <v>62.17</v>
          </cell>
          <cell r="T732">
            <v>285.37</v>
          </cell>
          <cell r="U732">
            <v>111.91</v>
          </cell>
          <cell r="V732">
            <v>40.29</v>
          </cell>
          <cell r="W732">
            <v>44.76</v>
          </cell>
          <cell r="X732">
            <v>57.26</v>
          </cell>
          <cell r="Y732">
            <v>0</v>
          </cell>
          <cell r="Z732">
            <v>58.68</v>
          </cell>
          <cell r="AA732">
            <v>77</v>
          </cell>
          <cell r="AB732">
            <v>96</v>
          </cell>
          <cell r="AC732">
            <v>80</v>
          </cell>
          <cell r="AD732">
            <v>13.49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Y732">
            <v>1130251.32</v>
          </cell>
        </row>
        <row r="733">
          <cell r="A733">
            <v>2</v>
          </cell>
          <cell r="B733" t="str">
            <v>12</v>
          </cell>
          <cell r="C733" t="str">
            <v>000</v>
          </cell>
          <cell r="D733" t="str">
            <v>1</v>
          </cell>
          <cell r="E733" t="str">
            <v>306</v>
          </cell>
          <cell r="F733" t="str">
            <v>N000</v>
          </cell>
          <cell r="G733" t="str">
            <v>410</v>
          </cell>
          <cell r="H733" t="str">
            <v>1103</v>
          </cell>
          <cell r="I733" t="str">
            <v>A01806</v>
          </cell>
          <cell r="J733" t="str">
            <v>25</v>
          </cell>
          <cell r="K733" t="str">
            <v>2</v>
          </cell>
          <cell r="L733">
            <v>10</v>
          </cell>
          <cell r="M733">
            <v>0</v>
          </cell>
          <cell r="N733">
            <v>2572.4</v>
          </cell>
          <cell r="O733" t="str">
            <v>M</v>
          </cell>
          <cell r="P733" t="str">
            <v>00000000</v>
          </cell>
          <cell r="Q733">
            <v>0</v>
          </cell>
          <cell r="R733">
            <v>371.57</v>
          </cell>
          <cell r="S733">
            <v>71.459999999999994</v>
          </cell>
          <cell r="T733">
            <v>327.98</v>
          </cell>
          <cell r="U733">
            <v>128.62</v>
          </cell>
          <cell r="V733">
            <v>46.3</v>
          </cell>
          <cell r="W733">
            <v>51.45</v>
          </cell>
          <cell r="X733">
            <v>73</v>
          </cell>
          <cell r="Y733">
            <v>0</v>
          </cell>
          <cell r="Z733">
            <v>66.83</v>
          </cell>
          <cell r="AA733">
            <v>77</v>
          </cell>
          <cell r="AB733">
            <v>96</v>
          </cell>
          <cell r="AC733">
            <v>80</v>
          </cell>
          <cell r="AD733">
            <v>13.49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Y733">
            <v>477132</v>
          </cell>
        </row>
        <row r="734">
          <cell r="A734">
            <v>2</v>
          </cell>
          <cell r="B734" t="str">
            <v>12</v>
          </cell>
          <cell r="C734" t="str">
            <v>000</v>
          </cell>
          <cell r="D734" t="str">
            <v>1</v>
          </cell>
          <cell r="E734" t="str">
            <v>306</v>
          </cell>
          <cell r="F734" t="str">
            <v>N000</v>
          </cell>
          <cell r="G734" t="str">
            <v>410</v>
          </cell>
          <cell r="H734" t="str">
            <v>1103</v>
          </cell>
          <cell r="I734" t="str">
            <v>A01807</v>
          </cell>
          <cell r="J734" t="str">
            <v>27</v>
          </cell>
          <cell r="K734" t="str">
            <v>2</v>
          </cell>
          <cell r="L734">
            <v>16</v>
          </cell>
          <cell r="M734">
            <v>0</v>
          </cell>
          <cell r="N734">
            <v>2817.8</v>
          </cell>
          <cell r="O734" t="str">
            <v>M</v>
          </cell>
          <cell r="P734" t="str">
            <v>00000000</v>
          </cell>
          <cell r="Q734">
            <v>0</v>
          </cell>
          <cell r="R734">
            <v>407.02</v>
          </cell>
          <cell r="S734">
            <v>78.27</v>
          </cell>
          <cell r="T734">
            <v>359.27</v>
          </cell>
          <cell r="U734">
            <v>140.88999999999999</v>
          </cell>
          <cell r="V734">
            <v>50.72</v>
          </cell>
          <cell r="W734">
            <v>56.36</v>
          </cell>
          <cell r="X734">
            <v>80.06</v>
          </cell>
          <cell r="Y734">
            <v>0</v>
          </cell>
          <cell r="Z734">
            <v>72.72</v>
          </cell>
          <cell r="AA734">
            <v>77</v>
          </cell>
          <cell r="AB734">
            <v>96</v>
          </cell>
          <cell r="AC734">
            <v>80</v>
          </cell>
          <cell r="AD734">
            <v>13.49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Y734">
            <v>831283.19999999995</v>
          </cell>
        </row>
        <row r="735">
          <cell r="A735">
            <v>2</v>
          </cell>
          <cell r="B735" t="str">
            <v>12</v>
          </cell>
          <cell r="C735" t="str">
            <v>000</v>
          </cell>
          <cell r="D735" t="str">
            <v>1</v>
          </cell>
          <cell r="E735" t="str">
            <v>306</v>
          </cell>
          <cell r="F735" t="str">
            <v>N000</v>
          </cell>
          <cell r="G735" t="str">
            <v>410</v>
          </cell>
          <cell r="H735" t="str">
            <v>1103</v>
          </cell>
          <cell r="I735" t="str">
            <v>A03803</v>
          </cell>
          <cell r="J735" t="str">
            <v>20</v>
          </cell>
          <cell r="K735" t="str">
            <v>2</v>
          </cell>
          <cell r="L735">
            <v>11</v>
          </cell>
          <cell r="M735">
            <v>0</v>
          </cell>
          <cell r="N735">
            <v>2138.85</v>
          </cell>
          <cell r="O735" t="str">
            <v>M</v>
          </cell>
          <cell r="P735" t="str">
            <v>00000000</v>
          </cell>
          <cell r="Q735">
            <v>0</v>
          </cell>
          <cell r="R735">
            <v>308.94</v>
          </cell>
          <cell r="S735">
            <v>59.41</v>
          </cell>
          <cell r="T735">
            <v>272.7</v>
          </cell>
          <cell r="U735">
            <v>106.94</v>
          </cell>
          <cell r="V735">
            <v>38.5</v>
          </cell>
          <cell r="W735">
            <v>42.78</v>
          </cell>
          <cell r="X735">
            <v>36.729999999999997</v>
          </cell>
          <cell r="Y735">
            <v>0</v>
          </cell>
          <cell r="Z735">
            <v>55.94</v>
          </cell>
          <cell r="AA735">
            <v>77</v>
          </cell>
          <cell r="AB735">
            <v>96</v>
          </cell>
          <cell r="AC735">
            <v>80</v>
          </cell>
          <cell r="AD735">
            <v>13.49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Y735">
            <v>439200.96</v>
          </cell>
        </row>
        <row r="736">
          <cell r="A736">
            <v>2</v>
          </cell>
          <cell r="B736" t="str">
            <v>12</v>
          </cell>
          <cell r="C736" t="str">
            <v>000</v>
          </cell>
          <cell r="D736" t="str">
            <v>1</v>
          </cell>
          <cell r="E736" t="str">
            <v>306</v>
          </cell>
          <cell r="F736" t="str">
            <v>N000</v>
          </cell>
          <cell r="G736" t="str">
            <v>410</v>
          </cell>
          <cell r="H736" t="str">
            <v>1103</v>
          </cell>
          <cell r="I736" t="str">
            <v>A03804</v>
          </cell>
          <cell r="J736" t="str">
            <v>23</v>
          </cell>
          <cell r="K736" t="str">
            <v>2</v>
          </cell>
          <cell r="L736">
            <v>17</v>
          </cell>
          <cell r="M736">
            <v>0</v>
          </cell>
          <cell r="N736">
            <v>2451.25</v>
          </cell>
          <cell r="O736" t="str">
            <v>M</v>
          </cell>
          <cell r="P736" t="str">
            <v>00000000</v>
          </cell>
          <cell r="Q736">
            <v>0</v>
          </cell>
          <cell r="R736">
            <v>354.07</v>
          </cell>
          <cell r="S736">
            <v>68.09</v>
          </cell>
          <cell r="T736">
            <v>312.52999999999997</v>
          </cell>
          <cell r="U736">
            <v>122.56</v>
          </cell>
          <cell r="V736">
            <v>44.12</v>
          </cell>
          <cell r="W736">
            <v>49.02</v>
          </cell>
          <cell r="X736">
            <v>54.71</v>
          </cell>
          <cell r="Y736">
            <v>0</v>
          </cell>
          <cell r="Z736">
            <v>63.62</v>
          </cell>
          <cell r="AA736">
            <v>77</v>
          </cell>
          <cell r="AB736">
            <v>96</v>
          </cell>
          <cell r="AC736">
            <v>80</v>
          </cell>
          <cell r="AD736">
            <v>13.49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Y736">
            <v>772437.84</v>
          </cell>
        </row>
        <row r="737">
          <cell r="A737">
            <v>2</v>
          </cell>
          <cell r="B737" t="str">
            <v>12</v>
          </cell>
          <cell r="C737" t="str">
            <v>000</v>
          </cell>
          <cell r="D737" t="str">
            <v>1</v>
          </cell>
          <cell r="E737" t="str">
            <v>306</v>
          </cell>
          <cell r="F737" t="str">
            <v>N000</v>
          </cell>
          <cell r="G737" t="str">
            <v>410</v>
          </cell>
          <cell r="H737" t="str">
            <v>1103</v>
          </cell>
          <cell r="I737" t="str">
            <v>CFMC03</v>
          </cell>
          <cell r="J737" t="str">
            <v>MC03</v>
          </cell>
          <cell r="K737" t="str">
            <v>1</v>
          </cell>
          <cell r="L737">
            <v>5</v>
          </cell>
          <cell r="M737">
            <v>0</v>
          </cell>
          <cell r="N737">
            <v>4311.3999999999996</v>
          </cell>
          <cell r="O737" t="str">
            <v>M</v>
          </cell>
          <cell r="P737" t="str">
            <v>00000000</v>
          </cell>
          <cell r="Q737">
            <v>11306.9</v>
          </cell>
          <cell r="R737">
            <v>622.76</v>
          </cell>
          <cell r="S737">
            <v>119.76</v>
          </cell>
          <cell r="T737">
            <v>549.70000000000005</v>
          </cell>
          <cell r="U737">
            <v>215.57</v>
          </cell>
          <cell r="V737">
            <v>281.13</v>
          </cell>
          <cell r="W737">
            <v>86.23</v>
          </cell>
          <cell r="X737">
            <v>70.8</v>
          </cell>
          <cell r="Y737">
            <v>780.91</v>
          </cell>
          <cell r="Z737">
            <v>330.17</v>
          </cell>
          <cell r="AA737">
            <v>77</v>
          </cell>
          <cell r="AB737">
            <v>0</v>
          </cell>
          <cell r="AC737">
            <v>0</v>
          </cell>
          <cell r="AD737">
            <v>13.49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Y737">
            <v>1125949.2</v>
          </cell>
        </row>
        <row r="738">
          <cell r="A738">
            <v>2</v>
          </cell>
          <cell r="B738" t="str">
            <v>12</v>
          </cell>
          <cell r="C738" t="str">
            <v>000</v>
          </cell>
          <cell r="D738" t="str">
            <v>1</v>
          </cell>
          <cell r="E738" t="str">
            <v>306</v>
          </cell>
          <cell r="F738" t="str">
            <v>N000</v>
          </cell>
          <cell r="G738" t="str">
            <v>410</v>
          </cell>
          <cell r="H738" t="str">
            <v>1103</v>
          </cell>
          <cell r="I738" t="str">
            <v>CFMD09</v>
          </cell>
          <cell r="J738" t="str">
            <v>MD09</v>
          </cell>
          <cell r="K738" t="str">
            <v>1</v>
          </cell>
          <cell r="L738">
            <v>1</v>
          </cell>
          <cell r="M738">
            <v>0</v>
          </cell>
          <cell r="N738">
            <v>14852.65</v>
          </cell>
          <cell r="O738" t="str">
            <v>M</v>
          </cell>
          <cell r="P738" t="str">
            <v>00000000</v>
          </cell>
          <cell r="Q738">
            <v>100991.65</v>
          </cell>
          <cell r="R738">
            <v>2145.38</v>
          </cell>
          <cell r="S738">
            <v>412.57</v>
          </cell>
          <cell r="T738">
            <v>1893.71</v>
          </cell>
          <cell r="U738">
            <v>742.63</v>
          </cell>
          <cell r="V738">
            <v>2085.1999999999998</v>
          </cell>
          <cell r="W738">
            <v>297.05</v>
          </cell>
          <cell r="X738">
            <v>82</v>
          </cell>
          <cell r="Y738">
            <v>5792.22</v>
          </cell>
          <cell r="Z738">
            <v>2371.2199999999998</v>
          </cell>
          <cell r="AA738">
            <v>77</v>
          </cell>
          <cell r="AB738">
            <v>0</v>
          </cell>
          <cell r="AC738">
            <v>0</v>
          </cell>
          <cell r="AD738">
            <v>13.49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Y738">
            <v>1581081.24</v>
          </cell>
        </row>
        <row r="739">
          <cell r="A739">
            <v>2</v>
          </cell>
          <cell r="B739" t="str">
            <v>12</v>
          </cell>
          <cell r="C739" t="str">
            <v>000</v>
          </cell>
          <cell r="D739" t="str">
            <v>1</v>
          </cell>
          <cell r="E739" t="str">
            <v>306</v>
          </cell>
          <cell r="F739" t="str">
            <v>N000</v>
          </cell>
          <cell r="G739" t="str">
            <v>410</v>
          </cell>
          <cell r="H739" t="str">
            <v>1103</v>
          </cell>
          <cell r="I739" t="str">
            <v>CFMG06</v>
          </cell>
          <cell r="J739" t="str">
            <v>MG06</v>
          </cell>
          <cell r="K739" t="str">
            <v>1</v>
          </cell>
          <cell r="L739">
            <v>3</v>
          </cell>
          <cell r="M739">
            <v>0</v>
          </cell>
          <cell r="N739">
            <v>8232.25</v>
          </cell>
          <cell r="O739" t="str">
            <v>M</v>
          </cell>
          <cell r="P739" t="str">
            <v>00000000</v>
          </cell>
          <cell r="Q739">
            <v>38872.050000000003</v>
          </cell>
          <cell r="R739">
            <v>1189.0999999999999</v>
          </cell>
          <cell r="S739">
            <v>228.67</v>
          </cell>
          <cell r="T739">
            <v>1049.6099999999999</v>
          </cell>
          <cell r="U739">
            <v>411.61</v>
          </cell>
          <cell r="V739">
            <v>847.88</v>
          </cell>
          <cell r="W739">
            <v>164.65</v>
          </cell>
          <cell r="X739">
            <v>82</v>
          </cell>
          <cell r="Y739">
            <v>2355.2199999999998</v>
          </cell>
          <cell r="Z739">
            <v>973.62</v>
          </cell>
          <cell r="AA739">
            <v>77</v>
          </cell>
          <cell r="AB739">
            <v>0</v>
          </cell>
          <cell r="AC739">
            <v>0</v>
          </cell>
          <cell r="AD739">
            <v>13.49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Y739">
            <v>1961897.4</v>
          </cell>
        </row>
        <row r="740">
          <cell r="A740">
            <v>2</v>
          </cell>
          <cell r="B740" t="str">
            <v>12</v>
          </cell>
          <cell r="C740" t="str">
            <v>000</v>
          </cell>
          <cell r="D740" t="str">
            <v>1</v>
          </cell>
          <cell r="E740" t="str">
            <v>306</v>
          </cell>
          <cell r="F740" t="str">
            <v>N000</v>
          </cell>
          <cell r="G740" t="str">
            <v>410</v>
          </cell>
          <cell r="H740" t="str">
            <v>1103</v>
          </cell>
          <cell r="I740" t="str">
            <v>CFMS06</v>
          </cell>
          <cell r="J740" t="str">
            <v>MS06</v>
          </cell>
          <cell r="K740" t="str">
            <v>1</v>
          </cell>
          <cell r="L740">
            <v>1</v>
          </cell>
          <cell r="M740">
            <v>0</v>
          </cell>
          <cell r="N740">
            <v>4801.8999999999996</v>
          </cell>
          <cell r="O740" t="str">
            <v>M</v>
          </cell>
          <cell r="P740" t="str">
            <v>00000000</v>
          </cell>
          <cell r="Q740">
            <v>21723.85</v>
          </cell>
          <cell r="R740">
            <v>693.61</v>
          </cell>
          <cell r="S740">
            <v>133.38999999999999</v>
          </cell>
          <cell r="T740">
            <v>612.24</v>
          </cell>
          <cell r="U740">
            <v>240.09</v>
          </cell>
          <cell r="V740">
            <v>477.46</v>
          </cell>
          <cell r="W740">
            <v>96.04</v>
          </cell>
          <cell r="X740">
            <v>82</v>
          </cell>
          <cell r="Y740">
            <v>1326.29</v>
          </cell>
          <cell r="Z740">
            <v>550.24</v>
          </cell>
          <cell r="AA740">
            <v>77</v>
          </cell>
          <cell r="AB740">
            <v>0</v>
          </cell>
          <cell r="AC740">
            <v>0</v>
          </cell>
          <cell r="AD740">
            <v>13.49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Y740">
            <v>369931.2</v>
          </cell>
        </row>
        <row r="741">
          <cell r="A741">
            <v>2</v>
          </cell>
          <cell r="B741" t="str">
            <v>12</v>
          </cell>
          <cell r="C741" t="str">
            <v>000</v>
          </cell>
          <cell r="D741" t="str">
            <v>1</v>
          </cell>
          <cell r="E741" t="str">
            <v>306</v>
          </cell>
          <cell r="F741" t="str">
            <v>N000</v>
          </cell>
          <cell r="G741" t="str">
            <v>410</v>
          </cell>
          <cell r="H741" t="str">
            <v>1103</v>
          </cell>
          <cell r="I741" t="str">
            <v>CFMS08</v>
          </cell>
          <cell r="J741" t="str">
            <v>MS08</v>
          </cell>
          <cell r="K741" t="str">
            <v>1</v>
          </cell>
          <cell r="L741">
            <v>6</v>
          </cell>
          <cell r="M741">
            <v>0</v>
          </cell>
          <cell r="N741">
            <v>4801.8999999999996</v>
          </cell>
          <cell r="O741" t="str">
            <v>M</v>
          </cell>
          <cell r="P741" t="str">
            <v>00000000</v>
          </cell>
          <cell r="Q741">
            <v>18269.849999999999</v>
          </cell>
          <cell r="R741">
            <v>693.61</v>
          </cell>
          <cell r="S741">
            <v>133.38999999999999</v>
          </cell>
          <cell r="T741">
            <v>612.24</v>
          </cell>
          <cell r="U741">
            <v>240.09</v>
          </cell>
          <cell r="V741">
            <v>415.29</v>
          </cell>
          <cell r="W741">
            <v>96.04</v>
          </cell>
          <cell r="X741">
            <v>100</v>
          </cell>
          <cell r="Y741">
            <v>1153.5899999999999</v>
          </cell>
          <cell r="Z741">
            <v>481.51</v>
          </cell>
          <cell r="AA741">
            <v>77</v>
          </cell>
          <cell r="AB741">
            <v>0</v>
          </cell>
          <cell r="AC741">
            <v>0</v>
          </cell>
          <cell r="AD741">
            <v>13.49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Y741">
            <v>1950336</v>
          </cell>
        </row>
        <row r="742">
          <cell r="A742">
            <v>2</v>
          </cell>
          <cell r="B742" t="str">
            <v>12</v>
          </cell>
          <cell r="C742" t="str">
            <v>000</v>
          </cell>
          <cell r="D742" t="str">
            <v>1</v>
          </cell>
          <cell r="E742" t="str">
            <v>306</v>
          </cell>
          <cell r="F742" t="str">
            <v>N000</v>
          </cell>
          <cell r="G742" t="str">
            <v>410</v>
          </cell>
          <cell r="H742" t="str">
            <v>1103</v>
          </cell>
          <cell r="I742" t="str">
            <v>M01004</v>
          </cell>
          <cell r="K742" t="str">
            <v>2</v>
          </cell>
          <cell r="L742">
            <v>8</v>
          </cell>
          <cell r="M742">
            <v>0</v>
          </cell>
          <cell r="N742">
            <v>6400</v>
          </cell>
          <cell r="O742" t="str">
            <v>M</v>
          </cell>
          <cell r="P742" t="str">
            <v>00000000</v>
          </cell>
          <cell r="Q742">
            <v>0</v>
          </cell>
          <cell r="R742">
            <v>924.44</v>
          </cell>
          <cell r="S742">
            <v>177.78</v>
          </cell>
          <cell r="T742">
            <v>816</v>
          </cell>
          <cell r="U742">
            <v>320</v>
          </cell>
          <cell r="V742">
            <v>115.2</v>
          </cell>
          <cell r="W742">
            <v>128</v>
          </cell>
          <cell r="X742">
            <v>98.88</v>
          </cell>
          <cell r="Y742">
            <v>0</v>
          </cell>
          <cell r="Z742">
            <v>289.51</v>
          </cell>
          <cell r="AA742">
            <v>77</v>
          </cell>
          <cell r="AB742">
            <v>96</v>
          </cell>
          <cell r="AC742">
            <v>80</v>
          </cell>
          <cell r="AD742">
            <v>13.49</v>
          </cell>
          <cell r="AE742">
            <v>5.33</v>
          </cell>
          <cell r="AF742">
            <v>0</v>
          </cell>
          <cell r="AG742">
            <v>0</v>
          </cell>
          <cell r="AH742">
            <v>4086</v>
          </cell>
          <cell r="AI742">
            <v>0</v>
          </cell>
          <cell r="AJ742">
            <v>2530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Y742">
            <v>1551132.48</v>
          </cell>
        </row>
        <row r="743">
          <cell r="A743">
            <v>2</v>
          </cell>
          <cell r="B743" t="str">
            <v>12</v>
          </cell>
          <cell r="C743" t="str">
            <v>000</v>
          </cell>
          <cell r="D743" t="str">
            <v>1</v>
          </cell>
          <cell r="E743" t="str">
            <v>306</v>
          </cell>
          <cell r="F743" t="str">
            <v>N000</v>
          </cell>
          <cell r="G743" t="str">
            <v>410</v>
          </cell>
          <cell r="H743" t="str">
            <v>1103</v>
          </cell>
          <cell r="I743" t="str">
            <v>M01006</v>
          </cell>
          <cell r="K743" t="str">
            <v>2</v>
          </cell>
          <cell r="L743">
            <v>5</v>
          </cell>
          <cell r="M743">
            <v>0</v>
          </cell>
          <cell r="N743">
            <v>5300</v>
          </cell>
          <cell r="O743" t="str">
            <v>M</v>
          </cell>
          <cell r="P743" t="str">
            <v>00000000</v>
          </cell>
          <cell r="Q743">
            <v>0</v>
          </cell>
          <cell r="R743">
            <v>765.56</v>
          </cell>
          <cell r="S743">
            <v>147.22</v>
          </cell>
          <cell r="T743">
            <v>675.75</v>
          </cell>
          <cell r="U743">
            <v>265</v>
          </cell>
          <cell r="V743">
            <v>95.4</v>
          </cell>
          <cell r="W743">
            <v>106</v>
          </cell>
          <cell r="X743">
            <v>65.8</v>
          </cell>
          <cell r="Y743">
            <v>0</v>
          </cell>
          <cell r="Z743">
            <v>239.24</v>
          </cell>
          <cell r="AA743">
            <v>77</v>
          </cell>
          <cell r="AB743">
            <v>96</v>
          </cell>
          <cell r="AC743">
            <v>80</v>
          </cell>
          <cell r="AD743">
            <v>13.49</v>
          </cell>
          <cell r="AE743">
            <v>4.42</v>
          </cell>
          <cell r="AF743">
            <v>0</v>
          </cell>
          <cell r="AG743">
            <v>0</v>
          </cell>
          <cell r="AH743">
            <v>2426</v>
          </cell>
          <cell r="AI743">
            <v>0</v>
          </cell>
          <cell r="AJ743">
            <v>3000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Y743">
            <v>801412.8</v>
          </cell>
        </row>
        <row r="744">
          <cell r="A744">
            <v>2</v>
          </cell>
          <cell r="B744" t="str">
            <v>12</v>
          </cell>
          <cell r="C744" t="str">
            <v>000</v>
          </cell>
          <cell r="D744" t="str">
            <v>1</v>
          </cell>
          <cell r="E744" t="str">
            <v>306</v>
          </cell>
          <cell r="F744" t="str">
            <v>N000</v>
          </cell>
          <cell r="G744" t="str">
            <v>410</v>
          </cell>
          <cell r="H744" t="str">
            <v>1103</v>
          </cell>
          <cell r="I744" t="str">
            <v>M02001</v>
          </cell>
          <cell r="K744" t="str">
            <v>2</v>
          </cell>
          <cell r="L744">
            <v>4</v>
          </cell>
          <cell r="M744">
            <v>0</v>
          </cell>
          <cell r="N744">
            <v>5000</v>
          </cell>
          <cell r="O744" t="str">
            <v>M</v>
          </cell>
          <cell r="P744" t="str">
            <v>00000000</v>
          </cell>
          <cell r="Q744">
            <v>0</v>
          </cell>
          <cell r="R744">
            <v>722.22</v>
          </cell>
          <cell r="S744">
            <v>138.88999999999999</v>
          </cell>
          <cell r="T744">
            <v>637.5</v>
          </cell>
          <cell r="U744">
            <v>250</v>
          </cell>
          <cell r="V744">
            <v>90</v>
          </cell>
          <cell r="W744">
            <v>100</v>
          </cell>
          <cell r="X744">
            <v>45.5</v>
          </cell>
          <cell r="Y744">
            <v>0</v>
          </cell>
          <cell r="Z744">
            <v>175.28</v>
          </cell>
          <cell r="AA744">
            <v>77</v>
          </cell>
          <cell r="AB744">
            <v>96</v>
          </cell>
          <cell r="AC744">
            <v>80</v>
          </cell>
          <cell r="AD744">
            <v>13.49</v>
          </cell>
          <cell r="AE744">
            <v>4.17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2600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Y744">
            <v>481442.4</v>
          </cell>
        </row>
        <row r="745">
          <cell r="A745">
            <v>2</v>
          </cell>
          <cell r="B745" t="str">
            <v>12</v>
          </cell>
          <cell r="C745" t="str">
            <v>000</v>
          </cell>
          <cell r="D745" t="str">
            <v>1</v>
          </cell>
          <cell r="E745" t="str">
            <v>306</v>
          </cell>
          <cell r="F745" t="str">
            <v>N000</v>
          </cell>
          <cell r="G745" t="str">
            <v>410</v>
          </cell>
          <cell r="H745" t="str">
            <v>1103</v>
          </cell>
          <cell r="I745" t="str">
            <v>M02011</v>
          </cell>
          <cell r="K745" t="str">
            <v>2</v>
          </cell>
          <cell r="L745">
            <v>1</v>
          </cell>
          <cell r="M745">
            <v>0</v>
          </cell>
          <cell r="N745">
            <v>3510</v>
          </cell>
          <cell r="O745" t="str">
            <v>M</v>
          </cell>
          <cell r="P745" t="str">
            <v>00000000</v>
          </cell>
          <cell r="Q745">
            <v>0</v>
          </cell>
          <cell r="R745">
            <v>507</v>
          </cell>
          <cell r="S745">
            <v>97.5</v>
          </cell>
          <cell r="T745">
            <v>447.53</v>
          </cell>
          <cell r="U745">
            <v>175.5</v>
          </cell>
          <cell r="V745">
            <v>63.18</v>
          </cell>
          <cell r="W745">
            <v>70.2</v>
          </cell>
          <cell r="X745">
            <v>0</v>
          </cell>
          <cell r="Y745">
            <v>0</v>
          </cell>
          <cell r="Z745">
            <v>120.49</v>
          </cell>
          <cell r="AA745">
            <v>77</v>
          </cell>
          <cell r="AB745">
            <v>96</v>
          </cell>
          <cell r="AC745">
            <v>80</v>
          </cell>
          <cell r="AD745">
            <v>13.49</v>
          </cell>
          <cell r="AE745">
            <v>2.93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1654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Y745">
            <v>82977.84</v>
          </cell>
        </row>
        <row r="746">
          <cell r="A746">
            <v>2</v>
          </cell>
          <cell r="B746" t="str">
            <v>12</v>
          </cell>
          <cell r="C746" t="str">
            <v>000</v>
          </cell>
          <cell r="D746" t="str">
            <v>1</v>
          </cell>
          <cell r="E746" t="str">
            <v>306</v>
          </cell>
          <cell r="F746" t="str">
            <v>N000</v>
          </cell>
          <cell r="G746" t="str">
            <v>410</v>
          </cell>
          <cell r="H746" t="str">
            <v>1103</v>
          </cell>
          <cell r="I746" t="str">
            <v>M02050</v>
          </cell>
          <cell r="K746" t="str">
            <v>2</v>
          </cell>
          <cell r="L746">
            <v>1</v>
          </cell>
          <cell r="M746">
            <v>0</v>
          </cell>
          <cell r="N746">
            <v>3221</v>
          </cell>
          <cell r="O746" t="str">
            <v>M</v>
          </cell>
          <cell r="P746" t="str">
            <v>00000000</v>
          </cell>
          <cell r="Q746">
            <v>0</v>
          </cell>
          <cell r="R746">
            <v>465.26</v>
          </cell>
          <cell r="S746">
            <v>89.47</v>
          </cell>
          <cell r="T746">
            <v>410.68</v>
          </cell>
          <cell r="U746">
            <v>161.05000000000001</v>
          </cell>
          <cell r="V746">
            <v>57.98</v>
          </cell>
          <cell r="W746">
            <v>64.42</v>
          </cell>
          <cell r="X746">
            <v>136</v>
          </cell>
          <cell r="Y746">
            <v>0</v>
          </cell>
          <cell r="Z746">
            <v>115.35</v>
          </cell>
          <cell r="AA746">
            <v>77</v>
          </cell>
          <cell r="AB746">
            <v>96</v>
          </cell>
          <cell r="AC746">
            <v>80</v>
          </cell>
          <cell r="AD746">
            <v>13.49</v>
          </cell>
          <cell r="AE746">
            <v>2.68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1600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Y746">
            <v>79084.56</v>
          </cell>
        </row>
        <row r="747">
          <cell r="A747">
            <v>2</v>
          </cell>
          <cell r="B747" t="str">
            <v>12</v>
          </cell>
          <cell r="C747" t="str">
            <v>000</v>
          </cell>
          <cell r="D747" t="str">
            <v>1</v>
          </cell>
          <cell r="E747" t="str">
            <v>306</v>
          </cell>
          <cell r="F747" t="str">
            <v>N000</v>
          </cell>
          <cell r="G747" t="str">
            <v>410</v>
          </cell>
          <cell r="H747" t="str">
            <v>1103</v>
          </cell>
          <cell r="I747" t="str">
            <v>M02088</v>
          </cell>
          <cell r="K747" t="str">
            <v>2</v>
          </cell>
          <cell r="L747">
            <v>3</v>
          </cell>
          <cell r="M747">
            <v>0</v>
          </cell>
          <cell r="N747">
            <v>5250</v>
          </cell>
          <cell r="O747" t="str">
            <v>M</v>
          </cell>
          <cell r="P747" t="str">
            <v>00000000</v>
          </cell>
          <cell r="Q747">
            <v>0</v>
          </cell>
          <cell r="R747">
            <v>758.33</v>
          </cell>
          <cell r="S747">
            <v>145.83000000000001</v>
          </cell>
          <cell r="T747">
            <v>669.38</v>
          </cell>
          <cell r="U747">
            <v>262.5</v>
          </cell>
          <cell r="V747">
            <v>94.5</v>
          </cell>
          <cell r="W747">
            <v>105</v>
          </cell>
          <cell r="X747">
            <v>79</v>
          </cell>
          <cell r="Y747">
            <v>0</v>
          </cell>
          <cell r="Z747">
            <v>184.41</v>
          </cell>
          <cell r="AA747">
            <v>77</v>
          </cell>
          <cell r="AB747">
            <v>96</v>
          </cell>
          <cell r="AC747">
            <v>80</v>
          </cell>
          <cell r="AD747">
            <v>13.49</v>
          </cell>
          <cell r="AE747">
            <v>4.38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2730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Y747">
            <v>379793.52</v>
          </cell>
        </row>
        <row r="748">
          <cell r="A748">
            <v>2</v>
          </cell>
          <cell r="B748" t="str">
            <v>12</v>
          </cell>
          <cell r="C748" t="str">
            <v>000</v>
          </cell>
          <cell r="D748" t="str">
            <v>1</v>
          </cell>
          <cell r="E748" t="str">
            <v>306</v>
          </cell>
          <cell r="F748" t="str">
            <v>N000</v>
          </cell>
          <cell r="G748" t="str">
            <v>410</v>
          </cell>
          <cell r="H748" t="str">
            <v>1103</v>
          </cell>
          <cell r="I748" t="str">
            <v>S01805</v>
          </cell>
          <cell r="J748" t="str">
            <v>23</v>
          </cell>
          <cell r="K748" t="str">
            <v>2</v>
          </cell>
          <cell r="L748">
            <v>1</v>
          </cell>
          <cell r="M748">
            <v>0</v>
          </cell>
          <cell r="N748">
            <v>2451.25</v>
          </cell>
          <cell r="O748" t="str">
            <v>M</v>
          </cell>
          <cell r="P748" t="str">
            <v>00000000</v>
          </cell>
          <cell r="Q748">
            <v>0</v>
          </cell>
          <cell r="R748">
            <v>354.07</v>
          </cell>
          <cell r="S748">
            <v>68.09</v>
          </cell>
          <cell r="T748">
            <v>312.52999999999997</v>
          </cell>
          <cell r="U748">
            <v>122.56</v>
          </cell>
          <cell r="V748">
            <v>44.12</v>
          </cell>
          <cell r="W748">
            <v>49.02</v>
          </cell>
          <cell r="X748">
            <v>46</v>
          </cell>
          <cell r="Y748">
            <v>0</v>
          </cell>
          <cell r="Z748">
            <v>63.45</v>
          </cell>
          <cell r="AA748">
            <v>77</v>
          </cell>
          <cell r="AB748">
            <v>96</v>
          </cell>
          <cell r="AC748">
            <v>80</v>
          </cell>
          <cell r="AD748">
            <v>13.49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Y748">
            <v>45330.96</v>
          </cell>
        </row>
        <row r="749">
          <cell r="A749">
            <v>2</v>
          </cell>
          <cell r="B749" t="str">
            <v>12</v>
          </cell>
          <cell r="C749" t="str">
            <v>000</v>
          </cell>
          <cell r="D749" t="str">
            <v>1</v>
          </cell>
          <cell r="E749" t="str">
            <v>306</v>
          </cell>
          <cell r="F749" t="str">
            <v>N000</v>
          </cell>
          <cell r="G749" t="str">
            <v>410</v>
          </cell>
          <cell r="H749" t="str">
            <v>1103</v>
          </cell>
          <cell r="I749" t="str">
            <v>S01811</v>
          </cell>
          <cell r="J749" t="str">
            <v>25</v>
          </cell>
          <cell r="K749" t="str">
            <v>2</v>
          </cell>
          <cell r="L749">
            <v>5</v>
          </cell>
          <cell r="M749">
            <v>0</v>
          </cell>
          <cell r="N749">
            <v>2572.4</v>
          </cell>
          <cell r="O749" t="str">
            <v>M</v>
          </cell>
          <cell r="P749" t="str">
            <v>00000000</v>
          </cell>
          <cell r="Q749">
            <v>0</v>
          </cell>
          <cell r="R749">
            <v>371.57</v>
          </cell>
          <cell r="S749">
            <v>71.459999999999994</v>
          </cell>
          <cell r="T749">
            <v>327.98</v>
          </cell>
          <cell r="U749">
            <v>128.62</v>
          </cell>
          <cell r="V749">
            <v>46.3</v>
          </cell>
          <cell r="W749">
            <v>51.45</v>
          </cell>
          <cell r="X749">
            <v>87.2</v>
          </cell>
          <cell r="Y749">
            <v>0</v>
          </cell>
          <cell r="Z749">
            <v>67.11</v>
          </cell>
          <cell r="AA749">
            <v>77</v>
          </cell>
          <cell r="AB749">
            <v>96</v>
          </cell>
          <cell r="AC749">
            <v>80</v>
          </cell>
          <cell r="AD749">
            <v>13.49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Y749">
            <v>239434.8</v>
          </cell>
        </row>
        <row r="750">
          <cell r="A750">
            <v>2</v>
          </cell>
          <cell r="B750" t="str">
            <v>12</v>
          </cell>
          <cell r="C750" t="str">
            <v>000</v>
          </cell>
          <cell r="D750" t="str">
            <v>1</v>
          </cell>
          <cell r="E750" t="str">
            <v>306</v>
          </cell>
          <cell r="F750" t="str">
            <v>N000</v>
          </cell>
          <cell r="G750" t="str">
            <v>410</v>
          </cell>
          <cell r="H750" t="str">
            <v>1103</v>
          </cell>
          <cell r="I750" t="str">
            <v>S03810</v>
          </cell>
          <cell r="J750" t="str">
            <v>22</v>
          </cell>
          <cell r="K750" t="str">
            <v>2</v>
          </cell>
          <cell r="L750">
            <v>3</v>
          </cell>
          <cell r="M750">
            <v>0</v>
          </cell>
          <cell r="N750">
            <v>2342.3000000000002</v>
          </cell>
          <cell r="O750" t="str">
            <v>M</v>
          </cell>
          <cell r="P750" t="str">
            <v>00000000</v>
          </cell>
          <cell r="Q750">
            <v>0</v>
          </cell>
          <cell r="R750">
            <v>338.33</v>
          </cell>
          <cell r="S750">
            <v>65.06</v>
          </cell>
          <cell r="T750">
            <v>298.64</v>
          </cell>
          <cell r="U750">
            <v>117.12</v>
          </cell>
          <cell r="V750">
            <v>42.16</v>
          </cell>
          <cell r="W750">
            <v>46.85</v>
          </cell>
          <cell r="X750">
            <v>136</v>
          </cell>
          <cell r="Y750">
            <v>0</v>
          </cell>
          <cell r="Z750">
            <v>62.69</v>
          </cell>
          <cell r="AA750">
            <v>77</v>
          </cell>
          <cell r="AB750">
            <v>96</v>
          </cell>
          <cell r="AC750">
            <v>80</v>
          </cell>
          <cell r="AD750">
            <v>13.49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Y750">
            <v>133763.04</v>
          </cell>
        </row>
        <row r="751">
          <cell r="A751">
            <v>2</v>
          </cell>
          <cell r="B751" t="str">
            <v>12</v>
          </cell>
          <cell r="C751" t="str">
            <v>000</v>
          </cell>
          <cell r="D751" t="str">
            <v>1</v>
          </cell>
          <cell r="E751" t="str">
            <v>306</v>
          </cell>
          <cell r="F751" t="str">
            <v>N000</v>
          </cell>
          <cell r="G751" t="str">
            <v>410</v>
          </cell>
          <cell r="H751" t="str">
            <v>1103</v>
          </cell>
          <cell r="I751" t="str">
            <v>S08802</v>
          </cell>
          <cell r="J751" t="str">
            <v>21</v>
          </cell>
          <cell r="K751" t="str">
            <v>2</v>
          </cell>
          <cell r="L751">
            <v>1</v>
          </cell>
          <cell r="M751">
            <v>0</v>
          </cell>
          <cell r="N751">
            <v>2238.1999999999998</v>
          </cell>
          <cell r="O751" t="str">
            <v>M</v>
          </cell>
          <cell r="P751" t="str">
            <v>00000000</v>
          </cell>
          <cell r="Q751">
            <v>0</v>
          </cell>
          <cell r="R751">
            <v>323.3</v>
          </cell>
          <cell r="S751">
            <v>62.17</v>
          </cell>
          <cell r="T751">
            <v>285.37</v>
          </cell>
          <cell r="U751">
            <v>111.91</v>
          </cell>
          <cell r="V751">
            <v>40.29</v>
          </cell>
          <cell r="W751">
            <v>44.76</v>
          </cell>
          <cell r="X751">
            <v>0</v>
          </cell>
          <cell r="Y751">
            <v>0</v>
          </cell>
          <cell r="Z751">
            <v>57.53</v>
          </cell>
          <cell r="AA751">
            <v>77</v>
          </cell>
          <cell r="AB751">
            <v>96</v>
          </cell>
          <cell r="AC751">
            <v>80</v>
          </cell>
          <cell r="AD751">
            <v>13.49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Y751">
            <v>41160.239999999998</v>
          </cell>
        </row>
        <row r="752">
          <cell r="A752">
            <v>2</v>
          </cell>
          <cell r="B752" t="str">
            <v>12</v>
          </cell>
          <cell r="C752" t="str">
            <v>000</v>
          </cell>
          <cell r="D752" t="str">
            <v>1</v>
          </cell>
          <cell r="E752" t="str">
            <v>306</v>
          </cell>
          <cell r="F752" t="str">
            <v>N000</v>
          </cell>
          <cell r="G752" t="str">
            <v>410</v>
          </cell>
          <cell r="H752" t="str">
            <v>1103</v>
          </cell>
          <cell r="I752" t="str">
            <v>T03804</v>
          </cell>
          <cell r="J752" t="str">
            <v>25</v>
          </cell>
          <cell r="K752" t="str">
            <v>2</v>
          </cell>
          <cell r="L752">
            <v>5</v>
          </cell>
          <cell r="M752">
            <v>0</v>
          </cell>
          <cell r="N752">
            <v>2572.4</v>
          </cell>
          <cell r="O752" t="str">
            <v>M</v>
          </cell>
          <cell r="P752" t="str">
            <v>00000000</v>
          </cell>
          <cell r="Q752">
            <v>0</v>
          </cell>
          <cell r="R752">
            <v>371.57</v>
          </cell>
          <cell r="S752">
            <v>71.459999999999994</v>
          </cell>
          <cell r="T752">
            <v>327.98</v>
          </cell>
          <cell r="U752">
            <v>128.62</v>
          </cell>
          <cell r="V752">
            <v>46.3</v>
          </cell>
          <cell r="W752">
            <v>51.45</v>
          </cell>
          <cell r="X752">
            <v>44</v>
          </cell>
          <cell r="Y752">
            <v>0</v>
          </cell>
          <cell r="Z752">
            <v>66.25</v>
          </cell>
          <cell r="AA752">
            <v>77</v>
          </cell>
          <cell r="AB752">
            <v>96</v>
          </cell>
          <cell r="AC752">
            <v>80</v>
          </cell>
          <cell r="AD752">
            <v>13.49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Y752">
            <v>236791.2</v>
          </cell>
        </row>
        <row r="753">
          <cell r="A753">
            <v>2</v>
          </cell>
          <cell r="B753" t="str">
            <v>12</v>
          </cell>
          <cell r="C753" t="str">
            <v>000</v>
          </cell>
          <cell r="D753" t="str">
            <v>1</v>
          </cell>
          <cell r="E753" t="str">
            <v>306</v>
          </cell>
          <cell r="F753" t="str">
            <v>N000</v>
          </cell>
          <cell r="G753" t="str">
            <v>410</v>
          </cell>
          <cell r="H753" t="str">
            <v>1103</v>
          </cell>
          <cell r="I753" t="str">
            <v>T06803</v>
          </cell>
          <cell r="J753" t="str">
            <v>26</v>
          </cell>
          <cell r="K753" t="str">
            <v>2</v>
          </cell>
          <cell r="L753">
            <v>3</v>
          </cell>
          <cell r="M753">
            <v>0</v>
          </cell>
          <cell r="N753">
            <v>2692.2</v>
          </cell>
          <cell r="O753" t="str">
            <v>M</v>
          </cell>
          <cell r="P753" t="str">
            <v>00000000</v>
          </cell>
          <cell r="Q753">
            <v>0</v>
          </cell>
          <cell r="R753">
            <v>388.87</v>
          </cell>
          <cell r="S753">
            <v>74.78</v>
          </cell>
          <cell r="T753">
            <v>343.26</v>
          </cell>
          <cell r="U753">
            <v>134.61000000000001</v>
          </cell>
          <cell r="V753">
            <v>48.46</v>
          </cell>
          <cell r="W753">
            <v>53.84</v>
          </cell>
          <cell r="X753">
            <v>76</v>
          </cell>
          <cell r="Y753">
            <v>0</v>
          </cell>
          <cell r="Z753">
            <v>69.7</v>
          </cell>
          <cell r="AA753">
            <v>77</v>
          </cell>
          <cell r="AB753">
            <v>96</v>
          </cell>
          <cell r="AC753">
            <v>80</v>
          </cell>
          <cell r="AD753">
            <v>13.49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Y753">
            <v>149335.56</v>
          </cell>
        </row>
        <row r="754">
          <cell r="A754">
            <v>2</v>
          </cell>
          <cell r="B754" t="str">
            <v>12</v>
          </cell>
          <cell r="C754" t="str">
            <v>000</v>
          </cell>
          <cell r="D754" t="str">
            <v>1</v>
          </cell>
          <cell r="E754" t="str">
            <v>306</v>
          </cell>
          <cell r="F754" t="str">
            <v>N000</v>
          </cell>
          <cell r="G754" t="str">
            <v>410</v>
          </cell>
          <cell r="H754" t="str">
            <v>1103</v>
          </cell>
          <cell r="I754" t="str">
            <v>T06807</v>
          </cell>
          <cell r="J754" t="str">
            <v>24</v>
          </cell>
          <cell r="K754" t="str">
            <v>2</v>
          </cell>
          <cell r="L754">
            <v>5</v>
          </cell>
          <cell r="M754">
            <v>0</v>
          </cell>
          <cell r="N754">
            <v>2479.75</v>
          </cell>
          <cell r="O754" t="str">
            <v>M</v>
          </cell>
          <cell r="P754" t="str">
            <v>00000000</v>
          </cell>
          <cell r="Q754">
            <v>0</v>
          </cell>
          <cell r="R754">
            <v>358.19</v>
          </cell>
          <cell r="S754">
            <v>68.88</v>
          </cell>
          <cell r="T754">
            <v>316.17</v>
          </cell>
          <cell r="U754">
            <v>123.99</v>
          </cell>
          <cell r="V754">
            <v>44.64</v>
          </cell>
          <cell r="W754">
            <v>49.59</v>
          </cell>
          <cell r="X754">
            <v>34.799999999999997</v>
          </cell>
          <cell r="Y754">
            <v>0</v>
          </cell>
          <cell r="Z754">
            <v>63.89</v>
          </cell>
          <cell r="AA754">
            <v>77</v>
          </cell>
          <cell r="AB754">
            <v>96</v>
          </cell>
          <cell r="AC754">
            <v>80</v>
          </cell>
          <cell r="AD754">
            <v>13.49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Y754">
            <v>228383.4</v>
          </cell>
        </row>
        <row r="755">
          <cell r="A755">
            <v>2</v>
          </cell>
          <cell r="B755" t="str">
            <v>12</v>
          </cell>
          <cell r="C755" t="str">
            <v>000</v>
          </cell>
          <cell r="D755" t="str">
            <v>1</v>
          </cell>
          <cell r="E755" t="str">
            <v>306</v>
          </cell>
          <cell r="F755" t="str">
            <v>N000</v>
          </cell>
          <cell r="G755" t="str">
            <v>410</v>
          </cell>
          <cell r="H755" t="str">
            <v>1103</v>
          </cell>
          <cell r="I755" t="str">
            <v>CF01059</v>
          </cell>
          <cell r="J755" t="str">
            <v>28</v>
          </cell>
          <cell r="K755" t="str">
            <v>1</v>
          </cell>
          <cell r="L755">
            <v>6</v>
          </cell>
          <cell r="M755">
            <v>0</v>
          </cell>
          <cell r="N755">
            <v>3631.8</v>
          </cell>
          <cell r="O755" t="str">
            <v>M</v>
          </cell>
          <cell r="P755" t="str">
            <v>00000000</v>
          </cell>
          <cell r="Q755">
            <v>8731.1</v>
          </cell>
          <cell r="R755">
            <v>524.59</v>
          </cell>
          <cell r="S755">
            <v>100.88</v>
          </cell>
          <cell r="T755">
            <v>463.05</v>
          </cell>
          <cell r="U755">
            <v>181.59</v>
          </cell>
          <cell r="V755">
            <v>222.53</v>
          </cell>
          <cell r="W755">
            <v>72.64</v>
          </cell>
          <cell r="X755">
            <v>71.5</v>
          </cell>
          <cell r="Y755">
            <v>618.15</v>
          </cell>
          <cell r="Z755">
            <v>262.74</v>
          </cell>
          <cell r="AA755">
            <v>77</v>
          </cell>
          <cell r="AB755">
            <v>0</v>
          </cell>
          <cell r="AC755">
            <v>0</v>
          </cell>
          <cell r="AD755">
            <v>13.49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Y755">
            <v>1077916.32</v>
          </cell>
        </row>
        <row r="756">
          <cell r="A756">
            <v>2</v>
          </cell>
          <cell r="B756" t="str">
            <v>12</v>
          </cell>
          <cell r="C756" t="str">
            <v>000</v>
          </cell>
          <cell r="D756" t="str">
            <v>1</v>
          </cell>
          <cell r="E756" t="str">
            <v>306</v>
          </cell>
          <cell r="F756" t="str">
            <v>N000</v>
          </cell>
          <cell r="G756" t="str">
            <v>410</v>
          </cell>
          <cell r="H756" t="str">
            <v>1103</v>
          </cell>
          <cell r="I756" t="str">
            <v>CF03820</v>
          </cell>
          <cell r="J756" t="str">
            <v>27Z</v>
          </cell>
          <cell r="K756" t="str">
            <v>2</v>
          </cell>
          <cell r="L756">
            <v>1</v>
          </cell>
          <cell r="M756">
            <v>0</v>
          </cell>
          <cell r="N756">
            <v>2900.25</v>
          </cell>
          <cell r="O756" t="str">
            <v>M</v>
          </cell>
          <cell r="P756" t="str">
            <v>00000000</v>
          </cell>
          <cell r="Q756">
            <v>205.15</v>
          </cell>
          <cell r="R756">
            <v>418.93</v>
          </cell>
          <cell r="S756">
            <v>80.56</v>
          </cell>
          <cell r="T756">
            <v>369.78</v>
          </cell>
          <cell r="U756">
            <v>145.01</v>
          </cell>
          <cell r="V756">
            <v>55.89</v>
          </cell>
          <cell r="W756">
            <v>58.01</v>
          </cell>
          <cell r="X756">
            <v>0</v>
          </cell>
          <cell r="Y756">
            <v>0</v>
          </cell>
          <cell r="Z756">
            <v>77.16</v>
          </cell>
          <cell r="AA756">
            <v>77</v>
          </cell>
          <cell r="AB756">
            <v>96</v>
          </cell>
          <cell r="AC756">
            <v>80</v>
          </cell>
          <cell r="AD756">
            <v>13.49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Y756">
            <v>54926.76</v>
          </cell>
        </row>
        <row r="757">
          <cell r="A757">
            <v>2</v>
          </cell>
          <cell r="B757" t="str">
            <v>12</v>
          </cell>
          <cell r="C757" t="str">
            <v>000</v>
          </cell>
          <cell r="D757" t="str">
            <v>1</v>
          </cell>
          <cell r="E757" t="str">
            <v>306</v>
          </cell>
          <cell r="F757" t="str">
            <v>N000</v>
          </cell>
          <cell r="G757" t="str">
            <v>410</v>
          </cell>
          <cell r="H757" t="str">
            <v>1103</v>
          </cell>
          <cell r="I757" t="str">
            <v>CF04806</v>
          </cell>
          <cell r="J757" t="str">
            <v>26</v>
          </cell>
          <cell r="K757" t="str">
            <v>2</v>
          </cell>
          <cell r="L757">
            <v>26</v>
          </cell>
          <cell r="M757">
            <v>0</v>
          </cell>
          <cell r="N757">
            <v>2692.2</v>
          </cell>
          <cell r="O757" t="str">
            <v>M</v>
          </cell>
          <cell r="P757" t="str">
            <v>00000000</v>
          </cell>
          <cell r="Q757">
            <v>0</v>
          </cell>
          <cell r="R757">
            <v>388.87</v>
          </cell>
          <cell r="S757">
            <v>74.78</v>
          </cell>
          <cell r="T757">
            <v>343.26</v>
          </cell>
          <cell r="U757">
            <v>134.61000000000001</v>
          </cell>
          <cell r="V757">
            <v>48.46</v>
          </cell>
          <cell r="W757">
            <v>53.84</v>
          </cell>
          <cell r="X757">
            <v>62.31</v>
          </cell>
          <cell r="Y757">
            <v>0</v>
          </cell>
          <cell r="Z757">
            <v>69.42</v>
          </cell>
          <cell r="AA757">
            <v>77</v>
          </cell>
          <cell r="AB757">
            <v>96</v>
          </cell>
          <cell r="AC757">
            <v>80</v>
          </cell>
          <cell r="AD757">
            <v>13.49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Y757">
            <v>1289882.8799999999</v>
          </cell>
        </row>
        <row r="758">
          <cell r="A758">
            <v>2</v>
          </cell>
          <cell r="B758" t="str">
            <v>12</v>
          </cell>
          <cell r="C758" t="str">
            <v>000</v>
          </cell>
          <cell r="D758" t="str">
            <v>1</v>
          </cell>
          <cell r="E758" t="str">
            <v>306</v>
          </cell>
          <cell r="F758" t="str">
            <v>N000</v>
          </cell>
          <cell r="G758" t="str">
            <v>410</v>
          </cell>
          <cell r="H758" t="str">
            <v>1103</v>
          </cell>
          <cell r="I758" t="str">
            <v>CF04807</v>
          </cell>
          <cell r="J758" t="str">
            <v>27Z</v>
          </cell>
          <cell r="K758" t="str">
            <v>2</v>
          </cell>
          <cell r="L758">
            <v>2</v>
          </cell>
          <cell r="M758">
            <v>0</v>
          </cell>
          <cell r="N758">
            <v>2900.25</v>
          </cell>
          <cell r="O758" t="str">
            <v>M</v>
          </cell>
          <cell r="P758" t="str">
            <v>00000000</v>
          </cell>
          <cell r="Q758">
            <v>205.15</v>
          </cell>
          <cell r="R758">
            <v>418.93</v>
          </cell>
          <cell r="S758">
            <v>80.56</v>
          </cell>
          <cell r="T758">
            <v>369.78</v>
          </cell>
          <cell r="U758">
            <v>145.01</v>
          </cell>
          <cell r="V758">
            <v>55.89</v>
          </cell>
          <cell r="W758">
            <v>58.01</v>
          </cell>
          <cell r="X758">
            <v>23</v>
          </cell>
          <cell r="Y758">
            <v>0</v>
          </cell>
          <cell r="Z758">
            <v>77.62</v>
          </cell>
          <cell r="AA758">
            <v>77</v>
          </cell>
          <cell r="AB758">
            <v>96</v>
          </cell>
          <cell r="AC758">
            <v>80</v>
          </cell>
          <cell r="AD758">
            <v>13.49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Y758">
            <v>110416.56</v>
          </cell>
        </row>
        <row r="759">
          <cell r="A759">
            <v>2</v>
          </cell>
          <cell r="B759" t="str">
            <v>12</v>
          </cell>
          <cell r="C759" t="str">
            <v>000</v>
          </cell>
          <cell r="D759" t="str">
            <v>1</v>
          </cell>
          <cell r="E759" t="str">
            <v>306</v>
          </cell>
          <cell r="F759" t="str">
            <v>N000</v>
          </cell>
          <cell r="G759" t="str">
            <v>410</v>
          </cell>
          <cell r="H759" t="str">
            <v>1103</v>
          </cell>
          <cell r="I759" t="str">
            <v>CF04808</v>
          </cell>
          <cell r="J759" t="str">
            <v>27ZA</v>
          </cell>
          <cell r="K759" t="str">
            <v>2</v>
          </cell>
          <cell r="L759">
            <v>6</v>
          </cell>
          <cell r="M759">
            <v>0</v>
          </cell>
          <cell r="N759">
            <v>2982.9</v>
          </cell>
          <cell r="O759" t="str">
            <v>M</v>
          </cell>
          <cell r="P759" t="str">
            <v>00000000</v>
          </cell>
          <cell r="Q759">
            <v>579.4</v>
          </cell>
          <cell r="R759">
            <v>430.86</v>
          </cell>
          <cell r="S759">
            <v>82.86</v>
          </cell>
          <cell r="T759">
            <v>380.32</v>
          </cell>
          <cell r="U759">
            <v>149.15</v>
          </cell>
          <cell r="V759">
            <v>64.12</v>
          </cell>
          <cell r="W759">
            <v>59.66</v>
          </cell>
          <cell r="X759">
            <v>22.67</v>
          </cell>
          <cell r="Y759">
            <v>0</v>
          </cell>
          <cell r="Z759">
            <v>87.03</v>
          </cell>
          <cell r="AA759">
            <v>77</v>
          </cell>
          <cell r="AB759">
            <v>96</v>
          </cell>
          <cell r="AC759">
            <v>80</v>
          </cell>
          <cell r="AD759">
            <v>13.49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Y759">
            <v>367593.12</v>
          </cell>
        </row>
        <row r="760">
          <cell r="A760">
            <v>2</v>
          </cell>
          <cell r="B760" t="str">
            <v>12</v>
          </cell>
          <cell r="C760" t="str">
            <v>000</v>
          </cell>
          <cell r="D760" t="str">
            <v>1</v>
          </cell>
          <cell r="E760" t="str">
            <v>306</v>
          </cell>
          <cell r="F760" t="str">
            <v>N000</v>
          </cell>
          <cell r="G760" t="str">
            <v>410</v>
          </cell>
          <cell r="H760" t="str">
            <v>1103</v>
          </cell>
          <cell r="I760" t="str">
            <v>CF12825</v>
          </cell>
          <cell r="J760" t="str">
            <v>27ZB</v>
          </cell>
          <cell r="K760" t="str">
            <v>2</v>
          </cell>
          <cell r="L760">
            <v>1</v>
          </cell>
          <cell r="M760">
            <v>0</v>
          </cell>
          <cell r="N760">
            <v>3008.65</v>
          </cell>
          <cell r="O760" t="str">
            <v>M</v>
          </cell>
          <cell r="P760" t="str">
            <v>00000000</v>
          </cell>
          <cell r="Q760">
            <v>857</v>
          </cell>
          <cell r="R760">
            <v>434.58</v>
          </cell>
          <cell r="S760">
            <v>83.57</v>
          </cell>
          <cell r="T760">
            <v>383.6</v>
          </cell>
          <cell r="U760">
            <v>150.43</v>
          </cell>
          <cell r="V760">
            <v>69.59</v>
          </cell>
          <cell r="W760">
            <v>60.17</v>
          </cell>
          <cell r="X760">
            <v>46</v>
          </cell>
          <cell r="Y760">
            <v>0</v>
          </cell>
          <cell r="Z760">
            <v>93.66</v>
          </cell>
          <cell r="AA760">
            <v>77</v>
          </cell>
          <cell r="AB760">
            <v>96</v>
          </cell>
          <cell r="AC760">
            <v>80</v>
          </cell>
          <cell r="AD760">
            <v>13.49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Y760">
            <v>65444.88</v>
          </cell>
        </row>
        <row r="761">
          <cell r="A761">
            <v>2</v>
          </cell>
          <cell r="B761" t="str">
            <v>12</v>
          </cell>
          <cell r="C761" t="str">
            <v>000</v>
          </cell>
          <cell r="D761" t="str">
            <v>1</v>
          </cell>
          <cell r="E761" t="str">
            <v>306</v>
          </cell>
          <cell r="F761" t="str">
            <v>N000</v>
          </cell>
          <cell r="G761" t="str">
            <v>410</v>
          </cell>
          <cell r="H761" t="str">
            <v>1103</v>
          </cell>
          <cell r="I761" t="str">
            <v>CF21807</v>
          </cell>
          <cell r="J761" t="str">
            <v>26</v>
          </cell>
          <cell r="K761" t="str">
            <v>2</v>
          </cell>
          <cell r="L761">
            <v>3</v>
          </cell>
          <cell r="M761">
            <v>0</v>
          </cell>
          <cell r="N761">
            <v>2692.2</v>
          </cell>
          <cell r="O761" t="str">
            <v>M</v>
          </cell>
          <cell r="P761" t="str">
            <v>00000000</v>
          </cell>
          <cell r="Q761">
            <v>0</v>
          </cell>
          <cell r="R761">
            <v>388.87</v>
          </cell>
          <cell r="S761">
            <v>74.78</v>
          </cell>
          <cell r="T761">
            <v>343.26</v>
          </cell>
          <cell r="U761">
            <v>134.61000000000001</v>
          </cell>
          <cell r="V761">
            <v>48.46</v>
          </cell>
          <cell r="W761">
            <v>53.84</v>
          </cell>
          <cell r="X761">
            <v>60.67</v>
          </cell>
          <cell r="Y761">
            <v>0</v>
          </cell>
          <cell r="Z761">
            <v>69.39</v>
          </cell>
          <cell r="AA761">
            <v>77</v>
          </cell>
          <cell r="AB761">
            <v>96</v>
          </cell>
          <cell r="AC761">
            <v>80</v>
          </cell>
          <cell r="AD761">
            <v>13.49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Y761">
            <v>148772.51999999999</v>
          </cell>
        </row>
        <row r="762">
          <cell r="A762">
            <v>2</v>
          </cell>
          <cell r="B762" t="str">
            <v>12</v>
          </cell>
          <cell r="C762" t="str">
            <v>000</v>
          </cell>
          <cell r="D762" t="str">
            <v>1</v>
          </cell>
          <cell r="E762" t="str">
            <v>306</v>
          </cell>
          <cell r="F762" t="str">
            <v>N000</v>
          </cell>
          <cell r="G762" t="str">
            <v>410</v>
          </cell>
          <cell r="H762" t="str">
            <v>1103</v>
          </cell>
          <cell r="I762" t="str">
            <v>CF21829</v>
          </cell>
          <cell r="J762" t="str">
            <v>27ZB</v>
          </cell>
          <cell r="K762" t="str">
            <v>2</v>
          </cell>
          <cell r="L762">
            <v>2</v>
          </cell>
          <cell r="M762">
            <v>0</v>
          </cell>
          <cell r="N762">
            <v>3008.65</v>
          </cell>
          <cell r="O762" t="str">
            <v>M</v>
          </cell>
          <cell r="P762" t="str">
            <v>00000000</v>
          </cell>
          <cell r="Q762">
            <v>857</v>
          </cell>
          <cell r="R762">
            <v>434.58</v>
          </cell>
          <cell r="S762">
            <v>83.57</v>
          </cell>
          <cell r="T762">
            <v>383.6</v>
          </cell>
          <cell r="U762">
            <v>150.43</v>
          </cell>
          <cell r="V762">
            <v>69.59</v>
          </cell>
          <cell r="W762">
            <v>60.17</v>
          </cell>
          <cell r="X762">
            <v>27.5</v>
          </cell>
          <cell r="Y762">
            <v>0</v>
          </cell>
          <cell r="Z762">
            <v>93.29</v>
          </cell>
          <cell r="AA762">
            <v>77</v>
          </cell>
          <cell r="AB762">
            <v>96</v>
          </cell>
          <cell r="AC762">
            <v>80</v>
          </cell>
          <cell r="AD762">
            <v>13.49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Y762">
            <v>130436.88</v>
          </cell>
        </row>
        <row r="763">
          <cell r="A763">
            <v>2</v>
          </cell>
          <cell r="B763" t="str">
            <v>12</v>
          </cell>
          <cell r="C763" t="str">
            <v>000</v>
          </cell>
          <cell r="D763" t="str">
            <v>1</v>
          </cell>
          <cell r="E763" t="str">
            <v>306</v>
          </cell>
          <cell r="F763" t="str">
            <v>N000</v>
          </cell>
          <cell r="G763" t="str">
            <v>410</v>
          </cell>
          <cell r="H763" t="str">
            <v>1103</v>
          </cell>
          <cell r="I763" t="str">
            <v>CF21856</v>
          </cell>
          <cell r="J763" t="str">
            <v>27Z</v>
          </cell>
          <cell r="K763" t="str">
            <v>2</v>
          </cell>
          <cell r="L763">
            <v>2</v>
          </cell>
          <cell r="M763">
            <v>0</v>
          </cell>
          <cell r="N763">
            <v>2900.25</v>
          </cell>
          <cell r="O763" t="str">
            <v>M</v>
          </cell>
          <cell r="P763" t="str">
            <v>00000000</v>
          </cell>
          <cell r="Q763">
            <v>205.15</v>
          </cell>
          <cell r="R763">
            <v>418.93</v>
          </cell>
          <cell r="S763">
            <v>80.56</v>
          </cell>
          <cell r="T763">
            <v>369.78</v>
          </cell>
          <cell r="U763">
            <v>145.01</v>
          </cell>
          <cell r="V763">
            <v>55.89</v>
          </cell>
          <cell r="W763">
            <v>58.01</v>
          </cell>
          <cell r="X763">
            <v>109</v>
          </cell>
          <cell r="Y763">
            <v>0</v>
          </cell>
          <cell r="Z763">
            <v>79.34</v>
          </cell>
          <cell r="AA763">
            <v>77</v>
          </cell>
          <cell r="AB763">
            <v>96</v>
          </cell>
          <cell r="AC763">
            <v>80</v>
          </cell>
          <cell r="AD763">
            <v>13.49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Y763">
            <v>112521.84</v>
          </cell>
        </row>
        <row r="764">
          <cell r="A764">
            <v>2</v>
          </cell>
          <cell r="B764" t="str">
            <v>12</v>
          </cell>
          <cell r="C764" t="str">
            <v>000</v>
          </cell>
          <cell r="D764" t="str">
            <v>1</v>
          </cell>
          <cell r="E764" t="str">
            <v>306</v>
          </cell>
          <cell r="F764" t="str">
            <v>N000</v>
          </cell>
          <cell r="G764" t="str">
            <v>410</v>
          </cell>
          <cell r="H764" t="str">
            <v>1103</v>
          </cell>
          <cell r="I764" t="str">
            <v>CF21859</v>
          </cell>
          <cell r="J764" t="str">
            <v>27ZB</v>
          </cell>
          <cell r="K764" t="str">
            <v>2</v>
          </cell>
          <cell r="L764">
            <v>1</v>
          </cell>
          <cell r="M764">
            <v>0</v>
          </cell>
          <cell r="N764">
            <v>3008.65</v>
          </cell>
          <cell r="O764" t="str">
            <v>M</v>
          </cell>
          <cell r="P764" t="str">
            <v>00000000</v>
          </cell>
          <cell r="Q764">
            <v>857</v>
          </cell>
          <cell r="R764">
            <v>434.58</v>
          </cell>
          <cell r="S764">
            <v>83.57</v>
          </cell>
          <cell r="T764">
            <v>383.6</v>
          </cell>
          <cell r="U764">
            <v>150.43</v>
          </cell>
          <cell r="V764">
            <v>69.59</v>
          </cell>
          <cell r="W764">
            <v>60.17</v>
          </cell>
          <cell r="X764">
            <v>82</v>
          </cell>
          <cell r="Y764">
            <v>0</v>
          </cell>
          <cell r="Z764">
            <v>94.38</v>
          </cell>
          <cell r="AA764">
            <v>77</v>
          </cell>
          <cell r="AB764">
            <v>96</v>
          </cell>
          <cell r="AC764">
            <v>80</v>
          </cell>
          <cell r="AD764">
            <v>13.49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Y764">
            <v>65885.52</v>
          </cell>
        </row>
        <row r="765">
          <cell r="A765">
            <v>2</v>
          </cell>
          <cell r="B765" t="str">
            <v>12</v>
          </cell>
          <cell r="C765" t="str">
            <v>000</v>
          </cell>
          <cell r="D765" t="str">
            <v>1</v>
          </cell>
          <cell r="E765" t="str">
            <v>306</v>
          </cell>
          <cell r="F765" t="str">
            <v>N000</v>
          </cell>
          <cell r="G765" t="str">
            <v>410</v>
          </cell>
          <cell r="H765" t="str">
            <v>1103</v>
          </cell>
          <cell r="I765" t="str">
            <v>CF21864</v>
          </cell>
          <cell r="J765" t="str">
            <v>27C</v>
          </cell>
          <cell r="K765" t="str">
            <v>1</v>
          </cell>
          <cell r="L765">
            <v>4</v>
          </cell>
          <cell r="M765">
            <v>0</v>
          </cell>
          <cell r="N765">
            <v>3268.2</v>
          </cell>
          <cell r="O765" t="str">
            <v>M</v>
          </cell>
          <cell r="P765" t="str">
            <v>00000000</v>
          </cell>
          <cell r="Q765">
            <v>4783.05</v>
          </cell>
          <cell r="R765">
            <v>472.07</v>
          </cell>
          <cell r="S765">
            <v>90.78</v>
          </cell>
          <cell r="T765">
            <v>416.7</v>
          </cell>
          <cell r="U765">
            <v>163.41</v>
          </cell>
          <cell r="V765">
            <v>144.91999999999999</v>
          </cell>
          <cell r="W765">
            <v>65.36</v>
          </cell>
          <cell r="X765">
            <v>57.25</v>
          </cell>
          <cell r="Y765">
            <v>0</v>
          </cell>
          <cell r="Z765">
            <v>174.97</v>
          </cell>
          <cell r="AA765">
            <v>77</v>
          </cell>
          <cell r="AB765">
            <v>0</v>
          </cell>
          <cell r="AC765">
            <v>0</v>
          </cell>
          <cell r="AD765">
            <v>13.49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Y765">
            <v>466905.59999999998</v>
          </cell>
        </row>
        <row r="766">
          <cell r="A766">
            <v>2</v>
          </cell>
          <cell r="B766" t="str">
            <v>12</v>
          </cell>
          <cell r="C766" t="str">
            <v>000</v>
          </cell>
          <cell r="D766" t="str">
            <v>1</v>
          </cell>
          <cell r="E766" t="str">
            <v>306</v>
          </cell>
          <cell r="F766" t="str">
            <v>N000</v>
          </cell>
          <cell r="G766" t="str">
            <v>410</v>
          </cell>
          <cell r="H766" t="str">
            <v>1103</v>
          </cell>
          <cell r="I766" t="str">
            <v>CF21865</v>
          </cell>
          <cell r="J766" t="str">
            <v>27B</v>
          </cell>
          <cell r="K766" t="str">
            <v>1</v>
          </cell>
          <cell r="L766">
            <v>4</v>
          </cell>
          <cell r="M766">
            <v>0</v>
          </cell>
          <cell r="N766">
            <v>3222.2</v>
          </cell>
          <cell r="O766" t="str">
            <v>M</v>
          </cell>
          <cell r="P766" t="str">
            <v>00000000</v>
          </cell>
          <cell r="Q766">
            <v>3558.85</v>
          </cell>
          <cell r="R766">
            <v>465.43</v>
          </cell>
          <cell r="S766">
            <v>89.51</v>
          </cell>
          <cell r="T766">
            <v>410.83</v>
          </cell>
          <cell r="U766">
            <v>161.11000000000001</v>
          </cell>
          <cell r="V766">
            <v>122.06</v>
          </cell>
          <cell r="W766">
            <v>64.44</v>
          </cell>
          <cell r="X766">
            <v>11.5</v>
          </cell>
          <cell r="Y766">
            <v>0</v>
          </cell>
          <cell r="Z766">
            <v>148.49</v>
          </cell>
          <cell r="AA766">
            <v>77</v>
          </cell>
          <cell r="AB766">
            <v>0</v>
          </cell>
          <cell r="AC766">
            <v>0</v>
          </cell>
          <cell r="AD766">
            <v>13.49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Y766">
            <v>400555.68</v>
          </cell>
        </row>
        <row r="767">
          <cell r="A767">
            <v>2</v>
          </cell>
          <cell r="B767" t="str">
            <v>12</v>
          </cell>
          <cell r="C767" t="str">
            <v>000</v>
          </cell>
          <cell r="D767" t="str">
            <v>1</v>
          </cell>
          <cell r="E767" t="str">
            <v>306</v>
          </cell>
          <cell r="F767" t="str">
            <v>N000</v>
          </cell>
          <cell r="G767" t="str">
            <v>410</v>
          </cell>
          <cell r="H767" t="str">
            <v>1103</v>
          </cell>
          <cell r="I767" t="str">
            <v>CF21866</v>
          </cell>
          <cell r="J767" t="str">
            <v>27A</v>
          </cell>
          <cell r="K767" t="str">
            <v>1</v>
          </cell>
          <cell r="L767">
            <v>1</v>
          </cell>
          <cell r="M767">
            <v>0</v>
          </cell>
          <cell r="N767">
            <v>3185.4</v>
          </cell>
          <cell r="O767" t="str">
            <v>M</v>
          </cell>
          <cell r="P767" t="str">
            <v>00000000</v>
          </cell>
          <cell r="Q767">
            <v>2791.7</v>
          </cell>
          <cell r="R767">
            <v>460.11</v>
          </cell>
          <cell r="S767">
            <v>88.48</v>
          </cell>
          <cell r="T767">
            <v>406.14</v>
          </cell>
          <cell r="U767">
            <v>159.27000000000001</v>
          </cell>
          <cell r="V767">
            <v>107.59</v>
          </cell>
          <cell r="W767">
            <v>63.71</v>
          </cell>
          <cell r="X767">
            <v>46</v>
          </cell>
          <cell r="Y767">
            <v>0</v>
          </cell>
          <cell r="Z767">
            <v>132.97</v>
          </cell>
          <cell r="AA767">
            <v>77</v>
          </cell>
          <cell r="AB767">
            <v>0</v>
          </cell>
          <cell r="AC767">
            <v>0</v>
          </cell>
          <cell r="AD767">
            <v>13.49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Y767">
            <v>90382.32</v>
          </cell>
        </row>
        <row r="768">
          <cell r="A768">
            <v>2</v>
          </cell>
          <cell r="B768" t="str">
            <v>12</v>
          </cell>
          <cell r="C768" t="str">
            <v>000</v>
          </cell>
          <cell r="D768" t="str">
            <v>1</v>
          </cell>
          <cell r="E768" t="str">
            <v>306</v>
          </cell>
          <cell r="F768" t="str">
            <v>N000</v>
          </cell>
          <cell r="G768" t="str">
            <v>410</v>
          </cell>
          <cell r="H768" t="str">
            <v>1103</v>
          </cell>
          <cell r="I768" t="str">
            <v>CF21899</v>
          </cell>
          <cell r="J768" t="str">
            <v>27CC</v>
          </cell>
          <cell r="K768" t="str">
            <v>1</v>
          </cell>
          <cell r="L768">
            <v>3</v>
          </cell>
          <cell r="M768">
            <v>0</v>
          </cell>
          <cell r="N768">
            <v>3368.65</v>
          </cell>
          <cell r="O768" t="str">
            <v>M</v>
          </cell>
          <cell r="P768" t="str">
            <v>00000000</v>
          </cell>
          <cell r="Q768">
            <v>6973.4</v>
          </cell>
          <cell r="R768">
            <v>486.58</v>
          </cell>
          <cell r="S768">
            <v>93.57</v>
          </cell>
          <cell r="T768">
            <v>429.5</v>
          </cell>
          <cell r="U768">
            <v>168.43</v>
          </cell>
          <cell r="V768">
            <v>186.16</v>
          </cell>
          <cell r="W768">
            <v>67.37</v>
          </cell>
          <cell r="X768">
            <v>0</v>
          </cell>
          <cell r="Y768">
            <v>517.1</v>
          </cell>
          <cell r="Z768">
            <v>219.98</v>
          </cell>
          <cell r="AA768">
            <v>77</v>
          </cell>
          <cell r="AB768">
            <v>0</v>
          </cell>
          <cell r="AC768">
            <v>0</v>
          </cell>
          <cell r="AD768">
            <v>13.49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Y768">
            <v>453644.28</v>
          </cell>
        </row>
        <row r="769">
          <cell r="A769">
            <v>2</v>
          </cell>
          <cell r="B769" t="str">
            <v>12</v>
          </cell>
          <cell r="C769" t="str">
            <v>000</v>
          </cell>
          <cell r="D769" t="str">
            <v>1</v>
          </cell>
          <cell r="E769" t="str">
            <v>306</v>
          </cell>
          <cell r="F769" t="str">
            <v>N000</v>
          </cell>
          <cell r="G769" t="str">
            <v>410</v>
          </cell>
          <cell r="H769" t="str">
            <v>1103</v>
          </cell>
          <cell r="I769" t="str">
            <v>CF33834</v>
          </cell>
          <cell r="J769" t="str">
            <v>27</v>
          </cell>
          <cell r="K769" t="str">
            <v>2</v>
          </cell>
          <cell r="L769">
            <v>3</v>
          </cell>
          <cell r="M769">
            <v>0</v>
          </cell>
          <cell r="N769">
            <v>2817.8</v>
          </cell>
          <cell r="O769" t="str">
            <v>M</v>
          </cell>
          <cell r="P769" t="str">
            <v>00000000</v>
          </cell>
          <cell r="Q769">
            <v>0</v>
          </cell>
          <cell r="R769">
            <v>407.02</v>
          </cell>
          <cell r="S769">
            <v>78.27</v>
          </cell>
          <cell r="T769">
            <v>359.27</v>
          </cell>
          <cell r="U769">
            <v>140.88999999999999</v>
          </cell>
          <cell r="V769">
            <v>50.72</v>
          </cell>
          <cell r="W769">
            <v>56.36</v>
          </cell>
          <cell r="X769">
            <v>61</v>
          </cell>
          <cell r="Y769">
            <v>0</v>
          </cell>
          <cell r="Z769">
            <v>72.34</v>
          </cell>
          <cell r="AA769">
            <v>77</v>
          </cell>
          <cell r="AB769">
            <v>96</v>
          </cell>
          <cell r="AC769">
            <v>80</v>
          </cell>
          <cell r="AD769">
            <v>13.49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Y769">
            <v>155165.76000000001</v>
          </cell>
        </row>
        <row r="770">
          <cell r="A770">
            <v>2</v>
          </cell>
          <cell r="B770" t="str">
            <v>12</v>
          </cell>
          <cell r="C770" t="str">
            <v>000</v>
          </cell>
          <cell r="D770" t="str">
            <v>1</v>
          </cell>
          <cell r="E770" t="str">
            <v>306</v>
          </cell>
          <cell r="F770" t="str">
            <v>N000</v>
          </cell>
          <cell r="G770" t="str">
            <v>410</v>
          </cell>
          <cell r="H770" t="str">
            <v>1103</v>
          </cell>
          <cell r="I770" t="str">
            <v>CF33892</v>
          </cell>
          <cell r="J770" t="str">
            <v>27ZA</v>
          </cell>
          <cell r="K770" t="str">
            <v>2</v>
          </cell>
          <cell r="L770">
            <v>15</v>
          </cell>
          <cell r="M770">
            <v>0</v>
          </cell>
          <cell r="N770">
            <v>2982.9</v>
          </cell>
          <cell r="O770" t="str">
            <v>M</v>
          </cell>
          <cell r="P770" t="str">
            <v>00000000</v>
          </cell>
          <cell r="Q770">
            <v>579.4</v>
          </cell>
          <cell r="R770">
            <v>430.86</v>
          </cell>
          <cell r="S770">
            <v>82.86</v>
          </cell>
          <cell r="T770">
            <v>380.32</v>
          </cell>
          <cell r="U770">
            <v>149.15</v>
          </cell>
          <cell r="V770">
            <v>64.12</v>
          </cell>
          <cell r="W770">
            <v>59.66</v>
          </cell>
          <cell r="X770">
            <v>92.8</v>
          </cell>
          <cell r="Y770">
            <v>0</v>
          </cell>
          <cell r="Z770">
            <v>88.44</v>
          </cell>
          <cell r="AA770">
            <v>77</v>
          </cell>
          <cell r="AB770">
            <v>96</v>
          </cell>
          <cell r="AC770">
            <v>80</v>
          </cell>
          <cell r="AD770">
            <v>13.49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Y770">
            <v>931860</v>
          </cell>
        </row>
        <row r="771">
          <cell r="A771">
            <v>2</v>
          </cell>
          <cell r="B771" t="str">
            <v>12</v>
          </cell>
          <cell r="C771" t="str">
            <v>000</v>
          </cell>
          <cell r="D771" t="str">
            <v>1</v>
          </cell>
          <cell r="E771" t="str">
            <v>306</v>
          </cell>
          <cell r="F771" t="str">
            <v>N000</v>
          </cell>
          <cell r="G771" t="str">
            <v>410</v>
          </cell>
          <cell r="H771" t="str">
            <v>1103</v>
          </cell>
          <cell r="I771" t="str">
            <v>CF41059</v>
          </cell>
          <cell r="K771" t="str">
            <v>2</v>
          </cell>
          <cell r="L771">
            <v>4</v>
          </cell>
          <cell r="M771">
            <v>0</v>
          </cell>
          <cell r="N771">
            <v>4776</v>
          </cell>
          <cell r="O771" t="str">
            <v>M</v>
          </cell>
          <cell r="P771" t="str">
            <v>00000000</v>
          </cell>
          <cell r="Q771">
            <v>0</v>
          </cell>
          <cell r="R771">
            <v>689.87</v>
          </cell>
          <cell r="S771">
            <v>132.66999999999999</v>
          </cell>
          <cell r="T771">
            <v>608.94000000000005</v>
          </cell>
          <cell r="U771">
            <v>238.8</v>
          </cell>
          <cell r="V771">
            <v>85.97</v>
          </cell>
          <cell r="W771">
            <v>95.52</v>
          </cell>
          <cell r="X771">
            <v>57</v>
          </cell>
          <cell r="Y771">
            <v>0</v>
          </cell>
          <cell r="Z771">
            <v>179.53</v>
          </cell>
          <cell r="AA771">
            <v>77</v>
          </cell>
          <cell r="AB771">
            <v>96</v>
          </cell>
          <cell r="AC771">
            <v>80</v>
          </cell>
          <cell r="AD771">
            <v>13.49</v>
          </cell>
          <cell r="AE771">
            <v>3.98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3064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Y771">
            <v>489540.96</v>
          </cell>
        </row>
        <row r="772">
          <cell r="A772">
            <v>2</v>
          </cell>
          <cell r="B772" t="str">
            <v>12</v>
          </cell>
          <cell r="C772" t="str">
            <v>000</v>
          </cell>
          <cell r="D772" t="str">
            <v>1</v>
          </cell>
          <cell r="E772" t="str">
            <v>306</v>
          </cell>
          <cell r="F772" t="str">
            <v>N000</v>
          </cell>
          <cell r="G772" t="str">
            <v>410</v>
          </cell>
          <cell r="H772" t="str">
            <v>1103</v>
          </cell>
          <cell r="I772" t="str">
            <v>CF41060</v>
          </cell>
          <cell r="K772" t="str">
            <v>2</v>
          </cell>
          <cell r="L772">
            <v>50</v>
          </cell>
          <cell r="M772">
            <v>0</v>
          </cell>
          <cell r="N772">
            <v>5274</v>
          </cell>
          <cell r="O772" t="str">
            <v>M</v>
          </cell>
          <cell r="P772" t="str">
            <v>00000000</v>
          </cell>
          <cell r="Q772">
            <v>0</v>
          </cell>
          <cell r="R772">
            <v>761.8</v>
          </cell>
          <cell r="S772">
            <v>146.5</v>
          </cell>
          <cell r="T772">
            <v>672.44</v>
          </cell>
          <cell r="U772">
            <v>263.7</v>
          </cell>
          <cell r="V772">
            <v>94.93</v>
          </cell>
          <cell r="W772">
            <v>105.48</v>
          </cell>
          <cell r="X772">
            <v>78.739999999999995</v>
          </cell>
          <cell r="Y772">
            <v>0</v>
          </cell>
          <cell r="Z772">
            <v>196.69</v>
          </cell>
          <cell r="AA772">
            <v>77</v>
          </cell>
          <cell r="AB772">
            <v>96</v>
          </cell>
          <cell r="AC772">
            <v>80</v>
          </cell>
          <cell r="AD772">
            <v>13.49</v>
          </cell>
          <cell r="AE772">
            <v>4.3899999999999997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3316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Y772">
            <v>6708696</v>
          </cell>
        </row>
        <row r="773">
          <cell r="A773">
            <v>2</v>
          </cell>
          <cell r="B773" t="str">
            <v>12</v>
          </cell>
          <cell r="C773" t="str">
            <v>000</v>
          </cell>
          <cell r="D773" t="str">
            <v>1</v>
          </cell>
          <cell r="E773" t="str">
            <v>306</v>
          </cell>
          <cell r="F773" t="str">
            <v>N000</v>
          </cell>
          <cell r="G773" t="str">
            <v>410</v>
          </cell>
          <cell r="H773" t="str">
            <v>1103</v>
          </cell>
          <cell r="I773" t="str">
            <v>CF41061</v>
          </cell>
          <cell r="K773" t="str">
            <v>2</v>
          </cell>
          <cell r="L773">
            <v>31</v>
          </cell>
          <cell r="M773">
            <v>0</v>
          </cell>
          <cell r="N773">
            <v>5300</v>
          </cell>
          <cell r="O773" t="str">
            <v>M</v>
          </cell>
          <cell r="P773" t="str">
            <v>00000000</v>
          </cell>
          <cell r="Q773">
            <v>0</v>
          </cell>
          <cell r="R773">
            <v>765.56</v>
          </cell>
          <cell r="S773">
            <v>147.22</v>
          </cell>
          <cell r="T773">
            <v>675.75</v>
          </cell>
          <cell r="U773">
            <v>265</v>
          </cell>
          <cell r="V773">
            <v>95.4</v>
          </cell>
          <cell r="W773">
            <v>106</v>
          </cell>
          <cell r="X773">
            <v>74.709999999999994</v>
          </cell>
          <cell r="Y773">
            <v>0</v>
          </cell>
          <cell r="Z773">
            <v>239.42</v>
          </cell>
          <cell r="AA773">
            <v>77</v>
          </cell>
          <cell r="AB773">
            <v>96</v>
          </cell>
          <cell r="AC773">
            <v>80</v>
          </cell>
          <cell r="AD773">
            <v>13.49</v>
          </cell>
          <cell r="AE773">
            <v>4.42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5426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Y773">
            <v>4972140.84</v>
          </cell>
        </row>
        <row r="774">
          <cell r="A774">
            <v>2</v>
          </cell>
          <cell r="B774" t="str">
            <v>12</v>
          </cell>
          <cell r="C774" t="str">
            <v>000</v>
          </cell>
          <cell r="D774" t="str">
            <v>1</v>
          </cell>
          <cell r="E774" t="str">
            <v>306</v>
          </cell>
          <cell r="F774" t="str">
            <v>N000</v>
          </cell>
          <cell r="G774" t="str">
            <v>410</v>
          </cell>
          <cell r="H774" t="str">
            <v>1103</v>
          </cell>
          <cell r="I774" t="str">
            <v>CF41062</v>
          </cell>
          <cell r="K774" t="str">
            <v>2</v>
          </cell>
          <cell r="L774">
            <v>14</v>
          </cell>
          <cell r="M774">
            <v>0</v>
          </cell>
          <cell r="N774">
            <v>5546</v>
          </cell>
          <cell r="O774" t="str">
            <v>M</v>
          </cell>
          <cell r="P774" t="str">
            <v>00000000</v>
          </cell>
          <cell r="Q774">
            <v>0</v>
          </cell>
          <cell r="R774">
            <v>801.09</v>
          </cell>
          <cell r="S774">
            <v>154.06</v>
          </cell>
          <cell r="T774">
            <v>707.12</v>
          </cell>
          <cell r="U774">
            <v>277.3</v>
          </cell>
          <cell r="V774">
            <v>99.83</v>
          </cell>
          <cell r="W774">
            <v>110.92</v>
          </cell>
          <cell r="X774">
            <v>69.64</v>
          </cell>
          <cell r="Y774">
            <v>0</v>
          </cell>
          <cell r="Z774">
            <v>251.65</v>
          </cell>
          <cell r="AA774">
            <v>77</v>
          </cell>
          <cell r="AB774">
            <v>96</v>
          </cell>
          <cell r="AC774">
            <v>80</v>
          </cell>
          <cell r="AD774">
            <v>13.49</v>
          </cell>
          <cell r="AE774">
            <v>4.62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5754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Y774">
            <v>2359176.96</v>
          </cell>
        </row>
        <row r="775">
          <cell r="A775">
            <v>2</v>
          </cell>
          <cell r="B775" t="str">
            <v>12</v>
          </cell>
          <cell r="C775" t="str">
            <v>000</v>
          </cell>
          <cell r="D775" t="str">
            <v>1</v>
          </cell>
          <cell r="E775" t="str">
            <v>306</v>
          </cell>
          <cell r="F775" t="str">
            <v>N000</v>
          </cell>
          <cell r="G775" t="str">
            <v>411</v>
          </cell>
          <cell r="H775" t="str">
            <v>1103</v>
          </cell>
          <cell r="I775" t="str">
            <v>A01803</v>
          </cell>
          <cell r="J775" t="str">
            <v>19</v>
          </cell>
          <cell r="K775" t="str">
            <v>2</v>
          </cell>
          <cell r="L775">
            <v>1</v>
          </cell>
          <cell r="M775">
            <v>0</v>
          </cell>
          <cell r="N775">
            <v>2120.3000000000002</v>
          </cell>
          <cell r="O775" t="str">
            <v>M</v>
          </cell>
          <cell r="P775" t="str">
            <v>00000000</v>
          </cell>
          <cell r="Q775">
            <v>0</v>
          </cell>
          <cell r="R775">
            <v>306.27</v>
          </cell>
          <cell r="S775">
            <v>58.9</v>
          </cell>
          <cell r="T775">
            <v>270.33999999999997</v>
          </cell>
          <cell r="U775">
            <v>106.02</v>
          </cell>
          <cell r="V775">
            <v>38.17</v>
          </cell>
          <cell r="W775">
            <v>42.41</v>
          </cell>
          <cell r="X775">
            <v>0</v>
          </cell>
          <cell r="Y775">
            <v>0</v>
          </cell>
          <cell r="Z775">
            <v>54.77</v>
          </cell>
          <cell r="AA775">
            <v>77</v>
          </cell>
          <cell r="AB775">
            <v>96</v>
          </cell>
          <cell r="AC775">
            <v>80</v>
          </cell>
          <cell r="AD775">
            <v>13.49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Y775">
            <v>39164.04</v>
          </cell>
        </row>
        <row r="776">
          <cell r="A776">
            <v>2</v>
          </cell>
          <cell r="B776" t="str">
            <v>12</v>
          </cell>
          <cell r="C776" t="str">
            <v>000</v>
          </cell>
          <cell r="D776" t="str">
            <v>1</v>
          </cell>
          <cell r="E776" t="str">
            <v>306</v>
          </cell>
          <cell r="F776" t="str">
            <v>N000</v>
          </cell>
          <cell r="G776" t="str">
            <v>411</v>
          </cell>
          <cell r="H776" t="str">
            <v>1103</v>
          </cell>
          <cell r="I776" t="str">
            <v>A01805</v>
          </cell>
          <cell r="J776" t="str">
            <v>21</v>
          </cell>
          <cell r="K776" t="str">
            <v>2</v>
          </cell>
          <cell r="L776">
            <v>12</v>
          </cell>
          <cell r="M776">
            <v>0</v>
          </cell>
          <cell r="N776">
            <v>2238.1999999999998</v>
          </cell>
          <cell r="O776" t="str">
            <v>M</v>
          </cell>
          <cell r="P776" t="str">
            <v>00000000</v>
          </cell>
          <cell r="Q776">
            <v>0</v>
          </cell>
          <cell r="R776">
            <v>323.3</v>
          </cell>
          <cell r="S776">
            <v>62.17</v>
          </cell>
          <cell r="T776">
            <v>285.37</v>
          </cell>
          <cell r="U776">
            <v>111.91</v>
          </cell>
          <cell r="V776">
            <v>40.29</v>
          </cell>
          <cell r="W776">
            <v>44.76</v>
          </cell>
          <cell r="X776">
            <v>14.5</v>
          </cell>
          <cell r="Y776">
            <v>0</v>
          </cell>
          <cell r="Z776">
            <v>57.82</v>
          </cell>
          <cell r="AA776">
            <v>77</v>
          </cell>
          <cell r="AB776">
            <v>96</v>
          </cell>
          <cell r="AC776">
            <v>80</v>
          </cell>
          <cell r="AD776">
            <v>13.49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Y776">
            <v>496052.64</v>
          </cell>
        </row>
        <row r="777">
          <cell r="A777">
            <v>2</v>
          </cell>
          <cell r="B777" t="str">
            <v>12</v>
          </cell>
          <cell r="C777" t="str">
            <v>000</v>
          </cell>
          <cell r="D777" t="str">
            <v>1</v>
          </cell>
          <cell r="E777" t="str">
            <v>306</v>
          </cell>
          <cell r="F777" t="str">
            <v>N000</v>
          </cell>
          <cell r="G777" t="str">
            <v>411</v>
          </cell>
          <cell r="H777" t="str">
            <v>1103</v>
          </cell>
          <cell r="I777" t="str">
            <v>A01806</v>
          </cell>
          <cell r="J777" t="str">
            <v>25</v>
          </cell>
          <cell r="K777" t="str">
            <v>2</v>
          </cell>
          <cell r="L777">
            <v>4</v>
          </cell>
          <cell r="M777">
            <v>0</v>
          </cell>
          <cell r="N777">
            <v>2572.4</v>
          </cell>
          <cell r="O777" t="str">
            <v>M</v>
          </cell>
          <cell r="P777" t="str">
            <v>00000000</v>
          </cell>
          <cell r="Q777">
            <v>0</v>
          </cell>
          <cell r="R777">
            <v>371.57</v>
          </cell>
          <cell r="S777">
            <v>71.459999999999994</v>
          </cell>
          <cell r="T777">
            <v>327.98</v>
          </cell>
          <cell r="U777">
            <v>128.62</v>
          </cell>
          <cell r="V777">
            <v>46.3</v>
          </cell>
          <cell r="W777">
            <v>51.45</v>
          </cell>
          <cell r="X777">
            <v>48.25</v>
          </cell>
          <cell r="Y777">
            <v>0</v>
          </cell>
          <cell r="Z777">
            <v>66.33</v>
          </cell>
          <cell r="AA777">
            <v>77</v>
          </cell>
          <cell r="AB777">
            <v>96</v>
          </cell>
          <cell r="AC777">
            <v>80</v>
          </cell>
          <cell r="AD777">
            <v>13.49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Y777">
            <v>189640.8</v>
          </cell>
        </row>
        <row r="778">
          <cell r="A778">
            <v>2</v>
          </cell>
          <cell r="B778" t="str">
            <v>12</v>
          </cell>
          <cell r="C778" t="str">
            <v>000</v>
          </cell>
          <cell r="D778" t="str">
            <v>1</v>
          </cell>
          <cell r="E778" t="str">
            <v>306</v>
          </cell>
          <cell r="F778" t="str">
            <v>N000</v>
          </cell>
          <cell r="G778" t="str">
            <v>411</v>
          </cell>
          <cell r="H778" t="str">
            <v>1103</v>
          </cell>
          <cell r="I778" t="str">
            <v>A01807</v>
          </cell>
          <cell r="J778" t="str">
            <v>27</v>
          </cell>
          <cell r="K778" t="str">
            <v>2</v>
          </cell>
          <cell r="L778">
            <v>7</v>
          </cell>
          <cell r="M778">
            <v>0</v>
          </cell>
          <cell r="N778">
            <v>2817.8</v>
          </cell>
          <cell r="O778" t="str">
            <v>M</v>
          </cell>
          <cell r="P778" t="str">
            <v>00000000</v>
          </cell>
          <cell r="Q778">
            <v>0</v>
          </cell>
          <cell r="R778">
            <v>407.02</v>
          </cell>
          <cell r="S778">
            <v>78.27</v>
          </cell>
          <cell r="T778">
            <v>359.27</v>
          </cell>
          <cell r="U778">
            <v>140.88999999999999</v>
          </cell>
          <cell r="V778">
            <v>50.72</v>
          </cell>
          <cell r="W778">
            <v>56.36</v>
          </cell>
          <cell r="X778">
            <v>93.57</v>
          </cell>
          <cell r="Y778">
            <v>0</v>
          </cell>
          <cell r="Z778">
            <v>72.989999999999995</v>
          </cell>
          <cell r="AA778">
            <v>77</v>
          </cell>
          <cell r="AB778">
            <v>96</v>
          </cell>
          <cell r="AC778">
            <v>80</v>
          </cell>
          <cell r="AD778">
            <v>13.49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Y778">
            <v>364843.92</v>
          </cell>
        </row>
        <row r="779">
          <cell r="A779">
            <v>2</v>
          </cell>
          <cell r="B779" t="str">
            <v>12</v>
          </cell>
          <cell r="C779" t="str">
            <v>000</v>
          </cell>
          <cell r="D779" t="str">
            <v>1</v>
          </cell>
          <cell r="E779" t="str">
            <v>306</v>
          </cell>
          <cell r="F779" t="str">
            <v>N000</v>
          </cell>
          <cell r="G779" t="str">
            <v>411</v>
          </cell>
          <cell r="H779" t="str">
            <v>1103</v>
          </cell>
          <cell r="I779" t="str">
            <v>A03804</v>
          </cell>
          <cell r="J779" t="str">
            <v>23</v>
          </cell>
          <cell r="K779" t="str">
            <v>2</v>
          </cell>
          <cell r="L779">
            <v>2</v>
          </cell>
          <cell r="M779">
            <v>0</v>
          </cell>
          <cell r="N779">
            <v>2451.25</v>
          </cell>
          <cell r="O779" t="str">
            <v>M</v>
          </cell>
          <cell r="P779" t="str">
            <v>00000000</v>
          </cell>
          <cell r="Q779">
            <v>0</v>
          </cell>
          <cell r="R779">
            <v>354.07</v>
          </cell>
          <cell r="S779">
            <v>68.09</v>
          </cell>
          <cell r="T779">
            <v>312.52999999999997</v>
          </cell>
          <cell r="U779">
            <v>122.56</v>
          </cell>
          <cell r="V779">
            <v>44.12</v>
          </cell>
          <cell r="W779">
            <v>49.02</v>
          </cell>
          <cell r="X779">
            <v>0</v>
          </cell>
          <cell r="Y779">
            <v>0</v>
          </cell>
          <cell r="Z779">
            <v>62.53</v>
          </cell>
          <cell r="AA779">
            <v>77</v>
          </cell>
          <cell r="AB779">
            <v>96</v>
          </cell>
          <cell r="AC779">
            <v>80</v>
          </cell>
          <cell r="AD779">
            <v>13.49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Y779">
            <v>89535.84</v>
          </cell>
        </row>
        <row r="780">
          <cell r="A780">
            <v>2</v>
          </cell>
          <cell r="B780" t="str">
            <v>12</v>
          </cell>
          <cell r="C780" t="str">
            <v>000</v>
          </cell>
          <cell r="D780" t="str">
            <v>1</v>
          </cell>
          <cell r="E780" t="str">
            <v>306</v>
          </cell>
          <cell r="F780" t="str">
            <v>N000</v>
          </cell>
          <cell r="G780" t="str">
            <v>411</v>
          </cell>
          <cell r="H780" t="str">
            <v>1103</v>
          </cell>
          <cell r="I780" t="str">
            <v>CFMC03</v>
          </cell>
          <cell r="J780" t="str">
            <v>MC03</v>
          </cell>
          <cell r="K780" t="str">
            <v>1</v>
          </cell>
          <cell r="L780">
            <v>4</v>
          </cell>
          <cell r="M780">
            <v>0</v>
          </cell>
          <cell r="N780">
            <v>4311.3999999999996</v>
          </cell>
          <cell r="O780" t="str">
            <v>M</v>
          </cell>
          <cell r="P780" t="str">
            <v>00000000</v>
          </cell>
          <cell r="Q780">
            <v>11306.9</v>
          </cell>
          <cell r="R780">
            <v>622.76</v>
          </cell>
          <cell r="S780">
            <v>119.76</v>
          </cell>
          <cell r="T780">
            <v>549.70000000000005</v>
          </cell>
          <cell r="U780">
            <v>215.57</v>
          </cell>
          <cell r="V780">
            <v>281.13</v>
          </cell>
          <cell r="W780">
            <v>86.23</v>
          </cell>
          <cell r="X780">
            <v>34.5</v>
          </cell>
          <cell r="Y780">
            <v>780.91</v>
          </cell>
          <cell r="Z780">
            <v>329.45</v>
          </cell>
          <cell r="AA780">
            <v>77</v>
          </cell>
          <cell r="AB780">
            <v>0</v>
          </cell>
          <cell r="AC780">
            <v>0</v>
          </cell>
          <cell r="AD780">
            <v>13.49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Y780">
            <v>898982.40000000002</v>
          </cell>
        </row>
        <row r="781">
          <cell r="A781">
            <v>2</v>
          </cell>
          <cell r="B781" t="str">
            <v>12</v>
          </cell>
          <cell r="C781" t="str">
            <v>000</v>
          </cell>
          <cell r="D781" t="str">
            <v>1</v>
          </cell>
          <cell r="E781" t="str">
            <v>306</v>
          </cell>
          <cell r="F781" t="str">
            <v>N000</v>
          </cell>
          <cell r="G781" t="str">
            <v>411</v>
          </cell>
          <cell r="H781" t="str">
            <v>1103</v>
          </cell>
          <cell r="I781" t="str">
            <v>CFMD09</v>
          </cell>
          <cell r="J781" t="str">
            <v>MD09</v>
          </cell>
          <cell r="K781" t="str">
            <v>1</v>
          </cell>
          <cell r="L781">
            <v>1</v>
          </cell>
          <cell r="M781">
            <v>0</v>
          </cell>
          <cell r="N781">
            <v>14852.65</v>
          </cell>
          <cell r="O781" t="str">
            <v>M</v>
          </cell>
          <cell r="P781" t="str">
            <v>00000000</v>
          </cell>
          <cell r="Q781">
            <v>100991.65</v>
          </cell>
          <cell r="R781">
            <v>2145.38</v>
          </cell>
          <cell r="S781">
            <v>412.57</v>
          </cell>
          <cell r="T781">
            <v>1893.71</v>
          </cell>
          <cell r="U781">
            <v>742.63</v>
          </cell>
          <cell r="V781">
            <v>2085.1999999999998</v>
          </cell>
          <cell r="W781">
            <v>297.05</v>
          </cell>
          <cell r="X781">
            <v>46</v>
          </cell>
          <cell r="Y781">
            <v>5792.22</v>
          </cell>
          <cell r="Z781">
            <v>2370.5100000000002</v>
          </cell>
          <cell r="AA781">
            <v>77</v>
          </cell>
          <cell r="AB781">
            <v>0</v>
          </cell>
          <cell r="AC781">
            <v>0</v>
          </cell>
          <cell r="AD781">
            <v>13.49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Y781">
            <v>1580640.72</v>
          </cell>
        </row>
        <row r="782">
          <cell r="A782">
            <v>2</v>
          </cell>
          <cell r="B782" t="str">
            <v>12</v>
          </cell>
          <cell r="C782" t="str">
            <v>000</v>
          </cell>
          <cell r="D782" t="str">
            <v>1</v>
          </cell>
          <cell r="E782" t="str">
            <v>306</v>
          </cell>
          <cell r="F782" t="str">
            <v>N000</v>
          </cell>
          <cell r="G782" t="str">
            <v>411</v>
          </cell>
          <cell r="H782" t="str">
            <v>1103</v>
          </cell>
          <cell r="I782" t="str">
            <v>CFMG06</v>
          </cell>
          <cell r="J782" t="str">
            <v>MG06</v>
          </cell>
          <cell r="K782" t="str">
            <v>1</v>
          </cell>
          <cell r="L782">
            <v>4</v>
          </cell>
          <cell r="M782">
            <v>0</v>
          </cell>
          <cell r="N782">
            <v>8232.25</v>
          </cell>
          <cell r="O782" t="str">
            <v>M</v>
          </cell>
          <cell r="P782" t="str">
            <v>00000000</v>
          </cell>
          <cell r="Q782">
            <v>38872.050000000003</v>
          </cell>
          <cell r="R782">
            <v>1189.0999999999999</v>
          </cell>
          <cell r="S782">
            <v>228.67</v>
          </cell>
          <cell r="T782">
            <v>1049.6099999999999</v>
          </cell>
          <cell r="U782">
            <v>411.61</v>
          </cell>
          <cell r="V782">
            <v>847.88</v>
          </cell>
          <cell r="W782">
            <v>164.65</v>
          </cell>
          <cell r="X782">
            <v>68.5</v>
          </cell>
          <cell r="Y782">
            <v>2355.2199999999998</v>
          </cell>
          <cell r="Z782">
            <v>973.35</v>
          </cell>
          <cell r="AA782">
            <v>77</v>
          </cell>
          <cell r="AB782">
            <v>0</v>
          </cell>
          <cell r="AC782">
            <v>0</v>
          </cell>
          <cell r="AD782">
            <v>13.49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Y782">
            <v>2615202.2400000002</v>
          </cell>
        </row>
        <row r="783">
          <cell r="A783">
            <v>2</v>
          </cell>
          <cell r="B783" t="str">
            <v>12</v>
          </cell>
          <cell r="C783" t="str">
            <v>000</v>
          </cell>
          <cell r="D783" t="str">
            <v>1</v>
          </cell>
          <cell r="E783" t="str">
            <v>306</v>
          </cell>
          <cell r="F783" t="str">
            <v>N000</v>
          </cell>
          <cell r="G783" t="str">
            <v>411</v>
          </cell>
          <cell r="H783" t="str">
            <v>1103</v>
          </cell>
          <cell r="I783" t="str">
            <v>CFMS06</v>
          </cell>
          <cell r="J783" t="str">
            <v>MS06</v>
          </cell>
          <cell r="K783" t="str">
            <v>1</v>
          </cell>
          <cell r="L783">
            <v>1</v>
          </cell>
          <cell r="M783">
            <v>0</v>
          </cell>
          <cell r="N783">
            <v>4801.8999999999996</v>
          </cell>
          <cell r="O783" t="str">
            <v>M</v>
          </cell>
          <cell r="P783" t="str">
            <v>00000000</v>
          </cell>
          <cell r="Q783">
            <v>21723.85</v>
          </cell>
          <cell r="R783">
            <v>693.61</v>
          </cell>
          <cell r="S783">
            <v>133.38999999999999</v>
          </cell>
          <cell r="T783">
            <v>612.24</v>
          </cell>
          <cell r="U783">
            <v>240.09</v>
          </cell>
          <cell r="V783">
            <v>477.46</v>
          </cell>
          <cell r="W783">
            <v>96.04</v>
          </cell>
          <cell r="X783">
            <v>46</v>
          </cell>
          <cell r="Y783">
            <v>1326.29</v>
          </cell>
          <cell r="Z783">
            <v>549.51</v>
          </cell>
          <cell r="AA783">
            <v>77</v>
          </cell>
          <cell r="AB783">
            <v>0</v>
          </cell>
          <cell r="AC783">
            <v>0</v>
          </cell>
          <cell r="AD783">
            <v>13.49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Y783">
            <v>369490.44</v>
          </cell>
        </row>
        <row r="784">
          <cell r="A784">
            <v>2</v>
          </cell>
          <cell r="B784" t="str">
            <v>12</v>
          </cell>
          <cell r="C784" t="str">
            <v>000</v>
          </cell>
          <cell r="D784" t="str">
            <v>1</v>
          </cell>
          <cell r="E784" t="str">
            <v>306</v>
          </cell>
          <cell r="F784" t="str">
            <v>N000</v>
          </cell>
          <cell r="G784" t="str">
            <v>411</v>
          </cell>
          <cell r="H784" t="str">
            <v>1103</v>
          </cell>
          <cell r="I784" t="str">
            <v>CFMS08</v>
          </cell>
          <cell r="J784" t="str">
            <v>MS08</v>
          </cell>
          <cell r="K784" t="str">
            <v>1</v>
          </cell>
          <cell r="L784">
            <v>9</v>
          </cell>
          <cell r="M784">
            <v>0</v>
          </cell>
          <cell r="N784">
            <v>4801.8999999999996</v>
          </cell>
          <cell r="O784" t="str">
            <v>M</v>
          </cell>
          <cell r="P784" t="str">
            <v>00000000</v>
          </cell>
          <cell r="Q784">
            <v>18269.849999999999</v>
          </cell>
          <cell r="R784">
            <v>693.61</v>
          </cell>
          <cell r="S784">
            <v>133.38999999999999</v>
          </cell>
          <cell r="T784">
            <v>612.24</v>
          </cell>
          <cell r="U784">
            <v>240.09</v>
          </cell>
          <cell r="V784">
            <v>415.29</v>
          </cell>
          <cell r="W784">
            <v>96.04</v>
          </cell>
          <cell r="X784">
            <v>41.67</v>
          </cell>
          <cell r="Y784">
            <v>1153.5899999999999</v>
          </cell>
          <cell r="Z784">
            <v>480.35</v>
          </cell>
          <cell r="AA784">
            <v>77</v>
          </cell>
          <cell r="AB784">
            <v>0</v>
          </cell>
          <cell r="AC784">
            <v>0</v>
          </cell>
          <cell r="AD784">
            <v>13.49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Y784">
            <v>2919079.08</v>
          </cell>
        </row>
        <row r="785">
          <cell r="A785">
            <v>2</v>
          </cell>
          <cell r="B785" t="str">
            <v>12</v>
          </cell>
          <cell r="C785" t="str">
            <v>000</v>
          </cell>
          <cell r="D785" t="str">
            <v>1</v>
          </cell>
          <cell r="E785" t="str">
            <v>306</v>
          </cell>
          <cell r="F785" t="str">
            <v>N000</v>
          </cell>
          <cell r="G785" t="str">
            <v>411</v>
          </cell>
          <cell r="H785" t="str">
            <v>1103</v>
          </cell>
          <cell r="I785" t="str">
            <v>M01004</v>
          </cell>
          <cell r="K785" t="str">
            <v>2</v>
          </cell>
          <cell r="L785">
            <v>1</v>
          </cell>
          <cell r="M785">
            <v>0</v>
          </cell>
          <cell r="N785">
            <v>6400</v>
          </cell>
          <cell r="O785" t="str">
            <v>M</v>
          </cell>
          <cell r="P785" t="str">
            <v>00000000</v>
          </cell>
          <cell r="Q785">
            <v>0</v>
          </cell>
          <cell r="R785">
            <v>924.44</v>
          </cell>
          <cell r="S785">
            <v>177.78</v>
          </cell>
          <cell r="T785">
            <v>816</v>
          </cell>
          <cell r="U785">
            <v>320</v>
          </cell>
          <cell r="V785">
            <v>115.2</v>
          </cell>
          <cell r="W785">
            <v>128</v>
          </cell>
          <cell r="X785">
            <v>82</v>
          </cell>
          <cell r="Y785">
            <v>0</v>
          </cell>
          <cell r="Z785">
            <v>289.17</v>
          </cell>
          <cell r="AA785">
            <v>77</v>
          </cell>
          <cell r="AB785">
            <v>96</v>
          </cell>
          <cell r="AC785">
            <v>80</v>
          </cell>
          <cell r="AD785">
            <v>13.49</v>
          </cell>
          <cell r="AE785">
            <v>5.33</v>
          </cell>
          <cell r="AF785">
            <v>0</v>
          </cell>
          <cell r="AG785">
            <v>0</v>
          </cell>
          <cell r="AH785">
            <v>4086</v>
          </cell>
          <cell r="AI785">
            <v>0</v>
          </cell>
          <cell r="AJ785">
            <v>2530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Y785">
            <v>193684.92</v>
          </cell>
        </row>
        <row r="786">
          <cell r="A786">
            <v>2</v>
          </cell>
          <cell r="B786" t="str">
            <v>12</v>
          </cell>
          <cell r="C786" t="str">
            <v>000</v>
          </cell>
          <cell r="D786" t="str">
            <v>1</v>
          </cell>
          <cell r="E786" t="str">
            <v>306</v>
          </cell>
          <cell r="F786" t="str">
            <v>N000</v>
          </cell>
          <cell r="G786" t="str">
            <v>411</v>
          </cell>
          <cell r="H786" t="str">
            <v>1103</v>
          </cell>
          <cell r="I786" t="str">
            <v>M01007</v>
          </cell>
          <cell r="K786" t="str">
            <v>2</v>
          </cell>
          <cell r="L786">
            <v>1</v>
          </cell>
          <cell r="M786">
            <v>0</v>
          </cell>
          <cell r="N786">
            <v>5074</v>
          </cell>
          <cell r="O786" t="str">
            <v>M</v>
          </cell>
          <cell r="P786" t="str">
            <v>00000000</v>
          </cell>
          <cell r="Q786">
            <v>0</v>
          </cell>
          <cell r="R786">
            <v>732.91</v>
          </cell>
          <cell r="S786">
            <v>140.94</v>
          </cell>
          <cell r="T786">
            <v>646.94000000000005</v>
          </cell>
          <cell r="U786">
            <v>253.7</v>
          </cell>
          <cell r="V786">
            <v>91.33</v>
          </cell>
          <cell r="W786">
            <v>101.48</v>
          </cell>
          <cell r="X786">
            <v>82</v>
          </cell>
          <cell r="Y786">
            <v>0</v>
          </cell>
          <cell r="Z786">
            <v>207.98</v>
          </cell>
          <cell r="AA786">
            <v>77</v>
          </cell>
          <cell r="AB786">
            <v>96</v>
          </cell>
          <cell r="AC786">
            <v>80</v>
          </cell>
          <cell r="AD786">
            <v>13.49</v>
          </cell>
          <cell r="AE786">
            <v>4.2300000000000004</v>
          </cell>
          <cell r="AF786">
            <v>0</v>
          </cell>
          <cell r="AG786">
            <v>0</v>
          </cell>
          <cell r="AH786">
            <v>2004</v>
          </cell>
          <cell r="AI786">
            <v>0</v>
          </cell>
          <cell r="AJ786">
            <v>2108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Y786">
            <v>140568</v>
          </cell>
        </row>
        <row r="787">
          <cell r="A787">
            <v>2</v>
          </cell>
          <cell r="B787" t="str">
            <v>12</v>
          </cell>
          <cell r="C787" t="str">
            <v>000</v>
          </cell>
          <cell r="D787" t="str">
            <v>1</v>
          </cell>
          <cell r="E787" t="str">
            <v>306</v>
          </cell>
          <cell r="F787" t="str">
            <v>N000</v>
          </cell>
          <cell r="G787" t="str">
            <v>411</v>
          </cell>
          <cell r="H787" t="str">
            <v>1103</v>
          </cell>
          <cell r="I787" t="str">
            <v>M02001</v>
          </cell>
          <cell r="K787" t="str">
            <v>2</v>
          </cell>
          <cell r="L787">
            <v>7</v>
          </cell>
          <cell r="M787">
            <v>0</v>
          </cell>
          <cell r="N787">
            <v>5000</v>
          </cell>
          <cell r="O787" t="str">
            <v>M</v>
          </cell>
          <cell r="P787" t="str">
            <v>00000000</v>
          </cell>
          <cell r="Q787">
            <v>0</v>
          </cell>
          <cell r="R787">
            <v>722.22</v>
          </cell>
          <cell r="S787">
            <v>138.88999999999999</v>
          </cell>
          <cell r="T787">
            <v>637.5</v>
          </cell>
          <cell r="U787">
            <v>250</v>
          </cell>
          <cell r="V787">
            <v>90</v>
          </cell>
          <cell r="W787">
            <v>100</v>
          </cell>
          <cell r="X787">
            <v>62.43</v>
          </cell>
          <cell r="Y787">
            <v>0</v>
          </cell>
          <cell r="Z787">
            <v>175.61</v>
          </cell>
          <cell r="AA787">
            <v>77</v>
          </cell>
          <cell r="AB787">
            <v>96</v>
          </cell>
          <cell r="AC787">
            <v>80</v>
          </cell>
          <cell r="AD787">
            <v>13.49</v>
          </cell>
          <cell r="AE787">
            <v>4.17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2600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Y787">
            <v>843974.04</v>
          </cell>
        </row>
        <row r="788">
          <cell r="A788">
            <v>2</v>
          </cell>
          <cell r="B788" t="str">
            <v>12</v>
          </cell>
          <cell r="C788" t="str">
            <v>000</v>
          </cell>
          <cell r="D788" t="str">
            <v>1</v>
          </cell>
          <cell r="E788" t="str">
            <v>306</v>
          </cell>
          <cell r="F788" t="str">
            <v>N000</v>
          </cell>
          <cell r="G788" t="str">
            <v>411</v>
          </cell>
          <cell r="H788" t="str">
            <v>1103</v>
          </cell>
          <cell r="I788" t="str">
            <v>M02005</v>
          </cell>
          <cell r="K788" t="str">
            <v>2</v>
          </cell>
          <cell r="L788">
            <v>2</v>
          </cell>
          <cell r="M788">
            <v>0</v>
          </cell>
          <cell r="N788">
            <v>2720</v>
          </cell>
          <cell r="O788" t="str">
            <v>M</v>
          </cell>
          <cell r="P788" t="str">
            <v>00000000</v>
          </cell>
          <cell r="Q788">
            <v>0</v>
          </cell>
          <cell r="R788">
            <v>392.89</v>
          </cell>
          <cell r="S788">
            <v>75.56</v>
          </cell>
          <cell r="T788">
            <v>346.8</v>
          </cell>
          <cell r="U788">
            <v>136</v>
          </cell>
          <cell r="V788">
            <v>48.96</v>
          </cell>
          <cell r="W788">
            <v>54.4</v>
          </cell>
          <cell r="X788">
            <v>54.5</v>
          </cell>
          <cell r="Y788">
            <v>0</v>
          </cell>
          <cell r="Z788">
            <v>93.62</v>
          </cell>
          <cell r="AA788">
            <v>77</v>
          </cell>
          <cell r="AB788">
            <v>96</v>
          </cell>
          <cell r="AC788">
            <v>80</v>
          </cell>
          <cell r="AD788">
            <v>13.49</v>
          </cell>
          <cell r="AE788">
            <v>2.27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1183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Y788">
            <v>128987.76</v>
          </cell>
        </row>
        <row r="789">
          <cell r="A789">
            <v>2</v>
          </cell>
          <cell r="B789" t="str">
            <v>12</v>
          </cell>
          <cell r="C789" t="str">
            <v>000</v>
          </cell>
          <cell r="D789" t="str">
            <v>1</v>
          </cell>
          <cell r="E789" t="str">
            <v>306</v>
          </cell>
          <cell r="F789" t="str">
            <v>N000</v>
          </cell>
          <cell r="G789" t="str">
            <v>411</v>
          </cell>
          <cell r="H789" t="str">
            <v>1103</v>
          </cell>
          <cell r="I789" t="str">
            <v>M02015</v>
          </cell>
          <cell r="K789" t="str">
            <v>2</v>
          </cell>
          <cell r="L789">
            <v>1</v>
          </cell>
          <cell r="M789">
            <v>0</v>
          </cell>
          <cell r="N789">
            <v>5000</v>
          </cell>
          <cell r="O789" t="str">
            <v>M</v>
          </cell>
          <cell r="P789" t="str">
            <v>00000000</v>
          </cell>
          <cell r="Q789">
            <v>0</v>
          </cell>
          <cell r="R789">
            <v>722.22</v>
          </cell>
          <cell r="S789">
            <v>138.88999999999999</v>
          </cell>
          <cell r="T789">
            <v>637.5</v>
          </cell>
          <cell r="U789">
            <v>250</v>
          </cell>
          <cell r="V789">
            <v>90</v>
          </cell>
          <cell r="W789">
            <v>100</v>
          </cell>
          <cell r="X789">
            <v>82</v>
          </cell>
          <cell r="Y789">
            <v>0</v>
          </cell>
          <cell r="Z789">
            <v>176.01</v>
          </cell>
          <cell r="AA789">
            <v>77</v>
          </cell>
          <cell r="AB789">
            <v>96</v>
          </cell>
          <cell r="AC789">
            <v>80</v>
          </cell>
          <cell r="AD789">
            <v>13.49</v>
          </cell>
          <cell r="AE789">
            <v>4.17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2600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Y789">
            <v>120807.36</v>
          </cell>
        </row>
        <row r="790">
          <cell r="A790">
            <v>2</v>
          </cell>
          <cell r="B790" t="str">
            <v>12</v>
          </cell>
          <cell r="C790" t="str">
            <v>000</v>
          </cell>
          <cell r="D790" t="str">
            <v>1</v>
          </cell>
          <cell r="E790" t="str">
            <v>306</v>
          </cell>
          <cell r="F790" t="str">
            <v>N000</v>
          </cell>
          <cell r="G790" t="str">
            <v>411</v>
          </cell>
          <cell r="H790" t="str">
            <v>1103</v>
          </cell>
          <cell r="I790" t="str">
            <v>M02027</v>
          </cell>
          <cell r="K790" t="str">
            <v>2</v>
          </cell>
          <cell r="L790">
            <v>6</v>
          </cell>
          <cell r="M790">
            <v>0</v>
          </cell>
          <cell r="N790">
            <v>4940</v>
          </cell>
          <cell r="O790" t="str">
            <v>M</v>
          </cell>
          <cell r="P790" t="str">
            <v>00000000</v>
          </cell>
          <cell r="Q790">
            <v>0</v>
          </cell>
          <cell r="R790">
            <v>713.56</v>
          </cell>
          <cell r="S790">
            <v>137.22</v>
          </cell>
          <cell r="T790">
            <v>629.85</v>
          </cell>
          <cell r="U790">
            <v>247</v>
          </cell>
          <cell r="V790">
            <v>88.92</v>
          </cell>
          <cell r="W790">
            <v>98.8</v>
          </cell>
          <cell r="X790">
            <v>122.5</v>
          </cell>
          <cell r="Y790">
            <v>0</v>
          </cell>
          <cell r="Z790">
            <v>169.51</v>
          </cell>
          <cell r="AA790">
            <v>77</v>
          </cell>
          <cell r="AB790">
            <v>96</v>
          </cell>
          <cell r="AC790">
            <v>80</v>
          </cell>
          <cell r="AD790">
            <v>13.49</v>
          </cell>
          <cell r="AE790">
            <v>4.12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2305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Y790">
            <v>700053.84</v>
          </cell>
        </row>
        <row r="791">
          <cell r="A791">
            <v>2</v>
          </cell>
          <cell r="B791" t="str">
            <v>12</v>
          </cell>
          <cell r="C791" t="str">
            <v>000</v>
          </cell>
          <cell r="D791" t="str">
            <v>1</v>
          </cell>
          <cell r="E791" t="str">
            <v>306</v>
          </cell>
          <cell r="F791" t="str">
            <v>N000</v>
          </cell>
          <cell r="G791" t="str">
            <v>411</v>
          </cell>
          <cell r="H791" t="str">
            <v>1103</v>
          </cell>
          <cell r="I791" t="str">
            <v>S03810</v>
          </cell>
          <cell r="J791" t="str">
            <v>22</v>
          </cell>
          <cell r="K791" t="str">
            <v>2</v>
          </cell>
          <cell r="L791">
            <v>1</v>
          </cell>
          <cell r="M791">
            <v>0</v>
          </cell>
          <cell r="N791">
            <v>2342.3000000000002</v>
          </cell>
          <cell r="O791" t="str">
            <v>M</v>
          </cell>
          <cell r="P791" t="str">
            <v>00000000</v>
          </cell>
          <cell r="Q791">
            <v>0</v>
          </cell>
          <cell r="R791">
            <v>338.33</v>
          </cell>
          <cell r="S791">
            <v>65.06</v>
          </cell>
          <cell r="T791">
            <v>298.64</v>
          </cell>
          <cell r="U791">
            <v>117.12</v>
          </cell>
          <cell r="V791">
            <v>42.16</v>
          </cell>
          <cell r="W791">
            <v>46.85</v>
          </cell>
          <cell r="X791">
            <v>0</v>
          </cell>
          <cell r="Y791">
            <v>0</v>
          </cell>
          <cell r="Z791">
            <v>59.97</v>
          </cell>
          <cell r="AA791">
            <v>77</v>
          </cell>
          <cell r="AB791">
            <v>96</v>
          </cell>
          <cell r="AC791">
            <v>80</v>
          </cell>
          <cell r="AD791">
            <v>13.49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Y791">
            <v>42923.040000000001</v>
          </cell>
        </row>
        <row r="792">
          <cell r="A792">
            <v>2</v>
          </cell>
          <cell r="B792" t="str">
            <v>12</v>
          </cell>
          <cell r="C792" t="str">
            <v>000</v>
          </cell>
          <cell r="D792" t="str">
            <v>1</v>
          </cell>
          <cell r="E792" t="str">
            <v>306</v>
          </cell>
          <cell r="F792" t="str">
            <v>N000</v>
          </cell>
          <cell r="G792" t="str">
            <v>411</v>
          </cell>
          <cell r="H792" t="str">
            <v>1103</v>
          </cell>
          <cell r="I792" t="str">
            <v>T03804</v>
          </cell>
          <cell r="J792" t="str">
            <v>25</v>
          </cell>
          <cell r="K792" t="str">
            <v>2</v>
          </cell>
          <cell r="L792">
            <v>2</v>
          </cell>
          <cell r="M792">
            <v>0</v>
          </cell>
          <cell r="N792">
            <v>2572.4</v>
          </cell>
          <cell r="O792" t="str">
            <v>M</v>
          </cell>
          <cell r="P792" t="str">
            <v>00000000</v>
          </cell>
          <cell r="Q792">
            <v>0</v>
          </cell>
          <cell r="R792">
            <v>371.57</v>
          </cell>
          <cell r="S792">
            <v>71.459999999999994</v>
          </cell>
          <cell r="T792">
            <v>327.98</v>
          </cell>
          <cell r="U792">
            <v>128.62</v>
          </cell>
          <cell r="V792">
            <v>46.3</v>
          </cell>
          <cell r="W792">
            <v>51.45</v>
          </cell>
          <cell r="X792">
            <v>64</v>
          </cell>
          <cell r="Y792">
            <v>0</v>
          </cell>
          <cell r="Z792">
            <v>66.650000000000006</v>
          </cell>
          <cell r="AA792">
            <v>77</v>
          </cell>
          <cell r="AB792">
            <v>96</v>
          </cell>
          <cell r="AC792">
            <v>80</v>
          </cell>
          <cell r="AD792">
            <v>13.49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Y792">
            <v>95206.080000000002</v>
          </cell>
        </row>
        <row r="793">
          <cell r="A793">
            <v>2</v>
          </cell>
          <cell r="B793" t="str">
            <v>12</v>
          </cell>
          <cell r="C793" t="str">
            <v>000</v>
          </cell>
          <cell r="D793" t="str">
            <v>1</v>
          </cell>
          <cell r="E793" t="str">
            <v>306</v>
          </cell>
          <cell r="F793" t="str">
            <v>N000</v>
          </cell>
          <cell r="G793" t="str">
            <v>411</v>
          </cell>
          <cell r="H793" t="str">
            <v>1103</v>
          </cell>
          <cell r="I793" t="str">
            <v>CF01059</v>
          </cell>
          <cell r="J793" t="str">
            <v>28</v>
          </cell>
          <cell r="K793" t="str">
            <v>1</v>
          </cell>
          <cell r="L793">
            <v>11</v>
          </cell>
          <cell r="M793">
            <v>0</v>
          </cell>
          <cell r="N793">
            <v>3631.8</v>
          </cell>
          <cell r="O793" t="str">
            <v>M</v>
          </cell>
          <cell r="P793" t="str">
            <v>00000000</v>
          </cell>
          <cell r="Q793">
            <v>8731.1</v>
          </cell>
          <cell r="R793">
            <v>524.59</v>
          </cell>
          <cell r="S793">
            <v>100.88</v>
          </cell>
          <cell r="T793">
            <v>463.05</v>
          </cell>
          <cell r="U793">
            <v>181.59</v>
          </cell>
          <cell r="V793">
            <v>222.53</v>
          </cell>
          <cell r="W793">
            <v>72.64</v>
          </cell>
          <cell r="X793">
            <v>67.09</v>
          </cell>
          <cell r="Y793">
            <v>618.15</v>
          </cell>
          <cell r="Z793">
            <v>262.64999999999998</v>
          </cell>
          <cell r="AA793">
            <v>77</v>
          </cell>
          <cell r="AB793">
            <v>0</v>
          </cell>
          <cell r="AC793">
            <v>0</v>
          </cell>
          <cell r="AD793">
            <v>13.49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Y793">
            <v>1975585.92</v>
          </cell>
        </row>
        <row r="794">
          <cell r="A794">
            <v>2</v>
          </cell>
          <cell r="B794" t="str">
            <v>12</v>
          </cell>
          <cell r="C794" t="str">
            <v>000</v>
          </cell>
          <cell r="D794" t="str">
            <v>1</v>
          </cell>
          <cell r="E794" t="str">
            <v>306</v>
          </cell>
          <cell r="F794" t="str">
            <v>N000</v>
          </cell>
          <cell r="G794" t="str">
            <v>411</v>
          </cell>
          <cell r="H794" t="str">
            <v>1103</v>
          </cell>
          <cell r="I794" t="str">
            <v>CF03809</v>
          </cell>
          <cell r="J794" t="str">
            <v>25</v>
          </cell>
          <cell r="K794" t="str">
            <v>2</v>
          </cell>
          <cell r="L794">
            <v>1</v>
          </cell>
          <cell r="M794">
            <v>0</v>
          </cell>
          <cell r="N794">
            <v>2572.4</v>
          </cell>
          <cell r="O794" t="str">
            <v>M</v>
          </cell>
          <cell r="P794" t="str">
            <v>00000000</v>
          </cell>
          <cell r="Q794">
            <v>0</v>
          </cell>
          <cell r="R794">
            <v>371.57</v>
          </cell>
          <cell r="S794">
            <v>71.459999999999994</v>
          </cell>
          <cell r="T794">
            <v>327.98</v>
          </cell>
          <cell r="U794">
            <v>128.62</v>
          </cell>
          <cell r="V794">
            <v>46.3</v>
          </cell>
          <cell r="W794">
            <v>51.45</v>
          </cell>
          <cell r="X794">
            <v>0</v>
          </cell>
          <cell r="Y794">
            <v>0</v>
          </cell>
          <cell r="Z794">
            <v>65.37</v>
          </cell>
          <cell r="AA794">
            <v>77</v>
          </cell>
          <cell r="AB794">
            <v>96</v>
          </cell>
          <cell r="AC794">
            <v>80</v>
          </cell>
          <cell r="AD794">
            <v>13.49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Y794">
            <v>46819.68</v>
          </cell>
        </row>
        <row r="795">
          <cell r="A795">
            <v>2</v>
          </cell>
          <cell r="B795" t="str">
            <v>12</v>
          </cell>
          <cell r="C795" t="str">
            <v>000</v>
          </cell>
          <cell r="D795" t="str">
            <v>1</v>
          </cell>
          <cell r="E795" t="str">
            <v>306</v>
          </cell>
          <cell r="F795" t="str">
            <v>N000</v>
          </cell>
          <cell r="G795" t="str">
            <v>411</v>
          </cell>
          <cell r="H795" t="str">
            <v>1103</v>
          </cell>
          <cell r="I795" t="str">
            <v>CF03820</v>
          </cell>
          <cell r="J795" t="str">
            <v>27Z</v>
          </cell>
          <cell r="K795" t="str">
            <v>2</v>
          </cell>
          <cell r="L795">
            <v>1</v>
          </cell>
          <cell r="M795">
            <v>0</v>
          </cell>
          <cell r="N795">
            <v>2900.25</v>
          </cell>
          <cell r="O795" t="str">
            <v>M</v>
          </cell>
          <cell r="P795" t="str">
            <v>00000000</v>
          </cell>
          <cell r="Q795">
            <v>205.15</v>
          </cell>
          <cell r="R795">
            <v>418.93</v>
          </cell>
          <cell r="S795">
            <v>80.56</v>
          </cell>
          <cell r="T795">
            <v>369.78</v>
          </cell>
          <cell r="U795">
            <v>145.01</v>
          </cell>
          <cell r="V795">
            <v>55.89</v>
          </cell>
          <cell r="W795">
            <v>58.01</v>
          </cell>
          <cell r="X795">
            <v>0</v>
          </cell>
          <cell r="Y795">
            <v>0</v>
          </cell>
          <cell r="Z795">
            <v>77.16</v>
          </cell>
          <cell r="AA795">
            <v>77</v>
          </cell>
          <cell r="AB795">
            <v>96</v>
          </cell>
          <cell r="AC795">
            <v>80</v>
          </cell>
          <cell r="AD795">
            <v>13.49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Y795">
            <v>54926.76</v>
          </cell>
        </row>
        <row r="796">
          <cell r="A796">
            <v>2</v>
          </cell>
          <cell r="B796" t="str">
            <v>12</v>
          </cell>
          <cell r="C796" t="str">
            <v>000</v>
          </cell>
          <cell r="D796" t="str">
            <v>1</v>
          </cell>
          <cell r="E796" t="str">
            <v>306</v>
          </cell>
          <cell r="F796" t="str">
            <v>N000</v>
          </cell>
          <cell r="G796" t="str">
            <v>411</v>
          </cell>
          <cell r="H796" t="str">
            <v>1103</v>
          </cell>
          <cell r="I796" t="str">
            <v>CF04806</v>
          </cell>
          <cell r="J796" t="str">
            <v>26</v>
          </cell>
          <cell r="K796" t="str">
            <v>2</v>
          </cell>
          <cell r="L796">
            <v>12</v>
          </cell>
          <cell r="M796">
            <v>0</v>
          </cell>
          <cell r="N796">
            <v>2692.2</v>
          </cell>
          <cell r="O796" t="str">
            <v>M</v>
          </cell>
          <cell r="P796" t="str">
            <v>00000000</v>
          </cell>
          <cell r="Q796">
            <v>0</v>
          </cell>
          <cell r="R796">
            <v>388.87</v>
          </cell>
          <cell r="S796">
            <v>74.78</v>
          </cell>
          <cell r="T796">
            <v>343.26</v>
          </cell>
          <cell r="U796">
            <v>134.61000000000001</v>
          </cell>
          <cell r="V796">
            <v>48.46</v>
          </cell>
          <cell r="W796">
            <v>53.84</v>
          </cell>
          <cell r="X796">
            <v>49.5</v>
          </cell>
          <cell r="Y796">
            <v>0</v>
          </cell>
          <cell r="Z796">
            <v>69.17</v>
          </cell>
          <cell r="AA796">
            <v>77</v>
          </cell>
          <cell r="AB796">
            <v>96</v>
          </cell>
          <cell r="AC796">
            <v>80</v>
          </cell>
          <cell r="AD796">
            <v>13.49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Y796">
            <v>593449.92000000004</v>
          </cell>
        </row>
        <row r="797">
          <cell r="A797">
            <v>2</v>
          </cell>
          <cell r="B797" t="str">
            <v>12</v>
          </cell>
          <cell r="C797" t="str">
            <v>000</v>
          </cell>
          <cell r="D797" t="str">
            <v>1</v>
          </cell>
          <cell r="E797" t="str">
            <v>306</v>
          </cell>
          <cell r="F797" t="str">
            <v>N000</v>
          </cell>
          <cell r="G797" t="str">
            <v>411</v>
          </cell>
          <cell r="H797" t="str">
            <v>1103</v>
          </cell>
          <cell r="I797" t="str">
            <v>CF04807</v>
          </cell>
          <cell r="J797" t="str">
            <v>27Z</v>
          </cell>
          <cell r="K797" t="str">
            <v>2</v>
          </cell>
          <cell r="L797">
            <v>7</v>
          </cell>
          <cell r="M797">
            <v>0</v>
          </cell>
          <cell r="N797">
            <v>2900.25</v>
          </cell>
          <cell r="O797" t="str">
            <v>M</v>
          </cell>
          <cell r="P797" t="str">
            <v>00000000</v>
          </cell>
          <cell r="Q797">
            <v>205.15</v>
          </cell>
          <cell r="R797">
            <v>418.93</v>
          </cell>
          <cell r="S797">
            <v>80.56</v>
          </cell>
          <cell r="T797">
            <v>369.78</v>
          </cell>
          <cell r="U797">
            <v>145.01</v>
          </cell>
          <cell r="V797">
            <v>55.89</v>
          </cell>
          <cell r="W797">
            <v>58.01</v>
          </cell>
          <cell r="X797">
            <v>51</v>
          </cell>
          <cell r="Y797">
            <v>0</v>
          </cell>
          <cell r="Z797">
            <v>78.180000000000007</v>
          </cell>
          <cell r="AA797">
            <v>77</v>
          </cell>
          <cell r="AB797">
            <v>96</v>
          </cell>
          <cell r="AC797">
            <v>80</v>
          </cell>
          <cell r="AD797">
            <v>13.49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Y797">
            <v>388857</v>
          </cell>
        </row>
        <row r="798">
          <cell r="A798">
            <v>2</v>
          </cell>
          <cell r="B798" t="str">
            <v>12</v>
          </cell>
          <cell r="C798" t="str">
            <v>000</v>
          </cell>
          <cell r="D798" t="str">
            <v>1</v>
          </cell>
          <cell r="E798" t="str">
            <v>306</v>
          </cell>
          <cell r="F798" t="str">
            <v>N000</v>
          </cell>
          <cell r="G798" t="str">
            <v>411</v>
          </cell>
          <cell r="H798" t="str">
            <v>1103</v>
          </cell>
          <cell r="I798" t="str">
            <v>CF04808</v>
          </cell>
          <cell r="J798" t="str">
            <v>27ZA</v>
          </cell>
          <cell r="K798" t="str">
            <v>2</v>
          </cell>
          <cell r="L798">
            <v>11</v>
          </cell>
          <cell r="M798">
            <v>0</v>
          </cell>
          <cell r="N798">
            <v>2982.9</v>
          </cell>
          <cell r="O798" t="str">
            <v>M</v>
          </cell>
          <cell r="P798" t="str">
            <v>00000000</v>
          </cell>
          <cell r="Q798">
            <v>579.4</v>
          </cell>
          <cell r="R798">
            <v>430.86</v>
          </cell>
          <cell r="S798">
            <v>82.86</v>
          </cell>
          <cell r="T798">
            <v>380.32</v>
          </cell>
          <cell r="U798">
            <v>149.15</v>
          </cell>
          <cell r="V798">
            <v>64.12</v>
          </cell>
          <cell r="W798">
            <v>59.66</v>
          </cell>
          <cell r="X798">
            <v>36.729999999999997</v>
          </cell>
          <cell r="Y798">
            <v>0</v>
          </cell>
          <cell r="Z798">
            <v>87.31</v>
          </cell>
          <cell r="AA798">
            <v>77</v>
          </cell>
          <cell r="AB798">
            <v>96</v>
          </cell>
          <cell r="AC798">
            <v>80</v>
          </cell>
          <cell r="AD798">
            <v>13.49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Y798">
            <v>675813.6</v>
          </cell>
        </row>
        <row r="799">
          <cell r="A799">
            <v>2</v>
          </cell>
          <cell r="B799" t="str">
            <v>12</v>
          </cell>
          <cell r="C799" t="str">
            <v>000</v>
          </cell>
          <cell r="D799" t="str">
            <v>1</v>
          </cell>
          <cell r="E799" t="str">
            <v>306</v>
          </cell>
          <cell r="F799" t="str">
            <v>N000</v>
          </cell>
          <cell r="G799" t="str">
            <v>411</v>
          </cell>
          <cell r="H799" t="str">
            <v>1103</v>
          </cell>
          <cell r="I799" t="str">
            <v>CF08822</v>
          </cell>
          <cell r="J799" t="str">
            <v>23</v>
          </cell>
          <cell r="K799" t="str">
            <v>2</v>
          </cell>
          <cell r="L799">
            <v>1</v>
          </cell>
          <cell r="M799">
            <v>0</v>
          </cell>
          <cell r="N799">
            <v>2451.25</v>
          </cell>
          <cell r="O799" t="str">
            <v>M</v>
          </cell>
          <cell r="P799" t="str">
            <v>00000000</v>
          </cell>
          <cell r="Q799">
            <v>0</v>
          </cell>
          <cell r="R799">
            <v>354.07</v>
          </cell>
          <cell r="S799">
            <v>68.09</v>
          </cell>
          <cell r="T799">
            <v>312.52999999999997</v>
          </cell>
          <cell r="U799">
            <v>122.56</v>
          </cell>
          <cell r="V799">
            <v>44.12</v>
          </cell>
          <cell r="W799">
            <v>49.02</v>
          </cell>
          <cell r="X799">
            <v>82</v>
          </cell>
          <cell r="Y799">
            <v>0</v>
          </cell>
          <cell r="Z799">
            <v>64.17</v>
          </cell>
          <cell r="AA799">
            <v>77</v>
          </cell>
          <cell r="AB799">
            <v>96</v>
          </cell>
          <cell r="AC799">
            <v>80</v>
          </cell>
          <cell r="AD799">
            <v>13.49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Y799">
            <v>45771.6</v>
          </cell>
        </row>
        <row r="800">
          <cell r="A800">
            <v>2</v>
          </cell>
          <cell r="B800" t="str">
            <v>12</v>
          </cell>
          <cell r="C800" t="str">
            <v>000</v>
          </cell>
          <cell r="D800" t="str">
            <v>1</v>
          </cell>
          <cell r="E800" t="str">
            <v>306</v>
          </cell>
          <cell r="F800" t="str">
            <v>N000</v>
          </cell>
          <cell r="G800" t="str">
            <v>411</v>
          </cell>
          <cell r="H800" t="str">
            <v>1103</v>
          </cell>
          <cell r="I800" t="str">
            <v>CF21817</v>
          </cell>
          <cell r="J800" t="str">
            <v>27ZA</v>
          </cell>
          <cell r="K800" t="str">
            <v>2</v>
          </cell>
          <cell r="L800">
            <v>1</v>
          </cell>
          <cell r="M800">
            <v>0</v>
          </cell>
          <cell r="N800">
            <v>2982.9</v>
          </cell>
          <cell r="O800" t="str">
            <v>M</v>
          </cell>
          <cell r="P800" t="str">
            <v>00000000</v>
          </cell>
          <cell r="Q800">
            <v>579.4</v>
          </cell>
          <cell r="R800">
            <v>430.86</v>
          </cell>
          <cell r="S800">
            <v>82.86</v>
          </cell>
          <cell r="T800">
            <v>380.32</v>
          </cell>
          <cell r="U800">
            <v>149.15</v>
          </cell>
          <cell r="V800">
            <v>64.12</v>
          </cell>
          <cell r="W800">
            <v>59.66</v>
          </cell>
          <cell r="X800">
            <v>0</v>
          </cell>
          <cell r="Y800">
            <v>0</v>
          </cell>
          <cell r="Z800">
            <v>86.58</v>
          </cell>
          <cell r="AA800">
            <v>77</v>
          </cell>
          <cell r="AB800">
            <v>96</v>
          </cell>
          <cell r="AC800">
            <v>80</v>
          </cell>
          <cell r="AD800">
            <v>13.49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Y800">
            <v>60988.08</v>
          </cell>
        </row>
        <row r="801">
          <cell r="A801">
            <v>2</v>
          </cell>
          <cell r="B801" t="str">
            <v>12</v>
          </cell>
          <cell r="C801" t="str">
            <v>000</v>
          </cell>
          <cell r="D801" t="str">
            <v>1</v>
          </cell>
          <cell r="E801" t="str">
            <v>306</v>
          </cell>
          <cell r="F801" t="str">
            <v>N000</v>
          </cell>
          <cell r="G801" t="str">
            <v>411</v>
          </cell>
          <cell r="H801" t="str">
            <v>1103</v>
          </cell>
          <cell r="I801" t="str">
            <v>CF21858</v>
          </cell>
          <cell r="J801" t="str">
            <v>27ZA</v>
          </cell>
          <cell r="K801" t="str">
            <v>2</v>
          </cell>
          <cell r="L801">
            <v>1</v>
          </cell>
          <cell r="M801">
            <v>0</v>
          </cell>
          <cell r="N801">
            <v>2982.9</v>
          </cell>
          <cell r="O801" t="str">
            <v>M</v>
          </cell>
          <cell r="P801" t="str">
            <v>00000000</v>
          </cell>
          <cell r="Q801">
            <v>579.4</v>
          </cell>
          <cell r="R801">
            <v>430.86</v>
          </cell>
          <cell r="S801">
            <v>82.86</v>
          </cell>
          <cell r="T801">
            <v>380.32</v>
          </cell>
          <cell r="U801">
            <v>149.15</v>
          </cell>
          <cell r="V801">
            <v>64.12</v>
          </cell>
          <cell r="W801">
            <v>59.66</v>
          </cell>
          <cell r="X801">
            <v>0</v>
          </cell>
          <cell r="Y801">
            <v>0</v>
          </cell>
          <cell r="Z801">
            <v>86.58</v>
          </cell>
          <cell r="AA801">
            <v>77</v>
          </cell>
          <cell r="AB801">
            <v>96</v>
          </cell>
          <cell r="AC801">
            <v>80</v>
          </cell>
          <cell r="AD801">
            <v>13.49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Y801">
            <v>60988.08</v>
          </cell>
        </row>
        <row r="802">
          <cell r="A802">
            <v>2</v>
          </cell>
          <cell r="B802" t="str">
            <v>12</v>
          </cell>
          <cell r="C802" t="str">
            <v>000</v>
          </cell>
          <cell r="D802" t="str">
            <v>1</v>
          </cell>
          <cell r="E802" t="str">
            <v>306</v>
          </cell>
          <cell r="F802" t="str">
            <v>N000</v>
          </cell>
          <cell r="G802" t="str">
            <v>411</v>
          </cell>
          <cell r="H802" t="str">
            <v>1103</v>
          </cell>
          <cell r="I802" t="str">
            <v>CF21859</v>
          </cell>
          <cell r="J802" t="str">
            <v>27ZB</v>
          </cell>
          <cell r="K802" t="str">
            <v>2</v>
          </cell>
          <cell r="L802">
            <v>3</v>
          </cell>
          <cell r="M802">
            <v>0</v>
          </cell>
          <cell r="N802">
            <v>3008.65</v>
          </cell>
          <cell r="O802" t="str">
            <v>M</v>
          </cell>
          <cell r="P802" t="str">
            <v>00000000</v>
          </cell>
          <cell r="Q802">
            <v>857</v>
          </cell>
          <cell r="R802">
            <v>434.58</v>
          </cell>
          <cell r="S802">
            <v>83.57</v>
          </cell>
          <cell r="T802">
            <v>383.6</v>
          </cell>
          <cell r="U802">
            <v>150.43</v>
          </cell>
          <cell r="V802">
            <v>69.59</v>
          </cell>
          <cell r="W802">
            <v>60.17</v>
          </cell>
          <cell r="X802">
            <v>27.33</v>
          </cell>
          <cell r="Y802">
            <v>0</v>
          </cell>
          <cell r="Z802">
            <v>93.28</v>
          </cell>
          <cell r="AA802">
            <v>77</v>
          </cell>
          <cell r="AB802">
            <v>96</v>
          </cell>
          <cell r="AC802">
            <v>80</v>
          </cell>
          <cell r="AD802">
            <v>13.49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Y802">
            <v>195648.84</v>
          </cell>
        </row>
        <row r="803">
          <cell r="A803">
            <v>2</v>
          </cell>
          <cell r="B803" t="str">
            <v>12</v>
          </cell>
          <cell r="C803" t="str">
            <v>000</v>
          </cell>
          <cell r="D803" t="str">
            <v>1</v>
          </cell>
          <cell r="E803" t="str">
            <v>306</v>
          </cell>
          <cell r="F803" t="str">
            <v>N000</v>
          </cell>
          <cell r="G803" t="str">
            <v>411</v>
          </cell>
          <cell r="H803" t="str">
            <v>1103</v>
          </cell>
          <cell r="I803" t="str">
            <v>CF21864</v>
          </cell>
          <cell r="J803" t="str">
            <v>27C</v>
          </cell>
          <cell r="K803" t="str">
            <v>1</v>
          </cell>
          <cell r="L803">
            <v>7</v>
          </cell>
          <cell r="M803">
            <v>0</v>
          </cell>
          <cell r="N803">
            <v>3268.2</v>
          </cell>
          <cell r="O803" t="str">
            <v>M</v>
          </cell>
          <cell r="P803" t="str">
            <v>00000000</v>
          </cell>
          <cell r="Q803">
            <v>4783.05</v>
          </cell>
          <cell r="R803">
            <v>472.07</v>
          </cell>
          <cell r="S803">
            <v>90.78</v>
          </cell>
          <cell r="T803">
            <v>416.7</v>
          </cell>
          <cell r="U803">
            <v>163.41</v>
          </cell>
          <cell r="V803">
            <v>144.91999999999999</v>
          </cell>
          <cell r="W803">
            <v>65.36</v>
          </cell>
          <cell r="X803">
            <v>6.57</v>
          </cell>
          <cell r="Y803">
            <v>0</v>
          </cell>
          <cell r="Z803">
            <v>173.95</v>
          </cell>
          <cell r="AA803">
            <v>77</v>
          </cell>
          <cell r="AB803">
            <v>0</v>
          </cell>
          <cell r="AC803">
            <v>0</v>
          </cell>
          <cell r="AD803">
            <v>13.49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Y803">
            <v>812742</v>
          </cell>
        </row>
        <row r="804">
          <cell r="A804">
            <v>2</v>
          </cell>
          <cell r="B804" t="str">
            <v>12</v>
          </cell>
          <cell r="C804" t="str">
            <v>000</v>
          </cell>
          <cell r="D804" t="str">
            <v>1</v>
          </cell>
          <cell r="E804" t="str">
            <v>306</v>
          </cell>
          <cell r="F804" t="str">
            <v>N000</v>
          </cell>
          <cell r="G804" t="str">
            <v>411</v>
          </cell>
          <cell r="H804" t="str">
            <v>1103</v>
          </cell>
          <cell r="I804" t="str">
            <v>CF21865</v>
          </cell>
          <cell r="J804" t="str">
            <v>27B</v>
          </cell>
          <cell r="K804" t="str">
            <v>1</v>
          </cell>
          <cell r="L804">
            <v>12</v>
          </cell>
          <cell r="M804">
            <v>0</v>
          </cell>
          <cell r="N804">
            <v>3222.2</v>
          </cell>
          <cell r="O804" t="str">
            <v>M</v>
          </cell>
          <cell r="P804" t="str">
            <v>00000000</v>
          </cell>
          <cell r="Q804">
            <v>3558.85</v>
          </cell>
          <cell r="R804">
            <v>465.43</v>
          </cell>
          <cell r="S804">
            <v>89.51</v>
          </cell>
          <cell r="T804">
            <v>410.83</v>
          </cell>
          <cell r="U804">
            <v>161.11000000000001</v>
          </cell>
          <cell r="V804">
            <v>122.06</v>
          </cell>
          <cell r="W804">
            <v>64.44</v>
          </cell>
          <cell r="X804">
            <v>0</v>
          </cell>
          <cell r="Y804">
            <v>0</v>
          </cell>
          <cell r="Z804">
            <v>148.26</v>
          </cell>
          <cell r="AA804">
            <v>77</v>
          </cell>
          <cell r="AB804">
            <v>0</v>
          </cell>
          <cell r="AC804">
            <v>0</v>
          </cell>
          <cell r="AD804">
            <v>13.49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Y804">
            <v>1199977.92</v>
          </cell>
        </row>
        <row r="805">
          <cell r="A805">
            <v>2</v>
          </cell>
          <cell r="B805" t="str">
            <v>12</v>
          </cell>
          <cell r="C805" t="str">
            <v>000</v>
          </cell>
          <cell r="D805" t="str">
            <v>1</v>
          </cell>
          <cell r="E805" t="str">
            <v>306</v>
          </cell>
          <cell r="F805" t="str">
            <v>N000</v>
          </cell>
          <cell r="G805" t="str">
            <v>411</v>
          </cell>
          <cell r="H805" t="str">
            <v>1103</v>
          </cell>
          <cell r="I805" t="str">
            <v>CF21866</v>
          </cell>
          <cell r="J805" t="str">
            <v>27A</v>
          </cell>
          <cell r="K805" t="str">
            <v>1</v>
          </cell>
          <cell r="L805">
            <v>1</v>
          </cell>
          <cell r="M805">
            <v>0</v>
          </cell>
          <cell r="N805">
            <v>3185.4</v>
          </cell>
          <cell r="O805" t="str">
            <v>M</v>
          </cell>
          <cell r="P805" t="str">
            <v>00000000</v>
          </cell>
          <cell r="Q805">
            <v>2791.7</v>
          </cell>
          <cell r="R805">
            <v>460.11</v>
          </cell>
          <cell r="S805">
            <v>88.48</v>
          </cell>
          <cell r="T805">
            <v>406.14</v>
          </cell>
          <cell r="U805">
            <v>159.27000000000001</v>
          </cell>
          <cell r="V805">
            <v>107.59</v>
          </cell>
          <cell r="W805">
            <v>63.71</v>
          </cell>
          <cell r="X805">
            <v>46</v>
          </cell>
          <cell r="Y805">
            <v>0</v>
          </cell>
          <cell r="Z805">
            <v>132.97</v>
          </cell>
          <cell r="AA805">
            <v>77</v>
          </cell>
          <cell r="AB805">
            <v>0</v>
          </cell>
          <cell r="AC805">
            <v>0</v>
          </cell>
          <cell r="AD805">
            <v>13.49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Y805">
            <v>90382.32</v>
          </cell>
        </row>
        <row r="806">
          <cell r="A806">
            <v>2</v>
          </cell>
          <cell r="B806" t="str">
            <v>12</v>
          </cell>
          <cell r="C806" t="str">
            <v>000</v>
          </cell>
          <cell r="D806" t="str">
            <v>1</v>
          </cell>
          <cell r="E806" t="str">
            <v>306</v>
          </cell>
          <cell r="F806" t="str">
            <v>N000</v>
          </cell>
          <cell r="G806" t="str">
            <v>411</v>
          </cell>
          <cell r="H806" t="str">
            <v>1103</v>
          </cell>
          <cell r="I806" t="str">
            <v>CF33834</v>
          </cell>
          <cell r="J806" t="str">
            <v>27</v>
          </cell>
          <cell r="K806" t="str">
            <v>2</v>
          </cell>
          <cell r="L806">
            <v>3</v>
          </cell>
          <cell r="M806">
            <v>0</v>
          </cell>
          <cell r="N806">
            <v>2817.8</v>
          </cell>
          <cell r="O806" t="str">
            <v>M</v>
          </cell>
          <cell r="P806" t="str">
            <v>00000000</v>
          </cell>
          <cell r="Q806">
            <v>0</v>
          </cell>
          <cell r="R806">
            <v>407.02</v>
          </cell>
          <cell r="S806">
            <v>78.27</v>
          </cell>
          <cell r="T806">
            <v>359.27</v>
          </cell>
          <cell r="U806">
            <v>140.88999999999999</v>
          </cell>
          <cell r="V806">
            <v>50.72</v>
          </cell>
          <cell r="W806">
            <v>56.36</v>
          </cell>
          <cell r="X806">
            <v>109</v>
          </cell>
          <cell r="Y806">
            <v>0</v>
          </cell>
          <cell r="Z806">
            <v>73.3</v>
          </cell>
          <cell r="AA806">
            <v>77</v>
          </cell>
          <cell r="AB806">
            <v>96</v>
          </cell>
          <cell r="AC806">
            <v>80</v>
          </cell>
          <cell r="AD806">
            <v>13.49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Y806">
            <v>156928.32000000001</v>
          </cell>
        </row>
        <row r="807">
          <cell r="A807">
            <v>2</v>
          </cell>
          <cell r="B807" t="str">
            <v>12</v>
          </cell>
          <cell r="C807" t="str">
            <v>000</v>
          </cell>
          <cell r="D807" t="str">
            <v>1</v>
          </cell>
          <cell r="E807" t="str">
            <v>306</v>
          </cell>
          <cell r="F807" t="str">
            <v>N000</v>
          </cell>
          <cell r="G807" t="str">
            <v>411</v>
          </cell>
          <cell r="H807" t="str">
            <v>1103</v>
          </cell>
          <cell r="I807" t="str">
            <v>CF33892</v>
          </cell>
          <cell r="J807" t="str">
            <v>27ZA</v>
          </cell>
          <cell r="K807" t="str">
            <v>2</v>
          </cell>
          <cell r="L807">
            <v>33</v>
          </cell>
          <cell r="M807">
            <v>0</v>
          </cell>
          <cell r="N807">
            <v>2982.9</v>
          </cell>
          <cell r="O807" t="str">
            <v>M</v>
          </cell>
          <cell r="P807" t="str">
            <v>00000000</v>
          </cell>
          <cell r="Q807">
            <v>579.4</v>
          </cell>
          <cell r="R807">
            <v>430.86</v>
          </cell>
          <cell r="S807">
            <v>82.86</v>
          </cell>
          <cell r="T807">
            <v>380.32</v>
          </cell>
          <cell r="U807">
            <v>149.15</v>
          </cell>
          <cell r="V807">
            <v>64.12</v>
          </cell>
          <cell r="W807">
            <v>59.66</v>
          </cell>
          <cell r="X807">
            <v>80.819999999999993</v>
          </cell>
          <cell r="Y807">
            <v>0</v>
          </cell>
          <cell r="Z807">
            <v>88.2</v>
          </cell>
          <cell r="AA807">
            <v>77</v>
          </cell>
          <cell r="AB807">
            <v>96</v>
          </cell>
          <cell r="AC807">
            <v>80</v>
          </cell>
          <cell r="AD807">
            <v>13.49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Y807">
            <v>2045252.88</v>
          </cell>
        </row>
        <row r="808">
          <cell r="A808">
            <v>2</v>
          </cell>
          <cell r="B808" t="str">
            <v>12</v>
          </cell>
          <cell r="C808" t="str">
            <v>000</v>
          </cell>
          <cell r="D808" t="str">
            <v>1</v>
          </cell>
          <cell r="E808" t="str">
            <v>306</v>
          </cell>
          <cell r="F808" t="str">
            <v>N000</v>
          </cell>
          <cell r="G808" t="str">
            <v>411</v>
          </cell>
          <cell r="H808" t="str">
            <v>1103</v>
          </cell>
          <cell r="I808" t="str">
            <v>CF41055</v>
          </cell>
          <cell r="K808" t="str">
            <v>2</v>
          </cell>
          <cell r="L808">
            <v>1</v>
          </cell>
          <cell r="M808">
            <v>0</v>
          </cell>
          <cell r="N808">
            <v>2814</v>
          </cell>
          <cell r="O808" t="str">
            <v>M</v>
          </cell>
          <cell r="P808" t="str">
            <v>00000000</v>
          </cell>
          <cell r="Q808">
            <v>0</v>
          </cell>
          <cell r="R808">
            <v>406.47</v>
          </cell>
          <cell r="S808">
            <v>78.17</v>
          </cell>
          <cell r="T808">
            <v>358.79</v>
          </cell>
          <cell r="U808">
            <v>140.69999999999999</v>
          </cell>
          <cell r="V808">
            <v>50.65</v>
          </cell>
          <cell r="W808">
            <v>56.28</v>
          </cell>
          <cell r="X808">
            <v>0</v>
          </cell>
          <cell r="Y808">
            <v>0</v>
          </cell>
          <cell r="Z808">
            <v>97.36</v>
          </cell>
          <cell r="AA808">
            <v>77</v>
          </cell>
          <cell r="AB808">
            <v>96</v>
          </cell>
          <cell r="AC808">
            <v>80</v>
          </cell>
          <cell r="AD808">
            <v>13.49</v>
          </cell>
          <cell r="AE808">
            <v>2.35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1314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Y808">
            <v>67023.12</v>
          </cell>
        </row>
        <row r="809">
          <cell r="A809">
            <v>2</v>
          </cell>
          <cell r="B809" t="str">
            <v>12</v>
          </cell>
          <cell r="C809" t="str">
            <v>000</v>
          </cell>
          <cell r="D809" t="str">
            <v>1</v>
          </cell>
          <cell r="E809" t="str">
            <v>306</v>
          </cell>
          <cell r="F809" t="str">
            <v>N000</v>
          </cell>
          <cell r="G809" t="str">
            <v>411</v>
          </cell>
          <cell r="H809" t="str">
            <v>1103</v>
          </cell>
          <cell r="I809" t="str">
            <v>CF41057</v>
          </cell>
          <cell r="K809" t="str">
            <v>2</v>
          </cell>
          <cell r="L809">
            <v>5</v>
          </cell>
          <cell r="M809">
            <v>0</v>
          </cell>
          <cell r="N809">
            <v>3718</v>
          </cell>
          <cell r="O809" t="str">
            <v>M</v>
          </cell>
          <cell r="P809" t="str">
            <v>00000000</v>
          </cell>
          <cell r="Q809">
            <v>0</v>
          </cell>
          <cell r="R809">
            <v>537.04</v>
          </cell>
          <cell r="S809">
            <v>103.28</v>
          </cell>
          <cell r="T809">
            <v>474.05</v>
          </cell>
          <cell r="U809">
            <v>185.9</v>
          </cell>
          <cell r="V809">
            <v>66.92</v>
          </cell>
          <cell r="W809">
            <v>74.36</v>
          </cell>
          <cell r="X809">
            <v>0</v>
          </cell>
          <cell r="Y809">
            <v>0</v>
          </cell>
          <cell r="Z809">
            <v>146.53</v>
          </cell>
          <cell r="AA809">
            <v>77</v>
          </cell>
          <cell r="AB809">
            <v>96</v>
          </cell>
          <cell r="AC809">
            <v>80</v>
          </cell>
          <cell r="AD809">
            <v>13.49</v>
          </cell>
          <cell r="AE809">
            <v>3.1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2712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Y809">
            <v>497260.2</v>
          </cell>
        </row>
        <row r="810">
          <cell r="A810">
            <v>2</v>
          </cell>
          <cell r="B810" t="str">
            <v>12</v>
          </cell>
          <cell r="C810" t="str">
            <v>000</v>
          </cell>
          <cell r="D810" t="str">
            <v>1</v>
          </cell>
          <cell r="E810" t="str">
            <v>306</v>
          </cell>
          <cell r="F810" t="str">
            <v>N000</v>
          </cell>
          <cell r="G810" t="str">
            <v>411</v>
          </cell>
          <cell r="H810" t="str">
            <v>1103</v>
          </cell>
          <cell r="I810" t="str">
            <v>CF41058</v>
          </cell>
          <cell r="K810" t="str">
            <v>2</v>
          </cell>
          <cell r="L810">
            <v>5</v>
          </cell>
          <cell r="M810">
            <v>0</v>
          </cell>
          <cell r="N810">
            <v>4168</v>
          </cell>
          <cell r="O810" t="str">
            <v>M</v>
          </cell>
          <cell r="P810" t="str">
            <v>00000000</v>
          </cell>
          <cell r="Q810">
            <v>0</v>
          </cell>
          <cell r="R810">
            <v>602.04</v>
          </cell>
          <cell r="S810">
            <v>115.78</v>
          </cell>
          <cell r="T810">
            <v>531.41999999999996</v>
          </cell>
          <cell r="U810">
            <v>208.4</v>
          </cell>
          <cell r="V810">
            <v>75.02</v>
          </cell>
          <cell r="W810">
            <v>83.36</v>
          </cell>
          <cell r="X810">
            <v>16.399999999999999</v>
          </cell>
          <cell r="Y810">
            <v>0</v>
          </cell>
          <cell r="Z810">
            <v>161.72999999999999</v>
          </cell>
          <cell r="AA810">
            <v>77</v>
          </cell>
          <cell r="AB810">
            <v>96</v>
          </cell>
          <cell r="AC810">
            <v>80</v>
          </cell>
          <cell r="AD810">
            <v>13.49</v>
          </cell>
          <cell r="AE810">
            <v>3.47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2928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Y810">
            <v>549606.6</v>
          </cell>
        </row>
        <row r="811">
          <cell r="A811">
            <v>2</v>
          </cell>
          <cell r="B811" t="str">
            <v>12</v>
          </cell>
          <cell r="C811" t="str">
            <v>000</v>
          </cell>
          <cell r="D811" t="str">
            <v>1</v>
          </cell>
          <cell r="E811" t="str">
            <v>306</v>
          </cell>
          <cell r="F811" t="str">
            <v>N000</v>
          </cell>
          <cell r="G811" t="str">
            <v>411</v>
          </cell>
          <cell r="H811" t="str">
            <v>1103</v>
          </cell>
          <cell r="I811" t="str">
            <v>CF41059</v>
          </cell>
          <cell r="K811" t="str">
            <v>2</v>
          </cell>
          <cell r="L811">
            <v>11</v>
          </cell>
          <cell r="M811">
            <v>0</v>
          </cell>
          <cell r="N811">
            <v>4776</v>
          </cell>
          <cell r="O811" t="str">
            <v>M</v>
          </cell>
          <cell r="P811" t="str">
            <v>00000000</v>
          </cell>
          <cell r="Q811">
            <v>0</v>
          </cell>
          <cell r="R811">
            <v>689.87</v>
          </cell>
          <cell r="S811">
            <v>132.66999999999999</v>
          </cell>
          <cell r="T811">
            <v>608.94000000000005</v>
          </cell>
          <cell r="U811">
            <v>238.8</v>
          </cell>
          <cell r="V811">
            <v>85.97</v>
          </cell>
          <cell r="W811">
            <v>95.52</v>
          </cell>
          <cell r="X811">
            <v>59.64</v>
          </cell>
          <cell r="Y811">
            <v>0</v>
          </cell>
          <cell r="Z811">
            <v>179.58</v>
          </cell>
          <cell r="AA811">
            <v>77</v>
          </cell>
          <cell r="AB811">
            <v>96</v>
          </cell>
          <cell r="AC811">
            <v>80</v>
          </cell>
          <cell r="AD811">
            <v>13.49</v>
          </cell>
          <cell r="AE811">
            <v>3.98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3064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Y811">
            <v>1346592.72</v>
          </cell>
        </row>
        <row r="812">
          <cell r="A812">
            <v>2</v>
          </cell>
          <cell r="B812" t="str">
            <v>12</v>
          </cell>
          <cell r="C812" t="str">
            <v>000</v>
          </cell>
          <cell r="D812" t="str">
            <v>1</v>
          </cell>
          <cell r="E812" t="str">
            <v>306</v>
          </cell>
          <cell r="F812" t="str">
            <v>N000</v>
          </cell>
          <cell r="G812" t="str">
            <v>411</v>
          </cell>
          <cell r="H812" t="str">
            <v>1103</v>
          </cell>
          <cell r="I812" t="str">
            <v>CF41060</v>
          </cell>
          <cell r="K812" t="str">
            <v>2</v>
          </cell>
          <cell r="L812">
            <v>28</v>
          </cell>
          <cell r="M812">
            <v>0</v>
          </cell>
          <cell r="N812">
            <v>5274</v>
          </cell>
          <cell r="O812" t="str">
            <v>M</v>
          </cell>
          <cell r="P812" t="str">
            <v>00000000</v>
          </cell>
          <cell r="Q812">
            <v>0</v>
          </cell>
          <cell r="R812">
            <v>761.8</v>
          </cell>
          <cell r="S812">
            <v>146.5</v>
          </cell>
          <cell r="T812">
            <v>672.44</v>
          </cell>
          <cell r="U812">
            <v>263.7</v>
          </cell>
          <cell r="V812">
            <v>94.93</v>
          </cell>
          <cell r="W812">
            <v>105.48</v>
          </cell>
          <cell r="X812">
            <v>69.180000000000007</v>
          </cell>
          <cell r="Y812">
            <v>0</v>
          </cell>
          <cell r="Z812">
            <v>196.5</v>
          </cell>
          <cell r="AA812">
            <v>77</v>
          </cell>
          <cell r="AB812">
            <v>96</v>
          </cell>
          <cell r="AC812">
            <v>80</v>
          </cell>
          <cell r="AD812">
            <v>13.49</v>
          </cell>
          <cell r="AE812">
            <v>4.4000000000000004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3316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Y812">
            <v>3753597.12</v>
          </cell>
        </row>
        <row r="813">
          <cell r="A813">
            <v>2</v>
          </cell>
          <cell r="B813" t="str">
            <v>12</v>
          </cell>
          <cell r="C813" t="str">
            <v>000</v>
          </cell>
          <cell r="D813" t="str">
            <v>1</v>
          </cell>
          <cell r="E813" t="str">
            <v>306</v>
          </cell>
          <cell r="F813" t="str">
            <v>N000</v>
          </cell>
          <cell r="G813" t="str">
            <v>411</v>
          </cell>
          <cell r="H813" t="str">
            <v>1103</v>
          </cell>
          <cell r="I813" t="str">
            <v>CF41061</v>
          </cell>
          <cell r="K813" t="str">
            <v>2</v>
          </cell>
          <cell r="L813">
            <v>4</v>
          </cell>
          <cell r="M813">
            <v>0</v>
          </cell>
          <cell r="N813">
            <v>5300</v>
          </cell>
          <cell r="O813" t="str">
            <v>M</v>
          </cell>
          <cell r="P813" t="str">
            <v>00000000</v>
          </cell>
          <cell r="Q813">
            <v>0</v>
          </cell>
          <cell r="R813">
            <v>765.56</v>
          </cell>
          <cell r="S813">
            <v>147.22</v>
          </cell>
          <cell r="T813">
            <v>675.75</v>
          </cell>
          <cell r="U813">
            <v>265</v>
          </cell>
          <cell r="V813">
            <v>95.4</v>
          </cell>
          <cell r="W813">
            <v>106</v>
          </cell>
          <cell r="X813">
            <v>34.25</v>
          </cell>
          <cell r="Y813">
            <v>0</v>
          </cell>
          <cell r="Z813">
            <v>238.61</v>
          </cell>
          <cell r="AA813">
            <v>77</v>
          </cell>
          <cell r="AB813">
            <v>96</v>
          </cell>
          <cell r="AC813">
            <v>80</v>
          </cell>
          <cell r="AD813">
            <v>13.49</v>
          </cell>
          <cell r="AE813">
            <v>4.42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5426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Y813">
            <v>639585.6</v>
          </cell>
        </row>
        <row r="814">
          <cell r="A814">
            <v>2</v>
          </cell>
          <cell r="B814" t="str">
            <v>12</v>
          </cell>
          <cell r="C814" t="str">
            <v>000</v>
          </cell>
          <cell r="D814" t="str">
            <v>1</v>
          </cell>
          <cell r="E814" t="str">
            <v>306</v>
          </cell>
          <cell r="F814" t="str">
            <v>N000</v>
          </cell>
          <cell r="G814" t="str">
            <v>411</v>
          </cell>
          <cell r="H814" t="str">
            <v>1103</v>
          </cell>
          <cell r="I814" t="str">
            <v>CF41062</v>
          </cell>
          <cell r="K814" t="str">
            <v>2</v>
          </cell>
          <cell r="L814">
            <v>14</v>
          </cell>
          <cell r="M814">
            <v>0</v>
          </cell>
          <cell r="N814">
            <v>5546</v>
          </cell>
          <cell r="O814" t="str">
            <v>M</v>
          </cell>
          <cell r="P814" t="str">
            <v>00000000</v>
          </cell>
          <cell r="Q814">
            <v>0</v>
          </cell>
          <cell r="R814">
            <v>801.09</v>
          </cell>
          <cell r="S814">
            <v>154.06</v>
          </cell>
          <cell r="T814">
            <v>707.12</v>
          </cell>
          <cell r="U814">
            <v>277.3</v>
          </cell>
          <cell r="V814">
            <v>99.83</v>
          </cell>
          <cell r="W814">
            <v>110.92</v>
          </cell>
          <cell r="X814">
            <v>33.5</v>
          </cell>
          <cell r="Y814">
            <v>0</v>
          </cell>
          <cell r="Z814">
            <v>250.93</v>
          </cell>
          <cell r="AA814">
            <v>77</v>
          </cell>
          <cell r="AB814">
            <v>96</v>
          </cell>
          <cell r="AC814">
            <v>80</v>
          </cell>
          <cell r="AD814">
            <v>13.49</v>
          </cell>
          <cell r="AE814">
            <v>4.62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5754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Y814">
            <v>2352984.48</v>
          </cell>
        </row>
        <row r="815">
          <cell r="A815">
            <v>2</v>
          </cell>
          <cell r="B815" t="str">
            <v>12</v>
          </cell>
          <cell r="C815" t="str">
            <v>000</v>
          </cell>
          <cell r="D815" t="str">
            <v>1</v>
          </cell>
          <cell r="E815" t="str">
            <v>306</v>
          </cell>
          <cell r="F815" t="str">
            <v>N000</v>
          </cell>
          <cell r="G815" t="str">
            <v>411</v>
          </cell>
          <cell r="H815" t="str">
            <v>1103</v>
          </cell>
          <cell r="I815" t="str">
            <v>CF41063</v>
          </cell>
          <cell r="K815" t="str">
            <v>2</v>
          </cell>
          <cell r="L815">
            <v>8</v>
          </cell>
          <cell r="M815">
            <v>0</v>
          </cell>
          <cell r="N815">
            <v>5954</v>
          </cell>
          <cell r="O815" t="str">
            <v>M</v>
          </cell>
          <cell r="P815" t="str">
            <v>00000000</v>
          </cell>
          <cell r="Q815">
            <v>0</v>
          </cell>
          <cell r="R815">
            <v>860.02</v>
          </cell>
          <cell r="S815">
            <v>165.39</v>
          </cell>
          <cell r="T815">
            <v>759.13</v>
          </cell>
          <cell r="U815">
            <v>297.7</v>
          </cell>
          <cell r="V815">
            <v>107.17</v>
          </cell>
          <cell r="W815">
            <v>119.08</v>
          </cell>
          <cell r="X815">
            <v>0</v>
          </cell>
          <cell r="Y815">
            <v>0</v>
          </cell>
          <cell r="Z815">
            <v>262.25</v>
          </cell>
          <cell r="AA815">
            <v>77</v>
          </cell>
          <cell r="AB815">
            <v>96</v>
          </cell>
          <cell r="AC815">
            <v>80</v>
          </cell>
          <cell r="AD815">
            <v>13.49</v>
          </cell>
          <cell r="AE815">
            <v>4.96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5875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Y815">
            <v>1408434.24</v>
          </cell>
        </row>
        <row r="816">
          <cell r="A816">
            <v>2</v>
          </cell>
          <cell r="B816" t="str">
            <v>12</v>
          </cell>
          <cell r="C816" t="str">
            <v>000</v>
          </cell>
          <cell r="D816" t="str">
            <v>1</v>
          </cell>
          <cell r="E816" t="str">
            <v>306</v>
          </cell>
          <cell r="F816" t="str">
            <v>N000</v>
          </cell>
          <cell r="G816" t="str">
            <v>411</v>
          </cell>
          <cell r="H816" t="str">
            <v>1103</v>
          </cell>
          <cell r="I816" t="str">
            <v>CF41064</v>
          </cell>
          <cell r="K816" t="str">
            <v>2</v>
          </cell>
          <cell r="L816">
            <v>9</v>
          </cell>
          <cell r="M816">
            <v>0</v>
          </cell>
          <cell r="N816">
            <v>6121</v>
          </cell>
          <cell r="O816" t="str">
            <v>M</v>
          </cell>
          <cell r="P816" t="str">
            <v>00000000</v>
          </cell>
          <cell r="Q816">
            <v>0</v>
          </cell>
          <cell r="R816">
            <v>884.14</v>
          </cell>
          <cell r="S816">
            <v>170.03</v>
          </cell>
          <cell r="T816">
            <v>780.43</v>
          </cell>
          <cell r="U816">
            <v>306.05</v>
          </cell>
          <cell r="V816">
            <v>110.18</v>
          </cell>
          <cell r="W816">
            <v>122.42</v>
          </cell>
          <cell r="X816">
            <v>51.67</v>
          </cell>
          <cell r="Y816">
            <v>0</v>
          </cell>
          <cell r="Z816">
            <v>275.2</v>
          </cell>
          <cell r="AA816">
            <v>77</v>
          </cell>
          <cell r="AB816">
            <v>96</v>
          </cell>
          <cell r="AC816">
            <v>80</v>
          </cell>
          <cell r="AD816">
            <v>13.49</v>
          </cell>
          <cell r="AE816">
            <v>5.0999999999999996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6275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Y816">
            <v>1659712.68</v>
          </cell>
        </row>
        <row r="817">
          <cell r="A817">
            <v>2</v>
          </cell>
          <cell r="B817" t="str">
            <v>12</v>
          </cell>
          <cell r="C817" t="str">
            <v>000</v>
          </cell>
          <cell r="D817" t="str">
            <v>1</v>
          </cell>
          <cell r="E817" t="str">
            <v>306</v>
          </cell>
          <cell r="F817" t="str">
            <v>N000</v>
          </cell>
          <cell r="G817" t="str">
            <v>412</v>
          </cell>
          <cell r="H817" t="str">
            <v>1103</v>
          </cell>
          <cell r="I817" t="str">
            <v>A01803</v>
          </cell>
          <cell r="J817" t="str">
            <v>19</v>
          </cell>
          <cell r="K817" t="str">
            <v>2</v>
          </cell>
          <cell r="L817">
            <v>7</v>
          </cell>
          <cell r="M817">
            <v>0</v>
          </cell>
          <cell r="N817">
            <v>2120.3000000000002</v>
          </cell>
          <cell r="O817" t="str">
            <v>M</v>
          </cell>
          <cell r="P817" t="str">
            <v>00000000</v>
          </cell>
          <cell r="Q817">
            <v>0</v>
          </cell>
          <cell r="R817">
            <v>306.27</v>
          </cell>
          <cell r="S817">
            <v>58.9</v>
          </cell>
          <cell r="T817">
            <v>270.33999999999997</v>
          </cell>
          <cell r="U817">
            <v>106.02</v>
          </cell>
          <cell r="V817">
            <v>38.17</v>
          </cell>
          <cell r="W817">
            <v>42.41</v>
          </cell>
          <cell r="X817">
            <v>62.43</v>
          </cell>
          <cell r="Y817">
            <v>0</v>
          </cell>
          <cell r="Z817">
            <v>56.02</v>
          </cell>
          <cell r="AA817">
            <v>77</v>
          </cell>
          <cell r="AB817">
            <v>96</v>
          </cell>
          <cell r="AC817">
            <v>80</v>
          </cell>
          <cell r="AD817">
            <v>13.49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Y817">
            <v>279497.40000000002</v>
          </cell>
        </row>
        <row r="818">
          <cell r="A818">
            <v>2</v>
          </cell>
          <cell r="B818" t="str">
            <v>12</v>
          </cell>
          <cell r="C818" t="str">
            <v>000</v>
          </cell>
          <cell r="D818" t="str">
            <v>1</v>
          </cell>
          <cell r="E818" t="str">
            <v>306</v>
          </cell>
          <cell r="F818" t="str">
            <v>N000</v>
          </cell>
          <cell r="G818" t="str">
            <v>412</v>
          </cell>
          <cell r="H818" t="str">
            <v>1103</v>
          </cell>
          <cell r="I818" t="str">
            <v>A01805</v>
          </cell>
          <cell r="J818" t="str">
            <v>21</v>
          </cell>
          <cell r="K818" t="str">
            <v>2</v>
          </cell>
          <cell r="L818">
            <v>5</v>
          </cell>
          <cell r="M818">
            <v>0</v>
          </cell>
          <cell r="N818">
            <v>2238.1999999999998</v>
          </cell>
          <cell r="O818" t="str">
            <v>M</v>
          </cell>
          <cell r="P818" t="str">
            <v>00000000</v>
          </cell>
          <cell r="Q818">
            <v>0</v>
          </cell>
          <cell r="R818">
            <v>323.3</v>
          </cell>
          <cell r="S818">
            <v>62.17</v>
          </cell>
          <cell r="T818">
            <v>285.37</v>
          </cell>
          <cell r="U818">
            <v>111.91</v>
          </cell>
          <cell r="V818">
            <v>40.29</v>
          </cell>
          <cell r="W818">
            <v>44.76</v>
          </cell>
          <cell r="X818">
            <v>11</v>
          </cell>
          <cell r="Y818">
            <v>0</v>
          </cell>
          <cell r="Z818">
            <v>57.75</v>
          </cell>
          <cell r="AA818">
            <v>77</v>
          </cell>
          <cell r="AB818">
            <v>96</v>
          </cell>
          <cell r="AC818">
            <v>80</v>
          </cell>
          <cell r="AD818">
            <v>13.49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Y818">
            <v>206474.4</v>
          </cell>
        </row>
        <row r="819">
          <cell r="A819">
            <v>2</v>
          </cell>
          <cell r="B819" t="str">
            <v>12</v>
          </cell>
          <cell r="C819" t="str">
            <v>000</v>
          </cell>
          <cell r="D819" t="str">
            <v>1</v>
          </cell>
          <cell r="E819" t="str">
            <v>306</v>
          </cell>
          <cell r="F819" t="str">
            <v>N000</v>
          </cell>
          <cell r="G819" t="str">
            <v>412</v>
          </cell>
          <cell r="H819" t="str">
            <v>1103</v>
          </cell>
          <cell r="I819" t="str">
            <v>A01807</v>
          </cell>
          <cell r="J819" t="str">
            <v>27</v>
          </cell>
          <cell r="K819" t="str">
            <v>2</v>
          </cell>
          <cell r="L819">
            <v>6</v>
          </cell>
          <cell r="M819">
            <v>0</v>
          </cell>
          <cell r="N819">
            <v>2817.8</v>
          </cell>
          <cell r="O819" t="str">
            <v>M</v>
          </cell>
          <cell r="P819" t="str">
            <v>00000000</v>
          </cell>
          <cell r="Q819">
            <v>0</v>
          </cell>
          <cell r="R819">
            <v>407.02</v>
          </cell>
          <cell r="S819">
            <v>78.27</v>
          </cell>
          <cell r="T819">
            <v>359.27</v>
          </cell>
          <cell r="U819">
            <v>140.88999999999999</v>
          </cell>
          <cell r="V819">
            <v>50.72</v>
          </cell>
          <cell r="W819">
            <v>56.36</v>
          </cell>
          <cell r="X819">
            <v>39.83</v>
          </cell>
          <cell r="Y819">
            <v>0</v>
          </cell>
          <cell r="Z819">
            <v>71.92</v>
          </cell>
          <cell r="AA819">
            <v>77</v>
          </cell>
          <cell r="AB819">
            <v>96</v>
          </cell>
          <cell r="AC819">
            <v>80</v>
          </cell>
          <cell r="AD819">
            <v>13.49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Y819">
            <v>308777.03999999998</v>
          </cell>
        </row>
        <row r="820">
          <cell r="A820">
            <v>2</v>
          </cell>
          <cell r="B820" t="str">
            <v>12</v>
          </cell>
          <cell r="C820" t="str">
            <v>000</v>
          </cell>
          <cell r="D820" t="str">
            <v>1</v>
          </cell>
          <cell r="E820" t="str">
            <v>306</v>
          </cell>
          <cell r="F820" t="str">
            <v>N000</v>
          </cell>
          <cell r="G820" t="str">
            <v>412</v>
          </cell>
          <cell r="H820" t="str">
            <v>1103</v>
          </cell>
          <cell r="I820" t="str">
            <v>A03803</v>
          </cell>
          <cell r="J820" t="str">
            <v>20</v>
          </cell>
          <cell r="K820" t="str">
            <v>2</v>
          </cell>
          <cell r="L820">
            <v>1</v>
          </cell>
          <cell r="M820">
            <v>0</v>
          </cell>
          <cell r="N820">
            <v>2138.85</v>
          </cell>
          <cell r="O820" t="str">
            <v>M</v>
          </cell>
          <cell r="P820" t="str">
            <v>00000000</v>
          </cell>
          <cell r="Q820">
            <v>0</v>
          </cell>
          <cell r="R820">
            <v>308.94</v>
          </cell>
          <cell r="S820">
            <v>59.41</v>
          </cell>
          <cell r="T820">
            <v>272.7</v>
          </cell>
          <cell r="U820">
            <v>106.94</v>
          </cell>
          <cell r="V820">
            <v>38.5</v>
          </cell>
          <cell r="W820">
            <v>42.78</v>
          </cell>
          <cell r="X820">
            <v>0</v>
          </cell>
          <cell r="Y820">
            <v>0</v>
          </cell>
          <cell r="Z820">
            <v>55.2</v>
          </cell>
          <cell r="AA820">
            <v>77</v>
          </cell>
          <cell r="AB820">
            <v>96</v>
          </cell>
          <cell r="AC820">
            <v>80</v>
          </cell>
          <cell r="AD820">
            <v>13.49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Y820">
            <v>39477.72</v>
          </cell>
        </row>
        <row r="821">
          <cell r="A821">
            <v>2</v>
          </cell>
          <cell r="B821" t="str">
            <v>12</v>
          </cell>
          <cell r="C821" t="str">
            <v>000</v>
          </cell>
          <cell r="D821" t="str">
            <v>1</v>
          </cell>
          <cell r="E821" t="str">
            <v>306</v>
          </cell>
          <cell r="F821" t="str">
            <v>N000</v>
          </cell>
          <cell r="G821" t="str">
            <v>412</v>
          </cell>
          <cell r="H821" t="str">
            <v>1103</v>
          </cell>
          <cell r="I821" t="str">
            <v>A03804</v>
          </cell>
          <cell r="J821" t="str">
            <v>23</v>
          </cell>
          <cell r="K821" t="str">
            <v>2</v>
          </cell>
          <cell r="L821">
            <v>1</v>
          </cell>
          <cell r="M821">
            <v>0</v>
          </cell>
          <cell r="N821">
            <v>2451.25</v>
          </cell>
          <cell r="O821" t="str">
            <v>M</v>
          </cell>
          <cell r="P821" t="str">
            <v>00000000</v>
          </cell>
          <cell r="Q821">
            <v>0</v>
          </cell>
          <cell r="R821">
            <v>354.07</v>
          </cell>
          <cell r="S821">
            <v>68.09</v>
          </cell>
          <cell r="T821">
            <v>312.52999999999997</v>
          </cell>
          <cell r="U821">
            <v>122.56</v>
          </cell>
          <cell r="V821">
            <v>44.12</v>
          </cell>
          <cell r="W821">
            <v>49.02</v>
          </cell>
          <cell r="X821">
            <v>0</v>
          </cell>
          <cell r="Y821">
            <v>0</v>
          </cell>
          <cell r="Z821">
            <v>62.53</v>
          </cell>
          <cell r="AA821">
            <v>77</v>
          </cell>
          <cell r="AB821">
            <v>96</v>
          </cell>
          <cell r="AC821">
            <v>80</v>
          </cell>
          <cell r="AD821">
            <v>13.49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Y821">
            <v>44767.92</v>
          </cell>
        </row>
        <row r="822">
          <cell r="A822">
            <v>2</v>
          </cell>
          <cell r="B822" t="str">
            <v>12</v>
          </cell>
          <cell r="C822" t="str">
            <v>000</v>
          </cell>
          <cell r="D822" t="str">
            <v>1</v>
          </cell>
          <cell r="E822" t="str">
            <v>306</v>
          </cell>
          <cell r="F822" t="str">
            <v>N000</v>
          </cell>
          <cell r="G822" t="str">
            <v>412</v>
          </cell>
          <cell r="H822" t="str">
            <v>1103</v>
          </cell>
          <cell r="I822" t="str">
            <v>CFMC03</v>
          </cell>
          <cell r="J822" t="str">
            <v>MC03</v>
          </cell>
          <cell r="K822" t="str">
            <v>1</v>
          </cell>
          <cell r="L822">
            <v>15</v>
          </cell>
          <cell r="M822">
            <v>0</v>
          </cell>
          <cell r="N822">
            <v>4311.3999999999996</v>
          </cell>
          <cell r="O822" t="str">
            <v>M</v>
          </cell>
          <cell r="P822" t="str">
            <v>00000000</v>
          </cell>
          <cell r="Q822">
            <v>11306.9</v>
          </cell>
          <cell r="R822">
            <v>622.76</v>
          </cell>
          <cell r="S822">
            <v>119.76</v>
          </cell>
          <cell r="T822">
            <v>549.70000000000005</v>
          </cell>
          <cell r="U822">
            <v>215.57</v>
          </cell>
          <cell r="V822">
            <v>281.13</v>
          </cell>
          <cell r="W822">
            <v>86.23</v>
          </cell>
          <cell r="X822">
            <v>27.53</v>
          </cell>
          <cell r="Y822">
            <v>780.91</v>
          </cell>
          <cell r="Z822">
            <v>329.31</v>
          </cell>
          <cell r="AA822">
            <v>77</v>
          </cell>
          <cell r="AB822">
            <v>0</v>
          </cell>
          <cell r="AC822">
            <v>0</v>
          </cell>
          <cell r="AD822">
            <v>13.49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Y822">
            <v>3369904.2</v>
          </cell>
        </row>
        <row r="823">
          <cell r="A823">
            <v>2</v>
          </cell>
          <cell r="B823" t="str">
            <v>12</v>
          </cell>
          <cell r="C823" t="str">
            <v>000</v>
          </cell>
          <cell r="D823" t="str">
            <v>1</v>
          </cell>
          <cell r="E823" t="str">
            <v>306</v>
          </cell>
          <cell r="F823" t="str">
            <v>N000</v>
          </cell>
          <cell r="G823" t="str">
            <v>412</v>
          </cell>
          <cell r="H823" t="str">
            <v>1103</v>
          </cell>
          <cell r="I823" t="str">
            <v>CFMD09</v>
          </cell>
          <cell r="J823" t="str">
            <v>MD09</v>
          </cell>
          <cell r="K823" t="str">
            <v>1</v>
          </cell>
          <cell r="L823">
            <v>1</v>
          </cell>
          <cell r="M823">
            <v>0</v>
          </cell>
          <cell r="N823">
            <v>14852.65</v>
          </cell>
          <cell r="O823" t="str">
            <v>M</v>
          </cell>
          <cell r="P823" t="str">
            <v>00000000</v>
          </cell>
          <cell r="Q823">
            <v>100991.65</v>
          </cell>
          <cell r="R823">
            <v>2145.38</v>
          </cell>
          <cell r="S823">
            <v>412.57</v>
          </cell>
          <cell r="T823">
            <v>1893.71</v>
          </cell>
          <cell r="U823">
            <v>742.63</v>
          </cell>
          <cell r="V823">
            <v>2085.1999999999998</v>
          </cell>
          <cell r="W823">
            <v>297.05</v>
          </cell>
          <cell r="X823">
            <v>46</v>
          </cell>
          <cell r="Y823">
            <v>5792.22</v>
          </cell>
          <cell r="Z823">
            <v>2370.5100000000002</v>
          </cell>
          <cell r="AA823">
            <v>77</v>
          </cell>
          <cell r="AB823">
            <v>0</v>
          </cell>
          <cell r="AC823">
            <v>0</v>
          </cell>
          <cell r="AD823">
            <v>13.49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Y823">
            <v>1580640.72</v>
          </cell>
        </row>
        <row r="824">
          <cell r="A824">
            <v>2</v>
          </cell>
          <cell r="B824" t="str">
            <v>12</v>
          </cell>
          <cell r="C824" t="str">
            <v>000</v>
          </cell>
          <cell r="D824" t="str">
            <v>1</v>
          </cell>
          <cell r="E824" t="str">
            <v>306</v>
          </cell>
          <cell r="F824" t="str">
            <v>N000</v>
          </cell>
          <cell r="G824" t="str">
            <v>412</v>
          </cell>
          <cell r="H824" t="str">
            <v>1103</v>
          </cell>
          <cell r="I824" t="str">
            <v>CFMD12</v>
          </cell>
          <cell r="J824" t="str">
            <v>MD12</v>
          </cell>
          <cell r="K824" t="str">
            <v>1</v>
          </cell>
          <cell r="L824">
            <v>1</v>
          </cell>
          <cell r="M824">
            <v>0</v>
          </cell>
          <cell r="N824">
            <v>12026.05</v>
          </cell>
          <cell r="O824" t="str">
            <v>M</v>
          </cell>
          <cell r="P824" t="str">
            <v>00000000</v>
          </cell>
          <cell r="Q824">
            <v>72295.199999999997</v>
          </cell>
          <cell r="R824">
            <v>1737.1</v>
          </cell>
          <cell r="S824">
            <v>334.06</v>
          </cell>
          <cell r="T824">
            <v>1533.32</v>
          </cell>
          <cell r="U824">
            <v>601.29999999999995</v>
          </cell>
          <cell r="V824">
            <v>1517.78</v>
          </cell>
          <cell r="W824">
            <v>240.52</v>
          </cell>
          <cell r="X824">
            <v>0</v>
          </cell>
          <cell r="Y824">
            <v>4216.0600000000004</v>
          </cell>
          <cell r="Z824">
            <v>1729.39</v>
          </cell>
          <cell r="AA824">
            <v>77</v>
          </cell>
          <cell r="AB824">
            <v>0</v>
          </cell>
          <cell r="AC824">
            <v>0</v>
          </cell>
          <cell r="AD824">
            <v>13.49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Y824">
            <v>1155855.24</v>
          </cell>
        </row>
        <row r="825">
          <cell r="A825">
            <v>2</v>
          </cell>
          <cell r="B825" t="str">
            <v>12</v>
          </cell>
          <cell r="C825" t="str">
            <v>000</v>
          </cell>
          <cell r="D825" t="str">
            <v>1</v>
          </cell>
          <cell r="E825" t="str">
            <v>306</v>
          </cell>
          <cell r="F825" t="str">
            <v>N000</v>
          </cell>
          <cell r="G825" t="str">
            <v>412</v>
          </cell>
          <cell r="H825" t="str">
            <v>1103</v>
          </cell>
          <cell r="I825" t="str">
            <v>CFMG06</v>
          </cell>
          <cell r="J825" t="str">
            <v>MG06</v>
          </cell>
          <cell r="K825" t="str">
            <v>1</v>
          </cell>
          <cell r="L825">
            <v>6</v>
          </cell>
          <cell r="M825">
            <v>0</v>
          </cell>
          <cell r="N825">
            <v>8232.25</v>
          </cell>
          <cell r="O825" t="str">
            <v>M</v>
          </cell>
          <cell r="P825" t="str">
            <v>00000000</v>
          </cell>
          <cell r="Q825">
            <v>38872.050000000003</v>
          </cell>
          <cell r="R825">
            <v>1189.0999999999999</v>
          </cell>
          <cell r="S825">
            <v>228.67</v>
          </cell>
          <cell r="T825">
            <v>1049.6099999999999</v>
          </cell>
          <cell r="U825">
            <v>411.61</v>
          </cell>
          <cell r="V825">
            <v>847.88</v>
          </cell>
          <cell r="W825">
            <v>164.65</v>
          </cell>
          <cell r="X825">
            <v>74.33</v>
          </cell>
          <cell r="Y825">
            <v>2355.2199999999998</v>
          </cell>
          <cell r="Z825">
            <v>973.47</v>
          </cell>
          <cell r="AA825">
            <v>77</v>
          </cell>
          <cell r="AB825">
            <v>0</v>
          </cell>
          <cell r="AC825">
            <v>0</v>
          </cell>
          <cell r="AD825">
            <v>13.49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Y825">
            <v>3923231.76</v>
          </cell>
        </row>
        <row r="826">
          <cell r="A826">
            <v>2</v>
          </cell>
          <cell r="B826" t="str">
            <v>12</v>
          </cell>
          <cell r="C826" t="str">
            <v>000</v>
          </cell>
          <cell r="D826" t="str">
            <v>1</v>
          </cell>
          <cell r="E826" t="str">
            <v>306</v>
          </cell>
          <cell r="F826" t="str">
            <v>N000</v>
          </cell>
          <cell r="G826" t="str">
            <v>412</v>
          </cell>
          <cell r="H826" t="str">
            <v>1103</v>
          </cell>
          <cell r="I826" t="str">
            <v>CFMS06</v>
          </cell>
          <cell r="J826" t="str">
            <v>MS06</v>
          </cell>
          <cell r="K826" t="str">
            <v>1</v>
          </cell>
          <cell r="L826">
            <v>1</v>
          </cell>
          <cell r="M826">
            <v>0</v>
          </cell>
          <cell r="N826">
            <v>4801.8999999999996</v>
          </cell>
          <cell r="O826" t="str">
            <v>M</v>
          </cell>
          <cell r="P826" t="str">
            <v>00000000</v>
          </cell>
          <cell r="Q826">
            <v>21723.85</v>
          </cell>
          <cell r="R826">
            <v>693.61</v>
          </cell>
          <cell r="S826">
            <v>133.38999999999999</v>
          </cell>
          <cell r="T826">
            <v>612.24</v>
          </cell>
          <cell r="U826">
            <v>240.09</v>
          </cell>
          <cell r="V826">
            <v>477.46</v>
          </cell>
          <cell r="W826">
            <v>96.04</v>
          </cell>
          <cell r="X826">
            <v>55</v>
          </cell>
          <cell r="Y826">
            <v>1326.29</v>
          </cell>
          <cell r="Z826">
            <v>549.70000000000005</v>
          </cell>
          <cell r="AA826">
            <v>77</v>
          </cell>
          <cell r="AB826">
            <v>0</v>
          </cell>
          <cell r="AC826">
            <v>0</v>
          </cell>
          <cell r="AD826">
            <v>13.49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Y826">
            <v>369600.72</v>
          </cell>
        </row>
        <row r="827">
          <cell r="A827">
            <v>2</v>
          </cell>
          <cell r="B827" t="str">
            <v>12</v>
          </cell>
          <cell r="C827" t="str">
            <v>000</v>
          </cell>
          <cell r="D827" t="str">
            <v>1</v>
          </cell>
          <cell r="E827" t="str">
            <v>306</v>
          </cell>
          <cell r="F827" t="str">
            <v>N000</v>
          </cell>
          <cell r="G827" t="str">
            <v>412</v>
          </cell>
          <cell r="H827" t="str">
            <v>1103</v>
          </cell>
          <cell r="I827" t="str">
            <v>CFMS08</v>
          </cell>
          <cell r="J827" t="str">
            <v>MS08</v>
          </cell>
          <cell r="K827" t="str">
            <v>1</v>
          </cell>
          <cell r="L827">
            <v>9</v>
          </cell>
          <cell r="M827">
            <v>0</v>
          </cell>
          <cell r="N827">
            <v>4801.8999999999996</v>
          </cell>
          <cell r="O827" t="str">
            <v>M</v>
          </cell>
          <cell r="P827" t="str">
            <v>00000000</v>
          </cell>
          <cell r="Q827">
            <v>18269.849999999999</v>
          </cell>
          <cell r="R827">
            <v>693.61</v>
          </cell>
          <cell r="S827">
            <v>133.38999999999999</v>
          </cell>
          <cell r="T827">
            <v>612.24</v>
          </cell>
          <cell r="U827">
            <v>240.09</v>
          </cell>
          <cell r="V827">
            <v>415.29</v>
          </cell>
          <cell r="W827">
            <v>96.04</v>
          </cell>
          <cell r="X827">
            <v>25.44</v>
          </cell>
          <cell r="Y827">
            <v>1153.5899999999999</v>
          </cell>
          <cell r="Z827">
            <v>480.02</v>
          </cell>
          <cell r="AA827">
            <v>77</v>
          </cell>
          <cell r="AB827">
            <v>0</v>
          </cell>
          <cell r="AC827">
            <v>0</v>
          </cell>
          <cell r="AD827">
            <v>13.49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Y827">
            <v>2917290.6</v>
          </cell>
        </row>
        <row r="828">
          <cell r="A828">
            <v>2</v>
          </cell>
          <cell r="B828" t="str">
            <v>12</v>
          </cell>
          <cell r="C828" t="str">
            <v>000</v>
          </cell>
          <cell r="D828" t="str">
            <v>1</v>
          </cell>
          <cell r="E828" t="str">
            <v>306</v>
          </cell>
          <cell r="F828" t="str">
            <v>N000</v>
          </cell>
          <cell r="G828" t="str">
            <v>412</v>
          </cell>
          <cell r="H828" t="str">
            <v>1103</v>
          </cell>
          <cell r="I828" t="str">
            <v>CFMS08</v>
          </cell>
          <cell r="J828" t="str">
            <v>MS08</v>
          </cell>
          <cell r="K828" t="str">
            <v>1</v>
          </cell>
          <cell r="L828">
            <v>1</v>
          </cell>
          <cell r="M828">
            <v>0</v>
          </cell>
          <cell r="N828">
            <v>4801.8999999999996</v>
          </cell>
          <cell r="O828" t="str">
            <v>M</v>
          </cell>
          <cell r="P828" t="str">
            <v>00000000</v>
          </cell>
          <cell r="Q828">
            <v>18269.849999999999</v>
          </cell>
          <cell r="R828">
            <v>693.61</v>
          </cell>
          <cell r="S828">
            <v>133.38999999999999</v>
          </cell>
          <cell r="T828">
            <v>612.24</v>
          </cell>
          <cell r="U828">
            <v>240.09</v>
          </cell>
          <cell r="V828">
            <v>415.29</v>
          </cell>
          <cell r="W828">
            <v>96.04</v>
          </cell>
          <cell r="X828">
            <v>0</v>
          </cell>
          <cell r="Y828">
            <v>1153.5899999999999</v>
          </cell>
          <cell r="Z828">
            <v>479.51</v>
          </cell>
          <cell r="AA828">
            <v>77</v>
          </cell>
          <cell r="AB828">
            <v>0</v>
          </cell>
          <cell r="AC828">
            <v>0</v>
          </cell>
          <cell r="AD828">
            <v>13.49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Y828">
            <v>323832</v>
          </cell>
        </row>
        <row r="829">
          <cell r="A829">
            <v>2</v>
          </cell>
          <cell r="B829" t="str">
            <v>12</v>
          </cell>
          <cell r="C829" t="str">
            <v>000</v>
          </cell>
          <cell r="D829" t="str">
            <v>1</v>
          </cell>
          <cell r="E829" t="str">
            <v>306</v>
          </cell>
          <cell r="F829" t="str">
            <v>N000</v>
          </cell>
          <cell r="G829" t="str">
            <v>412</v>
          </cell>
          <cell r="H829" t="str">
            <v>1103</v>
          </cell>
          <cell r="I829" t="str">
            <v>M01006</v>
          </cell>
          <cell r="K829" t="str">
            <v>2</v>
          </cell>
          <cell r="L829">
            <v>14</v>
          </cell>
          <cell r="M829">
            <v>0</v>
          </cell>
          <cell r="N829">
            <v>5300</v>
          </cell>
          <cell r="O829" t="str">
            <v>M</v>
          </cell>
          <cell r="P829" t="str">
            <v>00000000</v>
          </cell>
          <cell r="Q829">
            <v>0</v>
          </cell>
          <cell r="R829">
            <v>765.56</v>
          </cell>
          <cell r="S829">
            <v>147.22</v>
          </cell>
          <cell r="T829">
            <v>675.75</v>
          </cell>
          <cell r="U829">
            <v>265</v>
          </cell>
          <cell r="V829">
            <v>95.4</v>
          </cell>
          <cell r="W829">
            <v>106</v>
          </cell>
          <cell r="X829">
            <v>43.71</v>
          </cell>
          <cell r="Y829">
            <v>0</v>
          </cell>
          <cell r="Z829">
            <v>238.8</v>
          </cell>
          <cell r="AA829">
            <v>77</v>
          </cell>
          <cell r="AB829">
            <v>96</v>
          </cell>
          <cell r="AC829">
            <v>80</v>
          </cell>
          <cell r="AD829">
            <v>13.49</v>
          </cell>
          <cell r="AE829">
            <v>4.42</v>
          </cell>
          <cell r="AF829">
            <v>0</v>
          </cell>
          <cell r="AG829">
            <v>0</v>
          </cell>
          <cell r="AH829">
            <v>2426</v>
          </cell>
          <cell r="AI829">
            <v>0</v>
          </cell>
          <cell r="AJ829">
            <v>3000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Y829">
            <v>2240170.7999999998</v>
          </cell>
        </row>
        <row r="830">
          <cell r="A830">
            <v>2</v>
          </cell>
          <cell r="B830" t="str">
            <v>12</v>
          </cell>
          <cell r="C830" t="str">
            <v>000</v>
          </cell>
          <cell r="D830" t="str">
            <v>1</v>
          </cell>
          <cell r="E830" t="str">
            <v>306</v>
          </cell>
          <cell r="F830" t="str">
            <v>N000</v>
          </cell>
          <cell r="G830" t="str">
            <v>412</v>
          </cell>
          <cell r="H830" t="str">
            <v>1103</v>
          </cell>
          <cell r="I830" t="str">
            <v>M02001</v>
          </cell>
          <cell r="K830" t="str">
            <v>2</v>
          </cell>
          <cell r="L830">
            <v>14</v>
          </cell>
          <cell r="M830">
            <v>0</v>
          </cell>
          <cell r="N830">
            <v>5000</v>
          </cell>
          <cell r="O830" t="str">
            <v>M</v>
          </cell>
          <cell r="P830" t="str">
            <v>00000000</v>
          </cell>
          <cell r="Q830">
            <v>0</v>
          </cell>
          <cell r="R830">
            <v>722.22</v>
          </cell>
          <cell r="S830">
            <v>138.88999999999999</v>
          </cell>
          <cell r="T830">
            <v>637.5</v>
          </cell>
          <cell r="U830">
            <v>250</v>
          </cell>
          <cell r="V830">
            <v>90</v>
          </cell>
          <cell r="W830">
            <v>100</v>
          </cell>
          <cell r="X830">
            <v>34.57</v>
          </cell>
          <cell r="Y830">
            <v>0</v>
          </cell>
          <cell r="Z830">
            <v>175.06</v>
          </cell>
          <cell r="AA830">
            <v>77</v>
          </cell>
          <cell r="AB830">
            <v>96</v>
          </cell>
          <cell r="AC830">
            <v>80</v>
          </cell>
          <cell r="AD830">
            <v>13.49</v>
          </cell>
          <cell r="AE830">
            <v>4.17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2600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Y830">
            <v>1683175.2</v>
          </cell>
        </row>
        <row r="831">
          <cell r="A831">
            <v>2</v>
          </cell>
          <cell r="B831" t="str">
            <v>12</v>
          </cell>
          <cell r="C831" t="str">
            <v>000</v>
          </cell>
          <cell r="D831" t="str">
            <v>1</v>
          </cell>
          <cell r="E831" t="str">
            <v>306</v>
          </cell>
          <cell r="F831" t="str">
            <v>N000</v>
          </cell>
          <cell r="G831" t="str">
            <v>412</v>
          </cell>
          <cell r="H831" t="str">
            <v>1103</v>
          </cell>
          <cell r="I831" t="str">
            <v>M02001</v>
          </cell>
          <cell r="K831" t="str">
            <v>3</v>
          </cell>
          <cell r="L831">
            <v>2</v>
          </cell>
          <cell r="M831">
            <v>0</v>
          </cell>
          <cell r="N831">
            <v>5442</v>
          </cell>
          <cell r="O831" t="str">
            <v>M</v>
          </cell>
          <cell r="P831" t="str">
            <v>00000000</v>
          </cell>
          <cell r="Q831">
            <v>0</v>
          </cell>
          <cell r="R831">
            <v>786.07</v>
          </cell>
          <cell r="S831">
            <v>151.16999999999999</v>
          </cell>
          <cell r="T831">
            <v>693.86</v>
          </cell>
          <cell r="U831">
            <v>272.10000000000002</v>
          </cell>
          <cell r="V831">
            <v>97.96</v>
          </cell>
          <cell r="W831">
            <v>108.84</v>
          </cell>
          <cell r="X831">
            <v>0</v>
          </cell>
          <cell r="Y831">
            <v>0</v>
          </cell>
          <cell r="Z831">
            <v>190.2</v>
          </cell>
          <cell r="AA831">
            <v>77</v>
          </cell>
          <cell r="AB831">
            <v>96</v>
          </cell>
          <cell r="AC831">
            <v>80</v>
          </cell>
          <cell r="AD831">
            <v>13.49</v>
          </cell>
          <cell r="AE831">
            <v>4.54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2873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Y831">
            <v>261269.52</v>
          </cell>
        </row>
        <row r="832">
          <cell r="A832">
            <v>2</v>
          </cell>
          <cell r="B832" t="str">
            <v>12</v>
          </cell>
          <cell r="C832" t="str">
            <v>000</v>
          </cell>
          <cell r="D832" t="str">
            <v>1</v>
          </cell>
          <cell r="E832" t="str">
            <v>306</v>
          </cell>
          <cell r="F832" t="str">
            <v>N000</v>
          </cell>
          <cell r="G832" t="str">
            <v>412</v>
          </cell>
          <cell r="H832" t="str">
            <v>1103</v>
          </cell>
          <cell r="I832" t="str">
            <v>M02002</v>
          </cell>
          <cell r="K832" t="str">
            <v>2</v>
          </cell>
          <cell r="L832">
            <v>4</v>
          </cell>
          <cell r="M832">
            <v>0</v>
          </cell>
          <cell r="N832">
            <v>5000</v>
          </cell>
          <cell r="O832" t="str">
            <v>M</v>
          </cell>
          <cell r="P832" t="str">
            <v>00000000</v>
          </cell>
          <cell r="Q832">
            <v>0</v>
          </cell>
          <cell r="R832">
            <v>722.22</v>
          </cell>
          <cell r="S832">
            <v>138.88999999999999</v>
          </cell>
          <cell r="T832">
            <v>637.5</v>
          </cell>
          <cell r="U832">
            <v>250</v>
          </cell>
          <cell r="V832">
            <v>90</v>
          </cell>
          <cell r="W832">
            <v>100</v>
          </cell>
          <cell r="X832">
            <v>50.25</v>
          </cell>
          <cell r="Y832">
            <v>0</v>
          </cell>
          <cell r="Z832">
            <v>175.37</v>
          </cell>
          <cell r="AA832">
            <v>77</v>
          </cell>
          <cell r="AB832">
            <v>96</v>
          </cell>
          <cell r="AC832">
            <v>80</v>
          </cell>
          <cell r="AD832">
            <v>13.49</v>
          </cell>
          <cell r="AE832">
            <v>4.17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2600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Y832">
            <v>481674.72</v>
          </cell>
        </row>
        <row r="833">
          <cell r="A833">
            <v>2</v>
          </cell>
          <cell r="B833" t="str">
            <v>12</v>
          </cell>
          <cell r="C833" t="str">
            <v>000</v>
          </cell>
          <cell r="D833" t="str">
            <v>1</v>
          </cell>
          <cell r="E833" t="str">
            <v>306</v>
          </cell>
          <cell r="F833" t="str">
            <v>N000</v>
          </cell>
          <cell r="G833" t="str">
            <v>412</v>
          </cell>
          <cell r="H833" t="str">
            <v>1103</v>
          </cell>
          <cell r="I833" t="str">
            <v>M02003</v>
          </cell>
          <cell r="K833" t="str">
            <v>3</v>
          </cell>
          <cell r="L833">
            <v>1</v>
          </cell>
          <cell r="M833">
            <v>0</v>
          </cell>
          <cell r="N833">
            <v>3332</v>
          </cell>
          <cell r="O833" t="str">
            <v>M</v>
          </cell>
          <cell r="P833" t="str">
            <v>00000000</v>
          </cell>
          <cell r="Q833">
            <v>0</v>
          </cell>
          <cell r="R833">
            <v>481.29</v>
          </cell>
          <cell r="S833">
            <v>92.56</v>
          </cell>
          <cell r="T833">
            <v>424.83</v>
          </cell>
          <cell r="U833">
            <v>166.6</v>
          </cell>
          <cell r="V833">
            <v>59.98</v>
          </cell>
          <cell r="W833">
            <v>66.64</v>
          </cell>
          <cell r="X833">
            <v>0</v>
          </cell>
          <cell r="Y833">
            <v>0</v>
          </cell>
          <cell r="Z833">
            <v>115.57</v>
          </cell>
          <cell r="AA833">
            <v>77</v>
          </cell>
          <cell r="AB833">
            <v>96</v>
          </cell>
          <cell r="AC833">
            <v>80</v>
          </cell>
          <cell r="AD833">
            <v>13.49</v>
          </cell>
          <cell r="AE833">
            <v>2.78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1617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Y833">
            <v>79508.88</v>
          </cell>
        </row>
        <row r="834">
          <cell r="A834">
            <v>2</v>
          </cell>
          <cell r="B834" t="str">
            <v>12</v>
          </cell>
          <cell r="C834" t="str">
            <v>000</v>
          </cell>
          <cell r="D834" t="str">
            <v>1</v>
          </cell>
          <cell r="E834" t="str">
            <v>306</v>
          </cell>
          <cell r="F834" t="str">
            <v>N000</v>
          </cell>
          <cell r="G834" t="str">
            <v>412</v>
          </cell>
          <cell r="H834" t="str">
            <v>1103</v>
          </cell>
          <cell r="I834" t="str">
            <v>M02035</v>
          </cell>
          <cell r="K834" t="str">
            <v>2</v>
          </cell>
          <cell r="L834">
            <v>2</v>
          </cell>
          <cell r="M834">
            <v>0</v>
          </cell>
          <cell r="N834">
            <v>3388</v>
          </cell>
          <cell r="O834" t="str">
            <v>M</v>
          </cell>
          <cell r="P834" t="str">
            <v>00000000</v>
          </cell>
          <cell r="Q834">
            <v>0</v>
          </cell>
          <cell r="R834">
            <v>489.38</v>
          </cell>
          <cell r="S834">
            <v>94.11</v>
          </cell>
          <cell r="T834">
            <v>431.97</v>
          </cell>
          <cell r="U834">
            <v>169.4</v>
          </cell>
          <cell r="V834">
            <v>60.98</v>
          </cell>
          <cell r="W834">
            <v>67.760000000000005</v>
          </cell>
          <cell r="X834">
            <v>23</v>
          </cell>
          <cell r="Y834">
            <v>0</v>
          </cell>
          <cell r="Z834">
            <v>136.88999999999999</v>
          </cell>
          <cell r="AA834">
            <v>77</v>
          </cell>
          <cell r="AB834">
            <v>96</v>
          </cell>
          <cell r="AC834">
            <v>80</v>
          </cell>
          <cell r="AD834">
            <v>13.49</v>
          </cell>
          <cell r="AE834">
            <v>2.82</v>
          </cell>
          <cell r="AF834">
            <v>0</v>
          </cell>
          <cell r="AG834">
            <v>0</v>
          </cell>
          <cell r="AH834">
            <v>734</v>
          </cell>
          <cell r="AI834">
            <v>0</v>
          </cell>
          <cell r="AJ834">
            <v>1860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Y834">
            <v>185395.20000000001</v>
          </cell>
        </row>
        <row r="835">
          <cell r="A835">
            <v>2</v>
          </cell>
          <cell r="B835" t="str">
            <v>12</v>
          </cell>
          <cell r="C835" t="str">
            <v>000</v>
          </cell>
          <cell r="D835" t="str">
            <v>1</v>
          </cell>
          <cell r="E835" t="str">
            <v>306</v>
          </cell>
          <cell r="F835" t="str">
            <v>N000</v>
          </cell>
          <cell r="G835" t="str">
            <v>412</v>
          </cell>
          <cell r="H835" t="str">
            <v>1103</v>
          </cell>
          <cell r="I835" t="str">
            <v>M02036</v>
          </cell>
          <cell r="K835" t="str">
            <v>2</v>
          </cell>
          <cell r="L835">
            <v>4</v>
          </cell>
          <cell r="M835">
            <v>0</v>
          </cell>
          <cell r="N835">
            <v>2838</v>
          </cell>
          <cell r="O835" t="str">
            <v>M</v>
          </cell>
          <cell r="P835" t="str">
            <v>00000000</v>
          </cell>
          <cell r="Q835">
            <v>0</v>
          </cell>
          <cell r="R835">
            <v>409.93</v>
          </cell>
          <cell r="S835">
            <v>78.83</v>
          </cell>
          <cell r="T835">
            <v>361.85</v>
          </cell>
          <cell r="U835">
            <v>141.9</v>
          </cell>
          <cell r="V835">
            <v>51.08</v>
          </cell>
          <cell r="W835">
            <v>56.76</v>
          </cell>
          <cell r="X835">
            <v>0</v>
          </cell>
          <cell r="Y835">
            <v>0</v>
          </cell>
          <cell r="Z835">
            <v>115.64</v>
          </cell>
          <cell r="AA835">
            <v>77</v>
          </cell>
          <cell r="AB835">
            <v>96</v>
          </cell>
          <cell r="AC835">
            <v>80</v>
          </cell>
          <cell r="AD835">
            <v>13.49</v>
          </cell>
          <cell r="AE835">
            <v>2.36</v>
          </cell>
          <cell r="AF835">
            <v>0</v>
          </cell>
          <cell r="AG835">
            <v>0</v>
          </cell>
          <cell r="AH835">
            <v>634</v>
          </cell>
          <cell r="AI835">
            <v>0</v>
          </cell>
          <cell r="AJ835">
            <v>1566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Y835">
            <v>313096.32000000001</v>
          </cell>
        </row>
        <row r="836">
          <cell r="A836">
            <v>2</v>
          </cell>
          <cell r="B836" t="str">
            <v>12</v>
          </cell>
          <cell r="C836" t="str">
            <v>000</v>
          </cell>
          <cell r="D836" t="str">
            <v>1</v>
          </cell>
          <cell r="E836" t="str">
            <v>306</v>
          </cell>
          <cell r="F836" t="str">
            <v>N000</v>
          </cell>
          <cell r="G836" t="str">
            <v>412</v>
          </cell>
          <cell r="H836" t="str">
            <v>1103</v>
          </cell>
          <cell r="I836" t="str">
            <v>M02040</v>
          </cell>
          <cell r="K836" t="str">
            <v>2</v>
          </cell>
          <cell r="L836">
            <v>2</v>
          </cell>
          <cell r="M836">
            <v>0</v>
          </cell>
          <cell r="N836">
            <v>3314</v>
          </cell>
          <cell r="O836" t="str">
            <v>M</v>
          </cell>
          <cell r="P836" t="str">
            <v>00000000</v>
          </cell>
          <cell r="Q836">
            <v>0</v>
          </cell>
          <cell r="R836">
            <v>478.69</v>
          </cell>
          <cell r="S836">
            <v>92.06</v>
          </cell>
          <cell r="T836">
            <v>422.54</v>
          </cell>
          <cell r="U836">
            <v>165.7</v>
          </cell>
          <cell r="V836">
            <v>59.65</v>
          </cell>
          <cell r="W836">
            <v>66.28</v>
          </cell>
          <cell r="X836">
            <v>46</v>
          </cell>
          <cell r="Y836">
            <v>0</v>
          </cell>
          <cell r="Z836">
            <v>118.69</v>
          </cell>
          <cell r="AA836">
            <v>77</v>
          </cell>
          <cell r="AB836">
            <v>96</v>
          </cell>
          <cell r="AC836">
            <v>80</v>
          </cell>
          <cell r="AD836">
            <v>13.49</v>
          </cell>
          <cell r="AE836">
            <v>2.76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1748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Y836">
            <v>162740.64000000001</v>
          </cell>
        </row>
        <row r="837">
          <cell r="A837">
            <v>2</v>
          </cell>
          <cell r="B837" t="str">
            <v>12</v>
          </cell>
          <cell r="C837" t="str">
            <v>000</v>
          </cell>
          <cell r="D837" t="str">
            <v>1</v>
          </cell>
          <cell r="E837" t="str">
            <v>306</v>
          </cell>
          <cell r="F837" t="str">
            <v>N000</v>
          </cell>
          <cell r="G837" t="str">
            <v>412</v>
          </cell>
          <cell r="H837" t="str">
            <v>1103</v>
          </cell>
          <cell r="I837" t="str">
            <v>M02089</v>
          </cell>
          <cell r="K837" t="str">
            <v>2</v>
          </cell>
          <cell r="L837">
            <v>2</v>
          </cell>
          <cell r="M837">
            <v>0</v>
          </cell>
          <cell r="N837">
            <v>5500</v>
          </cell>
          <cell r="O837" t="str">
            <v>M</v>
          </cell>
          <cell r="P837" t="str">
            <v>00000000</v>
          </cell>
          <cell r="Q837">
            <v>0</v>
          </cell>
          <cell r="R837">
            <v>794.44</v>
          </cell>
          <cell r="S837">
            <v>152.78</v>
          </cell>
          <cell r="T837">
            <v>701.25</v>
          </cell>
          <cell r="U837">
            <v>275</v>
          </cell>
          <cell r="V837">
            <v>99</v>
          </cell>
          <cell r="W837">
            <v>110</v>
          </cell>
          <cell r="X837">
            <v>122.5</v>
          </cell>
          <cell r="Y837">
            <v>0</v>
          </cell>
          <cell r="Z837">
            <v>194.15</v>
          </cell>
          <cell r="AA837">
            <v>77</v>
          </cell>
          <cell r="AB837">
            <v>96</v>
          </cell>
          <cell r="AC837">
            <v>80</v>
          </cell>
          <cell r="AD837">
            <v>13.49</v>
          </cell>
          <cell r="AE837">
            <v>4.58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2880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Y837">
            <v>266404.56</v>
          </cell>
        </row>
        <row r="838">
          <cell r="A838">
            <v>2</v>
          </cell>
          <cell r="B838" t="str">
            <v>12</v>
          </cell>
          <cell r="C838" t="str">
            <v>000</v>
          </cell>
          <cell r="D838" t="str">
            <v>1</v>
          </cell>
          <cell r="E838" t="str">
            <v>306</v>
          </cell>
          <cell r="F838" t="str">
            <v>N000</v>
          </cell>
          <cell r="G838" t="str">
            <v>412</v>
          </cell>
          <cell r="H838" t="str">
            <v>1103</v>
          </cell>
          <cell r="I838" t="str">
            <v>M03002</v>
          </cell>
          <cell r="K838" t="str">
            <v>2</v>
          </cell>
          <cell r="L838">
            <v>1</v>
          </cell>
          <cell r="M838">
            <v>0</v>
          </cell>
          <cell r="N838">
            <v>5000</v>
          </cell>
          <cell r="O838" t="str">
            <v>M</v>
          </cell>
          <cell r="P838" t="str">
            <v>00000000</v>
          </cell>
          <cell r="Q838">
            <v>0</v>
          </cell>
          <cell r="R838">
            <v>722.22</v>
          </cell>
          <cell r="S838">
            <v>138.88999999999999</v>
          </cell>
          <cell r="T838">
            <v>637.5</v>
          </cell>
          <cell r="U838">
            <v>250</v>
          </cell>
          <cell r="V838">
            <v>90</v>
          </cell>
          <cell r="W838">
            <v>100</v>
          </cell>
          <cell r="X838">
            <v>46</v>
          </cell>
          <cell r="Y838">
            <v>0</v>
          </cell>
          <cell r="Z838">
            <v>175.29</v>
          </cell>
          <cell r="AA838">
            <v>77</v>
          </cell>
          <cell r="AB838">
            <v>96</v>
          </cell>
          <cell r="AC838">
            <v>80</v>
          </cell>
          <cell r="AD838">
            <v>13.49</v>
          </cell>
          <cell r="AE838">
            <v>4.17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2600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Y838">
            <v>120366.72</v>
          </cell>
        </row>
        <row r="839">
          <cell r="A839">
            <v>2</v>
          </cell>
          <cell r="B839" t="str">
            <v>12</v>
          </cell>
          <cell r="C839" t="str">
            <v>000</v>
          </cell>
          <cell r="D839" t="str">
            <v>1</v>
          </cell>
          <cell r="E839" t="str">
            <v>306</v>
          </cell>
          <cell r="F839" t="str">
            <v>N000</v>
          </cell>
          <cell r="G839" t="str">
            <v>412</v>
          </cell>
          <cell r="H839" t="str">
            <v>1103</v>
          </cell>
          <cell r="I839" t="str">
            <v>S01803</v>
          </cell>
          <cell r="J839" t="str">
            <v>19</v>
          </cell>
          <cell r="K839" t="str">
            <v>2</v>
          </cell>
          <cell r="L839">
            <v>2</v>
          </cell>
          <cell r="M839">
            <v>0</v>
          </cell>
          <cell r="N839">
            <v>2120.3000000000002</v>
          </cell>
          <cell r="O839" t="str">
            <v>M</v>
          </cell>
          <cell r="P839" t="str">
            <v>00000000</v>
          </cell>
          <cell r="Q839">
            <v>0</v>
          </cell>
          <cell r="R839">
            <v>306.27</v>
          </cell>
          <cell r="S839">
            <v>58.9</v>
          </cell>
          <cell r="T839">
            <v>270.33999999999997</v>
          </cell>
          <cell r="U839">
            <v>106.02</v>
          </cell>
          <cell r="V839">
            <v>38.17</v>
          </cell>
          <cell r="W839">
            <v>42.41</v>
          </cell>
          <cell r="X839">
            <v>0</v>
          </cell>
          <cell r="Y839">
            <v>0</v>
          </cell>
          <cell r="Z839">
            <v>54.77</v>
          </cell>
          <cell r="AA839">
            <v>77</v>
          </cell>
          <cell r="AB839">
            <v>96</v>
          </cell>
          <cell r="AC839">
            <v>80</v>
          </cell>
          <cell r="AD839">
            <v>13.49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Y839">
            <v>78328.08</v>
          </cell>
        </row>
        <row r="840">
          <cell r="A840">
            <v>2</v>
          </cell>
          <cell r="B840" t="str">
            <v>12</v>
          </cell>
          <cell r="C840" t="str">
            <v>000</v>
          </cell>
          <cell r="D840" t="str">
            <v>1</v>
          </cell>
          <cell r="E840" t="str">
            <v>306</v>
          </cell>
          <cell r="F840" t="str">
            <v>N000</v>
          </cell>
          <cell r="G840" t="str">
            <v>412</v>
          </cell>
          <cell r="H840" t="str">
            <v>1103</v>
          </cell>
          <cell r="I840" t="str">
            <v>S01811</v>
          </cell>
          <cell r="J840" t="str">
            <v>25</v>
          </cell>
          <cell r="K840" t="str">
            <v>2</v>
          </cell>
          <cell r="L840">
            <v>1</v>
          </cell>
          <cell r="M840">
            <v>0</v>
          </cell>
          <cell r="N840">
            <v>2572.4</v>
          </cell>
          <cell r="O840" t="str">
            <v>M</v>
          </cell>
          <cell r="P840" t="str">
            <v>00000000</v>
          </cell>
          <cell r="Q840">
            <v>0</v>
          </cell>
          <cell r="R840">
            <v>371.57</v>
          </cell>
          <cell r="S840">
            <v>71.459999999999994</v>
          </cell>
          <cell r="T840">
            <v>327.98</v>
          </cell>
          <cell r="U840">
            <v>128.62</v>
          </cell>
          <cell r="V840">
            <v>46.3</v>
          </cell>
          <cell r="W840">
            <v>51.45</v>
          </cell>
          <cell r="X840">
            <v>0</v>
          </cell>
          <cell r="Y840">
            <v>0</v>
          </cell>
          <cell r="Z840">
            <v>65.37</v>
          </cell>
          <cell r="AA840">
            <v>77</v>
          </cell>
          <cell r="AB840">
            <v>96</v>
          </cell>
          <cell r="AC840">
            <v>80</v>
          </cell>
          <cell r="AD840">
            <v>13.49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Y840">
            <v>46819.68</v>
          </cell>
        </row>
        <row r="841">
          <cell r="A841">
            <v>2</v>
          </cell>
          <cell r="B841" t="str">
            <v>12</v>
          </cell>
          <cell r="C841" t="str">
            <v>000</v>
          </cell>
          <cell r="D841" t="str">
            <v>1</v>
          </cell>
          <cell r="E841" t="str">
            <v>306</v>
          </cell>
          <cell r="F841" t="str">
            <v>N000</v>
          </cell>
          <cell r="G841" t="str">
            <v>412</v>
          </cell>
          <cell r="H841" t="str">
            <v>1103</v>
          </cell>
          <cell r="I841" t="str">
            <v>S01811</v>
          </cell>
          <cell r="J841" t="str">
            <v>25</v>
          </cell>
          <cell r="K841" t="str">
            <v>3</v>
          </cell>
          <cell r="L841">
            <v>2</v>
          </cell>
          <cell r="M841">
            <v>0</v>
          </cell>
          <cell r="N841">
            <v>2916.25</v>
          </cell>
          <cell r="O841" t="str">
            <v>M</v>
          </cell>
          <cell r="P841" t="str">
            <v>00000000</v>
          </cell>
          <cell r="Q841">
            <v>0</v>
          </cell>
          <cell r="R841">
            <v>421.24</v>
          </cell>
          <cell r="S841">
            <v>81.010000000000005</v>
          </cell>
          <cell r="T841">
            <v>371.82</v>
          </cell>
          <cell r="U841">
            <v>145.81</v>
          </cell>
          <cell r="V841">
            <v>52.49</v>
          </cell>
          <cell r="W841">
            <v>58.33</v>
          </cell>
          <cell r="X841">
            <v>0</v>
          </cell>
          <cell r="Y841">
            <v>0</v>
          </cell>
          <cell r="Z841">
            <v>73.430000000000007</v>
          </cell>
          <cell r="AA841">
            <v>77</v>
          </cell>
          <cell r="AB841">
            <v>96</v>
          </cell>
          <cell r="AC841">
            <v>80</v>
          </cell>
          <cell r="AD841">
            <v>13.49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Y841">
            <v>105284.88</v>
          </cell>
        </row>
        <row r="842">
          <cell r="A842">
            <v>2</v>
          </cell>
          <cell r="B842" t="str">
            <v>12</v>
          </cell>
          <cell r="C842" t="str">
            <v>000</v>
          </cell>
          <cell r="D842" t="str">
            <v>1</v>
          </cell>
          <cell r="E842" t="str">
            <v>306</v>
          </cell>
          <cell r="F842" t="str">
            <v>N000</v>
          </cell>
          <cell r="G842" t="str">
            <v>412</v>
          </cell>
          <cell r="H842" t="str">
            <v>1103</v>
          </cell>
          <cell r="I842" t="str">
            <v>S03810</v>
          </cell>
          <cell r="J842" t="str">
            <v>22</v>
          </cell>
          <cell r="K842" t="str">
            <v>2</v>
          </cell>
          <cell r="L842">
            <v>3</v>
          </cell>
          <cell r="M842">
            <v>0</v>
          </cell>
          <cell r="N842">
            <v>2342.3000000000002</v>
          </cell>
          <cell r="O842" t="str">
            <v>M</v>
          </cell>
          <cell r="P842" t="str">
            <v>00000000</v>
          </cell>
          <cell r="Q842">
            <v>0</v>
          </cell>
          <cell r="R842">
            <v>338.33</v>
          </cell>
          <cell r="S842">
            <v>65.06</v>
          </cell>
          <cell r="T842">
            <v>298.64</v>
          </cell>
          <cell r="U842">
            <v>117.12</v>
          </cell>
          <cell r="V842">
            <v>42.16</v>
          </cell>
          <cell r="W842">
            <v>46.85</v>
          </cell>
          <cell r="X842">
            <v>0</v>
          </cell>
          <cell r="Y842">
            <v>0</v>
          </cell>
          <cell r="Z842">
            <v>59.97</v>
          </cell>
          <cell r="AA842">
            <v>77</v>
          </cell>
          <cell r="AB842">
            <v>96</v>
          </cell>
          <cell r="AC842">
            <v>80</v>
          </cell>
          <cell r="AD842">
            <v>13.49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Y842">
            <v>128769.12</v>
          </cell>
        </row>
        <row r="843">
          <cell r="A843">
            <v>2</v>
          </cell>
          <cell r="B843" t="str">
            <v>12</v>
          </cell>
          <cell r="C843" t="str">
            <v>000</v>
          </cell>
          <cell r="D843" t="str">
            <v>1</v>
          </cell>
          <cell r="E843" t="str">
            <v>306</v>
          </cell>
          <cell r="F843" t="str">
            <v>N000</v>
          </cell>
          <cell r="G843" t="str">
            <v>412</v>
          </cell>
          <cell r="H843" t="str">
            <v>1103</v>
          </cell>
          <cell r="I843" t="str">
            <v>S08802</v>
          </cell>
          <cell r="J843" t="str">
            <v>21</v>
          </cell>
          <cell r="K843" t="str">
            <v>2</v>
          </cell>
          <cell r="L843">
            <v>1</v>
          </cell>
          <cell r="M843">
            <v>0</v>
          </cell>
          <cell r="N843">
            <v>2238.1999999999998</v>
          </cell>
          <cell r="O843" t="str">
            <v>M</v>
          </cell>
          <cell r="P843" t="str">
            <v>00000000</v>
          </cell>
          <cell r="Q843">
            <v>0</v>
          </cell>
          <cell r="R843">
            <v>323.3</v>
          </cell>
          <cell r="S843">
            <v>62.17</v>
          </cell>
          <cell r="T843">
            <v>285.37</v>
          </cell>
          <cell r="U843">
            <v>111.91</v>
          </cell>
          <cell r="V843">
            <v>40.29</v>
          </cell>
          <cell r="W843">
            <v>44.76</v>
          </cell>
          <cell r="X843">
            <v>46</v>
          </cell>
          <cell r="Y843">
            <v>0</v>
          </cell>
          <cell r="Z843">
            <v>58.45</v>
          </cell>
          <cell r="AA843">
            <v>77</v>
          </cell>
          <cell r="AB843">
            <v>96</v>
          </cell>
          <cell r="AC843">
            <v>80</v>
          </cell>
          <cell r="AD843">
            <v>13.49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Y843">
            <v>41723.279999999999</v>
          </cell>
        </row>
        <row r="844">
          <cell r="A844">
            <v>2</v>
          </cell>
          <cell r="B844" t="str">
            <v>12</v>
          </cell>
          <cell r="C844" t="str">
            <v>000</v>
          </cell>
          <cell r="D844" t="str">
            <v>1</v>
          </cell>
          <cell r="E844" t="str">
            <v>306</v>
          </cell>
          <cell r="F844" t="str">
            <v>N000</v>
          </cell>
          <cell r="G844" t="str">
            <v>412</v>
          </cell>
          <cell r="H844" t="str">
            <v>1103</v>
          </cell>
          <cell r="I844" t="str">
            <v>T03803</v>
          </cell>
          <cell r="J844" t="str">
            <v>22</v>
          </cell>
          <cell r="K844" t="str">
            <v>2</v>
          </cell>
          <cell r="L844">
            <v>3</v>
          </cell>
          <cell r="M844">
            <v>0</v>
          </cell>
          <cell r="N844">
            <v>2342.3000000000002</v>
          </cell>
          <cell r="O844" t="str">
            <v>M</v>
          </cell>
          <cell r="P844" t="str">
            <v>00000000</v>
          </cell>
          <cell r="Q844">
            <v>0</v>
          </cell>
          <cell r="R844">
            <v>338.33</v>
          </cell>
          <cell r="S844">
            <v>65.06</v>
          </cell>
          <cell r="T844">
            <v>298.64</v>
          </cell>
          <cell r="U844">
            <v>117.12</v>
          </cell>
          <cell r="V844">
            <v>42.16</v>
          </cell>
          <cell r="W844">
            <v>46.85</v>
          </cell>
          <cell r="X844">
            <v>0</v>
          </cell>
          <cell r="Y844">
            <v>0</v>
          </cell>
          <cell r="Z844">
            <v>59.97</v>
          </cell>
          <cell r="AA844">
            <v>77</v>
          </cell>
          <cell r="AB844">
            <v>96</v>
          </cell>
          <cell r="AC844">
            <v>80</v>
          </cell>
          <cell r="AD844">
            <v>13.49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Y844">
            <v>128769.12</v>
          </cell>
        </row>
        <row r="845">
          <cell r="A845">
            <v>2</v>
          </cell>
          <cell r="B845" t="str">
            <v>12</v>
          </cell>
          <cell r="C845" t="str">
            <v>000</v>
          </cell>
          <cell r="D845" t="str">
            <v>1</v>
          </cell>
          <cell r="E845" t="str">
            <v>306</v>
          </cell>
          <cell r="F845" t="str">
            <v>N000</v>
          </cell>
          <cell r="G845" t="str">
            <v>412</v>
          </cell>
          <cell r="H845" t="str">
            <v>1103</v>
          </cell>
          <cell r="I845" t="str">
            <v>T03804</v>
          </cell>
          <cell r="J845" t="str">
            <v>25</v>
          </cell>
          <cell r="K845" t="str">
            <v>2</v>
          </cell>
          <cell r="L845">
            <v>4</v>
          </cell>
          <cell r="M845">
            <v>0</v>
          </cell>
          <cell r="N845">
            <v>2572.4</v>
          </cell>
          <cell r="O845" t="str">
            <v>M</v>
          </cell>
          <cell r="P845" t="str">
            <v>00000000</v>
          </cell>
          <cell r="Q845">
            <v>0</v>
          </cell>
          <cell r="R845">
            <v>371.57</v>
          </cell>
          <cell r="S845">
            <v>71.459999999999994</v>
          </cell>
          <cell r="T845">
            <v>327.98</v>
          </cell>
          <cell r="U845">
            <v>128.62</v>
          </cell>
          <cell r="V845">
            <v>46.3</v>
          </cell>
          <cell r="W845">
            <v>51.45</v>
          </cell>
          <cell r="X845">
            <v>0</v>
          </cell>
          <cell r="Y845">
            <v>0</v>
          </cell>
          <cell r="Z845">
            <v>65.37</v>
          </cell>
          <cell r="AA845">
            <v>77</v>
          </cell>
          <cell r="AB845">
            <v>96</v>
          </cell>
          <cell r="AC845">
            <v>80</v>
          </cell>
          <cell r="AD845">
            <v>13.49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Y845">
            <v>187278.72</v>
          </cell>
        </row>
        <row r="846">
          <cell r="A846">
            <v>2</v>
          </cell>
          <cell r="B846" t="str">
            <v>12</v>
          </cell>
          <cell r="C846" t="str">
            <v>000</v>
          </cell>
          <cell r="D846" t="str">
            <v>1</v>
          </cell>
          <cell r="E846" t="str">
            <v>306</v>
          </cell>
          <cell r="F846" t="str">
            <v>N000</v>
          </cell>
          <cell r="G846" t="str">
            <v>412</v>
          </cell>
          <cell r="H846" t="str">
            <v>1103</v>
          </cell>
          <cell r="I846" t="str">
            <v>CF01059</v>
          </cell>
          <cell r="J846" t="str">
            <v>28</v>
          </cell>
          <cell r="K846" t="str">
            <v>1</v>
          </cell>
          <cell r="L846">
            <v>9</v>
          </cell>
          <cell r="M846">
            <v>0</v>
          </cell>
          <cell r="N846">
            <v>3631.8</v>
          </cell>
          <cell r="O846" t="str">
            <v>M</v>
          </cell>
          <cell r="P846" t="str">
            <v>00000000</v>
          </cell>
          <cell r="Q846">
            <v>8731.1</v>
          </cell>
          <cell r="R846">
            <v>524.59</v>
          </cell>
          <cell r="S846">
            <v>100.88</v>
          </cell>
          <cell r="T846">
            <v>463.05</v>
          </cell>
          <cell r="U846">
            <v>181.59</v>
          </cell>
          <cell r="V846">
            <v>222.53</v>
          </cell>
          <cell r="W846">
            <v>72.64</v>
          </cell>
          <cell r="X846">
            <v>34.56</v>
          </cell>
          <cell r="Y846">
            <v>618.15</v>
          </cell>
          <cell r="Z846">
            <v>262</v>
          </cell>
          <cell r="AA846">
            <v>77</v>
          </cell>
          <cell r="AB846">
            <v>0</v>
          </cell>
          <cell r="AC846">
            <v>0</v>
          </cell>
          <cell r="AD846">
            <v>13.49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Y846">
            <v>1612805.04</v>
          </cell>
        </row>
        <row r="847">
          <cell r="A847">
            <v>2</v>
          </cell>
          <cell r="B847" t="str">
            <v>12</v>
          </cell>
          <cell r="C847" t="str">
            <v>000</v>
          </cell>
          <cell r="D847" t="str">
            <v>1</v>
          </cell>
          <cell r="E847" t="str">
            <v>306</v>
          </cell>
          <cell r="F847" t="str">
            <v>N000</v>
          </cell>
          <cell r="G847" t="str">
            <v>412</v>
          </cell>
          <cell r="H847" t="str">
            <v>1103</v>
          </cell>
          <cell r="I847" t="str">
            <v>CF01059</v>
          </cell>
          <cell r="J847" t="str">
            <v>28</v>
          </cell>
          <cell r="K847" t="str">
            <v>1</v>
          </cell>
          <cell r="L847">
            <v>1</v>
          </cell>
          <cell r="M847">
            <v>0</v>
          </cell>
          <cell r="N847">
            <v>3631.8</v>
          </cell>
          <cell r="O847" t="str">
            <v>M</v>
          </cell>
          <cell r="P847" t="str">
            <v>00000000</v>
          </cell>
          <cell r="Q847">
            <v>8731.1</v>
          </cell>
          <cell r="R847">
            <v>524.59</v>
          </cell>
          <cell r="S847">
            <v>100.88</v>
          </cell>
          <cell r="T847">
            <v>463.05</v>
          </cell>
          <cell r="U847">
            <v>181.59</v>
          </cell>
          <cell r="V847">
            <v>222.53</v>
          </cell>
          <cell r="W847">
            <v>72.64</v>
          </cell>
          <cell r="X847">
            <v>0</v>
          </cell>
          <cell r="Y847">
            <v>618.15</v>
          </cell>
          <cell r="Z847">
            <v>261.31</v>
          </cell>
          <cell r="AA847">
            <v>77</v>
          </cell>
          <cell r="AB847">
            <v>0</v>
          </cell>
          <cell r="AC847">
            <v>0</v>
          </cell>
          <cell r="AD847">
            <v>13.49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Y847">
            <v>178777.56</v>
          </cell>
        </row>
        <row r="848">
          <cell r="A848">
            <v>2</v>
          </cell>
          <cell r="B848" t="str">
            <v>12</v>
          </cell>
          <cell r="C848" t="str">
            <v>000</v>
          </cell>
          <cell r="D848" t="str">
            <v>1</v>
          </cell>
          <cell r="E848" t="str">
            <v>306</v>
          </cell>
          <cell r="F848" t="str">
            <v>N000</v>
          </cell>
          <cell r="G848" t="str">
            <v>412</v>
          </cell>
          <cell r="H848" t="str">
            <v>1103</v>
          </cell>
          <cell r="I848" t="str">
            <v>CF03809</v>
          </cell>
          <cell r="J848" t="str">
            <v>25</v>
          </cell>
          <cell r="K848" t="str">
            <v>2</v>
          </cell>
          <cell r="L848">
            <v>3</v>
          </cell>
          <cell r="M848">
            <v>0</v>
          </cell>
          <cell r="N848">
            <v>2572.4</v>
          </cell>
          <cell r="O848" t="str">
            <v>M</v>
          </cell>
          <cell r="P848" t="str">
            <v>00000000</v>
          </cell>
          <cell r="Q848">
            <v>0</v>
          </cell>
          <cell r="R848">
            <v>371.57</v>
          </cell>
          <cell r="S848">
            <v>71.459999999999994</v>
          </cell>
          <cell r="T848">
            <v>327.98</v>
          </cell>
          <cell r="U848">
            <v>128.62</v>
          </cell>
          <cell r="V848">
            <v>46.3</v>
          </cell>
          <cell r="W848">
            <v>51.45</v>
          </cell>
          <cell r="X848">
            <v>0</v>
          </cell>
          <cell r="Y848">
            <v>0</v>
          </cell>
          <cell r="Z848">
            <v>65.37</v>
          </cell>
          <cell r="AA848">
            <v>77</v>
          </cell>
          <cell r="AB848">
            <v>96</v>
          </cell>
          <cell r="AC848">
            <v>80</v>
          </cell>
          <cell r="AD848">
            <v>13.49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Y848">
            <v>140459.04</v>
          </cell>
        </row>
        <row r="849">
          <cell r="A849">
            <v>2</v>
          </cell>
          <cell r="B849" t="str">
            <v>12</v>
          </cell>
          <cell r="C849" t="str">
            <v>000</v>
          </cell>
          <cell r="D849" t="str">
            <v>1</v>
          </cell>
          <cell r="E849" t="str">
            <v>306</v>
          </cell>
          <cell r="F849" t="str">
            <v>N000</v>
          </cell>
          <cell r="G849" t="str">
            <v>412</v>
          </cell>
          <cell r="H849" t="str">
            <v>1103</v>
          </cell>
          <cell r="I849" t="str">
            <v>CF03820</v>
          </cell>
          <cell r="J849" t="str">
            <v>27Z</v>
          </cell>
          <cell r="K849" t="str">
            <v>2</v>
          </cell>
          <cell r="L849">
            <v>4</v>
          </cell>
          <cell r="M849">
            <v>0</v>
          </cell>
          <cell r="N849">
            <v>2900.25</v>
          </cell>
          <cell r="O849" t="str">
            <v>M</v>
          </cell>
          <cell r="P849" t="str">
            <v>00000000</v>
          </cell>
          <cell r="Q849">
            <v>205.15</v>
          </cell>
          <cell r="R849">
            <v>418.93</v>
          </cell>
          <cell r="S849">
            <v>80.56</v>
          </cell>
          <cell r="T849">
            <v>369.78</v>
          </cell>
          <cell r="U849">
            <v>145.01</v>
          </cell>
          <cell r="V849">
            <v>55.89</v>
          </cell>
          <cell r="W849">
            <v>58.01</v>
          </cell>
          <cell r="X849">
            <v>0</v>
          </cell>
          <cell r="Y849">
            <v>0</v>
          </cell>
          <cell r="Z849">
            <v>77.16</v>
          </cell>
          <cell r="AA849">
            <v>77</v>
          </cell>
          <cell r="AB849">
            <v>96</v>
          </cell>
          <cell r="AC849">
            <v>80</v>
          </cell>
          <cell r="AD849">
            <v>13.49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Y849">
            <v>219707.04</v>
          </cell>
        </row>
        <row r="850">
          <cell r="A850">
            <v>2</v>
          </cell>
          <cell r="B850" t="str">
            <v>12</v>
          </cell>
          <cell r="C850" t="str">
            <v>000</v>
          </cell>
          <cell r="D850" t="str">
            <v>1</v>
          </cell>
          <cell r="E850" t="str">
            <v>306</v>
          </cell>
          <cell r="F850" t="str">
            <v>N000</v>
          </cell>
          <cell r="G850" t="str">
            <v>412</v>
          </cell>
          <cell r="H850" t="str">
            <v>1103</v>
          </cell>
          <cell r="I850" t="str">
            <v>CF04806</v>
          </cell>
          <cell r="J850" t="str">
            <v>26</v>
          </cell>
          <cell r="K850" t="str">
            <v>2</v>
          </cell>
          <cell r="L850">
            <v>10</v>
          </cell>
          <cell r="M850">
            <v>0</v>
          </cell>
          <cell r="N850">
            <v>2692.2</v>
          </cell>
          <cell r="O850" t="str">
            <v>M</v>
          </cell>
          <cell r="P850" t="str">
            <v>00000000</v>
          </cell>
          <cell r="Q850">
            <v>0</v>
          </cell>
          <cell r="R850">
            <v>388.87</v>
          </cell>
          <cell r="S850">
            <v>74.78</v>
          </cell>
          <cell r="T850">
            <v>343.26</v>
          </cell>
          <cell r="U850">
            <v>134.61000000000001</v>
          </cell>
          <cell r="V850">
            <v>48.46</v>
          </cell>
          <cell r="W850">
            <v>53.84</v>
          </cell>
          <cell r="X850">
            <v>24.7</v>
          </cell>
          <cell r="Y850">
            <v>0</v>
          </cell>
          <cell r="Z850">
            <v>68.67</v>
          </cell>
          <cell r="AA850">
            <v>77</v>
          </cell>
          <cell r="AB850">
            <v>96</v>
          </cell>
          <cell r="AC850">
            <v>80</v>
          </cell>
          <cell r="AD850">
            <v>13.49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Y850">
            <v>491505.6</v>
          </cell>
        </row>
        <row r="851">
          <cell r="A851">
            <v>2</v>
          </cell>
          <cell r="B851" t="str">
            <v>12</v>
          </cell>
          <cell r="C851" t="str">
            <v>000</v>
          </cell>
          <cell r="D851" t="str">
            <v>1</v>
          </cell>
          <cell r="E851" t="str">
            <v>306</v>
          </cell>
          <cell r="F851" t="str">
            <v>N000</v>
          </cell>
          <cell r="G851" t="str">
            <v>412</v>
          </cell>
          <cell r="H851" t="str">
            <v>1103</v>
          </cell>
          <cell r="I851" t="str">
            <v>CF04807</v>
          </cell>
          <cell r="J851" t="str">
            <v>27Z</v>
          </cell>
          <cell r="K851" t="str">
            <v>2</v>
          </cell>
          <cell r="L851">
            <v>10</v>
          </cell>
          <cell r="M851">
            <v>0</v>
          </cell>
          <cell r="N851">
            <v>2900.25</v>
          </cell>
          <cell r="O851" t="str">
            <v>M</v>
          </cell>
          <cell r="P851" t="str">
            <v>00000000</v>
          </cell>
          <cell r="Q851">
            <v>205.15</v>
          </cell>
          <cell r="R851">
            <v>418.93</v>
          </cell>
          <cell r="S851">
            <v>80.56</v>
          </cell>
          <cell r="T851">
            <v>369.78</v>
          </cell>
          <cell r="U851">
            <v>145.01</v>
          </cell>
          <cell r="V851">
            <v>55.89</v>
          </cell>
          <cell r="W851">
            <v>58.01</v>
          </cell>
          <cell r="X851">
            <v>37.700000000000003</v>
          </cell>
          <cell r="Y851">
            <v>0</v>
          </cell>
          <cell r="Z851">
            <v>77.91</v>
          </cell>
          <cell r="AA851">
            <v>77</v>
          </cell>
          <cell r="AB851">
            <v>96</v>
          </cell>
          <cell r="AC851">
            <v>80</v>
          </cell>
          <cell r="AD851">
            <v>13.49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Y851">
            <v>553881.59999999998</v>
          </cell>
        </row>
        <row r="852">
          <cell r="A852">
            <v>2</v>
          </cell>
          <cell r="B852" t="str">
            <v>12</v>
          </cell>
          <cell r="C852" t="str">
            <v>000</v>
          </cell>
          <cell r="D852" t="str">
            <v>1</v>
          </cell>
          <cell r="E852" t="str">
            <v>306</v>
          </cell>
          <cell r="F852" t="str">
            <v>N000</v>
          </cell>
          <cell r="G852" t="str">
            <v>412</v>
          </cell>
          <cell r="H852" t="str">
            <v>1103</v>
          </cell>
          <cell r="I852" t="str">
            <v>CF04808</v>
          </cell>
          <cell r="J852" t="str">
            <v>27ZA</v>
          </cell>
          <cell r="K852" t="str">
            <v>2</v>
          </cell>
          <cell r="L852">
            <v>2</v>
          </cell>
          <cell r="M852">
            <v>0</v>
          </cell>
          <cell r="N852">
            <v>2982.9</v>
          </cell>
          <cell r="O852" t="str">
            <v>M</v>
          </cell>
          <cell r="P852" t="str">
            <v>00000000</v>
          </cell>
          <cell r="Q852">
            <v>579.4</v>
          </cell>
          <cell r="R852">
            <v>430.86</v>
          </cell>
          <cell r="S852">
            <v>82.86</v>
          </cell>
          <cell r="T852">
            <v>380.32</v>
          </cell>
          <cell r="U852">
            <v>149.15</v>
          </cell>
          <cell r="V852">
            <v>64.12</v>
          </cell>
          <cell r="W852">
            <v>59.66</v>
          </cell>
          <cell r="X852">
            <v>122.5</v>
          </cell>
          <cell r="Y852">
            <v>0</v>
          </cell>
          <cell r="Z852">
            <v>89.03</v>
          </cell>
          <cell r="AA852">
            <v>77</v>
          </cell>
          <cell r="AB852">
            <v>96</v>
          </cell>
          <cell r="AC852">
            <v>80</v>
          </cell>
          <cell r="AD852">
            <v>13.49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Y852">
            <v>124974.96</v>
          </cell>
        </row>
        <row r="853">
          <cell r="A853">
            <v>2</v>
          </cell>
          <cell r="B853" t="str">
            <v>12</v>
          </cell>
          <cell r="C853" t="str">
            <v>000</v>
          </cell>
          <cell r="D853" t="str">
            <v>1</v>
          </cell>
          <cell r="E853" t="str">
            <v>306</v>
          </cell>
          <cell r="F853" t="str">
            <v>N000</v>
          </cell>
          <cell r="G853" t="str">
            <v>412</v>
          </cell>
          <cell r="H853" t="str">
            <v>1103</v>
          </cell>
          <cell r="I853" t="str">
            <v>CF12825</v>
          </cell>
          <cell r="J853" t="str">
            <v>27ZB</v>
          </cell>
          <cell r="K853" t="str">
            <v>2</v>
          </cell>
          <cell r="L853">
            <v>8</v>
          </cell>
          <cell r="M853">
            <v>0</v>
          </cell>
          <cell r="N853">
            <v>3008.65</v>
          </cell>
          <cell r="O853" t="str">
            <v>M</v>
          </cell>
          <cell r="P853" t="str">
            <v>00000000</v>
          </cell>
          <cell r="Q853">
            <v>857</v>
          </cell>
          <cell r="R853">
            <v>434.58</v>
          </cell>
          <cell r="S853">
            <v>83.57</v>
          </cell>
          <cell r="T853">
            <v>383.6</v>
          </cell>
          <cell r="U853">
            <v>150.43</v>
          </cell>
          <cell r="V853">
            <v>69.59</v>
          </cell>
          <cell r="W853">
            <v>60.17</v>
          </cell>
          <cell r="X853">
            <v>42.38</v>
          </cell>
          <cell r="Y853">
            <v>0</v>
          </cell>
          <cell r="Z853">
            <v>93.58</v>
          </cell>
          <cell r="AA853">
            <v>77</v>
          </cell>
          <cell r="AB853">
            <v>96</v>
          </cell>
          <cell r="AC853">
            <v>80</v>
          </cell>
          <cell r="AD853">
            <v>13.49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Y853">
            <v>523203.84000000003</v>
          </cell>
        </row>
        <row r="854">
          <cell r="A854">
            <v>2</v>
          </cell>
          <cell r="B854" t="str">
            <v>12</v>
          </cell>
          <cell r="C854" t="str">
            <v>000</v>
          </cell>
          <cell r="D854" t="str">
            <v>1</v>
          </cell>
          <cell r="E854" t="str">
            <v>306</v>
          </cell>
          <cell r="F854" t="str">
            <v>N000</v>
          </cell>
          <cell r="G854" t="str">
            <v>412</v>
          </cell>
          <cell r="H854" t="str">
            <v>1103</v>
          </cell>
          <cell r="I854" t="str">
            <v>CF21858</v>
          </cell>
          <cell r="J854" t="str">
            <v>27ZA</v>
          </cell>
          <cell r="K854" t="str">
            <v>2</v>
          </cell>
          <cell r="L854">
            <v>2</v>
          </cell>
          <cell r="M854">
            <v>0</v>
          </cell>
          <cell r="N854">
            <v>2982.9</v>
          </cell>
          <cell r="O854" t="str">
            <v>M</v>
          </cell>
          <cell r="P854" t="str">
            <v>00000000</v>
          </cell>
          <cell r="Q854">
            <v>579.4</v>
          </cell>
          <cell r="R854">
            <v>430.86</v>
          </cell>
          <cell r="S854">
            <v>82.86</v>
          </cell>
          <cell r="T854">
            <v>380.32</v>
          </cell>
          <cell r="U854">
            <v>149.15</v>
          </cell>
          <cell r="V854">
            <v>64.12</v>
          </cell>
          <cell r="W854">
            <v>59.66</v>
          </cell>
          <cell r="X854">
            <v>95.5</v>
          </cell>
          <cell r="Y854">
            <v>0</v>
          </cell>
          <cell r="Z854">
            <v>88.49</v>
          </cell>
          <cell r="AA854">
            <v>77</v>
          </cell>
          <cell r="AB854">
            <v>96</v>
          </cell>
          <cell r="AC854">
            <v>80</v>
          </cell>
          <cell r="AD854">
            <v>13.49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Y854">
            <v>124314</v>
          </cell>
        </row>
        <row r="855">
          <cell r="A855">
            <v>2</v>
          </cell>
          <cell r="B855" t="str">
            <v>12</v>
          </cell>
          <cell r="C855" t="str">
            <v>000</v>
          </cell>
          <cell r="D855" t="str">
            <v>1</v>
          </cell>
          <cell r="E855" t="str">
            <v>306</v>
          </cell>
          <cell r="F855" t="str">
            <v>N000</v>
          </cell>
          <cell r="G855" t="str">
            <v>412</v>
          </cell>
          <cell r="H855" t="str">
            <v>1103</v>
          </cell>
          <cell r="I855" t="str">
            <v>CF21864</v>
          </cell>
          <cell r="J855" t="str">
            <v>27C</v>
          </cell>
          <cell r="K855" t="str">
            <v>1</v>
          </cell>
          <cell r="L855">
            <v>38</v>
          </cell>
          <cell r="M855">
            <v>0</v>
          </cell>
          <cell r="N855">
            <v>3268.2</v>
          </cell>
          <cell r="O855" t="str">
            <v>M</v>
          </cell>
          <cell r="P855" t="str">
            <v>00000000</v>
          </cell>
          <cell r="Q855">
            <v>4783.05</v>
          </cell>
          <cell r="R855">
            <v>472.07</v>
          </cell>
          <cell r="S855">
            <v>90.78</v>
          </cell>
          <cell r="T855">
            <v>416.7</v>
          </cell>
          <cell r="U855">
            <v>163.41</v>
          </cell>
          <cell r="V855">
            <v>144.91999999999999</v>
          </cell>
          <cell r="W855">
            <v>65.36</v>
          </cell>
          <cell r="X855">
            <v>42.47</v>
          </cell>
          <cell r="Y855">
            <v>0</v>
          </cell>
          <cell r="Z855">
            <v>174.67</v>
          </cell>
          <cell r="AA855">
            <v>77</v>
          </cell>
          <cell r="AB855">
            <v>0</v>
          </cell>
          <cell r="AC855">
            <v>0</v>
          </cell>
          <cell r="AD855">
            <v>13.49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Y855">
            <v>4428726.72</v>
          </cell>
        </row>
        <row r="856">
          <cell r="A856">
            <v>2</v>
          </cell>
          <cell r="B856" t="str">
            <v>12</v>
          </cell>
          <cell r="C856" t="str">
            <v>000</v>
          </cell>
          <cell r="D856" t="str">
            <v>1</v>
          </cell>
          <cell r="E856" t="str">
            <v>306</v>
          </cell>
          <cell r="F856" t="str">
            <v>N000</v>
          </cell>
          <cell r="G856" t="str">
            <v>412</v>
          </cell>
          <cell r="H856" t="str">
            <v>1103</v>
          </cell>
          <cell r="I856" t="str">
            <v>CF21865</v>
          </cell>
          <cell r="J856" t="str">
            <v>27B</v>
          </cell>
          <cell r="K856" t="str">
            <v>1</v>
          </cell>
          <cell r="L856">
            <v>1</v>
          </cell>
          <cell r="M856">
            <v>0</v>
          </cell>
          <cell r="N856">
            <v>3222.2</v>
          </cell>
          <cell r="O856" t="str">
            <v>M</v>
          </cell>
          <cell r="P856" t="str">
            <v>00000000</v>
          </cell>
          <cell r="Q856">
            <v>3558.85</v>
          </cell>
          <cell r="R856">
            <v>465.43</v>
          </cell>
          <cell r="S856">
            <v>89.51</v>
          </cell>
          <cell r="T856">
            <v>410.83</v>
          </cell>
          <cell r="U856">
            <v>161.11000000000001</v>
          </cell>
          <cell r="V856">
            <v>122.06</v>
          </cell>
          <cell r="W856">
            <v>64.44</v>
          </cell>
          <cell r="X856">
            <v>46</v>
          </cell>
          <cell r="Y856">
            <v>0</v>
          </cell>
          <cell r="Z856">
            <v>149.18</v>
          </cell>
          <cell r="AA856">
            <v>77</v>
          </cell>
          <cell r="AB856">
            <v>0</v>
          </cell>
          <cell r="AC856">
            <v>0</v>
          </cell>
          <cell r="AD856">
            <v>13.49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Y856">
            <v>100561.2</v>
          </cell>
        </row>
        <row r="857">
          <cell r="A857">
            <v>2</v>
          </cell>
          <cell r="B857" t="str">
            <v>12</v>
          </cell>
          <cell r="C857" t="str">
            <v>000</v>
          </cell>
          <cell r="D857" t="str">
            <v>1</v>
          </cell>
          <cell r="E857" t="str">
            <v>306</v>
          </cell>
          <cell r="F857" t="str">
            <v>N000</v>
          </cell>
          <cell r="G857" t="str">
            <v>412</v>
          </cell>
          <cell r="H857" t="str">
            <v>1103</v>
          </cell>
          <cell r="I857" t="str">
            <v>CF21866</v>
          </cell>
          <cell r="J857" t="str">
            <v>27A</v>
          </cell>
          <cell r="K857" t="str">
            <v>1</v>
          </cell>
          <cell r="L857">
            <v>5</v>
          </cell>
          <cell r="M857">
            <v>0</v>
          </cell>
          <cell r="N857">
            <v>3185.4</v>
          </cell>
          <cell r="O857" t="str">
            <v>M</v>
          </cell>
          <cell r="P857" t="str">
            <v>00000000</v>
          </cell>
          <cell r="Q857">
            <v>2791.7</v>
          </cell>
          <cell r="R857">
            <v>460.11</v>
          </cell>
          <cell r="S857">
            <v>88.48</v>
          </cell>
          <cell r="T857">
            <v>406.14</v>
          </cell>
          <cell r="U857">
            <v>159.27000000000001</v>
          </cell>
          <cell r="V857">
            <v>107.59</v>
          </cell>
          <cell r="W857">
            <v>63.71</v>
          </cell>
          <cell r="X857">
            <v>9.1999999999999993</v>
          </cell>
          <cell r="Y857">
            <v>0</v>
          </cell>
          <cell r="Z857">
            <v>132.24</v>
          </cell>
          <cell r="AA857">
            <v>77</v>
          </cell>
          <cell r="AB857">
            <v>0</v>
          </cell>
          <cell r="AC857">
            <v>0</v>
          </cell>
          <cell r="AD857">
            <v>13.49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Y857">
            <v>449659.8</v>
          </cell>
        </row>
        <row r="858">
          <cell r="A858">
            <v>2</v>
          </cell>
          <cell r="B858" t="str">
            <v>12</v>
          </cell>
          <cell r="C858" t="str">
            <v>000</v>
          </cell>
          <cell r="D858" t="str">
            <v>1</v>
          </cell>
          <cell r="E858" t="str">
            <v>306</v>
          </cell>
          <cell r="F858" t="str">
            <v>N000</v>
          </cell>
          <cell r="G858" t="str">
            <v>412</v>
          </cell>
          <cell r="H858" t="str">
            <v>1103</v>
          </cell>
          <cell r="I858" t="str">
            <v>CF21873</v>
          </cell>
          <cell r="J858" t="str">
            <v>27A</v>
          </cell>
          <cell r="K858" t="str">
            <v>1</v>
          </cell>
          <cell r="L858">
            <v>2</v>
          </cell>
          <cell r="M858">
            <v>0</v>
          </cell>
          <cell r="N858">
            <v>3185.4</v>
          </cell>
          <cell r="O858" t="str">
            <v>M</v>
          </cell>
          <cell r="P858" t="str">
            <v>00000000</v>
          </cell>
          <cell r="Q858">
            <v>2791.7</v>
          </cell>
          <cell r="R858">
            <v>460.11</v>
          </cell>
          <cell r="S858">
            <v>88.48</v>
          </cell>
          <cell r="T858">
            <v>406.14</v>
          </cell>
          <cell r="U858">
            <v>159.27000000000001</v>
          </cell>
          <cell r="V858">
            <v>107.59</v>
          </cell>
          <cell r="W858">
            <v>63.71</v>
          </cell>
          <cell r="X858">
            <v>0</v>
          </cell>
          <cell r="Y858">
            <v>0</v>
          </cell>
          <cell r="Z858">
            <v>132.05000000000001</v>
          </cell>
          <cell r="AA858">
            <v>77</v>
          </cell>
          <cell r="AB858">
            <v>0</v>
          </cell>
          <cell r="AC858">
            <v>0</v>
          </cell>
          <cell r="AD858">
            <v>13.49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Y858">
            <v>179638.56</v>
          </cell>
        </row>
        <row r="859">
          <cell r="A859">
            <v>2</v>
          </cell>
          <cell r="B859" t="str">
            <v>12</v>
          </cell>
          <cell r="C859" t="str">
            <v>000</v>
          </cell>
          <cell r="D859" t="str">
            <v>1</v>
          </cell>
          <cell r="E859" t="str">
            <v>306</v>
          </cell>
          <cell r="F859" t="str">
            <v>N000</v>
          </cell>
          <cell r="G859" t="str">
            <v>412</v>
          </cell>
          <cell r="H859" t="str">
            <v>1103</v>
          </cell>
          <cell r="I859" t="str">
            <v>CF33834</v>
          </cell>
          <cell r="J859" t="str">
            <v>27</v>
          </cell>
          <cell r="K859" t="str">
            <v>2</v>
          </cell>
          <cell r="L859">
            <v>11</v>
          </cell>
          <cell r="M859">
            <v>0</v>
          </cell>
          <cell r="N859">
            <v>2817.8</v>
          </cell>
          <cell r="O859" t="str">
            <v>M</v>
          </cell>
          <cell r="P859" t="str">
            <v>00000000</v>
          </cell>
          <cell r="Q859">
            <v>0</v>
          </cell>
          <cell r="R859">
            <v>407.02</v>
          </cell>
          <cell r="S859">
            <v>78.27</v>
          </cell>
          <cell r="T859">
            <v>359.27</v>
          </cell>
          <cell r="U859">
            <v>140.88999999999999</v>
          </cell>
          <cell r="V859">
            <v>50.72</v>
          </cell>
          <cell r="W859">
            <v>56.36</v>
          </cell>
          <cell r="X859">
            <v>44.82</v>
          </cell>
          <cell r="Y859">
            <v>0</v>
          </cell>
          <cell r="Z859">
            <v>72.02</v>
          </cell>
          <cell r="AA859">
            <v>77</v>
          </cell>
          <cell r="AB859">
            <v>96</v>
          </cell>
          <cell r="AC859">
            <v>80</v>
          </cell>
          <cell r="AD859">
            <v>13.49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Y859">
            <v>566763.12</v>
          </cell>
        </row>
        <row r="860">
          <cell r="A860">
            <v>2</v>
          </cell>
          <cell r="B860" t="str">
            <v>12</v>
          </cell>
          <cell r="C860" t="str">
            <v>000</v>
          </cell>
          <cell r="D860" t="str">
            <v>1</v>
          </cell>
          <cell r="E860" t="str">
            <v>306</v>
          </cell>
          <cell r="F860" t="str">
            <v>N000</v>
          </cell>
          <cell r="G860" t="str">
            <v>412</v>
          </cell>
          <cell r="H860" t="str">
            <v>1103</v>
          </cell>
          <cell r="I860" t="str">
            <v>CF33892</v>
          </cell>
          <cell r="J860" t="str">
            <v>27ZA</v>
          </cell>
          <cell r="K860" t="str">
            <v>2</v>
          </cell>
          <cell r="L860">
            <v>22</v>
          </cell>
          <cell r="M860">
            <v>0</v>
          </cell>
          <cell r="N860">
            <v>2982.9</v>
          </cell>
          <cell r="O860" t="str">
            <v>M</v>
          </cell>
          <cell r="P860" t="str">
            <v>00000000</v>
          </cell>
          <cell r="Q860">
            <v>579.4</v>
          </cell>
          <cell r="R860">
            <v>430.86</v>
          </cell>
          <cell r="S860">
            <v>82.86</v>
          </cell>
          <cell r="T860">
            <v>380.32</v>
          </cell>
          <cell r="U860">
            <v>149.15</v>
          </cell>
          <cell r="V860">
            <v>64.12</v>
          </cell>
          <cell r="W860">
            <v>59.66</v>
          </cell>
          <cell r="X860">
            <v>54.36</v>
          </cell>
          <cell r="Y860">
            <v>0</v>
          </cell>
          <cell r="Z860">
            <v>87.67</v>
          </cell>
          <cell r="AA860">
            <v>77</v>
          </cell>
          <cell r="AB860">
            <v>96</v>
          </cell>
          <cell r="AC860">
            <v>80</v>
          </cell>
          <cell r="AD860">
            <v>13.49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Y860">
            <v>1356376.56</v>
          </cell>
        </row>
        <row r="861">
          <cell r="A861">
            <v>2</v>
          </cell>
          <cell r="B861" t="str">
            <v>12</v>
          </cell>
          <cell r="C861" t="str">
            <v>000</v>
          </cell>
          <cell r="D861" t="str">
            <v>1</v>
          </cell>
          <cell r="E861" t="str">
            <v>306</v>
          </cell>
          <cell r="F861" t="str">
            <v>N000</v>
          </cell>
          <cell r="G861" t="str">
            <v>412</v>
          </cell>
          <cell r="H861" t="str">
            <v>1103</v>
          </cell>
          <cell r="I861" t="str">
            <v>CF41049</v>
          </cell>
          <cell r="K861" t="str">
            <v>2</v>
          </cell>
          <cell r="L861">
            <v>1</v>
          </cell>
          <cell r="M861">
            <v>0</v>
          </cell>
          <cell r="N861">
            <v>3988.9</v>
          </cell>
          <cell r="O861" t="str">
            <v>M</v>
          </cell>
          <cell r="P861" t="str">
            <v>00000000</v>
          </cell>
          <cell r="Q861">
            <v>0</v>
          </cell>
          <cell r="R861">
            <v>576.16999999999996</v>
          </cell>
          <cell r="S861">
            <v>110.8</v>
          </cell>
          <cell r="T861">
            <v>508.58</v>
          </cell>
          <cell r="U861">
            <v>199.45</v>
          </cell>
          <cell r="V861">
            <v>71.8</v>
          </cell>
          <cell r="W861">
            <v>79.78</v>
          </cell>
          <cell r="X861">
            <v>46</v>
          </cell>
          <cell r="Y861">
            <v>0</v>
          </cell>
          <cell r="Z861">
            <v>99.56</v>
          </cell>
          <cell r="AA861">
            <v>77</v>
          </cell>
          <cell r="AB861">
            <v>96</v>
          </cell>
          <cell r="AC861">
            <v>80</v>
          </cell>
          <cell r="AD861">
            <v>13.49</v>
          </cell>
          <cell r="AE861">
            <v>3.32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Y861">
            <v>71410.2</v>
          </cell>
        </row>
        <row r="862">
          <cell r="A862">
            <v>2</v>
          </cell>
          <cell r="B862" t="str">
            <v>12</v>
          </cell>
          <cell r="C862" t="str">
            <v>000</v>
          </cell>
          <cell r="D862" t="str">
            <v>1</v>
          </cell>
          <cell r="E862" t="str">
            <v>306</v>
          </cell>
          <cell r="F862" t="str">
            <v>N000</v>
          </cell>
          <cell r="G862" t="str">
            <v>412</v>
          </cell>
          <cell r="H862" t="str">
            <v>1103</v>
          </cell>
          <cell r="I862" t="str">
            <v>CF41059</v>
          </cell>
          <cell r="K862" t="str">
            <v>2</v>
          </cell>
          <cell r="L862">
            <v>6</v>
          </cell>
          <cell r="M862">
            <v>0</v>
          </cell>
          <cell r="N862">
            <v>4776</v>
          </cell>
          <cell r="O862" t="str">
            <v>M</v>
          </cell>
          <cell r="P862" t="str">
            <v>00000000</v>
          </cell>
          <cell r="Q862">
            <v>0</v>
          </cell>
          <cell r="R862">
            <v>689.87</v>
          </cell>
          <cell r="S862">
            <v>132.66999999999999</v>
          </cell>
          <cell r="T862">
            <v>608.94000000000005</v>
          </cell>
          <cell r="U862">
            <v>238.8</v>
          </cell>
          <cell r="V862">
            <v>85.97</v>
          </cell>
          <cell r="W862">
            <v>95.52</v>
          </cell>
          <cell r="X862">
            <v>27.33</v>
          </cell>
          <cell r="Y862">
            <v>0</v>
          </cell>
          <cell r="Z862">
            <v>178.94</v>
          </cell>
          <cell r="AA862">
            <v>77</v>
          </cell>
          <cell r="AB862">
            <v>96</v>
          </cell>
          <cell r="AC862">
            <v>80</v>
          </cell>
          <cell r="AD862">
            <v>13.49</v>
          </cell>
          <cell r="AE862">
            <v>3.98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3064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Y862">
            <v>732132.72</v>
          </cell>
        </row>
        <row r="863">
          <cell r="A863">
            <v>2</v>
          </cell>
          <cell r="B863" t="str">
            <v>12</v>
          </cell>
          <cell r="C863" t="str">
            <v>000</v>
          </cell>
          <cell r="D863" t="str">
            <v>1</v>
          </cell>
          <cell r="E863" t="str">
            <v>306</v>
          </cell>
          <cell r="F863" t="str">
            <v>N000</v>
          </cell>
          <cell r="G863" t="str">
            <v>412</v>
          </cell>
          <cell r="H863" t="str">
            <v>1103</v>
          </cell>
          <cell r="I863" t="str">
            <v>CF41060</v>
          </cell>
          <cell r="K863" t="str">
            <v>2</v>
          </cell>
          <cell r="L863">
            <v>3</v>
          </cell>
          <cell r="M863">
            <v>0</v>
          </cell>
          <cell r="N863">
            <v>5274</v>
          </cell>
          <cell r="O863" t="str">
            <v>M</v>
          </cell>
          <cell r="P863" t="str">
            <v>00000000</v>
          </cell>
          <cell r="Q863">
            <v>0</v>
          </cell>
          <cell r="R863">
            <v>761.8</v>
          </cell>
          <cell r="S863">
            <v>146.5</v>
          </cell>
          <cell r="T863">
            <v>672.44</v>
          </cell>
          <cell r="U863">
            <v>263.7</v>
          </cell>
          <cell r="V863">
            <v>94.93</v>
          </cell>
          <cell r="W863">
            <v>105.48</v>
          </cell>
          <cell r="X863">
            <v>27.33</v>
          </cell>
          <cell r="Y863">
            <v>0</v>
          </cell>
          <cell r="Z863">
            <v>195.66</v>
          </cell>
          <cell r="AA863">
            <v>77</v>
          </cell>
          <cell r="AB863">
            <v>96</v>
          </cell>
          <cell r="AC863">
            <v>80</v>
          </cell>
          <cell r="AD863">
            <v>13.49</v>
          </cell>
          <cell r="AE863">
            <v>4.4000000000000004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3316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Y863">
            <v>400634.28</v>
          </cell>
        </row>
        <row r="864">
          <cell r="A864">
            <v>2</v>
          </cell>
          <cell r="B864" t="str">
            <v>12</v>
          </cell>
          <cell r="C864" t="str">
            <v>000</v>
          </cell>
          <cell r="D864" t="str">
            <v>1</v>
          </cell>
          <cell r="E864" t="str">
            <v>306</v>
          </cell>
          <cell r="F864" t="str">
            <v>N000</v>
          </cell>
          <cell r="G864" t="str">
            <v>412</v>
          </cell>
          <cell r="H864" t="str">
            <v>1103</v>
          </cell>
          <cell r="I864" t="str">
            <v>CF41061</v>
          </cell>
          <cell r="K864" t="str">
            <v>2</v>
          </cell>
          <cell r="L864">
            <v>1</v>
          </cell>
          <cell r="M864">
            <v>0</v>
          </cell>
          <cell r="N864">
            <v>5300</v>
          </cell>
          <cell r="O864" t="str">
            <v>M</v>
          </cell>
          <cell r="P864" t="str">
            <v>00000000</v>
          </cell>
          <cell r="Q864">
            <v>0</v>
          </cell>
          <cell r="R864">
            <v>765.56</v>
          </cell>
          <cell r="S864">
            <v>147.22</v>
          </cell>
          <cell r="T864">
            <v>675.75</v>
          </cell>
          <cell r="U864">
            <v>265</v>
          </cell>
          <cell r="V864">
            <v>95.4</v>
          </cell>
          <cell r="W864">
            <v>106</v>
          </cell>
          <cell r="X864">
            <v>0</v>
          </cell>
          <cell r="Y864">
            <v>0</v>
          </cell>
          <cell r="Z864">
            <v>237.92</v>
          </cell>
          <cell r="AA864">
            <v>77</v>
          </cell>
          <cell r="AB864">
            <v>96</v>
          </cell>
          <cell r="AC864">
            <v>80</v>
          </cell>
          <cell r="AD864">
            <v>13.49</v>
          </cell>
          <cell r="AE864">
            <v>4.42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5426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Y864">
            <v>159477.12</v>
          </cell>
        </row>
        <row r="865">
          <cell r="A865">
            <v>2</v>
          </cell>
          <cell r="B865" t="str">
            <v>12</v>
          </cell>
          <cell r="C865" t="str">
            <v>000</v>
          </cell>
          <cell r="D865" t="str">
            <v>1</v>
          </cell>
          <cell r="E865" t="str">
            <v>306</v>
          </cell>
          <cell r="F865" t="str">
            <v>N000</v>
          </cell>
          <cell r="G865" t="str">
            <v>412</v>
          </cell>
          <cell r="H865" t="str">
            <v>1103</v>
          </cell>
          <cell r="I865" t="str">
            <v>CF41061</v>
          </cell>
          <cell r="K865" t="str">
            <v>3</v>
          </cell>
          <cell r="L865">
            <v>1</v>
          </cell>
          <cell r="M865">
            <v>0</v>
          </cell>
          <cell r="N865">
            <v>5750</v>
          </cell>
          <cell r="O865" t="str">
            <v>M</v>
          </cell>
          <cell r="P865" t="str">
            <v>00000000</v>
          </cell>
          <cell r="Q865">
            <v>0</v>
          </cell>
          <cell r="R865">
            <v>830.56</v>
          </cell>
          <cell r="S865">
            <v>159.72</v>
          </cell>
          <cell r="T865">
            <v>733.13</v>
          </cell>
          <cell r="U865">
            <v>287.5</v>
          </cell>
          <cell r="V865">
            <v>103.5</v>
          </cell>
          <cell r="W865">
            <v>115</v>
          </cell>
          <cell r="X865">
            <v>0</v>
          </cell>
          <cell r="Y865">
            <v>0</v>
          </cell>
          <cell r="Z865">
            <v>258.62</v>
          </cell>
          <cell r="AA865">
            <v>77</v>
          </cell>
          <cell r="AB865">
            <v>96</v>
          </cell>
          <cell r="AC865">
            <v>80</v>
          </cell>
          <cell r="AD865">
            <v>13.49</v>
          </cell>
          <cell r="AE865">
            <v>4.79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5933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Y865">
            <v>173307.72</v>
          </cell>
        </row>
        <row r="866">
          <cell r="A866">
            <v>2</v>
          </cell>
          <cell r="B866" t="str">
            <v>12</v>
          </cell>
          <cell r="C866" t="str">
            <v>000</v>
          </cell>
          <cell r="D866" t="str">
            <v>1</v>
          </cell>
          <cell r="E866" t="str">
            <v>306</v>
          </cell>
          <cell r="F866" t="str">
            <v>N000</v>
          </cell>
          <cell r="G866" t="str">
            <v>412</v>
          </cell>
          <cell r="H866" t="str">
            <v>1103</v>
          </cell>
          <cell r="I866" t="str">
            <v>CF41062</v>
          </cell>
          <cell r="K866" t="str">
            <v>2</v>
          </cell>
          <cell r="L866">
            <v>31</v>
          </cell>
          <cell r="M866">
            <v>0</v>
          </cell>
          <cell r="N866">
            <v>5546</v>
          </cell>
          <cell r="O866" t="str">
            <v>M</v>
          </cell>
          <cell r="P866" t="str">
            <v>00000000</v>
          </cell>
          <cell r="Q866">
            <v>0</v>
          </cell>
          <cell r="R866">
            <v>801.09</v>
          </cell>
          <cell r="S866">
            <v>154.06</v>
          </cell>
          <cell r="T866">
            <v>707.12</v>
          </cell>
          <cell r="U866">
            <v>277.3</v>
          </cell>
          <cell r="V866">
            <v>99.83</v>
          </cell>
          <cell r="W866">
            <v>110.92</v>
          </cell>
          <cell r="X866">
            <v>51.32</v>
          </cell>
          <cell r="Y866">
            <v>0</v>
          </cell>
          <cell r="Z866">
            <v>251.28</v>
          </cell>
          <cell r="AA866">
            <v>77</v>
          </cell>
          <cell r="AB866">
            <v>96</v>
          </cell>
          <cell r="AC866">
            <v>80</v>
          </cell>
          <cell r="AD866">
            <v>13.49</v>
          </cell>
          <cell r="AE866">
            <v>4.62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5754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Y866">
            <v>5216939.16</v>
          </cell>
        </row>
        <row r="867">
          <cell r="A867">
            <v>2</v>
          </cell>
          <cell r="B867" t="str">
            <v>12</v>
          </cell>
          <cell r="C867" t="str">
            <v>000</v>
          </cell>
          <cell r="D867" t="str">
            <v>1</v>
          </cell>
          <cell r="E867" t="str">
            <v>306</v>
          </cell>
          <cell r="F867" t="str">
            <v>N000</v>
          </cell>
          <cell r="G867" t="str">
            <v>412</v>
          </cell>
          <cell r="H867" t="str">
            <v>1103</v>
          </cell>
          <cell r="I867" t="str">
            <v>CF41064</v>
          </cell>
          <cell r="K867" t="str">
            <v>2</v>
          </cell>
          <cell r="L867">
            <v>3</v>
          </cell>
          <cell r="M867">
            <v>0</v>
          </cell>
          <cell r="N867">
            <v>6121</v>
          </cell>
          <cell r="O867" t="str">
            <v>M</v>
          </cell>
          <cell r="P867" t="str">
            <v>00000000</v>
          </cell>
          <cell r="Q867">
            <v>0</v>
          </cell>
          <cell r="R867">
            <v>884.14</v>
          </cell>
          <cell r="S867">
            <v>170.03</v>
          </cell>
          <cell r="T867">
            <v>780.43</v>
          </cell>
          <cell r="U867">
            <v>306.05</v>
          </cell>
          <cell r="V867">
            <v>110.18</v>
          </cell>
          <cell r="W867">
            <v>122.42</v>
          </cell>
          <cell r="X867">
            <v>0</v>
          </cell>
          <cell r="Y867">
            <v>0</v>
          </cell>
          <cell r="Z867">
            <v>274.17</v>
          </cell>
          <cell r="AA867">
            <v>77</v>
          </cell>
          <cell r="AB867">
            <v>96</v>
          </cell>
          <cell r="AC867">
            <v>80</v>
          </cell>
          <cell r="AD867">
            <v>13.49</v>
          </cell>
          <cell r="AE867">
            <v>5.0999999999999996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6275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Y867">
            <v>551340.36</v>
          </cell>
        </row>
        <row r="868">
          <cell r="A868">
            <v>2</v>
          </cell>
          <cell r="B868" t="str">
            <v>12</v>
          </cell>
          <cell r="C868" t="str">
            <v>000</v>
          </cell>
          <cell r="D868" t="str">
            <v>1</v>
          </cell>
          <cell r="E868" t="str">
            <v>306</v>
          </cell>
          <cell r="F868" t="str">
            <v>N000</v>
          </cell>
          <cell r="G868" t="str">
            <v>413</v>
          </cell>
          <cell r="H868" t="str">
            <v>1103</v>
          </cell>
          <cell r="I868" t="str">
            <v>A01803</v>
          </cell>
          <cell r="J868" t="str">
            <v>19</v>
          </cell>
          <cell r="K868" t="str">
            <v>2</v>
          </cell>
          <cell r="L868">
            <v>1</v>
          </cell>
          <cell r="M868">
            <v>0</v>
          </cell>
          <cell r="N868">
            <v>2120.3000000000002</v>
          </cell>
          <cell r="O868" t="str">
            <v>M</v>
          </cell>
          <cell r="P868" t="str">
            <v>00000000</v>
          </cell>
          <cell r="Q868">
            <v>0</v>
          </cell>
          <cell r="R868">
            <v>306.27</v>
          </cell>
          <cell r="S868">
            <v>58.9</v>
          </cell>
          <cell r="T868">
            <v>270.33999999999997</v>
          </cell>
          <cell r="U868">
            <v>106.02</v>
          </cell>
          <cell r="V868">
            <v>38.17</v>
          </cell>
          <cell r="W868">
            <v>42.41</v>
          </cell>
          <cell r="X868">
            <v>0</v>
          </cell>
          <cell r="Y868">
            <v>0</v>
          </cell>
          <cell r="Z868">
            <v>54.77</v>
          </cell>
          <cell r="AA868">
            <v>77</v>
          </cell>
          <cell r="AB868">
            <v>96</v>
          </cell>
          <cell r="AC868">
            <v>80</v>
          </cell>
          <cell r="AD868">
            <v>13.49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Y868">
            <v>39164.04</v>
          </cell>
        </row>
        <row r="869">
          <cell r="A869">
            <v>2</v>
          </cell>
          <cell r="B869" t="str">
            <v>12</v>
          </cell>
          <cell r="C869" t="str">
            <v>000</v>
          </cell>
          <cell r="D869" t="str">
            <v>1</v>
          </cell>
          <cell r="E869" t="str">
            <v>306</v>
          </cell>
          <cell r="F869" t="str">
            <v>N000</v>
          </cell>
          <cell r="G869" t="str">
            <v>413</v>
          </cell>
          <cell r="H869" t="str">
            <v>1103</v>
          </cell>
          <cell r="I869" t="str">
            <v>A01805</v>
          </cell>
          <cell r="J869" t="str">
            <v>21</v>
          </cell>
          <cell r="K869" t="str">
            <v>2</v>
          </cell>
          <cell r="L869">
            <v>5</v>
          </cell>
          <cell r="M869">
            <v>0</v>
          </cell>
          <cell r="N869">
            <v>2238.1999999999998</v>
          </cell>
          <cell r="O869" t="str">
            <v>M</v>
          </cell>
          <cell r="P869" t="str">
            <v>00000000</v>
          </cell>
          <cell r="Q869">
            <v>0</v>
          </cell>
          <cell r="R869">
            <v>323.3</v>
          </cell>
          <cell r="S869">
            <v>62.17</v>
          </cell>
          <cell r="T869">
            <v>285.37</v>
          </cell>
          <cell r="U869">
            <v>111.91</v>
          </cell>
          <cell r="V869">
            <v>40.29</v>
          </cell>
          <cell r="W869">
            <v>44.76</v>
          </cell>
          <cell r="X869">
            <v>44</v>
          </cell>
          <cell r="Y869">
            <v>0</v>
          </cell>
          <cell r="Z869">
            <v>58.41</v>
          </cell>
          <cell r="AA869">
            <v>77</v>
          </cell>
          <cell r="AB869">
            <v>96</v>
          </cell>
          <cell r="AC869">
            <v>80</v>
          </cell>
          <cell r="AD869">
            <v>13.49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Y869">
            <v>208494</v>
          </cell>
        </row>
        <row r="870">
          <cell r="A870">
            <v>2</v>
          </cell>
          <cell r="B870" t="str">
            <v>12</v>
          </cell>
          <cell r="C870" t="str">
            <v>000</v>
          </cell>
          <cell r="D870" t="str">
            <v>1</v>
          </cell>
          <cell r="E870" t="str">
            <v>306</v>
          </cell>
          <cell r="F870" t="str">
            <v>N000</v>
          </cell>
          <cell r="G870" t="str">
            <v>413</v>
          </cell>
          <cell r="H870" t="str">
            <v>1103</v>
          </cell>
          <cell r="I870" t="str">
            <v>A01806</v>
          </cell>
          <cell r="J870" t="str">
            <v>25</v>
          </cell>
          <cell r="K870" t="str">
            <v>2</v>
          </cell>
          <cell r="L870">
            <v>3</v>
          </cell>
          <cell r="M870">
            <v>0</v>
          </cell>
          <cell r="N870">
            <v>2572.4</v>
          </cell>
          <cell r="O870" t="str">
            <v>M</v>
          </cell>
          <cell r="P870" t="str">
            <v>00000000</v>
          </cell>
          <cell r="Q870">
            <v>0</v>
          </cell>
          <cell r="R870">
            <v>371.57</v>
          </cell>
          <cell r="S870">
            <v>71.459999999999994</v>
          </cell>
          <cell r="T870">
            <v>327.98</v>
          </cell>
          <cell r="U870">
            <v>128.62</v>
          </cell>
          <cell r="V870">
            <v>46.3</v>
          </cell>
          <cell r="W870">
            <v>51.45</v>
          </cell>
          <cell r="X870">
            <v>58</v>
          </cell>
          <cell r="Y870">
            <v>0</v>
          </cell>
          <cell r="Z870">
            <v>66.53</v>
          </cell>
          <cell r="AA870">
            <v>77</v>
          </cell>
          <cell r="AB870">
            <v>96</v>
          </cell>
          <cell r="AC870">
            <v>80</v>
          </cell>
          <cell r="AD870">
            <v>13.49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Y870">
            <v>142588.79999999999</v>
          </cell>
        </row>
        <row r="871">
          <cell r="A871">
            <v>2</v>
          </cell>
          <cell r="B871" t="str">
            <v>12</v>
          </cell>
          <cell r="C871" t="str">
            <v>000</v>
          </cell>
          <cell r="D871" t="str">
            <v>1</v>
          </cell>
          <cell r="E871" t="str">
            <v>306</v>
          </cell>
          <cell r="F871" t="str">
            <v>N000</v>
          </cell>
          <cell r="G871" t="str">
            <v>413</v>
          </cell>
          <cell r="H871" t="str">
            <v>1103</v>
          </cell>
          <cell r="I871" t="str">
            <v>A01807</v>
          </cell>
          <cell r="J871" t="str">
            <v>27</v>
          </cell>
          <cell r="K871" t="str">
            <v>2</v>
          </cell>
          <cell r="L871">
            <v>7</v>
          </cell>
          <cell r="M871">
            <v>0</v>
          </cell>
          <cell r="N871">
            <v>2817.8</v>
          </cell>
          <cell r="O871" t="str">
            <v>M</v>
          </cell>
          <cell r="P871" t="str">
            <v>00000000</v>
          </cell>
          <cell r="Q871">
            <v>0</v>
          </cell>
          <cell r="R871">
            <v>407.02</v>
          </cell>
          <cell r="S871">
            <v>78.27</v>
          </cell>
          <cell r="T871">
            <v>359.27</v>
          </cell>
          <cell r="U871">
            <v>140.88999999999999</v>
          </cell>
          <cell r="V871">
            <v>50.72</v>
          </cell>
          <cell r="W871">
            <v>56.36</v>
          </cell>
          <cell r="X871">
            <v>74</v>
          </cell>
          <cell r="Y871">
            <v>0</v>
          </cell>
          <cell r="Z871">
            <v>72.599999999999994</v>
          </cell>
          <cell r="AA871">
            <v>77</v>
          </cell>
          <cell r="AB871">
            <v>96</v>
          </cell>
          <cell r="AC871">
            <v>80</v>
          </cell>
          <cell r="AD871">
            <v>13.49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Y871">
            <v>363167.28</v>
          </cell>
        </row>
        <row r="872">
          <cell r="A872">
            <v>2</v>
          </cell>
          <cell r="B872" t="str">
            <v>12</v>
          </cell>
          <cell r="C872" t="str">
            <v>000</v>
          </cell>
          <cell r="D872" t="str">
            <v>1</v>
          </cell>
          <cell r="E872" t="str">
            <v>306</v>
          </cell>
          <cell r="F872" t="str">
            <v>N000</v>
          </cell>
          <cell r="G872" t="str">
            <v>413</v>
          </cell>
          <cell r="H872" t="str">
            <v>1103</v>
          </cell>
          <cell r="I872" t="str">
            <v>A03803</v>
          </cell>
          <cell r="J872" t="str">
            <v>20</v>
          </cell>
          <cell r="K872" t="str">
            <v>2</v>
          </cell>
          <cell r="L872">
            <v>3</v>
          </cell>
          <cell r="M872">
            <v>0</v>
          </cell>
          <cell r="N872">
            <v>2138.85</v>
          </cell>
          <cell r="O872" t="str">
            <v>M</v>
          </cell>
          <cell r="P872" t="str">
            <v>00000000</v>
          </cell>
          <cell r="Q872">
            <v>0</v>
          </cell>
          <cell r="R872">
            <v>308.94</v>
          </cell>
          <cell r="S872">
            <v>59.41</v>
          </cell>
          <cell r="T872">
            <v>272.7</v>
          </cell>
          <cell r="U872">
            <v>106.94</v>
          </cell>
          <cell r="V872">
            <v>38.5</v>
          </cell>
          <cell r="W872">
            <v>42.78</v>
          </cell>
          <cell r="X872">
            <v>30.67</v>
          </cell>
          <cell r="Y872">
            <v>0</v>
          </cell>
          <cell r="Z872">
            <v>55.82</v>
          </cell>
          <cell r="AA872">
            <v>77</v>
          </cell>
          <cell r="AB872">
            <v>96</v>
          </cell>
          <cell r="AC872">
            <v>80</v>
          </cell>
          <cell r="AD872">
            <v>13.49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Y872">
            <v>119559.6</v>
          </cell>
        </row>
        <row r="873">
          <cell r="A873">
            <v>2</v>
          </cell>
          <cell r="B873" t="str">
            <v>12</v>
          </cell>
          <cell r="C873" t="str">
            <v>000</v>
          </cell>
          <cell r="D873" t="str">
            <v>1</v>
          </cell>
          <cell r="E873" t="str">
            <v>306</v>
          </cell>
          <cell r="F873" t="str">
            <v>N000</v>
          </cell>
          <cell r="G873" t="str">
            <v>413</v>
          </cell>
          <cell r="H873" t="str">
            <v>1103</v>
          </cell>
          <cell r="I873" t="str">
            <v>A03804</v>
          </cell>
          <cell r="J873" t="str">
            <v>23</v>
          </cell>
          <cell r="K873" t="str">
            <v>2</v>
          </cell>
          <cell r="L873">
            <v>1</v>
          </cell>
          <cell r="M873">
            <v>0</v>
          </cell>
          <cell r="N873">
            <v>2451.25</v>
          </cell>
          <cell r="O873" t="str">
            <v>M</v>
          </cell>
          <cell r="P873" t="str">
            <v>00000000</v>
          </cell>
          <cell r="Q873">
            <v>0</v>
          </cell>
          <cell r="R873">
            <v>354.07</v>
          </cell>
          <cell r="S873">
            <v>68.09</v>
          </cell>
          <cell r="T873">
            <v>312.52999999999997</v>
          </cell>
          <cell r="U873">
            <v>122.56</v>
          </cell>
          <cell r="V873">
            <v>44.12</v>
          </cell>
          <cell r="W873">
            <v>49.02</v>
          </cell>
          <cell r="X873">
            <v>46</v>
          </cell>
          <cell r="Y873">
            <v>0</v>
          </cell>
          <cell r="Z873">
            <v>63.45</v>
          </cell>
          <cell r="AA873">
            <v>77</v>
          </cell>
          <cell r="AB873">
            <v>96</v>
          </cell>
          <cell r="AC873">
            <v>80</v>
          </cell>
          <cell r="AD873">
            <v>13.49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Y873">
            <v>45330.96</v>
          </cell>
        </row>
        <row r="874">
          <cell r="A874">
            <v>2</v>
          </cell>
          <cell r="B874" t="str">
            <v>12</v>
          </cell>
          <cell r="C874" t="str">
            <v>000</v>
          </cell>
          <cell r="D874" t="str">
            <v>1</v>
          </cell>
          <cell r="E874" t="str">
            <v>306</v>
          </cell>
          <cell r="F874" t="str">
            <v>N000</v>
          </cell>
          <cell r="G874" t="str">
            <v>413</v>
          </cell>
          <cell r="H874" t="str">
            <v>1103</v>
          </cell>
          <cell r="I874" t="str">
            <v>CFMC03</v>
          </cell>
          <cell r="J874" t="str">
            <v>MC03</v>
          </cell>
          <cell r="K874" t="str">
            <v>1</v>
          </cell>
          <cell r="L874">
            <v>4</v>
          </cell>
          <cell r="M874">
            <v>0</v>
          </cell>
          <cell r="N874">
            <v>4311.3999999999996</v>
          </cell>
          <cell r="O874" t="str">
            <v>M</v>
          </cell>
          <cell r="P874" t="str">
            <v>00000000</v>
          </cell>
          <cell r="Q874">
            <v>11306.9</v>
          </cell>
          <cell r="R874">
            <v>622.76</v>
          </cell>
          <cell r="S874">
            <v>119.76</v>
          </cell>
          <cell r="T874">
            <v>549.70000000000005</v>
          </cell>
          <cell r="U874">
            <v>215.57</v>
          </cell>
          <cell r="V874">
            <v>281.13</v>
          </cell>
          <cell r="W874">
            <v>86.23</v>
          </cell>
          <cell r="X874">
            <v>45.75</v>
          </cell>
          <cell r="Y874">
            <v>780.91</v>
          </cell>
          <cell r="Z874">
            <v>329.67</v>
          </cell>
          <cell r="AA874">
            <v>77</v>
          </cell>
          <cell r="AB874">
            <v>0</v>
          </cell>
          <cell r="AC874">
            <v>0</v>
          </cell>
          <cell r="AD874">
            <v>13.49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Y874">
            <v>899532.96</v>
          </cell>
        </row>
        <row r="875">
          <cell r="A875">
            <v>2</v>
          </cell>
          <cell r="B875" t="str">
            <v>12</v>
          </cell>
          <cell r="C875" t="str">
            <v>000</v>
          </cell>
          <cell r="D875" t="str">
            <v>1</v>
          </cell>
          <cell r="E875" t="str">
            <v>306</v>
          </cell>
          <cell r="F875" t="str">
            <v>N000</v>
          </cell>
          <cell r="G875" t="str">
            <v>413</v>
          </cell>
          <cell r="H875" t="str">
            <v>1103</v>
          </cell>
          <cell r="I875" t="str">
            <v>CFMD09</v>
          </cell>
          <cell r="J875" t="str">
            <v>MD09</v>
          </cell>
          <cell r="K875" t="str">
            <v>1</v>
          </cell>
          <cell r="L875">
            <v>1</v>
          </cell>
          <cell r="M875">
            <v>0</v>
          </cell>
          <cell r="N875">
            <v>14852.65</v>
          </cell>
          <cell r="O875" t="str">
            <v>M</v>
          </cell>
          <cell r="P875" t="str">
            <v>00000000</v>
          </cell>
          <cell r="Q875">
            <v>100991.65</v>
          </cell>
          <cell r="R875">
            <v>2145.38</v>
          </cell>
          <cell r="S875">
            <v>412.57</v>
          </cell>
          <cell r="T875">
            <v>1893.71</v>
          </cell>
          <cell r="U875">
            <v>742.63</v>
          </cell>
          <cell r="V875">
            <v>2085.1999999999998</v>
          </cell>
          <cell r="W875">
            <v>297.05</v>
          </cell>
          <cell r="X875">
            <v>327</v>
          </cell>
          <cell r="Y875">
            <v>5792.22</v>
          </cell>
          <cell r="Z875">
            <v>2376.13</v>
          </cell>
          <cell r="AA875">
            <v>77</v>
          </cell>
          <cell r="AB875">
            <v>0</v>
          </cell>
          <cell r="AC875">
            <v>0</v>
          </cell>
          <cell r="AD875">
            <v>13.49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Y875">
            <v>1584080.16</v>
          </cell>
        </row>
        <row r="876">
          <cell r="A876">
            <v>2</v>
          </cell>
          <cell r="B876" t="str">
            <v>12</v>
          </cell>
          <cell r="C876" t="str">
            <v>000</v>
          </cell>
          <cell r="D876" t="str">
            <v>1</v>
          </cell>
          <cell r="E876" t="str">
            <v>306</v>
          </cell>
          <cell r="F876" t="str">
            <v>N000</v>
          </cell>
          <cell r="G876" t="str">
            <v>413</v>
          </cell>
          <cell r="H876" t="str">
            <v>1103</v>
          </cell>
          <cell r="I876" t="str">
            <v>CFMG06</v>
          </cell>
          <cell r="J876" t="str">
            <v>MG06</v>
          </cell>
          <cell r="K876" t="str">
            <v>1</v>
          </cell>
          <cell r="L876">
            <v>4</v>
          </cell>
          <cell r="M876">
            <v>0</v>
          </cell>
          <cell r="N876">
            <v>8232.25</v>
          </cell>
          <cell r="O876" t="str">
            <v>M</v>
          </cell>
          <cell r="P876" t="str">
            <v>00000000</v>
          </cell>
          <cell r="Q876">
            <v>38872.050000000003</v>
          </cell>
          <cell r="R876">
            <v>1189.0999999999999</v>
          </cell>
          <cell r="S876">
            <v>228.67</v>
          </cell>
          <cell r="T876">
            <v>1049.6099999999999</v>
          </cell>
          <cell r="U876">
            <v>411.61</v>
          </cell>
          <cell r="V876">
            <v>847.88</v>
          </cell>
          <cell r="W876">
            <v>164.65</v>
          </cell>
          <cell r="X876">
            <v>136.5</v>
          </cell>
          <cell r="Y876">
            <v>2355.2199999999998</v>
          </cell>
          <cell r="Z876">
            <v>974.71</v>
          </cell>
          <cell r="AA876">
            <v>77</v>
          </cell>
          <cell r="AB876">
            <v>0</v>
          </cell>
          <cell r="AC876">
            <v>0</v>
          </cell>
          <cell r="AD876">
            <v>13.49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Y876">
            <v>2618531.52</v>
          </cell>
        </row>
        <row r="877">
          <cell r="A877">
            <v>2</v>
          </cell>
          <cell r="B877" t="str">
            <v>12</v>
          </cell>
          <cell r="C877" t="str">
            <v>000</v>
          </cell>
          <cell r="D877" t="str">
            <v>1</v>
          </cell>
          <cell r="E877" t="str">
            <v>306</v>
          </cell>
          <cell r="F877" t="str">
            <v>N000</v>
          </cell>
          <cell r="G877" t="str">
            <v>413</v>
          </cell>
          <cell r="H877" t="str">
            <v>1103</v>
          </cell>
          <cell r="I877" t="str">
            <v>CFMS06</v>
          </cell>
          <cell r="J877" t="str">
            <v>MS06</v>
          </cell>
          <cell r="K877" t="str">
            <v>1</v>
          </cell>
          <cell r="L877">
            <v>1</v>
          </cell>
          <cell r="M877">
            <v>0</v>
          </cell>
          <cell r="N877">
            <v>4801.8999999999996</v>
          </cell>
          <cell r="O877" t="str">
            <v>M</v>
          </cell>
          <cell r="P877" t="str">
            <v>00000000</v>
          </cell>
          <cell r="Q877">
            <v>21723.85</v>
          </cell>
          <cell r="R877">
            <v>693.61</v>
          </cell>
          <cell r="S877">
            <v>133.38999999999999</v>
          </cell>
          <cell r="T877">
            <v>612.24</v>
          </cell>
          <cell r="U877">
            <v>240.09</v>
          </cell>
          <cell r="V877">
            <v>477.46</v>
          </cell>
          <cell r="W877">
            <v>96.04</v>
          </cell>
          <cell r="X877">
            <v>191</v>
          </cell>
          <cell r="Y877">
            <v>1326.29</v>
          </cell>
          <cell r="Z877">
            <v>552.41</v>
          </cell>
          <cell r="AA877">
            <v>77</v>
          </cell>
          <cell r="AB877">
            <v>0</v>
          </cell>
          <cell r="AC877">
            <v>0</v>
          </cell>
          <cell r="AD877">
            <v>13.49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Y877">
            <v>371265.24</v>
          </cell>
        </row>
        <row r="878">
          <cell r="A878">
            <v>2</v>
          </cell>
          <cell r="B878" t="str">
            <v>12</v>
          </cell>
          <cell r="C878" t="str">
            <v>000</v>
          </cell>
          <cell r="D878" t="str">
            <v>1</v>
          </cell>
          <cell r="E878" t="str">
            <v>306</v>
          </cell>
          <cell r="F878" t="str">
            <v>N000</v>
          </cell>
          <cell r="G878" t="str">
            <v>413</v>
          </cell>
          <cell r="H878" t="str">
            <v>1103</v>
          </cell>
          <cell r="I878" t="str">
            <v>CFMS08</v>
          </cell>
          <cell r="J878" t="str">
            <v>MS08</v>
          </cell>
          <cell r="K878" t="str">
            <v>1</v>
          </cell>
          <cell r="L878">
            <v>10</v>
          </cell>
          <cell r="M878">
            <v>0</v>
          </cell>
          <cell r="N878">
            <v>4801.8999999999996</v>
          </cell>
          <cell r="O878" t="str">
            <v>M</v>
          </cell>
          <cell r="P878" t="str">
            <v>00000000</v>
          </cell>
          <cell r="Q878">
            <v>18269.849999999999</v>
          </cell>
          <cell r="R878">
            <v>693.61</v>
          </cell>
          <cell r="S878">
            <v>133.38999999999999</v>
          </cell>
          <cell r="T878">
            <v>612.24</v>
          </cell>
          <cell r="U878">
            <v>240.09</v>
          </cell>
          <cell r="V878">
            <v>415.29</v>
          </cell>
          <cell r="W878">
            <v>96.04</v>
          </cell>
          <cell r="X878">
            <v>61</v>
          </cell>
          <cell r="Y878">
            <v>1153.5899999999999</v>
          </cell>
          <cell r="Z878">
            <v>480.74</v>
          </cell>
          <cell r="AA878">
            <v>77</v>
          </cell>
          <cell r="AB878">
            <v>0</v>
          </cell>
          <cell r="AC878">
            <v>0</v>
          </cell>
          <cell r="AD878">
            <v>13.49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Y878">
            <v>3245787.6</v>
          </cell>
        </row>
        <row r="879">
          <cell r="A879">
            <v>2</v>
          </cell>
          <cell r="B879" t="str">
            <v>12</v>
          </cell>
          <cell r="C879" t="str">
            <v>000</v>
          </cell>
          <cell r="D879" t="str">
            <v>1</v>
          </cell>
          <cell r="E879" t="str">
            <v>306</v>
          </cell>
          <cell r="F879" t="str">
            <v>N000</v>
          </cell>
          <cell r="G879" t="str">
            <v>413</v>
          </cell>
          <cell r="H879" t="str">
            <v>1103</v>
          </cell>
          <cell r="I879" t="str">
            <v>M01004</v>
          </cell>
          <cell r="K879" t="str">
            <v>2</v>
          </cell>
          <cell r="L879">
            <v>20</v>
          </cell>
          <cell r="M879">
            <v>0</v>
          </cell>
          <cell r="N879">
            <v>6400</v>
          </cell>
          <cell r="O879" t="str">
            <v>M</v>
          </cell>
          <cell r="P879" t="str">
            <v>00000000</v>
          </cell>
          <cell r="Q879">
            <v>0</v>
          </cell>
          <cell r="R879">
            <v>924.44</v>
          </cell>
          <cell r="S879">
            <v>177.78</v>
          </cell>
          <cell r="T879">
            <v>816</v>
          </cell>
          <cell r="U879">
            <v>320</v>
          </cell>
          <cell r="V879">
            <v>115.2</v>
          </cell>
          <cell r="W879">
            <v>128</v>
          </cell>
          <cell r="X879">
            <v>56.3</v>
          </cell>
          <cell r="Y879">
            <v>0</v>
          </cell>
          <cell r="Z879">
            <v>288.66000000000003</v>
          </cell>
          <cell r="AA879">
            <v>77</v>
          </cell>
          <cell r="AB879">
            <v>96</v>
          </cell>
          <cell r="AC879">
            <v>80</v>
          </cell>
          <cell r="AD879">
            <v>13.49</v>
          </cell>
          <cell r="AE879">
            <v>5.33</v>
          </cell>
          <cell r="AF879">
            <v>0</v>
          </cell>
          <cell r="AG879">
            <v>0</v>
          </cell>
          <cell r="AH879">
            <v>4086</v>
          </cell>
          <cell r="AI879">
            <v>0</v>
          </cell>
          <cell r="AJ879">
            <v>2530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Y879">
            <v>3867408</v>
          </cell>
        </row>
        <row r="880">
          <cell r="A880">
            <v>2</v>
          </cell>
          <cell r="B880" t="str">
            <v>12</v>
          </cell>
          <cell r="C880" t="str">
            <v>000</v>
          </cell>
          <cell r="D880" t="str">
            <v>1</v>
          </cell>
          <cell r="E880" t="str">
            <v>306</v>
          </cell>
          <cell r="F880" t="str">
            <v>N000</v>
          </cell>
          <cell r="G880" t="str">
            <v>413</v>
          </cell>
          <cell r="H880" t="str">
            <v>1103</v>
          </cell>
          <cell r="I880" t="str">
            <v>M01006</v>
          </cell>
          <cell r="K880" t="str">
            <v>2</v>
          </cell>
          <cell r="L880">
            <v>5</v>
          </cell>
          <cell r="M880">
            <v>0</v>
          </cell>
          <cell r="N880">
            <v>5300</v>
          </cell>
          <cell r="O880" t="str">
            <v>M</v>
          </cell>
          <cell r="P880" t="str">
            <v>00000000</v>
          </cell>
          <cell r="Q880">
            <v>0</v>
          </cell>
          <cell r="R880">
            <v>765.56</v>
          </cell>
          <cell r="S880">
            <v>147.22</v>
          </cell>
          <cell r="T880">
            <v>675.75</v>
          </cell>
          <cell r="U880">
            <v>265</v>
          </cell>
          <cell r="V880">
            <v>95.4</v>
          </cell>
          <cell r="W880">
            <v>106</v>
          </cell>
          <cell r="X880">
            <v>58.6</v>
          </cell>
          <cell r="Y880">
            <v>0</v>
          </cell>
          <cell r="Z880">
            <v>239.1</v>
          </cell>
          <cell r="AA880">
            <v>77</v>
          </cell>
          <cell r="AB880">
            <v>96</v>
          </cell>
          <cell r="AC880">
            <v>80</v>
          </cell>
          <cell r="AD880">
            <v>13.49</v>
          </cell>
          <cell r="AE880">
            <v>4.42</v>
          </cell>
          <cell r="AF880">
            <v>0</v>
          </cell>
          <cell r="AG880">
            <v>0</v>
          </cell>
          <cell r="AH880">
            <v>2426</v>
          </cell>
          <cell r="AI880">
            <v>0</v>
          </cell>
          <cell r="AJ880">
            <v>3000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Y880">
            <v>800972.4</v>
          </cell>
        </row>
        <row r="881">
          <cell r="A881">
            <v>2</v>
          </cell>
          <cell r="B881" t="str">
            <v>12</v>
          </cell>
          <cell r="C881" t="str">
            <v>000</v>
          </cell>
          <cell r="D881" t="str">
            <v>1</v>
          </cell>
          <cell r="E881" t="str">
            <v>306</v>
          </cell>
          <cell r="F881" t="str">
            <v>N000</v>
          </cell>
          <cell r="G881" t="str">
            <v>413</v>
          </cell>
          <cell r="H881" t="str">
            <v>1103</v>
          </cell>
          <cell r="I881" t="str">
            <v>M01007</v>
          </cell>
          <cell r="K881" t="str">
            <v>2</v>
          </cell>
          <cell r="L881">
            <v>2</v>
          </cell>
          <cell r="M881">
            <v>0</v>
          </cell>
          <cell r="N881">
            <v>5074</v>
          </cell>
          <cell r="O881" t="str">
            <v>M</v>
          </cell>
          <cell r="P881" t="str">
            <v>00000000</v>
          </cell>
          <cell r="Q881">
            <v>0</v>
          </cell>
          <cell r="R881">
            <v>732.91</v>
          </cell>
          <cell r="S881">
            <v>140.94</v>
          </cell>
          <cell r="T881">
            <v>646.94000000000005</v>
          </cell>
          <cell r="U881">
            <v>253.7</v>
          </cell>
          <cell r="V881">
            <v>91.33</v>
          </cell>
          <cell r="W881">
            <v>101.48</v>
          </cell>
          <cell r="X881">
            <v>23</v>
          </cell>
          <cell r="Y881">
            <v>0</v>
          </cell>
          <cell r="Z881">
            <v>206.8</v>
          </cell>
          <cell r="AA881">
            <v>77</v>
          </cell>
          <cell r="AB881">
            <v>96</v>
          </cell>
          <cell r="AC881">
            <v>80</v>
          </cell>
          <cell r="AD881">
            <v>13.49</v>
          </cell>
          <cell r="AE881">
            <v>4.2300000000000004</v>
          </cell>
          <cell r="AF881">
            <v>0</v>
          </cell>
          <cell r="AG881">
            <v>0</v>
          </cell>
          <cell r="AH881">
            <v>2004</v>
          </cell>
          <cell r="AI881">
            <v>0</v>
          </cell>
          <cell r="AJ881">
            <v>2108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Y881">
            <v>279691.68</v>
          </cell>
        </row>
        <row r="882">
          <cell r="A882">
            <v>2</v>
          </cell>
          <cell r="B882" t="str">
            <v>12</v>
          </cell>
          <cell r="C882" t="str">
            <v>000</v>
          </cell>
          <cell r="D882" t="str">
            <v>1</v>
          </cell>
          <cell r="E882" t="str">
            <v>306</v>
          </cell>
          <cell r="F882" t="str">
            <v>N000</v>
          </cell>
          <cell r="G882" t="str">
            <v>413</v>
          </cell>
          <cell r="H882" t="str">
            <v>1103</v>
          </cell>
          <cell r="I882" t="str">
            <v>M02001</v>
          </cell>
          <cell r="K882" t="str">
            <v>2</v>
          </cell>
          <cell r="L882">
            <v>2</v>
          </cell>
          <cell r="M882">
            <v>0</v>
          </cell>
          <cell r="N882">
            <v>5000</v>
          </cell>
          <cell r="O882" t="str">
            <v>M</v>
          </cell>
          <cell r="P882" t="str">
            <v>00000000</v>
          </cell>
          <cell r="Q882">
            <v>0</v>
          </cell>
          <cell r="R882">
            <v>722.22</v>
          </cell>
          <cell r="S882">
            <v>138.88999999999999</v>
          </cell>
          <cell r="T882">
            <v>637.5</v>
          </cell>
          <cell r="U882">
            <v>250</v>
          </cell>
          <cell r="V882">
            <v>90</v>
          </cell>
          <cell r="W882">
            <v>100</v>
          </cell>
          <cell r="X882">
            <v>46</v>
          </cell>
          <cell r="Y882">
            <v>0</v>
          </cell>
          <cell r="Z882">
            <v>175.29</v>
          </cell>
          <cell r="AA882">
            <v>77</v>
          </cell>
          <cell r="AB882">
            <v>96</v>
          </cell>
          <cell r="AC882">
            <v>80</v>
          </cell>
          <cell r="AD882">
            <v>13.49</v>
          </cell>
          <cell r="AE882">
            <v>4.17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2600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Y882">
            <v>240733.44</v>
          </cell>
        </row>
        <row r="883">
          <cell r="A883">
            <v>2</v>
          </cell>
          <cell r="B883" t="str">
            <v>12</v>
          </cell>
          <cell r="C883" t="str">
            <v>000</v>
          </cell>
          <cell r="D883" t="str">
            <v>1</v>
          </cell>
          <cell r="E883" t="str">
            <v>306</v>
          </cell>
          <cell r="F883" t="str">
            <v>N000</v>
          </cell>
          <cell r="G883" t="str">
            <v>413</v>
          </cell>
          <cell r="H883" t="str">
            <v>1103</v>
          </cell>
          <cell r="I883" t="str">
            <v>M02011</v>
          </cell>
          <cell r="K883" t="str">
            <v>2</v>
          </cell>
          <cell r="L883">
            <v>1</v>
          </cell>
          <cell r="M883">
            <v>0</v>
          </cell>
          <cell r="N883">
            <v>3510</v>
          </cell>
          <cell r="O883" t="str">
            <v>M</v>
          </cell>
          <cell r="P883" t="str">
            <v>00000000</v>
          </cell>
          <cell r="Q883">
            <v>0</v>
          </cell>
          <cell r="R883">
            <v>507</v>
          </cell>
          <cell r="S883">
            <v>97.5</v>
          </cell>
          <cell r="T883">
            <v>447.53</v>
          </cell>
          <cell r="U883">
            <v>175.5</v>
          </cell>
          <cell r="V883">
            <v>63.18</v>
          </cell>
          <cell r="W883">
            <v>70.2</v>
          </cell>
          <cell r="X883">
            <v>0</v>
          </cell>
          <cell r="Y883">
            <v>0</v>
          </cell>
          <cell r="Z883">
            <v>120.49</v>
          </cell>
          <cell r="AA883">
            <v>77</v>
          </cell>
          <cell r="AB883">
            <v>96</v>
          </cell>
          <cell r="AC883">
            <v>80</v>
          </cell>
          <cell r="AD883">
            <v>13.49</v>
          </cell>
          <cell r="AE883">
            <v>2.93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1654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Y883">
            <v>82977.84</v>
          </cell>
        </row>
        <row r="884">
          <cell r="A884">
            <v>2</v>
          </cell>
          <cell r="B884" t="str">
            <v>12</v>
          </cell>
          <cell r="C884" t="str">
            <v>000</v>
          </cell>
          <cell r="D884" t="str">
            <v>1</v>
          </cell>
          <cell r="E884" t="str">
            <v>306</v>
          </cell>
          <cell r="F884" t="str">
            <v>N000</v>
          </cell>
          <cell r="G884" t="str">
            <v>413</v>
          </cell>
          <cell r="H884" t="str">
            <v>1103</v>
          </cell>
          <cell r="I884" t="str">
            <v>M02015</v>
          </cell>
          <cell r="K884" t="str">
            <v>2</v>
          </cell>
          <cell r="L884">
            <v>3</v>
          </cell>
          <cell r="M884">
            <v>0</v>
          </cell>
          <cell r="N884">
            <v>5000</v>
          </cell>
          <cell r="O884" t="str">
            <v>M</v>
          </cell>
          <cell r="P884" t="str">
            <v>00000000</v>
          </cell>
          <cell r="Q884">
            <v>0</v>
          </cell>
          <cell r="R884">
            <v>722.22</v>
          </cell>
          <cell r="S884">
            <v>138.88999999999999</v>
          </cell>
          <cell r="T884">
            <v>637.5</v>
          </cell>
          <cell r="U884">
            <v>250</v>
          </cell>
          <cell r="V884">
            <v>90</v>
          </cell>
          <cell r="W884">
            <v>100</v>
          </cell>
          <cell r="X884">
            <v>15.33</v>
          </cell>
          <cell r="Y884">
            <v>0</v>
          </cell>
          <cell r="Z884">
            <v>174.67</v>
          </cell>
          <cell r="AA884">
            <v>77</v>
          </cell>
          <cell r="AB884">
            <v>96</v>
          </cell>
          <cell r="AC884">
            <v>80</v>
          </cell>
          <cell r="AD884">
            <v>13.49</v>
          </cell>
          <cell r="AE884">
            <v>4.17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2600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Y884">
            <v>359973.72</v>
          </cell>
        </row>
        <row r="885">
          <cell r="A885">
            <v>2</v>
          </cell>
          <cell r="B885" t="str">
            <v>12</v>
          </cell>
          <cell r="C885" t="str">
            <v>000</v>
          </cell>
          <cell r="D885" t="str">
            <v>1</v>
          </cell>
          <cell r="E885" t="str">
            <v>306</v>
          </cell>
          <cell r="F885" t="str">
            <v>N000</v>
          </cell>
          <cell r="G885" t="str">
            <v>413</v>
          </cell>
          <cell r="H885" t="str">
            <v>1103</v>
          </cell>
          <cell r="I885" t="str">
            <v>M02027</v>
          </cell>
          <cell r="K885" t="str">
            <v>2</v>
          </cell>
          <cell r="L885">
            <v>5</v>
          </cell>
          <cell r="M885">
            <v>0</v>
          </cell>
          <cell r="N885">
            <v>4940</v>
          </cell>
          <cell r="O885" t="str">
            <v>M</v>
          </cell>
          <cell r="P885" t="str">
            <v>00000000</v>
          </cell>
          <cell r="Q885">
            <v>0</v>
          </cell>
          <cell r="R885">
            <v>713.56</v>
          </cell>
          <cell r="S885">
            <v>137.22</v>
          </cell>
          <cell r="T885">
            <v>629.85</v>
          </cell>
          <cell r="U885">
            <v>247</v>
          </cell>
          <cell r="V885">
            <v>88.92</v>
          </cell>
          <cell r="W885">
            <v>98.8</v>
          </cell>
          <cell r="X885">
            <v>70.8</v>
          </cell>
          <cell r="Y885">
            <v>0</v>
          </cell>
          <cell r="Z885">
            <v>168.47</v>
          </cell>
          <cell r="AA885">
            <v>77</v>
          </cell>
          <cell r="AB885">
            <v>96</v>
          </cell>
          <cell r="AC885">
            <v>80</v>
          </cell>
          <cell r="AD885">
            <v>13.49</v>
          </cell>
          <cell r="AE885">
            <v>4.12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2305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Y885">
            <v>580213.80000000005</v>
          </cell>
        </row>
        <row r="886">
          <cell r="A886">
            <v>2</v>
          </cell>
          <cell r="B886" t="str">
            <v>12</v>
          </cell>
          <cell r="C886" t="str">
            <v>000</v>
          </cell>
          <cell r="D886" t="str">
            <v>1</v>
          </cell>
          <cell r="E886" t="str">
            <v>306</v>
          </cell>
          <cell r="F886" t="str">
            <v>N000</v>
          </cell>
          <cell r="G886" t="str">
            <v>413</v>
          </cell>
          <cell r="H886" t="str">
            <v>1103</v>
          </cell>
          <cell r="I886" t="str">
            <v>M02034</v>
          </cell>
          <cell r="K886" t="str">
            <v>2</v>
          </cell>
          <cell r="L886">
            <v>1</v>
          </cell>
          <cell r="M886">
            <v>0</v>
          </cell>
          <cell r="N886">
            <v>3826</v>
          </cell>
          <cell r="O886" t="str">
            <v>M</v>
          </cell>
          <cell r="P886" t="str">
            <v>00000000</v>
          </cell>
          <cell r="Q886">
            <v>0</v>
          </cell>
          <cell r="R886">
            <v>552.64</v>
          </cell>
          <cell r="S886">
            <v>106.28</v>
          </cell>
          <cell r="T886">
            <v>487.81</v>
          </cell>
          <cell r="U886">
            <v>191.3</v>
          </cell>
          <cell r="V886">
            <v>68.87</v>
          </cell>
          <cell r="W886">
            <v>76.52</v>
          </cell>
          <cell r="X886">
            <v>46</v>
          </cell>
          <cell r="Y886">
            <v>0</v>
          </cell>
          <cell r="Z886">
            <v>152.41999999999999</v>
          </cell>
          <cell r="AA886">
            <v>77</v>
          </cell>
          <cell r="AB886">
            <v>96</v>
          </cell>
          <cell r="AC886">
            <v>80</v>
          </cell>
          <cell r="AD886">
            <v>13.49</v>
          </cell>
          <cell r="AE886">
            <v>3.19</v>
          </cell>
          <cell r="AF886">
            <v>0</v>
          </cell>
          <cell r="AG886">
            <v>0</v>
          </cell>
          <cell r="AH886">
            <v>788</v>
          </cell>
          <cell r="AI886">
            <v>0</v>
          </cell>
          <cell r="AJ886">
            <v>2046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Y886">
            <v>103338.24000000001</v>
          </cell>
        </row>
        <row r="887">
          <cell r="A887">
            <v>2</v>
          </cell>
          <cell r="B887" t="str">
            <v>12</v>
          </cell>
          <cell r="C887" t="str">
            <v>000</v>
          </cell>
          <cell r="D887" t="str">
            <v>1</v>
          </cell>
          <cell r="E887" t="str">
            <v>306</v>
          </cell>
          <cell r="F887" t="str">
            <v>N000</v>
          </cell>
          <cell r="G887" t="str">
            <v>413</v>
          </cell>
          <cell r="H887" t="str">
            <v>1103</v>
          </cell>
          <cell r="I887" t="str">
            <v>M02035</v>
          </cell>
          <cell r="K887" t="str">
            <v>2</v>
          </cell>
          <cell r="L887">
            <v>1</v>
          </cell>
          <cell r="M887">
            <v>0</v>
          </cell>
          <cell r="N887">
            <v>3388</v>
          </cell>
          <cell r="O887" t="str">
            <v>M</v>
          </cell>
          <cell r="P887" t="str">
            <v>00000000</v>
          </cell>
          <cell r="Q887">
            <v>0</v>
          </cell>
          <cell r="R887">
            <v>489.38</v>
          </cell>
          <cell r="S887">
            <v>94.11</v>
          </cell>
          <cell r="T887">
            <v>431.97</v>
          </cell>
          <cell r="U887">
            <v>169.4</v>
          </cell>
          <cell r="V887">
            <v>60.98</v>
          </cell>
          <cell r="W887">
            <v>67.760000000000005</v>
          </cell>
          <cell r="X887">
            <v>46</v>
          </cell>
          <cell r="Y887">
            <v>0</v>
          </cell>
          <cell r="Z887">
            <v>137.35</v>
          </cell>
          <cell r="AA887">
            <v>77</v>
          </cell>
          <cell r="AB887">
            <v>96</v>
          </cell>
          <cell r="AC887">
            <v>80</v>
          </cell>
          <cell r="AD887">
            <v>13.49</v>
          </cell>
          <cell r="AE887">
            <v>2.82</v>
          </cell>
          <cell r="AF887">
            <v>0</v>
          </cell>
          <cell r="AG887">
            <v>0</v>
          </cell>
          <cell r="AH887">
            <v>734</v>
          </cell>
          <cell r="AI887">
            <v>0</v>
          </cell>
          <cell r="AJ887">
            <v>1860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Y887">
            <v>92979.12</v>
          </cell>
        </row>
        <row r="888">
          <cell r="A888">
            <v>2</v>
          </cell>
          <cell r="B888" t="str">
            <v>12</v>
          </cell>
          <cell r="C888" t="str">
            <v>000</v>
          </cell>
          <cell r="D888" t="str">
            <v>1</v>
          </cell>
          <cell r="E888" t="str">
            <v>306</v>
          </cell>
          <cell r="F888" t="str">
            <v>N000</v>
          </cell>
          <cell r="G888" t="str">
            <v>413</v>
          </cell>
          <cell r="H888" t="str">
            <v>1103</v>
          </cell>
          <cell r="I888" t="str">
            <v>M02040</v>
          </cell>
          <cell r="K888" t="str">
            <v>2</v>
          </cell>
          <cell r="L888">
            <v>4</v>
          </cell>
          <cell r="M888">
            <v>0</v>
          </cell>
          <cell r="N888">
            <v>3314</v>
          </cell>
          <cell r="O888" t="str">
            <v>M</v>
          </cell>
          <cell r="P888" t="str">
            <v>00000000</v>
          </cell>
          <cell r="Q888">
            <v>0</v>
          </cell>
          <cell r="R888">
            <v>478.69</v>
          </cell>
          <cell r="S888">
            <v>92.06</v>
          </cell>
          <cell r="T888">
            <v>422.54</v>
          </cell>
          <cell r="U888">
            <v>165.7</v>
          </cell>
          <cell r="V888">
            <v>59.65</v>
          </cell>
          <cell r="W888">
            <v>66.28</v>
          </cell>
          <cell r="X888">
            <v>61.5</v>
          </cell>
          <cell r="Y888">
            <v>0</v>
          </cell>
          <cell r="Z888">
            <v>119</v>
          </cell>
          <cell r="AA888">
            <v>77</v>
          </cell>
          <cell r="AB888">
            <v>96</v>
          </cell>
          <cell r="AC888">
            <v>80</v>
          </cell>
          <cell r="AD888">
            <v>13.49</v>
          </cell>
          <cell r="AE888">
            <v>2.76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1748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Y888">
            <v>326240.15999999997</v>
          </cell>
        </row>
        <row r="889">
          <cell r="A889">
            <v>2</v>
          </cell>
          <cell r="B889" t="str">
            <v>12</v>
          </cell>
          <cell r="C889" t="str">
            <v>000</v>
          </cell>
          <cell r="D889" t="str">
            <v>1</v>
          </cell>
          <cell r="E889" t="str">
            <v>306</v>
          </cell>
          <cell r="F889" t="str">
            <v>N000</v>
          </cell>
          <cell r="G889" t="str">
            <v>413</v>
          </cell>
          <cell r="H889" t="str">
            <v>1103</v>
          </cell>
          <cell r="I889" t="str">
            <v>M02046</v>
          </cell>
          <cell r="K889" t="str">
            <v>2</v>
          </cell>
          <cell r="L889">
            <v>1</v>
          </cell>
          <cell r="M889">
            <v>0</v>
          </cell>
          <cell r="N889">
            <v>2793</v>
          </cell>
          <cell r="O889" t="str">
            <v>M</v>
          </cell>
          <cell r="P889" t="str">
            <v>00000000</v>
          </cell>
          <cell r="Q889">
            <v>0</v>
          </cell>
          <cell r="R889">
            <v>403.43</v>
          </cell>
          <cell r="S889">
            <v>77.58</v>
          </cell>
          <cell r="T889">
            <v>356.11</v>
          </cell>
          <cell r="U889">
            <v>139.65</v>
          </cell>
          <cell r="V889">
            <v>50.27</v>
          </cell>
          <cell r="W889">
            <v>55.86</v>
          </cell>
          <cell r="X889">
            <v>0</v>
          </cell>
          <cell r="Y889">
            <v>0</v>
          </cell>
          <cell r="Z889">
            <v>95.79</v>
          </cell>
          <cell r="AA889">
            <v>77</v>
          </cell>
          <cell r="AB889">
            <v>96</v>
          </cell>
          <cell r="AC889">
            <v>80</v>
          </cell>
          <cell r="AD889">
            <v>13.49</v>
          </cell>
          <cell r="AE889">
            <v>2.33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1260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Y889">
            <v>66006.12</v>
          </cell>
        </row>
        <row r="890">
          <cell r="A890">
            <v>2</v>
          </cell>
          <cell r="B890" t="str">
            <v>12</v>
          </cell>
          <cell r="C890" t="str">
            <v>000</v>
          </cell>
          <cell r="D890" t="str">
            <v>1</v>
          </cell>
          <cell r="E890" t="str">
            <v>306</v>
          </cell>
          <cell r="F890" t="str">
            <v>N000</v>
          </cell>
          <cell r="G890" t="str">
            <v>413</v>
          </cell>
          <cell r="H890" t="str">
            <v>1103</v>
          </cell>
          <cell r="I890" t="str">
            <v>M02066</v>
          </cell>
          <cell r="K890" t="str">
            <v>2</v>
          </cell>
          <cell r="L890">
            <v>1</v>
          </cell>
          <cell r="M890">
            <v>0</v>
          </cell>
          <cell r="N890">
            <v>3011</v>
          </cell>
          <cell r="O890" t="str">
            <v>M</v>
          </cell>
          <cell r="P890" t="str">
            <v>00000000</v>
          </cell>
          <cell r="Q890">
            <v>0</v>
          </cell>
          <cell r="R890">
            <v>434.92</v>
          </cell>
          <cell r="S890">
            <v>83.64</v>
          </cell>
          <cell r="T890">
            <v>383.9</v>
          </cell>
          <cell r="U890">
            <v>150.55000000000001</v>
          </cell>
          <cell r="V890">
            <v>54.2</v>
          </cell>
          <cell r="W890">
            <v>60.22</v>
          </cell>
          <cell r="X890">
            <v>0</v>
          </cell>
          <cell r="Y890">
            <v>0</v>
          </cell>
          <cell r="Z890">
            <v>102</v>
          </cell>
          <cell r="AA890">
            <v>77</v>
          </cell>
          <cell r="AB890">
            <v>96</v>
          </cell>
          <cell r="AC890">
            <v>80</v>
          </cell>
          <cell r="AD890">
            <v>13.49</v>
          </cell>
          <cell r="AE890">
            <v>2.5099999999999998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1315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Y890">
            <v>70373.16</v>
          </cell>
        </row>
        <row r="891">
          <cell r="A891">
            <v>2</v>
          </cell>
          <cell r="B891" t="str">
            <v>12</v>
          </cell>
          <cell r="C891" t="str">
            <v>000</v>
          </cell>
          <cell r="D891" t="str">
            <v>1</v>
          </cell>
          <cell r="E891" t="str">
            <v>306</v>
          </cell>
          <cell r="F891" t="str">
            <v>N000</v>
          </cell>
          <cell r="G891" t="str">
            <v>413</v>
          </cell>
          <cell r="H891" t="str">
            <v>1103</v>
          </cell>
          <cell r="I891" t="str">
            <v>M02072</v>
          </cell>
          <cell r="K891" t="str">
            <v>2</v>
          </cell>
          <cell r="L891">
            <v>3</v>
          </cell>
          <cell r="M891">
            <v>0</v>
          </cell>
          <cell r="N891">
            <v>3812</v>
          </cell>
          <cell r="O891" t="str">
            <v>M</v>
          </cell>
          <cell r="P891" t="str">
            <v>00000000</v>
          </cell>
          <cell r="Q891">
            <v>0</v>
          </cell>
          <cell r="R891">
            <v>550.62</v>
          </cell>
          <cell r="S891">
            <v>105.89</v>
          </cell>
          <cell r="T891">
            <v>486.03</v>
          </cell>
          <cell r="U891">
            <v>190.6</v>
          </cell>
          <cell r="V891">
            <v>68.62</v>
          </cell>
          <cell r="W891">
            <v>76.239999999999995</v>
          </cell>
          <cell r="X891">
            <v>27.33</v>
          </cell>
          <cell r="Y891">
            <v>0</v>
          </cell>
          <cell r="Z891">
            <v>135.80000000000001</v>
          </cell>
          <cell r="AA891">
            <v>77</v>
          </cell>
          <cell r="AB891">
            <v>96</v>
          </cell>
          <cell r="AC891">
            <v>80</v>
          </cell>
          <cell r="AD891">
            <v>13.49</v>
          </cell>
          <cell r="AE891">
            <v>3.18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2038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Y891">
            <v>279388.79999999999</v>
          </cell>
        </row>
        <row r="892">
          <cell r="A892">
            <v>2</v>
          </cell>
          <cell r="B892" t="str">
            <v>12</v>
          </cell>
          <cell r="C892" t="str">
            <v>000</v>
          </cell>
          <cell r="D892" t="str">
            <v>1</v>
          </cell>
          <cell r="E892" t="str">
            <v>306</v>
          </cell>
          <cell r="F892" t="str">
            <v>N000</v>
          </cell>
          <cell r="G892" t="str">
            <v>413</v>
          </cell>
          <cell r="H892" t="str">
            <v>1103</v>
          </cell>
          <cell r="I892" t="str">
            <v>M03001</v>
          </cell>
          <cell r="K892" t="str">
            <v>2</v>
          </cell>
          <cell r="L892">
            <v>1</v>
          </cell>
          <cell r="M892">
            <v>0</v>
          </cell>
          <cell r="N892">
            <v>5234</v>
          </cell>
          <cell r="O892" t="str">
            <v>M</v>
          </cell>
          <cell r="P892" t="str">
            <v>00000000</v>
          </cell>
          <cell r="Q892">
            <v>0</v>
          </cell>
          <cell r="R892">
            <v>756.02</v>
          </cell>
          <cell r="S892">
            <v>145.38999999999999</v>
          </cell>
          <cell r="T892">
            <v>667.34</v>
          </cell>
          <cell r="U892">
            <v>261.7</v>
          </cell>
          <cell r="V892">
            <v>94.21</v>
          </cell>
          <cell r="W892">
            <v>104.68</v>
          </cell>
          <cell r="X892">
            <v>46</v>
          </cell>
          <cell r="Y892">
            <v>0</v>
          </cell>
          <cell r="Z892">
            <v>176.1</v>
          </cell>
          <cell r="AA892">
            <v>77</v>
          </cell>
          <cell r="AB892">
            <v>96</v>
          </cell>
          <cell r="AC892">
            <v>80</v>
          </cell>
          <cell r="AD892">
            <v>13.49</v>
          </cell>
          <cell r="AE892">
            <v>4.3600000000000003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2366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Y892">
            <v>121467.48</v>
          </cell>
        </row>
        <row r="893">
          <cell r="A893">
            <v>2</v>
          </cell>
          <cell r="B893" t="str">
            <v>12</v>
          </cell>
          <cell r="C893" t="str">
            <v>000</v>
          </cell>
          <cell r="D893" t="str">
            <v>1</v>
          </cell>
          <cell r="E893" t="str">
            <v>306</v>
          </cell>
          <cell r="F893" t="str">
            <v>N000</v>
          </cell>
          <cell r="G893" t="str">
            <v>413</v>
          </cell>
          <cell r="H893" t="str">
            <v>1103</v>
          </cell>
          <cell r="I893" t="str">
            <v>S01811</v>
          </cell>
          <cell r="J893" t="str">
            <v>25</v>
          </cell>
          <cell r="K893" t="str">
            <v>2</v>
          </cell>
          <cell r="L893">
            <v>1</v>
          </cell>
          <cell r="M893">
            <v>0</v>
          </cell>
          <cell r="N893">
            <v>2572.4</v>
          </cell>
          <cell r="O893" t="str">
            <v>M</v>
          </cell>
          <cell r="P893" t="str">
            <v>00000000</v>
          </cell>
          <cell r="Q893">
            <v>0</v>
          </cell>
          <cell r="R893">
            <v>371.57</v>
          </cell>
          <cell r="S893">
            <v>71.459999999999994</v>
          </cell>
          <cell r="T893">
            <v>327.98</v>
          </cell>
          <cell r="U893">
            <v>128.62</v>
          </cell>
          <cell r="V893">
            <v>46.3</v>
          </cell>
          <cell r="W893">
            <v>51.45</v>
          </cell>
          <cell r="X893">
            <v>0</v>
          </cell>
          <cell r="Y893">
            <v>0</v>
          </cell>
          <cell r="Z893">
            <v>65.37</v>
          </cell>
          <cell r="AA893">
            <v>77</v>
          </cell>
          <cell r="AB893">
            <v>96</v>
          </cell>
          <cell r="AC893">
            <v>80</v>
          </cell>
          <cell r="AD893">
            <v>13.49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Y893">
            <v>46819.68</v>
          </cell>
        </row>
        <row r="894">
          <cell r="A894">
            <v>2</v>
          </cell>
          <cell r="B894" t="str">
            <v>12</v>
          </cell>
          <cell r="C894" t="str">
            <v>000</v>
          </cell>
          <cell r="D894" t="str">
            <v>1</v>
          </cell>
          <cell r="E894" t="str">
            <v>306</v>
          </cell>
          <cell r="F894" t="str">
            <v>N000</v>
          </cell>
          <cell r="G894" t="str">
            <v>413</v>
          </cell>
          <cell r="H894" t="str">
            <v>1103</v>
          </cell>
          <cell r="I894" t="str">
            <v>S03810</v>
          </cell>
          <cell r="J894" t="str">
            <v>22</v>
          </cell>
          <cell r="K894" t="str">
            <v>2</v>
          </cell>
          <cell r="L894">
            <v>1</v>
          </cell>
          <cell r="M894">
            <v>0</v>
          </cell>
          <cell r="N894">
            <v>2342.3000000000002</v>
          </cell>
          <cell r="O894" t="str">
            <v>M</v>
          </cell>
          <cell r="P894" t="str">
            <v>00000000</v>
          </cell>
          <cell r="Q894">
            <v>0</v>
          </cell>
          <cell r="R894">
            <v>338.33</v>
          </cell>
          <cell r="S894">
            <v>65.06</v>
          </cell>
          <cell r="T894">
            <v>298.64</v>
          </cell>
          <cell r="U894">
            <v>117.12</v>
          </cell>
          <cell r="V894">
            <v>42.16</v>
          </cell>
          <cell r="W894">
            <v>46.85</v>
          </cell>
          <cell r="X894">
            <v>0</v>
          </cell>
          <cell r="Y894">
            <v>0</v>
          </cell>
          <cell r="Z894">
            <v>59.97</v>
          </cell>
          <cell r="AA894">
            <v>77</v>
          </cell>
          <cell r="AB894">
            <v>96</v>
          </cell>
          <cell r="AC894">
            <v>80</v>
          </cell>
          <cell r="AD894">
            <v>13.49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Y894">
            <v>42923.040000000001</v>
          </cell>
        </row>
        <row r="895">
          <cell r="A895">
            <v>2</v>
          </cell>
          <cell r="B895" t="str">
            <v>12</v>
          </cell>
          <cell r="C895" t="str">
            <v>000</v>
          </cell>
          <cell r="D895" t="str">
            <v>1</v>
          </cell>
          <cell r="E895" t="str">
            <v>306</v>
          </cell>
          <cell r="F895" t="str">
            <v>N000</v>
          </cell>
          <cell r="G895" t="str">
            <v>413</v>
          </cell>
          <cell r="H895" t="str">
            <v>1103</v>
          </cell>
          <cell r="I895" t="str">
            <v>S05810</v>
          </cell>
          <cell r="J895" t="str">
            <v>27</v>
          </cell>
          <cell r="K895" t="str">
            <v>2</v>
          </cell>
          <cell r="L895">
            <v>1</v>
          </cell>
          <cell r="M895">
            <v>0</v>
          </cell>
          <cell r="N895">
            <v>2817.8</v>
          </cell>
          <cell r="O895" t="str">
            <v>M</v>
          </cell>
          <cell r="P895" t="str">
            <v>00000000</v>
          </cell>
          <cell r="Q895">
            <v>0</v>
          </cell>
          <cell r="R895">
            <v>407.02</v>
          </cell>
          <cell r="S895">
            <v>78.27</v>
          </cell>
          <cell r="T895">
            <v>359.27</v>
          </cell>
          <cell r="U895">
            <v>140.88999999999999</v>
          </cell>
          <cell r="V895">
            <v>50.72</v>
          </cell>
          <cell r="W895">
            <v>56.36</v>
          </cell>
          <cell r="X895">
            <v>82</v>
          </cell>
          <cell r="Y895">
            <v>0</v>
          </cell>
          <cell r="Z895">
            <v>72.760000000000005</v>
          </cell>
          <cell r="AA895">
            <v>77</v>
          </cell>
          <cell r="AB895">
            <v>96</v>
          </cell>
          <cell r="AC895">
            <v>80</v>
          </cell>
          <cell r="AD895">
            <v>13.49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Y895">
            <v>51978.96</v>
          </cell>
        </row>
        <row r="896">
          <cell r="A896">
            <v>2</v>
          </cell>
          <cell r="B896" t="str">
            <v>12</v>
          </cell>
          <cell r="C896" t="str">
            <v>000</v>
          </cell>
          <cell r="D896" t="str">
            <v>1</v>
          </cell>
          <cell r="E896" t="str">
            <v>306</v>
          </cell>
          <cell r="F896" t="str">
            <v>N000</v>
          </cell>
          <cell r="G896" t="str">
            <v>413</v>
          </cell>
          <cell r="H896" t="str">
            <v>1103</v>
          </cell>
          <cell r="I896" t="str">
            <v>T06803</v>
          </cell>
          <cell r="J896" t="str">
            <v>26</v>
          </cell>
          <cell r="K896" t="str">
            <v>2</v>
          </cell>
          <cell r="L896">
            <v>1</v>
          </cell>
          <cell r="M896">
            <v>0</v>
          </cell>
          <cell r="N896">
            <v>2692.2</v>
          </cell>
          <cell r="O896" t="str">
            <v>M</v>
          </cell>
          <cell r="P896" t="str">
            <v>00000000</v>
          </cell>
          <cell r="Q896">
            <v>0</v>
          </cell>
          <cell r="R896">
            <v>388.87</v>
          </cell>
          <cell r="S896">
            <v>74.78</v>
          </cell>
          <cell r="T896">
            <v>343.26</v>
          </cell>
          <cell r="U896">
            <v>134.61000000000001</v>
          </cell>
          <cell r="V896">
            <v>48.46</v>
          </cell>
          <cell r="W896">
            <v>53.84</v>
          </cell>
          <cell r="X896">
            <v>82</v>
          </cell>
          <cell r="Y896">
            <v>0</v>
          </cell>
          <cell r="Z896">
            <v>69.819999999999993</v>
          </cell>
          <cell r="AA896">
            <v>77</v>
          </cell>
          <cell r="AB896">
            <v>96</v>
          </cell>
          <cell r="AC896">
            <v>80</v>
          </cell>
          <cell r="AD896">
            <v>13.49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Y896">
            <v>49851.96</v>
          </cell>
        </row>
        <row r="897">
          <cell r="A897">
            <v>2</v>
          </cell>
          <cell r="B897" t="str">
            <v>12</v>
          </cell>
          <cell r="C897" t="str">
            <v>000</v>
          </cell>
          <cell r="D897" t="str">
            <v>1</v>
          </cell>
          <cell r="E897" t="str">
            <v>306</v>
          </cell>
          <cell r="F897" t="str">
            <v>N000</v>
          </cell>
          <cell r="G897" t="str">
            <v>413</v>
          </cell>
          <cell r="H897" t="str">
            <v>1103</v>
          </cell>
          <cell r="I897" t="str">
            <v>CF01059</v>
          </cell>
          <cell r="J897" t="str">
            <v>28</v>
          </cell>
          <cell r="K897" t="str">
            <v>1</v>
          </cell>
          <cell r="L897">
            <v>8</v>
          </cell>
          <cell r="M897">
            <v>0</v>
          </cell>
          <cell r="N897">
            <v>3631.8</v>
          </cell>
          <cell r="O897" t="str">
            <v>M</v>
          </cell>
          <cell r="P897" t="str">
            <v>00000000</v>
          </cell>
          <cell r="Q897">
            <v>8731.1</v>
          </cell>
          <cell r="R897">
            <v>524.59</v>
          </cell>
          <cell r="S897">
            <v>100.88</v>
          </cell>
          <cell r="T897">
            <v>463.05</v>
          </cell>
          <cell r="U897">
            <v>181.59</v>
          </cell>
          <cell r="V897">
            <v>222.53</v>
          </cell>
          <cell r="W897">
            <v>72.64</v>
          </cell>
          <cell r="X897">
            <v>22.75</v>
          </cell>
          <cell r="Y897">
            <v>618.15</v>
          </cell>
          <cell r="Z897">
            <v>261.76</v>
          </cell>
          <cell r="AA897">
            <v>77</v>
          </cell>
          <cell r="AB897">
            <v>0</v>
          </cell>
          <cell r="AC897">
            <v>0</v>
          </cell>
          <cell r="AD897">
            <v>13.49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Y897">
            <v>1432447.68</v>
          </cell>
        </row>
        <row r="898">
          <cell r="A898">
            <v>2</v>
          </cell>
          <cell r="B898" t="str">
            <v>12</v>
          </cell>
          <cell r="C898" t="str">
            <v>000</v>
          </cell>
          <cell r="D898" t="str">
            <v>1</v>
          </cell>
          <cell r="E898" t="str">
            <v>306</v>
          </cell>
          <cell r="F898" t="str">
            <v>N000</v>
          </cell>
          <cell r="G898" t="str">
            <v>413</v>
          </cell>
          <cell r="H898" t="str">
            <v>1103</v>
          </cell>
          <cell r="I898" t="str">
            <v>CF03809</v>
          </cell>
          <cell r="J898" t="str">
            <v>25</v>
          </cell>
          <cell r="K898" t="str">
            <v>2</v>
          </cell>
          <cell r="L898">
            <v>5</v>
          </cell>
          <cell r="M898">
            <v>0</v>
          </cell>
          <cell r="N898">
            <v>2572.4</v>
          </cell>
          <cell r="O898" t="str">
            <v>M</v>
          </cell>
          <cell r="P898" t="str">
            <v>00000000</v>
          </cell>
          <cell r="Q898">
            <v>0</v>
          </cell>
          <cell r="R898">
            <v>371.57</v>
          </cell>
          <cell r="S898">
            <v>71.459999999999994</v>
          </cell>
          <cell r="T898">
            <v>327.98</v>
          </cell>
          <cell r="U898">
            <v>128.62</v>
          </cell>
          <cell r="V898">
            <v>46.3</v>
          </cell>
          <cell r="W898">
            <v>51.45</v>
          </cell>
          <cell r="X898">
            <v>0</v>
          </cell>
          <cell r="Y898">
            <v>0</v>
          </cell>
          <cell r="Z898">
            <v>65.37</v>
          </cell>
          <cell r="AA898">
            <v>77</v>
          </cell>
          <cell r="AB898">
            <v>96</v>
          </cell>
          <cell r="AC898">
            <v>80</v>
          </cell>
          <cell r="AD898">
            <v>13.49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Y898">
            <v>234098.4</v>
          </cell>
        </row>
        <row r="899">
          <cell r="A899">
            <v>2</v>
          </cell>
          <cell r="B899" t="str">
            <v>12</v>
          </cell>
          <cell r="C899" t="str">
            <v>000</v>
          </cell>
          <cell r="D899" t="str">
            <v>1</v>
          </cell>
          <cell r="E899" t="str">
            <v>306</v>
          </cell>
          <cell r="F899" t="str">
            <v>N000</v>
          </cell>
          <cell r="G899" t="str">
            <v>413</v>
          </cell>
          <cell r="H899" t="str">
            <v>1103</v>
          </cell>
          <cell r="I899" t="str">
            <v>CF03820</v>
          </cell>
          <cell r="J899" t="str">
            <v>27Z</v>
          </cell>
          <cell r="K899" t="str">
            <v>2</v>
          </cell>
          <cell r="L899">
            <v>2</v>
          </cell>
          <cell r="M899">
            <v>0</v>
          </cell>
          <cell r="N899">
            <v>2900.25</v>
          </cell>
          <cell r="O899" t="str">
            <v>M</v>
          </cell>
          <cell r="P899" t="str">
            <v>00000000</v>
          </cell>
          <cell r="Q899">
            <v>205.15</v>
          </cell>
          <cell r="R899">
            <v>418.93</v>
          </cell>
          <cell r="S899">
            <v>80.56</v>
          </cell>
          <cell r="T899">
            <v>369.78</v>
          </cell>
          <cell r="U899">
            <v>145.01</v>
          </cell>
          <cell r="V899">
            <v>55.89</v>
          </cell>
          <cell r="W899">
            <v>58.01</v>
          </cell>
          <cell r="X899">
            <v>0</v>
          </cell>
          <cell r="Y899">
            <v>0</v>
          </cell>
          <cell r="Z899">
            <v>77.16</v>
          </cell>
          <cell r="AA899">
            <v>77</v>
          </cell>
          <cell r="AB899">
            <v>96</v>
          </cell>
          <cell r="AC899">
            <v>80</v>
          </cell>
          <cell r="AD899">
            <v>13.49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Y899">
            <v>109853.52</v>
          </cell>
        </row>
        <row r="900">
          <cell r="A900">
            <v>2</v>
          </cell>
          <cell r="B900" t="str">
            <v>12</v>
          </cell>
          <cell r="C900" t="str">
            <v>000</v>
          </cell>
          <cell r="D900" t="str">
            <v>1</v>
          </cell>
          <cell r="E900" t="str">
            <v>306</v>
          </cell>
          <cell r="F900" t="str">
            <v>N000</v>
          </cell>
          <cell r="G900" t="str">
            <v>413</v>
          </cell>
          <cell r="H900" t="str">
            <v>1103</v>
          </cell>
          <cell r="I900" t="str">
            <v>CF04806</v>
          </cell>
          <cell r="J900" t="str">
            <v>26</v>
          </cell>
          <cell r="K900" t="str">
            <v>2</v>
          </cell>
          <cell r="L900">
            <v>12</v>
          </cell>
          <cell r="M900">
            <v>0</v>
          </cell>
          <cell r="N900">
            <v>2692.2</v>
          </cell>
          <cell r="O900" t="str">
            <v>M</v>
          </cell>
          <cell r="P900" t="str">
            <v>00000000</v>
          </cell>
          <cell r="Q900">
            <v>0</v>
          </cell>
          <cell r="R900">
            <v>388.87</v>
          </cell>
          <cell r="S900">
            <v>74.78</v>
          </cell>
          <cell r="T900">
            <v>343.26</v>
          </cell>
          <cell r="U900">
            <v>134.61000000000001</v>
          </cell>
          <cell r="V900">
            <v>48.46</v>
          </cell>
          <cell r="W900">
            <v>53.84</v>
          </cell>
          <cell r="X900">
            <v>40.5</v>
          </cell>
          <cell r="Y900">
            <v>0</v>
          </cell>
          <cell r="Z900">
            <v>68.989999999999995</v>
          </cell>
          <cell r="AA900">
            <v>77</v>
          </cell>
          <cell r="AB900">
            <v>96</v>
          </cell>
          <cell r="AC900">
            <v>80</v>
          </cell>
          <cell r="AD900">
            <v>13.49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Y900">
            <v>592128</v>
          </cell>
        </row>
        <row r="901">
          <cell r="A901">
            <v>2</v>
          </cell>
          <cell r="B901" t="str">
            <v>12</v>
          </cell>
          <cell r="C901" t="str">
            <v>000</v>
          </cell>
          <cell r="D901" t="str">
            <v>1</v>
          </cell>
          <cell r="E901" t="str">
            <v>306</v>
          </cell>
          <cell r="F901" t="str">
            <v>N000</v>
          </cell>
          <cell r="G901" t="str">
            <v>413</v>
          </cell>
          <cell r="H901" t="str">
            <v>1103</v>
          </cell>
          <cell r="I901" t="str">
            <v>CF04807</v>
          </cell>
          <cell r="J901" t="str">
            <v>27Z</v>
          </cell>
          <cell r="K901" t="str">
            <v>2</v>
          </cell>
          <cell r="L901">
            <v>14</v>
          </cell>
          <cell r="M901">
            <v>0</v>
          </cell>
          <cell r="N901">
            <v>2900.25</v>
          </cell>
          <cell r="O901" t="str">
            <v>M</v>
          </cell>
          <cell r="P901" t="str">
            <v>00000000</v>
          </cell>
          <cell r="Q901">
            <v>205.15</v>
          </cell>
          <cell r="R901">
            <v>418.93</v>
          </cell>
          <cell r="S901">
            <v>80.56</v>
          </cell>
          <cell r="T901">
            <v>369.78</v>
          </cell>
          <cell r="U901">
            <v>145.01</v>
          </cell>
          <cell r="V901">
            <v>55.89</v>
          </cell>
          <cell r="W901">
            <v>58.01</v>
          </cell>
          <cell r="X901">
            <v>45</v>
          </cell>
          <cell r="Y901">
            <v>0</v>
          </cell>
          <cell r="Z901">
            <v>78.06</v>
          </cell>
          <cell r="AA901">
            <v>77</v>
          </cell>
          <cell r="AB901">
            <v>96</v>
          </cell>
          <cell r="AC901">
            <v>80</v>
          </cell>
          <cell r="AD901">
            <v>13.49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Y901">
            <v>776685.84</v>
          </cell>
        </row>
        <row r="902">
          <cell r="A902">
            <v>2</v>
          </cell>
          <cell r="B902" t="str">
            <v>12</v>
          </cell>
          <cell r="C902" t="str">
            <v>000</v>
          </cell>
          <cell r="D902" t="str">
            <v>1</v>
          </cell>
          <cell r="E902" t="str">
            <v>306</v>
          </cell>
          <cell r="F902" t="str">
            <v>N000</v>
          </cell>
          <cell r="G902" t="str">
            <v>413</v>
          </cell>
          <cell r="H902" t="str">
            <v>1103</v>
          </cell>
          <cell r="I902" t="str">
            <v>CF04808</v>
          </cell>
          <cell r="J902" t="str">
            <v>27ZA</v>
          </cell>
          <cell r="K902" t="str">
            <v>2</v>
          </cell>
          <cell r="L902">
            <v>18</v>
          </cell>
          <cell r="M902">
            <v>0</v>
          </cell>
          <cell r="N902">
            <v>2982.9</v>
          </cell>
          <cell r="O902" t="str">
            <v>M</v>
          </cell>
          <cell r="P902" t="str">
            <v>00000000</v>
          </cell>
          <cell r="Q902">
            <v>579.4</v>
          </cell>
          <cell r="R902">
            <v>430.86</v>
          </cell>
          <cell r="S902">
            <v>82.86</v>
          </cell>
          <cell r="T902">
            <v>380.32</v>
          </cell>
          <cell r="U902">
            <v>149.15</v>
          </cell>
          <cell r="V902">
            <v>64.12</v>
          </cell>
          <cell r="W902">
            <v>59.66</v>
          </cell>
          <cell r="X902">
            <v>42.61</v>
          </cell>
          <cell r="Y902">
            <v>0</v>
          </cell>
          <cell r="Z902">
            <v>87.43</v>
          </cell>
          <cell r="AA902">
            <v>77</v>
          </cell>
          <cell r="AB902">
            <v>96</v>
          </cell>
          <cell r="AC902">
            <v>80</v>
          </cell>
          <cell r="AD902">
            <v>13.49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Y902">
            <v>1107172.8</v>
          </cell>
        </row>
        <row r="903">
          <cell r="A903">
            <v>2</v>
          </cell>
          <cell r="B903" t="str">
            <v>12</v>
          </cell>
          <cell r="C903" t="str">
            <v>000</v>
          </cell>
          <cell r="D903" t="str">
            <v>1</v>
          </cell>
          <cell r="E903" t="str">
            <v>306</v>
          </cell>
          <cell r="F903" t="str">
            <v>N000</v>
          </cell>
          <cell r="G903" t="str">
            <v>413</v>
          </cell>
          <cell r="H903" t="str">
            <v>1103</v>
          </cell>
          <cell r="I903" t="str">
            <v>CF04809</v>
          </cell>
          <cell r="J903" t="str">
            <v>27ZB</v>
          </cell>
          <cell r="K903" t="str">
            <v>2</v>
          </cell>
          <cell r="L903">
            <v>1</v>
          </cell>
          <cell r="M903">
            <v>0</v>
          </cell>
          <cell r="N903">
            <v>3008.65</v>
          </cell>
          <cell r="O903" t="str">
            <v>M</v>
          </cell>
          <cell r="P903" t="str">
            <v>00000000</v>
          </cell>
          <cell r="Q903">
            <v>857</v>
          </cell>
          <cell r="R903">
            <v>434.58</v>
          </cell>
          <cell r="S903">
            <v>83.57</v>
          </cell>
          <cell r="T903">
            <v>383.6</v>
          </cell>
          <cell r="U903">
            <v>150.43</v>
          </cell>
          <cell r="V903">
            <v>69.59</v>
          </cell>
          <cell r="W903">
            <v>60.17</v>
          </cell>
          <cell r="X903">
            <v>0</v>
          </cell>
          <cell r="Y903">
            <v>0</v>
          </cell>
          <cell r="Z903">
            <v>92.74</v>
          </cell>
          <cell r="AA903">
            <v>77</v>
          </cell>
          <cell r="AB903">
            <v>96</v>
          </cell>
          <cell r="AC903">
            <v>80</v>
          </cell>
          <cell r="AD903">
            <v>13.49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Y903">
            <v>64881.84</v>
          </cell>
        </row>
        <row r="904">
          <cell r="A904">
            <v>2</v>
          </cell>
          <cell r="B904" t="str">
            <v>12</v>
          </cell>
          <cell r="C904" t="str">
            <v>000</v>
          </cell>
          <cell r="D904" t="str">
            <v>1</v>
          </cell>
          <cell r="E904" t="str">
            <v>306</v>
          </cell>
          <cell r="F904" t="str">
            <v>N000</v>
          </cell>
          <cell r="G904" t="str">
            <v>413</v>
          </cell>
          <cell r="H904" t="str">
            <v>1103</v>
          </cell>
          <cell r="I904" t="str">
            <v>CF21829</v>
          </cell>
          <cell r="J904" t="str">
            <v>27ZB</v>
          </cell>
          <cell r="K904" t="str">
            <v>2</v>
          </cell>
          <cell r="L904">
            <v>1</v>
          </cell>
          <cell r="M904">
            <v>0</v>
          </cell>
          <cell r="N904">
            <v>3008.65</v>
          </cell>
          <cell r="O904" t="str">
            <v>M</v>
          </cell>
          <cell r="P904" t="str">
            <v>00000000</v>
          </cell>
          <cell r="Q904">
            <v>857</v>
          </cell>
          <cell r="R904">
            <v>434.58</v>
          </cell>
          <cell r="S904">
            <v>83.57</v>
          </cell>
          <cell r="T904">
            <v>383.6</v>
          </cell>
          <cell r="U904">
            <v>150.43</v>
          </cell>
          <cell r="V904">
            <v>69.59</v>
          </cell>
          <cell r="W904">
            <v>60.17</v>
          </cell>
          <cell r="X904">
            <v>0</v>
          </cell>
          <cell r="Y904">
            <v>0</v>
          </cell>
          <cell r="Z904">
            <v>92.74</v>
          </cell>
          <cell r="AA904">
            <v>77</v>
          </cell>
          <cell r="AB904">
            <v>96</v>
          </cell>
          <cell r="AC904">
            <v>80</v>
          </cell>
          <cell r="AD904">
            <v>13.49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Y904">
            <v>64881.84</v>
          </cell>
        </row>
        <row r="905">
          <cell r="A905">
            <v>2</v>
          </cell>
          <cell r="B905" t="str">
            <v>12</v>
          </cell>
          <cell r="C905" t="str">
            <v>000</v>
          </cell>
          <cell r="D905" t="str">
            <v>1</v>
          </cell>
          <cell r="E905" t="str">
            <v>306</v>
          </cell>
          <cell r="F905" t="str">
            <v>N000</v>
          </cell>
          <cell r="G905" t="str">
            <v>413</v>
          </cell>
          <cell r="H905" t="str">
            <v>1103</v>
          </cell>
          <cell r="I905" t="str">
            <v>CF21856</v>
          </cell>
          <cell r="J905" t="str">
            <v>27Z</v>
          </cell>
          <cell r="K905" t="str">
            <v>2</v>
          </cell>
          <cell r="L905">
            <v>1</v>
          </cell>
          <cell r="M905">
            <v>0</v>
          </cell>
          <cell r="N905">
            <v>2900.25</v>
          </cell>
          <cell r="O905" t="str">
            <v>M</v>
          </cell>
          <cell r="P905" t="str">
            <v>00000000</v>
          </cell>
          <cell r="Q905">
            <v>205.15</v>
          </cell>
          <cell r="R905">
            <v>418.93</v>
          </cell>
          <cell r="S905">
            <v>80.56</v>
          </cell>
          <cell r="T905">
            <v>369.78</v>
          </cell>
          <cell r="U905">
            <v>145.01</v>
          </cell>
          <cell r="V905">
            <v>55.89</v>
          </cell>
          <cell r="W905">
            <v>58.01</v>
          </cell>
          <cell r="X905">
            <v>0</v>
          </cell>
          <cell r="Y905">
            <v>0</v>
          </cell>
          <cell r="Z905">
            <v>77.16</v>
          </cell>
          <cell r="AA905">
            <v>77</v>
          </cell>
          <cell r="AB905">
            <v>96</v>
          </cell>
          <cell r="AC905">
            <v>80</v>
          </cell>
          <cell r="AD905">
            <v>13.49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Y905">
            <v>54926.76</v>
          </cell>
        </row>
        <row r="906">
          <cell r="A906">
            <v>2</v>
          </cell>
          <cell r="B906" t="str">
            <v>12</v>
          </cell>
          <cell r="C906" t="str">
            <v>000</v>
          </cell>
          <cell r="D906" t="str">
            <v>1</v>
          </cell>
          <cell r="E906" t="str">
            <v>306</v>
          </cell>
          <cell r="F906" t="str">
            <v>N000</v>
          </cell>
          <cell r="G906" t="str">
            <v>413</v>
          </cell>
          <cell r="H906" t="str">
            <v>1103</v>
          </cell>
          <cell r="I906" t="str">
            <v>CF21858</v>
          </cell>
          <cell r="J906" t="str">
            <v>27ZA</v>
          </cell>
          <cell r="K906" t="str">
            <v>2</v>
          </cell>
          <cell r="L906">
            <v>1</v>
          </cell>
          <cell r="M906">
            <v>0</v>
          </cell>
          <cell r="N906">
            <v>2982.9</v>
          </cell>
          <cell r="O906" t="str">
            <v>M</v>
          </cell>
          <cell r="P906" t="str">
            <v>00000000</v>
          </cell>
          <cell r="Q906">
            <v>579.4</v>
          </cell>
          <cell r="R906">
            <v>430.86</v>
          </cell>
          <cell r="S906">
            <v>82.86</v>
          </cell>
          <cell r="T906">
            <v>380.32</v>
          </cell>
          <cell r="U906">
            <v>149.15</v>
          </cell>
          <cell r="V906">
            <v>64.12</v>
          </cell>
          <cell r="W906">
            <v>59.66</v>
          </cell>
          <cell r="X906">
            <v>82</v>
          </cell>
          <cell r="Y906">
            <v>0</v>
          </cell>
          <cell r="Z906">
            <v>88.22</v>
          </cell>
          <cell r="AA906">
            <v>77</v>
          </cell>
          <cell r="AB906">
            <v>96</v>
          </cell>
          <cell r="AC906">
            <v>80</v>
          </cell>
          <cell r="AD906">
            <v>13.49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Y906">
            <v>61991.76</v>
          </cell>
        </row>
        <row r="907">
          <cell r="A907">
            <v>2</v>
          </cell>
          <cell r="B907" t="str">
            <v>12</v>
          </cell>
          <cell r="C907" t="str">
            <v>000</v>
          </cell>
          <cell r="D907" t="str">
            <v>1</v>
          </cell>
          <cell r="E907" t="str">
            <v>306</v>
          </cell>
          <cell r="F907" t="str">
            <v>N000</v>
          </cell>
          <cell r="G907" t="str">
            <v>413</v>
          </cell>
          <cell r="H907" t="str">
            <v>1103</v>
          </cell>
          <cell r="I907" t="str">
            <v>CF21859</v>
          </cell>
          <cell r="J907" t="str">
            <v>27ZB</v>
          </cell>
          <cell r="K907" t="str">
            <v>2</v>
          </cell>
          <cell r="L907">
            <v>2</v>
          </cell>
          <cell r="M907">
            <v>0</v>
          </cell>
          <cell r="N907">
            <v>3008.65</v>
          </cell>
          <cell r="O907" t="str">
            <v>M</v>
          </cell>
          <cell r="P907" t="str">
            <v>00000000</v>
          </cell>
          <cell r="Q907">
            <v>857</v>
          </cell>
          <cell r="R907">
            <v>434.58</v>
          </cell>
          <cell r="S907">
            <v>83.57</v>
          </cell>
          <cell r="T907">
            <v>383.6</v>
          </cell>
          <cell r="U907">
            <v>150.43</v>
          </cell>
          <cell r="V907">
            <v>69.59</v>
          </cell>
          <cell r="W907">
            <v>60.17</v>
          </cell>
          <cell r="X907">
            <v>150</v>
          </cell>
          <cell r="Y907">
            <v>0</v>
          </cell>
          <cell r="Z907">
            <v>95.74</v>
          </cell>
          <cell r="AA907">
            <v>77</v>
          </cell>
          <cell r="AB907">
            <v>96</v>
          </cell>
          <cell r="AC907">
            <v>80</v>
          </cell>
          <cell r="AD907">
            <v>13.49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Y907">
            <v>133435.68</v>
          </cell>
        </row>
        <row r="908">
          <cell r="A908">
            <v>2</v>
          </cell>
          <cell r="B908" t="str">
            <v>12</v>
          </cell>
          <cell r="C908" t="str">
            <v>000</v>
          </cell>
          <cell r="D908" t="str">
            <v>1</v>
          </cell>
          <cell r="E908" t="str">
            <v>306</v>
          </cell>
          <cell r="F908" t="str">
            <v>N000</v>
          </cell>
          <cell r="G908" t="str">
            <v>413</v>
          </cell>
          <cell r="H908" t="str">
            <v>1103</v>
          </cell>
          <cell r="I908" t="str">
            <v>CF21864</v>
          </cell>
          <cell r="J908" t="str">
            <v>27C</v>
          </cell>
          <cell r="K908" t="str">
            <v>1</v>
          </cell>
          <cell r="L908">
            <v>1</v>
          </cell>
          <cell r="M908">
            <v>0</v>
          </cell>
          <cell r="N908">
            <v>3268.2</v>
          </cell>
          <cell r="O908" t="str">
            <v>M</v>
          </cell>
          <cell r="P908" t="str">
            <v>00000000</v>
          </cell>
          <cell r="Q908">
            <v>4783.05</v>
          </cell>
          <cell r="R908">
            <v>472.07</v>
          </cell>
          <cell r="S908">
            <v>90.78</v>
          </cell>
          <cell r="T908">
            <v>416.7</v>
          </cell>
          <cell r="U908">
            <v>163.41</v>
          </cell>
          <cell r="V908">
            <v>144.91999999999999</v>
          </cell>
          <cell r="W908">
            <v>65.36</v>
          </cell>
          <cell r="X908">
            <v>0</v>
          </cell>
          <cell r="Y908">
            <v>0</v>
          </cell>
          <cell r="Z908">
            <v>173.82</v>
          </cell>
          <cell r="AA908">
            <v>77</v>
          </cell>
          <cell r="AB908">
            <v>0</v>
          </cell>
          <cell r="AC908">
            <v>0</v>
          </cell>
          <cell r="AD908">
            <v>13.49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Y908">
            <v>116025.60000000001</v>
          </cell>
        </row>
        <row r="909">
          <cell r="A909">
            <v>2</v>
          </cell>
          <cell r="B909" t="str">
            <v>12</v>
          </cell>
          <cell r="C909" t="str">
            <v>000</v>
          </cell>
          <cell r="D909" t="str">
            <v>1</v>
          </cell>
          <cell r="E909" t="str">
            <v>306</v>
          </cell>
          <cell r="F909" t="str">
            <v>N000</v>
          </cell>
          <cell r="G909" t="str">
            <v>413</v>
          </cell>
          <cell r="H909" t="str">
            <v>1103</v>
          </cell>
          <cell r="I909" t="str">
            <v>CF21865</v>
          </cell>
          <cell r="J909" t="str">
            <v>27B</v>
          </cell>
          <cell r="K909" t="str">
            <v>1</v>
          </cell>
          <cell r="L909">
            <v>1</v>
          </cell>
          <cell r="M909">
            <v>0</v>
          </cell>
          <cell r="N909">
            <v>3222.2</v>
          </cell>
          <cell r="O909" t="str">
            <v>M</v>
          </cell>
          <cell r="P909" t="str">
            <v>00000000</v>
          </cell>
          <cell r="Q909">
            <v>3558.85</v>
          </cell>
          <cell r="R909">
            <v>465.43</v>
          </cell>
          <cell r="S909">
            <v>89.51</v>
          </cell>
          <cell r="T909">
            <v>410.83</v>
          </cell>
          <cell r="U909">
            <v>161.11000000000001</v>
          </cell>
          <cell r="V909">
            <v>122.06</v>
          </cell>
          <cell r="W909">
            <v>64.44</v>
          </cell>
          <cell r="X909">
            <v>191</v>
          </cell>
          <cell r="Y909">
            <v>0</v>
          </cell>
          <cell r="Z909">
            <v>152.08000000000001</v>
          </cell>
          <cell r="AA909">
            <v>77</v>
          </cell>
          <cell r="AB909">
            <v>0</v>
          </cell>
          <cell r="AC909">
            <v>0</v>
          </cell>
          <cell r="AD909">
            <v>13.49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Y909">
            <v>102336</v>
          </cell>
        </row>
        <row r="910">
          <cell r="A910">
            <v>2</v>
          </cell>
          <cell r="B910" t="str">
            <v>12</v>
          </cell>
          <cell r="C910" t="str">
            <v>000</v>
          </cell>
          <cell r="D910" t="str">
            <v>1</v>
          </cell>
          <cell r="E910" t="str">
            <v>306</v>
          </cell>
          <cell r="F910" t="str">
            <v>N000</v>
          </cell>
          <cell r="G910" t="str">
            <v>413</v>
          </cell>
          <cell r="H910" t="str">
            <v>1103</v>
          </cell>
          <cell r="I910" t="str">
            <v>CF21866</v>
          </cell>
          <cell r="J910" t="str">
            <v>27A</v>
          </cell>
          <cell r="K910" t="str">
            <v>1</v>
          </cell>
          <cell r="L910">
            <v>2</v>
          </cell>
          <cell r="M910">
            <v>0</v>
          </cell>
          <cell r="N910">
            <v>3185.4</v>
          </cell>
          <cell r="O910" t="str">
            <v>M</v>
          </cell>
          <cell r="P910" t="str">
            <v>00000000</v>
          </cell>
          <cell r="Q910">
            <v>2791.7</v>
          </cell>
          <cell r="R910">
            <v>460.11</v>
          </cell>
          <cell r="S910">
            <v>88.48</v>
          </cell>
          <cell r="T910">
            <v>406.14</v>
          </cell>
          <cell r="U910">
            <v>159.27000000000001</v>
          </cell>
          <cell r="V910">
            <v>107.59</v>
          </cell>
          <cell r="W910">
            <v>63.71</v>
          </cell>
          <cell r="X910">
            <v>64</v>
          </cell>
          <cell r="Y910">
            <v>0</v>
          </cell>
          <cell r="Z910">
            <v>133.33000000000001</v>
          </cell>
          <cell r="AA910">
            <v>77</v>
          </cell>
          <cell r="AB910">
            <v>0</v>
          </cell>
          <cell r="AC910">
            <v>0</v>
          </cell>
          <cell r="AD910">
            <v>13.49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Y910">
            <v>181205.28</v>
          </cell>
        </row>
        <row r="911">
          <cell r="A911">
            <v>2</v>
          </cell>
          <cell r="B911" t="str">
            <v>12</v>
          </cell>
          <cell r="C911" t="str">
            <v>000</v>
          </cell>
          <cell r="D911" t="str">
            <v>1</v>
          </cell>
          <cell r="E911" t="str">
            <v>306</v>
          </cell>
          <cell r="F911" t="str">
            <v>N000</v>
          </cell>
          <cell r="G911" t="str">
            <v>413</v>
          </cell>
          <cell r="H911" t="str">
            <v>1103</v>
          </cell>
          <cell r="I911" t="str">
            <v>CF33834</v>
          </cell>
          <cell r="J911" t="str">
            <v>27</v>
          </cell>
          <cell r="K911" t="str">
            <v>2</v>
          </cell>
          <cell r="L911">
            <v>4</v>
          </cell>
          <cell r="M911">
            <v>0</v>
          </cell>
          <cell r="N911">
            <v>2817.8</v>
          </cell>
          <cell r="O911" t="str">
            <v>M</v>
          </cell>
          <cell r="P911" t="str">
            <v>00000000</v>
          </cell>
          <cell r="Q911">
            <v>0</v>
          </cell>
          <cell r="R911">
            <v>407.02</v>
          </cell>
          <cell r="S911">
            <v>78.27</v>
          </cell>
          <cell r="T911">
            <v>359.27</v>
          </cell>
          <cell r="U911">
            <v>140.88999999999999</v>
          </cell>
          <cell r="V911">
            <v>50.72</v>
          </cell>
          <cell r="W911">
            <v>56.36</v>
          </cell>
          <cell r="X911">
            <v>129.5</v>
          </cell>
          <cell r="Y911">
            <v>0</v>
          </cell>
          <cell r="Z911">
            <v>73.709999999999994</v>
          </cell>
          <cell r="AA911">
            <v>77</v>
          </cell>
          <cell r="AB911">
            <v>96</v>
          </cell>
          <cell r="AC911">
            <v>80</v>
          </cell>
          <cell r="AD911">
            <v>13.49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Y911">
            <v>210241.44</v>
          </cell>
        </row>
        <row r="912">
          <cell r="A912">
            <v>2</v>
          </cell>
          <cell r="B912" t="str">
            <v>12</v>
          </cell>
          <cell r="C912" t="str">
            <v>000</v>
          </cell>
          <cell r="D912" t="str">
            <v>1</v>
          </cell>
          <cell r="E912" t="str">
            <v>306</v>
          </cell>
          <cell r="F912" t="str">
            <v>N000</v>
          </cell>
          <cell r="G912" t="str">
            <v>413</v>
          </cell>
          <cell r="H912" t="str">
            <v>1103</v>
          </cell>
          <cell r="I912" t="str">
            <v>CF33892</v>
          </cell>
          <cell r="J912" t="str">
            <v>27ZA</v>
          </cell>
          <cell r="K912" t="str">
            <v>2</v>
          </cell>
          <cell r="L912">
            <v>60</v>
          </cell>
          <cell r="M912">
            <v>0</v>
          </cell>
          <cell r="N912">
            <v>2982.9</v>
          </cell>
          <cell r="O912" t="str">
            <v>M</v>
          </cell>
          <cell r="P912" t="str">
            <v>00000000</v>
          </cell>
          <cell r="Q912">
            <v>579.4</v>
          </cell>
          <cell r="R912">
            <v>430.86</v>
          </cell>
          <cell r="S912">
            <v>82.86</v>
          </cell>
          <cell r="T912">
            <v>380.32</v>
          </cell>
          <cell r="U912">
            <v>149.15</v>
          </cell>
          <cell r="V912">
            <v>64.12</v>
          </cell>
          <cell r="W912">
            <v>59.66</v>
          </cell>
          <cell r="X912">
            <v>51.53</v>
          </cell>
          <cell r="Y912">
            <v>0</v>
          </cell>
          <cell r="Z912">
            <v>87.61</v>
          </cell>
          <cell r="AA912">
            <v>77</v>
          </cell>
          <cell r="AB912">
            <v>96</v>
          </cell>
          <cell r="AC912">
            <v>80</v>
          </cell>
          <cell r="AD912">
            <v>13.49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Y912">
            <v>3697128</v>
          </cell>
        </row>
        <row r="913">
          <cell r="A913">
            <v>2</v>
          </cell>
          <cell r="B913" t="str">
            <v>12</v>
          </cell>
          <cell r="C913" t="str">
            <v>000</v>
          </cell>
          <cell r="D913" t="str">
            <v>1</v>
          </cell>
          <cell r="E913" t="str">
            <v>306</v>
          </cell>
          <cell r="F913" t="str">
            <v>N000</v>
          </cell>
          <cell r="G913" t="str">
            <v>413</v>
          </cell>
          <cell r="H913" t="str">
            <v>1103</v>
          </cell>
          <cell r="I913" t="str">
            <v>CF41015</v>
          </cell>
          <cell r="K913" t="str">
            <v>2</v>
          </cell>
          <cell r="L913">
            <v>4</v>
          </cell>
          <cell r="M913">
            <v>0</v>
          </cell>
          <cell r="N913">
            <v>7285</v>
          </cell>
          <cell r="O913" t="str">
            <v>M</v>
          </cell>
          <cell r="P913" t="str">
            <v>00000000</v>
          </cell>
          <cell r="Q913">
            <v>0</v>
          </cell>
          <cell r="R913">
            <v>1052.28</v>
          </cell>
          <cell r="S913">
            <v>202.36</v>
          </cell>
          <cell r="T913">
            <v>928.84</v>
          </cell>
          <cell r="U913">
            <v>364.25</v>
          </cell>
          <cell r="V913">
            <v>131.13</v>
          </cell>
          <cell r="W913">
            <v>145.69999999999999</v>
          </cell>
          <cell r="X913">
            <v>11.5</v>
          </cell>
          <cell r="Y913">
            <v>0</v>
          </cell>
          <cell r="Z913">
            <v>268.5</v>
          </cell>
          <cell r="AA913">
            <v>77</v>
          </cell>
          <cell r="AB913">
            <v>96</v>
          </cell>
          <cell r="AC913">
            <v>80</v>
          </cell>
          <cell r="AD913">
            <v>13.49</v>
          </cell>
          <cell r="AE913">
            <v>6.07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4615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Y913">
            <v>733301.76000000001</v>
          </cell>
        </row>
        <row r="914">
          <cell r="A914">
            <v>2</v>
          </cell>
          <cell r="B914" t="str">
            <v>12</v>
          </cell>
          <cell r="C914" t="str">
            <v>000</v>
          </cell>
          <cell r="D914" t="str">
            <v>1</v>
          </cell>
          <cell r="E914" t="str">
            <v>306</v>
          </cell>
          <cell r="F914" t="str">
            <v>N000</v>
          </cell>
          <cell r="G914" t="str">
            <v>413</v>
          </cell>
          <cell r="H914" t="str">
            <v>1103</v>
          </cell>
          <cell r="I914" t="str">
            <v>CF41022</v>
          </cell>
          <cell r="K914" t="str">
            <v>2</v>
          </cell>
          <cell r="L914">
            <v>2</v>
          </cell>
          <cell r="M914">
            <v>0</v>
          </cell>
          <cell r="N914">
            <v>5600</v>
          </cell>
          <cell r="O914" t="str">
            <v>M</v>
          </cell>
          <cell r="P914" t="str">
            <v>00000000</v>
          </cell>
          <cell r="Q914">
            <v>0</v>
          </cell>
          <cell r="R914">
            <v>808.89</v>
          </cell>
          <cell r="S914">
            <v>155.56</v>
          </cell>
          <cell r="T914">
            <v>714</v>
          </cell>
          <cell r="U914">
            <v>280</v>
          </cell>
          <cell r="V914">
            <v>100.8</v>
          </cell>
          <cell r="W914">
            <v>112</v>
          </cell>
          <cell r="X914">
            <v>0</v>
          </cell>
          <cell r="Y914">
            <v>0</v>
          </cell>
          <cell r="Z914">
            <v>204.24</v>
          </cell>
          <cell r="AA914">
            <v>77</v>
          </cell>
          <cell r="AB914">
            <v>96</v>
          </cell>
          <cell r="AC914">
            <v>80</v>
          </cell>
          <cell r="AD914">
            <v>13.49</v>
          </cell>
          <cell r="AE914">
            <v>4.67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3390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Y914">
            <v>279279.59999999998</v>
          </cell>
        </row>
        <row r="915">
          <cell r="A915">
            <v>2</v>
          </cell>
          <cell r="B915" t="str">
            <v>12</v>
          </cell>
          <cell r="C915" t="str">
            <v>000</v>
          </cell>
          <cell r="D915" t="str">
            <v>1</v>
          </cell>
          <cell r="E915" t="str">
            <v>306</v>
          </cell>
          <cell r="F915" t="str">
            <v>N000</v>
          </cell>
          <cell r="G915" t="str">
            <v>413</v>
          </cell>
          <cell r="H915" t="str">
            <v>1103</v>
          </cell>
          <cell r="I915" t="str">
            <v>CF41040</v>
          </cell>
          <cell r="K915" t="str">
            <v>2</v>
          </cell>
          <cell r="L915">
            <v>6</v>
          </cell>
          <cell r="M915">
            <v>0</v>
          </cell>
          <cell r="N915">
            <v>7482</v>
          </cell>
          <cell r="O915" t="str">
            <v>M</v>
          </cell>
          <cell r="P915" t="str">
            <v>00000000</v>
          </cell>
          <cell r="Q915">
            <v>0</v>
          </cell>
          <cell r="R915">
            <v>1080.73</v>
          </cell>
          <cell r="S915">
            <v>207.83</v>
          </cell>
          <cell r="T915">
            <v>953.96</v>
          </cell>
          <cell r="U915">
            <v>374.1</v>
          </cell>
          <cell r="V915">
            <v>134.68</v>
          </cell>
          <cell r="W915">
            <v>149.63999999999999</v>
          </cell>
          <cell r="X915">
            <v>53.17</v>
          </cell>
          <cell r="Y915">
            <v>0</v>
          </cell>
          <cell r="Z915">
            <v>290.27999999999997</v>
          </cell>
          <cell r="AA915">
            <v>77</v>
          </cell>
          <cell r="AB915">
            <v>96</v>
          </cell>
          <cell r="AC915">
            <v>80</v>
          </cell>
          <cell r="AD915">
            <v>13.49</v>
          </cell>
          <cell r="AE915">
            <v>6.24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5431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Y915">
            <v>1182968.6399999999</v>
          </cell>
        </row>
        <row r="916">
          <cell r="A916">
            <v>2</v>
          </cell>
          <cell r="B916" t="str">
            <v>12</v>
          </cell>
          <cell r="C916" t="str">
            <v>000</v>
          </cell>
          <cell r="D916" t="str">
            <v>1</v>
          </cell>
          <cell r="E916" t="str">
            <v>306</v>
          </cell>
          <cell r="F916" t="str">
            <v>N000</v>
          </cell>
          <cell r="G916" t="str">
            <v>413</v>
          </cell>
          <cell r="H916" t="str">
            <v>1103</v>
          </cell>
          <cell r="I916" t="str">
            <v>CF41061</v>
          </cell>
          <cell r="K916" t="str">
            <v>2</v>
          </cell>
          <cell r="L916">
            <v>2</v>
          </cell>
          <cell r="M916">
            <v>0</v>
          </cell>
          <cell r="N916">
            <v>5300</v>
          </cell>
          <cell r="O916" t="str">
            <v>M</v>
          </cell>
          <cell r="P916" t="str">
            <v>00000000</v>
          </cell>
          <cell r="Q916">
            <v>0</v>
          </cell>
          <cell r="R916">
            <v>765.56</v>
          </cell>
          <cell r="S916">
            <v>147.22</v>
          </cell>
          <cell r="T916">
            <v>675.75</v>
          </cell>
          <cell r="U916">
            <v>265</v>
          </cell>
          <cell r="V916">
            <v>95.4</v>
          </cell>
          <cell r="W916">
            <v>106</v>
          </cell>
          <cell r="X916">
            <v>41</v>
          </cell>
          <cell r="Y916">
            <v>0</v>
          </cell>
          <cell r="Z916">
            <v>238.74</v>
          </cell>
          <cell r="AA916">
            <v>77</v>
          </cell>
          <cell r="AB916">
            <v>96</v>
          </cell>
          <cell r="AC916">
            <v>80</v>
          </cell>
          <cell r="AD916">
            <v>13.49</v>
          </cell>
          <cell r="AE916">
            <v>4.42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5426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Y916">
            <v>319957.92</v>
          </cell>
        </row>
        <row r="917">
          <cell r="A917">
            <v>2</v>
          </cell>
          <cell r="B917" t="str">
            <v>12</v>
          </cell>
          <cell r="C917" t="str">
            <v>000</v>
          </cell>
          <cell r="D917" t="str">
            <v>1</v>
          </cell>
          <cell r="E917" t="str">
            <v>306</v>
          </cell>
          <cell r="F917" t="str">
            <v>N000</v>
          </cell>
          <cell r="G917" t="str">
            <v>413</v>
          </cell>
          <cell r="H917" t="str">
            <v>1103</v>
          </cell>
          <cell r="I917" t="str">
            <v>CF41064</v>
          </cell>
          <cell r="K917" t="str">
            <v>2</v>
          </cell>
          <cell r="L917">
            <v>1</v>
          </cell>
          <cell r="M917">
            <v>0</v>
          </cell>
          <cell r="N917">
            <v>6121</v>
          </cell>
          <cell r="O917" t="str">
            <v>M</v>
          </cell>
          <cell r="P917" t="str">
            <v>00000000</v>
          </cell>
          <cell r="Q917">
            <v>0</v>
          </cell>
          <cell r="R917">
            <v>884.14</v>
          </cell>
          <cell r="S917">
            <v>170.03</v>
          </cell>
          <cell r="T917">
            <v>780.43</v>
          </cell>
          <cell r="U917">
            <v>306.05</v>
          </cell>
          <cell r="V917">
            <v>110.18</v>
          </cell>
          <cell r="W917">
            <v>122.42</v>
          </cell>
          <cell r="X917">
            <v>46</v>
          </cell>
          <cell r="Y917">
            <v>0</v>
          </cell>
          <cell r="Z917">
            <v>275.08999999999997</v>
          </cell>
          <cell r="AA917">
            <v>77</v>
          </cell>
          <cell r="AB917">
            <v>96</v>
          </cell>
          <cell r="AC917">
            <v>80</v>
          </cell>
          <cell r="AD917">
            <v>13.49</v>
          </cell>
          <cell r="AE917">
            <v>5.0999999999999996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6275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Y917">
            <v>184343.16</v>
          </cell>
        </row>
        <row r="918">
          <cell r="A918">
            <v>2</v>
          </cell>
          <cell r="B918" t="str">
            <v>12</v>
          </cell>
          <cell r="C918" t="str">
            <v>000</v>
          </cell>
          <cell r="D918" t="str">
            <v>1</v>
          </cell>
          <cell r="E918" t="str">
            <v>701</v>
          </cell>
          <cell r="F918" t="str">
            <v>N000</v>
          </cell>
          <cell r="G918" t="str">
            <v>500</v>
          </cell>
          <cell r="H918" t="str">
            <v>1103</v>
          </cell>
          <cell r="I918" t="str">
            <v>A01803</v>
          </cell>
          <cell r="J918" t="str">
            <v>19</v>
          </cell>
          <cell r="K918" t="str">
            <v>2</v>
          </cell>
          <cell r="L918">
            <v>3</v>
          </cell>
          <cell r="M918">
            <v>0</v>
          </cell>
          <cell r="N918">
            <v>2120.3000000000002</v>
          </cell>
          <cell r="O918" t="str">
            <v>M</v>
          </cell>
          <cell r="P918" t="str">
            <v>00000000</v>
          </cell>
          <cell r="Q918">
            <v>0</v>
          </cell>
          <cell r="R918">
            <v>306.27</v>
          </cell>
          <cell r="S918">
            <v>58.9</v>
          </cell>
          <cell r="T918">
            <v>270.33999999999997</v>
          </cell>
          <cell r="U918">
            <v>106.02</v>
          </cell>
          <cell r="V918">
            <v>38.17</v>
          </cell>
          <cell r="W918">
            <v>42.41</v>
          </cell>
          <cell r="X918">
            <v>30.67</v>
          </cell>
          <cell r="Y918">
            <v>0</v>
          </cell>
          <cell r="Z918">
            <v>55.38</v>
          </cell>
          <cell r="AA918">
            <v>77</v>
          </cell>
          <cell r="AB918">
            <v>96</v>
          </cell>
          <cell r="AC918">
            <v>80</v>
          </cell>
          <cell r="AD918">
            <v>13.49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Y918">
            <v>118618.2</v>
          </cell>
        </row>
        <row r="919">
          <cell r="A919">
            <v>2</v>
          </cell>
          <cell r="B919" t="str">
            <v>12</v>
          </cell>
          <cell r="C919" t="str">
            <v>000</v>
          </cell>
          <cell r="D919" t="str">
            <v>1</v>
          </cell>
          <cell r="E919" t="str">
            <v>701</v>
          </cell>
          <cell r="F919" t="str">
            <v>N000</v>
          </cell>
          <cell r="G919" t="str">
            <v>500</v>
          </cell>
          <cell r="H919" t="str">
            <v>1103</v>
          </cell>
          <cell r="I919" t="str">
            <v>A01805</v>
          </cell>
          <cell r="J919" t="str">
            <v>21</v>
          </cell>
          <cell r="K919" t="str">
            <v>2</v>
          </cell>
          <cell r="L919">
            <v>7</v>
          </cell>
          <cell r="M919">
            <v>0</v>
          </cell>
          <cell r="N919">
            <v>2238.1999999999998</v>
          </cell>
          <cell r="O919" t="str">
            <v>M</v>
          </cell>
          <cell r="P919" t="str">
            <v>00000000</v>
          </cell>
          <cell r="Q919">
            <v>0</v>
          </cell>
          <cell r="R919">
            <v>323.3</v>
          </cell>
          <cell r="S919">
            <v>62.17</v>
          </cell>
          <cell r="T919">
            <v>285.37</v>
          </cell>
          <cell r="U919">
            <v>111.91</v>
          </cell>
          <cell r="V919">
            <v>40.29</v>
          </cell>
          <cell r="W919">
            <v>44.76</v>
          </cell>
          <cell r="X919">
            <v>39.29</v>
          </cell>
          <cell r="Y919">
            <v>0</v>
          </cell>
          <cell r="Z919">
            <v>58.32</v>
          </cell>
          <cell r="AA919">
            <v>77</v>
          </cell>
          <cell r="AB919">
            <v>96</v>
          </cell>
          <cell r="AC919">
            <v>80</v>
          </cell>
          <cell r="AD919">
            <v>13.49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Y919">
            <v>291488.40000000002</v>
          </cell>
        </row>
        <row r="920">
          <cell r="A920">
            <v>2</v>
          </cell>
          <cell r="B920" t="str">
            <v>12</v>
          </cell>
          <cell r="C920" t="str">
            <v>000</v>
          </cell>
          <cell r="D920" t="str">
            <v>1</v>
          </cell>
          <cell r="E920" t="str">
            <v>701</v>
          </cell>
          <cell r="F920" t="str">
            <v>N000</v>
          </cell>
          <cell r="G920" t="str">
            <v>500</v>
          </cell>
          <cell r="H920" t="str">
            <v>1103</v>
          </cell>
          <cell r="I920" t="str">
            <v>A01807</v>
          </cell>
          <cell r="J920" t="str">
            <v>27</v>
          </cell>
          <cell r="K920" t="str">
            <v>2</v>
          </cell>
          <cell r="L920">
            <v>3</v>
          </cell>
          <cell r="M920">
            <v>0</v>
          </cell>
          <cell r="N920">
            <v>2817.8</v>
          </cell>
          <cell r="O920" t="str">
            <v>M</v>
          </cell>
          <cell r="P920" t="str">
            <v>00000000</v>
          </cell>
          <cell r="Q920">
            <v>0</v>
          </cell>
          <cell r="R920">
            <v>407.02</v>
          </cell>
          <cell r="S920">
            <v>78.27</v>
          </cell>
          <cell r="T920">
            <v>359.27</v>
          </cell>
          <cell r="U920">
            <v>140.88999999999999</v>
          </cell>
          <cell r="V920">
            <v>50.72</v>
          </cell>
          <cell r="W920">
            <v>56.36</v>
          </cell>
          <cell r="X920">
            <v>67</v>
          </cell>
          <cell r="Y920">
            <v>0</v>
          </cell>
          <cell r="Z920">
            <v>72.459999999999994</v>
          </cell>
          <cell r="AA920">
            <v>77</v>
          </cell>
          <cell r="AB920">
            <v>96</v>
          </cell>
          <cell r="AC920">
            <v>80</v>
          </cell>
          <cell r="AD920">
            <v>13.49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Y920">
            <v>155386.07999999999</v>
          </cell>
        </row>
        <row r="921">
          <cell r="A921">
            <v>2</v>
          </cell>
          <cell r="B921" t="str">
            <v>12</v>
          </cell>
          <cell r="C921" t="str">
            <v>000</v>
          </cell>
          <cell r="D921" t="str">
            <v>1</v>
          </cell>
          <cell r="E921" t="str">
            <v>701</v>
          </cell>
          <cell r="F921" t="str">
            <v>N000</v>
          </cell>
          <cell r="G921" t="str">
            <v>500</v>
          </cell>
          <cell r="H921" t="str">
            <v>1103</v>
          </cell>
          <cell r="I921" t="str">
            <v>A03804</v>
          </cell>
          <cell r="J921" t="str">
            <v>23</v>
          </cell>
          <cell r="K921" t="str">
            <v>2</v>
          </cell>
          <cell r="L921">
            <v>2</v>
          </cell>
          <cell r="M921">
            <v>0</v>
          </cell>
          <cell r="N921">
            <v>2451.25</v>
          </cell>
          <cell r="O921" t="str">
            <v>M</v>
          </cell>
          <cell r="P921" t="str">
            <v>00000000</v>
          </cell>
          <cell r="Q921">
            <v>0</v>
          </cell>
          <cell r="R921">
            <v>354.07</v>
          </cell>
          <cell r="S921">
            <v>68.09</v>
          </cell>
          <cell r="T921">
            <v>312.52999999999997</v>
          </cell>
          <cell r="U921">
            <v>122.56</v>
          </cell>
          <cell r="V921">
            <v>44.12</v>
          </cell>
          <cell r="W921">
            <v>49.02</v>
          </cell>
          <cell r="X921">
            <v>64</v>
          </cell>
          <cell r="Y921">
            <v>0</v>
          </cell>
          <cell r="Z921">
            <v>63.81</v>
          </cell>
          <cell r="AA921">
            <v>77</v>
          </cell>
          <cell r="AB921">
            <v>96</v>
          </cell>
          <cell r="AC921">
            <v>80</v>
          </cell>
          <cell r="AD921">
            <v>13.49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Y921">
            <v>91102.56</v>
          </cell>
        </row>
        <row r="922">
          <cell r="A922">
            <v>2</v>
          </cell>
          <cell r="B922" t="str">
            <v>12</v>
          </cell>
          <cell r="C922" t="str">
            <v>000</v>
          </cell>
          <cell r="D922" t="str">
            <v>1</v>
          </cell>
          <cell r="E922" t="str">
            <v>701</v>
          </cell>
          <cell r="F922" t="str">
            <v>N000</v>
          </cell>
          <cell r="G922" t="str">
            <v>500</v>
          </cell>
          <cell r="H922" t="str">
            <v>1103</v>
          </cell>
          <cell r="I922" t="str">
            <v>CFMC01</v>
          </cell>
          <cell r="J922" t="str">
            <v>MC01</v>
          </cell>
          <cell r="K922" t="str">
            <v>1</v>
          </cell>
          <cell r="L922">
            <v>1</v>
          </cell>
          <cell r="M922">
            <v>0</v>
          </cell>
          <cell r="N922">
            <v>4311.3999999999996</v>
          </cell>
          <cell r="O922" t="str">
            <v>M</v>
          </cell>
          <cell r="P922" t="str">
            <v>00000000</v>
          </cell>
          <cell r="Q922">
            <v>12403.8</v>
          </cell>
          <cell r="R922">
            <v>622.76</v>
          </cell>
          <cell r="S922">
            <v>119.76</v>
          </cell>
          <cell r="T922">
            <v>549.70000000000005</v>
          </cell>
          <cell r="U922">
            <v>215.57</v>
          </cell>
          <cell r="V922">
            <v>300.88</v>
          </cell>
          <cell r="W922">
            <v>86.23</v>
          </cell>
          <cell r="X922">
            <v>0</v>
          </cell>
          <cell r="Y922">
            <v>835.76</v>
          </cell>
          <cell r="Z922">
            <v>350.69</v>
          </cell>
          <cell r="AA922">
            <v>77</v>
          </cell>
          <cell r="AB922">
            <v>0</v>
          </cell>
          <cell r="AC922">
            <v>0</v>
          </cell>
          <cell r="AD922">
            <v>13.49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Y922">
            <v>238644.48000000001</v>
          </cell>
        </row>
        <row r="923">
          <cell r="A923">
            <v>2</v>
          </cell>
          <cell r="B923" t="str">
            <v>12</v>
          </cell>
          <cell r="C923" t="str">
            <v>000</v>
          </cell>
          <cell r="D923" t="str">
            <v>1</v>
          </cell>
          <cell r="E923" t="str">
            <v>701</v>
          </cell>
          <cell r="F923" t="str">
            <v>N000</v>
          </cell>
          <cell r="G923" t="str">
            <v>500</v>
          </cell>
          <cell r="H923" t="str">
            <v>1103</v>
          </cell>
          <cell r="I923" t="str">
            <v>CFMD01</v>
          </cell>
          <cell r="J923" t="str">
            <v>MD01</v>
          </cell>
          <cell r="K923" t="str">
            <v>1</v>
          </cell>
          <cell r="L923">
            <v>1</v>
          </cell>
          <cell r="M923">
            <v>0</v>
          </cell>
          <cell r="N923">
            <v>19938.849999999999</v>
          </cell>
          <cell r="O923" t="str">
            <v>M</v>
          </cell>
          <cell r="P923" t="str">
            <v>00000000</v>
          </cell>
          <cell r="Q923">
            <v>125984.15</v>
          </cell>
          <cell r="R923">
            <v>2880.06</v>
          </cell>
          <cell r="S923">
            <v>553.86</v>
          </cell>
          <cell r="T923">
            <v>2542.1999999999998</v>
          </cell>
          <cell r="U923">
            <v>996.94</v>
          </cell>
          <cell r="V923">
            <v>2626.61</v>
          </cell>
          <cell r="W923">
            <v>398.78</v>
          </cell>
          <cell r="X923">
            <v>0</v>
          </cell>
          <cell r="Y923">
            <v>7296.15</v>
          </cell>
          <cell r="Z923">
            <v>2988.68</v>
          </cell>
          <cell r="AA923">
            <v>77</v>
          </cell>
          <cell r="AB923">
            <v>0</v>
          </cell>
          <cell r="AC923">
            <v>0</v>
          </cell>
          <cell r="AD923">
            <v>13.49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Y923">
            <v>1995561.24</v>
          </cell>
        </row>
        <row r="924">
          <cell r="A924">
            <v>2</v>
          </cell>
          <cell r="B924" t="str">
            <v>12</v>
          </cell>
          <cell r="C924" t="str">
            <v>000</v>
          </cell>
          <cell r="D924" t="str">
            <v>1</v>
          </cell>
          <cell r="E924" t="str">
            <v>701</v>
          </cell>
          <cell r="F924" t="str">
            <v>N000</v>
          </cell>
          <cell r="G924" t="str">
            <v>500</v>
          </cell>
          <cell r="H924" t="str">
            <v>1103</v>
          </cell>
          <cell r="I924" t="str">
            <v>CFMD12</v>
          </cell>
          <cell r="J924" t="str">
            <v>MD12</v>
          </cell>
          <cell r="K924" t="str">
            <v>1</v>
          </cell>
          <cell r="L924">
            <v>1</v>
          </cell>
          <cell r="M924">
            <v>0</v>
          </cell>
          <cell r="N924">
            <v>12026.05</v>
          </cell>
          <cell r="O924" t="str">
            <v>M</v>
          </cell>
          <cell r="P924" t="str">
            <v>00000000</v>
          </cell>
          <cell r="Q924">
            <v>72295.199999999997</v>
          </cell>
          <cell r="R924">
            <v>1737.1</v>
          </cell>
          <cell r="S924">
            <v>334.06</v>
          </cell>
          <cell r="T924">
            <v>1533.32</v>
          </cell>
          <cell r="U924">
            <v>601.29999999999995</v>
          </cell>
          <cell r="V924">
            <v>1517.78</v>
          </cell>
          <cell r="W924">
            <v>240.52</v>
          </cell>
          <cell r="X924">
            <v>0</v>
          </cell>
          <cell r="Y924">
            <v>4216.0600000000004</v>
          </cell>
          <cell r="Z924">
            <v>1729.39</v>
          </cell>
          <cell r="AA924">
            <v>77</v>
          </cell>
          <cell r="AB924">
            <v>0</v>
          </cell>
          <cell r="AC924">
            <v>0</v>
          </cell>
          <cell r="AD924">
            <v>13.49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Y924">
            <v>1155855.24</v>
          </cell>
        </row>
        <row r="925">
          <cell r="A925">
            <v>2</v>
          </cell>
          <cell r="B925" t="str">
            <v>12</v>
          </cell>
          <cell r="C925" t="str">
            <v>000</v>
          </cell>
          <cell r="D925" t="str">
            <v>1</v>
          </cell>
          <cell r="E925" t="str">
            <v>701</v>
          </cell>
          <cell r="F925" t="str">
            <v>N000</v>
          </cell>
          <cell r="G925" t="str">
            <v>500</v>
          </cell>
          <cell r="H925" t="str">
            <v>1103</v>
          </cell>
          <cell r="I925" t="str">
            <v>CFMG06</v>
          </cell>
          <cell r="J925" t="str">
            <v>MG06</v>
          </cell>
          <cell r="K925" t="str">
            <v>1</v>
          </cell>
          <cell r="L925">
            <v>2</v>
          </cell>
          <cell r="M925">
            <v>0</v>
          </cell>
          <cell r="N925">
            <v>8232.25</v>
          </cell>
          <cell r="O925" t="str">
            <v>M</v>
          </cell>
          <cell r="P925" t="str">
            <v>00000000</v>
          </cell>
          <cell r="Q925">
            <v>38872.050000000003</v>
          </cell>
          <cell r="R925">
            <v>1189.0999999999999</v>
          </cell>
          <cell r="S925">
            <v>228.67</v>
          </cell>
          <cell r="T925">
            <v>1049.6099999999999</v>
          </cell>
          <cell r="U925">
            <v>411.61</v>
          </cell>
          <cell r="V925">
            <v>847.88</v>
          </cell>
          <cell r="W925">
            <v>164.65</v>
          </cell>
          <cell r="X925">
            <v>122.5</v>
          </cell>
          <cell r="Y925">
            <v>2355.2199999999998</v>
          </cell>
          <cell r="Z925">
            <v>974.43</v>
          </cell>
          <cell r="AA925">
            <v>77</v>
          </cell>
          <cell r="AB925">
            <v>0</v>
          </cell>
          <cell r="AC925">
            <v>0</v>
          </cell>
          <cell r="AD925">
            <v>13.49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Y925">
            <v>1308923.04</v>
          </cell>
        </row>
        <row r="926">
          <cell r="A926">
            <v>2</v>
          </cell>
          <cell r="B926" t="str">
            <v>12</v>
          </cell>
          <cell r="C926" t="str">
            <v>000</v>
          </cell>
          <cell r="D926" t="str">
            <v>1</v>
          </cell>
          <cell r="E926" t="str">
            <v>701</v>
          </cell>
          <cell r="F926" t="str">
            <v>N000</v>
          </cell>
          <cell r="G926" t="str">
            <v>500</v>
          </cell>
          <cell r="H926" t="str">
            <v>1103</v>
          </cell>
          <cell r="I926" t="str">
            <v>CFMG08</v>
          </cell>
          <cell r="J926" t="str">
            <v>MG08</v>
          </cell>
          <cell r="K926" t="str">
            <v>1</v>
          </cell>
          <cell r="L926">
            <v>1</v>
          </cell>
          <cell r="M926">
            <v>0</v>
          </cell>
          <cell r="N926">
            <v>6807.9</v>
          </cell>
          <cell r="O926" t="str">
            <v>M</v>
          </cell>
          <cell r="P926" t="str">
            <v>00000000</v>
          </cell>
          <cell r="Q926">
            <v>34139.449999999997</v>
          </cell>
          <cell r="R926">
            <v>983.36</v>
          </cell>
          <cell r="S926">
            <v>189.11</v>
          </cell>
          <cell r="T926">
            <v>868.01</v>
          </cell>
          <cell r="U926">
            <v>340.39</v>
          </cell>
          <cell r="V926">
            <v>737.05</v>
          </cell>
          <cell r="W926">
            <v>136.16</v>
          </cell>
          <cell r="X926">
            <v>136</v>
          </cell>
          <cell r="Y926">
            <v>2047.37</v>
          </cell>
          <cell r="Z926">
            <v>846.66</v>
          </cell>
          <cell r="AA926">
            <v>77</v>
          </cell>
          <cell r="AB926">
            <v>0</v>
          </cell>
          <cell r="AC926">
            <v>0</v>
          </cell>
          <cell r="AD926">
            <v>13.49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Y926">
            <v>567863.4</v>
          </cell>
        </row>
        <row r="927">
          <cell r="A927">
            <v>2</v>
          </cell>
          <cell r="B927" t="str">
            <v>12</v>
          </cell>
          <cell r="C927" t="str">
            <v>000</v>
          </cell>
          <cell r="D927" t="str">
            <v>1</v>
          </cell>
          <cell r="E927" t="str">
            <v>701</v>
          </cell>
          <cell r="F927" t="str">
            <v>N000</v>
          </cell>
          <cell r="G927" t="str">
            <v>500</v>
          </cell>
          <cell r="H927" t="str">
            <v>1103</v>
          </cell>
          <cell r="I927" t="str">
            <v>CFMS03</v>
          </cell>
          <cell r="J927" t="str">
            <v>MS03</v>
          </cell>
          <cell r="K927" t="str">
            <v>1</v>
          </cell>
          <cell r="L927">
            <v>1</v>
          </cell>
          <cell r="M927">
            <v>0</v>
          </cell>
          <cell r="N927">
            <v>5431.75</v>
          </cell>
          <cell r="O927" t="str">
            <v>M</v>
          </cell>
          <cell r="P927" t="str">
            <v>00000000</v>
          </cell>
          <cell r="Q927">
            <v>24512.85</v>
          </cell>
          <cell r="R927">
            <v>784.59</v>
          </cell>
          <cell r="S927">
            <v>150.88</v>
          </cell>
          <cell r="T927">
            <v>692.55</v>
          </cell>
          <cell r="U927">
            <v>271.58999999999997</v>
          </cell>
          <cell r="V927">
            <v>539</v>
          </cell>
          <cell r="W927">
            <v>108.64</v>
          </cell>
          <cell r="X927">
            <v>136</v>
          </cell>
          <cell r="Y927">
            <v>1497.23</v>
          </cell>
          <cell r="Z927">
            <v>621.86</v>
          </cell>
          <cell r="AA927">
            <v>77</v>
          </cell>
          <cell r="AB927">
            <v>0</v>
          </cell>
          <cell r="AC927">
            <v>0</v>
          </cell>
          <cell r="AD927">
            <v>13.49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Y927">
            <v>418049.16</v>
          </cell>
        </row>
        <row r="928">
          <cell r="A928">
            <v>2</v>
          </cell>
          <cell r="B928" t="str">
            <v>12</v>
          </cell>
          <cell r="C928" t="str">
            <v>000</v>
          </cell>
          <cell r="D928" t="str">
            <v>1</v>
          </cell>
          <cell r="E928" t="str">
            <v>701</v>
          </cell>
          <cell r="F928" t="str">
            <v>N000</v>
          </cell>
          <cell r="G928" t="str">
            <v>500</v>
          </cell>
          <cell r="H928" t="str">
            <v>1103</v>
          </cell>
          <cell r="I928" t="str">
            <v>M01009</v>
          </cell>
          <cell r="K928" t="str">
            <v>2</v>
          </cell>
          <cell r="L928">
            <v>1</v>
          </cell>
          <cell r="M928">
            <v>0</v>
          </cell>
          <cell r="N928">
            <v>6121</v>
          </cell>
          <cell r="O928" t="str">
            <v>M</v>
          </cell>
          <cell r="P928" t="str">
            <v>00000000</v>
          </cell>
          <cell r="Q928">
            <v>0</v>
          </cell>
          <cell r="R928">
            <v>884.14</v>
          </cell>
          <cell r="S928">
            <v>170.03</v>
          </cell>
          <cell r="T928">
            <v>780.43</v>
          </cell>
          <cell r="U928">
            <v>306.05</v>
          </cell>
          <cell r="V928">
            <v>110.18</v>
          </cell>
          <cell r="W928">
            <v>122.42</v>
          </cell>
          <cell r="X928">
            <v>82</v>
          </cell>
          <cell r="Y928">
            <v>0</v>
          </cell>
          <cell r="Z928">
            <v>275.81</v>
          </cell>
          <cell r="AA928">
            <v>77</v>
          </cell>
          <cell r="AB928">
            <v>96</v>
          </cell>
          <cell r="AC928">
            <v>80</v>
          </cell>
          <cell r="AD928">
            <v>13.49</v>
          </cell>
          <cell r="AE928">
            <v>5.0999999999999996</v>
          </cell>
          <cell r="AF928">
            <v>0</v>
          </cell>
          <cell r="AG928">
            <v>0</v>
          </cell>
          <cell r="AH928">
            <v>3865</v>
          </cell>
          <cell r="AI928">
            <v>0</v>
          </cell>
          <cell r="AJ928">
            <v>2410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Y928">
            <v>184783.8</v>
          </cell>
        </row>
        <row r="929">
          <cell r="A929">
            <v>2</v>
          </cell>
          <cell r="B929" t="str">
            <v>12</v>
          </cell>
          <cell r="C929" t="str">
            <v>000</v>
          </cell>
          <cell r="D929" t="str">
            <v>1</v>
          </cell>
          <cell r="E929" t="str">
            <v>701</v>
          </cell>
          <cell r="F929" t="str">
            <v>N000</v>
          </cell>
          <cell r="G929" t="str">
            <v>500</v>
          </cell>
          <cell r="H929" t="str">
            <v>1103</v>
          </cell>
          <cell r="I929" t="str">
            <v>S01803</v>
          </cell>
          <cell r="J929" t="str">
            <v>19</v>
          </cell>
          <cell r="K929" t="str">
            <v>2</v>
          </cell>
          <cell r="L929">
            <v>1</v>
          </cell>
          <cell r="M929">
            <v>0</v>
          </cell>
          <cell r="N929">
            <v>2120.3000000000002</v>
          </cell>
          <cell r="O929" t="str">
            <v>M</v>
          </cell>
          <cell r="P929" t="str">
            <v>00000000</v>
          </cell>
          <cell r="Q929">
            <v>0</v>
          </cell>
          <cell r="R929">
            <v>306.27</v>
          </cell>
          <cell r="S929">
            <v>58.9</v>
          </cell>
          <cell r="T929">
            <v>270.33999999999997</v>
          </cell>
          <cell r="U929">
            <v>106.02</v>
          </cell>
          <cell r="V929">
            <v>38.17</v>
          </cell>
          <cell r="W929">
            <v>42.41</v>
          </cell>
          <cell r="X929">
            <v>82</v>
          </cell>
          <cell r="Y929">
            <v>0</v>
          </cell>
          <cell r="Z929">
            <v>56.41</v>
          </cell>
          <cell r="AA929">
            <v>77</v>
          </cell>
          <cell r="AB929">
            <v>96</v>
          </cell>
          <cell r="AC929">
            <v>80</v>
          </cell>
          <cell r="AD929">
            <v>13.49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Y929">
            <v>40167.72</v>
          </cell>
        </row>
        <row r="930">
          <cell r="A930">
            <v>2</v>
          </cell>
          <cell r="B930" t="str">
            <v>12</v>
          </cell>
          <cell r="C930" t="str">
            <v>000</v>
          </cell>
          <cell r="D930" t="str">
            <v>1</v>
          </cell>
          <cell r="E930" t="str">
            <v>701</v>
          </cell>
          <cell r="F930" t="str">
            <v>N000</v>
          </cell>
          <cell r="G930" t="str">
            <v>500</v>
          </cell>
          <cell r="H930" t="str">
            <v>1103</v>
          </cell>
          <cell r="I930" t="str">
            <v>S01808</v>
          </cell>
          <cell r="J930" t="str">
            <v>17</v>
          </cell>
          <cell r="K930" t="str">
            <v>2</v>
          </cell>
          <cell r="L930">
            <v>2</v>
          </cell>
          <cell r="M930">
            <v>0</v>
          </cell>
          <cell r="N930">
            <v>1936.3</v>
          </cell>
          <cell r="O930" t="str">
            <v>M</v>
          </cell>
          <cell r="P930" t="str">
            <v>00000000</v>
          </cell>
          <cell r="Q930">
            <v>0</v>
          </cell>
          <cell r="R930">
            <v>279.69</v>
          </cell>
          <cell r="S930">
            <v>53.79</v>
          </cell>
          <cell r="T930">
            <v>246.88</v>
          </cell>
          <cell r="U930">
            <v>96.81</v>
          </cell>
          <cell r="V930">
            <v>34.85</v>
          </cell>
          <cell r="W930">
            <v>38.729999999999997</v>
          </cell>
          <cell r="X930">
            <v>0</v>
          </cell>
          <cell r="Y930">
            <v>0</v>
          </cell>
          <cell r="Z930">
            <v>50.46</v>
          </cell>
          <cell r="AA930">
            <v>77</v>
          </cell>
          <cell r="AB930">
            <v>96</v>
          </cell>
          <cell r="AC930">
            <v>80</v>
          </cell>
          <cell r="AD930">
            <v>13.49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Y930">
            <v>72096</v>
          </cell>
        </row>
        <row r="931">
          <cell r="A931">
            <v>2</v>
          </cell>
          <cell r="B931" t="str">
            <v>12</v>
          </cell>
          <cell r="C931" t="str">
            <v>000</v>
          </cell>
          <cell r="D931" t="str">
            <v>1</v>
          </cell>
          <cell r="E931" t="str">
            <v>701</v>
          </cell>
          <cell r="F931" t="str">
            <v>N000</v>
          </cell>
          <cell r="G931" t="str">
            <v>500</v>
          </cell>
          <cell r="H931" t="str">
            <v>1103</v>
          </cell>
          <cell r="I931" t="str">
            <v>T03804</v>
          </cell>
          <cell r="J931" t="str">
            <v>25</v>
          </cell>
          <cell r="K931" t="str">
            <v>2</v>
          </cell>
          <cell r="L931">
            <v>3</v>
          </cell>
          <cell r="M931">
            <v>0</v>
          </cell>
          <cell r="N931">
            <v>2572.4</v>
          </cell>
          <cell r="O931" t="str">
            <v>M</v>
          </cell>
          <cell r="P931" t="str">
            <v>00000000</v>
          </cell>
          <cell r="Q931">
            <v>0</v>
          </cell>
          <cell r="R931">
            <v>371.57</v>
          </cell>
          <cell r="S931">
            <v>71.459999999999994</v>
          </cell>
          <cell r="T931">
            <v>327.98</v>
          </cell>
          <cell r="U931">
            <v>128.62</v>
          </cell>
          <cell r="V931">
            <v>46.3</v>
          </cell>
          <cell r="W931">
            <v>51.45</v>
          </cell>
          <cell r="X931">
            <v>33.67</v>
          </cell>
          <cell r="Y931">
            <v>0</v>
          </cell>
          <cell r="Z931">
            <v>66.040000000000006</v>
          </cell>
          <cell r="AA931">
            <v>77</v>
          </cell>
          <cell r="AB931">
            <v>96</v>
          </cell>
          <cell r="AC931">
            <v>80</v>
          </cell>
          <cell r="AD931">
            <v>13.49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Y931">
            <v>141695.28</v>
          </cell>
        </row>
        <row r="932">
          <cell r="A932">
            <v>2</v>
          </cell>
          <cell r="B932" t="str">
            <v>12</v>
          </cell>
          <cell r="C932" t="str">
            <v>000</v>
          </cell>
          <cell r="D932" t="str">
            <v>1</v>
          </cell>
          <cell r="E932" t="str">
            <v>701</v>
          </cell>
          <cell r="F932" t="str">
            <v>N000</v>
          </cell>
          <cell r="G932" t="str">
            <v>500</v>
          </cell>
          <cell r="H932" t="str">
            <v>1103</v>
          </cell>
          <cell r="I932" t="str">
            <v>CF03809</v>
          </cell>
          <cell r="J932" t="str">
            <v>25</v>
          </cell>
          <cell r="K932" t="str">
            <v>2</v>
          </cell>
          <cell r="L932">
            <v>1</v>
          </cell>
          <cell r="M932">
            <v>0</v>
          </cell>
          <cell r="N932">
            <v>2572.4</v>
          </cell>
          <cell r="O932" t="str">
            <v>M</v>
          </cell>
          <cell r="P932" t="str">
            <v>00000000</v>
          </cell>
          <cell r="Q932">
            <v>0</v>
          </cell>
          <cell r="R932">
            <v>371.57</v>
          </cell>
          <cell r="S932">
            <v>71.459999999999994</v>
          </cell>
          <cell r="T932">
            <v>327.98</v>
          </cell>
          <cell r="U932">
            <v>128.62</v>
          </cell>
          <cell r="V932">
            <v>46.3</v>
          </cell>
          <cell r="W932">
            <v>51.45</v>
          </cell>
          <cell r="X932">
            <v>0</v>
          </cell>
          <cell r="Y932">
            <v>0</v>
          </cell>
          <cell r="Z932">
            <v>65.37</v>
          </cell>
          <cell r="AA932">
            <v>77</v>
          </cell>
          <cell r="AB932">
            <v>96</v>
          </cell>
          <cell r="AC932">
            <v>80</v>
          </cell>
          <cell r="AD932">
            <v>13.49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Y932">
            <v>46819.68</v>
          </cell>
        </row>
        <row r="933">
          <cell r="A933">
            <v>2</v>
          </cell>
          <cell r="B933" t="str">
            <v>12</v>
          </cell>
          <cell r="C933" t="str">
            <v>000</v>
          </cell>
          <cell r="D933" t="str">
            <v>1</v>
          </cell>
          <cell r="E933" t="str">
            <v>701</v>
          </cell>
          <cell r="F933" t="str">
            <v>N000</v>
          </cell>
          <cell r="G933" t="str">
            <v>500</v>
          </cell>
          <cell r="H933" t="str">
            <v>1103</v>
          </cell>
          <cell r="I933" t="str">
            <v>CF04806</v>
          </cell>
          <cell r="J933" t="str">
            <v>26</v>
          </cell>
          <cell r="K933" t="str">
            <v>2</v>
          </cell>
          <cell r="L933">
            <v>6</v>
          </cell>
          <cell r="M933">
            <v>0</v>
          </cell>
          <cell r="N933">
            <v>2692.2</v>
          </cell>
          <cell r="O933" t="str">
            <v>M</v>
          </cell>
          <cell r="P933" t="str">
            <v>00000000</v>
          </cell>
          <cell r="Q933">
            <v>0</v>
          </cell>
          <cell r="R933">
            <v>388.87</v>
          </cell>
          <cell r="S933">
            <v>74.78</v>
          </cell>
          <cell r="T933">
            <v>343.26</v>
          </cell>
          <cell r="U933">
            <v>134.61000000000001</v>
          </cell>
          <cell r="V933">
            <v>48.46</v>
          </cell>
          <cell r="W933">
            <v>53.84</v>
          </cell>
          <cell r="X933">
            <v>47.33</v>
          </cell>
          <cell r="Y933">
            <v>0</v>
          </cell>
          <cell r="Z933">
            <v>69.12</v>
          </cell>
          <cell r="AA933">
            <v>77</v>
          </cell>
          <cell r="AB933">
            <v>96</v>
          </cell>
          <cell r="AC933">
            <v>80</v>
          </cell>
          <cell r="AD933">
            <v>13.49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Y933">
            <v>296565.12</v>
          </cell>
        </row>
        <row r="934">
          <cell r="A934">
            <v>2</v>
          </cell>
          <cell r="B934" t="str">
            <v>12</v>
          </cell>
          <cell r="C934" t="str">
            <v>000</v>
          </cell>
          <cell r="D934" t="str">
            <v>1</v>
          </cell>
          <cell r="E934" t="str">
            <v>701</v>
          </cell>
          <cell r="F934" t="str">
            <v>N000</v>
          </cell>
          <cell r="G934" t="str">
            <v>500</v>
          </cell>
          <cell r="H934" t="str">
            <v>1103</v>
          </cell>
          <cell r="I934" t="str">
            <v>CF04807</v>
          </cell>
          <cell r="J934" t="str">
            <v>27Z</v>
          </cell>
          <cell r="K934" t="str">
            <v>2</v>
          </cell>
          <cell r="L934">
            <v>5</v>
          </cell>
          <cell r="M934">
            <v>0</v>
          </cell>
          <cell r="N934">
            <v>2900.25</v>
          </cell>
          <cell r="O934" t="str">
            <v>M</v>
          </cell>
          <cell r="P934" t="str">
            <v>00000000</v>
          </cell>
          <cell r="Q934">
            <v>205.15</v>
          </cell>
          <cell r="R934">
            <v>418.93</v>
          </cell>
          <cell r="S934">
            <v>80.56</v>
          </cell>
          <cell r="T934">
            <v>369.78</v>
          </cell>
          <cell r="U934">
            <v>145.01</v>
          </cell>
          <cell r="V934">
            <v>55.89</v>
          </cell>
          <cell r="W934">
            <v>58.01</v>
          </cell>
          <cell r="X934">
            <v>74.8</v>
          </cell>
          <cell r="Y934">
            <v>0</v>
          </cell>
          <cell r="Z934">
            <v>78.650000000000006</v>
          </cell>
          <cell r="AA934">
            <v>77</v>
          </cell>
          <cell r="AB934">
            <v>96</v>
          </cell>
          <cell r="AC934">
            <v>80</v>
          </cell>
          <cell r="AD934">
            <v>13.49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Y934">
            <v>279211.2</v>
          </cell>
        </row>
        <row r="935">
          <cell r="A935">
            <v>2</v>
          </cell>
          <cell r="B935" t="str">
            <v>12</v>
          </cell>
          <cell r="C935" t="str">
            <v>000</v>
          </cell>
          <cell r="D935" t="str">
            <v>1</v>
          </cell>
          <cell r="E935" t="str">
            <v>701</v>
          </cell>
          <cell r="F935" t="str">
            <v>N000</v>
          </cell>
          <cell r="G935" t="str">
            <v>500</v>
          </cell>
          <cell r="H935" t="str">
            <v>1103</v>
          </cell>
          <cell r="I935" t="str">
            <v>CF04808</v>
          </cell>
          <cell r="J935" t="str">
            <v>27ZA</v>
          </cell>
          <cell r="K935" t="str">
            <v>2</v>
          </cell>
          <cell r="L935">
            <v>1</v>
          </cell>
          <cell r="M935">
            <v>0</v>
          </cell>
          <cell r="N935">
            <v>2982.9</v>
          </cell>
          <cell r="O935" t="str">
            <v>M</v>
          </cell>
          <cell r="P935" t="str">
            <v>00000000</v>
          </cell>
          <cell r="Q935">
            <v>579.4</v>
          </cell>
          <cell r="R935">
            <v>430.86</v>
          </cell>
          <cell r="S935">
            <v>82.86</v>
          </cell>
          <cell r="T935">
            <v>380.32</v>
          </cell>
          <cell r="U935">
            <v>149.15</v>
          </cell>
          <cell r="V935">
            <v>64.12</v>
          </cell>
          <cell r="W935">
            <v>59.66</v>
          </cell>
          <cell r="X935">
            <v>82</v>
          </cell>
          <cell r="Y935">
            <v>0</v>
          </cell>
          <cell r="Z935">
            <v>88.22</v>
          </cell>
          <cell r="AA935">
            <v>77</v>
          </cell>
          <cell r="AB935">
            <v>96</v>
          </cell>
          <cell r="AC935">
            <v>80</v>
          </cell>
          <cell r="AD935">
            <v>13.49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Y935">
            <v>61991.76</v>
          </cell>
        </row>
        <row r="936">
          <cell r="A936">
            <v>2</v>
          </cell>
          <cell r="B936" t="str">
            <v>12</v>
          </cell>
          <cell r="C936" t="str">
            <v>000</v>
          </cell>
          <cell r="D936" t="str">
            <v>1</v>
          </cell>
          <cell r="E936" t="str">
            <v>701</v>
          </cell>
          <cell r="F936" t="str">
            <v>N000</v>
          </cell>
          <cell r="G936" t="str">
            <v>500</v>
          </cell>
          <cell r="H936" t="str">
            <v>1103</v>
          </cell>
          <cell r="I936" t="str">
            <v>CF08822</v>
          </cell>
          <cell r="J936" t="str">
            <v>23</v>
          </cell>
          <cell r="K936" t="str">
            <v>2</v>
          </cell>
          <cell r="L936">
            <v>1</v>
          </cell>
          <cell r="M936">
            <v>0</v>
          </cell>
          <cell r="N936">
            <v>2451.25</v>
          </cell>
          <cell r="O936" t="str">
            <v>M</v>
          </cell>
          <cell r="P936" t="str">
            <v>00000000</v>
          </cell>
          <cell r="Q936">
            <v>0</v>
          </cell>
          <cell r="R936">
            <v>354.07</v>
          </cell>
          <cell r="S936">
            <v>68.09</v>
          </cell>
          <cell r="T936">
            <v>312.52999999999997</v>
          </cell>
          <cell r="U936">
            <v>122.56</v>
          </cell>
          <cell r="V936">
            <v>44.12</v>
          </cell>
          <cell r="W936">
            <v>49.02</v>
          </cell>
          <cell r="X936">
            <v>46</v>
          </cell>
          <cell r="Y936">
            <v>0</v>
          </cell>
          <cell r="Z936">
            <v>63.45</v>
          </cell>
          <cell r="AA936">
            <v>77</v>
          </cell>
          <cell r="AB936">
            <v>96</v>
          </cell>
          <cell r="AC936">
            <v>80</v>
          </cell>
          <cell r="AD936">
            <v>13.49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Y936">
            <v>45330.96</v>
          </cell>
        </row>
        <row r="937">
          <cell r="A937">
            <v>2</v>
          </cell>
          <cell r="B937" t="str">
            <v>12</v>
          </cell>
          <cell r="C937" t="str">
            <v>000</v>
          </cell>
          <cell r="D937" t="str">
            <v>1</v>
          </cell>
          <cell r="E937" t="str">
            <v>701</v>
          </cell>
          <cell r="F937" t="str">
            <v>N000</v>
          </cell>
          <cell r="G937" t="str">
            <v>500</v>
          </cell>
          <cell r="H937" t="str">
            <v>1103</v>
          </cell>
          <cell r="I937" t="str">
            <v>CF12825</v>
          </cell>
          <cell r="J937" t="str">
            <v>27ZB</v>
          </cell>
          <cell r="K937" t="str">
            <v>2</v>
          </cell>
          <cell r="L937">
            <v>2</v>
          </cell>
          <cell r="M937">
            <v>0</v>
          </cell>
          <cell r="N937">
            <v>3008.65</v>
          </cell>
          <cell r="O937" t="str">
            <v>M</v>
          </cell>
          <cell r="P937" t="str">
            <v>00000000</v>
          </cell>
          <cell r="Q937">
            <v>857</v>
          </cell>
          <cell r="R937">
            <v>434.58</v>
          </cell>
          <cell r="S937">
            <v>83.57</v>
          </cell>
          <cell r="T937">
            <v>383.6</v>
          </cell>
          <cell r="U937">
            <v>150.43</v>
          </cell>
          <cell r="V937">
            <v>69.59</v>
          </cell>
          <cell r="W937">
            <v>60.17</v>
          </cell>
          <cell r="X937">
            <v>54.5</v>
          </cell>
          <cell r="Y937">
            <v>0</v>
          </cell>
          <cell r="Z937">
            <v>93.83</v>
          </cell>
          <cell r="AA937">
            <v>77</v>
          </cell>
          <cell r="AB937">
            <v>96</v>
          </cell>
          <cell r="AC937">
            <v>80</v>
          </cell>
          <cell r="AD937">
            <v>13.49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Y937">
            <v>131097.84</v>
          </cell>
        </row>
        <row r="938">
          <cell r="A938">
            <v>2</v>
          </cell>
          <cell r="B938" t="str">
            <v>12</v>
          </cell>
          <cell r="C938" t="str">
            <v>000</v>
          </cell>
          <cell r="D938" t="str">
            <v>1</v>
          </cell>
          <cell r="E938" t="str">
            <v>701</v>
          </cell>
          <cell r="F938" t="str">
            <v>N000</v>
          </cell>
          <cell r="G938" t="str">
            <v>500</v>
          </cell>
          <cell r="H938" t="str">
            <v>1103</v>
          </cell>
          <cell r="I938" t="str">
            <v>CF21817</v>
          </cell>
          <cell r="J938" t="str">
            <v>27ZA</v>
          </cell>
          <cell r="K938" t="str">
            <v>2</v>
          </cell>
          <cell r="L938">
            <v>1</v>
          </cell>
          <cell r="M938">
            <v>0</v>
          </cell>
          <cell r="N938">
            <v>2982.9</v>
          </cell>
          <cell r="O938" t="str">
            <v>M</v>
          </cell>
          <cell r="P938" t="str">
            <v>00000000</v>
          </cell>
          <cell r="Q938">
            <v>579.4</v>
          </cell>
          <cell r="R938">
            <v>430.86</v>
          </cell>
          <cell r="S938">
            <v>82.86</v>
          </cell>
          <cell r="T938">
            <v>380.32</v>
          </cell>
          <cell r="U938">
            <v>149.15</v>
          </cell>
          <cell r="V938">
            <v>64.12</v>
          </cell>
          <cell r="W938">
            <v>59.66</v>
          </cell>
          <cell r="X938">
            <v>0</v>
          </cell>
          <cell r="Y938">
            <v>0</v>
          </cell>
          <cell r="Z938">
            <v>86.58</v>
          </cell>
          <cell r="AA938">
            <v>77</v>
          </cell>
          <cell r="AB938">
            <v>96</v>
          </cell>
          <cell r="AC938">
            <v>80</v>
          </cell>
          <cell r="AD938">
            <v>13.49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Y938">
            <v>60988.08</v>
          </cell>
        </row>
        <row r="939">
          <cell r="A939">
            <v>2</v>
          </cell>
          <cell r="B939" t="str">
            <v>12</v>
          </cell>
          <cell r="C939" t="str">
            <v>000</v>
          </cell>
          <cell r="D939" t="str">
            <v>1</v>
          </cell>
          <cell r="E939" t="str">
            <v>701</v>
          </cell>
          <cell r="F939" t="str">
            <v>N000</v>
          </cell>
          <cell r="G939" t="str">
            <v>500</v>
          </cell>
          <cell r="H939" t="str">
            <v>1103</v>
          </cell>
          <cell r="I939" t="str">
            <v>CF21829</v>
          </cell>
          <cell r="J939" t="str">
            <v>27ZB</v>
          </cell>
          <cell r="K939" t="str">
            <v>2</v>
          </cell>
          <cell r="L939">
            <v>3</v>
          </cell>
          <cell r="M939">
            <v>0</v>
          </cell>
          <cell r="N939">
            <v>3008.65</v>
          </cell>
          <cell r="O939" t="str">
            <v>M</v>
          </cell>
          <cell r="P939" t="str">
            <v>00000000</v>
          </cell>
          <cell r="Q939">
            <v>857</v>
          </cell>
          <cell r="R939">
            <v>434.58</v>
          </cell>
          <cell r="S939">
            <v>83.57</v>
          </cell>
          <cell r="T939">
            <v>383.6</v>
          </cell>
          <cell r="U939">
            <v>150.43</v>
          </cell>
          <cell r="V939">
            <v>69.59</v>
          </cell>
          <cell r="W939">
            <v>60.17</v>
          </cell>
          <cell r="X939">
            <v>42.67</v>
          </cell>
          <cell r="Y939">
            <v>0</v>
          </cell>
          <cell r="Z939">
            <v>93.59</v>
          </cell>
          <cell r="AA939">
            <v>77</v>
          </cell>
          <cell r="AB939">
            <v>96</v>
          </cell>
          <cell r="AC939">
            <v>80</v>
          </cell>
          <cell r="AD939">
            <v>13.49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Y939">
            <v>196212.24</v>
          </cell>
        </row>
        <row r="940">
          <cell r="A940">
            <v>2</v>
          </cell>
          <cell r="B940" t="str">
            <v>12</v>
          </cell>
          <cell r="C940" t="str">
            <v>000</v>
          </cell>
          <cell r="D940" t="str">
            <v>1</v>
          </cell>
          <cell r="E940" t="str">
            <v>701</v>
          </cell>
          <cell r="F940" t="str">
            <v>N000</v>
          </cell>
          <cell r="G940" t="str">
            <v>500</v>
          </cell>
          <cell r="H940" t="str">
            <v>1103</v>
          </cell>
          <cell r="I940" t="str">
            <v>CF21858</v>
          </cell>
          <cell r="J940" t="str">
            <v>27ZA</v>
          </cell>
          <cell r="K940" t="str">
            <v>2</v>
          </cell>
          <cell r="L940">
            <v>1</v>
          </cell>
          <cell r="M940">
            <v>0</v>
          </cell>
          <cell r="N940">
            <v>2982.9</v>
          </cell>
          <cell r="O940" t="str">
            <v>M</v>
          </cell>
          <cell r="P940" t="str">
            <v>00000000</v>
          </cell>
          <cell r="Q940">
            <v>579.4</v>
          </cell>
          <cell r="R940">
            <v>430.86</v>
          </cell>
          <cell r="S940">
            <v>82.86</v>
          </cell>
          <cell r="T940">
            <v>380.32</v>
          </cell>
          <cell r="U940">
            <v>149.15</v>
          </cell>
          <cell r="V940">
            <v>64.12</v>
          </cell>
          <cell r="W940">
            <v>59.66</v>
          </cell>
          <cell r="X940">
            <v>46</v>
          </cell>
          <cell r="Y940">
            <v>0</v>
          </cell>
          <cell r="Z940">
            <v>87.5</v>
          </cell>
          <cell r="AA940">
            <v>77</v>
          </cell>
          <cell r="AB940">
            <v>96</v>
          </cell>
          <cell r="AC940">
            <v>80</v>
          </cell>
          <cell r="AD940">
            <v>13.49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Y940">
            <v>61551.12</v>
          </cell>
        </row>
        <row r="941">
          <cell r="A941">
            <v>2</v>
          </cell>
          <cell r="B941" t="str">
            <v>12</v>
          </cell>
          <cell r="C941" t="str">
            <v>000</v>
          </cell>
          <cell r="D941" t="str">
            <v>1</v>
          </cell>
          <cell r="E941" t="str">
            <v>701</v>
          </cell>
          <cell r="F941" t="str">
            <v>N000</v>
          </cell>
          <cell r="G941" t="str">
            <v>500</v>
          </cell>
          <cell r="H941" t="str">
            <v>1103</v>
          </cell>
          <cell r="I941" t="str">
            <v>CF21864</v>
          </cell>
          <cell r="J941" t="str">
            <v>27C</v>
          </cell>
          <cell r="K941" t="str">
            <v>1</v>
          </cell>
          <cell r="L941">
            <v>5</v>
          </cell>
          <cell r="M941">
            <v>0</v>
          </cell>
          <cell r="N941">
            <v>3268.2</v>
          </cell>
          <cell r="O941" t="str">
            <v>M</v>
          </cell>
          <cell r="P941" t="str">
            <v>00000000</v>
          </cell>
          <cell r="Q941">
            <v>4783.05</v>
          </cell>
          <cell r="R941">
            <v>472.07</v>
          </cell>
          <cell r="S941">
            <v>90.78</v>
          </cell>
          <cell r="T941">
            <v>416.7</v>
          </cell>
          <cell r="U941">
            <v>163.41</v>
          </cell>
          <cell r="V941">
            <v>144.91999999999999</v>
          </cell>
          <cell r="W941">
            <v>65.36</v>
          </cell>
          <cell r="X941">
            <v>9.1999999999999993</v>
          </cell>
          <cell r="Y941">
            <v>0</v>
          </cell>
          <cell r="Z941">
            <v>174.01</v>
          </cell>
          <cell r="AA941">
            <v>77</v>
          </cell>
          <cell r="AB941">
            <v>0</v>
          </cell>
          <cell r="AC941">
            <v>0</v>
          </cell>
          <cell r="AD941">
            <v>13.49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Y941">
            <v>580691.4</v>
          </cell>
        </row>
        <row r="942">
          <cell r="A942">
            <v>2</v>
          </cell>
          <cell r="B942" t="str">
            <v>12</v>
          </cell>
          <cell r="C942" t="str">
            <v>000</v>
          </cell>
          <cell r="D942" t="str">
            <v>1</v>
          </cell>
          <cell r="E942" t="str">
            <v>701</v>
          </cell>
          <cell r="F942" t="str">
            <v>N000</v>
          </cell>
          <cell r="G942" t="str">
            <v>500</v>
          </cell>
          <cell r="H942" t="str">
            <v>1103</v>
          </cell>
          <cell r="I942" t="str">
            <v>CF21865</v>
          </cell>
          <cell r="J942" t="str">
            <v>27B</v>
          </cell>
          <cell r="K942" t="str">
            <v>1</v>
          </cell>
          <cell r="L942">
            <v>2</v>
          </cell>
          <cell r="M942">
            <v>0</v>
          </cell>
          <cell r="N942">
            <v>3222.2</v>
          </cell>
          <cell r="O942" t="str">
            <v>M</v>
          </cell>
          <cell r="P942" t="str">
            <v>00000000</v>
          </cell>
          <cell r="Q942">
            <v>3558.85</v>
          </cell>
          <cell r="R942">
            <v>465.43</v>
          </cell>
          <cell r="S942">
            <v>89.51</v>
          </cell>
          <cell r="T942">
            <v>410.83</v>
          </cell>
          <cell r="U942">
            <v>161.11000000000001</v>
          </cell>
          <cell r="V942">
            <v>122.06</v>
          </cell>
          <cell r="W942">
            <v>64.44</v>
          </cell>
          <cell r="X942">
            <v>46</v>
          </cell>
          <cell r="Y942">
            <v>0</v>
          </cell>
          <cell r="Z942">
            <v>149.18</v>
          </cell>
          <cell r="AA942">
            <v>77</v>
          </cell>
          <cell r="AB942">
            <v>0</v>
          </cell>
          <cell r="AC942">
            <v>0</v>
          </cell>
          <cell r="AD942">
            <v>13.49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Y942">
            <v>201122.4</v>
          </cell>
        </row>
        <row r="943">
          <cell r="A943">
            <v>2</v>
          </cell>
          <cell r="B943" t="str">
            <v>12</v>
          </cell>
          <cell r="C943" t="str">
            <v>000</v>
          </cell>
          <cell r="D943" t="str">
            <v>1</v>
          </cell>
          <cell r="E943" t="str">
            <v>701</v>
          </cell>
          <cell r="F943" t="str">
            <v>N000</v>
          </cell>
          <cell r="G943" t="str">
            <v>500</v>
          </cell>
          <cell r="H943" t="str">
            <v>1103</v>
          </cell>
          <cell r="I943" t="str">
            <v>CF21866</v>
          </cell>
          <cell r="J943" t="str">
            <v>27A</v>
          </cell>
          <cell r="K943" t="str">
            <v>1</v>
          </cell>
          <cell r="L943">
            <v>2</v>
          </cell>
          <cell r="M943">
            <v>0</v>
          </cell>
          <cell r="N943">
            <v>3185.4</v>
          </cell>
          <cell r="O943" t="str">
            <v>M</v>
          </cell>
          <cell r="P943" t="str">
            <v>00000000</v>
          </cell>
          <cell r="Q943">
            <v>2791.7</v>
          </cell>
          <cell r="R943">
            <v>460.11</v>
          </cell>
          <cell r="S943">
            <v>88.48</v>
          </cell>
          <cell r="T943">
            <v>406.14</v>
          </cell>
          <cell r="U943">
            <v>159.27000000000001</v>
          </cell>
          <cell r="V943">
            <v>107.59</v>
          </cell>
          <cell r="W943">
            <v>63.71</v>
          </cell>
          <cell r="X943">
            <v>23</v>
          </cell>
          <cell r="Y943">
            <v>0</v>
          </cell>
          <cell r="Z943">
            <v>132.51</v>
          </cell>
          <cell r="AA943">
            <v>77</v>
          </cell>
          <cell r="AB943">
            <v>0</v>
          </cell>
          <cell r="AC943">
            <v>0</v>
          </cell>
          <cell r="AD943">
            <v>13.49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Y943">
            <v>180201.60000000001</v>
          </cell>
        </row>
        <row r="944">
          <cell r="A944">
            <v>2</v>
          </cell>
          <cell r="B944" t="str">
            <v>12</v>
          </cell>
          <cell r="C944" t="str">
            <v>000</v>
          </cell>
          <cell r="D944" t="str">
            <v>1</v>
          </cell>
          <cell r="E944" t="str">
            <v>701</v>
          </cell>
          <cell r="F944" t="str">
            <v>N000</v>
          </cell>
          <cell r="G944" t="str">
            <v>500</v>
          </cell>
          <cell r="H944" t="str">
            <v>1103</v>
          </cell>
          <cell r="I944" t="str">
            <v>CF33834</v>
          </cell>
          <cell r="J944" t="str">
            <v>27</v>
          </cell>
          <cell r="K944" t="str">
            <v>2</v>
          </cell>
          <cell r="L944">
            <v>3</v>
          </cell>
          <cell r="M944">
            <v>0</v>
          </cell>
          <cell r="N944">
            <v>2817.8</v>
          </cell>
          <cell r="O944" t="str">
            <v>M</v>
          </cell>
          <cell r="P944" t="str">
            <v>00000000</v>
          </cell>
          <cell r="Q944">
            <v>0</v>
          </cell>
          <cell r="R944">
            <v>407.02</v>
          </cell>
          <cell r="S944">
            <v>78.27</v>
          </cell>
          <cell r="T944">
            <v>359.27</v>
          </cell>
          <cell r="U944">
            <v>140.88999999999999</v>
          </cell>
          <cell r="V944">
            <v>50.72</v>
          </cell>
          <cell r="W944">
            <v>56.36</v>
          </cell>
          <cell r="X944">
            <v>97</v>
          </cell>
          <cell r="Y944">
            <v>0</v>
          </cell>
          <cell r="Z944">
            <v>73.06</v>
          </cell>
          <cell r="AA944">
            <v>77</v>
          </cell>
          <cell r="AB944">
            <v>96</v>
          </cell>
          <cell r="AC944">
            <v>80</v>
          </cell>
          <cell r="AD944">
            <v>13.49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Y944">
            <v>156487.67999999999</v>
          </cell>
        </row>
        <row r="945">
          <cell r="A945">
            <v>2</v>
          </cell>
          <cell r="B945" t="str">
            <v>12</v>
          </cell>
          <cell r="C945" t="str">
            <v>000</v>
          </cell>
          <cell r="D945" t="str">
            <v>1</v>
          </cell>
          <cell r="E945" t="str">
            <v>701</v>
          </cell>
          <cell r="F945" t="str">
            <v>N000</v>
          </cell>
          <cell r="G945" t="str">
            <v>500</v>
          </cell>
          <cell r="H945" t="str">
            <v>1103</v>
          </cell>
          <cell r="I945" t="str">
            <v>CF33892</v>
          </cell>
          <cell r="J945" t="str">
            <v>27ZA</v>
          </cell>
          <cell r="K945" t="str">
            <v>2</v>
          </cell>
          <cell r="L945">
            <v>27</v>
          </cell>
          <cell r="M945">
            <v>0</v>
          </cell>
          <cell r="N945">
            <v>2982.9</v>
          </cell>
          <cell r="O945" t="str">
            <v>M</v>
          </cell>
          <cell r="P945" t="str">
            <v>00000000</v>
          </cell>
          <cell r="Q945">
            <v>579.4</v>
          </cell>
          <cell r="R945">
            <v>430.86</v>
          </cell>
          <cell r="S945">
            <v>82.86</v>
          </cell>
          <cell r="T945">
            <v>380.32</v>
          </cell>
          <cell r="U945">
            <v>149.15</v>
          </cell>
          <cell r="V945">
            <v>64.12</v>
          </cell>
          <cell r="W945">
            <v>59.66</v>
          </cell>
          <cell r="X945">
            <v>50.81</v>
          </cell>
          <cell r="Y945">
            <v>0</v>
          </cell>
          <cell r="Z945">
            <v>87.6</v>
          </cell>
          <cell r="AA945">
            <v>77</v>
          </cell>
          <cell r="AB945">
            <v>96</v>
          </cell>
          <cell r="AC945">
            <v>80</v>
          </cell>
          <cell r="AD945">
            <v>13.49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Y945">
            <v>1663471.08</v>
          </cell>
        </row>
        <row r="946">
          <cell r="A946">
            <v>2</v>
          </cell>
          <cell r="B946" t="str">
            <v>12</v>
          </cell>
          <cell r="C946" t="str">
            <v>000</v>
          </cell>
          <cell r="D946" t="str">
            <v>1</v>
          </cell>
          <cell r="E946" t="str">
            <v>701</v>
          </cell>
          <cell r="F946" t="str">
            <v>N000</v>
          </cell>
          <cell r="G946" t="str">
            <v>500</v>
          </cell>
          <cell r="H946" t="str">
            <v>1103</v>
          </cell>
          <cell r="I946" t="str">
            <v>CF34834</v>
          </cell>
          <cell r="J946" t="str">
            <v>27ZA</v>
          </cell>
          <cell r="K946" t="str">
            <v>2</v>
          </cell>
          <cell r="L946">
            <v>1</v>
          </cell>
          <cell r="M946">
            <v>0</v>
          </cell>
          <cell r="N946">
            <v>2982.9</v>
          </cell>
          <cell r="O946" t="str">
            <v>M</v>
          </cell>
          <cell r="P946" t="str">
            <v>00000000</v>
          </cell>
          <cell r="Q946">
            <v>579.4</v>
          </cell>
          <cell r="R946">
            <v>430.86</v>
          </cell>
          <cell r="S946">
            <v>82.86</v>
          </cell>
          <cell r="T946">
            <v>380.32</v>
          </cell>
          <cell r="U946">
            <v>149.15</v>
          </cell>
          <cell r="V946">
            <v>64.12</v>
          </cell>
          <cell r="W946">
            <v>59.66</v>
          </cell>
          <cell r="X946">
            <v>0</v>
          </cell>
          <cell r="Y946">
            <v>0</v>
          </cell>
          <cell r="Z946">
            <v>86.58</v>
          </cell>
          <cell r="AA946">
            <v>77</v>
          </cell>
          <cell r="AB946">
            <v>96</v>
          </cell>
          <cell r="AC946">
            <v>80</v>
          </cell>
          <cell r="AD946">
            <v>13.49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Y946">
            <v>60988.08</v>
          </cell>
        </row>
        <row r="947">
          <cell r="A947">
            <v>2</v>
          </cell>
          <cell r="B947" t="str">
            <v>12</v>
          </cell>
          <cell r="C947" t="str">
            <v>000</v>
          </cell>
          <cell r="D947" t="str">
            <v>1</v>
          </cell>
          <cell r="E947" t="str">
            <v>701</v>
          </cell>
          <cell r="F947" t="str">
            <v>N000</v>
          </cell>
          <cell r="G947" t="str">
            <v>510</v>
          </cell>
          <cell r="H947" t="str">
            <v>1103</v>
          </cell>
          <cell r="I947" t="str">
            <v>A01803</v>
          </cell>
          <cell r="J947" t="str">
            <v>19</v>
          </cell>
          <cell r="K947" t="str">
            <v>2</v>
          </cell>
          <cell r="L947">
            <v>7</v>
          </cell>
          <cell r="M947">
            <v>0</v>
          </cell>
          <cell r="N947">
            <v>2120.3000000000002</v>
          </cell>
          <cell r="O947" t="str">
            <v>M</v>
          </cell>
          <cell r="P947" t="str">
            <v>00000000</v>
          </cell>
          <cell r="Q947">
            <v>0</v>
          </cell>
          <cell r="R947">
            <v>306.27</v>
          </cell>
          <cell r="S947">
            <v>58.9</v>
          </cell>
          <cell r="T947">
            <v>270.33999999999997</v>
          </cell>
          <cell r="U947">
            <v>106.02</v>
          </cell>
          <cell r="V947">
            <v>38.17</v>
          </cell>
          <cell r="W947">
            <v>42.41</v>
          </cell>
          <cell r="X947">
            <v>13.14</v>
          </cell>
          <cell r="Y947">
            <v>0</v>
          </cell>
          <cell r="Z947">
            <v>55.03</v>
          </cell>
          <cell r="AA947">
            <v>77</v>
          </cell>
          <cell r="AB947">
            <v>96</v>
          </cell>
          <cell r="AC947">
            <v>80</v>
          </cell>
          <cell r="AD947">
            <v>13.49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Y947">
            <v>275273.88</v>
          </cell>
        </row>
        <row r="948">
          <cell r="A948">
            <v>2</v>
          </cell>
          <cell r="B948" t="str">
            <v>12</v>
          </cell>
          <cell r="C948" t="str">
            <v>000</v>
          </cell>
          <cell r="D948" t="str">
            <v>1</v>
          </cell>
          <cell r="E948" t="str">
            <v>701</v>
          </cell>
          <cell r="F948" t="str">
            <v>N000</v>
          </cell>
          <cell r="G948" t="str">
            <v>510</v>
          </cell>
          <cell r="H948" t="str">
            <v>1103</v>
          </cell>
          <cell r="I948" t="str">
            <v>A01805</v>
          </cell>
          <cell r="J948" t="str">
            <v>21</v>
          </cell>
          <cell r="K948" t="str">
            <v>2</v>
          </cell>
          <cell r="L948">
            <v>10</v>
          </cell>
          <cell r="M948">
            <v>0</v>
          </cell>
          <cell r="N948">
            <v>2238.1999999999998</v>
          </cell>
          <cell r="O948" t="str">
            <v>M</v>
          </cell>
          <cell r="P948" t="str">
            <v>00000000</v>
          </cell>
          <cell r="Q948">
            <v>0</v>
          </cell>
          <cell r="R948">
            <v>323.3</v>
          </cell>
          <cell r="S948">
            <v>62.17</v>
          </cell>
          <cell r="T948">
            <v>285.37</v>
          </cell>
          <cell r="U948">
            <v>111.91</v>
          </cell>
          <cell r="V948">
            <v>40.29</v>
          </cell>
          <cell r="W948">
            <v>44.76</v>
          </cell>
          <cell r="X948">
            <v>32.200000000000003</v>
          </cell>
          <cell r="Y948">
            <v>0</v>
          </cell>
          <cell r="Z948">
            <v>58.18</v>
          </cell>
          <cell r="AA948">
            <v>77</v>
          </cell>
          <cell r="AB948">
            <v>96</v>
          </cell>
          <cell r="AC948">
            <v>80</v>
          </cell>
          <cell r="AD948">
            <v>13.49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Y948">
            <v>415544.4</v>
          </cell>
        </row>
        <row r="949">
          <cell r="A949">
            <v>2</v>
          </cell>
          <cell r="B949" t="str">
            <v>12</v>
          </cell>
          <cell r="C949" t="str">
            <v>000</v>
          </cell>
          <cell r="D949" t="str">
            <v>1</v>
          </cell>
          <cell r="E949" t="str">
            <v>701</v>
          </cell>
          <cell r="F949" t="str">
            <v>N000</v>
          </cell>
          <cell r="G949" t="str">
            <v>510</v>
          </cell>
          <cell r="H949" t="str">
            <v>1103</v>
          </cell>
          <cell r="I949" t="str">
            <v>A01806</v>
          </cell>
          <cell r="J949" t="str">
            <v>25</v>
          </cell>
          <cell r="K949" t="str">
            <v>2</v>
          </cell>
          <cell r="L949">
            <v>14</v>
          </cell>
          <cell r="M949">
            <v>0</v>
          </cell>
          <cell r="N949">
            <v>2572.4</v>
          </cell>
          <cell r="O949" t="str">
            <v>M</v>
          </cell>
          <cell r="P949" t="str">
            <v>00000000</v>
          </cell>
          <cell r="Q949">
            <v>0</v>
          </cell>
          <cell r="R949">
            <v>371.57</v>
          </cell>
          <cell r="S949">
            <v>71.459999999999994</v>
          </cell>
          <cell r="T949">
            <v>327.98</v>
          </cell>
          <cell r="U949">
            <v>128.62</v>
          </cell>
          <cell r="V949">
            <v>46.3</v>
          </cell>
          <cell r="W949">
            <v>51.45</v>
          </cell>
          <cell r="X949">
            <v>35.43</v>
          </cell>
          <cell r="Y949">
            <v>0</v>
          </cell>
          <cell r="Z949">
            <v>66.08</v>
          </cell>
          <cell r="AA949">
            <v>77</v>
          </cell>
          <cell r="AB949">
            <v>96</v>
          </cell>
          <cell r="AC949">
            <v>80</v>
          </cell>
          <cell r="AD949">
            <v>13.49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Y949">
            <v>661547.04</v>
          </cell>
        </row>
        <row r="950">
          <cell r="A950">
            <v>2</v>
          </cell>
          <cell r="B950" t="str">
            <v>12</v>
          </cell>
          <cell r="C950" t="str">
            <v>000</v>
          </cell>
          <cell r="D950" t="str">
            <v>1</v>
          </cell>
          <cell r="E950" t="str">
            <v>701</v>
          </cell>
          <cell r="F950" t="str">
            <v>N000</v>
          </cell>
          <cell r="G950" t="str">
            <v>510</v>
          </cell>
          <cell r="H950" t="str">
            <v>1103</v>
          </cell>
          <cell r="I950" t="str">
            <v>A01807</v>
          </cell>
          <cell r="J950" t="str">
            <v>27</v>
          </cell>
          <cell r="K950" t="str">
            <v>2</v>
          </cell>
          <cell r="L950">
            <v>33</v>
          </cell>
          <cell r="M950">
            <v>0</v>
          </cell>
          <cell r="N950">
            <v>2817.8</v>
          </cell>
          <cell r="O950" t="str">
            <v>M</v>
          </cell>
          <cell r="P950" t="str">
            <v>00000000</v>
          </cell>
          <cell r="Q950">
            <v>0</v>
          </cell>
          <cell r="R950">
            <v>407.02</v>
          </cell>
          <cell r="S950">
            <v>78.27</v>
          </cell>
          <cell r="T950">
            <v>359.27</v>
          </cell>
          <cell r="U950">
            <v>140.88999999999999</v>
          </cell>
          <cell r="V950">
            <v>50.72</v>
          </cell>
          <cell r="W950">
            <v>56.36</v>
          </cell>
          <cell r="X950">
            <v>57.27</v>
          </cell>
          <cell r="Y950">
            <v>0</v>
          </cell>
          <cell r="Z950">
            <v>72.27</v>
          </cell>
          <cell r="AA950">
            <v>77</v>
          </cell>
          <cell r="AB950">
            <v>96</v>
          </cell>
          <cell r="AC950">
            <v>80</v>
          </cell>
          <cell r="AD950">
            <v>13.49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Y950">
            <v>1705318.56</v>
          </cell>
        </row>
        <row r="951">
          <cell r="A951">
            <v>2</v>
          </cell>
          <cell r="B951" t="str">
            <v>12</v>
          </cell>
          <cell r="C951" t="str">
            <v>000</v>
          </cell>
          <cell r="D951" t="str">
            <v>1</v>
          </cell>
          <cell r="E951" t="str">
            <v>701</v>
          </cell>
          <cell r="F951" t="str">
            <v>N000</v>
          </cell>
          <cell r="G951" t="str">
            <v>510</v>
          </cell>
          <cell r="H951" t="str">
            <v>1103</v>
          </cell>
          <cell r="I951" t="str">
            <v>A03803</v>
          </cell>
          <cell r="J951" t="str">
            <v>20</v>
          </cell>
          <cell r="K951" t="str">
            <v>2</v>
          </cell>
          <cell r="L951">
            <v>3</v>
          </cell>
          <cell r="M951">
            <v>0</v>
          </cell>
          <cell r="N951">
            <v>2138.85</v>
          </cell>
          <cell r="O951" t="str">
            <v>M</v>
          </cell>
          <cell r="P951" t="str">
            <v>00000000</v>
          </cell>
          <cell r="Q951">
            <v>0</v>
          </cell>
          <cell r="R951">
            <v>308.94</v>
          </cell>
          <cell r="S951">
            <v>59.41</v>
          </cell>
          <cell r="T951">
            <v>272.7</v>
          </cell>
          <cell r="U951">
            <v>106.94</v>
          </cell>
          <cell r="V951">
            <v>38.5</v>
          </cell>
          <cell r="W951">
            <v>42.78</v>
          </cell>
          <cell r="X951">
            <v>0</v>
          </cell>
          <cell r="Y951">
            <v>0</v>
          </cell>
          <cell r="Z951">
            <v>55.2</v>
          </cell>
          <cell r="AA951">
            <v>77</v>
          </cell>
          <cell r="AB951">
            <v>96</v>
          </cell>
          <cell r="AC951">
            <v>80</v>
          </cell>
          <cell r="AD951">
            <v>13.49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Y951">
            <v>118433.16</v>
          </cell>
        </row>
        <row r="952">
          <cell r="A952">
            <v>2</v>
          </cell>
          <cell r="B952" t="str">
            <v>12</v>
          </cell>
          <cell r="C952" t="str">
            <v>000</v>
          </cell>
          <cell r="D952" t="str">
            <v>1</v>
          </cell>
          <cell r="E952" t="str">
            <v>701</v>
          </cell>
          <cell r="F952" t="str">
            <v>N000</v>
          </cell>
          <cell r="G952" t="str">
            <v>510</v>
          </cell>
          <cell r="H952" t="str">
            <v>1103</v>
          </cell>
          <cell r="I952" t="str">
            <v>A03804</v>
          </cell>
          <cell r="J952" t="str">
            <v>23</v>
          </cell>
          <cell r="K952" t="str">
            <v>2</v>
          </cell>
          <cell r="L952">
            <v>8</v>
          </cell>
          <cell r="M952">
            <v>0</v>
          </cell>
          <cell r="N952">
            <v>2451.25</v>
          </cell>
          <cell r="O952" t="str">
            <v>M</v>
          </cell>
          <cell r="P952" t="str">
            <v>00000000</v>
          </cell>
          <cell r="Q952">
            <v>0</v>
          </cell>
          <cell r="R952">
            <v>354.07</v>
          </cell>
          <cell r="S952">
            <v>68.09</v>
          </cell>
          <cell r="T952">
            <v>312.52999999999997</v>
          </cell>
          <cell r="U952">
            <v>122.56</v>
          </cell>
          <cell r="V952">
            <v>44.12</v>
          </cell>
          <cell r="W952">
            <v>49.02</v>
          </cell>
          <cell r="X952">
            <v>44.75</v>
          </cell>
          <cell r="Y952">
            <v>0</v>
          </cell>
          <cell r="Z952">
            <v>63.42</v>
          </cell>
          <cell r="AA952">
            <v>77</v>
          </cell>
          <cell r="AB952">
            <v>96</v>
          </cell>
          <cell r="AC952">
            <v>80</v>
          </cell>
          <cell r="AD952">
            <v>13.49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Y952">
            <v>362524.8</v>
          </cell>
        </row>
        <row r="953">
          <cell r="A953">
            <v>2</v>
          </cell>
          <cell r="B953" t="str">
            <v>12</v>
          </cell>
          <cell r="C953" t="str">
            <v>000</v>
          </cell>
          <cell r="D953" t="str">
            <v>1</v>
          </cell>
          <cell r="E953" t="str">
            <v>701</v>
          </cell>
          <cell r="F953" t="str">
            <v>N000</v>
          </cell>
          <cell r="G953" t="str">
            <v>510</v>
          </cell>
          <cell r="H953" t="str">
            <v>1103</v>
          </cell>
          <cell r="I953" t="str">
            <v>CFMC03</v>
          </cell>
          <cell r="J953" t="str">
            <v>MC03</v>
          </cell>
          <cell r="K953" t="str">
            <v>1</v>
          </cell>
          <cell r="L953">
            <v>14</v>
          </cell>
          <cell r="M953">
            <v>0</v>
          </cell>
          <cell r="N953">
            <v>4311.3999999999996</v>
          </cell>
          <cell r="O953" t="str">
            <v>M</v>
          </cell>
          <cell r="P953" t="str">
            <v>00000000</v>
          </cell>
          <cell r="Q953">
            <v>11306.9</v>
          </cell>
          <cell r="R953">
            <v>622.76</v>
          </cell>
          <cell r="S953">
            <v>119.76</v>
          </cell>
          <cell r="T953">
            <v>549.70000000000005</v>
          </cell>
          <cell r="U953">
            <v>215.57</v>
          </cell>
          <cell r="V953">
            <v>281.13</v>
          </cell>
          <cell r="W953">
            <v>86.23</v>
          </cell>
          <cell r="X953">
            <v>46.43</v>
          </cell>
          <cell r="Y953">
            <v>780.91</v>
          </cell>
          <cell r="Z953">
            <v>329.69</v>
          </cell>
          <cell r="AA953">
            <v>77</v>
          </cell>
          <cell r="AB953">
            <v>0</v>
          </cell>
          <cell r="AC953">
            <v>0</v>
          </cell>
          <cell r="AD953">
            <v>13.49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Y953">
            <v>3148482.96</v>
          </cell>
        </row>
        <row r="954">
          <cell r="A954">
            <v>2</v>
          </cell>
          <cell r="B954" t="str">
            <v>12</v>
          </cell>
          <cell r="C954" t="str">
            <v>000</v>
          </cell>
          <cell r="D954" t="str">
            <v>1</v>
          </cell>
          <cell r="E954" t="str">
            <v>701</v>
          </cell>
          <cell r="F954" t="str">
            <v>N000</v>
          </cell>
          <cell r="G954" t="str">
            <v>510</v>
          </cell>
          <cell r="H954" t="str">
            <v>1103</v>
          </cell>
          <cell r="I954" t="str">
            <v>CFMD09</v>
          </cell>
          <cell r="J954" t="str">
            <v>MD09</v>
          </cell>
          <cell r="K954" t="str">
            <v>1</v>
          </cell>
          <cell r="L954">
            <v>1</v>
          </cell>
          <cell r="M954">
            <v>0</v>
          </cell>
          <cell r="N954">
            <v>14852.65</v>
          </cell>
          <cell r="O954" t="str">
            <v>M</v>
          </cell>
          <cell r="P954" t="str">
            <v>00000000</v>
          </cell>
          <cell r="Q954">
            <v>100991.65</v>
          </cell>
          <cell r="R954">
            <v>2145.38</v>
          </cell>
          <cell r="S954">
            <v>412.57</v>
          </cell>
          <cell r="T954">
            <v>1893.71</v>
          </cell>
          <cell r="U954">
            <v>742.63</v>
          </cell>
          <cell r="V954">
            <v>2085.1999999999998</v>
          </cell>
          <cell r="W954">
            <v>297.05</v>
          </cell>
          <cell r="X954">
            <v>46</v>
          </cell>
          <cell r="Y954">
            <v>5792.22</v>
          </cell>
          <cell r="Z954">
            <v>2370.5100000000002</v>
          </cell>
          <cell r="AA954">
            <v>77</v>
          </cell>
          <cell r="AB954">
            <v>0</v>
          </cell>
          <cell r="AC954">
            <v>0</v>
          </cell>
          <cell r="AD954">
            <v>13.49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Y954">
            <v>1580640.72</v>
          </cell>
        </row>
        <row r="955">
          <cell r="A955">
            <v>2</v>
          </cell>
          <cell r="B955" t="str">
            <v>12</v>
          </cell>
          <cell r="C955" t="str">
            <v>000</v>
          </cell>
          <cell r="D955" t="str">
            <v>1</v>
          </cell>
          <cell r="E955" t="str">
            <v>701</v>
          </cell>
          <cell r="F955" t="str">
            <v>N000</v>
          </cell>
          <cell r="G955" t="str">
            <v>510</v>
          </cell>
          <cell r="H955" t="str">
            <v>1103</v>
          </cell>
          <cell r="I955" t="str">
            <v>CFMG01</v>
          </cell>
          <cell r="J955" t="str">
            <v>MG01</v>
          </cell>
          <cell r="K955" t="str">
            <v>1</v>
          </cell>
          <cell r="L955">
            <v>2</v>
          </cell>
          <cell r="M955">
            <v>0</v>
          </cell>
          <cell r="N955">
            <v>9641.4</v>
          </cell>
          <cell r="O955" t="str">
            <v>M</v>
          </cell>
          <cell r="P955" t="str">
            <v>00000000</v>
          </cell>
          <cell r="Q955">
            <v>56872.15</v>
          </cell>
          <cell r="R955">
            <v>1392.65</v>
          </cell>
          <cell r="S955">
            <v>267.82</v>
          </cell>
          <cell r="T955">
            <v>1229.28</v>
          </cell>
          <cell r="U955">
            <v>482.07</v>
          </cell>
          <cell r="V955">
            <v>1197.25</v>
          </cell>
          <cell r="W955">
            <v>192.83</v>
          </cell>
          <cell r="X955">
            <v>54.5</v>
          </cell>
          <cell r="Y955">
            <v>3325.68</v>
          </cell>
          <cell r="Z955">
            <v>1366.11</v>
          </cell>
          <cell r="AA955">
            <v>77</v>
          </cell>
          <cell r="AB955">
            <v>0</v>
          </cell>
          <cell r="AC955">
            <v>0</v>
          </cell>
          <cell r="AD955">
            <v>13.49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Y955">
            <v>1826693.52</v>
          </cell>
        </row>
        <row r="956">
          <cell r="A956">
            <v>2</v>
          </cell>
          <cell r="B956" t="str">
            <v>12</v>
          </cell>
          <cell r="C956" t="str">
            <v>000</v>
          </cell>
          <cell r="D956" t="str">
            <v>1</v>
          </cell>
          <cell r="E956" t="str">
            <v>701</v>
          </cell>
          <cell r="F956" t="str">
            <v>N000</v>
          </cell>
          <cell r="G956" t="str">
            <v>510</v>
          </cell>
          <cell r="H956" t="str">
            <v>1103</v>
          </cell>
          <cell r="I956" t="str">
            <v>CFMG06</v>
          </cell>
          <cell r="J956" t="str">
            <v>MG06</v>
          </cell>
          <cell r="K956" t="str">
            <v>1</v>
          </cell>
          <cell r="L956">
            <v>3</v>
          </cell>
          <cell r="M956">
            <v>0</v>
          </cell>
          <cell r="N956">
            <v>8232.25</v>
          </cell>
          <cell r="O956" t="str">
            <v>M</v>
          </cell>
          <cell r="P956" t="str">
            <v>00000000</v>
          </cell>
          <cell r="Q956">
            <v>38872.050000000003</v>
          </cell>
          <cell r="R956">
            <v>1189.0999999999999</v>
          </cell>
          <cell r="S956">
            <v>228.67</v>
          </cell>
          <cell r="T956">
            <v>1049.6099999999999</v>
          </cell>
          <cell r="U956">
            <v>411.61</v>
          </cell>
          <cell r="V956">
            <v>847.88</v>
          </cell>
          <cell r="W956">
            <v>164.65</v>
          </cell>
          <cell r="X956">
            <v>88</v>
          </cell>
          <cell r="Y956">
            <v>2355.2199999999998</v>
          </cell>
          <cell r="Z956">
            <v>973.74</v>
          </cell>
          <cell r="AA956">
            <v>77</v>
          </cell>
          <cell r="AB956">
            <v>0</v>
          </cell>
          <cell r="AC956">
            <v>0</v>
          </cell>
          <cell r="AD956">
            <v>13.49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Y956">
            <v>1962117.72</v>
          </cell>
        </row>
        <row r="957">
          <cell r="A957">
            <v>2</v>
          </cell>
          <cell r="B957" t="str">
            <v>12</v>
          </cell>
          <cell r="C957" t="str">
            <v>000</v>
          </cell>
          <cell r="D957" t="str">
            <v>1</v>
          </cell>
          <cell r="E957" t="str">
            <v>701</v>
          </cell>
          <cell r="F957" t="str">
            <v>N000</v>
          </cell>
          <cell r="G957" t="str">
            <v>510</v>
          </cell>
          <cell r="H957" t="str">
            <v>1103</v>
          </cell>
          <cell r="I957" t="str">
            <v>CFMG08</v>
          </cell>
          <cell r="J957" t="str">
            <v>MG08</v>
          </cell>
          <cell r="K957" t="str">
            <v>1</v>
          </cell>
          <cell r="L957">
            <v>1</v>
          </cell>
          <cell r="M957">
            <v>0</v>
          </cell>
          <cell r="N957">
            <v>6807.9</v>
          </cell>
          <cell r="O957" t="str">
            <v>M</v>
          </cell>
          <cell r="P957" t="str">
            <v>00000000</v>
          </cell>
          <cell r="Q957">
            <v>34139.449999999997</v>
          </cell>
          <cell r="R957">
            <v>983.36</v>
          </cell>
          <cell r="S957">
            <v>189.11</v>
          </cell>
          <cell r="T957">
            <v>868.01</v>
          </cell>
          <cell r="U957">
            <v>340.39</v>
          </cell>
          <cell r="V957">
            <v>737.05</v>
          </cell>
          <cell r="W957">
            <v>136.16</v>
          </cell>
          <cell r="X957">
            <v>46</v>
          </cell>
          <cell r="Y957">
            <v>2047.37</v>
          </cell>
          <cell r="Z957">
            <v>844.86</v>
          </cell>
          <cell r="AA957">
            <v>77</v>
          </cell>
          <cell r="AB957">
            <v>0</v>
          </cell>
          <cell r="AC957">
            <v>0</v>
          </cell>
          <cell r="AD957">
            <v>13.49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Y957">
            <v>566761.80000000005</v>
          </cell>
        </row>
        <row r="958">
          <cell r="A958">
            <v>2</v>
          </cell>
          <cell r="B958" t="str">
            <v>12</v>
          </cell>
          <cell r="C958" t="str">
            <v>000</v>
          </cell>
          <cell r="D958" t="str">
            <v>1</v>
          </cell>
          <cell r="E958" t="str">
            <v>701</v>
          </cell>
          <cell r="F958" t="str">
            <v>N000</v>
          </cell>
          <cell r="G958" t="str">
            <v>510</v>
          </cell>
          <cell r="H958" t="str">
            <v>1103</v>
          </cell>
          <cell r="I958" t="str">
            <v>CFMG10</v>
          </cell>
          <cell r="J958" t="str">
            <v>MG10</v>
          </cell>
          <cell r="K958" t="str">
            <v>1</v>
          </cell>
          <cell r="L958">
            <v>1</v>
          </cell>
          <cell r="M958">
            <v>0</v>
          </cell>
          <cell r="N958">
            <v>6807.9</v>
          </cell>
          <cell r="O958" t="str">
            <v>M</v>
          </cell>
          <cell r="P958" t="str">
            <v>00000000</v>
          </cell>
          <cell r="Q958">
            <v>28390.85</v>
          </cell>
          <cell r="R958">
            <v>983.36</v>
          </cell>
          <cell r="S958">
            <v>189.11</v>
          </cell>
          <cell r="T958">
            <v>868.01</v>
          </cell>
          <cell r="U958">
            <v>340.39</v>
          </cell>
          <cell r="V958">
            <v>633.58000000000004</v>
          </cell>
          <cell r="W958">
            <v>136.16</v>
          </cell>
          <cell r="X958">
            <v>327</v>
          </cell>
          <cell r="Y958">
            <v>1759.94</v>
          </cell>
          <cell r="Z958">
            <v>735.5</v>
          </cell>
          <cell r="AA958">
            <v>77</v>
          </cell>
          <cell r="AB958">
            <v>0</v>
          </cell>
          <cell r="AC958">
            <v>0</v>
          </cell>
          <cell r="AD958">
            <v>13.49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Y958">
            <v>495147.48</v>
          </cell>
        </row>
        <row r="959">
          <cell r="A959">
            <v>2</v>
          </cell>
          <cell r="B959" t="str">
            <v>12</v>
          </cell>
          <cell r="C959" t="str">
            <v>000</v>
          </cell>
          <cell r="D959" t="str">
            <v>1</v>
          </cell>
          <cell r="E959" t="str">
            <v>701</v>
          </cell>
          <cell r="F959" t="str">
            <v>N000</v>
          </cell>
          <cell r="G959" t="str">
            <v>510</v>
          </cell>
          <cell r="H959" t="str">
            <v>1103</v>
          </cell>
          <cell r="I959" t="str">
            <v>CFMS06</v>
          </cell>
          <cell r="J959" t="str">
            <v>MS06</v>
          </cell>
          <cell r="K959" t="str">
            <v>1</v>
          </cell>
          <cell r="L959">
            <v>1</v>
          </cell>
          <cell r="M959">
            <v>0</v>
          </cell>
          <cell r="N959">
            <v>4801.8999999999996</v>
          </cell>
          <cell r="O959" t="str">
            <v>M</v>
          </cell>
          <cell r="P959" t="str">
            <v>00000000</v>
          </cell>
          <cell r="Q959">
            <v>21723.85</v>
          </cell>
          <cell r="R959">
            <v>693.61</v>
          </cell>
          <cell r="S959">
            <v>133.38999999999999</v>
          </cell>
          <cell r="T959">
            <v>612.24</v>
          </cell>
          <cell r="U959">
            <v>240.09</v>
          </cell>
          <cell r="V959">
            <v>477.46</v>
          </cell>
          <cell r="W959">
            <v>96.04</v>
          </cell>
          <cell r="X959">
            <v>191</v>
          </cell>
          <cell r="Y959">
            <v>1326.29</v>
          </cell>
          <cell r="Z959">
            <v>552.41</v>
          </cell>
          <cell r="AA959">
            <v>77</v>
          </cell>
          <cell r="AB959">
            <v>0</v>
          </cell>
          <cell r="AC959">
            <v>0</v>
          </cell>
          <cell r="AD959">
            <v>13.49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Y959">
            <v>371265.24</v>
          </cell>
        </row>
        <row r="960">
          <cell r="A960">
            <v>2</v>
          </cell>
          <cell r="B960" t="str">
            <v>12</v>
          </cell>
          <cell r="C960" t="str">
            <v>000</v>
          </cell>
          <cell r="D960" t="str">
            <v>1</v>
          </cell>
          <cell r="E960" t="str">
            <v>701</v>
          </cell>
          <cell r="F960" t="str">
            <v>N000</v>
          </cell>
          <cell r="G960" t="str">
            <v>510</v>
          </cell>
          <cell r="H960" t="str">
            <v>1103</v>
          </cell>
          <cell r="I960" t="str">
            <v>CFMS07</v>
          </cell>
          <cell r="J960" t="str">
            <v>MS07</v>
          </cell>
          <cell r="K960" t="str">
            <v>1</v>
          </cell>
          <cell r="L960">
            <v>1</v>
          </cell>
          <cell r="M960">
            <v>0</v>
          </cell>
          <cell r="N960">
            <v>4801.8999999999996</v>
          </cell>
          <cell r="O960" t="str">
            <v>M</v>
          </cell>
          <cell r="P960" t="str">
            <v>00000000</v>
          </cell>
          <cell r="Q960">
            <v>19053.55</v>
          </cell>
          <cell r="R960">
            <v>693.61</v>
          </cell>
          <cell r="S960">
            <v>133.38999999999999</v>
          </cell>
          <cell r="T960">
            <v>612.24</v>
          </cell>
          <cell r="U960">
            <v>240.09</v>
          </cell>
          <cell r="V960">
            <v>429.39</v>
          </cell>
          <cell r="W960">
            <v>96.04</v>
          </cell>
          <cell r="X960">
            <v>82</v>
          </cell>
          <cell r="Y960">
            <v>1192.77</v>
          </cell>
          <cell r="Z960">
            <v>496.83</v>
          </cell>
          <cell r="AA960">
            <v>77</v>
          </cell>
          <cell r="AB960">
            <v>0</v>
          </cell>
          <cell r="AC960">
            <v>0</v>
          </cell>
          <cell r="AD960">
            <v>13.49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Y960">
            <v>335067.59999999998</v>
          </cell>
        </row>
        <row r="961">
          <cell r="A961">
            <v>2</v>
          </cell>
          <cell r="B961" t="str">
            <v>12</v>
          </cell>
          <cell r="C961" t="str">
            <v>000</v>
          </cell>
          <cell r="D961" t="str">
            <v>1</v>
          </cell>
          <cell r="E961" t="str">
            <v>701</v>
          </cell>
          <cell r="F961" t="str">
            <v>N000</v>
          </cell>
          <cell r="G961" t="str">
            <v>510</v>
          </cell>
          <cell r="H961" t="str">
            <v>1103</v>
          </cell>
          <cell r="I961" t="str">
            <v>CFMS08</v>
          </cell>
          <cell r="J961" t="str">
            <v>MS08</v>
          </cell>
          <cell r="K961" t="str">
            <v>1</v>
          </cell>
          <cell r="L961">
            <v>17</v>
          </cell>
          <cell r="M961">
            <v>0</v>
          </cell>
          <cell r="N961">
            <v>4801.8999999999996</v>
          </cell>
          <cell r="O961" t="str">
            <v>M</v>
          </cell>
          <cell r="P961" t="str">
            <v>00000000</v>
          </cell>
          <cell r="Q961">
            <v>18269.849999999999</v>
          </cell>
          <cell r="R961">
            <v>693.61</v>
          </cell>
          <cell r="S961">
            <v>133.38999999999999</v>
          </cell>
          <cell r="T961">
            <v>612.24</v>
          </cell>
          <cell r="U961">
            <v>240.09</v>
          </cell>
          <cell r="V961">
            <v>415.29</v>
          </cell>
          <cell r="W961">
            <v>96.04</v>
          </cell>
          <cell r="X961">
            <v>49.82</v>
          </cell>
          <cell r="Y961">
            <v>1153.5899999999999</v>
          </cell>
          <cell r="Z961">
            <v>480.51</v>
          </cell>
          <cell r="AA961">
            <v>77</v>
          </cell>
          <cell r="AB961">
            <v>0</v>
          </cell>
          <cell r="AC961">
            <v>0</v>
          </cell>
          <cell r="AD961">
            <v>13.49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Y961">
            <v>5515511.2800000003</v>
          </cell>
        </row>
        <row r="962">
          <cell r="A962">
            <v>2</v>
          </cell>
          <cell r="B962" t="str">
            <v>12</v>
          </cell>
          <cell r="C962" t="str">
            <v>000</v>
          </cell>
          <cell r="D962" t="str">
            <v>1</v>
          </cell>
          <cell r="E962" t="str">
            <v>701</v>
          </cell>
          <cell r="F962" t="str">
            <v>N000</v>
          </cell>
          <cell r="G962" t="str">
            <v>510</v>
          </cell>
          <cell r="H962" t="str">
            <v>1103</v>
          </cell>
          <cell r="I962" t="str">
            <v>M01006</v>
          </cell>
          <cell r="K962" t="str">
            <v>2</v>
          </cell>
          <cell r="L962">
            <v>1</v>
          </cell>
          <cell r="M962">
            <v>0</v>
          </cell>
          <cell r="N962">
            <v>5300</v>
          </cell>
          <cell r="O962" t="str">
            <v>M</v>
          </cell>
          <cell r="P962" t="str">
            <v>00000000</v>
          </cell>
          <cell r="Q962">
            <v>0</v>
          </cell>
          <cell r="R962">
            <v>765.56</v>
          </cell>
          <cell r="S962">
            <v>147.22</v>
          </cell>
          <cell r="T962">
            <v>675.75</v>
          </cell>
          <cell r="U962">
            <v>265</v>
          </cell>
          <cell r="V962">
            <v>95.4</v>
          </cell>
          <cell r="W962">
            <v>106</v>
          </cell>
          <cell r="X962">
            <v>136</v>
          </cell>
          <cell r="Y962">
            <v>0</v>
          </cell>
          <cell r="Z962">
            <v>240.64</v>
          </cell>
          <cell r="AA962">
            <v>77</v>
          </cell>
          <cell r="AB962">
            <v>96</v>
          </cell>
          <cell r="AC962">
            <v>80</v>
          </cell>
          <cell r="AD962">
            <v>13.49</v>
          </cell>
          <cell r="AE962">
            <v>4.42</v>
          </cell>
          <cell r="AF962">
            <v>0</v>
          </cell>
          <cell r="AG962">
            <v>0</v>
          </cell>
          <cell r="AH962">
            <v>2426</v>
          </cell>
          <cell r="AI962">
            <v>0</v>
          </cell>
          <cell r="AJ962">
            <v>3000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Y962">
            <v>161141.76000000001</v>
          </cell>
        </row>
        <row r="963">
          <cell r="A963">
            <v>2</v>
          </cell>
          <cell r="B963" t="str">
            <v>12</v>
          </cell>
          <cell r="C963" t="str">
            <v>000</v>
          </cell>
          <cell r="D963" t="str">
            <v>1</v>
          </cell>
          <cell r="E963" t="str">
            <v>701</v>
          </cell>
          <cell r="F963" t="str">
            <v>N000</v>
          </cell>
          <cell r="G963" t="str">
            <v>510</v>
          </cell>
          <cell r="H963" t="str">
            <v>1103</v>
          </cell>
          <cell r="I963" t="str">
            <v>S03810</v>
          </cell>
          <cell r="J963" t="str">
            <v>22</v>
          </cell>
          <cell r="K963" t="str">
            <v>2</v>
          </cell>
          <cell r="L963">
            <v>3</v>
          </cell>
          <cell r="M963">
            <v>0</v>
          </cell>
          <cell r="N963">
            <v>2342.3000000000002</v>
          </cell>
          <cell r="O963" t="str">
            <v>M</v>
          </cell>
          <cell r="P963" t="str">
            <v>00000000</v>
          </cell>
          <cell r="Q963">
            <v>0</v>
          </cell>
          <cell r="R963">
            <v>338.33</v>
          </cell>
          <cell r="S963">
            <v>65.06</v>
          </cell>
          <cell r="T963">
            <v>298.64</v>
          </cell>
          <cell r="U963">
            <v>117.12</v>
          </cell>
          <cell r="V963">
            <v>42.16</v>
          </cell>
          <cell r="W963">
            <v>46.85</v>
          </cell>
          <cell r="X963">
            <v>45.33</v>
          </cell>
          <cell r="Y963">
            <v>0</v>
          </cell>
          <cell r="Z963">
            <v>60.88</v>
          </cell>
          <cell r="AA963">
            <v>77</v>
          </cell>
          <cell r="AB963">
            <v>96</v>
          </cell>
          <cell r="AC963">
            <v>80</v>
          </cell>
          <cell r="AD963">
            <v>13.49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Y963">
            <v>130433.76</v>
          </cell>
        </row>
        <row r="964">
          <cell r="A964">
            <v>2</v>
          </cell>
          <cell r="B964" t="str">
            <v>12</v>
          </cell>
          <cell r="C964" t="str">
            <v>000</v>
          </cell>
          <cell r="D964" t="str">
            <v>1</v>
          </cell>
          <cell r="E964" t="str">
            <v>701</v>
          </cell>
          <cell r="F964" t="str">
            <v>N000</v>
          </cell>
          <cell r="G964" t="str">
            <v>510</v>
          </cell>
          <cell r="H964" t="str">
            <v>1103</v>
          </cell>
          <cell r="I964" t="str">
            <v>S08802</v>
          </cell>
          <cell r="J964" t="str">
            <v>21</v>
          </cell>
          <cell r="K964" t="str">
            <v>2</v>
          </cell>
          <cell r="L964">
            <v>2</v>
          </cell>
          <cell r="M964">
            <v>0</v>
          </cell>
          <cell r="N964">
            <v>2238.1999999999998</v>
          </cell>
          <cell r="O964" t="str">
            <v>M</v>
          </cell>
          <cell r="P964" t="str">
            <v>00000000</v>
          </cell>
          <cell r="Q964">
            <v>0</v>
          </cell>
          <cell r="R964">
            <v>323.3</v>
          </cell>
          <cell r="S964">
            <v>62.17</v>
          </cell>
          <cell r="T964">
            <v>285.37</v>
          </cell>
          <cell r="U964">
            <v>111.91</v>
          </cell>
          <cell r="V964">
            <v>40.29</v>
          </cell>
          <cell r="W964">
            <v>44.76</v>
          </cell>
          <cell r="X964">
            <v>23</v>
          </cell>
          <cell r="Y964">
            <v>0</v>
          </cell>
          <cell r="Z964">
            <v>57.99</v>
          </cell>
          <cell r="AA964">
            <v>77</v>
          </cell>
          <cell r="AB964">
            <v>96</v>
          </cell>
          <cell r="AC964">
            <v>80</v>
          </cell>
          <cell r="AD964">
            <v>13.49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Y964">
            <v>82883.520000000004</v>
          </cell>
        </row>
        <row r="965">
          <cell r="A965">
            <v>2</v>
          </cell>
          <cell r="B965" t="str">
            <v>12</v>
          </cell>
          <cell r="C965" t="str">
            <v>000</v>
          </cell>
          <cell r="D965" t="str">
            <v>1</v>
          </cell>
          <cell r="E965" t="str">
            <v>701</v>
          </cell>
          <cell r="F965" t="str">
            <v>N000</v>
          </cell>
          <cell r="G965" t="str">
            <v>510</v>
          </cell>
          <cell r="H965" t="str">
            <v>1103</v>
          </cell>
          <cell r="I965" t="str">
            <v>T03804</v>
          </cell>
          <cell r="J965" t="str">
            <v>25</v>
          </cell>
          <cell r="K965" t="str">
            <v>2</v>
          </cell>
          <cell r="L965">
            <v>24</v>
          </cell>
          <cell r="M965">
            <v>0</v>
          </cell>
          <cell r="N965">
            <v>2572.4</v>
          </cell>
          <cell r="O965" t="str">
            <v>M</v>
          </cell>
          <cell r="P965" t="str">
            <v>00000000</v>
          </cell>
          <cell r="Q965">
            <v>0</v>
          </cell>
          <cell r="R965">
            <v>371.57</v>
          </cell>
          <cell r="S965">
            <v>71.459999999999994</v>
          </cell>
          <cell r="T965">
            <v>327.98</v>
          </cell>
          <cell r="U965">
            <v>128.62</v>
          </cell>
          <cell r="V965">
            <v>46.3</v>
          </cell>
          <cell r="W965">
            <v>51.45</v>
          </cell>
          <cell r="X965">
            <v>41.21</v>
          </cell>
          <cell r="Y965">
            <v>0</v>
          </cell>
          <cell r="Z965">
            <v>66.19</v>
          </cell>
          <cell r="AA965">
            <v>77</v>
          </cell>
          <cell r="AB965">
            <v>96</v>
          </cell>
          <cell r="AC965">
            <v>80</v>
          </cell>
          <cell r="AD965">
            <v>13.49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Y965">
            <v>1135776.96</v>
          </cell>
        </row>
        <row r="966">
          <cell r="A966">
            <v>2</v>
          </cell>
          <cell r="B966" t="str">
            <v>12</v>
          </cell>
          <cell r="C966" t="str">
            <v>000</v>
          </cell>
          <cell r="D966" t="str">
            <v>1</v>
          </cell>
          <cell r="E966" t="str">
            <v>701</v>
          </cell>
          <cell r="F966" t="str">
            <v>N000</v>
          </cell>
          <cell r="G966" t="str">
            <v>510</v>
          </cell>
          <cell r="H966" t="str">
            <v>1103</v>
          </cell>
          <cell r="I966" t="str">
            <v>T06803</v>
          </cell>
          <cell r="J966" t="str">
            <v>26</v>
          </cell>
          <cell r="K966" t="str">
            <v>2</v>
          </cell>
          <cell r="L966">
            <v>2</v>
          </cell>
          <cell r="M966">
            <v>0</v>
          </cell>
          <cell r="N966">
            <v>2692.2</v>
          </cell>
          <cell r="O966" t="str">
            <v>M</v>
          </cell>
          <cell r="P966" t="str">
            <v>00000000</v>
          </cell>
          <cell r="Q966">
            <v>0</v>
          </cell>
          <cell r="R966">
            <v>388.87</v>
          </cell>
          <cell r="S966">
            <v>74.78</v>
          </cell>
          <cell r="T966">
            <v>343.26</v>
          </cell>
          <cell r="U966">
            <v>134.61000000000001</v>
          </cell>
          <cell r="V966">
            <v>48.46</v>
          </cell>
          <cell r="W966">
            <v>53.84</v>
          </cell>
          <cell r="X966">
            <v>41</v>
          </cell>
          <cell r="Y966">
            <v>0</v>
          </cell>
          <cell r="Z966">
            <v>69</v>
          </cell>
          <cell r="AA966">
            <v>77</v>
          </cell>
          <cell r="AB966">
            <v>96</v>
          </cell>
          <cell r="AC966">
            <v>80</v>
          </cell>
          <cell r="AD966">
            <v>13.49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Y966">
            <v>98700.24</v>
          </cell>
        </row>
        <row r="967">
          <cell r="A967">
            <v>2</v>
          </cell>
          <cell r="B967" t="str">
            <v>12</v>
          </cell>
          <cell r="C967" t="str">
            <v>000</v>
          </cell>
          <cell r="D967" t="str">
            <v>1</v>
          </cell>
          <cell r="E967" t="str">
            <v>701</v>
          </cell>
          <cell r="F967" t="str">
            <v>N000</v>
          </cell>
          <cell r="G967" t="str">
            <v>510</v>
          </cell>
          <cell r="H967" t="str">
            <v>1103</v>
          </cell>
          <cell r="I967" t="str">
            <v>T06807</v>
          </cell>
          <cell r="J967" t="str">
            <v>24</v>
          </cell>
          <cell r="K967" t="str">
            <v>2</v>
          </cell>
          <cell r="L967">
            <v>3</v>
          </cell>
          <cell r="M967">
            <v>0</v>
          </cell>
          <cell r="N967">
            <v>2479.75</v>
          </cell>
          <cell r="O967" t="str">
            <v>M</v>
          </cell>
          <cell r="P967" t="str">
            <v>00000000</v>
          </cell>
          <cell r="Q967">
            <v>0</v>
          </cell>
          <cell r="R967">
            <v>358.19</v>
          </cell>
          <cell r="S967">
            <v>68.88</v>
          </cell>
          <cell r="T967">
            <v>316.17</v>
          </cell>
          <cell r="U967">
            <v>123.99</v>
          </cell>
          <cell r="V967">
            <v>44.64</v>
          </cell>
          <cell r="W967">
            <v>49.59</v>
          </cell>
          <cell r="X967">
            <v>42.67</v>
          </cell>
          <cell r="Y967">
            <v>0</v>
          </cell>
          <cell r="Z967">
            <v>64.05</v>
          </cell>
          <cell r="AA967">
            <v>77</v>
          </cell>
          <cell r="AB967">
            <v>96</v>
          </cell>
          <cell r="AC967">
            <v>80</v>
          </cell>
          <cell r="AD967">
            <v>13.49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Y967">
            <v>137319.12</v>
          </cell>
        </row>
        <row r="968">
          <cell r="A968">
            <v>2</v>
          </cell>
          <cell r="B968" t="str">
            <v>12</v>
          </cell>
          <cell r="C968" t="str">
            <v>000</v>
          </cell>
          <cell r="D968" t="str">
            <v>1</v>
          </cell>
          <cell r="E968" t="str">
            <v>701</v>
          </cell>
          <cell r="F968" t="str">
            <v>N000</v>
          </cell>
          <cell r="G968" t="str">
            <v>510</v>
          </cell>
          <cell r="H968" t="str">
            <v>1103</v>
          </cell>
          <cell r="I968" t="str">
            <v>CF01059</v>
          </cell>
          <cell r="J968" t="str">
            <v>28</v>
          </cell>
          <cell r="K968" t="str">
            <v>1</v>
          </cell>
          <cell r="L968">
            <v>27</v>
          </cell>
          <cell r="M968">
            <v>0</v>
          </cell>
          <cell r="N968">
            <v>3631.8</v>
          </cell>
          <cell r="O968" t="str">
            <v>M</v>
          </cell>
          <cell r="P968" t="str">
            <v>00000000</v>
          </cell>
          <cell r="Q968">
            <v>8731.1</v>
          </cell>
          <cell r="R968">
            <v>524.59</v>
          </cell>
          <cell r="S968">
            <v>100.88</v>
          </cell>
          <cell r="T968">
            <v>463.05</v>
          </cell>
          <cell r="U968">
            <v>181.59</v>
          </cell>
          <cell r="V968">
            <v>222.53</v>
          </cell>
          <cell r="W968">
            <v>72.64</v>
          </cell>
          <cell r="X968">
            <v>36.22</v>
          </cell>
          <cell r="Y968">
            <v>618.15</v>
          </cell>
          <cell r="Z968">
            <v>262.02999999999997</v>
          </cell>
          <cell r="AA968">
            <v>77</v>
          </cell>
          <cell r="AB968">
            <v>0</v>
          </cell>
          <cell r="AC968">
            <v>0</v>
          </cell>
          <cell r="AD968">
            <v>13.49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Y968">
            <v>4838962.68</v>
          </cell>
        </row>
        <row r="969">
          <cell r="A969">
            <v>2</v>
          </cell>
          <cell r="B969" t="str">
            <v>12</v>
          </cell>
          <cell r="C969" t="str">
            <v>000</v>
          </cell>
          <cell r="D969" t="str">
            <v>1</v>
          </cell>
          <cell r="E969" t="str">
            <v>701</v>
          </cell>
          <cell r="F969" t="str">
            <v>N000</v>
          </cell>
          <cell r="G969" t="str">
            <v>510</v>
          </cell>
          <cell r="H969" t="str">
            <v>1103</v>
          </cell>
          <cell r="I969" t="str">
            <v>CF03809</v>
          </cell>
          <cell r="J969" t="str">
            <v>25</v>
          </cell>
          <cell r="K969" t="str">
            <v>2</v>
          </cell>
          <cell r="L969">
            <v>1</v>
          </cell>
          <cell r="M969">
            <v>0</v>
          </cell>
          <cell r="N969">
            <v>2572.4</v>
          </cell>
          <cell r="O969" t="str">
            <v>M</v>
          </cell>
          <cell r="P969" t="str">
            <v>00000000</v>
          </cell>
          <cell r="Q969">
            <v>0</v>
          </cell>
          <cell r="R969">
            <v>371.57</v>
          </cell>
          <cell r="S969">
            <v>71.459999999999994</v>
          </cell>
          <cell r="T969">
            <v>327.98</v>
          </cell>
          <cell r="U969">
            <v>128.62</v>
          </cell>
          <cell r="V969">
            <v>46.3</v>
          </cell>
          <cell r="W969">
            <v>51.45</v>
          </cell>
          <cell r="X969">
            <v>0</v>
          </cell>
          <cell r="Y969">
            <v>0</v>
          </cell>
          <cell r="Z969">
            <v>65.37</v>
          </cell>
          <cell r="AA969">
            <v>77</v>
          </cell>
          <cell r="AB969">
            <v>96</v>
          </cell>
          <cell r="AC969">
            <v>80</v>
          </cell>
          <cell r="AD969">
            <v>13.49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Y969">
            <v>46819.68</v>
          </cell>
        </row>
        <row r="970">
          <cell r="A970">
            <v>2</v>
          </cell>
          <cell r="B970" t="str">
            <v>12</v>
          </cell>
          <cell r="C970" t="str">
            <v>000</v>
          </cell>
          <cell r="D970" t="str">
            <v>1</v>
          </cell>
          <cell r="E970" t="str">
            <v>701</v>
          </cell>
          <cell r="F970" t="str">
            <v>N000</v>
          </cell>
          <cell r="G970" t="str">
            <v>510</v>
          </cell>
          <cell r="H970" t="str">
            <v>1103</v>
          </cell>
          <cell r="I970" t="str">
            <v>CF03820</v>
          </cell>
          <cell r="J970" t="str">
            <v>27Z</v>
          </cell>
          <cell r="K970" t="str">
            <v>2</v>
          </cell>
          <cell r="L970">
            <v>1</v>
          </cell>
          <cell r="M970">
            <v>0</v>
          </cell>
          <cell r="N970">
            <v>2900.25</v>
          </cell>
          <cell r="O970" t="str">
            <v>M</v>
          </cell>
          <cell r="P970" t="str">
            <v>00000000</v>
          </cell>
          <cell r="Q970">
            <v>205.15</v>
          </cell>
          <cell r="R970">
            <v>418.93</v>
          </cell>
          <cell r="S970">
            <v>80.56</v>
          </cell>
          <cell r="T970">
            <v>369.78</v>
          </cell>
          <cell r="U970">
            <v>145.01</v>
          </cell>
          <cell r="V970">
            <v>55.89</v>
          </cell>
          <cell r="W970">
            <v>58.01</v>
          </cell>
          <cell r="X970">
            <v>0</v>
          </cell>
          <cell r="Y970">
            <v>0</v>
          </cell>
          <cell r="Z970">
            <v>77.16</v>
          </cell>
          <cell r="AA970">
            <v>77</v>
          </cell>
          <cell r="AB970">
            <v>96</v>
          </cell>
          <cell r="AC970">
            <v>80</v>
          </cell>
          <cell r="AD970">
            <v>13.49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Y970">
            <v>54926.76</v>
          </cell>
        </row>
        <row r="971">
          <cell r="A971">
            <v>2</v>
          </cell>
          <cell r="B971" t="str">
            <v>12</v>
          </cell>
          <cell r="C971" t="str">
            <v>000</v>
          </cell>
          <cell r="D971" t="str">
            <v>1</v>
          </cell>
          <cell r="E971" t="str">
            <v>701</v>
          </cell>
          <cell r="F971" t="str">
            <v>N000</v>
          </cell>
          <cell r="G971" t="str">
            <v>510</v>
          </cell>
          <cell r="H971" t="str">
            <v>1103</v>
          </cell>
          <cell r="I971" t="str">
            <v>CF04806</v>
          </cell>
          <cell r="J971" t="str">
            <v>26</v>
          </cell>
          <cell r="K971" t="str">
            <v>2</v>
          </cell>
          <cell r="L971">
            <v>17</v>
          </cell>
          <cell r="M971">
            <v>0</v>
          </cell>
          <cell r="N971">
            <v>2692.2</v>
          </cell>
          <cell r="O971" t="str">
            <v>M</v>
          </cell>
          <cell r="P971" t="str">
            <v>00000000</v>
          </cell>
          <cell r="Q971">
            <v>0</v>
          </cell>
          <cell r="R971">
            <v>388.87</v>
          </cell>
          <cell r="S971">
            <v>74.78</v>
          </cell>
          <cell r="T971">
            <v>343.26</v>
          </cell>
          <cell r="U971">
            <v>134.61000000000001</v>
          </cell>
          <cell r="V971">
            <v>48.46</v>
          </cell>
          <cell r="W971">
            <v>53.84</v>
          </cell>
          <cell r="X971">
            <v>37.24</v>
          </cell>
          <cell r="Y971">
            <v>0</v>
          </cell>
          <cell r="Z971">
            <v>68.92</v>
          </cell>
          <cell r="AA971">
            <v>77</v>
          </cell>
          <cell r="AB971">
            <v>96</v>
          </cell>
          <cell r="AC971">
            <v>80</v>
          </cell>
          <cell r="AD971">
            <v>13.49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Y971">
            <v>838168.68</v>
          </cell>
        </row>
        <row r="972">
          <cell r="A972">
            <v>2</v>
          </cell>
          <cell r="B972" t="str">
            <v>12</v>
          </cell>
          <cell r="C972" t="str">
            <v>000</v>
          </cell>
          <cell r="D972" t="str">
            <v>1</v>
          </cell>
          <cell r="E972" t="str">
            <v>701</v>
          </cell>
          <cell r="F972" t="str">
            <v>N000</v>
          </cell>
          <cell r="G972" t="str">
            <v>510</v>
          </cell>
          <cell r="H972" t="str">
            <v>1103</v>
          </cell>
          <cell r="I972" t="str">
            <v>CF04807</v>
          </cell>
          <cell r="J972" t="str">
            <v>27Z</v>
          </cell>
          <cell r="K972" t="str">
            <v>2</v>
          </cell>
          <cell r="L972">
            <v>28</v>
          </cell>
          <cell r="M972">
            <v>0</v>
          </cell>
          <cell r="N972">
            <v>2900.25</v>
          </cell>
          <cell r="O972" t="str">
            <v>M</v>
          </cell>
          <cell r="P972" t="str">
            <v>00000000</v>
          </cell>
          <cell r="Q972">
            <v>205.15</v>
          </cell>
          <cell r="R972">
            <v>418.93</v>
          </cell>
          <cell r="S972">
            <v>80.56</v>
          </cell>
          <cell r="T972">
            <v>369.78</v>
          </cell>
          <cell r="U972">
            <v>145.01</v>
          </cell>
          <cell r="V972">
            <v>55.89</v>
          </cell>
          <cell r="W972">
            <v>58.01</v>
          </cell>
          <cell r="X972">
            <v>55.14</v>
          </cell>
          <cell r="Y972">
            <v>0</v>
          </cell>
          <cell r="Z972">
            <v>78.260000000000005</v>
          </cell>
          <cell r="AA972">
            <v>77</v>
          </cell>
          <cell r="AB972">
            <v>96</v>
          </cell>
          <cell r="AC972">
            <v>80</v>
          </cell>
          <cell r="AD972">
            <v>13.49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Y972">
            <v>1556845.92</v>
          </cell>
        </row>
        <row r="973">
          <cell r="A973">
            <v>2</v>
          </cell>
          <cell r="B973" t="str">
            <v>12</v>
          </cell>
          <cell r="C973" t="str">
            <v>000</v>
          </cell>
          <cell r="D973" t="str">
            <v>1</v>
          </cell>
          <cell r="E973" t="str">
            <v>701</v>
          </cell>
          <cell r="F973" t="str">
            <v>N000</v>
          </cell>
          <cell r="G973" t="str">
            <v>510</v>
          </cell>
          <cell r="H973" t="str">
            <v>1103</v>
          </cell>
          <cell r="I973" t="str">
            <v>CF04808</v>
          </cell>
          <cell r="J973" t="str">
            <v>27ZA</v>
          </cell>
          <cell r="K973" t="str">
            <v>2</v>
          </cell>
          <cell r="L973">
            <v>26</v>
          </cell>
          <cell r="M973">
            <v>0</v>
          </cell>
          <cell r="N973">
            <v>2982.9</v>
          </cell>
          <cell r="O973" t="str">
            <v>M</v>
          </cell>
          <cell r="P973" t="str">
            <v>00000000</v>
          </cell>
          <cell r="Q973">
            <v>579.4</v>
          </cell>
          <cell r="R973">
            <v>430.86</v>
          </cell>
          <cell r="S973">
            <v>82.86</v>
          </cell>
          <cell r="T973">
            <v>380.32</v>
          </cell>
          <cell r="U973">
            <v>149.15</v>
          </cell>
          <cell r="V973">
            <v>64.12</v>
          </cell>
          <cell r="W973">
            <v>59.66</v>
          </cell>
          <cell r="X973">
            <v>15.5</v>
          </cell>
          <cell r="Y973">
            <v>0</v>
          </cell>
          <cell r="Z973">
            <v>86.89</v>
          </cell>
          <cell r="AA973">
            <v>77</v>
          </cell>
          <cell r="AB973">
            <v>96</v>
          </cell>
          <cell r="AC973">
            <v>80</v>
          </cell>
          <cell r="AD973">
            <v>13.49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Y973">
            <v>1590622.8</v>
          </cell>
        </row>
        <row r="974">
          <cell r="A974">
            <v>2</v>
          </cell>
          <cell r="B974" t="str">
            <v>12</v>
          </cell>
          <cell r="C974" t="str">
            <v>000</v>
          </cell>
          <cell r="D974" t="str">
            <v>1</v>
          </cell>
          <cell r="E974" t="str">
            <v>701</v>
          </cell>
          <cell r="F974" t="str">
            <v>N000</v>
          </cell>
          <cell r="G974" t="str">
            <v>510</v>
          </cell>
          <cell r="H974" t="str">
            <v>1103</v>
          </cell>
          <cell r="I974" t="str">
            <v>CF21807</v>
          </cell>
          <cell r="J974" t="str">
            <v>26</v>
          </cell>
          <cell r="K974" t="str">
            <v>2</v>
          </cell>
          <cell r="L974">
            <v>1</v>
          </cell>
          <cell r="M974">
            <v>0</v>
          </cell>
          <cell r="N974">
            <v>2692.2</v>
          </cell>
          <cell r="O974" t="str">
            <v>M</v>
          </cell>
          <cell r="P974" t="str">
            <v>00000000</v>
          </cell>
          <cell r="Q974">
            <v>0</v>
          </cell>
          <cell r="R974">
            <v>388.87</v>
          </cell>
          <cell r="S974">
            <v>74.78</v>
          </cell>
          <cell r="T974">
            <v>343.26</v>
          </cell>
          <cell r="U974">
            <v>134.61000000000001</v>
          </cell>
          <cell r="V974">
            <v>48.46</v>
          </cell>
          <cell r="W974">
            <v>53.84</v>
          </cell>
          <cell r="X974">
            <v>0</v>
          </cell>
          <cell r="Y974">
            <v>0</v>
          </cell>
          <cell r="Z974">
            <v>68.180000000000007</v>
          </cell>
          <cell r="AA974">
            <v>77</v>
          </cell>
          <cell r="AB974">
            <v>96</v>
          </cell>
          <cell r="AC974">
            <v>80</v>
          </cell>
          <cell r="AD974">
            <v>13.49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Y974">
            <v>48848.28</v>
          </cell>
        </row>
        <row r="975">
          <cell r="A975">
            <v>2</v>
          </cell>
          <cell r="B975" t="str">
            <v>12</v>
          </cell>
          <cell r="C975" t="str">
            <v>000</v>
          </cell>
          <cell r="D975" t="str">
            <v>1</v>
          </cell>
          <cell r="E975" t="str">
            <v>701</v>
          </cell>
          <cell r="F975" t="str">
            <v>N000</v>
          </cell>
          <cell r="G975" t="str">
            <v>510</v>
          </cell>
          <cell r="H975" t="str">
            <v>1103</v>
          </cell>
          <cell r="I975" t="str">
            <v>CF21856</v>
          </cell>
          <cell r="J975" t="str">
            <v>27Z</v>
          </cell>
          <cell r="K975" t="str">
            <v>2</v>
          </cell>
          <cell r="L975">
            <v>1</v>
          </cell>
          <cell r="M975">
            <v>0</v>
          </cell>
          <cell r="N975">
            <v>2900.25</v>
          </cell>
          <cell r="O975" t="str">
            <v>M</v>
          </cell>
          <cell r="P975" t="str">
            <v>00000000</v>
          </cell>
          <cell r="Q975">
            <v>205.15</v>
          </cell>
          <cell r="R975">
            <v>418.93</v>
          </cell>
          <cell r="S975">
            <v>80.56</v>
          </cell>
          <cell r="T975">
            <v>369.78</v>
          </cell>
          <cell r="U975">
            <v>145.01</v>
          </cell>
          <cell r="V975">
            <v>55.89</v>
          </cell>
          <cell r="W975">
            <v>58.01</v>
          </cell>
          <cell r="X975">
            <v>0</v>
          </cell>
          <cell r="Y975">
            <v>0</v>
          </cell>
          <cell r="Z975">
            <v>77.16</v>
          </cell>
          <cell r="AA975">
            <v>77</v>
          </cell>
          <cell r="AB975">
            <v>96</v>
          </cell>
          <cell r="AC975">
            <v>80</v>
          </cell>
          <cell r="AD975">
            <v>13.49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Y975">
            <v>54926.76</v>
          </cell>
        </row>
        <row r="976">
          <cell r="A976">
            <v>2</v>
          </cell>
          <cell r="B976" t="str">
            <v>12</v>
          </cell>
          <cell r="C976" t="str">
            <v>000</v>
          </cell>
          <cell r="D976" t="str">
            <v>1</v>
          </cell>
          <cell r="E976" t="str">
            <v>701</v>
          </cell>
          <cell r="F976" t="str">
            <v>N000</v>
          </cell>
          <cell r="G976" t="str">
            <v>510</v>
          </cell>
          <cell r="H976" t="str">
            <v>1103</v>
          </cell>
          <cell r="I976" t="str">
            <v>CF21858</v>
          </cell>
          <cell r="J976" t="str">
            <v>27ZA</v>
          </cell>
          <cell r="K976" t="str">
            <v>2</v>
          </cell>
          <cell r="L976">
            <v>5</v>
          </cell>
          <cell r="M976">
            <v>0</v>
          </cell>
          <cell r="N976">
            <v>2982.9</v>
          </cell>
          <cell r="O976" t="str">
            <v>M</v>
          </cell>
          <cell r="P976" t="str">
            <v>00000000</v>
          </cell>
          <cell r="Q976">
            <v>579.4</v>
          </cell>
          <cell r="R976">
            <v>430.86</v>
          </cell>
          <cell r="S976">
            <v>82.86</v>
          </cell>
          <cell r="T976">
            <v>380.32</v>
          </cell>
          <cell r="U976">
            <v>149.15</v>
          </cell>
          <cell r="V976">
            <v>64.12</v>
          </cell>
          <cell r="W976">
            <v>59.66</v>
          </cell>
          <cell r="X976">
            <v>58.4</v>
          </cell>
          <cell r="Y976">
            <v>0</v>
          </cell>
          <cell r="Z976">
            <v>87.75</v>
          </cell>
          <cell r="AA976">
            <v>77</v>
          </cell>
          <cell r="AB976">
            <v>96</v>
          </cell>
          <cell r="AC976">
            <v>80</v>
          </cell>
          <cell r="AD976">
            <v>13.49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Y976">
            <v>308514.59999999998</v>
          </cell>
        </row>
        <row r="977">
          <cell r="A977">
            <v>2</v>
          </cell>
          <cell r="B977" t="str">
            <v>12</v>
          </cell>
          <cell r="C977" t="str">
            <v>000</v>
          </cell>
          <cell r="D977" t="str">
            <v>1</v>
          </cell>
          <cell r="E977" t="str">
            <v>701</v>
          </cell>
          <cell r="F977" t="str">
            <v>N000</v>
          </cell>
          <cell r="G977" t="str">
            <v>510</v>
          </cell>
          <cell r="H977" t="str">
            <v>1103</v>
          </cell>
          <cell r="I977" t="str">
            <v>CF21859</v>
          </cell>
          <cell r="J977" t="str">
            <v>27ZB</v>
          </cell>
          <cell r="K977" t="str">
            <v>2</v>
          </cell>
          <cell r="L977">
            <v>4</v>
          </cell>
          <cell r="M977">
            <v>0</v>
          </cell>
          <cell r="N977">
            <v>3008.65</v>
          </cell>
          <cell r="O977" t="str">
            <v>M</v>
          </cell>
          <cell r="P977" t="str">
            <v>00000000</v>
          </cell>
          <cell r="Q977">
            <v>857</v>
          </cell>
          <cell r="R977">
            <v>434.58</v>
          </cell>
          <cell r="S977">
            <v>83.57</v>
          </cell>
          <cell r="T977">
            <v>383.6</v>
          </cell>
          <cell r="U977">
            <v>150.43</v>
          </cell>
          <cell r="V977">
            <v>69.59</v>
          </cell>
          <cell r="W977">
            <v>60.17</v>
          </cell>
          <cell r="X977">
            <v>41.25</v>
          </cell>
          <cell r="Y977">
            <v>0</v>
          </cell>
          <cell r="Z977">
            <v>93.56</v>
          </cell>
          <cell r="AA977">
            <v>77</v>
          </cell>
          <cell r="AB977">
            <v>96</v>
          </cell>
          <cell r="AC977">
            <v>80</v>
          </cell>
          <cell r="AD977">
            <v>13.49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Y977">
            <v>261546.72</v>
          </cell>
        </row>
        <row r="978">
          <cell r="A978">
            <v>2</v>
          </cell>
          <cell r="B978" t="str">
            <v>12</v>
          </cell>
          <cell r="C978" t="str">
            <v>000</v>
          </cell>
          <cell r="D978" t="str">
            <v>1</v>
          </cell>
          <cell r="E978" t="str">
            <v>701</v>
          </cell>
          <cell r="F978" t="str">
            <v>N000</v>
          </cell>
          <cell r="G978" t="str">
            <v>510</v>
          </cell>
          <cell r="H978" t="str">
            <v>1103</v>
          </cell>
          <cell r="I978" t="str">
            <v>CF21864</v>
          </cell>
          <cell r="J978" t="str">
            <v>27C</v>
          </cell>
          <cell r="K978" t="str">
            <v>1</v>
          </cell>
          <cell r="L978">
            <v>30</v>
          </cell>
          <cell r="M978">
            <v>0</v>
          </cell>
          <cell r="N978">
            <v>3268.2</v>
          </cell>
          <cell r="O978" t="str">
            <v>M</v>
          </cell>
          <cell r="P978" t="str">
            <v>00000000</v>
          </cell>
          <cell r="Q978">
            <v>4783.05</v>
          </cell>
          <cell r="R978">
            <v>472.07</v>
          </cell>
          <cell r="S978">
            <v>90.78</v>
          </cell>
          <cell r="T978">
            <v>416.7</v>
          </cell>
          <cell r="U978">
            <v>163.41</v>
          </cell>
          <cell r="V978">
            <v>144.91999999999999</v>
          </cell>
          <cell r="W978">
            <v>65.36</v>
          </cell>
          <cell r="X978">
            <v>52.83</v>
          </cell>
          <cell r="Y978">
            <v>0</v>
          </cell>
          <cell r="Z978">
            <v>174.88</v>
          </cell>
          <cell r="AA978">
            <v>77</v>
          </cell>
          <cell r="AB978">
            <v>0</v>
          </cell>
          <cell r="AC978">
            <v>0</v>
          </cell>
          <cell r="AD978">
            <v>13.49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Y978">
            <v>3500168.4</v>
          </cell>
        </row>
        <row r="979">
          <cell r="A979">
            <v>2</v>
          </cell>
          <cell r="B979" t="str">
            <v>12</v>
          </cell>
          <cell r="C979" t="str">
            <v>000</v>
          </cell>
          <cell r="D979" t="str">
            <v>1</v>
          </cell>
          <cell r="E979" t="str">
            <v>701</v>
          </cell>
          <cell r="F979" t="str">
            <v>N000</v>
          </cell>
          <cell r="G979" t="str">
            <v>510</v>
          </cell>
          <cell r="H979" t="str">
            <v>1103</v>
          </cell>
          <cell r="I979" t="str">
            <v>CF21865</v>
          </cell>
          <cell r="J979" t="str">
            <v>27B</v>
          </cell>
          <cell r="K979" t="str">
            <v>1</v>
          </cell>
          <cell r="L979">
            <v>11</v>
          </cell>
          <cell r="M979">
            <v>0</v>
          </cell>
          <cell r="N979">
            <v>3222.2</v>
          </cell>
          <cell r="O979" t="str">
            <v>M</v>
          </cell>
          <cell r="P979" t="str">
            <v>00000000</v>
          </cell>
          <cell r="Q979">
            <v>3558.85</v>
          </cell>
          <cell r="R979">
            <v>465.43</v>
          </cell>
          <cell r="S979">
            <v>89.51</v>
          </cell>
          <cell r="T979">
            <v>410.83</v>
          </cell>
          <cell r="U979">
            <v>161.11000000000001</v>
          </cell>
          <cell r="V979">
            <v>122.06</v>
          </cell>
          <cell r="W979">
            <v>64.44</v>
          </cell>
          <cell r="X979">
            <v>54.18</v>
          </cell>
          <cell r="Y979">
            <v>0</v>
          </cell>
          <cell r="Z979">
            <v>149.34</v>
          </cell>
          <cell r="AA979">
            <v>77</v>
          </cell>
          <cell r="AB979">
            <v>0</v>
          </cell>
          <cell r="AC979">
            <v>0</v>
          </cell>
          <cell r="AD979">
            <v>13.49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Y979">
            <v>1107274.08</v>
          </cell>
        </row>
        <row r="980">
          <cell r="A980">
            <v>2</v>
          </cell>
          <cell r="B980" t="str">
            <v>12</v>
          </cell>
          <cell r="C980" t="str">
            <v>000</v>
          </cell>
          <cell r="D980" t="str">
            <v>1</v>
          </cell>
          <cell r="E980" t="str">
            <v>701</v>
          </cell>
          <cell r="F980" t="str">
            <v>N000</v>
          </cell>
          <cell r="G980" t="str">
            <v>510</v>
          </cell>
          <cell r="H980" t="str">
            <v>1103</v>
          </cell>
          <cell r="I980" t="str">
            <v>CF21866</v>
          </cell>
          <cell r="J980" t="str">
            <v>27A</v>
          </cell>
          <cell r="K980" t="str">
            <v>1</v>
          </cell>
          <cell r="L980">
            <v>6</v>
          </cell>
          <cell r="M980">
            <v>0</v>
          </cell>
          <cell r="N980">
            <v>3185.4</v>
          </cell>
          <cell r="O980" t="str">
            <v>M</v>
          </cell>
          <cell r="P980" t="str">
            <v>00000000</v>
          </cell>
          <cell r="Q980">
            <v>2791.7</v>
          </cell>
          <cell r="R980">
            <v>460.11</v>
          </cell>
          <cell r="S980">
            <v>88.48</v>
          </cell>
          <cell r="T980">
            <v>406.14</v>
          </cell>
          <cell r="U980">
            <v>159.27000000000001</v>
          </cell>
          <cell r="V980">
            <v>107.59</v>
          </cell>
          <cell r="W980">
            <v>63.71</v>
          </cell>
          <cell r="X980">
            <v>23</v>
          </cell>
          <cell r="Y980">
            <v>0</v>
          </cell>
          <cell r="Z980">
            <v>132.51</v>
          </cell>
          <cell r="AA980">
            <v>77</v>
          </cell>
          <cell r="AB980">
            <v>0</v>
          </cell>
          <cell r="AC980">
            <v>0</v>
          </cell>
          <cell r="AD980">
            <v>13.49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Y980">
            <v>540604.80000000005</v>
          </cell>
        </row>
        <row r="981">
          <cell r="A981">
            <v>2</v>
          </cell>
          <cell r="B981" t="str">
            <v>12</v>
          </cell>
          <cell r="C981" t="str">
            <v>000</v>
          </cell>
          <cell r="D981" t="str">
            <v>1</v>
          </cell>
          <cell r="E981" t="str">
            <v>701</v>
          </cell>
          <cell r="F981" t="str">
            <v>N000</v>
          </cell>
          <cell r="G981" t="str">
            <v>510</v>
          </cell>
          <cell r="H981" t="str">
            <v>1103</v>
          </cell>
          <cell r="I981" t="str">
            <v>CF21899</v>
          </cell>
          <cell r="J981" t="str">
            <v>27CC</v>
          </cell>
          <cell r="K981" t="str">
            <v>1</v>
          </cell>
          <cell r="L981">
            <v>1</v>
          </cell>
          <cell r="M981">
            <v>0</v>
          </cell>
          <cell r="N981">
            <v>3368.65</v>
          </cell>
          <cell r="O981" t="str">
            <v>M</v>
          </cell>
          <cell r="P981" t="str">
            <v>00000000</v>
          </cell>
          <cell r="Q981">
            <v>6973.4</v>
          </cell>
          <cell r="R981">
            <v>486.58</v>
          </cell>
          <cell r="S981">
            <v>93.57</v>
          </cell>
          <cell r="T981">
            <v>429.5</v>
          </cell>
          <cell r="U981">
            <v>168.43</v>
          </cell>
          <cell r="V981">
            <v>186.16</v>
          </cell>
          <cell r="W981">
            <v>67.37</v>
          </cell>
          <cell r="X981">
            <v>0</v>
          </cell>
          <cell r="Y981">
            <v>517.1</v>
          </cell>
          <cell r="Z981">
            <v>219.98</v>
          </cell>
          <cell r="AA981">
            <v>77</v>
          </cell>
          <cell r="AB981">
            <v>0</v>
          </cell>
          <cell r="AC981">
            <v>0</v>
          </cell>
          <cell r="AD981">
            <v>13.49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Y981">
            <v>151214.76</v>
          </cell>
        </row>
        <row r="982">
          <cell r="A982">
            <v>2</v>
          </cell>
          <cell r="B982" t="str">
            <v>12</v>
          </cell>
          <cell r="C982" t="str">
            <v>000</v>
          </cell>
          <cell r="D982" t="str">
            <v>1</v>
          </cell>
          <cell r="E982" t="str">
            <v>701</v>
          </cell>
          <cell r="F982" t="str">
            <v>N000</v>
          </cell>
          <cell r="G982" t="str">
            <v>510</v>
          </cell>
          <cell r="H982" t="str">
            <v>1103</v>
          </cell>
          <cell r="I982" t="str">
            <v>CF33834</v>
          </cell>
          <cell r="J982" t="str">
            <v>27</v>
          </cell>
          <cell r="K982" t="str">
            <v>2</v>
          </cell>
          <cell r="L982">
            <v>14</v>
          </cell>
          <cell r="M982">
            <v>0</v>
          </cell>
          <cell r="N982">
            <v>2817.8</v>
          </cell>
          <cell r="O982" t="str">
            <v>M</v>
          </cell>
          <cell r="P982" t="str">
            <v>00000000</v>
          </cell>
          <cell r="Q982">
            <v>0</v>
          </cell>
          <cell r="R982">
            <v>407.02</v>
          </cell>
          <cell r="S982">
            <v>78.27</v>
          </cell>
          <cell r="T982">
            <v>359.27</v>
          </cell>
          <cell r="U982">
            <v>140.88999999999999</v>
          </cell>
          <cell r="V982">
            <v>50.72</v>
          </cell>
          <cell r="W982">
            <v>56.36</v>
          </cell>
          <cell r="X982">
            <v>58.57</v>
          </cell>
          <cell r="Y982">
            <v>0</v>
          </cell>
          <cell r="Z982">
            <v>72.290000000000006</v>
          </cell>
          <cell r="AA982">
            <v>77</v>
          </cell>
          <cell r="AB982">
            <v>96</v>
          </cell>
          <cell r="AC982">
            <v>80</v>
          </cell>
          <cell r="AD982">
            <v>13.49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Y982">
            <v>723690.24</v>
          </cell>
        </row>
        <row r="983">
          <cell r="A983">
            <v>2</v>
          </cell>
          <cell r="B983" t="str">
            <v>12</v>
          </cell>
          <cell r="C983" t="str">
            <v>000</v>
          </cell>
          <cell r="D983" t="str">
            <v>1</v>
          </cell>
          <cell r="E983" t="str">
            <v>701</v>
          </cell>
          <cell r="F983" t="str">
            <v>N000</v>
          </cell>
          <cell r="G983" t="str">
            <v>510</v>
          </cell>
          <cell r="H983" t="str">
            <v>1103</v>
          </cell>
          <cell r="I983" t="str">
            <v>CF33892</v>
          </cell>
          <cell r="J983" t="str">
            <v>27ZA</v>
          </cell>
          <cell r="K983" t="str">
            <v>2</v>
          </cell>
          <cell r="L983">
            <v>92</v>
          </cell>
          <cell r="M983">
            <v>0</v>
          </cell>
          <cell r="N983">
            <v>2982.9</v>
          </cell>
          <cell r="O983" t="str">
            <v>M</v>
          </cell>
          <cell r="P983" t="str">
            <v>00000000</v>
          </cell>
          <cell r="Q983">
            <v>579.4</v>
          </cell>
          <cell r="R983">
            <v>430.86</v>
          </cell>
          <cell r="S983">
            <v>82.86</v>
          </cell>
          <cell r="T983">
            <v>380.32</v>
          </cell>
          <cell r="U983">
            <v>149.15</v>
          </cell>
          <cell r="V983">
            <v>64.12</v>
          </cell>
          <cell r="W983">
            <v>59.66</v>
          </cell>
          <cell r="X983">
            <v>60.89</v>
          </cell>
          <cell r="Y983">
            <v>0</v>
          </cell>
          <cell r="Z983">
            <v>87.8</v>
          </cell>
          <cell r="AA983">
            <v>77</v>
          </cell>
          <cell r="AB983">
            <v>96</v>
          </cell>
          <cell r="AC983">
            <v>80</v>
          </cell>
          <cell r="AD983">
            <v>13.49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Y983">
            <v>5679472.7999999998</v>
          </cell>
        </row>
        <row r="984">
          <cell r="A984">
            <v>2</v>
          </cell>
          <cell r="B984" t="str">
            <v>12</v>
          </cell>
          <cell r="C984" t="str">
            <v>000</v>
          </cell>
          <cell r="D984" t="str">
            <v>1</v>
          </cell>
          <cell r="E984" t="str">
            <v>701</v>
          </cell>
          <cell r="F984" t="str">
            <v>N000</v>
          </cell>
          <cell r="G984" t="str">
            <v>511</v>
          </cell>
          <cell r="H984" t="str">
            <v>1103</v>
          </cell>
          <cell r="I984" t="str">
            <v>A01803</v>
          </cell>
          <cell r="J984" t="str">
            <v>19</v>
          </cell>
          <cell r="K984" t="str">
            <v>2</v>
          </cell>
          <cell r="L984">
            <v>24</v>
          </cell>
          <cell r="M984">
            <v>0</v>
          </cell>
          <cell r="N984">
            <v>2120.3000000000002</v>
          </cell>
          <cell r="O984" t="str">
            <v>M</v>
          </cell>
          <cell r="P984" t="str">
            <v>00000000</v>
          </cell>
          <cell r="Q984">
            <v>0</v>
          </cell>
          <cell r="R984">
            <v>306.27</v>
          </cell>
          <cell r="S984">
            <v>58.9</v>
          </cell>
          <cell r="T984">
            <v>270.33999999999997</v>
          </cell>
          <cell r="U984">
            <v>106.02</v>
          </cell>
          <cell r="V984">
            <v>38.17</v>
          </cell>
          <cell r="W984">
            <v>42.41</v>
          </cell>
          <cell r="X984">
            <v>49.29</v>
          </cell>
          <cell r="Y984">
            <v>0</v>
          </cell>
          <cell r="Z984">
            <v>55.76</v>
          </cell>
          <cell r="AA984">
            <v>77</v>
          </cell>
          <cell r="AB984">
            <v>96</v>
          </cell>
          <cell r="AC984">
            <v>80</v>
          </cell>
          <cell r="AD984">
            <v>13.49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Y984">
            <v>954417.6</v>
          </cell>
        </row>
        <row r="985">
          <cell r="A985">
            <v>2</v>
          </cell>
          <cell r="B985" t="str">
            <v>12</v>
          </cell>
          <cell r="C985" t="str">
            <v>000</v>
          </cell>
          <cell r="D985" t="str">
            <v>1</v>
          </cell>
          <cell r="E985" t="str">
            <v>701</v>
          </cell>
          <cell r="F985" t="str">
            <v>N000</v>
          </cell>
          <cell r="G985" t="str">
            <v>511</v>
          </cell>
          <cell r="H985" t="str">
            <v>1103</v>
          </cell>
          <cell r="I985" t="str">
            <v>A01805</v>
          </cell>
          <cell r="J985" t="str">
            <v>21</v>
          </cell>
          <cell r="K985" t="str">
            <v>2</v>
          </cell>
          <cell r="L985">
            <v>59</v>
          </cell>
          <cell r="M985">
            <v>0</v>
          </cell>
          <cell r="N985">
            <v>2238.1999999999998</v>
          </cell>
          <cell r="O985" t="str">
            <v>M</v>
          </cell>
          <cell r="P985" t="str">
            <v>00000000</v>
          </cell>
          <cell r="Q985">
            <v>0</v>
          </cell>
          <cell r="R985">
            <v>323.3</v>
          </cell>
          <cell r="S985">
            <v>62.17</v>
          </cell>
          <cell r="T985">
            <v>285.37</v>
          </cell>
          <cell r="U985">
            <v>111.91</v>
          </cell>
          <cell r="V985">
            <v>40.29</v>
          </cell>
          <cell r="W985">
            <v>44.76</v>
          </cell>
          <cell r="X985">
            <v>59.95</v>
          </cell>
          <cell r="Y985">
            <v>0</v>
          </cell>
          <cell r="Z985">
            <v>58.73</v>
          </cell>
          <cell r="AA985">
            <v>77</v>
          </cell>
          <cell r="AB985">
            <v>96</v>
          </cell>
          <cell r="AC985">
            <v>80</v>
          </cell>
          <cell r="AD985">
            <v>13.49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Y985">
            <v>2471748.36</v>
          </cell>
        </row>
        <row r="986">
          <cell r="A986">
            <v>2</v>
          </cell>
          <cell r="B986" t="str">
            <v>12</v>
          </cell>
          <cell r="C986" t="str">
            <v>000</v>
          </cell>
          <cell r="D986" t="str">
            <v>1</v>
          </cell>
          <cell r="E986" t="str">
            <v>701</v>
          </cell>
          <cell r="F986" t="str">
            <v>N000</v>
          </cell>
          <cell r="G986" t="str">
            <v>511</v>
          </cell>
          <cell r="H986" t="str">
            <v>1103</v>
          </cell>
          <cell r="I986" t="str">
            <v>A01806</v>
          </cell>
          <cell r="J986" t="str">
            <v>25</v>
          </cell>
          <cell r="K986" t="str">
            <v>2</v>
          </cell>
          <cell r="L986">
            <v>34</v>
          </cell>
          <cell r="M986">
            <v>0</v>
          </cell>
          <cell r="N986">
            <v>2572.4</v>
          </cell>
          <cell r="O986" t="str">
            <v>M</v>
          </cell>
          <cell r="P986" t="str">
            <v>00000000</v>
          </cell>
          <cell r="Q986">
            <v>0</v>
          </cell>
          <cell r="R986">
            <v>371.57</v>
          </cell>
          <cell r="S986">
            <v>71.459999999999994</v>
          </cell>
          <cell r="T986">
            <v>327.98</v>
          </cell>
          <cell r="U986">
            <v>128.62</v>
          </cell>
          <cell r="V986">
            <v>46.3</v>
          </cell>
          <cell r="W986">
            <v>51.45</v>
          </cell>
          <cell r="X986">
            <v>72.180000000000007</v>
          </cell>
          <cell r="Y986">
            <v>0</v>
          </cell>
          <cell r="Z986">
            <v>66.81</v>
          </cell>
          <cell r="AA986">
            <v>77</v>
          </cell>
          <cell r="AB986">
            <v>96</v>
          </cell>
          <cell r="AC986">
            <v>80</v>
          </cell>
          <cell r="AD986">
            <v>13.49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Y986">
            <v>1621906.08</v>
          </cell>
        </row>
        <row r="987">
          <cell r="A987">
            <v>2</v>
          </cell>
          <cell r="B987" t="str">
            <v>12</v>
          </cell>
          <cell r="C987" t="str">
            <v>000</v>
          </cell>
          <cell r="D987" t="str">
            <v>1</v>
          </cell>
          <cell r="E987" t="str">
            <v>701</v>
          </cell>
          <cell r="F987" t="str">
            <v>N000</v>
          </cell>
          <cell r="G987" t="str">
            <v>511</v>
          </cell>
          <cell r="H987" t="str">
            <v>1103</v>
          </cell>
          <cell r="I987" t="str">
            <v>A01807</v>
          </cell>
          <cell r="J987" t="str">
            <v>27</v>
          </cell>
          <cell r="K987" t="str">
            <v>2</v>
          </cell>
          <cell r="L987">
            <v>93</v>
          </cell>
          <cell r="M987">
            <v>0</v>
          </cell>
          <cell r="N987">
            <v>2817.8</v>
          </cell>
          <cell r="O987" t="str">
            <v>M</v>
          </cell>
          <cell r="P987" t="str">
            <v>00000000</v>
          </cell>
          <cell r="Q987">
            <v>0</v>
          </cell>
          <cell r="R987">
            <v>407.02</v>
          </cell>
          <cell r="S987">
            <v>78.27</v>
          </cell>
          <cell r="T987">
            <v>359.27</v>
          </cell>
          <cell r="U987">
            <v>140.88999999999999</v>
          </cell>
          <cell r="V987">
            <v>50.72</v>
          </cell>
          <cell r="W987">
            <v>56.36</v>
          </cell>
          <cell r="X987">
            <v>76.63</v>
          </cell>
          <cell r="Y987">
            <v>0</v>
          </cell>
          <cell r="Z987">
            <v>72.650000000000006</v>
          </cell>
          <cell r="AA987">
            <v>77</v>
          </cell>
          <cell r="AB987">
            <v>96</v>
          </cell>
          <cell r="AC987">
            <v>80</v>
          </cell>
          <cell r="AD987">
            <v>13.49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Y987">
            <v>4827927.5999999996</v>
          </cell>
        </row>
        <row r="988">
          <cell r="A988">
            <v>2</v>
          </cell>
          <cell r="B988" t="str">
            <v>12</v>
          </cell>
          <cell r="C988" t="str">
            <v>000</v>
          </cell>
          <cell r="D988" t="str">
            <v>1</v>
          </cell>
          <cell r="E988" t="str">
            <v>701</v>
          </cell>
          <cell r="F988" t="str">
            <v>N000</v>
          </cell>
          <cell r="G988" t="str">
            <v>511</v>
          </cell>
          <cell r="H988" t="str">
            <v>1103</v>
          </cell>
          <cell r="I988" t="str">
            <v>A03803</v>
          </cell>
          <cell r="J988" t="str">
            <v>20</v>
          </cell>
          <cell r="K988" t="str">
            <v>2</v>
          </cell>
          <cell r="L988">
            <v>1</v>
          </cell>
          <cell r="M988">
            <v>0</v>
          </cell>
          <cell r="N988">
            <v>2138.85</v>
          </cell>
          <cell r="O988" t="str">
            <v>M</v>
          </cell>
          <cell r="P988" t="str">
            <v>00000000</v>
          </cell>
          <cell r="Q988">
            <v>0</v>
          </cell>
          <cell r="R988">
            <v>308.94</v>
          </cell>
          <cell r="S988">
            <v>59.41</v>
          </cell>
          <cell r="T988">
            <v>272.7</v>
          </cell>
          <cell r="U988">
            <v>106.94</v>
          </cell>
          <cell r="V988">
            <v>38.5</v>
          </cell>
          <cell r="W988">
            <v>42.78</v>
          </cell>
          <cell r="X988">
            <v>327</v>
          </cell>
          <cell r="Y988">
            <v>0</v>
          </cell>
          <cell r="Z988">
            <v>61.74</v>
          </cell>
          <cell r="AA988">
            <v>77</v>
          </cell>
          <cell r="AB988">
            <v>96</v>
          </cell>
          <cell r="AC988">
            <v>80</v>
          </cell>
          <cell r="AD988">
            <v>13.49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Y988">
            <v>43480.2</v>
          </cell>
        </row>
        <row r="989">
          <cell r="A989">
            <v>2</v>
          </cell>
          <cell r="B989" t="str">
            <v>12</v>
          </cell>
          <cell r="C989" t="str">
            <v>000</v>
          </cell>
          <cell r="D989" t="str">
            <v>1</v>
          </cell>
          <cell r="E989" t="str">
            <v>701</v>
          </cell>
          <cell r="F989" t="str">
            <v>N000</v>
          </cell>
          <cell r="G989" t="str">
            <v>511</v>
          </cell>
          <cell r="H989" t="str">
            <v>1103</v>
          </cell>
          <cell r="I989" t="str">
            <v>A03804</v>
          </cell>
          <cell r="J989" t="str">
            <v>23</v>
          </cell>
          <cell r="K989" t="str">
            <v>2</v>
          </cell>
          <cell r="L989">
            <v>21</v>
          </cell>
          <cell r="M989">
            <v>0</v>
          </cell>
          <cell r="N989">
            <v>2451.25</v>
          </cell>
          <cell r="O989" t="str">
            <v>M</v>
          </cell>
          <cell r="P989" t="str">
            <v>00000000</v>
          </cell>
          <cell r="Q989">
            <v>0</v>
          </cell>
          <cell r="R989">
            <v>354.07</v>
          </cell>
          <cell r="S989">
            <v>68.09</v>
          </cell>
          <cell r="T989">
            <v>312.52999999999997</v>
          </cell>
          <cell r="U989">
            <v>122.56</v>
          </cell>
          <cell r="V989">
            <v>44.12</v>
          </cell>
          <cell r="W989">
            <v>49.02</v>
          </cell>
          <cell r="X989">
            <v>129.94999999999999</v>
          </cell>
          <cell r="Y989">
            <v>0</v>
          </cell>
          <cell r="Z989">
            <v>65.13</v>
          </cell>
          <cell r="AA989">
            <v>77</v>
          </cell>
          <cell r="AB989">
            <v>96</v>
          </cell>
          <cell r="AC989">
            <v>80</v>
          </cell>
          <cell r="AD989">
            <v>13.49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Y989">
            <v>973528.92</v>
          </cell>
        </row>
        <row r="990">
          <cell r="A990">
            <v>2</v>
          </cell>
          <cell r="B990" t="str">
            <v>12</v>
          </cell>
          <cell r="C990" t="str">
            <v>000</v>
          </cell>
          <cell r="D990" t="str">
            <v>1</v>
          </cell>
          <cell r="E990" t="str">
            <v>701</v>
          </cell>
          <cell r="F990" t="str">
            <v>N000</v>
          </cell>
          <cell r="G990" t="str">
            <v>511</v>
          </cell>
          <cell r="H990" t="str">
            <v>1103</v>
          </cell>
          <cell r="I990" t="str">
            <v>CFMC03</v>
          </cell>
          <cell r="J990" t="str">
            <v>MC03</v>
          </cell>
          <cell r="K990" t="str">
            <v>1</v>
          </cell>
          <cell r="L990">
            <v>5</v>
          </cell>
          <cell r="M990">
            <v>0</v>
          </cell>
          <cell r="N990">
            <v>4311.3999999999996</v>
          </cell>
          <cell r="O990" t="str">
            <v>M</v>
          </cell>
          <cell r="P990" t="str">
            <v>00000000</v>
          </cell>
          <cell r="Q990">
            <v>11306.9</v>
          </cell>
          <cell r="R990">
            <v>622.76</v>
          </cell>
          <cell r="S990">
            <v>119.76</v>
          </cell>
          <cell r="T990">
            <v>549.70000000000005</v>
          </cell>
          <cell r="U990">
            <v>215.57</v>
          </cell>
          <cell r="V990">
            <v>281.13</v>
          </cell>
          <cell r="W990">
            <v>86.23</v>
          </cell>
          <cell r="X990">
            <v>16.399999999999999</v>
          </cell>
          <cell r="Y990">
            <v>780.91</v>
          </cell>
          <cell r="Z990">
            <v>329.08</v>
          </cell>
          <cell r="AA990">
            <v>77</v>
          </cell>
          <cell r="AB990">
            <v>0</v>
          </cell>
          <cell r="AC990">
            <v>0</v>
          </cell>
          <cell r="AD990">
            <v>13.49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Y990">
            <v>1122619.8</v>
          </cell>
        </row>
        <row r="991">
          <cell r="A991">
            <v>2</v>
          </cell>
          <cell r="B991" t="str">
            <v>12</v>
          </cell>
          <cell r="C991" t="str">
            <v>000</v>
          </cell>
          <cell r="D991" t="str">
            <v>1</v>
          </cell>
          <cell r="E991" t="str">
            <v>701</v>
          </cell>
          <cell r="F991" t="str">
            <v>N000</v>
          </cell>
          <cell r="G991" t="str">
            <v>511</v>
          </cell>
          <cell r="H991" t="str">
            <v>1103</v>
          </cell>
          <cell r="I991" t="str">
            <v>CFMC05</v>
          </cell>
          <cell r="J991" t="str">
            <v>MC05</v>
          </cell>
          <cell r="K991" t="str">
            <v>1</v>
          </cell>
          <cell r="L991">
            <v>2</v>
          </cell>
          <cell r="M991">
            <v>0</v>
          </cell>
          <cell r="N991">
            <v>3889.7</v>
          </cell>
          <cell r="O991" t="str">
            <v>M</v>
          </cell>
          <cell r="P991" t="str">
            <v>00000000</v>
          </cell>
          <cell r="Q991">
            <v>10009.85</v>
          </cell>
          <cell r="R991">
            <v>561.85</v>
          </cell>
          <cell r="S991">
            <v>108.05</v>
          </cell>
          <cell r="T991">
            <v>495.94</v>
          </cell>
          <cell r="U991">
            <v>194.49</v>
          </cell>
          <cell r="V991">
            <v>250.19</v>
          </cell>
          <cell r="W991">
            <v>77.790000000000006</v>
          </cell>
          <cell r="X991">
            <v>50.5</v>
          </cell>
          <cell r="Y991">
            <v>694.98</v>
          </cell>
          <cell r="Z991">
            <v>293.94</v>
          </cell>
          <cell r="AA991">
            <v>77</v>
          </cell>
          <cell r="AB991">
            <v>0</v>
          </cell>
          <cell r="AC991">
            <v>0</v>
          </cell>
          <cell r="AD991">
            <v>13.49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Y991">
            <v>401226.48</v>
          </cell>
        </row>
        <row r="992">
          <cell r="A992">
            <v>2</v>
          </cell>
          <cell r="B992" t="str">
            <v>12</v>
          </cell>
          <cell r="C992" t="str">
            <v>000</v>
          </cell>
          <cell r="D992" t="str">
            <v>1</v>
          </cell>
          <cell r="E992" t="str">
            <v>701</v>
          </cell>
          <cell r="F992" t="str">
            <v>N000</v>
          </cell>
          <cell r="G992" t="str">
            <v>511</v>
          </cell>
          <cell r="H992" t="str">
            <v>1103</v>
          </cell>
          <cell r="I992" t="str">
            <v>CFMD09</v>
          </cell>
          <cell r="J992" t="str">
            <v>MD09</v>
          </cell>
          <cell r="K992" t="str">
            <v>1</v>
          </cell>
          <cell r="L992">
            <v>1</v>
          </cell>
          <cell r="M992">
            <v>0</v>
          </cell>
          <cell r="N992">
            <v>14852.65</v>
          </cell>
          <cell r="O992" t="str">
            <v>M</v>
          </cell>
          <cell r="P992" t="str">
            <v>00000000</v>
          </cell>
          <cell r="Q992">
            <v>100991.65</v>
          </cell>
          <cell r="R992">
            <v>2145.38</v>
          </cell>
          <cell r="S992">
            <v>412.57</v>
          </cell>
          <cell r="T992">
            <v>1893.71</v>
          </cell>
          <cell r="U992">
            <v>742.63</v>
          </cell>
          <cell r="V992">
            <v>2085.1999999999998</v>
          </cell>
          <cell r="W992">
            <v>297.05</v>
          </cell>
          <cell r="X992">
            <v>109</v>
          </cell>
          <cell r="Y992">
            <v>5792.22</v>
          </cell>
          <cell r="Z992">
            <v>2371.7600000000002</v>
          </cell>
          <cell r="AA992">
            <v>77</v>
          </cell>
          <cell r="AB992">
            <v>0</v>
          </cell>
          <cell r="AC992">
            <v>0</v>
          </cell>
          <cell r="AD992">
            <v>13.49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Y992">
            <v>1581411.72</v>
          </cell>
        </row>
        <row r="993">
          <cell r="A993">
            <v>2</v>
          </cell>
          <cell r="B993" t="str">
            <v>12</v>
          </cell>
          <cell r="C993" t="str">
            <v>000</v>
          </cell>
          <cell r="D993" t="str">
            <v>1</v>
          </cell>
          <cell r="E993" t="str">
            <v>701</v>
          </cell>
          <cell r="F993" t="str">
            <v>N000</v>
          </cell>
          <cell r="G993" t="str">
            <v>511</v>
          </cell>
          <cell r="H993" t="str">
            <v>1103</v>
          </cell>
          <cell r="I993" t="str">
            <v>CFMG06</v>
          </cell>
          <cell r="J993" t="str">
            <v>MG06</v>
          </cell>
          <cell r="K993" t="str">
            <v>1</v>
          </cell>
          <cell r="L993">
            <v>5</v>
          </cell>
          <cell r="M993">
            <v>0</v>
          </cell>
          <cell r="N993">
            <v>8232.25</v>
          </cell>
          <cell r="O993" t="str">
            <v>M</v>
          </cell>
          <cell r="P993" t="str">
            <v>00000000</v>
          </cell>
          <cell r="Q993">
            <v>38872.050000000003</v>
          </cell>
          <cell r="R993">
            <v>1189.0999999999999</v>
          </cell>
          <cell r="S993">
            <v>228.67</v>
          </cell>
          <cell r="T993">
            <v>1049.6099999999999</v>
          </cell>
          <cell r="U993">
            <v>411.61</v>
          </cell>
          <cell r="V993">
            <v>847.88</v>
          </cell>
          <cell r="W993">
            <v>164.65</v>
          </cell>
          <cell r="X993">
            <v>42</v>
          </cell>
          <cell r="Y993">
            <v>2355.2199999999998</v>
          </cell>
          <cell r="Z993">
            <v>972.82</v>
          </cell>
          <cell r="AA993">
            <v>77</v>
          </cell>
          <cell r="AB993">
            <v>0</v>
          </cell>
          <cell r="AC993">
            <v>0</v>
          </cell>
          <cell r="AD993">
            <v>13.49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Y993">
            <v>3267381</v>
          </cell>
        </row>
        <row r="994">
          <cell r="A994">
            <v>2</v>
          </cell>
          <cell r="B994" t="str">
            <v>12</v>
          </cell>
          <cell r="C994" t="str">
            <v>000</v>
          </cell>
          <cell r="D994" t="str">
            <v>1</v>
          </cell>
          <cell r="E994" t="str">
            <v>701</v>
          </cell>
          <cell r="F994" t="str">
            <v>N000</v>
          </cell>
          <cell r="G994" t="str">
            <v>511</v>
          </cell>
          <cell r="H994" t="str">
            <v>1103</v>
          </cell>
          <cell r="I994" t="str">
            <v>CFMS06</v>
          </cell>
          <cell r="J994" t="str">
            <v>MS06</v>
          </cell>
          <cell r="K994" t="str">
            <v>1</v>
          </cell>
          <cell r="L994">
            <v>1</v>
          </cell>
          <cell r="M994">
            <v>0</v>
          </cell>
          <cell r="N994">
            <v>4801.8999999999996</v>
          </cell>
          <cell r="O994" t="str">
            <v>M</v>
          </cell>
          <cell r="P994" t="str">
            <v>00000000</v>
          </cell>
          <cell r="Q994">
            <v>21723.85</v>
          </cell>
          <cell r="R994">
            <v>693.61</v>
          </cell>
          <cell r="S994">
            <v>133.38999999999999</v>
          </cell>
          <cell r="T994">
            <v>612.24</v>
          </cell>
          <cell r="U994">
            <v>240.09</v>
          </cell>
          <cell r="V994">
            <v>477.46</v>
          </cell>
          <cell r="W994">
            <v>96.04</v>
          </cell>
          <cell r="X994">
            <v>0</v>
          </cell>
          <cell r="Y994">
            <v>1326.29</v>
          </cell>
          <cell r="Z994">
            <v>548.6</v>
          </cell>
          <cell r="AA994">
            <v>77</v>
          </cell>
          <cell r="AB994">
            <v>0</v>
          </cell>
          <cell r="AC994">
            <v>0</v>
          </cell>
          <cell r="AD994">
            <v>13.49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Y994">
            <v>368927.52</v>
          </cell>
        </row>
        <row r="995">
          <cell r="A995">
            <v>2</v>
          </cell>
          <cell r="B995" t="str">
            <v>12</v>
          </cell>
          <cell r="C995" t="str">
            <v>000</v>
          </cell>
          <cell r="D995" t="str">
            <v>1</v>
          </cell>
          <cell r="E995" t="str">
            <v>701</v>
          </cell>
          <cell r="F995" t="str">
            <v>N000</v>
          </cell>
          <cell r="G995" t="str">
            <v>511</v>
          </cell>
          <cell r="H995" t="str">
            <v>1103</v>
          </cell>
          <cell r="I995" t="str">
            <v>CFMS08</v>
          </cell>
          <cell r="J995" t="str">
            <v>MS08</v>
          </cell>
          <cell r="K995" t="str">
            <v>1</v>
          </cell>
          <cell r="L995">
            <v>11</v>
          </cell>
          <cell r="M995">
            <v>0</v>
          </cell>
          <cell r="N995">
            <v>4801.8999999999996</v>
          </cell>
          <cell r="O995" t="str">
            <v>M</v>
          </cell>
          <cell r="P995" t="str">
            <v>00000000</v>
          </cell>
          <cell r="Q995">
            <v>18269.849999999999</v>
          </cell>
          <cell r="R995">
            <v>693.61</v>
          </cell>
          <cell r="S995">
            <v>133.38999999999999</v>
          </cell>
          <cell r="T995">
            <v>612.24</v>
          </cell>
          <cell r="U995">
            <v>240.09</v>
          </cell>
          <cell r="V995">
            <v>415.29</v>
          </cell>
          <cell r="W995">
            <v>96.04</v>
          </cell>
          <cell r="X995">
            <v>24.82</v>
          </cell>
          <cell r="Y995">
            <v>1153.5899999999999</v>
          </cell>
          <cell r="Z995">
            <v>480.01</v>
          </cell>
          <cell r="AA995">
            <v>77</v>
          </cell>
          <cell r="AB995">
            <v>0</v>
          </cell>
          <cell r="AC995">
            <v>0</v>
          </cell>
          <cell r="AD995">
            <v>13.49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Y995">
            <v>3565494.24</v>
          </cell>
        </row>
        <row r="996">
          <cell r="A996">
            <v>2</v>
          </cell>
          <cell r="B996" t="str">
            <v>12</v>
          </cell>
          <cell r="C996" t="str">
            <v>000</v>
          </cell>
          <cell r="D996" t="str">
            <v>1</v>
          </cell>
          <cell r="E996" t="str">
            <v>701</v>
          </cell>
          <cell r="F996" t="str">
            <v>N000</v>
          </cell>
          <cell r="G996" t="str">
            <v>511</v>
          </cell>
          <cell r="H996" t="str">
            <v>1103</v>
          </cell>
          <cell r="I996" t="str">
            <v>M01004</v>
          </cell>
          <cell r="K996" t="str">
            <v>2</v>
          </cell>
          <cell r="L996">
            <v>1</v>
          </cell>
          <cell r="M996">
            <v>0</v>
          </cell>
          <cell r="N996">
            <v>6400</v>
          </cell>
          <cell r="O996" t="str">
            <v>M</v>
          </cell>
          <cell r="P996" t="str">
            <v>00000000</v>
          </cell>
          <cell r="Q996">
            <v>0</v>
          </cell>
          <cell r="R996">
            <v>924.44</v>
          </cell>
          <cell r="S996">
            <v>177.78</v>
          </cell>
          <cell r="T996">
            <v>816</v>
          </cell>
          <cell r="U996">
            <v>320</v>
          </cell>
          <cell r="V996">
            <v>115.2</v>
          </cell>
          <cell r="W996">
            <v>128</v>
          </cell>
          <cell r="X996">
            <v>109</v>
          </cell>
          <cell r="Y996">
            <v>0</v>
          </cell>
          <cell r="Z996">
            <v>289.70999999999998</v>
          </cell>
          <cell r="AA996">
            <v>77</v>
          </cell>
          <cell r="AB996">
            <v>96</v>
          </cell>
          <cell r="AC996">
            <v>80</v>
          </cell>
          <cell r="AD996">
            <v>13.49</v>
          </cell>
          <cell r="AE996">
            <v>5.33</v>
          </cell>
          <cell r="AF996">
            <v>0</v>
          </cell>
          <cell r="AG996">
            <v>0</v>
          </cell>
          <cell r="AH996">
            <v>4086</v>
          </cell>
          <cell r="AI996">
            <v>0</v>
          </cell>
          <cell r="AJ996">
            <v>2530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Y996">
            <v>194015.4</v>
          </cell>
        </row>
        <row r="997">
          <cell r="A997">
            <v>2</v>
          </cell>
          <cell r="B997" t="str">
            <v>12</v>
          </cell>
          <cell r="C997" t="str">
            <v>000</v>
          </cell>
          <cell r="D997" t="str">
            <v>1</v>
          </cell>
          <cell r="E997" t="str">
            <v>701</v>
          </cell>
          <cell r="F997" t="str">
            <v>N000</v>
          </cell>
          <cell r="G997" t="str">
            <v>511</v>
          </cell>
          <cell r="H997" t="str">
            <v>1103</v>
          </cell>
          <cell r="I997" t="str">
            <v>M01007</v>
          </cell>
          <cell r="K997" t="str">
            <v>2</v>
          </cell>
          <cell r="L997">
            <v>1</v>
          </cell>
          <cell r="M997">
            <v>0</v>
          </cell>
          <cell r="N997">
            <v>5074</v>
          </cell>
          <cell r="O997" t="str">
            <v>M</v>
          </cell>
          <cell r="P997" t="str">
            <v>00000000</v>
          </cell>
          <cell r="Q997">
            <v>0</v>
          </cell>
          <cell r="R997">
            <v>732.91</v>
          </cell>
          <cell r="S997">
            <v>140.94</v>
          </cell>
          <cell r="T997">
            <v>646.94000000000005</v>
          </cell>
          <cell r="U997">
            <v>253.7</v>
          </cell>
          <cell r="V997">
            <v>91.33</v>
          </cell>
          <cell r="W997">
            <v>101.48</v>
          </cell>
          <cell r="X997">
            <v>46</v>
          </cell>
          <cell r="Y997">
            <v>0</v>
          </cell>
          <cell r="Z997">
            <v>207.26</v>
          </cell>
          <cell r="AA997">
            <v>77</v>
          </cell>
          <cell r="AB997">
            <v>96</v>
          </cell>
          <cell r="AC997">
            <v>80</v>
          </cell>
          <cell r="AD997">
            <v>13.49</v>
          </cell>
          <cell r="AE997">
            <v>4.2300000000000004</v>
          </cell>
          <cell r="AF997">
            <v>0</v>
          </cell>
          <cell r="AG997">
            <v>0</v>
          </cell>
          <cell r="AH997">
            <v>2004</v>
          </cell>
          <cell r="AI997">
            <v>0</v>
          </cell>
          <cell r="AJ997">
            <v>2108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Y997">
            <v>140127.35999999999</v>
          </cell>
        </row>
        <row r="998">
          <cell r="A998">
            <v>2</v>
          </cell>
          <cell r="B998" t="str">
            <v>12</v>
          </cell>
          <cell r="C998" t="str">
            <v>000</v>
          </cell>
          <cell r="D998" t="str">
            <v>1</v>
          </cell>
          <cell r="E998" t="str">
            <v>701</v>
          </cell>
          <cell r="F998" t="str">
            <v>N000</v>
          </cell>
          <cell r="G998" t="str">
            <v>511</v>
          </cell>
          <cell r="H998" t="str">
            <v>1103</v>
          </cell>
          <cell r="I998" t="str">
            <v>M02001</v>
          </cell>
          <cell r="K998" t="str">
            <v>2</v>
          </cell>
          <cell r="L998">
            <v>3</v>
          </cell>
          <cell r="M998">
            <v>0</v>
          </cell>
          <cell r="N998">
            <v>5000</v>
          </cell>
          <cell r="O998" t="str">
            <v>M</v>
          </cell>
          <cell r="P998" t="str">
            <v>00000000</v>
          </cell>
          <cell r="Q998">
            <v>0</v>
          </cell>
          <cell r="R998">
            <v>722.22</v>
          </cell>
          <cell r="S998">
            <v>138.88999999999999</v>
          </cell>
          <cell r="T998">
            <v>637.5</v>
          </cell>
          <cell r="U998">
            <v>250</v>
          </cell>
          <cell r="V998">
            <v>90</v>
          </cell>
          <cell r="W998">
            <v>100</v>
          </cell>
          <cell r="X998">
            <v>60.67</v>
          </cell>
          <cell r="Y998">
            <v>0</v>
          </cell>
          <cell r="Z998">
            <v>175.58</v>
          </cell>
          <cell r="AA998">
            <v>77</v>
          </cell>
          <cell r="AB998">
            <v>96</v>
          </cell>
          <cell r="AC998">
            <v>80</v>
          </cell>
          <cell r="AD998">
            <v>13.49</v>
          </cell>
          <cell r="AE998">
            <v>4.17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2600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Y998">
            <v>361638.72</v>
          </cell>
        </row>
        <row r="999">
          <cell r="A999">
            <v>2</v>
          </cell>
          <cell r="B999" t="str">
            <v>12</v>
          </cell>
          <cell r="C999" t="str">
            <v>000</v>
          </cell>
          <cell r="D999" t="str">
            <v>1</v>
          </cell>
          <cell r="E999" t="str">
            <v>701</v>
          </cell>
          <cell r="F999" t="str">
            <v>N000</v>
          </cell>
          <cell r="G999" t="str">
            <v>511</v>
          </cell>
          <cell r="H999" t="str">
            <v>1103</v>
          </cell>
          <cell r="I999" t="str">
            <v>M02036</v>
          </cell>
          <cell r="K999" t="str">
            <v>2</v>
          </cell>
          <cell r="L999">
            <v>1</v>
          </cell>
          <cell r="M999">
            <v>0</v>
          </cell>
          <cell r="N999">
            <v>2838</v>
          </cell>
          <cell r="O999" t="str">
            <v>M</v>
          </cell>
          <cell r="P999" t="str">
            <v>00000000</v>
          </cell>
          <cell r="Q999">
            <v>0</v>
          </cell>
          <cell r="R999">
            <v>409.93</v>
          </cell>
          <cell r="S999">
            <v>78.83</v>
          </cell>
          <cell r="T999">
            <v>361.85</v>
          </cell>
          <cell r="U999">
            <v>141.9</v>
          </cell>
          <cell r="V999">
            <v>51.08</v>
          </cell>
          <cell r="W999">
            <v>56.76</v>
          </cell>
          <cell r="X999">
            <v>46</v>
          </cell>
          <cell r="Y999">
            <v>0</v>
          </cell>
          <cell r="Z999">
            <v>116.56</v>
          </cell>
          <cell r="AA999">
            <v>77</v>
          </cell>
          <cell r="AB999">
            <v>96</v>
          </cell>
          <cell r="AC999">
            <v>80</v>
          </cell>
          <cell r="AD999">
            <v>13.49</v>
          </cell>
          <cell r="AE999">
            <v>2.36</v>
          </cell>
          <cell r="AF999">
            <v>0</v>
          </cell>
          <cell r="AG999">
            <v>0</v>
          </cell>
          <cell r="AH999">
            <v>634</v>
          </cell>
          <cell r="AI999">
            <v>0</v>
          </cell>
          <cell r="AJ999">
            <v>1566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Y999">
            <v>78837.119999999995</v>
          </cell>
        </row>
        <row r="1000">
          <cell r="A1000">
            <v>2</v>
          </cell>
          <cell r="B1000" t="str">
            <v>12</v>
          </cell>
          <cell r="C1000" t="str">
            <v>000</v>
          </cell>
          <cell r="D1000" t="str">
            <v>1</v>
          </cell>
          <cell r="E1000" t="str">
            <v>701</v>
          </cell>
          <cell r="F1000" t="str">
            <v>N000</v>
          </cell>
          <cell r="G1000" t="str">
            <v>511</v>
          </cell>
          <cell r="H1000" t="str">
            <v>1103</v>
          </cell>
          <cell r="I1000" t="str">
            <v>M02088</v>
          </cell>
          <cell r="K1000" t="str">
            <v>2</v>
          </cell>
          <cell r="L1000">
            <v>1</v>
          </cell>
          <cell r="M1000">
            <v>0</v>
          </cell>
          <cell r="N1000">
            <v>5250</v>
          </cell>
          <cell r="O1000" t="str">
            <v>M</v>
          </cell>
          <cell r="P1000" t="str">
            <v>00000000</v>
          </cell>
          <cell r="Q1000">
            <v>0</v>
          </cell>
          <cell r="R1000">
            <v>758.33</v>
          </cell>
          <cell r="S1000">
            <v>145.83000000000001</v>
          </cell>
          <cell r="T1000">
            <v>669.38</v>
          </cell>
          <cell r="U1000">
            <v>262.5</v>
          </cell>
          <cell r="V1000">
            <v>94.5</v>
          </cell>
          <cell r="W1000">
            <v>105</v>
          </cell>
          <cell r="X1000">
            <v>136</v>
          </cell>
          <cell r="Y1000">
            <v>0</v>
          </cell>
          <cell r="Z1000">
            <v>185.55</v>
          </cell>
          <cell r="AA1000">
            <v>77</v>
          </cell>
          <cell r="AB1000">
            <v>96</v>
          </cell>
          <cell r="AC1000">
            <v>80</v>
          </cell>
          <cell r="AD1000">
            <v>13.49</v>
          </cell>
          <cell r="AE1000">
            <v>4.38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2730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Y1000">
            <v>127295.52</v>
          </cell>
        </row>
        <row r="1001">
          <cell r="A1001">
            <v>2</v>
          </cell>
          <cell r="B1001" t="str">
            <v>12</v>
          </cell>
          <cell r="C1001" t="str">
            <v>000</v>
          </cell>
          <cell r="D1001" t="str">
            <v>1</v>
          </cell>
          <cell r="E1001" t="str">
            <v>701</v>
          </cell>
          <cell r="F1001" t="str">
            <v>N000</v>
          </cell>
          <cell r="G1001" t="str">
            <v>511</v>
          </cell>
          <cell r="H1001" t="str">
            <v>1103</v>
          </cell>
          <cell r="I1001" t="str">
            <v>S01803</v>
          </cell>
          <cell r="J1001" t="str">
            <v>19</v>
          </cell>
          <cell r="K1001" t="str">
            <v>2</v>
          </cell>
          <cell r="L1001">
            <v>97</v>
          </cell>
          <cell r="M1001">
            <v>0</v>
          </cell>
          <cell r="N1001">
            <v>2120.3000000000002</v>
          </cell>
          <cell r="O1001" t="str">
            <v>M</v>
          </cell>
          <cell r="P1001" t="str">
            <v>00000000</v>
          </cell>
          <cell r="Q1001">
            <v>0</v>
          </cell>
          <cell r="R1001">
            <v>306.27</v>
          </cell>
          <cell r="S1001">
            <v>58.9</v>
          </cell>
          <cell r="T1001">
            <v>270.33999999999997</v>
          </cell>
          <cell r="U1001">
            <v>106.02</v>
          </cell>
          <cell r="V1001">
            <v>38.17</v>
          </cell>
          <cell r="W1001">
            <v>42.41</v>
          </cell>
          <cell r="X1001">
            <v>45.4</v>
          </cell>
          <cell r="Y1001">
            <v>0</v>
          </cell>
          <cell r="Z1001">
            <v>55.68</v>
          </cell>
          <cell r="AA1001">
            <v>77</v>
          </cell>
          <cell r="AB1001">
            <v>96</v>
          </cell>
          <cell r="AC1001">
            <v>80</v>
          </cell>
          <cell r="AD1001">
            <v>13.49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Y1001">
            <v>3852816.72</v>
          </cell>
        </row>
        <row r="1002">
          <cell r="A1002">
            <v>2</v>
          </cell>
          <cell r="B1002" t="str">
            <v>12</v>
          </cell>
          <cell r="C1002" t="str">
            <v>000</v>
          </cell>
          <cell r="D1002" t="str">
            <v>1</v>
          </cell>
          <cell r="E1002" t="str">
            <v>701</v>
          </cell>
          <cell r="F1002" t="str">
            <v>N000</v>
          </cell>
          <cell r="G1002" t="str">
            <v>511</v>
          </cell>
          <cell r="H1002" t="str">
            <v>1103</v>
          </cell>
          <cell r="I1002" t="str">
            <v>S01805</v>
          </cell>
          <cell r="J1002" t="str">
            <v>23</v>
          </cell>
          <cell r="K1002" t="str">
            <v>2</v>
          </cell>
          <cell r="L1002">
            <v>2</v>
          </cell>
          <cell r="M1002">
            <v>0</v>
          </cell>
          <cell r="N1002">
            <v>2451.25</v>
          </cell>
          <cell r="O1002" t="str">
            <v>M</v>
          </cell>
          <cell r="P1002" t="str">
            <v>00000000</v>
          </cell>
          <cell r="Q1002">
            <v>0</v>
          </cell>
          <cell r="R1002">
            <v>354.07</v>
          </cell>
          <cell r="S1002">
            <v>68.09</v>
          </cell>
          <cell r="T1002">
            <v>312.52999999999997</v>
          </cell>
          <cell r="U1002">
            <v>122.56</v>
          </cell>
          <cell r="V1002">
            <v>44.12</v>
          </cell>
          <cell r="W1002">
            <v>49.02</v>
          </cell>
          <cell r="X1002">
            <v>64</v>
          </cell>
          <cell r="Y1002">
            <v>0</v>
          </cell>
          <cell r="Z1002">
            <v>63.81</v>
          </cell>
          <cell r="AA1002">
            <v>77</v>
          </cell>
          <cell r="AB1002">
            <v>96</v>
          </cell>
          <cell r="AC1002">
            <v>80</v>
          </cell>
          <cell r="AD1002">
            <v>13.49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Y1002">
            <v>91102.56</v>
          </cell>
        </row>
        <row r="1003">
          <cell r="A1003">
            <v>2</v>
          </cell>
          <cell r="B1003" t="str">
            <v>12</v>
          </cell>
          <cell r="C1003" t="str">
            <v>000</v>
          </cell>
          <cell r="D1003" t="str">
            <v>1</v>
          </cell>
          <cell r="E1003" t="str">
            <v>701</v>
          </cell>
          <cell r="F1003" t="str">
            <v>N000</v>
          </cell>
          <cell r="G1003" t="str">
            <v>511</v>
          </cell>
          <cell r="H1003" t="str">
            <v>1103</v>
          </cell>
          <cell r="I1003" t="str">
            <v>S01808</v>
          </cell>
          <cell r="J1003" t="str">
            <v>17</v>
          </cell>
          <cell r="K1003" t="str">
            <v>2</v>
          </cell>
          <cell r="L1003">
            <v>31</v>
          </cell>
          <cell r="M1003">
            <v>0</v>
          </cell>
          <cell r="N1003">
            <v>1936.3</v>
          </cell>
          <cell r="O1003" t="str">
            <v>M</v>
          </cell>
          <cell r="P1003" t="str">
            <v>00000000</v>
          </cell>
          <cell r="Q1003">
            <v>0</v>
          </cell>
          <cell r="R1003">
            <v>279.69</v>
          </cell>
          <cell r="S1003">
            <v>53.79</v>
          </cell>
          <cell r="T1003">
            <v>246.88</v>
          </cell>
          <cell r="U1003">
            <v>96.81</v>
          </cell>
          <cell r="V1003">
            <v>34.85</v>
          </cell>
          <cell r="W1003">
            <v>38.729999999999997</v>
          </cell>
          <cell r="X1003">
            <v>35.549999999999997</v>
          </cell>
          <cell r="Y1003">
            <v>0</v>
          </cell>
          <cell r="Z1003">
            <v>51.17</v>
          </cell>
          <cell r="AA1003">
            <v>77</v>
          </cell>
          <cell r="AB1003">
            <v>96</v>
          </cell>
          <cell r="AC1003">
            <v>80</v>
          </cell>
          <cell r="AD1003">
            <v>13.49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Y1003">
            <v>1130976.72</v>
          </cell>
        </row>
        <row r="1004">
          <cell r="A1004">
            <v>2</v>
          </cell>
          <cell r="B1004" t="str">
            <v>12</v>
          </cell>
          <cell r="C1004" t="str">
            <v>000</v>
          </cell>
          <cell r="D1004" t="str">
            <v>1</v>
          </cell>
          <cell r="E1004" t="str">
            <v>701</v>
          </cell>
          <cell r="F1004" t="str">
            <v>N000</v>
          </cell>
          <cell r="G1004" t="str">
            <v>511</v>
          </cell>
          <cell r="H1004" t="str">
            <v>1103</v>
          </cell>
          <cell r="I1004" t="str">
            <v>S01811</v>
          </cell>
          <cell r="J1004" t="str">
            <v>25</v>
          </cell>
          <cell r="K1004" t="str">
            <v>2</v>
          </cell>
          <cell r="L1004">
            <v>15</v>
          </cell>
          <cell r="M1004">
            <v>0</v>
          </cell>
          <cell r="N1004">
            <v>2572.4</v>
          </cell>
          <cell r="O1004" t="str">
            <v>M</v>
          </cell>
          <cell r="P1004" t="str">
            <v>00000000</v>
          </cell>
          <cell r="Q1004">
            <v>0</v>
          </cell>
          <cell r="R1004">
            <v>371.57</v>
          </cell>
          <cell r="S1004">
            <v>71.459999999999994</v>
          </cell>
          <cell r="T1004">
            <v>327.98</v>
          </cell>
          <cell r="U1004">
            <v>128.62</v>
          </cell>
          <cell r="V1004">
            <v>46.3</v>
          </cell>
          <cell r="W1004">
            <v>51.45</v>
          </cell>
          <cell r="X1004">
            <v>0</v>
          </cell>
          <cell r="Y1004">
            <v>0</v>
          </cell>
          <cell r="Z1004">
            <v>65.37</v>
          </cell>
          <cell r="AA1004">
            <v>77</v>
          </cell>
          <cell r="AB1004">
            <v>96</v>
          </cell>
          <cell r="AC1004">
            <v>80</v>
          </cell>
          <cell r="AD1004">
            <v>13.49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Y1004">
            <v>702295.2</v>
          </cell>
        </row>
        <row r="1005">
          <cell r="A1005">
            <v>2</v>
          </cell>
          <cell r="B1005" t="str">
            <v>12</v>
          </cell>
          <cell r="C1005" t="str">
            <v>000</v>
          </cell>
          <cell r="D1005" t="str">
            <v>1</v>
          </cell>
          <cell r="E1005" t="str">
            <v>701</v>
          </cell>
          <cell r="F1005" t="str">
            <v>N000</v>
          </cell>
          <cell r="G1005" t="str">
            <v>511</v>
          </cell>
          <cell r="H1005" t="str">
            <v>1103</v>
          </cell>
          <cell r="I1005" t="str">
            <v>S03810</v>
          </cell>
          <cell r="J1005" t="str">
            <v>22</v>
          </cell>
          <cell r="K1005" t="str">
            <v>2</v>
          </cell>
          <cell r="L1005">
            <v>10</v>
          </cell>
          <cell r="M1005">
            <v>0</v>
          </cell>
          <cell r="N1005">
            <v>2342.3000000000002</v>
          </cell>
          <cell r="O1005" t="str">
            <v>M</v>
          </cell>
          <cell r="P1005" t="str">
            <v>00000000</v>
          </cell>
          <cell r="Q1005">
            <v>0</v>
          </cell>
          <cell r="R1005">
            <v>338.33</v>
          </cell>
          <cell r="S1005">
            <v>65.06</v>
          </cell>
          <cell r="T1005">
            <v>298.64</v>
          </cell>
          <cell r="U1005">
            <v>117.12</v>
          </cell>
          <cell r="V1005">
            <v>42.16</v>
          </cell>
          <cell r="W1005">
            <v>46.85</v>
          </cell>
          <cell r="X1005">
            <v>0</v>
          </cell>
          <cell r="Y1005">
            <v>0</v>
          </cell>
          <cell r="Z1005">
            <v>59.97</v>
          </cell>
          <cell r="AA1005">
            <v>77</v>
          </cell>
          <cell r="AB1005">
            <v>96</v>
          </cell>
          <cell r="AC1005">
            <v>80</v>
          </cell>
          <cell r="AD1005">
            <v>13.49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Y1005">
            <v>429230.4</v>
          </cell>
        </row>
        <row r="1006">
          <cell r="A1006">
            <v>2</v>
          </cell>
          <cell r="B1006" t="str">
            <v>12</v>
          </cell>
          <cell r="C1006" t="str">
            <v>000</v>
          </cell>
          <cell r="D1006" t="str">
            <v>1</v>
          </cell>
          <cell r="E1006" t="str">
            <v>701</v>
          </cell>
          <cell r="F1006" t="str">
            <v>N000</v>
          </cell>
          <cell r="G1006" t="str">
            <v>511</v>
          </cell>
          <cell r="H1006" t="str">
            <v>1103</v>
          </cell>
          <cell r="I1006" t="str">
            <v>S08802</v>
          </cell>
          <cell r="J1006" t="str">
            <v>21</v>
          </cell>
          <cell r="K1006" t="str">
            <v>2</v>
          </cell>
          <cell r="L1006">
            <v>30</v>
          </cell>
          <cell r="M1006">
            <v>0</v>
          </cell>
          <cell r="N1006">
            <v>2238.1999999999998</v>
          </cell>
          <cell r="O1006" t="str">
            <v>M</v>
          </cell>
          <cell r="P1006" t="str">
            <v>00000000</v>
          </cell>
          <cell r="Q1006">
            <v>0</v>
          </cell>
          <cell r="R1006">
            <v>323.3</v>
          </cell>
          <cell r="S1006">
            <v>62.17</v>
          </cell>
          <cell r="T1006">
            <v>285.37</v>
          </cell>
          <cell r="U1006">
            <v>111.91</v>
          </cell>
          <cell r="V1006">
            <v>40.29</v>
          </cell>
          <cell r="W1006">
            <v>44.76</v>
          </cell>
          <cell r="X1006">
            <v>69.03</v>
          </cell>
          <cell r="Y1006">
            <v>0</v>
          </cell>
          <cell r="Z1006">
            <v>58.91</v>
          </cell>
          <cell r="AA1006">
            <v>77</v>
          </cell>
          <cell r="AB1006">
            <v>96</v>
          </cell>
          <cell r="AC1006">
            <v>80</v>
          </cell>
          <cell r="AD1006">
            <v>13.49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Y1006">
            <v>1260154.8</v>
          </cell>
        </row>
        <row r="1007">
          <cell r="A1007">
            <v>2</v>
          </cell>
          <cell r="B1007" t="str">
            <v>12</v>
          </cell>
          <cell r="C1007" t="str">
            <v>000</v>
          </cell>
          <cell r="D1007" t="str">
            <v>1</v>
          </cell>
          <cell r="E1007" t="str">
            <v>701</v>
          </cell>
          <cell r="F1007" t="str">
            <v>N000</v>
          </cell>
          <cell r="G1007" t="str">
            <v>511</v>
          </cell>
          <cell r="H1007" t="str">
            <v>1103</v>
          </cell>
          <cell r="I1007" t="str">
            <v>T03803</v>
          </cell>
          <cell r="J1007" t="str">
            <v>22</v>
          </cell>
          <cell r="K1007" t="str">
            <v>2</v>
          </cell>
          <cell r="L1007">
            <v>39</v>
          </cell>
          <cell r="M1007">
            <v>0</v>
          </cell>
          <cell r="N1007">
            <v>2342.3000000000002</v>
          </cell>
          <cell r="O1007" t="str">
            <v>M</v>
          </cell>
          <cell r="P1007" t="str">
            <v>00000000</v>
          </cell>
          <cell r="Q1007">
            <v>0</v>
          </cell>
          <cell r="R1007">
            <v>338.33</v>
          </cell>
          <cell r="S1007">
            <v>65.06</v>
          </cell>
          <cell r="T1007">
            <v>298.64</v>
          </cell>
          <cell r="U1007">
            <v>117.12</v>
          </cell>
          <cell r="V1007">
            <v>42.16</v>
          </cell>
          <cell r="W1007">
            <v>46.85</v>
          </cell>
          <cell r="X1007">
            <v>54.18</v>
          </cell>
          <cell r="Y1007">
            <v>0</v>
          </cell>
          <cell r="Z1007">
            <v>61.06</v>
          </cell>
          <cell r="AA1007">
            <v>77</v>
          </cell>
          <cell r="AB1007">
            <v>96</v>
          </cell>
          <cell r="AC1007">
            <v>80</v>
          </cell>
          <cell r="AD1007">
            <v>13.49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Y1007">
            <v>1699864.92</v>
          </cell>
        </row>
        <row r="1008">
          <cell r="A1008">
            <v>2</v>
          </cell>
          <cell r="B1008" t="str">
            <v>12</v>
          </cell>
          <cell r="C1008" t="str">
            <v>000</v>
          </cell>
          <cell r="D1008" t="str">
            <v>1</v>
          </cell>
          <cell r="E1008" t="str">
            <v>701</v>
          </cell>
          <cell r="F1008" t="str">
            <v>N000</v>
          </cell>
          <cell r="G1008" t="str">
            <v>511</v>
          </cell>
          <cell r="H1008" t="str">
            <v>1103</v>
          </cell>
          <cell r="I1008" t="str">
            <v>T03804</v>
          </cell>
          <cell r="J1008" t="str">
            <v>25</v>
          </cell>
          <cell r="K1008" t="str">
            <v>2</v>
          </cell>
          <cell r="L1008">
            <v>20</v>
          </cell>
          <cell r="M1008">
            <v>0</v>
          </cell>
          <cell r="N1008">
            <v>2572.4</v>
          </cell>
          <cell r="O1008" t="str">
            <v>M</v>
          </cell>
          <cell r="P1008" t="str">
            <v>00000000</v>
          </cell>
          <cell r="Q1008">
            <v>0</v>
          </cell>
          <cell r="R1008">
            <v>371.57</v>
          </cell>
          <cell r="S1008">
            <v>71.459999999999994</v>
          </cell>
          <cell r="T1008">
            <v>327.98</v>
          </cell>
          <cell r="U1008">
            <v>128.62</v>
          </cell>
          <cell r="V1008">
            <v>46.3</v>
          </cell>
          <cell r="W1008">
            <v>51.45</v>
          </cell>
          <cell r="X1008">
            <v>56.55</v>
          </cell>
          <cell r="Y1008">
            <v>0</v>
          </cell>
          <cell r="Z1008">
            <v>66.5</v>
          </cell>
          <cell r="AA1008">
            <v>77</v>
          </cell>
          <cell r="AB1008">
            <v>96</v>
          </cell>
          <cell r="AC1008">
            <v>80</v>
          </cell>
          <cell r="AD1008">
            <v>13.49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Y1008">
            <v>950236.8</v>
          </cell>
        </row>
        <row r="1009">
          <cell r="A1009">
            <v>2</v>
          </cell>
          <cell r="B1009" t="str">
            <v>12</v>
          </cell>
          <cell r="C1009" t="str">
            <v>000</v>
          </cell>
          <cell r="D1009" t="str">
            <v>1</v>
          </cell>
          <cell r="E1009" t="str">
            <v>701</v>
          </cell>
          <cell r="F1009" t="str">
            <v>N000</v>
          </cell>
          <cell r="G1009" t="str">
            <v>511</v>
          </cell>
          <cell r="H1009" t="str">
            <v>1103</v>
          </cell>
          <cell r="I1009" t="str">
            <v>T06803</v>
          </cell>
          <cell r="J1009" t="str">
            <v>26</v>
          </cell>
          <cell r="K1009" t="str">
            <v>2</v>
          </cell>
          <cell r="L1009">
            <v>3</v>
          </cell>
          <cell r="M1009">
            <v>0</v>
          </cell>
          <cell r="N1009">
            <v>2692.2</v>
          </cell>
          <cell r="O1009" t="str">
            <v>M</v>
          </cell>
          <cell r="P1009" t="str">
            <v>00000000</v>
          </cell>
          <cell r="Q1009">
            <v>0</v>
          </cell>
          <cell r="R1009">
            <v>388.87</v>
          </cell>
          <cell r="S1009">
            <v>74.78</v>
          </cell>
          <cell r="T1009">
            <v>343.26</v>
          </cell>
          <cell r="U1009">
            <v>134.61000000000001</v>
          </cell>
          <cell r="V1009">
            <v>48.46</v>
          </cell>
          <cell r="W1009">
            <v>53.84</v>
          </cell>
          <cell r="X1009">
            <v>42.67</v>
          </cell>
          <cell r="Y1009">
            <v>0</v>
          </cell>
          <cell r="Z1009">
            <v>69.03</v>
          </cell>
          <cell r="AA1009">
            <v>77</v>
          </cell>
          <cell r="AB1009">
            <v>96</v>
          </cell>
          <cell r="AC1009">
            <v>80</v>
          </cell>
          <cell r="AD1009">
            <v>13.49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Y1009">
            <v>148111.56</v>
          </cell>
        </row>
        <row r="1010">
          <cell r="A1010">
            <v>2</v>
          </cell>
          <cell r="B1010" t="str">
            <v>12</v>
          </cell>
          <cell r="C1010" t="str">
            <v>000</v>
          </cell>
          <cell r="D1010" t="str">
            <v>1</v>
          </cell>
          <cell r="E1010" t="str">
            <v>701</v>
          </cell>
          <cell r="F1010" t="str">
            <v>N000</v>
          </cell>
          <cell r="G1010" t="str">
            <v>511</v>
          </cell>
          <cell r="H1010" t="str">
            <v>1103</v>
          </cell>
          <cell r="I1010" t="str">
            <v>T06807</v>
          </cell>
          <cell r="J1010" t="str">
            <v>24</v>
          </cell>
          <cell r="K1010" t="str">
            <v>2</v>
          </cell>
          <cell r="L1010">
            <v>2</v>
          </cell>
          <cell r="M1010">
            <v>0</v>
          </cell>
          <cell r="N1010">
            <v>2479.75</v>
          </cell>
          <cell r="O1010" t="str">
            <v>M</v>
          </cell>
          <cell r="P1010" t="str">
            <v>00000000</v>
          </cell>
          <cell r="Q1010">
            <v>0</v>
          </cell>
          <cell r="R1010">
            <v>358.19</v>
          </cell>
          <cell r="S1010">
            <v>68.88</v>
          </cell>
          <cell r="T1010">
            <v>316.17</v>
          </cell>
          <cell r="U1010">
            <v>123.99</v>
          </cell>
          <cell r="V1010">
            <v>44.64</v>
          </cell>
          <cell r="W1010">
            <v>49.59</v>
          </cell>
          <cell r="X1010">
            <v>64</v>
          </cell>
          <cell r="Y1010">
            <v>0</v>
          </cell>
          <cell r="Z1010">
            <v>64.48</v>
          </cell>
          <cell r="AA1010">
            <v>77</v>
          </cell>
          <cell r="AB1010">
            <v>96</v>
          </cell>
          <cell r="AC1010">
            <v>80</v>
          </cell>
          <cell r="AD1010">
            <v>13.49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Y1010">
            <v>92068.32</v>
          </cell>
        </row>
        <row r="1011">
          <cell r="A1011">
            <v>2</v>
          </cell>
          <cell r="B1011" t="str">
            <v>12</v>
          </cell>
          <cell r="C1011" t="str">
            <v>000</v>
          </cell>
          <cell r="D1011" t="str">
            <v>1</v>
          </cell>
          <cell r="E1011" t="str">
            <v>701</v>
          </cell>
          <cell r="F1011" t="str">
            <v>N000</v>
          </cell>
          <cell r="G1011" t="str">
            <v>511</v>
          </cell>
          <cell r="H1011" t="str">
            <v>1103</v>
          </cell>
          <cell r="I1011" t="str">
            <v>CF01059</v>
          </cell>
          <cell r="J1011" t="str">
            <v>28</v>
          </cell>
          <cell r="K1011" t="str">
            <v>1</v>
          </cell>
          <cell r="L1011">
            <v>13</v>
          </cell>
          <cell r="M1011">
            <v>0</v>
          </cell>
          <cell r="N1011">
            <v>3631.8</v>
          </cell>
          <cell r="O1011" t="str">
            <v>M</v>
          </cell>
          <cell r="P1011" t="str">
            <v>00000000</v>
          </cell>
          <cell r="Q1011">
            <v>8731.1</v>
          </cell>
          <cell r="R1011">
            <v>524.59</v>
          </cell>
          <cell r="S1011">
            <v>100.88</v>
          </cell>
          <cell r="T1011">
            <v>463.05</v>
          </cell>
          <cell r="U1011">
            <v>181.59</v>
          </cell>
          <cell r="V1011">
            <v>222.53</v>
          </cell>
          <cell r="W1011">
            <v>72.64</v>
          </cell>
          <cell r="X1011">
            <v>31.62</v>
          </cell>
          <cell r="Y1011">
            <v>618.15</v>
          </cell>
          <cell r="Z1011">
            <v>261.94</v>
          </cell>
          <cell r="AA1011">
            <v>77</v>
          </cell>
          <cell r="AB1011">
            <v>0</v>
          </cell>
          <cell r="AC1011">
            <v>0</v>
          </cell>
          <cell r="AD1011">
            <v>13.49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Y1011">
            <v>2329139.2799999998</v>
          </cell>
        </row>
        <row r="1012">
          <cell r="A1012">
            <v>2</v>
          </cell>
          <cell r="B1012" t="str">
            <v>12</v>
          </cell>
          <cell r="C1012" t="str">
            <v>000</v>
          </cell>
          <cell r="D1012" t="str">
            <v>1</v>
          </cell>
          <cell r="E1012" t="str">
            <v>701</v>
          </cell>
          <cell r="F1012" t="str">
            <v>N000</v>
          </cell>
          <cell r="G1012" t="str">
            <v>511</v>
          </cell>
          <cell r="H1012" t="str">
            <v>1103</v>
          </cell>
          <cell r="I1012" t="str">
            <v>CF03809</v>
          </cell>
          <cell r="J1012" t="str">
            <v>25</v>
          </cell>
          <cell r="K1012" t="str">
            <v>2</v>
          </cell>
          <cell r="L1012">
            <v>2</v>
          </cell>
          <cell r="M1012">
            <v>0</v>
          </cell>
          <cell r="N1012">
            <v>2572.4</v>
          </cell>
          <cell r="O1012" t="str">
            <v>M</v>
          </cell>
          <cell r="P1012" t="str">
            <v>00000000</v>
          </cell>
          <cell r="Q1012">
            <v>0</v>
          </cell>
          <cell r="R1012">
            <v>371.57</v>
          </cell>
          <cell r="S1012">
            <v>71.459999999999994</v>
          </cell>
          <cell r="T1012">
            <v>327.98</v>
          </cell>
          <cell r="U1012">
            <v>128.62</v>
          </cell>
          <cell r="V1012">
            <v>46.3</v>
          </cell>
          <cell r="W1012">
            <v>51.45</v>
          </cell>
          <cell r="X1012">
            <v>0</v>
          </cell>
          <cell r="Y1012">
            <v>0</v>
          </cell>
          <cell r="Z1012">
            <v>65.37</v>
          </cell>
          <cell r="AA1012">
            <v>77</v>
          </cell>
          <cell r="AB1012">
            <v>96</v>
          </cell>
          <cell r="AC1012">
            <v>80</v>
          </cell>
          <cell r="AD1012">
            <v>13.49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Y1012">
            <v>93639.360000000001</v>
          </cell>
        </row>
        <row r="1013">
          <cell r="A1013">
            <v>2</v>
          </cell>
          <cell r="B1013" t="str">
            <v>12</v>
          </cell>
          <cell r="C1013" t="str">
            <v>000</v>
          </cell>
          <cell r="D1013" t="str">
            <v>1</v>
          </cell>
          <cell r="E1013" t="str">
            <v>701</v>
          </cell>
          <cell r="F1013" t="str">
            <v>N000</v>
          </cell>
          <cell r="G1013" t="str">
            <v>511</v>
          </cell>
          <cell r="H1013" t="str">
            <v>1103</v>
          </cell>
          <cell r="I1013" t="str">
            <v>CF04806</v>
          </cell>
          <cell r="J1013" t="str">
            <v>26</v>
          </cell>
          <cell r="K1013" t="str">
            <v>2</v>
          </cell>
          <cell r="L1013">
            <v>27</v>
          </cell>
          <cell r="M1013">
            <v>0</v>
          </cell>
          <cell r="N1013">
            <v>2692.2</v>
          </cell>
          <cell r="O1013" t="str">
            <v>M</v>
          </cell>
          <cell r="P1013" t="str">
            <v>00000000</v>
          </cell>
          <cell r="Q1013">
            <v>0</v>
          </cell>
          <cell r="R1013">
            <v>388.87</v>
          </cell>
          <cell r="S1013">
            <v>74.78</v>
          </cell>
          <cell r="T1013">
            <v>343.26</v>
          </cell>
          <cell r="U1013">
            <v>134.61000000000001</v>
          </cell>
          <cell r="V1013">
            <v>48.46</v>
          </cell>
          <cell r="W1013">
            <v>53.84</v>
          </cell>
          <cell r="X1013">
            <v>51.07</v>
          </cell>
          <cell r="Y1013">
            <v>0</v>
          </cell>
          <cell r="Z1013">
            <v>69.2</v>
          </cell>
          <cell r="AA1013">
            <v>77</v>
          </cell>
          <cell r="AB1013">
            <v>96</v>
          </cell>
          <cell r="AC1013">
            <v>80</v>
          </cell>
          <cell r="AD1013">
            <v>13.49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Y1013">
            <v>1335780.72</v>
          </cell>
        </row>
        <row r="1014">
          <cell r="A1014">
            <v>2</v>
          </cell>
          <cell r="B1014" t="str">
            <v>12</v>
          </cell>
          <cell r="C1014" t="str">
            <v>000</v>
          </cell>
          <cell r="D1014" t="str">
            <v>1</v>
          </cell>
          <cell r="E1014" t="str">
            <v>701</v>
          </cell>
          <cell r="F1014" t="str">
            <v>N000</v>
          </cell>
          <cell r="G1014" t="str">
            <v>511</v>
          </cell>
          <cell r="H1014" t="str">
            <v>1103</v>
          </cell>
          <cell r="I1014" t="str">
            <v>CF04807</v>
          </cell>
          <cell r="J1014" t="str">
            <v>27Z</v>
          </cell>
          <cell r="K1014" t="str">
            <v>2</v>
          </cell>
          <cell r="L1014">
            <v>7</v>
          </cell>
          <cell r="M1014">
            <v>0</v>
          </cell>
          <cell r="N1014">
            <v>2900.25</v>
          </cell>
          <cell r="O1014" t="str">
            <v>M</v>
          </cell>
          <cell r="P1014" t="str">
            <v>00000000</v>
          </cell>
          <cell r="Q1014">
            <v>205.15</v>
          </cell>
          <cell r="R1014">
            <v>418.93</v>
          </cell>
          <cell r="S1014">
            <v>80.56</v>
          </cell>
          <cell r="T1014">
            <v>369.78</v>
          </cell>
          <cell r="U1014">
            <v>145.01</v>
          </cell>
          <cell r="V1014">
            <v>55.89</v>
          </cell>
          <cell r="W1014">
            <v>58.01</v>
          </cell>
          <cell r="X1014">
            <v>50.86</v>
          </cell>
          <cell r="Y1014">
            <v>0</v>
          </cell>
          <cell r="Z1014">
            <v>78.17</v>
          </cell>
          <cell r="AA1014">
            <v>77</v>
          </cell>
          <cell r="AB1014">
            <v>96</v>
          </cell>
          <cell r="AC1014">
            <v>80</v>
          </cell>
          <cell r="AD1014">
            <v>13.49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Y1014">
            <v>388844.4</v>
          </cell>
        </row>
        <row r="1015">
          <cell r="A1015">
            <v>2</v>
          </cell>
          <cell r="B1015" t="str">
            <v>12</v>
          </cell>
          <cell r="C1015" t="str">
            <v>000</v>
          </cell>
          <cell r="D1015" t="str">
            <v>1</v>
          </cell>
          <cell r="E1015" t="str">
            <v>701</v>
          </cell>
          <cell r="F1015" t="str">
            <v>N000</v>
          </cell>
          <cell r="G1015" t="str">
            <v>511</v>
          </cell>
          <cell r="H1015" t="str">
            <v>1103</v>
          </cell>
          <cell r="I1015" t="str">
            <v>CF04808</v>
          </cell>
          <cell r="J1015" t="str">
            <v>27ZA</v>
          </cell>
          <cell r="K1015" t="str">
            <v>2</v>
          </cell>
          <cell r="L1015">
            <v>5</v>
          </cell>
          <cell r="M1015">
            <v>0</v>
          </cell>
          <cell r="N1015">
            <v>2982.9</v>
          </cell>
          <cell r="O1015" t="str">
            <v>M</v>
          </cell>
          <cell r="P1015" t="str">
            <v>00000000</v>
          </cell>
          <cell r="Q1015">
            <v>579.4</v>
          </cell>
          <cell r="R1015">
            <v>430.86</v>
          </cell>
          <cell r="S1015">
            <v>82.86</v>
          </cell>
          <cell r="T1015">
            <v>380.32</v>
          </cell>
          <cell r="U1015">
            <v>149.15</v>
          </cell>
          <cell r="V1015">
            <v>64.12</v>
          </cell>
          <cell r="W1015">
            <v>59.66</v>
          </cell>
          <cell r="X1015">
            <v>9.1999999999999993</v>
          </cell>
          <cell r="Y1015">
            <v>0</v>
          </cell>
          <cell r="Z1015">
            <v>86.76</v>
          </cell>
          <cell r="AA1015">
            <v>77</v>
          </cell>
          <cell r="AB1015">
            <v>96</v>
          </cell>
          <cell r="AC1015">
            <v>80</v>
          </cell>
          <cell r="AD1015">
            <v>13.49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Y1015">
            <v>305503.2</v>
          </cell>
        </row>
        <row r="1016">
          <cell r="A1016">
            <v>2</v>
          </cell>
          <cell r="B1016" t="str">
            <v>12</v>
          </cell>
          <cell r="C1016" t="str">
            <v>000</v>
          </cell>
          <cell r="D1016" t="str">
            <v>1</v>
          </cell>
          <cell r="E1016" t="str">
            <v>701</v>
          </cell>
          <cell r="F1016" t="str">
            <v>N000</v>
          </cell>
          <cell r="G1016" t="str">
            <v>511</v>
          </cell>
          <cell r="H1016" t="str">
            <v>1103</v>
          </cell>
          <cell r="I1016" t="str">
            <v>CF04809</v>
          </cell>
          <cell r="J1016" t="str">
            <v>27ZB</v>
          </cell>
          <cell r="K1016" t="str">
            <v>2</v>
          </cell>
          <cell r="L1016">
            <v>1</v>
          </cell>
          <cell r="M1016">
            <v>0</v>
          </cell>
          <cell r="N1016">
            <v>3008.65</v>
          </cell>
          <cell r="O1016" t="str">
            <v>M</v>
          </cell>
          <cell r="P1016" t="str">
            <v>00000000</v>
          </cell>
          <cell r="Q1016">
            <v>857</v>
          </cell>
          <cell r="R1016">
            <v>434.58</v>
          </cell>
          <cell r="S1016">
            <v>83.57</v>
          </cell>
          <cell r="T1016">
            <v>383.6</v>
          </cell>
          <cell r="U1016">
            <v>150.43</v>
          </cell>
          <cell r="V1016">
            <v>69.59</v>
          </cell>
          <cell r="W1016">
            <v>60.17</v>
          </cell>
          <cell r="X1016">
            <v>0</v>
          </cell>
          <cell r="Y1016">
            <v>0</v>
          </cell>
          <cell r="Z1016">
            <v>92.74</v>
          </cell>
          <cell r="AA1016">
            <v>77</v>
          </cell>
          <cell r="AB1016">
            <v>96</v>
          </cell>
          <cell r="AC1016">
            <v>80</v>
          </cell>
          <cell r="AD1016">
            <v>13.49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Y1016">
            <v>64881.84</v>
          </cell>
        </row>
        <row r="1017">
          <cell r="A1017">
            <v>2</v>
          </cell>
          <cell r="B1017" t="str">
            <v>12</v>
          </cell>
          <cell r="C1017" t="str">
            <v>000</v>
          </cell>
          <cell r="D1017" t="str">
            <v>1</v>
          </cell>
          <cell r="E1017" t="str">
            <v>701</v>
          </cell>
          <cell r="F1017" t="str">
            <v>N000</v>
          </cell>
          <cell r="G1017" t="str">
            <v>511</v>
          </cell>
          <cell r="H1017" t="str">
            <v>1103</v>
          </cell>
          <cell r="I1017" t="str">
            <v>CF06827</v>
          </cell>
          <cell r="J1017" t="str">
            <v>22</v>
          </cell>
          <cell r="K1017" t="str">
            <v>2</v>
          </cell>
          <cell r="L1017">
            <v>4</v>
          </cell>
          <cell r="M1017">
            <v>0</v>
          </cell>
          <cell r="N1017">
            <v>2342.3000000000002</v>
          </cell>
          <cell r="O1017" t="str">
            <v>M</v>
          </cell>
          <cell r="P1017" t="str">
            <v>00000000</v>
          </cell>
          <cell r="Q1017">
            <v>0</v>
          </cell>
          <cell r="R1017">
            <v>338.33</v>
          </cell>
          <cell r="S1017">
            <v>65.06</v>
          </cell>
          <cell r="T1017">
            <v>298.64</v>
          </cell>
          <cell r="U1017">
            <v>117.12</v>
          </cell>
          <cell r="V1017">
            <v>42.16</v>
          </cell>
          <cell r="W1017">
            <v>46.85</v>
          </cell>
          <cell r="X1017">
            <v>0</v>
          </cell>
          <cell r="Y1017">
            <v>0</v>
          </cell>
          <cell r="Z1017">
            <v>59.97</v>
          </cell>
          <cell r="AA1017">
            <v>77</v>
          </cell>
          <cell r="AB1017">
            <v>96</v>
          </cell>
          <cell r="AC1017">
            <v>80</v>
          </cell>
          <cell r="AD1017">
            <v>13.49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Y1017">
            <v>171692.16</v>
          </cell>
        </row>
        <row r="1018">
          <cell r="A1018">
            <v>2</v>
          </cell>
          <cell r="B1018" t="str">
            <v>12</v>
          </cell>
          <cell r="C1018" t="str">
            <v>000</v>
          </cell>
          <cell r="D1018" t="str">
            <v>1</v>
          </cell>
          <cell r="E1018" t="str">
            <v>701</v>
          </cell>
          <cell r="F1018" t="str">
            <v>N000</v>
          </cell>
          <cell r="G1018" t="str">
            <v>511</v>
          </cell>
          <cell r="H1018" t="str">
            <v>1103</v>
          </cell>
          <cell r="I1018" t="str">
            <v>CF08822</v>
          </cell>
          <cell r="J1018" t="str">
            <v>23</v>
          </cell>
          <cell r="K1018" t="str">
            <v>2</v>
          </cell>
          <cell r="L1018">
            <v>4</v>
          </cell>
          <cell r="M1018">
            <v>0</v>
          </cell>
          <cell r="N1018">
            <v>2451.25</v>
          </cell>
          <cell r="O1018" t="str">
            <v>M</v>
          </cell>
          <cell r="P1018" t="str">
            <v>00000000</v>
          </cell>
          <cell r="Q1018">
            <v>0</v>
          </cell>
          <cell r="R1018">
            <v>354.07</v>
          </cell>
          <cell r="S1018">
            <v>68.09</v>
          </cell>
          <cell r="T1018">
            <v>312.52999999999997</v>
          </cell>
          <cell r="U1018">
            <v>122.56</v>
          </cell>
          <cell r="V1018">
            <v>44.12</v>
          </cell>
          <cell r="W1018">
            <v>49.02</v>
          </cell>
          <cell r="X1018">
            <v>68.25</v>
          </cell>
          <cell r="Y1018">
            <v>0</v>
          </cell>
          <cell r="Z1018">
            <v>63.89</v>
          </cell>
          <cell r="AA1018">
            <v>77</v>
          </cell>
          <cell r="AB1018">
            <v>96</v>
          </cell>
          <cell r="AC1018">
            <v>80</v>
          </cell>
          <cell r="AD1018">
            <v>13.49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Y1018">
            <v>182412.96</v>
          </cell>
        </row>
        <row r="1019">
          <cell r="A1019">
            <v>2</v>
          </cell>
          <cell r="B1019" t="str">
            <v>12</v>
          </cell>
          <cell r="C1019" t="str">
            <v>000</v>
          </cell>
          <cell r="D1019" t="str">
            <v>1</v>
          </cell>
          <cell r="E1019" t="str">
            <v>701</v>
          </cell>
          <cell r="F1019" t="str">
            <v>N000</v>
          </cell>
          <cell r="G1019" t="str">
            <v>511</v>
          </cell>
          <cell r="H1019" t="str">
            <v>1103</v>
          </cell>
          <cell r="I1019" t="str">
            <v>CF11812</v>
          </cell>
          <cell r="J1019" t="str">
            <v>27Z</v>
          </cell>
          <cell r="K1019" t="str">
            <v>2</v>
          </cell>
          <cell r="L1019">
            <v>1</v>
          </cell>
          <cell r="M1019">
            <v>0</v>
          </cell>
          <cell r="N1019">
            <v>2900.25</v>
          </cell>
          <cell r="O1019" t="str">
            <v>M</v>
          </cell>
          <cell r="P1019" t="str">
            <v>00000000</v>
          </cell>
          <cell r="Q1019">
            <v>205.15</v>
          </cell>
          <cell r="R1019">
            <v>418.93</v>
          </cell>
          <cell r="S1019">
            <v>80.56</v>
          </cell>
          <cell r="T1019">
            <v>369.78</v>
          </cell>
          <cell r="U1019">
            <v>145.01</v>
          </cell>
          <cell r="V1019">
            <v>55.89</v>
          </cell>
          <cell r="W1019">
            <v>58.01</v>
          </cell>
          <cell r="X1019">
            <v>0</v>
          </cell>
          <cell r="Y1019">
            <v>0</v>
          </cell>
          <cell r="Z1019">
            <v>77.16</v>
          </cell>
          <cell r="AA1019">
            <v>77</v>
          </cell>
          <cell r="AB1019">
            <v>96</v>
          </cell>
          <cell r="AC1019">
            <v>80</v>
          </cell>
          <cell r="AD1019">
            <v>13.49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Y1019">
            <v>54926.76</v>
          </cell>
        </row>
        <row r="1020">
          <cell r="A1020">
            <v>2</v>
          </cell>
          <cell r="B1020" t="str">
            <v>12</v>
          </cell>
          <cell r="C1020" t="str">
            <v>000</v>
          </cell>
          <cell r="D1020" t="str">
            <v>1</v>
          </cell>
          <cell r="E1020" t="str">
            <v>701</v>
          </cell>
          <cell r="F1020" t="str">
            <v>N000</v>
          </cell>
          <cell r="G1020" t="str">
            <v>511</v>
          </cell>
          <cell r="H1020" t="str">
            <v>1103</v>
          </cell>
          <cell r="I1020" t="str">
            <v>CF21807</v>
          </cell>
          <cell r="J1020" t="str">
            <v>26</v>
          </cell>
          <cell r="K1020" t="str">
            <v>2</v>
          </cell>
          <cell r="L1020">
            <v>1</v>
          </cell>
          <cell r="M1020">
            <v>0</v>
          </cell>
          <cell r="N1020">
            <v>2692.2</v>
          </cell>
          <cell r="O1020" t="str">
            <v>M</v>
          </cell>
          <cell r="P1020" t="str">
            <v>00000000</v>
          </cell>
          <cell r="Q1020">
            <v>0</v>
          </cell>
          <cell r="R1020">
            <v>388.87</v>
          </cell>
          <cell r="S1020">
            <v>74.78</v>
          </cell>
          <cell r="T1020">
            <v>343.26</v>
          </cell>
          <cell r="U1020">
            <v>134.61000000000001</v>
          </cell>
          <cell r="V1020">
            <v>48.46</v>
          </cell>
          <cell r="W1020">
            <v>53.84</v>
          </cell>
          <cell r="X1020">
            <v>82</v>
          </cell>
          <cell r="Y1020">
            <v>0</v>
          </cell>
          <cell r="Z1020">
            <v>69.819999999999993</v>
          </cell>
          <cell r="AA1020">
            <v>77</v>
          </cell>
          <cell r="AB1020">
            <v>96</v>
          </cell>
          <cell r="AC1020">
            <v>80</v>
          </cell>
          <cell r="AD1020">
            <v>13.49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Y1020">
            <v>49851.96</v>
          </cell>
        </row>
        <row r="1021">
          <cell r="A1021">
            <v>2</v>
          </cell>
          <cell r="B1021" t="str">
            <v>12</v>
          </cell>
          <cell r="C1021" t="str">
            <v>000</v>
          </cell>
          <cell r="D1021" t="str">
            <v>1</v>
          </cell>
          <cell r="E1021" t="str">
            <v>701</v>
          </cell>
          <cell r="F1021" t="str">
            <v>N000</v>
          </cell>
          <cell r="G1021" t="str">
            <v>511</v>
          </cell>
          <cell r="H1021" t="str">
            <v>1103</v>
          </cell>
          <cell r="I1021" t="str">
            <v>CF21856</v>
          </cell>
          <cell r="J1021" t="str">
            <v>27Z</v>
          </cell>
          <cell r="K1021" t="str">
            <v>2</v>
          </cell>
          <cell r="L1021">
            <v>3</v>
          </cell>
          <cell r="M1021">
            <v>0</v>
          </cell>
          <cell r="N1021">
            <v>2900.25</v>
          </cell>
          <cell r="O1021" t="str">
            <v>M</v>
          </cell>
          <cell r="P1021" t="str">
            <v>00000000</v>
          </cell>
          <cell r="Q1021">
            <v>205.15</v>
          </cell>
          <cell r="R1021">
            <v>418.93</v>
          </cell>
          <cell r="S1021">
            <v>80.56</v>
          </cell>
          <cell r="T1021">
            <v>369.78</v>
          </cell>
          <cell r="U1021">
            <v>145.01</v>
          </cell>
          <cell r="V1021">
            <v>55.89</v>
          </cell>
          <cell r="W1021">
            <v>58.01</v>
          </cell>
          <cell r="X1021">
            <v>42.67</v>
          </cell>
          <cell r="Y1021">
            <v>0</v>
          </cell>
          <cell r="Z1021">
            <v>78.010000000000005</v>
          </cell>
          <cell r="AA1021">
            <v>77</v>
          </cell>
          <cell r="AB1021">
            <v>96</v>
          </cell>
          <cell r="AC1021">
            <v>80</v>
          </cell>
          <cell r="AD1021">
            <v>13.49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Y1021">
            <v>166347</v>
          </cell>
        </row>
        <row r="1022">
          <cell r="A1022">
            <v>2</v>
          </cell>
          <cell r="B1022" t="str">
            <v>12</v>
          </cell>
          <cell r="C1022" t="str">
            <v>000</v>
          </cell>
          <cell r="D1022" t="str">
            <v>1</v>
          </cell>
          <cell r="E1022" t="str">
            <v>701</v>
          </cell>
          <cell r="F1022" t="str">
            <v>N000</v>
          </cell>
          <cell r="G1022" t="str">
            <v>511</v>
          </cell>
          <cell r="H1022" t="str">
            <v>1103</v>
          </cell>
          <cell r="I1022" t="str">
            <v>CF21858</v>
          </cell>
          <cell r="J1022" t="str">
            <v>27ZA</v>
          </cell>
          <cell r="K1022" t="str">
            <v>2</v>
          </cell>
          <cell r="L1022">
            <v>4</v>
          </cell>
          <cell r="M1022">
            <v>0</v>
          </cell>
          <cell r="N1022">
            <v>2982.9</v>
          </cell>
          <cell r="O1022" t="str">
            <v>M</v>
          </cell>
          <cell r="P1022" t="str">
            <v>00000000</v>
          </cell>
          <cell r="Q1022">
            <v>579.4</v>
          </cell>
          <cell r="R1022">
            <v>430.86</v>
          </cell>
          <cell r="S1022">
            <v>82.86</v>
          </cell>
          <cell r="T1022">
            <v>380.32</v>
          </cell>
          <cell r="U1022">
            <v>149.15</v>
          </cell>
          <cell r="V1022">
            <v>64.12</v>
          </cell>
          <cell r="W1022">
            <v>59.66</v>
          </cell>
          <cell r="X1022">
            <v>47.75</v>
          </cell>
          <cell r="Y1022">
            <v>0</v>
          </cell>
          <cell r="Z1022">
            <v>87.54</v>
          </cell>
          <cell r="AA1022">
            <v>77</v>
          </cell>
          <cell r="AB1022">
            <v>96</v>
          </cell>
          <cell r="AC1022">
            <v>80</v>
          </cell>
          <cell r="AD1022">
            <v>13.49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Y1022">
            <v>246290.4</v>
          </cell>
        </row>
        <row r="1023">
          <cell r="A1023">
            <v>2</v>
          </cell>
          <cell r="B1023" t="str">
            <v>12</v>
          </cell>
          <cell r="C1023" t="str">
            <v>000</v>
          </cell>
          <cell r="D1023" t="str">
            <v>1</v>
          </cell>
          <cell r="E1023" t="str">
            <v>701</v>
          </cell>
          <cell r="F1023" t="str">
            <v>N000</v>
          </cell>
          <cell r="G1023" t="str">
            <v>511</v>
          </cell>
          <cell r="H1023" t="str">
            <v>1103</v>
          </cell>
          <cell r="I1023" t="str">
            <v>CF21859</v>
          </cell>
          <cell r="J1023" t="str">
            <v>27ZB</v>
          </cell>
          <cell r="K1023" t="str">
            <v>2</v>
          </cell>
          <cell r="L1023">
            <v>6</v>
          </cell>
          <cell r="M1023">
            <v>0</v>
          </cell>
          <cell r="N1023">
            <v>3008.65</v>
          </cell>
          <cell r="O1023" t="str">
            <v>M</v>
          </cell>
          <cell r="P1023" t="str">
            <v>00000000</v>
          </cell>
          <cell r="Q1023">
            <v>857</v>
          </cell>
          <cell r="R1023">
            <v>434.58</v>
          </cell>
          <cell r="S1023">
            <v>83.57</v>
          </cell>
          <cell r="T1023">
            <v>383.6</v>
          </cell>
          <cell r="U1023">
            <v>150.43</v>
          </cell>
          <cell r="V1023">
            <v>69.59</v>
          </cell>
          <cell r="W1023">
            <v>60.17</v>
          </cell>
          <cell r="X1023">
            <v>53</v>
          </cell>
          <cell r="Y1023">
            <v>0</v>
          </cell>
          <cell r="Z1023">
            <v>93.8</v>
          </cell>
          <cell r="AA1023">
            <v>77</v>
          </cell>
          <cell r="AB1023">
            <v>96</v>
          </cell>
          <cell r="AC1023">
            <v>80</v>
          </cell>
          <cell r="AD1023">
            <v>13.49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Y1023">
            <v>393183.36</v>
          </cell>
        </row>
        <row r="1024">
          <cell r="A1024">
            <v>2</v>
          </cell>
          <cell r="B1024" t="str">
            <v>12</v>
          </cell>
          <cell r="C1024" t="str">
            <v>000</v>
          </cell>
          <cell r="D1024" t="str">
            <v>1</v>
          </cell>
          <cell r="E1024" t="str">
            <v>701</v>
          </cell>
          <cell r="F1024" t="str">
            <v>N000</v>
          </cell>
          <cell r="G1024" t="str">
            <v>511</v>
          </cell>
          <cell r="H1024" t="str">
            <v>1103</v>
          </cell>
          <cell r="I1024" t="str">
            <v>CF21864</v>
          </cell>
          <cell r="J1024" t="str">
            <v>27C</v>
          </cell>
          <cell r="K1024" t="str">
            <v>1</v>
          </cell>
          <cell r="L1024">
            <v>17</v>
          </cell>
          <cell r="M1024">
            <v>0</v>
          </cell>
          <cell r="N1024">
            <v>3268.2</v>
          </cell>
          <cell r="O1024" t="str">
            <v>M</v>
          </cell>
          <cell r="P1024" t="str">
            <v>00000000</v>
          </cell>
          <cell r="Q1024">
            <v>4783.05</v>
          </cell>
          <cell r="R1024">
            <v>472.07</v>
          </cell>
          <cell r="S1024">
            <v>90.78</v>
          </cell>
          <cell r="T1024">
            <v>416.7</v>
          </cell>
          <cell r="U1024">
            <v>163.41</v>
          </cell>
          <cell r="V1024">
            <v>144.91999999999999</v>
          </cell>
          <cell r="W1024">
            <v>65.36</v>
          </cell>
          <cell r="X1024">
            <v>17.760000000000002</v>
          </cell>
          <cell r="Y1024">
            <v>0</v>
          </cell>
          <cell r="Z1024">
            <v>174.18</v>
          </cell>
          <cell r="AA1024">
            <v>77</v>
          </cell>
          <cell r="AB1024">
            <v>0</v>
          </cell>
          <cell r="AC1024">
            <v>0</v>
          </cell>
          <cell r="AD1024">
            <v>13.49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Y1024">
            <v>1976131.68</v>
          </cell>
        </row>
        <row r="1025">
          <cell r="A1025">
            <v>2</v>
          </cell>
          <cell r="B1025" t="str">
            <v>12</v>
          </cell>
          <cell r="C1025" t="str">
            <v>000</v>
          </cell>
          <cell r="D1025" t="str">
            <v>1</v>
          </cell>
          <cell r="E1025" t="str">
            <v>701</v>
          </cell>
          <cell r="F1025" t="str">
            <v>N000</v>
          </cell>
          <cell r="G1025" t="str">
            <v>511</v>
          </cell>
          <cell r="H1025" t="str">
            <v>1103</v>
          </cell>
          <cell r="I1025" t="str">
            <v>CF21865</v>
          </cell>
          <cell r="J1025" t="str">
            <v>27B</v>
          </cell>
          <cell r="K1025" t="str">
            <v>1</v>
          </cell>
          <cell r="L1025">
            <v>3</v>
          </cell>
          <cell r="M1025">
            <v>0</v>
          </cell>
          <cell r="N1025">
            <v>3222.2</v>
          </cell>
          <cell r="O1025" t="str">
            <v>M</v>
          </cell>
          <cell r="P1025" t="str">
            <v>00000000</v>
          </cell>
          <cell r="Q1025">
            <v>3558.85</v>
          </cell>
          <cell r="R1025">
            <v>465.43</v>
          </cell>
          <cell r="S1025">
            <v>89.51</v>
          </cell>
          <cell r="T1025">
            <v>410.83</v>
          </cell>
          <cell r="U1025">
            <v>161.11000000000001</v>
          </cell>
          <cell r="V1025">
            <v>122.06</v>
          </cell>
          <cell r="W1025">
            <v>64.44</v>
          </cell>
          <cell r="X1025">
            <v>30.67</v>
          </cell>
          <cell r="Y1025">
            <v>0</v>
          </cell>
          <cell r="Z1025">
            <v>148.87</v>
          </cell>
          <cell r="AA1025">
            <v>77</v>
          </cell>
          <cell r="AB1025">
            <v>0</v>
          </cell>
          <cell r="AC1025">
            <v>0</v>
          </cell>
          <cell r="AD1025">
            <v>13.49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Y1025">
            <v>301120.56</v>
          </cell>
        </row>
        <row r="1026">
          <cell r="A1026">
            <v>2</v>
          </cell>
          <cell r="B1026" t="str">
            <v>12</v>
          </cell>
          <cell r="C1026" t="str">
            <v>000</v>
          </cell>
          <cell r="D1026" t="str">
            <v>1</v>
          </cell>
          <cell r="E1026" t="str">
            <v>701</v>
          </cell>
          <cell r="F1026" t="str">
            <v>N000</v>
          </cell>
          <cell r="G1026" t="str">
            <v>511</v>
          </cell>
          <cell r="H1026" t="str">
            <v>1103</v>
          </cell>
          <cell r="I1026" t="str">
            <v>CF33834</v>
          </cell>
          <cell r="J1026" t="str">
            <v>27</v>
          </cell>
          <cell r="K1026" t="str">
            <v>2</v>
          </cell>
          <cell r="L1026">
            <v>22</v>
          </cell>
          <cell r="M1026">
            <v>0</v>
          </cell>
          <cell r="N1026">
            <v>2817.8</v>
          </cell>
          <cell r="O1026" t="str">
            <v>M</v>
          </cell>
          <cell r="P1026" t="str">
            <v>00000000</v>
          </cell>
          <cell r="Q1026">
            <v>0</v>
          </cell>
          <cell r="R1026">
            <v>407.02</v>
          </cell>
          <cell r="S1026">
            <v>78.27</v>
          </cell>
          <cell r="T1026">
            <v>359.27</v>
          </cell>
          <cell r="U1026">
            <v>140.88999999999999</v>
          </cell>
          <cell r="V1026">
            <v>50.72</v>
          </cell>
          <cell r="W1026">
            <v>56.36</v>
          </cell>
          <cell r="X1026">
            <v>65.5</v>
          </cell>
          <cell r="Y1026">
            <v>0</v>
          </cell>
          <cell r="Z1026">
            <v>72.430000000000007</v>
          </cell>
          <cell r="AA1026">
            <v>77</v>
          </cell>
          <cell r="AB1026">
            <v>96</v>
          </cell>
          <cell r="AC1026">
            <v>80</v>
          </cell>
          <cell r="AD1026">
            <v>13.49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Y1026">
            <v>1139094</v>
          </cell>
        </row>
        <row r="1027">
          <cell r="A1027">
            <v>2</v>
          </cell>
          <cell r="B1027" t="str">
            <v>12</v>
          </cell>
          <cell r="C1027" t="str">
            <v>000</v>
          </cell>
          <cell r="D1027" t="str">
            <v>1</v>
          </cell>
          <cell r="E1027" t="str">
            <v>701</v>
          </cell>
          <cell r="F1027" t="str">
            <v>N000</v>
          </cell>
          <cell r="G1027" t="str">
            <v>511</v>
          </cell>
          <cell r="H1027" t="str">
            <v>1103</v>
          </cell>
          <cell r="I1027" t="str">
            <v>CF33892</v>
          </cell>
          <cell r="J1027" t="str">
            <v>27ZA</v>
          </cell>
          <cell r="K1027" t="str">
            <v>2</v>
          </cell>
          <cell r="L1027">
            <v>188</v>
          </cell>
          <cell r="M1027">
            <v>0</v>
          </cell>
          <cell r="N1027">
            <v>2982.9</v>
          </cell>
          <cell r="O1027" t="str">
            <v>M</v>
          </cell>
          <cell r="P1027" t="str">
            <v>00000000</v>
          </cell>
          <cell r="Q1027">
            <v>579.4</v>
          </cell>
          <cell r="R1027">
            <v>430.86</v>
          </cell>
          <cell r="S1027">
            <v>82.86</v>
          </cell>
          <cell r="T1027">
            <v>380.32</v>
          </cell>
          <cell r="U1027">
            <v>149.15</v>
          </cell>
          <cell r="V1027">
            <v>64.12</v>
          </cell>
          <cell r="W1027">
            <v>59.66</v>
          </cell>
          <cell r="X1027">
            <v>62.32</v>
          </cell>
          <cell r="Y1027">
            <v>0</v>
          </cell>
          <cell r="Z1027">
            <v>87.83</v>
          </cell>
          <cell r="AA1027">
            <v>77</v>
          </cell>
          <cell r="AB1027">
            <v>96</v>
          </cell>
          <cell r="AC1027">
            <v>80</v>
          </cell>
          <cell r="AD1027">
            <v>13.49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Y1027">
            <v>11609172.960000001</v>
          </cell>
        </row>
        <row r="1028">
          <cell r="A1028">
            <v>2</v>
          </cell>
          <cell r="B1028" t="str">
            <v>12</v>
          </cell>
          <cell r="C1028" t="str">
            <v>000</v>
          </cell>
          <cell r="D1028" t="str">
            <v>1</v>
          </cell>
          <cell r="E1028" t="str">
            <v>701</v>
          </cell>
          <cell r="F1028" t="str">
            <v>N000</v>
          </cell>
          <cell r="G1028" t="str">
            <v>511</v>
          </cell>
          <cell r="H1028" t="str">
            <v>1103</v>
          </cell>
          <cell r="I1028" t="str">
            <v>CF34806</v>
          </cell>
          <cell r="J1028" t="str">
            <v>23</v>
          </cell>
          <cell r="K1028" t="str">
            <v>2</v>
          </cell>
          <cell r="L1028">
            <v>3</v>
          </cell>
          <cell r="M1028">
            <v>0</v>
          </cell>
          <cell r="N1028">
            <v>2451.25</v>
          </cell>
          <cell r="O1028" t="str">
            <v>M</v>
          </cell>
          <cell r="P1028" t="str">
            <v>00000000</v>
          </cell>
          <cell r="Q1028">
            <v>0</v>
          </cell>
          <cell r="R1028">
            <v>354.07</v>
          </cell>
          <cell r="S1028">
            <v>68.09</v>
          </cell>
          <cell r="T1028">
            <v>312.52999999999997</v>
          </cell>
          <cell r="U1028">
            <v>122.56</v>
          </cell>
          <cell r="V1028">
            <v>44.12</v>
          </cell>
          <cell r="W1028">
            <v>49.02</v>
          </cell>
          <cell r="X1028">
            <v>0</v>
          </cell>
          <cell r="Y1028">
            <v>0</v>
          </cell>
          <cell r="Z1028">
            <v>62.53</v>
          </cell>
          <cell r="AA1028">
            <v>77</v>
          </cell>
          <cell r="AB1028">
            <v>96</v>
          </cell>
          <cell r="AC1028">
            <v>80</v>
          </cell>
          <cell r="AD1028">
            <v>13.49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Y1028">
            <v>134303.76</v>
          </cell>
        </row>
        <row r="1029">
          <cell r="A1029">
            <v>2</v>
          </cell>
          <cell r="B1029" t="str">
            <v>12</v>
          </cell>
          <cell r="C1029" t="str">
            <v>000</v>
          </cell>
          <cell r="D1029" t="str">
            <v>1</v>
          </cell>
          <cell r="E1029" t="str">
            <v>701</v>
          </cell>
          <cell r="F1029" t="str">
            <v>N000</v>
          </cell>
          <cell r="G1029" t="str">
            <v>511</v>
          </cell>
          <cell r="H1029" t="str">
            <v>1103</v>
          </cell>
          <cell r="I1029" t="str">
            <v>CF41040</v>
          </cell>
          <cell r="K1029" t="str">
            <v>2</v>
          </cell>
          <cell r="L1029">
            <v>9</v>
          </cell>
          <cell r="M1029">
            <v>0</v>
          </cell>
          <cell r="N1029">
            <v>7482</v>
          </cell>
          <cell r="O1029" t="str">
            <v>M</v>
          </cell>
          <cell r="P1029" t="str">
            <v>00000000</v>
          </cell>
          <cell r="Q1029">
            <v>0</v>
          </cell>
          <cell r="R1029">
            <v>1080.73</v>
          </cell>
          <cell r="S1029">
            <v>207.83</v>
          </cell>
          <cell r="T1029">
            <v>953.96</v>
          </cell>
          <cell r="U1029">
            <v>374.1</v>
          </cell>
          <cell r="V1029">
            <v>134.68</v>
          </cell>
          <cell r="W1029">
            <v>149.63999999999999</v>
          </cell>
          <cell r="X1029">
            <v>33.56</v>
          </cell>
          <cell r="Y1029">
            <v>0</v>
          </cell>
          <cell r="Z1029">
            <v>289.89</v>
          </cell>
          <cell r="AA1029">
            <v>77</v>
          </cell>
          <cell r="AB1029">
            <v>96</v>
          </cell>
          <cell r="AC1029">
            <v>80</v>
          </cell>
          <cell r="AD1029">
            <v>13.49</v>
          </cell>
          <cell r="AE1029">
            <v>6.24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5431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Y1029">
            <v>1772292.96</v>
          </cell>
        </row>
        <row r="1030">
          <cell r="A1030">
            <v>2</v>
          </cell>
          <cell r="B1030" t="str">
            <v>12</v>
          </cell>
          <cell r="C1030" t="str">
            <v>000</v>
          </cell>
          <cell r="D1030" t="str">
            <v>1</v>
          </cell>
          <cell r="E1030" t="str">
            <v>701</v>
          </cell>
          <cell r="F1030" t="str">
            <v>N000</v>
          </cell>
          <cell r="G1030" t="str">
            <v>511</v>
          </cell>
          <cell r="H1030" t="str">
            <v>1103</v>
          </cell>
          <cell r="I1030" t="str">
            <v>CF53807</v>
          </cell>
          <cell r="J1030" t="str">
            <v>27Z</v>
          </cell>
          <cell r="K1030" t="str">
            <v>2</v>
          </cell>
          <cell r="L1030">
            <v>1</v>
          </cell>
          <cell r="M1030">
            <v>0</v>
          </cell>
          <cell r="N1030">
            <v>2900.25</v>
          </cell>
          <cell r="O1030" t="str">
            <v>M</v>
          </cell>
          <cell r="P1030" t="str">
            <v>00000000</v>
          </cell>
          <cell r="Q1030">
            <v>205.15</v>
          </cell>
          <cell r="R1030">
            <v>418.93</v>
          </cell>
          <cell r="S1030">
            <v>80.56</v>
          </cell>
          <cell r="T1030">
            <v>369.78</v>
          </cell>
          <cell r="U1030">
            <v>145.01</v>
          </cell>
          <cell r="V1030">
            <v>55.89</v>
          </cell>
          <cell r="W1030">
            <v>58.01</v>
          </cell>
          <cell r="X1030">
            <v>82</v>
          </cell>
          <cell r="Y1030">
            <v>0</v>
          </cell>
          <cell r="Z1030">
            <v>78.8</v>
          </cell>
          <cell r="AA1030">
            <v>77</v>
          </cell>
          <cell r="AB1030">
            <v>96</v>
          </cell>
          <cell r="AC1030">
            <v>80</v>
          </cell>
          <cell r="AD1030">
            <v>13.49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Y1030">
            <v>55930.44</v>
          </cell>
        </row>
        <row r="1031">
          <cell r="A1031">
            <v>2</v>
          </cell>
          <cell r="B1031" t="str">
            <v>12</v>
          </cell>
          <cell r="C1031" t="str">
            <v>000</v>
          </cell>
          <cell r="D1031" t="str">
            <v>1</v>
          </cell>
          <cell r="E1031" t="str">
            <v>701</v>
          </cell>
          <cell r="F1031" t="str">
            <v>N000</v>
          </cell>
          <cell r="G1031" t="str">
            <v>512</v>
          </cell>
          <cell r="H1031" t="str">
            <v>1103</v>
          </cell>
          <cell r="I1031" t="str">
            <v>A01803</v>
          </cell>
          <cell r="J1031" t="str">
            <v>19</v>
          </cell>
          <cell r="K1031" t="str">
            <v>2</v>
          </cell>
          <cell r="L1031">
            <v>1</v>
          </cell>
          <cell r="M1031">
            <v>0</v>
          </cell>
          <cell r="N1031">
            <v>2120.3000000000002</v>
          </cell>
          <cell r="O1031" t="str">
            <v>M</v>
          </cell>
          <cell r="P1031" t="str">
            <v>00000000</v>
          </cell>
          <cell r="Q1031">
            <v>0</v>
          </cell>
          <cell r="R1031">
            <v>306.27</v>
          </cell>
          <cell r="S1031">
            <v>58.9</v>
          </cell>
          <cell r="T1031">
            <v>270.33999999999997</v>
          </cell>
          <cell r="U1031">
            <v>106.02</v>
          </cell>
          <cell r="V1031">
            <v>38.17</v>
          </cell>
          <cell r="W1031">
            <v>42.41</v>
          </cell>
          <cell r="X1031">
            <v>46</v>
          </cell>
          <cell r="Y1031">
            <v>0</v>
          </cell>
          <cell r="Z1031">
            <v>55.69</v>
          </cell>
          <cell r="AA1031">
            <v>77</v>
          </cell>
          <cell r="AB1031">
            <v>96</v>
          </cell>
          <cell r="AC1031">
            <v>80</v>
          </cell>
          <cell r="AD1031">
            <v>13.49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Y1031">
            <v>39727.08</v>
          </cell>
        </row>
        <row r="1032">
          <cell r="A1032">
            <v>2</v>
          </cell>
          <cell r="B1032" t="str">
            <v>12</v>
          </cell>
          <cell r="C1032" t="str">
            <v>000</v>
          </cell>
          <cell r="D1032" t="str">
            <v>1</v>
          </cell>
          <cell r="E1032" t="str">
            <v>701</v>
          </cell>
          <cell r="F1032" t="str">
            <v>N000</v>
          </cell>
          <cell r="G1032" t="str">
            <v>512</v>
          </cell>
          <cell r="H1032" t="str">
            <v>1103</v>
          </cell>
          <cell r="I1032" t="str">
            <v>A01805</v>
          </cell>
          <cell r="J1032" t="str">
            <v>21</v>
          </cell>
          <cell r="K1032" t="str">
            <v>2</v>
          </cell>
          <cell r="L1032">
            <v>31</v>
          </cell>
          <cell r="M1032">
            <v>0</v>
          </cell>
          <cell r="N1032">
            <v>2238.1999999999998</v>
          </cell>
          <cell r="O1032" t="str">
            <v>M</v>
          </cell>
          <cell r="P1032" t="str">
            <v>00000000</v>
          </cell>
          <cell r="Q1032">
            <v>0</v>
          </cell>
          <cell r="R1032">
            <v>323.3</v>
          </cell>
          <cell r="S1032">
            <v>62.17</v>
          </cell>
          <cell r="T1032">
            <v>285.37</v>
          </cell>
          <cell r="U1032">
            <v>111.91</v>
          </cell>
          <cell r="V1032">
            <v>40.29</v>
          </cell>
          <cell r="W1032">
            <v>44.76</v>
          </cell>
          <cell r="X1032">
            <v>53.48</v>
          </cell>
          <cell r="Y1032">
            <v>0</v>
          </cell>
          <cell r="Z1032">
            <v>58.6</v>
          </cell>
          <cell r="AA1032">
            <v>77</v>
          </cell>
          <cell r="AB1032">
            <v>96</v>
          </cell>
          <cell r="AC1032">
            <v>80</v>
          </cell>
          <cell r="AD1032">
            <v>13.49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Y1032">
            <v>1296260.04</v>
          </cell>
        </row>
        <row r="1033">
          <cell r="A1033">
            <v>2</v>
          </cell>
          <cell r="B1033" t="str">
            <v>12</v>
          </cell>
          <cell r="C1033" t="str">
            <v>000</v>
          </cell>
          <cell r="D1033" t="str">
            <v>1</v>
          </cell>
          <cell r="E1033" t="str">
            <v>701</v>
          </cell>
          <cell r="F1033" t="str">
            <v>N000</v>
          </cell>
          <cell r="G1033" t="str">
            <v>512</v>
          </cell>
          <cell r="H1033" t="str">
            <v>1103</v>
          </cell>
          <cell r="I1033" t="str">
            <v>A01806</v>
          </cell>
          <cell r="J1033" t="str">
            <v>25</v>
          </cell>
          <cell r="K1033" t="str">
            <v>2</v>
          </cell>
          <cell r="L1033">
            <v>17</v>
          </cell>
          <cell r="M1033">
            <v>0</v>
          </cell>
          <cell r="N1033">
            <v>2572.4</v>
          </cell>
          <cell r="O1033" t="str">
            <v>M</v>
          </cell>
          <cell r="P1033" t="str">
            <v>00000000</v>
          </cell>
          <cell r="Q1033">
            <v>0</v>
          </cell>
          <cell r="R1033">
            <v>371.57</v>
          </cell>
          <cell r="S1033">
            <v>71.459999999999994</v>
          </cell>
          <cell r="T1033">
            <v>327.98</v>
          </cell>
          <cell r="U1033">
            <v>128.62</v>
          </cell>
          <cell r="V1033">
            <v>46.3</v>
          </cell>
          <cell r="W1033">
            <v>51.45</v>
          </cell>
          <cell r="X1033">
            <v>62.41</v>
          </cell>
          <cell r="Y1033">
            <v>0</v>
          </cell>
          <cell r="Z1033">
            <v>66.62</v>
          </cell>
          <cell r="AA1033">
            <v>77</v>
          </cell>
          <cell r="AB1033">
            <v>96</v>
          </cell>
          <cell r="AC1033">
            <v>80</v>
          </cell>
          <cell r="AD1033">
            <v>13.49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Y1033">
            <v>808921.2</v>
          </cell>
        </row>
        <row r="1034">
          <cell r="A1034">
            <v>2</v>
          </cell>
          <cell r="B1034" t="str">
            <v>12</v>
          </cell>
          <cell r="C1034" t="str">
            <v>000</v>
          </cell>
          <cell r="D1034" t="str">
            <v>1</v>
          </cell>
          <cell r="E1034" t="str">
            <v>701</v>
          </cell>
          <cell r="F1034" t="str">
            <v>N000</v>
          </cell>
          <cell r="G1034" t="str">
            <v>512</v>
          </cell>
          <cell r="H1034" t="str">
            <v>1103</v>
          </cell>
          <cell r="I1034" t="str">
            <v>A01807</v>
          </cell>
          <cell r="J1034" t="str">
            <v>27</v>
          </cell>
          <cell r="K1034" t="str">
            <v>2</v>
          </cell>
          <cell r="L1034">
            <v>116</v>
          </cell>
          <cell r="M1034">
            <v>0</v>
          </cell>
          <cell r="N1034">
            <v>2817.8</v>
          </cell>
          <cell r="O1034" t="str">
            <v>M</v>
          </cell>
          <cell r="P1034" t="str">
            <v>00000000</v>
          </cell>
          <cell r="Q1034">
            <v>0</v>
          </cell>
          <cell r="R1034">
            <v>407.02</v>
          </cell>
          <cell r="S1034">
            <v>78.27</v>
          </cell>
          <cell r="T1034">
            <v>359.27</v>
          </cell>
          <cell r="U1034">
            <v>140.88999999999999</v>
          </cell>
          <cell r="V1034">
            <v>50.72</v>
          </cell>
          <cell r="W1034">
            <v>56.36</v>
          </cell>
          <cell r="X1034">
            <v>59.25</v>
          </cell>
          <cell r="Y1034">
            <v>0</v>
          </cell>
          <cell r="Z1034">
            <v>72.31</v>
          </cell>
          <cell r="AA1034">
            <v>77</v>
          </cell>
          <cell r="AB1034">
            <v>96</v>
          </cell>
          <cell r="AC1034">
            <v>80</v>
          </cell>
          <cell r="AD1034">
            <v>13.49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Y1034">
            <v>5997264.96</v>
          </cell>
        </row>
        <row r="1035">
          <cell r="A1035">
            <v>2</v>
          </cell>
          <cell r="B1035" t="str">
            <v>12</v>
          </cell>
          <cell r="C1035" t="str">
            <v>000</v>
          </cell>
          <cell r="D1035" t="str">
            <v>1</v>
          </cell>
          <cell r="E1035" t="str">
            <v>701</v>
          </cell>
          <cell r="F1035" t="str">
            <v>N000</v>
          </cell>
          <cell r="G1035" t="str">
            <v>512</v>
          </cell>
          <cell r="H1035" t="str">
            <v>1103</v>
          </cell>
          <cell r="I1035" t="str">
            <v>A03803</v>
          </cell>
          <cell r="J1035" t="str">
            <v>20</v>
          </cell>
          <cell r="K1035" t="str">
            <v>2</v>
          </cell>
          <cell r="L1035">
            <v>3</v>
          </cell>
          <cell r="M1035">
            <v>0</v>
          </cell>
          <cell r="N1035">
            <v>2138.85</v>
          </cell>
          <cell r="O1035" t="str">
            <v>M</v>
          </cell>
          <cell r="P1035" t="str">
            <v>00000000</v>
          </cell>
          <cell r="Q1035">
            <v>0</v>
          </cell>
          <cell r="R1035">
            <v>308.94</v>
          </cell>
          <cell r="S1035">
            <v>59.41</v>
          </cell>
          <cell r="T1035">
            <v>272.7</v>
          </cell>
          <cell r="U1035">
            <v>106.94</v>
          </cell>
          <cell r="V1035">
            <v>38.5</v>
          </cell>
          <cell r="W1035">
            <v>42.78</v>
          </cell>
          <cell r="X1035">
            <v>52</v>
          </cell>
          <cell r="Y1035">
            <v>0</v>
          </cell>
          <cell r="Z1035">
            <v>56.24</v>
          </cell>
          <cell r="AA1035">
            <v>77</v>
          </cell>
          <cell r="AB1035">
            <v>96</v>
          </cell>
          <cell r="AC1035">
            <v>80</v>
          </cell>
          <cell r="AD1035">
            <v>13.49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Y1035">
            <v>120342.6</v>
          </cell>
        </row>
        <row r="1036">
          <cell r="A1036">
            <v>2</v>
          </cell>
          <cell r="B1036" t="str">
            <v>12</v>
          </cell>
          <cell r="C1036" t="str">
            <v>000</v>
          </cell>
          <cell r="D1036" t="str">
            <v>1</v>
          </cell>
          <cell r="E1036" t="str">
            <v>701</v>
          </cell>
          <cell r="F1036" t="str">
            <v>N000</v>
          </cell>
          <cell r="G1036" t="str">
            <v>512</v>
          </cell>
          <cell r="H1036" t="str">
            <v>1103</v>
          </cell>
          <cell r="I1036" t="str">
            <v>CFMC03</v>
          </cell>
          <cell r="J1036" t="str">
            <v>MC03</v>
          </cell>
          <cell r="K1036" t="str">
            <v>1</v>
          </cell>
          <cell r="L1036">
            <v>13</v>
          </cell>
          <cell r="M1036">
            <v>0</v>
          </cell>
          <cell r="N1036">
            <v>4311.3999999999996</v>
          </cell>
          <cell r="O1036" t="str">
            <v>M</v>
          </cell>
          <cell r="P1036" t="str">
            <v>00000000</v>
          </cell>
          <cell r="Q1036">
            <v>11306.9</v>
          </cell>
          <cell r="R1036">
            <v>622.76</v>
          </cell>
          <cell r="S1036">
            <v>119.76</v>
          </cell>
          <cell r="T1036">
            <v>549.70000000000005</v>
          </cell>
          <cell r="U1036">
            <v>215.57</v>
          </cell>
          <cell r="V1036">
            <v>281.13</v>
          </cell>
          <cell r="W1036">
            <v>86.23</v>
          </cell>
          <cell r="X1036">
            <v>59.08</v>
          </cell>
          <cell r="Y1036">
            <v>780.91</v>
          </cell>
          <cell r="Z1036">
            <v>329.94</v>
          </cell>
          <cell r="AA1036">
            <v>77</v>
          </cell>
          <cell r="AB1036">
            <v>0</v>
          </cell>
          <cell r="AC1036">
            <v>0</v>
          </cell>
          <cell r="AD1036">
            <v>13.49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Y1036">
            <v>2925603.72</v>
          </cell>
        </row>
        <row r="1037">
          <cell r="A1037">
            <v>2</v>
          </cell>
          <cell r="B1037" t="str">
            <v>12</v>
          </cell>
          <cell r="C1037" t="str">
            <v>000</v>
          </cell>
          <cell r="D1037" t="str">
            <v>1</v>
          </cell>
          <cell r="E1037" t="str">
            <v>701</v>
          </cell>
          <cell r="F1037" t="str">
            <v>N000</v>
          </cell>
          <cell r="G1037" t="str">
            <v>512</v>
          </cell>
          <cell r="H1037" t="str">
            <v>1103</v>
          </cell>
          <cell r="I1037" t="str">
            <v>CFMD09</v>
          </cell>
          <cell r="J1037" t="str">
            <v>MD09</v>
          </cell>
          <cell r="K1037" t="str">
            <v>1</v>
          </cell>
          <cell r="L1037">
            <v>1</v>
          </cell>
          <cell r="M1037">
            <v>0</v>
          </cell>
          <cell r="N1037">
            <v>14852.65</v>
          </cell>
          <cell r="O1037" t="str">
            <v>M</v>
          </cell>
          <cell r="P1037" t="str">
            <v>00000000</v>
          </cell>
          <cell r="Q1037">
            <v>100991.65</v>
          </cell>
          <cell r="R1037">
            <v>2145.38</v>
          </cell>
          <cell r="S1037">
            <v>412.57</v>
          </cell>
          <cell r="T1037">
            <v>1893.71</v>
          </cell>
          <cell r="U1037">
            <v>742.63</v>
          </cell>
          <cell r="V1037">
            <v>2085.1999999999998</v>
          </cell>
          <cell r="W1037">
            <v>297.05</v>
          </cell>
          <cell r="X1037">
            <v>46</v>
          </cell>
          <cell r="Y1037">
            <v>5792.22</v>
          </cell>
          <cell r="Z1037">
            <v>2370.5100000000002</v>
          </cell>
          <cell r="AA1037">
            <v>77</v>
          </cell>
          <cell r="AB1037">
            <v>0</v>
          </cell>
          <cell r="AC1037">
            <v>0</v>
          </cell>
          <cell r="AD1037">
            <v>13.49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Y1037">
            <v>1580640.72</v>
          </cell>
        </row>
        <row r="1038">
          <cell r="A1038">
            <v>2</v>
          </cell>
          <cell r="B1038" t="str">
            <v>12</v>
          </cell>
          <cell r="C1038" t="str">
            <v>000</v>
          </cell>
          <cell r="D1038" t="str">
            <v>1</v>
          </cell>
          <cell r="E1038" t="str">
            <v>701</v>
          </cell>
          <cell r="F1038" t="str">
            <v>N000</v>
          </cell>
          <cell r="G1038" t="str">
            <v>512</v>
          </cell>
          <cell r="H1038" t="str">
            <v>1103</v>
          </cell>
          <cell r="I1038" t="str">
            <v>CFMG01</v>
          </cell>
          <cell r="J1038" t="str">
            <v>MG01</v>
          </cell>
          <cell r="K1038" t="str">
            <v>1</v>
          </cell>
          <cell r="L1038">
            <v>2</v>
          </cell>
          <cell r="M1038">
            <v>0</v>
          </cell>
          <cell r="N1038">
            <v>9641.4</v>
          </cell>
          <cell r="O1038" t="str">
            <v>M</v>
          </cell>
          <cell r="P1038" t="str">
            <v>00000000</v>
          </cell>
          <cell r="Q1038">
            <v>56872.15</v>
          </cell>
          <cell r="R1038">
            <v>1392.65</v>
          </cell>
          <cell r="S1038">
            <v>267.82</v>
          </cell>
          <cell r="T1038">
            <v>1229.28</v>
          </cell>
          <cell r="U1038">
            <v>482.07</v>
          </cell>
          <cell r="V1038">
            <v>1197.25</v>
          </cell>
          <cell r="W1038">
            <v>192.83</v>
          </cell>
          <cell r="X1038">
            <v>68.5</v>
          </cell>
          <cell r="Y1038">
            <v>3325.68</v>
          </cell>
          <cell r="Z1038">
            <v>1366.39</v>
          </cell>
          <cell r="AA1038">
            <v>77</v>
          </cell>
          <cell r="AB1038">
            <v>0</v>
          </cell>
          <cell r="AC1038">
            <v>0</v>
          </cell>
          <cell r="AD1038">
            <v>13.49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Y1038">
            <v>1827036.24</v>
          </cell>
        </row>
        <row r="1039">
          <cell r="A1039">
            <v>2</v>
          </cell>
          <cell r="B1039" t="str">
            <v>12</v>
          </cell>
          <cell r="C1039" t="str">
            <v>000</v>
          </cell>
          <cell r="D1039" t="str">
            <v>1</v>
          </cell>
          <cell r="E1039" t="str">
            <v>701</v>
          </cell>
          <cell r="F1039" t="str">
            <v>N000</v>
          </cell>
          <cell r="G1039" t="str">
            <v>512</v>
          </cell>
          <cell r="H1039" t="str">
            <v>1103</v>
          </cell>
          <cell r="I1039" t="str">
            <v>CFMG06</v>
          </cell>
          <cell r="J1039" t="str">
            <v>MG06</v>
          </cell>
          <cell r="K1039" t="str">
            <v>1</v>
          </cell>
          <cell r="L1039">
            <v>5</v>
          </cell>
          <cell r="M1039">
            <v>0</v>
          </cell>
          <cell r="N1039">
            <v>8232.25</v>
          </cell>
          <cell r="O1039" t="str">
            <v>M</v>
          </cell>
          <cell r="P1039" t="str">
            <v>00000000</v>
          </cell>
          <cell r="Q1039">
            <v>38872.050000000003</v>
          </cell>
          <cell r="R1039">
            <v>1189.0999999999999</v>
          </cell>
          <cell r="S1039">
            <v>228.67</v>
          </cell>
          <cell r="T1039">
            <v>1049.6099999999999</v>
          </cell>
          <cell r="U1039">
            <v>411.61</v>
          </cell>
          <cell r="V1039">
            <v>847.88</v>
          </cell>
          <cell r="W1039">
            <v>164.65</v>
          </cell>
          <cell r="X1039">
            <v>60.4</v>
          </cell>
          <cell r="Y1039">
            <v>2355.2199999999998</v>
          </cell>
          <cell r="Z1039">
            <v>973.19</v>
          </cell>
          <cell r="AA1039">
            <v>77</v>
          </cell>
          <cell r="AB1039">
            <v>0</v>
          </cell>
          <cell r="AC1039">
            <v>0</v>
          </cell>
          <cell r="AD1039">
            <v>13.49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Y1039">
            <v>3268507.2</v>
          </cell>
        </row>
        <row r="1040">
          <cell r="A1040">
            <v>2</v>
          </cell>
          <cell r="B1040" t="str">
            <v>12</v>
          </cell>
          <cell r="C1040" t="str">
            <v>000</v>
          </cell>
          <cell r="D1040" t="str">
            <v>1</v>
          </cell>
          <cell r="E1040" t="str">
            <v>701</v>
          </cell>
          <cell r="F1040" t="str">
            <v>N000</v>
          </cell>
          <cell r="G1040" t="str">
            <v>512</v>
          </cell>
          <cell r="H1040" t="str">
            <v>1103</v>
          </cell>
          <cell r="I1040" t="str">
            <v>CFMS06</v>
          </cell>
          <cell r="J1040" t="str">
            <v>MS06</v>
          </cell>
          <cell r="K1040" t="str">
            <v>1</v>
          </cell>
          <cell r="L1040">
            <v>1</v>
          </cell>
          <cell r="M1040">
            <v>0</v>
          </cell>
          <cell r="N1040">
            <v>4801.8999999999996</v>
          </cell>
          <cell r="O1040" t="str">
            <v>M</v>
          </cell>
          <cell r="P1040" t="str">
            <v>00000000</v>
          </cell>
          <cell r="Q1040">
            <v>21723.85</v>
          </cell>
          <cell r="R1040">
            <v>693.61</v>
          </cell>
          <cell r="S1040">
            <v>133.38999999999999</v>
          </cell>
          <cell r="T1040">
            <v>612.24</v>
          </cell>
          <cell r="U1040">
            <v>240.09</v>
          </cell>
          <cell r="V1040">
            <v>477.46</v>
          </cell>
          <cell r="W1040">
            <v>96.04</v>
          </cell>
          <cell r="X1040">
            <v>46</v>
          </cell>
          <cell r="Y1040">
            <v>1326.29</v>
          </cell>
          <cell r="Z1040">
            <v>549.51</v>
          </cell>
          <cell r="AA1040">
            <v>77</v>
          </cell>
          <cell r="AB1040">
            <v>0</v>
          </cell>
          <cell r="AC1040">
            <v>0</v>
          </cell>
          <cell r="AD1040">
            <v>13.49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Y1040">
            <v>369490.44</v>
          </cell>
        </row>
        <row r="1041">
          <cell r="A1041">
            <v>2</v>
          </cell>
          <cell r="B1041" t="str">
            <v>12</v>
          </cell>
          <cell r="C1041" t="str">
            <v>000</v>
          </cell>
          <cell r="D1041" t="str">
            <v>1</v>
          </cell>
          <cell r="E1041" t="str">
            <v>701</v>
          </cell>
          <cell r="F1041" t="str">
            <v>N000</v>
          </cell>
          <cell r="G1041" t="str">
            <v>512</v>
          </cell>
          <cell r="H1041" t="str">
            <v>1103</v>
          </cell>
          <cell r="I1041" t="str">
            <v>CFMS07</v>
          </cell>
          <cell r="J1041" t="str">
            <v>MS07</v>
          </cell>
          <cell r="K1041" t="str">
            <v>1</v>
          </cell>
          <cell r="L1041">
            <v>4</v>
          </cell>
          <cell r="M1041">
            <v>0</v>
          </cell>
          <cell r="N1041">
            <v>4801.8999999999996</v>
          </cell>
          <cell r="O1041" t="str">
            <v>M</v>
          </cell>
          <cell r="P1041" t="str">
            <v>00000000</v>
          </cell>
          <cell r="Q1041">
            <v>19053.55</v>
          </cell>
          <cell r="R1041">
            <v>693.61</v>
          </cell>
          <cell r="S1041">
            <v>133.38999999999999</v>
          </cell>
          <cell r="T1041">
            <v>612.24</v>
          </cell>
          <cell r="U1041">
            <v>240.09</v>
          </cell>
          <cell r="V1041">
            <v>429.39</v>
          </cell>
          <cell r="W1041">
            <v>96.04</v>
          </cell>
          <cell r="X1041">
            <v>61.75</v>
          </cell>
          <cell r="Y1041">
            <v>1192.77</v>
          </cell>
          <cell r="Z1041">
            <v>496.42</v>
          </cell>
          <cell r="AA1041">
            <v>77</v>
          </cell>
          <cell r="AB1041">
            <v>0</v>
          </cell>
          <cell r="AC1041">
            <v>0</v>
          </cell>
          <cell r="AD1041">
            <v>13.49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Y1041">
            <v>1339278.72</v>
          </cell>
        </row>
        <row r="1042">
          <cell r="A1042">
            <v>2</v>
          </cell>
          <cell r="B1042" t="str">
            <v>12</v>
          </cell>
          <cell r="C1042" t="str">
            <v>000</v>
          </cell>
          <cell r="D1042" t="str">
            <v>1</v>
          </cell>
          <cell r="E1042" t="str">
            <v>701</v>
          </cell>
          <cell r="F1042" t="str">
            <v>N000</v>
          </cell>
          <cell r="G1042" t="str">
            <v>512</v>
          </cell>
          <cell r="H1042" t="str">
            <v>1103</v>
          </cell>
          <cell r="I1042" t="str">
            <v>CFMS08</v>
          </cell>
          <cell r="J1042" t="str">
            <v>MS08</v>
          </cell>
          <cell r="K1042" t="str">
            <v>1</v>
          </cell>
          <cell r="L1042">
            <v>11</v>
          </cell>
          <cell r="M1042">
            <v>0</v>
          </cell>
          <cell r="N1042">
            <v>4801.8999999999996</v>
          </cell>
          <cell r="O1042" t="str">
            <v>M</v>
          </cell>
          <cell r="P1042" t="str">
            <v>00000000</v>
          </cell>
          <cell r="Q1042">
            <v>18269.849999999999</v>
          </cell>
          <cell r="R1042">
            <v>693.61</v>
          </cell>
          <cell r="S1042">
            <v>133.38999999999999</v>
          </cell>
          <cell r="T1042">
            <v>612.24</v>
          </cell>
          <cell r="U1042">
            <v>240.09</v>
          </cell>
          <cell r="V1042">
            <v>415.29</v>
          </cell>
          <cell r="W1042">
            <v>96.04</v>
          </cell>
          <cell r="X1042">
            <v>44.91</v>
          </cell>
          <cell r="Y1042">
            <v>1153.5899999999999</v>
          </cell>
          <cell r="Z1042">
            <v>480.41</v>
          </cell>
          <cell r="AA1042">
            <v>77</v>
          </cell>
          <cell r="AB1042">
            <v>0</v>
          </cell>
          <cell r="AC1042">
            <v>0</v>
          </cell>
          <cell r="AD1042">
            <v>13.49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Y1042">
            <v>3568198.92</v>
          </cell>
        </row>
        <row r="1043">
          <cell r="A1043">
            <v>2</v>
          </cell>
          <cell r="B1043" t="str">
            <v>12</v>
          </cell>
          <cell r="C1043" t="str">
            <v>000</v>
          </cell>
          <cell r="D1043" t="str">
            <v>1</v>
          </cell>
          <cell r="E1043" t="str">
            <v>701</v>
          </cell>
          <cell r="F1043" t="str">
            <v>N000</v>
          </cell>
          <cell r="G1043" t="str">
            <v>512</v>
          </cell>
          <cell r="H1043" t="str">
            <v>1103</v>
          </cell>
          <cell r="I1043" t="str">
            <v>M01004</v>
          </cell>
          <cell r="K1043" t="str">
            <v>2</v>
          </cell>
          <cell r="L1043">
            <v>4</v>
          </cell>
          <cell r="M1043">
            <v>0</v>
          </cell>
          <cell r="N1043">
            <v>6400</v>
          </cell>
          <cell r="O1043" t="str">
            <v>M</v>
          </cell>
          <cell r="P1043" t="str">
            <v>00000000</v>
          </cell>
          <cell r="Q1043">
            <v>0</v>
          </cell>
          <cell r="R1043">
            <v>924.44</v>
          </cell>
          <cell r="S1043">
            <v>177.78</v>
          </cell>
          <cell r="T1043">
            <v>816</v>
          </cell>
          <cell r="U1043">
            <v>320</v>
          </cell>
          <cell r="V1043">
            <v>115.2</v>
          </cell>
          <cell r="W1043">
            <v>128</v>
          </cell>
          <cell r="X1043">
            <v>46</v>
          </cell>
          <cell r="Y1043">
            <v>0</v>
          </cell>
          <cell r="Z1043">
            <v>288.45</v>
          </cell>
          <cell r="AA1043">
            <v>77</v>
          </cell>
          <cell r="AB1043">
            <v>96</v>
          </cell>
          <cell r="AC1043">
            <v>80</v>
          </cell>
          <cell r="AD1043">
            <v>13.49</v>
          </cell>
          <cell r="AE1043">
            <v>5.33</v>
          </cell>
          <cell r="AF1043">
            <v>0</v>
          </cell>
          <cell r="AG1043">
            <v>0</v>
          </cell>
          <cell r="AH1043">
            <v>4086</v>
          </cell>
          <cell r="AI1043">
            <v>0</v>
          </cell>
          <cell r="AJ1043">
            <v>2530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Y1043">
            <v>772977.12</v>
          </cell>
        </row>
        <row r="1044">
          <cell r="A1044">
            <v>2</v>
          </cell>
          <cell r="B1044" t="str">
            <v>12</v>
          </cell>
          <cell r="C1044" t="str">
            <v>000</v>
          </cell>
          <cell r="D1044" t="str">
            <v>1</v>
          </cell>
          <cell r="E1044" t="str">
            <v>701</v>
          </cell>
          <cell r="F1044" t="str">
            <v>N000</v>
          </cell>
          <cell r="G1044" t="str">
            <v>512</v>
          </cell>
          <cell r="H1044" t="str">
            <v>1103</v>
          </cell>
          <cell r="I1044" t="str">
            <v>M01006</v>
          </cell>
          <cell r="K1044" t="str">
            <v>2</v>
          </cell>
          <cell r="L1044">
            <v>2</v>
          </cell>
          <cell r="M1044">
            <v>0</v>
          </cell>
          <cell r="N1044">
            <v>5300</v>
          </cell>
          <cell r="O1044" t="str">
            <v>M</v>
          </cell>
          <cell r="P1044" t="str">
            <v>00000000</v>
          </cell>
          <cell r="Q1044">
            <v>0</v>
          </cell>
          <cell r="R1044">
            <v>765.56</v>
          </cell>
          <cell r="S1044">
            <v>147.22</v>
          </cell>
          <cell r="T1044">
            <v>675.75</v>
          </cell>
          <cell r="U1044">
            <v>265</v>
          </cell>
          <cell r="V1044">
            <v>95.4</v>
          </cell>
          <cell r="W1044">
            <v>106</v>
          </cell>
          <cell r="X1044">
            <v>95.5</v>
          </cell>
          <cell r="Y1044">
            <v>0</v>
          </cell>
          <cell r="Z1044">
            <v>239.83</v>
          </cell>
          <cell r="AA1044">
            <v>77</v>
          </cell>
          <cell r="AB1044">
            <v>96</v>
          </cell>
          <cell r="AC1044">
            <v>80</v>
          </cell>
          <cell r="AD1044">
            <v>13.49</v>
          </cell>
          <cell r="AE1044">
            <v>4.42</v>
          </cell>
          <cell r="AF1044">
            <v>0</v>
          </cell>
          <cell r="AG1044">
            <v>0</v>
          </cell>
          <cell r="AH1044">
            <v>2426</v>
          </cell>
          <cell r="AI1044">
            <v>0</v>
          </cell>
          <cell r="AJ1044">
            <v>3000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Y1044">
            <v>321292.08</v>
          </cell>
        </row>
        <row r="1045">
          <cell r="A1045">
            <v>2</v>
          </cell>
          <cell r="B1045" t="str">
            <v>12</v>
          </cell>
          <cell r="C1045" t="str">
            <v>000</v>
          </cell>
          <cell r="D1045" t="str">
            <v>1</v>
          </cell>
          <cell r="E1045" t="str">
            <v>701</v>
          </cell>
          <cell r="F1045" t="str">
            <v>N000</v>
          </cell>
          <cell r="G1045" t="str">
            <v>512</v>
          </cell>
          <cell r="H1045" t="str">
            <v>1103</v>
          </cell>
          <cell r="I1045" t="str">
            <v>M01008</v>
          </cell>
          <cell r="K1045" t="str">
            <v>2</v>
          </cell>
          <cell r="L1045">
            <v>2</v>
          </cell>
          <cell r="M1045">
            <v>0</v>
          </cell>
          <cell r="N1045">
            <v>5546</v>
          </cell>
          <cell r="O1045" t="str">
            <v>M</v>
          </cell>
          <cell r="P1045" t="str">
            <v>00000000</v>
          </cell>
          <cell r="Q1045">
            <v>0</v>
          </cell>
          <cell r="R1045">
            <v>801.09</v>
          </cell>
          <cell r="S1045">
            <v>154.06</v>
          </cell>
          <cell r="T1045">
            <v>707.12</v>
          </cell>
          <cell r="U1045">
            <v>277.3</v>
          </cell>
          <cell r="V1045">
            <v>99.83</v>
          </cell>
          <cell r="W1045">
            <v>110.92</v>
          </cell>
          <cell r="X1045">
            <v>109</v>
          </cell>
          <cell r="Y1045">
            <v>0</v>
          </cell>
          <cell r="Z1045">
            <v>252.44</v>
          </cell>
          <cell r="AA1045">
            <v>77</v>
          </cell>
          <cell r="AB1045">
            <v>96</v>
          </cell>
          <cell r="AC1045">
            <v>80</v>
          </cell>
          <cell r="AD1045">
            <v>13.49</v>
          </cell>
          <cell r="AE1045">
            <v>4.62</v>
          </cell>
          <cell r="AF1045">
            <v>0</v>
          </cell>
          <cell r="AG1045">
            <v>0</v>
          </cell>
          <cell r="AH1045">
            <v>2739</v>
          </cell>
          <cell r="AI1045">
            <v>0</v>
          </cell>
          <cell r="AJ1045">
            <v>3015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Y1045">
            <v>337988.88</v>
          </cell>
        </row>
        <row r="1046">
          <cell r="A1046">
            <v>2</v>
          </cell>
          <cell r="B1046" t="str">
            <v>12</v>
          </cell>
          <cell r="C1046" t="str">
            <v>000</v>
          </cell>
          <cell r="D1046" t="str">
            <v>1</v>
          </cell>
          <cell r="E1046" t="str">
            <v>701</v>
          </cell>
          <cell r="F1046" t="str">
            <v>N000</v>
          </cell>
          <cell r="G1046" t="str">
            <v>512</v>
          </cell>
          <cell r="H1046" t="str">
            <v>1103</v>
          </cell>
          <cell r="I1046" t="str">
            <v>M01011</v>
          </cell>
          <cell r="K1046" t="str">
            <v>2</v>
          </cell>
          <cell r="L1046">
            <v>2</v>
          </cell>
          <cell r="M1046">
            <v>0</v>
          </cell>
          <cell r="N1046">
            <v>7310</v>
          </cell>
          <cell r="O1046" t="str">
            <v>M</v>
          </cell>
          <cell r="P1046" t="str">
            <v>00000000</v>
          </cell>
          <cell r="Q1046">
            <v>0</v>
          </cell>
          <cell r="R1046">
            <v>1055.8900000000001</v>
          </cell>
          <cell r="S1046">
            <v>203.06</v>
          </cell>
          <cell r="T1046">
            <v>932.02</v>
          </cell>
          <cell r="U1046">
            <v>365.5</v>
          </cell>
          <cell r="V1046">
            <v>131.58000000000001</v>
          </cell>
          <cell r="W1046">
            <v>146.19999999999999</v>
          </cell>
          <cell r="X1046">
            <v>95.5</v>
          </cell>
          <cell r="Y1046">
            <v>0</v>
          </cell>
          <cell r="Z1046">
            <v>331.63</v>
          </cell>
          <cell r="AA1046">
            <v>77</v>
          </cell>
          <cell r="AB1046">
            <v>96</v>
          </cell>
          <cell r="AC1046">
            <v>80</v>
          </cell>
          <cell r="AD1046">
            <v>13.49</v>
          </cell>
          <cell r="AE1046">
            <v>6.09</v>
          </cell>
          <cell r="AF1046">
            <v>0</v>
          </cell>
          <cell r="AG1046">
            <v>0</v>
          </cell>
          <cell r="AH1046">
            <v>4524</v>
          </cell>
          <cell r="AI1046">
            <v>0</v>
          </cell>
          <cell r="AJ1046">
            <v>3134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Y1046">
            <v>444047.04</v>
          </cell>
        </row>
        <row r="1047">
          <cell r="A1047">
            <v>2</v>
          </cell>
          <cell r="B1047" t="str">
            <v>12</v>
          </cell>
          <cell r="C1047" t="str">
            <v>000</v>
          </cell>
          <cell r="D1047" t="str">
            <v>1</v>
          </cell>
          <cell r="E1047" t="str">
            <v>701</v>
          </cell>
          <cell r="F1047" t="str">
            <v>N000</v>
          </cell>
          <cell r="G1047" t="str">
            <v>512</v>
          </cell>
          <cell r="H1047" t="str">
            <v>1103</v>
          </cell>
          <cell r="I1047" t="str">
            <v>M02015</v>
          </cell>
          <cell r="K1047" t="str">
            <v>2</v>
          </cell>
          <cell r="L1047">
            <v>5</v>
          </cell>
          <cell r="M1047">
            <v>0</v>
          </cell>
          <cell r="N1047">
            <v>5000</v>
          </cell>
          <cell r="O1047" t="str">
            <v>M</v>
          </cell>
          <cell r="P1047" t="str">
            <v>00000000</v>
          </cell>
          <cell r="Q1047">
            <v>0</v>
          </cell>
          <cell r="R1047">
            <v>722.22</v>
          </cell>
          <cell r="S1047">
            <v>138.88999999999999</v>
          </cell>
          <cell r="T1047">
            <v>637.5</v>
          </cell>
          <cell r="U1047">
            <v>250</v>
          </cell>
          <cell r="V1047">
            <v>90</v>
          </cell>
          <cell r="W1047">
            <v>100</v>
          </cell>
          <cell r="X1047">
            <v>180</v>
          </cell>
          <cell r="Y1047">
            <v>0</v>
          </cell>
          <cell r="Z1047">
            <v>177.97</v>
          </cell>
          <cell r="AA1047">
            <v>77</v>
          </cell>
          <cell r="AB1047">
            <v>96</v>
          </cell>
          <cell r="AC1047">
            <v>80</v>
          </cell>
          <cell r="AD1047">
            <v>13.49</v>
          </cell>
          <cell r="AE1047">
            <v>4.17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2600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Y1047">
            <v>610034.4</v>
          </cell>
        </row>
        <row r="1048">
          <cell r="A1048">
            <v>2</v>
          </cell>
          <cell r="B1048" t="str">
            <v>12</v>
          </cell>
          <cell r="C1048" t="str">
            <v>000</v>
          </cell>
          <cell r="D1048" t="str">
            <v>1</v>
          </cell>
          <cell r="E1048" t="str">
            <v>701</v>
          </cell>
          <cell r="F1048" t="str">
            <v>N000</v>
          </cell>
          <cell r="G1048" t="str">
            <v>512</v>
          </cell>
          <cell r="H1048" t="str">
            <v>1103</v>
          </cell>
          <cell r="I1048" t="str">
            <v>M02027</v>
          </cell>
          <cell r="K1048" t="str">
            <v>2</v>
          </cell>
          <cell r="L1048">
            <v>2</v>
          </cell>
          <cell r="M1048">
            <v>0</v>
          </cell>
          <cell r="N1048">
            <v>4940</v>
          </cell>
          <cell r="O1048" t="str">
            <v>M</v>
          </cell>
          <cell r="P1048" t="str">
            <v>00000000</v>
          </cell>
          <cell r="Q1048">
            <v>0</v>
          </cell>
          <cell r="R1048">
            <v>713.56</v>
          </cell>
          <cell r="S1048">
            <v>137.22</v>
          </cell>
          <cell r="T1048">
            <v>629.85</v>
          </cell>
          <cell r="U1048">
            <v>247</v>
          </cell>
          <cell r="V1048">
            <v>88.92</v>
          </cell>
          <cell r="W1048">
            <v>98.8</v>
          </cell>
          <cell r="X1048">
            <v>245</v>
          </cell>
          <cell r="Y1048">
            <v>0</v>
          </cell>
          <cell r="Z1048">
            <v>171.96</v>
          </cell>
          <cell r="AA1048">
            <v>77</v>
          </cell>
          <cell r="AB1048">
            <v>96</v>
          </cell>
          <cell r="AC1048">
            <v>80</v>
          </cell>
          <cell r="AD1048">
            <v>13.49</v>
          </cell>
          <cell r="AE1048">
            <v>4.12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2305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Y1048">
            <v>236350.07999999999</v>
          </cell>
        </row>
        <row r="1049">
          <cell r="A1049">
            <v>2</v>
          </cell>
          <cell r="B1049" t="str">
            <v>12</v>
          </cell>
          <cell r="C1049" t="str">
            <v>000</v>
          </cell>
          <cell r="D1049" t="str">
            <v>1</v>
          </cell>
          <cell r="E1049" t="str">
            <v>701</v>
          </cell>
          <cell r="F1049" t="str">
            <v>N000</v>
          </cell>
          <cell r="G1049" t="str">
            <v>512</v>
          </cell>
          <cell r="H1049" t="str">
            <v>1103</v>
          </cell>
          <cell r="I1049" t="str">
            <v>M02031</v>
          </cell>
          <cell r="K1049" t="str">
            <v>2</v>
          </cell>
          <cell r="L1049">
            <v>2</v>
          </cell>
          <cell r="M1049">
            <v>0</v>
          </cell>
          <cell r="N1049">
            <v>5200</v>
          </cell>
          <cell r="O1049" t="str">
            <v>M</v>
          </cell>
          <cell r="P1049" t="str">
            <v>00000000</v>
          </cell>
          <cell r="Q1049">
            <v>0</v>
          </cell>
          <cell r="R1049">
            <v>751.11</v>
          </cell>
          <cell r="S1049">
            <v>144.44</v>
          </cell>
          <cell r="T1049">
            <v>663</v>
          </cell>
          <cell r="U1049">
            <v>260</v>
          </cell>
          <cell r="V1049">
            <v>93.6</v>
          </cell>
          <cell r="W1049">
            <v>104</v>
          </cell>
          <cell r="X1049">
            <v>327</v>
          </cell>
          <cell r="Y1049">
            <v>0</v>
          </cell>
          <cell r="Z1049">
            <v>217.04</v>
          </cell>
          <cell r="AA1049">
            <v>77</v>
          </cell>
          <cell r="AB1049">
            <v>96</v>
          </cell>
          <cell r="AC1049">
            <v>80</v>
          </cell>
          <cell r="AD1049">
            <v>13.49</v>
          </cell>
          <cell r="AE1049">
            <v>4.33</v>
          </cell>
          <cell r="AF1049">
            <v>0</v>
          </cell>
          <cell r="AG1049">
            <v>0</v>
          </cell>
          <cell r="AH1049">
            <v>2172</v>
          </cell>
          <cell r="AI1049">
            <v>0</v>
          </cell>
          <cell r="AJ1049">
            <v>2000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Y1049">
            <v>292872.24</v>
          </cell>
        </row>
        <row r="1050">
          <cell r="A1050">
            <v>2</v>
          </cell>
          <cell r="B1050" t="str">
            <v>12</v>
          </cell>
          <cell r="C1050" t="str">
            <v>000</v>
          </cell>
          <cell r="D1050" t="str">
            <v>1</v>
          </cell>
          <cell r="E1050" t="str">
            <v>701</v>
          </cell>
          <cell r="F1050" t="str">
            <v>N000</v>
          </cell>
          <cell r="G1050" t="str">
            <v>512</v>
          </cell>
          <cell r="H1050" t="str">
            <v>1103</v>
          </cell>
          <cell r="I1050" t="str">
            <v>M02035</v>
          </cell>
          <cell r="K1050" t="str">
            <v>2</v>
          </cell>
          <cell r="L1050">
            <v>2</v>
          </cell>
          <cell r="M1050">
            <v>0</v>
          </cell>
          <cell r="N1050">
            <v>3388</v>
          </cell>
          <cell r="O1050" t="str">
            <v>M</v>
          </cell>
          <cell r="P1050" t="str">
            <v>00000000</v>
          </cell>
          <cell r="Q1050">
            <v>0</v>
          </cell>
          <cell r="R1050">
            <v>489.38</v>
          </cell>
          <cell r="S1050">
            <v>94.11</v>
          </cell>
          <cell r="T1050">
            <v>431.97</v>
          </cell>
          <cell r="U1050">
            <v>169.4</v>
          </cell>
          <cell r="V1050">
            <v>60.98</v>
          </cell>
          <cell r="W1050">
            <v>67.760000000000005</v>
          </cell>
          <cell r="X1050">
            <v>191</v>
          </cell>
          <cell r="Y1050">
            <v>0</v>
          </cell>
          <cell r="Z1050">
            <v>140.25</v>
          </cell>
          <cell r="AA1050">
            <v>77</v>
          </cell>
          <cell r="AB1050">
            <v>96</v>
          </cell>
          <cell r="AC1050">
            <v>80</v>
          </cell>
          <cell r="AD1050">
            <v>13.49</v>
          </cell>
          <cell r="AE1050">
            <v>2.82</v>
          </cell>
          <cell r="AF1050">
            <v>0</v>
          </cell>
          <cell r="AG1050">
            <v>0</v>
          </cell>
          <cell r="AH1050">
            <v>734</v>
          </cell>
          <cell r="AI1050">
            <v>0</v>
          </cell>
          <cell r="AJ1050">
            <v>1860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Y1050">
            <v>189507.84</v>
          </cell>
        </row>
        <row r="1051">
          <cell r="A1051">
            <v>2</v>
          </cell>
          <cell r="B1051" t="str">
            <v>12</v>
          </cell>
          <cell r="C1051" t="str">
            <v>000</v>
          </cell>
          <cell r="D1051" t="str">
            <v>1</v>
          </cell>
          <cell r="E1051" t="str">
            <v>701</v>
          </cell>
          <cell r="F1051" t="str">
            <v>N000</v>
          </cell>
          <cell r="G1051" t="str">
            <v>512</v>
          </cell>
          <cell r="H1051" t="str">
            <v>1103</v>
          </cell>
          <cell r="I1051" t="str">
            <v>M02036</v>
          </cell>
          <cell r="K1051" t="str">
            <v>2</v>
          </cell>
          <cell r="L1051">
            <v>4</v>
          </cell>
          <cell r="M1051">
            <v>0</v>
          </cell>
          <cell r="N1051">
            <v>2838</v>
          </cell>
          <cell r="O1051" t="str">
            <v>M</v>
          </cell>
          <cell r="P1051" t="str">
            <v>00000000</v>
          </cell>
          <cell r="Q1051">
            <v>0</v>
          </cell>
          <cell r="R1051">
            <v>409.93</v>
          </cell>
          <cell r="S1051">
            <v>78.83</v>
          </cell>
          <cell r="T1051">
            <v>361.85</v>
          </cell>
          <cell r="U1051">
            <v>141.9</v>
          </cell>
          <cell r="V1051">
            <v>51.08</v>
          </cell>
          <cell r="W1051">
            <v>56.76</v>
          </cell>
          <cell r="X1051">
            <v>136.5</v>
          </cell>
          <cell r="Y1051">
            <v>0</v>
          </cell>
          <cell r="Z1051">
            <v>118.37</v>
          </cell>
          <cell r="AA1051">
            <v>77</v>
          </cell>
          <cell r="AB1051">
            <v>96</v>
          </cell>
          <cell r="AC1051">
            <v>80</v>
          </cell>
          <cell r="AD1051">
            <v>13.49</v>
          </cell>
          <cell r="AE1051">
            <v>2.36</v>
          </cell>
          <cell r="AF1051">
            <v>0</v>
          </cell>
          <cell r="AG1051">
            <v>0</v>
          </cell>
          <cell r="AH1051">
            <v>634</v>
          </cell>
          <cell r="AI1051">
            <v>0</v>
          </cell>
          <cell r="AJ1051">
            <v>1566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Y1051">
            <v>319779.36</v>
          </cell>
        </row>
        <row r="1052">
          <cell r="A1052">
            <v>2</v>
          </cell>
          <cell r="B1052" t="str">
            <v>12</v>
          </cell>
          <cell r="C1052" t="str">
            <v>000</v>
          </cell>
          <cell r="D1052" t="str">
            <v>1</v>
          </cell>
          <cell r="E1052" t="str">
            <v>701</v>
          </cell>
          <cell r="F1052" t="str">
            <v>N000</v>
          </cell>
          <cell r="G1052" t="str">
            <v>512</v>
          </cell>
          <cell r="H1052" t="str">
            <v>1103</v>
          </cell>
          <cell r="I1052" t="str">
            <v>M02040</v>
          </cell>
          <cell r="K1052" t="str">
            <v>2</v>
          </cell>
          <cell r="L1052">
            <v>1</v>
          </cell>
          <cell r="M1052">
            <v>0</v>
          </cell>
          <cell r="N1052">
            <v>3314</v>
          </cell>
          <cell r="O1052" t="str">
            <v>M</v>
          </cell>
          <cell r="P1052" t="str">
            <v>00000000</v>
          </cell>
          <cell r="Q1052">
            <v>0</v>
          </cell>
          <cell r="R1052">
            <v>478.69</v>
          </cell>
          <cell r="S1052">
            <v>92.06</v>
          </cell>
          <cell r="T1052">
            <v>422.54</v>
          </cell>
          <cell r="U1052">
            <v>165.7</v>
          </cell>
          <cell r="V1052">
            <v>59.65</v>
          </cell>
          <cell r="W1052">
            <v>66.28</v>
          </cell>
          <cell r="X1052">
            <v>191</v>
          </cell>
          <cell r="Y1052">
            <v>0</v>
          </cell>
          <cell r="Z1052">
            <v>121.59</v>
          </cell>
          <cell r="AA1052">
            <v>77</v>
          </cell>
          <cell r="AB1052">
            <v>96</v>
          </cell>
          <cell r="AC1052">
            <v>80</v>
          </cell>
          <cell r="AD1052">
            <v>13.49</v>
          </cell>
          <cell r="AE1052">
            <v>2.76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1748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Y1052">
            <v>83145.119999999995</v>
          </cell>
        </row>
        <row r="1053">
          <cell r="A1053">
            <v>2</v>
          </cell>
          <cell r="B1053" t="str">
            <v>12</v>
          </cell>
          <cell r="C1053" t="str">
            <v>000</v>
          </cell>
          <cell r="D1053" t="str">
            <v>1</v>
          </cell>
          <cell r="E1053" t="str">
            <v>701</v>
          </cell>
          <cell r="F1053" t="str">
            <v>N000</v>
          </cell>
          <cell r="G1053" t="str">
            <v>512</v>
          </cell>
          <cell r="H1053" t="str">
            <v>1103</v>
          </cell>
          <cell r="I1053" t="str">
            <v>M02081</v>
          </cell>
          <cell r="K1053" t="str">
            <v>2</v>
          </cell>
          <cell r="L1053">
            <v>1</v>
          </cell>
          <cell r="M1053">
            <v>0</v>
          </cell>
          <cell r="N1053">
            <v>3718</v>
          </cell>
          <cell r="O1053" t="str">
            <v>M</v>
          </cell>
          <cell r="P1053" t="str">
            <v>00000000</v>
          </cell>
          <cell r="Q1053">
            <v>0</v>
          </cell>
          <cell r="R1053">
            <v>537.04</v>
          </cell>
          <cell r="S1053">
            <v>103.28</v>
          </cell>
          <cell r="T1053">
            <v>474.05</v>
          </cell>
          <cell r="U1053">
            <v>185.9</v>
          </cell>
          <cell r="V1053">
            <v>66.92</v>
          </cell>
          <cell r="W1053">
            <v>74.36</v>
          </cell>
          <cell r="X1053">
            <v>82</v>
          </cell>
          <cell r="Y1053">
            <v>0</v>
          </cell>
          <cell r="Z1053">
            <v>148.16999999999999</v>
          </cell>
          <cell r="AA1053">
            <v>77</v>
          </cell>
          <cell r="AB1053">
            <v>96</v>
          </cell>
          <cell r="AC1053">
            <v>80</v>
          </cell>
          <cell r="AD1053">
            <v>13.49</v>
          </cell>
          <cell r="AE1053">
            <v>3.1</v>
          </cell>
          <cell r="AF1053">
            <v>0</v>
          </cell>
          <cell r="AG1053">
            <v>0</v>
          </cell>
          <cell r="AH1053">
            <v>784</v>
          </cell>
          <cell r="AI1053">
            <v>0</v>
          </cell>
          <cell r="AJ1053">
            <v>1928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Y1053">
            <v>100455.72</v>
          </cell>
        </row>
        <row r="1054">
          <cell r="A1054">
            <v>2</v>
          </cell>
          <cell r="B1054" t="str">
            <v>12</v>
          </cell>
          <cell r="C1054" t="str">
            <v>000</v>
          </cell>
          <cell r="D1054" t="str">
            <v>1</v>
          </cell>
          <cell r="E1054" t="str">
            <v>701</v>
          </cell>
          <cell r="F1054" t="str">
            <v>N000</v>
          </cell>
          <cell r="G1054" t="str">
            <v>512</v>
          </cell>
          <cell r="H1054" t="str">
            <v>1103</v>
          </cell>
          <cell r="I1054" t="str">
            <v>S01803</v>
          </cell>
          <cell r="J1054" t="str">
            <v>19</v>
          </cell>
          <cell r="K1054" t="str">
            <v>2</v>
          </cell>
          <cell r="L1054">
            <v>4</v>
          </cell>
          <cell r="M1054">
            <v>0</v>
          </cell>
          <cell r="N1054">
            <v>2120.3000000000002</v>
          </cell>
          <cell r="O1054" t="str">
            <v>M</v>
          </cell>
          <cell r="P1054" t="str">
            <v>00000000</v>
          </cell>
          <cell r="Q1054">
            <v>0</v>
          </cell>
          <cell r="R1054">
            <v>306.27</v>
          </cell>
          <cell r="S1054">
            <v>58.9</v>
          </cell>
          <cell r="T1054">
            <v>270.33999999999997</v>
          </cell>
          <cell r="U1054">
            <v>106.02</v>
          </cell>
          <cell r="V1054">
            <v>38.17</v>
          </cell>
          <cell r="W1054">
            <v>42.41</v>
          </cell>
          <cell r="X1054">
            <v>68.5</v>
          </cell>
          <cell r="Y1054">
            <v>0</v>
          </cell>
          <cell r="Z1054">
            <v>56.14</v>
          </cell>
          <cell r="AA1054">
            <v>77</v>
          </cell>
          <cell r="AB1054">
            <v>96</v>
          </cell>
          <cell r="AC1054">
            <v>80</v>
          </cell>
          <cell r="AD1054">
            <v>13.49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Y1054">
            <v>160009.92000000001</v>
          </cell>
        </row>
        <row r="1055">
          <cell r="A1055">
            <v>2</v>
          </cell>
          <cell r="B1055" t="str">
            <v>12</v>
          </cell>
          <cell r="C1055" t="str">
            <v>000</v>
          </cell>
          <cell r="D1055" t="str">
            <v>1</v>
          </cell>
          <cell r="E1055" t="str">
            <v>701</v>
          </cell>
          <cell r="F1055" t="str">
            <v>N000</v>
          </cell>
          <cell r="G1055" t="str">
            <v>512</v>
          </cell>
          <cell r="H1055" t="str">
            <v>1103</v>
          </cell>
          <cell r="I1055" t="str">
            <v>S01805</v>
          </cell>
          <cell r="J1055" t="str">
            <v>23</v>
          </cell>
          <cell r="K1055" t="str">
            <v>2</v>
          </cell>
          <cell r="L1055">
            <v>1</v>
          </cell>
          <cell r="M1055">
            <v>0</v>
          </cell>
          <cell r="N1055">
            <v>2451.25</v>
          </cell>
          <cell r="O1055" t="str">
            <v>M</v>
          </cell>
          <cell r="P1055" t="str">
            <v>00000000</v>
          </cell>
          <cell r="Q1055">
            <v>0</v>
          </cell>
          <cell r="R1055">
            <v>354.07</v>
          </cell>
          <cell r="S1055">
            <v>68.09</v>
          </cell>
          <cell r="T1055">
            <v>312.52999999999997</v>
          </cell>
          <cell r="U1055">
            <v>122.56</v>
          </cell>
          <cell r="V1055">
            <v>44.12</v>
          </cell>
          <cell r="W1055">
            <v>49.02</v>
          </cell>
          <cell r="X1055">
            <v>191</v>
          </cell>
          <cell r="Y1055">
            <v>0</v>
          </cell>
          <cell r="Z1055">
            <v>66.349999999999994</v>
          </cell>
          <cell r="AA1055">
            <v>77</v>
          </cell>
          <cell r="AB1055">
            <v>96</v>
          </cell>
          <cell r="AC1055">
            <v>80</v>
          </cell>
          <cell r="AD1055">
            <v>13.49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Y1055">
            <v>47105.760000000002</v>
          </cell>
        </row>
        <row r="1056">
          <cell r="A1056">
            <v>2</v>
          </cell>
          <cell r="B1056" t="str">
            <v>12</v>
          </cell>
          <cell r="C1056" t="str">
            <v>000</v>
          </cell>
          <cell r="D1056" t="str">
            <v>1</v>
          </cell>
          <cell r="E1056" t="str">
            <v>701</v>
          </cell>
          <cell r="F1056" t="str">
            <v>N000</v>
          </cell>
          <cell r="G1056" t="str">
            <v>512</v>
          </cell>
          <cell r="H1056" t="str">
            <v>1103</v>
          </cell>
          <cell r="I1056" t="str">
            <v>S01811</v>
          </cell>
          <cell r="J1056" t="str">
            <v>25</v>
          </cell>
          <cell r="K1056" t="str">
            <v>2</v>
          </cell>
          <cell r="L1056">
            <v>1</v>
          </cell>
          <cell r="M1056">
            <v>0</v>
          </cell>
          <cell r="N1056">
            <v>2572.4</v>
          </cell>
          <cell r="O1056" t="str">
            <v>M</v>
          </cell>
          <cell r="P1056" t="str">
            <v>00000000</v>
          </cell>
          <cell r="Q1056">
            <v>0</v>
          </cell>
          <cell r="R1056">
            <v>371.57</v>
          </cell>
          <cell r="S1056">
            <v>71.459999999999994</v>
          </cell>
          <cell r="T1056">
            <v>327.98</v>
          </cell>
          <cell r="U1056">
            <v>128.62</v>
          </cell>
          <cell r="V1056">
            <v>46.3</v>
          </cell>
          <cell r="W1056">
            <v>51.45</v>
          </cell>
          <cell r="X1056">
            <v>82</v>
          </cell>
          <cell r="Y1056">
            <v>0</v>
          </cell>
          <cell r="Z1056">
            <v>67.010000000000005</v>
          </cell>
          <cell r="AA1056">
            <v>77</v>
          </cell>
          <cell r="AB1056">
            <v>96</v>
          </cell>
          <cell r="AC1056">
            <v>80</v>
          </cell>
          <cell r="AD1056">
            <v>13.49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Y1056">
            <v>47823.360000000001</v>
          </cell>
        </row>
        <row r="1057">
          <cell r="A1057">
            <v>2</v>
          </cell>
          <cell r="B1057" t="str">
            <v>12</v>
          </cell>
          <cell r="C1057" t="str">
            <v>000</v>
          </cell>
          <cell r="D1057" t="str">
            <v>1</v>
          </cell>
          <cell r="E1057" t="str">
            <v>701</v>
          </cell>
          <cell r="F1057" t="str">
            <v>N000</v>
          </cell>
          <cell r="G1057" t="str">
            <v>512</v>
          </cell>
          <cell r="H1057" t="str">
            <v>1103</v>
          </cell>
          <cell r="I1057" t="str">
            <v>S03810</v>
          </cell>
          <cell r="J1057" t="str">
            <v>22</v>
          </cell>
          <cell r="K1057" t="str">
            <v>2</v>
          </cell>
          <cell r="L1057">
            <v>4</v>
          </cell>
          <cell r="M1057">
            <v>0</v>
          </cell>
          <cell r="N1057">
            <v>2342.3000000000002</v>
          </cell>
          <cell r="O1057" t="str">
            <v>M</v>
          </cell>
          <cell r="P1057" t="str">
            <v>00000000</v>
          </cell>
          <cell r="Q1057">
            <v>0</v>
          </cell>
          <cell r="R1057">
            <v>338.33</v>
          </cell>
          <cell r="S1057">
            <v>65.06</v>
          </cell>
          <cell r="T1057">
            <v>298.64</v>
          </cell>
          <cell r="U1057">
            <v>117.12</v>
          </cell>
          <cell r="V1057">
            <v>42.16</v>
          </cell>
          <cell r="W1057">
            <v>46.85</v>
          </cell>
          <cell r="X1057">
            <v>50.5</v>
          </cell>
          <cell r="Y1057">
            <v>0</v>
          </cell>
          <cell r="Z1057">
            <v>60.98</v>
          </cell>
          <cell r="AA1057">
            <v>77</v>
          </cell>
          <cell r="AB1057">
            <v>96</v>
          </cell>
          <cell r="AC1057">
            <v>80</v>
          </cell>
          <cell r="AD1057">
            <v>13.49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Y1057">
            <v>174164.64</v>
          </cell>
        </row>
        <row r="1058">
          <cell r="A1058">
            <v>2</v>
          </cell>
          <cell r="B1058" t="str">
            <v>12</v>
          </cell>
          <cell r="C1058" t="str">
            <v>000</v>
          </cell>
          <cell r="D1058" t="str">
            <v>1</v>
          </cell>
          <cell r="E1058" t="str">
            <v>701</v>
          </cell>
          <cell r="F1058" t="str">
            <v>N000</v>
          </cell>
          <cell r="G1058" t="str">
            <v>512</v>
          </cell>
          <cell r="H1058" t="str">
            <v>1103</v>
          </cell>
          <cell r="I1058" t="str">
            <v>S08802</v>
          </cell>
          <cell r="J1058" t="str">
            <v>21</v>
          </cell>
          <cell r="K1058" t="str">
            <v>2</v>
          </cell>
          <cell r="L1058">
            <v>1</v>
          </cell>
          <cell r="M1058">
            <v>0</v>
          </cell>
          <cell r="N1058">
            <v>2238.1999999999998</v>
          </cell>
          <cell r="O1058" t="str">
            <v>M</v>
          </cell>
          <cell r="P1058" t="str">
            <v>00000000</v>
          </cell>
          <cell r="Q1058">
            <v>0</v>
          </cell>
          <cell r="R1058">
            <v>323.3</v>
          </cell>
          <cell r="S1058">
            <v>62.17</v>
          </cell>
          <cell r="T1058">
            <v>285.37</v>
          </cell>
          <cell r="U1058">
            <v>111.91</v>
          </cell>
          <cell r="V1058">
            <v>40.29</v>
          </cell>
          <cell r="W1058">
            <v>44.76</v>
          </cell>
          <cell r="X1058">
            <v>82</v>
          </cell>
          <cell r="Y1058">
            <v>0</v>
          </cell>
          <cell r="Z1058">
            <v>59.17</v>
          </cell>
          <cell r="AA1058">
            <v>77</v>
          </cell>
          <cell r="AB1058">
            <v>96</v>
          </cell>
          <cell r="AC1058">
            <v>80</v>
          </cell>
          <cell r="AD1058">
            <v>13.49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Y1058">
            <v>42163.92</v>
          </cell>
        </row>
        <row r="1059">
          <cell r="A1059">
            <v>2</v>
          </cell>
          <cell r="B1059" t="str">
            <v>12</v>
          </cell>
          <cell r="C1059" t="str">
            <v>000</v>
          </cell>
          <cell r="D1059" t="str">
            <v>1</v>
          </cell>
          <cell r="E1059" t="str">
            <v>701</v>
          </cell>
          <cell r="F1059" t="str">
            <v>N000</v>
          </cell>
          <cell r="G1059" t="str">
            <v>512</v>
          </cell>
          <cell r="H1059" t="str">
            <v>1103</v>
          </cell>
          <cell r="I1059" t="str">
            <v>T03804</v>
          </cell>
          <cell r="J1059" t="str">
            <v>25</v>
          </cell>
          <cell r="K1059" t="str">
            <v>2</v>
          </cell>
          <cell r="L1059">
            <v>18</v>
          </cell>
          <cell r="M1059">
            <v>0</v>
          </cell>
          <cell r="N1059">
            <v>2572.4</v>
          </cell>
          <cell r="O1059" t="str">
            <v>M</v>
          </cell>
          <cell r="P1059" t="str">
            <v>00000000</v>
          </cell>
          <cell r="Q1059">
            <v>0</v>
          </cell>
          <cell r="R1059">
            <v>371.57</v>
          </cell>
          <cell r="S1059">
            <v>71.459999999999994</v>
          </cell>
          <cell r="T1059">
            <v>327.98</v>
          </cell>
          <cell r="U1059">
            <v>128.62</v>
          </cell>
          <cell r="V1059">
            <v>46.3</v>
          </cell>
          <cell r="W1059">
            <v>51.45</v>
          </cell>
          <cell r="X1059">
            <v>66.89</v>
          </cell>
          <cell r="Y1059">
            <v>0</v>
          </cell>
          <cell r="Z1059">
            <v>66.709999999999994</v>
          </cell>
          <cell r="AA1059">
            <v>77</v>
          </cell>
          <cell r="AB1059">
            <v>96</v>
          </cell>
          <cell r="AC1059">
            <v>80</v>
          </cell>
          <cell r="AD1059">
            <v>13.49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Y1059">
            <v>857491.92</v>
          </cell>
        </row>
        <row r="1060">
          <cell r="A1060">
            <v>2</v>
          </cell>
          <cell r="B1060" t="str">
            <v>12</v>
          </cell>
          <cell r="C1060" t="str">
            <v>000</v>
          </cell>
          <cell r="D1060" t="str">
            <v>1</v>
          </cell>
          <cell r="E1060" t="str">
            <v>701</v>
          </cell>
          <cell r="F1060" t="str">
            <v>N000</v>
          </cell>
          <cell r="G1060" t="str">
            <v>512</v>
          </cell>
          <cell r="H1060" t="str">
            <v>1103</v>
          </cell>
          <cell r="I1060" t="str">
            <v>T06803</v>
          </cell>
          <cell r="J1060" t="str">
            <v>26</v>
          </cell>
          <cell r="K1060" t="str">
            <v>2</v>
          </cell>
          <cell r="L1060">
            <v>13</v>
          </cell>
          <cell r="M1060">
            <v>0</v>
          </cell>
          <cell r="N1060">
            <v>2692.2</v>
          </cell>
          <cell r="O1060" t="str">
            <v>M</v>
          </cell>
          <cell r="P1060" t="str">
            <v>00000000</v>
          </cell>
          <cell r="Q1060">
            <v>0</v>
          </cell>
          <cell r="R1060">
            <v>388.87</v>
          </cell>
          <cell r="S1060">
            <v>74.78</v>
          </cell>
          <cell r="T1060">
            <v>343.26</v>
          </cell>
          <cell r="U1060">
            <v>134.61000000000001</v>
          </cell>
          <cell r="V1060">
            <v>48.46</v>
          </cell>
          <cell r="W1060">
            <v>53.84</v>
          </cell>
          <cell r="X1060">
            <v>59.15</v>
          </cell>
          <cell r="Y1060">
            <v>0</v>
          </cell>
          <cell r="Z1060">
            <v>69.36</v>
          </cell>
          <cell r="AA1060">
            <v>77</v>
          </cell>
          <cell r="AB1060">
            <v>96</v>
          </cell>
          <cell r="AC1060">
            <v>80</v>
          </cell>
          <cell r="AD1060">
            <v>13.49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Y1060">
            <v>644439.12</v>
          </cell>
        </row>
        <row r="1061">
          <cell r="A1061">
            <v>2</v>
          </cell>
          <cell r="B1061" t="str">
            <v>12</v>
          </cell>
          <cell r="C1061" t="str">
            <v>000</v>
          </cell>
          <cell r="D1061" t="str">
            <v>1</v>
          </cell>
          <cell r="E1061" t="str">
            <v>701</v>
          </cell>
          <cell r="F1061" t="str">
            <v>N000</v>
          </cell>
          <cell r="G1061" t="str">
            <v>512</v>
          </cell>
          <cell r="H1061" t="str">
            <v>1103</v>
          </cell>
          <cell r="I1061" t="str">
            <v>T06804</v>
          </cell>
          <cell r="J1061" t="str">
            <v>27Z</v>
          </cell>
          <cell r="K1061" t="str">
            <v>2</v>
          </cell>
          <cell r="L1061">
            <v>5</v>
          </cell>
          <cell r="M1061">
            <v>0</v>
          </cell>
          <cell r="N1061">
            <v>2900.25</v>
          </cell>
          <cell r="O1061" t="str">
            <v>M</v>
          </cell>
          <cell r="P1061" t="str">
            <v>00000000</v>
          </cell>
          <cell r="Q1061">
            <v>205.15</v>
          </cell>
          <cell r="R1061">
            <v>418.93</v>
          </cell>
          <cell r="S1061">
            <v>80.56</v>
          </cell>
          <cell r="T1061">
            <v>369.78</v>
          </cell>
          <cell r="U1061">
            <v>145.01</v>
          </cell>
          <cell r="V1061">
            <v>55.89</v>
          </cell>
          <cell r="W1061">
            <v>58.01</v>
          </cell>
          <cell r="X1061">
            <v>55</v>
          </cell>
          <cell r="Y1061">
            <v>0</v>
          </cell>
          <cell r="Z1061">
            <v>78.260000000000005</v>
          </cell>
          <cell r="AA1061">
            <v>77</v>
          </cell>
          <cell r="AB1061">
            <v>96</v>
          </cell>
          <cell r="AC1061">
            <v>80</v>
          </cell>
          <cell r="AD1061">
            <v>13.49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Y1061">
            <v>277999.8</v>
          </cell>
        </row>
        <row r="1062">
          <cell r="A1062">
            <v>2</v>
          </cell>
          <cell r="B1062" t="str">
            <v>12</v>
          </cell>
          <cell r="C1062" t="str">
            <v>000</v>
          </cell>
          <cell r="D1062" t="str">
            <v>1</v>
          </cell>
          <cell r="E1062" t="str">
            <v>701</v>
          </cell>
          <cell r="F1062" t="str">
            <v>N000</v>
          </cell>
          <cell r="G1062" t="str">
            <v>512</v>
          </cell>
          <cell r="H1062" t="str">
            <v>1103</v>
          </cell>
          <cell r="I1062" t="str">
            <v>T06807</v>
          </cell>
          <cell r="J1062" t="str">
            <v>24</v>
          </cell>
          <cell r="K1062" t="str">
            <v>2</v>
          </cell>
          <cell r="L1062">
            <v>2</v>
          </cell>
          <cell r="M1062">
            <v>0</v>
          </cell>
          <cell r="N1062">
            <v>2479.75</v>
          </cell>
          <cell r="O1062" t="str">
            <v>M</v>
          </cell>
          <cell r="P1062" t="str">
            <v>00000000</v>
          </cell>
          <cell r="Q1062">
            <v>0</v>
          </cell>
          <cell r="R1062">
            <v>358.19</v>
          </cell>
          <cell r="S1062">
            <v>68.88</v>
          </cell>
          <cell r="T1062">
            <v>316.17</v>
          </cell>
          <cell r="U1062">
            <v>123.99</v>
          </cell>
          <cell r="V1062">
            <v>44.64</v>
          </cell>
          <cell r="W1062">
            <v>49.59</v>
          </cell>
          <cell r="X1062">
            <v>50.5</v>
          </cell>
          <cell r="Y1062">
            <v>0</v>
          </cell>
          <cell r="Z1062">
            <v>64.209999999999994</v>
          </cell>
          <cell r="AA1062">
            <v>77</v>
          </cell>
          <cell r="AB1062">
            <v>96</v>
          </cell>
          <cell r="AC1062">
            <v>80</v>
          </cell>
          <cell r="AD1062">
            <v>13.49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Y1062">
            <v>91737.84</v>
          </cell>
        </row>
        <row r="1063">
          <cell r="A1063">
            <v>2</v>
          </cell>
          <cell r="B1063" t="str">
            <v>12</v>
          </cell>
          <cell r="C1063" t="str">
            <v>000</v>
          </cell>
          <cell r="D1063" t="str">
            <v>1</v>
          </cell>
          <cell r="E1063" t="str">
            <v>701</v>
          </cell>
          <cell r="F1063" t="str">
            <v>N000</v>
          </cell>
          <cell r="G1063" t="str">
            <v>512</v>
          </cell>
          <cell r="H1063" t="str">
            <v>1103</v>
          </cell>
          <cell r="I1063" t="str">
            <v>T08803</v>
          </cell>
          <cell r="J1063" t="str">
            <v>23</v>
          </cell>
          <cell r="K1063" t="str">
            <v>2</v>
          </cell>
          <cell r="L1063">
            <v>2</v>
          </cell>
          <cell r="M1063">
            <v>0</v>
          </cell>
          <cell r="N1063">
            <v>2451.25</v>
          </cell>
          <cell r="O1063" t="str">
            <v>M</v>
          </cell>
          <cell r="P1063" t="str">
            <v>00000000</v>
          </cell>
          <cell r="Q1063">
            <v>0</v>
          </cell>
          <cell r="R1063">
            <v>354.07</v>
          </cell>
          <cell r="S1063">
            <v>68.09</v>
          </cell>
          <cell r="T1063">
            <v>312.52999999999997</v>
          </cell>
          <cell r="U1063">
            <v>122.56</v>
          </cell>
          <cell r="V1063">
            <v>44.12</v>
          </cell>
          <cell r="W1063">
            <v>49.02</v>
          </cell>
          <cell r="X1063">
            <v>82</v>
          </cell>
          <cell r="Y1063">
            <v>0</v>
          </cell>
          <cell r="Z1063">
            <v>64.17</v>
          </cell>
          <cell r="AA1063">
            <v>77</v>
          </cell>
          <cell r="AB1063">
            <v>96</v>
          </cell>
          <cell r="AC1063">
            <v>80</v>
          </cell>
          <cell r="AD1063">
            <v>13.49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Y1063">
            <v>91543.2</v>
          </cell>
        </row>
        <row r="1064">
          <cell r="A1064">
            <v>2</v>
          </cell>
          <cell r="B1064" t="str">
            <v>12</v>
          </cell>
          <cell r="C1064" t="str">
            <v>000</v>
          </cell>
          <cell r="D1064" t="str">
            <v>1</v>
          </cell>
          <cell r="E1064" t="str">
            <v>701</v>
          </cell>
          <cell r="F1064" t="str">
            <v>N000</v>
          </cell>
          <cell r="G1064" t="str">
            <v>512</v>
          </cell>
          <cell r="H1064" t="str">
            <v>1103</v>
          </cell>
          <cell r="I1064" t="str">
            <v>CF01059</v>
          </cell>
          <cell r="J1064" t="str">
            <v>28</v>
          </cell>
          <cell r="K1064" t="str">
            <v>1</v>
          </cell>
          <cell r="L1064">
            <v>12</v>
          </cell>
          <cell r="M1064">
            <v>0</v>
          </cell>
          <cell r="N1064">
            <v>3631.8</v>
          </cell>
          <cell r="O1064" t="str">
            <v>M</v>
          </cell>
          <cell r="P1064" t="str">
            <v>00000000</v>
          </cell>
          <cell r="Q1064">
            <v>8731.1</v>
          </cell>
          <cell r="R1064">
            <v>524.59</v>
          </cell>
          <cell r="S1064">
            <v>100.88</v>
          </cell>
          <cell r="T1064">
            <v>463.05</v>
          </cell>
          <cell r="U1064">
            <v>181.59</v>
          </cell>
          <cell r="V1064">
            <v>222.53</v>
          </cell>
          <cell r="W1064">
            <v>72.64</v>
          </cell>
          <cell r="X1064">
            <v>48.83</v>
          </cell>
          <cell r="Y1064">
            <v>618.15</v>
          </cell>
          <cell r="Z1064">
            <v>262.27999999999997</v>
          </cell>
          <cell r="AA1064">
            <v>77</v>
          </cell>
          <cell r="AB1064">
            <v>0</v>
          </cell>
          <cell r="AC1064">
            <v>0</v>
          </cell>
          <cell r="AD1064">
            <v>13.49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Y1064">
            <v>2152501.92</v>
          </cell>
        </row>
        <row r="1065">
          <cell r="A1065">
            <v>2</v>
          </cell>
          <cell r="B1065" t="str">
            <v>12</v>
          </cell>
          <cell r="C1065" t="str">
            <v>000</v>
          </cell>
          <cell r="D1065" t="str">
            <v>1</v>
          </cell>
          <cell r="E1065" t="str">
            <v>701</v>
          </cell>
          <cell r="F1065" t="str">
            <v>N000</v>
          </cell>
          <cell r="G1065" t="str">
            <v>512</v>
          </cell>
          <cell r="H1065" t="str">
            <v>1103</v>
          </cell>
          <cell r="I1065" t="str">
            <v>CF03809</v>
          </cell>
          <cell r="J1065" t="str">
            <v>25</v>
          </cell>
          <cell r="K1065" t="str">
            <v>2</v>
          </cell>
          <cell r="L1065">
            <v>2</v>
          </cell>
          <cell r="M1065">
            <v>0</v>
          </cell>
          <cell r="N1065">
            <v>2572.4</v>
          </cell>
          <cell r="O1065" t="str">
            <v>M</v>
          </cell>
          <cell r="P1065" t="str">
            <v>00000000</v>
          </cell>
          <cell r="Q1065">
            <v>0</v>
          </cell>
          <cell r="R1065">
            <v>371.57</v>
          </cell>
          <cell r="S1065">
            <v>71.459999999999994</v>
          </cell>
          <cell r="T1065">
            <v>327.98</v>
          </cell>
          <cell r="U1065">
            <v>128.62</v>
          </cell>
          <cell r="V1065">
            <v>46.3</v>
          </cell>
          <cell r="W1065">
            <v>51.45</v>
          </cell>
          <cell r="X1065">
            <v>46</v>
          </cell>
          <cell r="Y1065">
            <v>0</v>
          </cell>
          <cell r="Z1065">
            <v>66.290000000000006</v>
          </cell>
          <cell r="AA1065">
            <v>77</v>
          </cell>
          <cell r="AB1065">
            <v>96</v>
          </cell>
          <cell r="AC1065">
            <v>80</v>
          </cell>
          <cell r="AD1065">
            <v>13.49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Y1065">
            <v>94765.440000000002</v>
          </cell>
        </row>
        <row r="1066">
          <cell r="A1066">
            <v>2</v>
          </cell>
          <cell r="B1066" t="str">
            <v>12</v>
          </cell>
          <cell r="C1066" t="str">
            <v>000</v>
          </cell>
          <cell r="D1066" t="str">
            <v>1</v>
          </cell>
          <cell r="E1066" t="str">
            <v>701</v>
          </cell>
          <cell r="F1066" t="str">
            <v>N000</v>
          </cell>
          <cell r="G1066" t="str">
            <v>512</v>
          </cell>
          <cell r="H1066" t="str">
            <v>1103</v>
          </cell>
          <cell r="I1066" t="str">
            <v>CF04806</v>
          </cell>
          <cell r="J1066" t="str">
            <v>26</v>
          </cell>
          <cell r="K1066" t="str">
            <v>2</v>
          </cell>
          <cell r="L1066">
            <v>31</v>
          </cell>
          <cell r="M1066">
            <v>0</v>
          </cell>
          <cell r="N1066">
            <v>2692.2</v>
          </cell>
          <cell r="O1066" t="str">
            <v>M</v>
          </cell>
          <cell r="P1066" t="str">
            <v>00000000</v>
          </cell>
          <cell r="Q1066">
            <v>0</v>
          </cell>
          <cell r="R1066">
            <v>388.87</v>
          </cell>
          <cell r="S1066">
            <v>74.78</v>
          </cell>
          <cell r="T1066">
            <v>343.26</v>
          </cell>
          <cell r="U1066">
            <v>134.61000000000001</v>
          </cell>
          <cell r="V1066">
            <v>48.46</v>
          </cell>
          <cell r="W1066">
            <v>53.84</v>
          </cell>
          <cell r="X1066">
            <v>67.260000000000005</v>
          </cell>
          <cell r="Y1066">
            <v>0</v>
          </cell>
          <cell r="Z1066">
            <v>69.52</v>
          </cell>
          <cell r="AA1066">
            <v>77</v>
          </cell>
          <cell r="AB1066">
            <v>96</v>
          </cell>
          <cell r="AC1066">
            <v>80</v>
          </cell>
          <cell r="AD1066">
            <v>13.49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Y1066">
            <v>1539815.88</v>
          </cell>
        </row>
        <row r="1067">
          <cell r="A1067">
            <v>2</v>
          </cell>
          <cell r="B1067" t="str">
            <v>12</v>
          </cell>
          <cell r="C1067" t="str">
            <v>000</v>
          </cell>
          <cell r="D1067" t="str">
            <v>1</v>
          </cell>
          <cell r="E1067" t="str">
            <v>701</v>
          </cell>
          <cell r="F1067" t="str">
            <v>N000</v>
          </cell>
          <cell r="G1067" t="str">
            <v>512</v>
          </cell>
          <cell r="H1067" t="str">
            <v>1103</v>
          </cell>
          <cell r="I1067" t="str">
            <v>CF04807</v>
          </cell>
          <cell r="J1067" t="str">
            <v>27Z</v>
          </cell>
          <cell r="K1067" t="str">
            <v>2</v>
          </cell>
          <cell r="L1067">
            <v>17</v>
          </cell>
          <cell r="M1067">
            <v>0</v>
          </cell>
          <cell r="N1067">
            <v>2900.25</v>
          </cell>
          <cell r="O1067" t="str">
            <v>M</v>
          </cell>
          <cell r="P1067" t="str">
            <v>00000000</v>
          </cell>
          <cell r="Q1067">
            <v>205.15</v>
          </cell>
          <cell r="R1067">
            <v>418.93</v>
          </cell>
          <cell r="S1067">
            <v>80.56</v>
          </cell>
          <cell r="T1067">
            <v>369.78</v>
          </cell>
          <cell r="U1067">
            <v>145.01</v>
          </cell>
          <cell r="V1067">
            <v>55.89</v>
          </cell>
          <cell r="W1067">
            <v>58.01</v>
          </cell>
          <cell r="X1067">
            <v>72.47</v>
          </cell>
          <cell r="Y1067">
            <v>0</v>
          </cell>
          <cell r="Z1067">
            <v>78.61</v>
          </cell>
          <cell r="AA1067">
            <v>77</v>
          </cell>
          <cell r="AB1067">
            <v>96</v>
          </cell>
          <cell r="AC1067">
            <v>80</v>
          </cell>
          <cell r="AD1067">
            <v>13.49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Y1067">
            <v>948834.6</v>
          </cell>
        </row>
        <row r="1068">
          <cell r="A1068">
            <v>2</v>
          </cell>
          <cell r="B1068" t="str">
            <v>12</v>
          </cell>
          <cell r="C1068" t="str">
            <v>000</v>
          </cell>
          <cell r="D1068" t="str">
            <v>1</v>
          </cell>
          <cell r="E1068" t="str">
            <v>701</v>
          </cell>
          <cell r="F1068" t="str">
            <v>N000</v>
          </cell>
          <cell r="G1068" t="str">
            <v>512</v>
          </cell>
          <cell r="H1068" t="str">
            <v>1103</v>
          </cell>
          <cell r="I1068" t="str">
            <v>CF04808</v>
          </cell>
          <cell r="J1068" t="str">
            <v>27ZA</v>
          </cell>
          <cell r="K1068" t="str">
            <v>2</v>
          </cell>
          <cell r="L1068">
            <v>21</v>
          </cell>
          <cell r="M1068">
            <v>0</v>
          </cell>
          <cell r="N1068">
            <v>2982.9</v>
          </cell>
          <cell r="O1068" t="str">
            <v>M</v>
          </cell>
          <cell r="P1068" t="str">
            <v>00000000</v>
          </cell>
          <cell r="Q1068">
            <v>579.4</v>
          </cell>
          <cell r="R1068">
            <v>430.86</v>
          </cell>
          <cell r="S1068">
            <v>82.86</v>
          </cell>
          <cell r="T1068">
            <v>380.32</v>
          </cell>
          <cell r="U1068">
            <v>149.15</v>
          </cell>
          <cell r="V1068">
            <v>64.12</v>
          </cell>
          <cell r="W1068">
            <v>59.66</v>
          </cell>
          <cell r="X1068">
            <v>63.9</v>
          </cell>
          <cell r="Y1068">
            <v>0</v>
          </cell>
          <cell r="Z1068">
            <v>87.86</v>
          </cell>
          <cell r="AA1068">
            <v>77</v>
          </cell>
          <cell r="AB1068">
            <v>96</v>
          </cell>
          <cell r="AC1068">
            <v>80</v>
          </cell>
          <cell r="AD1068">
            <v>13.49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Y1068">
            <v>1297175.04</v>
          </cell>
        </row>
        <row r="1069">
          <cell r="A1069">
            <v>2</v>
          </cell>
          <cell r="B1069" t="str">
            <v>12</v>
          </cell>
          <cell r="C1069" t="str">
            <v>000</v>
          </cell>
          <cell r="D1069" t="str">
            <v>1</v>
          </cell>
          <cell r="E1069" t="str">
            <v>701</v>
          </cell>
          <cell r="F1069" t="str">
            <v>N000</v>
          </cell>
          <cell r="G1069" t="str">
            <v>512</v>
          </cell>
          <cell r="H1069" t="str">
            <v>1103</v>
          </cell>
          <cell r="I1069" t="str">
            <v>CF12825</v>
          </cell>
          <cell r="J1069" t="str">
            <v>27ZB</v>
          </cell>
          <cell r="K1069" t="str">
            <v>2</v>
          </cell>
          <cell r="L1069">
            <v>5</v>
          </cell>
          <cell r="M1069">
            <v>0</v>
          </cell>
          <cell r="N1069">
            <v>3008.65</v>
          </cell>
          <cell r="O1069" t="str">
            <v>M</v>
          </cell>
          <cell r="P1069" t="str">
            <v>00000000</v>
          </cell>
          <cell r="Q1069">
            <v>857</v>
          </cell>
          <cell r="R1069">
            <v>434.58</v>
          </cell>
          <cell r="S1069">
            <v>83.57</v>
          </cell>
          <cell r="T1069">
            <v>383.6</v>
          </cell>
          <cell r="U1069">
            <v>150.43</v>
          </cell>
          <cell r="V1069">
            <v>69.59</v>
          </cell>
          <cell r="W1069">
            <v>60.17</v>
          </cell>
          <cell r="X1069">
            <v>58.6</v>
          </cell>
          <cell r="Y1069">
            <v>0</v>
          </cell>
          <cell r="Z1069">
            <v>93.91</v>
          </cell>
          <cell r="AA1069">
            <v>77</v>
          </cell>
          <cell r="AB1069">
            <v>96</v>
          </cell>
          <cell r="AC1069">
            <v>80</v>
          </cell>
          <cell r="AD1069">
            <v>13.49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Y1069">
            <v>327995.40000000002</v>
          </cell>
        </row>
        <row r="1070">
          <cell r="A1070">
            <v>2</v>
          </cell>
          <cell r="B1070" t="str">
            <v>12</v>
          </cell>
          <cell r="C1070" t="str">
            <v>000</v>
          </cell>
          <cell r="D1070" t="str">
            <v>1</v>
          </cell>
          <cell r="E1070" t="str">
            <v>701</v>
          </cell>
          <cell r="F1070" t="str">
            <v>N000</v>
          </cell>
          <cell r="G1070" t="str">
            <v>512</v>
          </cell>
          <cell r="H1070" t="str">
            <v>1103</v>
          </cell>
          <cell r="I1070" t="str">
            <v>CF21807</v>
          </cell>
          <cell r="J1070" t="str">
            <v>26</v>
          </cell>
          <cell r="K1070" t="str">
            <v>2</v>
          </cell>
          <cell r="L1070">
            <v>1</v>
          </cell>
          <cell r="M1070">
            <v>0</v>
          </cell>
          <cell r="N1070">
            <v>2692.2</v>
          </cell>
          <cell r="O1070" t="str">
            <v>M</v>
          </cell>
          <cell r="P1070" t="str">
            <v>00000000</v>
          </cell>
          <cell r="Q1070">
            <v>0</v>
          </cell>
          <cell r="R1070">
            <v>388.87</v>
          </cell>
          <cell r="S1070">
            <v>74.78</v>
          </cell>
          <cell r="T1070">
            <v>343.26</v>
          </cell>
          <cell r="U1070">
            <v>134.61000000000001</v>
          </cell>
          <cell r="V1070">
            <v>48.46</v>
          </cell>
          <cell r="W1070">
            <v>53.84</v>
          </cell>
          <cell r="X1070">
            <v>46</v>
          </cell>
          <cell r="Y1070">
            <v>0</v>
          </cell>
          <cell r="Z1070">
            <v>69.099999999999994</v>
          </cell>
          <cell r="AA1070">
            <v>77</v>
          </cell>
          <cell r="AB1070">
            <v>96</v>
          </cell>
          <cell r="AC1070">
            <v>80</v>
          </cell>
          <cell r="AD1070">
            <v>13.49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Y1070">
            <v>49411.32</v>
          </cell>
        </row>
        <row r="1071">
          <cell r="A1071">
            <v>2</v>
          </cell>
          <cell r="B1071" t="str">
            <v>12</v>
          </cell>
          <cell r="C1071" t="str">
            <v>000</v>
          </cell>
          <cell r="D1071" t="str">
            <v>1</v>
          </cell>
          <cell r="E1071" t="str">
            <v>701</v>
          </cell>
          <cell r="F1071" t="str">
            <v>N000</v>
          </cell>
          <cell r="G1071" t="str">
            <v>512</v>
          </cell>
          <cell r="H1071" t="str">
            <v>1103</v>
          </cell>
          <cell r="I1071" t="str">
            <v>CF21829</v>
          </cell>
          <cell r="J1071" t="str">
            <v>27ZB</v>
          </cell>
          <cell r="K1071" t="str">
            <v>2</v>
          </cell>
          <cell r="L1071">
            <v>6</v>
          </cell>
          <cell r="M1071">
            <v>0</v>
          </cell>
          <cell r="N1071">
            <v>3008.65</v>
          </cell>
          <cell r="O1071" t="str">
            <v>M</v>
          </cell>
          <cell r="P1071" t="str">
            <v>00000000</v>
          </cell>
          <cell r="Q1071">
            <v>857</v>
          </cell>
          <cell r="R1071">
            <v>434.58</v>
          </cell>
          <cell r="S1071">
            <v>83.57</v>
          </cell>
          <cell r="T1071">
            <v>383.6</v>
          </cell>
          <cell r="U1071">
            <v>150.43</v>
          </cell>
          <cell r="V1071">
            <v>69.59</v>
          </cell>
          <cell r="W1071">
            <v>60.17</v>
          </cell>
          <cell r="X1071">
            <v>98.5</v>
          </cell>
          <cell r="Y1071">
            <v>0</v>
          </cell>
          <cell r="Z1071">
            <v>94.71</v>
          </cell>
          <cell r="AA1071">
            <v>77</v>
          </cell>
          <cell r="AB1071">
            <v>96</v>
          </cell>
          <cell r="AC1071">
            <v>80</v>
          </cell>
          <cell r="AD1071">
            <v>13.49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Y1071">
            <v>396524.88</v>
          </cell>
        </row>
        <row r="1072">
          <cell r="A1072">
            <v>2</v>
          </cell>
          <cell r="B1072" t="str">
            <v>12</v>
          </cell>
          <cell r="C1072" t="str">
            <v>000</v>
          </cell>
          <cell r="D1072" t="str">
            <v>1</v>
          </cell>
          <cell r="E1072" t="str">
            <v>701</v>
          </cell>
          <cell r="F1072" t="str">
            <v>N000</v>
          </cell>
          <cell r="G1072" t="str">
            <v>512</v>
          </cell>
          <cell r="H1072" t="str">
            <v>1103</v>
          </cell>
          <cell r="I1072" t="str">
            <v>CF21856</v>
          </cell>
          <cell r="J1072" t="str">
            <v>27Z</v>
          </cell>
          <cell r="K1072" t="str">
            <v>2</v>
          </cell>
          <cell r="L1072">
            <v>11</v>
          </cell>
          <cell r="M1072">
            <v>0</v>
          </cell>
          <cell r="N1072">
            <v>2900.25</v>
          </cell>
          <cell r="O1072" t="str">
            <v>M</v>
          </cell>
          <cell r="P1072" t="str">
            <v>00000000</v>
          </cell>
          <cell r="Q1072">
            <v>205.15</v>
          </cell>
          <cell r="R1072">
            <v>418.93</v>
          </cell>
          <cell r="S1072">
            <v>80.56</v>
          </cell>
          <cell r="T1072">
            <v>369.78</v>
          </cell>
          <cell r="U1072">
            <v>145.01</v>
          </cell>
          <cell r="V1072">
            <v>55.89</v>
          </cell>
          <cell r="W1072">
            <v>58.01</v>
          </cell>
          <cell r="X1072">
            <v>74.55</v>
          </cell>
          <cell r="Y1072">
            <v>0</v>
          </cell>
          <cell r="Z1072">
            <v>78.650000000000006</v>
          </cell>
          <cell r="AA1072">
            <v>77</v>
          </cell>
          <cell r="AB1072">
            <v>96</v>
          </cell>
          <cell r="AC1072">
            <v>80</v>
          </cell>
          <cell r="AD1072">
            <v>13.49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Y1072">
            <v>614231.64</v>
          </cell>
        </row>
        <row r="1073">
          <cell r="A1073">
            <v>2</v>
          </cell>
          <cell r="B1073" t="str">
            <v>12</v>
          </cell>
          <cell r="C1073" t="str">
            <v>000</v>
          </cell>
          <cell r="D1073" t="str">
            <v>1</v>
          </cell>
          <cell r="E1073" t="str">
            <v>701</v>
          </cell>
          <cell r="F1073" t="str">
            <v>N000</v>
          </cell>
          <cell r="G1073" t="str">
            <v>512</v>
          </cell>
          <cell r="H1073" t="str">
            <v>1103</v>
          </cell>
          <cell r="I1073" t="str">
            <v>CF21858</v>
          </cell>
          <cell r="J1073" t="str">
            <v>27ZA</v>
          </cell>
          <cell r="K1073" t="str">
            <v>2</v>
          </cell>
          <cell r="L1073">
            <v>5</v>
          </cell>
          <cell r="M1073">
            <v>0</v>
          </cell>
          <cell r="N1073">
            <v>2982.9</v>
          </cell>
          <cell r="O1073" t="str">
            <v>M</v>
          </cell>
          <cell r="P1073" t="str">
            <v>00000000</v>
          </cell>
          <cell r="Q1073">
            <v>579.4</v>
          </cell>
          <cell r="R1073">
            <v>430.86</v>
          </cell>
          <cell r="S1073">
            <v>82.86</v>
          </cell>
          <cell r="T1073">
            <v>380.32</v>
          </cell>
          <cell r="U1073">
            <v>149.15</v>
          </cell>
          <cell r="V1073">
            <v>64.12</v>
          </cell>
          <cell r="W1073">
            <v>59.66</v>
          </cell>
          <cell r="X1073">
            <v>64</v>
          </cell>
          <cell r="Y1073">
            <v>0</v>
          </cell>
          <cell r="Z1073">
            <v>87.86</v>
          </cell>
          <cell r="AA1073">
            <v>77</v>
          </cell>
          <cell r="AB1073">
            <v>96</v>
          </cell>
          <cell r="AC1073">
            <v>80</v>
          </cell>
          <cell r="AD1073">
            <v>13.49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Y1073">
            <v>308857.2</v>
          </cell>
        </row>
        <row r="1074">
          <cell r="A1074">
            <v>2</v>
          </cell>
          <cell r="B1074" t="str">
            <v>12</v>
          </cell>
          <cell r="C1074" t="str">
            <v>000</v>
          </cell>
          <cell r="D1074" t="str">
            <v>1</v>
          </cell>
          <cell r="E1074" t="str">
            <v>701</v>
          </cell>
          <cell r="F1074" t="str">
            <v>N000</v>
          </cell>
          <cell r="G1074" t="str">
            <v>512</v>
          </cell>
          <cell r="H1074" t="str">
            <v>1103</v>
          </cell>
          <cell r="I1074" t="str">
            <v>CF21859</v>
          </cell>
          <cell r="J1074" t="str">
            <v>27ZB</v>
          </cell>
          <cell r="K1074" t="str">
            <v>2</v>
          </cell>
          <cell r="L1074">
            <v>23</v>
          </cell>
          <cell r="M1074">
            <v>0</v>
          </cell>
          <cell r="N1074">
            <v>3008.65</v>
          </cell>
          <cell r="O1074" t="str">
            <v>M</v>
          </cell>
          <cell r="P1074" t="str">
            <v>00000000</v>
          </cell>
          <cell r="Q1074">
            <v>857</v>
          </cell>
          <cell r="R1074">
            <v>434.58</v>
          </cell>
          <cell r="S1074">
            <v>83.57</v>
          </cell>
          <cell r="T1074">
            <v>383.6</v>
          </cell>
          <cell r="U1074">
            <v>150.43</v>
          </cell>
          <cell r="V1074">
            <v>69.59</v>
          </cell>
          <cell r="W1074">
            <v>60.17</v>
          </cell>
          <cell r="X1074">
            <v>76.040000000000006</v>
          </cell>
          <cell r="Y1074">
            <v>0</v>
          </cell>
          <cell r="Z1074">
            <v>94.26</v>
          </cell>
          <cell r="AA1074">
            <v>77</v>
          </cell>
          <cell r="AB1074">
            <v>96</v>
          </cell>
          <cell r="AC1074">
            <v>80</v>
          </cell>
          <cell r="AD1074">
            <v>13.49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Y1074">
            <v>1513688.88</v>
          </cell>
        </row>
        <row r="1075">
          <cell r="A1075">
            <v>2</v>
          </cell>
          <cell r="B1075" t="str">
            <v>12</v>
          </cell>
          <cell r="C1075" t="str">
            <v>000</v>
          </cell>
          <cell r="D1075" t="str">
            <v>1</v>
          </cell>
          <cell r="E1075" t="str">
            <v>701</v>
          </cell>
          <cell r="F1075" t="str">
            <v>N000</v>
          </cell>
          <cell r="G1075" t="str">
            <v>512</v>
          </cell>
          <cell r="H1075" t="str">
            <v>1103</v>
          </cell>
          <cell r="I1075" t="str">
            <v>CF21864</v>
          </cell>
          <cell r="J1075" t="str">
            <v>27C</v>
          </cell>
          <cell r="K1075" t="str">
            <v>1</v>
          </cell>
          <cell r="L1075">
            <v>53</v>
          </cell>
          <cell r="M1075">
            <v>0</v>
          </cell>
          <cell r="N1075">
            <v>3268.2</v>
          </cell>
          <cell r="O1075" t="str">
            <v>M</v>
          </cell>
          <cell r="P1075" t="str">
            <v>00000000</v>
          </cell>
          <cell r="Q1075">
            <v>4783.05</v>
          </cell>
          <cell r="R1075">
            <v>472.07</v>
          </cell>
          <cell r="S1075">
            <v>90.78</v>
          </cell>
          <cell r="T1075">
            <v>416.7</v>
          </cell>
          <cell r="U1075">
            <v>163.41</v>
          </cell>
          <cell r="V1075">
            <v>144.91999999999999</v>
          </cell>
          <cell r="W1075">
            <v>65.36</v>
          </cell>
          <cell r="X1075">
            <v>54.68</v>
          </cell>
          <cell r="Y1075">
            <v>0</v>
          </cell>
          <cell r="Z1075">
            <v>174.92</v>
          </cell>
          <cell r="AA1075">
            <v>77</v>
          </cell>
          <cell r="AB1075">
            <v>0</v>
          </cell>
          <cell r="AC1075">
            <v>0</v>
          </cell>
          <cell r="AD1075">
            <v>13.49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Y1075">
            <v>6184832.8799999999</v>
          </cell>
        </row>
        <row r="1076">
          <cell r="A1076">
            <v>2</v>
          </cell>
          <cell r="B1076" t="str">
            <v>12</v>
          </cell>
          <cell r="C1076" t="str">
            <v>000</v>
          </cell>
          <cell r="D1076" t="str">
            <v>1</v>
          </cell>
          <cell r="E1076" t="str">
            <v>701</v>
          </cell>
          <cell r="F1076" t="str">
            <v>N000</v>
          </cell>
          <cell r="G1076" t="str">
            <v>512</v>
          </cell>
          <cell r="H1076" t="str">
            <v>1103</v>
          </cell>
          <cell r="I1076" t="str">
            <v>CF21865</v>
          </cell>
          <cell r="J1076" t="str">
            <v>27B</v>
          </cell>
          <cell r="K1076" t="str">
            <v>1</v>
          </cell>
          <cell r="L1076">
            <v>25</v>
          </cell>
          <cell r="M1076">
            <v>0</v>
          </cell>
          <cell r="N1076">
            <v>3222.2</v>
          </cell>
          <cell r="O1076" t="str">
            <v>M</v>
          </cell>
          <cell r="P1076" t="str">
            <v>00000000</v>
          </cell>
          <cell r="Q1076">
            <v>3558.85</v>
          </cell>
          <cell r="R1076">
            <v>465.43</v>
          </cell>
          <cell r="S1076">
            <v>89.51</v>
          </cell>
          <cell r="T1076">
            <v>410.83</v>
          </cell>
          <cell r="U1076">
            <v>161.11000000000001</v>
          </cell>
          <cell r="V1076">
            <v>122.06</v>
          </cell>
          <cell r="W1076">
            <v>64.44</v>
          </cell>
          <cell r="X1076">
            <v>77.319999999999993</v>
          </cell>
          <cell r="Y1076">
            <v>0</v>
          </cell>
          <cell r="Z1076">
            <v>149.81</v>
          </cell>
          <cell r="AA1076">
            <v>77</v>
          </cell>
          <cell r="AB1076">
            <v>0</v>
          </cell>
          <cell r="AC1076">
            <v>0</v>
          </cell>
          <cell r="AD1076">
            <v>13.49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Y1076">
            <v>2523615</v>
          </cell>
        </row>
        <row r="1077">
          <cell r="A1077">
            <v>2</v>
          </cell>
          <cell r="B1077" t="str">
            <v>12</v>
          </cell>
          <cell r="C1077" t="str">
            <v>000</v>
          </cell>
          <cell r="D1077" t="str">
            <v>1</v>
          </cell>
          <cell r="E1077" t="str">
            <v>701</v>
          </cell>
          <cell r="F1077" t="str">
            <v>N000</v>
          </cell>
          <cell r="G1077" t="str">
            <v>512</v>
          </cell>
          <cell r="H1077" t="str">
            <v>1103</v>
          </cell>
          <cell r="I1077" t="str">
            <v>CF21866</v>
          </cell>
          <cell r="J1077" t="str">
            <v>27A</v>
          </cell>
          <cell r="K1077" t="str">
            <v>1</v>
          </cell>
          <cell r="L1077">
            <v>9</v>
          </cell>
          <cell r="M1077">
            <v>0</v>
          </cell>
          <cell r="N1077">
            <v>3185.4</v>
          </cell>
          <cell r="O1077" t="str">
            <v>M</v>
          </cell>
          <cell r="P1077" t="str">
            <v>00000000</v>
          </cell>
          <cell r="Q1077">
            <v>2791.7</v>
          </cell>
          <cell r="R1077">
            <v>460.11</v>
          </cell>
          <cell r="S1077">
            <v>88.48</v>
          </cell>
          <cell r="T1077">
            <v>406.14</v>
          </cell>
          <cell r="U1077">
            <v>159.27000000000001</v>
          </cell>
          <cell r="V1077">
            <v>107.59</v>
          </cell>
          <cell r="W1077">
            <v>63.71</v>
          </cell>
          <cell r="X1077">
            <v>56</v>
          </cell>
          <cell r="Y1077">
            <v>0</v>
          </cell>
          <cell r="Z1077">
            <v>133.16999999999999</v>
          </cell>
          <cell r="AA1077">
            <v>77</v>
          </cell>
          <cell r="AB1077">
            <v>0</v>
          </cell>
          <cell r="AC1077">
            <v>0</v>
          </cell>
          <cell r="AD1077">
            <v>13.49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Y1077">
            <v>814542.48</v>
          </cell>
        </row>
        <row r="1078">
          <cell r="A1078">
            <v>2</v>
          </cell>
          <cell r="B1078" t="str">
            <v>12</v>
          </cell>
          <cell r="C1078" t="str">
            <v>000</v>
          </cell>
          <cell r="D1078" t="str">
            <v>1</v>
          </cell>
          <cell r="E1078" t="str">
            <v>701</v>
          </cell>
          <cell r="F1078" t="str">
            <v>N000</v>
          </cell>
          <cell r="G1078" t="str">
            <v>512</v>
          </cell>
          <cell r="H1078" t="str">
            <v>1103</v>
          </cell>
          <cell r="I1078" t="str">
            <v>CF21893</v>
          </cell>
          <cell r="J1078" t="str">
            <v>27F</v>
          </cell>
          <cell r="K1078" t="str">
            <v>1</v>
          </cell>
          <cell r="L1078">
            <v>1</v>
          </cell>
          <cell r="M1078">
            <v>0</v>
          </cell>
          <cell r="N1078">
            <v>4311.3999999999996</v>
          </cell>
          <cell r="O1078" t="str">
            <v>M</v>
          </cell>
          <cell r="P1078" t="str">
            <v>00000000</v>
          </cell>
          <cell r="Q1078">
            <v>11306.9</v>
          </cell>
          <cell r="R1078">
            <v>622.76</v>
          </cell>
          <cell r="S1078">
            <v>119.76</v>
          </cell>
          <cell r="T1078">
            <v>549.70000000000005</v>
          </cell>
          <cell r="U1078">
            <v>215.57</v>
          </cell>
          <cell r="V1078">
            <v>281.13</v>
          </cell>
          <cell r="W1078">
            <v>86.23</v>
          </cell>
          <cell r="X1078">
            <v>46</v>
          </cell>
          <cell r="Y1078">
            <v>780.91</v>
          </cell>
          <cell r="Z1078">
            <v>329.68</v>
          </cell>
          <cell r="AA1078">
            <v>77</v>
          </cell>
          <cell r="AB1078">
            <v>0</v>
          </cell>
          <cell r="AC1078">
            <v>0</v>
          </cell>
          <cell r="AD1078">
            <v>13.49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Y1078">
            <v>224886.36</v>
          </cell>
        </row>
        <row r="1079">
          <cell r="A1079">
            <v>2</v>
          </cell>
          <cell r="B1079" t="str">
            <v>12</v>
          </cell>
          <cell r="C1079" t="str">
            <v>000</v>
          </cell>
          <cell r="D1079" t="str">
            <v>1</v>
          </cell>
          <cell r="E1079" t="str">
            <v>701</v>
          </cell>
          <cell r="F1079" t="str">
            <v>N000</v>
          </cell>
          <cell r="G1079" t="str">
            <v>512</v>
          </cell>
          <cell r="H1079" t="str">
            <v>1103</v>
          </cell>
          <cell r="I1079" t="str">
            <v>CF21899</v>
          </cell>
          <cell r="J1079" t="str">
            <v>27CC</v>
          </cell>
          <cell r="K1079" t="str">
            <v>1</v>
          </cell>
          <cell r="L1079">
            <v>6</v>
          </cell>
          <cell r="M1079">
            <v>0</v>
          </cell>
          <cell r="N1079">
            <v>3368.65</v>
          </cell>
          <cell r="O1079" t="str">
            <v>M</v>
          </cell>
          <cell r="P1079" t="str">
            <v>00000000</v>
          </cell>
          <cell r="Q1079">
            <v>6973.4</v>
          </cell>
          <cell r="R1079">
            <v>486.58</v>
          </cell>
          <cell r="S1079">
            <v>93.57</v>
          </cell>
          <cell r="T1079">
            <v>429.5</v>
          </cell>
          <cell r="U1079">
            <v>168.43</v>
          </cell>
          <cell r="V1079">
            <v>186.16</v>
          </cell>
          <cell r="W1079">
            <v>67.37</v>
          </cell>
          <cell r="X1079">
            <v>46</v>
          </cell>
          <cell r="Y1079">
            <v>517.1</v>
          </cell>
          <cell r="Z1079">
            <v>220.9</v>
          </cell>
          <cell r="AA1079">
            <v>77</v>
          </cell>
          <cell r="AB1079">
            <v>0</v>
          </cell>
          <cell r="AC1079">
            <v>0</v>
          </cell>
          <cell r="AD1079">
            <v>13.49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Y1079">
            <v>910666.8</v>
          </cell>
        </row>
        <row r="1080">
          <cell r="A1080">
            <v>2</v>
          </cell>
          <cell r="B1080" t="str">
            <v>12</v>
          </cell>
          <cell r="C1080" t="str">
            <v>000</v>
          </cell>
          <cell r="D1080" t="str">
            <v>1</v>
          </cell>
          <cell r="E1080" t="str">
            <v>701</v>
          </cell>
          <cell r="F1080" t="str">
            <v>N000</v>
          </cell>
          <cell r="G1080" t="str">
            <v>512</v>
          </cell>
          <cell r="H1080" t="str">
            <v>1103</v>
          </cell>
          <cell r="I1080" t="str">
            <v>CF21905</v>
          </cell>
          <cell r="J1080" t="str">
            <v>27H</v>
          </cell>
          <cell r="K1080" t="str">
            <v>1</v>
          </cell>
          <cell r="L1080">
            <v>1</v>
          </cell>
          <cell r="M1080">
            <v>0</v>
          </cell>
          <cell r="N1080">
            <v>4311.3999999999996</v>
          </cell>
          <cell r="O1080" t="str">
            <v>M</v>
          </cell>
          <cell r="P1080" t="str">
            <v>00000000</v>
          </cell>
          <cell r="Q1080">
            <v>15441.65</v>
          </cell>
          <cell r="R1080">
            <v>622.76</v>
          </cell>
          <cell r="S1080">
            <v>119.76</v>
          </cell>
          <cell r="T1080">
            <v>549.70000000000005</v>
          </cell>
          <cell r="U1080">
            <v>215.57</v>
          </cell>
          <cell r="V1080">
            <v>355.56</v>
          </cell>
          <cell r="W1080">
            <v>86.23</v>
          </cell>
          <cell r="X1080">
            <v>46</v>
          </cell>
          <cell r="Y1080">
            <v>987.65</v>
          </cell>
          <cell r="Z1080">
            <v>412.37</v>
          </cell>
          <cell r="AA1080">
            <v>77</v>
          </cell>
          <cell r="AB1080">
            <v>0</v>
          </cell>
          <cell r="AC1080">
            <v>0</v>
          </cell>
          <cell r="AD1080">
            <v>13.49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Y1080">
            <v>278869.68</v>
          </cell>
        </row>
        <row r="1081">
          <cell r="A1081">
            <v>2</v>
          </cell>
          <cell r="B1081" t="str">
            <v>12</v>
          </cell>
          <cell r="C1081" t="str">
            <v>000</v>
          </cell>
          <cell r="D1081" t="str">
            <v>1</v>
          </cell>
          <cell r="E1081" t="str">
            <v>701</v>
          </cell>
          <cell r="F1081" t="str">
            <v>N000</v>
          </cell>
          <cell r="G1081" t="str">
            <v>512</v>
          </cell>
          <cell r="H1081" t="str">
            <v>1103</v>
          </cell>
          <cell r="I1081" t="str">
            <v>CF33834</v>
          </cell>
          <cell r="J1081" t="str">
            <v>27</v>
          </cell>
          <cell r="K1081" t="str">
            <v>2</v>
          </cell>
          <cell r="L1081">
            <v>5</v>
          </cell>
          <cell r="M1081">
            <v>0</v>
          </cell>
          <cell r="N1081">
            <v>2817.8</v>
          </cell>
          <cell r="O1081" t="str">
            <v>M</v>
          </cell>
          <cell r="P1081" t="str">
            <v>00000000</v>
          </cell>
          <cell r="Q1081">
            <v>0</v>
          </cell>
          <cell r="R1081">
            <v>407.02</v>
          </cell>
          <cell r="S1081">
            <v>78.27</v>
          </cell>
          <cell r="T1081">
            <v>359.27</v>
          </cell>
          <cell r="U1081">
            <v>140.88999999999999</v>
          </cell>
          <cell r="V1081">
            <v>50.72</v>
          </cell>
          <cell r="W1081">
            <v>56.36</v>
          </cell>
          <cell r="X1081">
            <v>119.8</v>
          </cell>
          <cell r="Y1081">
            <v>0</v>
          </cell>
          <cell r="Z1081">
            <v>73.52</v>
          </cell>
          <cell r="AA1081">
            <v>77</v>
          </cell>
          <cell r="AB1081">
            <v>96</v>
          </cell>
          <cell r="AC1081">
            <v>80</v>
          </cell>
          <cell r="AD1081">
            <v>13.49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Y1081">
            <v>262208.40000000002</v>
          </cell>
        </row>
        <row r="1082">
          <cell r="A1082">
            <v>2</v>
          </cell>
          <cell r="B1082" t="str">
            <v>12</v>
          </cell>
          <cell r="C1082" t="str">
            <v>000</v>
          </cell>
          <cell r="D1082" t="str">
            <v>1</v>
          </cell>
          <cell r="E1082" t="str">
            <v>701</v>
          </cell>
          <cell r="F1082" t="str">
            <v>N000</v>
          </cell>
          <cell r="G1082" t="str">
            <v>512</v>
          </cell>
          <cell r="H1082" t="str">
            <v>1103</v>
          </cell>
          <cell r="I1082" t="str">
            <v>CF33892</v>
          </cell>
          <cell r="J1082" t="str">
            <v>27ZA</v>
          </cell>
          <cell r="K1082" t="str">
            <v>2</v>
          </cell>
          <cell r="L1082">
            <v>193</v>
          </cell>
          <cell r="M1082">
            <v>0</v>
          </cell>
          <cell r="N1082">
            <v>2982.9</v>
          </cell>
          <cell r="O1082" t="str">
            <v>M</v>
          </cell>
          <cell r="P1082" t="str">
            <v>00000000</v>
          </cell>
          <cell r="Q1082">
            <v>579.4</v>
          </cell>
          <cell r="R1082">
            <v>430.86</v>
          </cell>
          <cell r="S1082">
            <v>82.86</v>
          </cell>
          <cell r="T1082">
            <v>380.32</v>
          </cell>
          <cell r="U1082">
            <v>149.15</v>
          </cell>
          <cell r="V1082">
            <v>64.12</v>
          </cell>
          <cell r="W1082">
            <v>59.66</v>
          </cell>
          <cell r="X1082">
            <v>66.06</v>
          </cell>
          <cell r="Y1082">
            <v>0</v>
          </cell>
          <cell r="Z1082">
            <v>87.9</v>
          </cell>
          <cell r="AA1082">
            <v>77</v>
          </cell>
          <cell r="AB1082">
            <v>96</v>
          </cell>
          <cell r="AC1082">
            <v>80</v>
          </cell>
          <cell r="AD1082">
            <v>13.49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Y1082">
            <v>11926751.52</v>
          </cell>
        </row>
        <row r="1083">
          <cell r="A1083">
            <v>2</v>
          </cell>
          <cell r="B1083" t="str">
            <v>12</v>
          </cell>
          <cell r="C1083" t="str">
            <v>000</v>
          </cell>
          <cell r="D1083" t="str">
            <v>1</v>
          </cell>
          <cell r="E1083" t="str">
            <v>701</v>
          </cell>
          <cell r="F1083" t="str">
            <v>N000</v>
          </cell>
          <cell r="G1083" t="str">
            <v>512</v>
          </cell>
          <cell r="H1083" t="str">
            <v>1103</v>
          </cell>
          <cell r="I1083" t="str">
            <v>CF34813</v>
          </cell>
          <cell r="J1083" t="str">
            <v>27</v>
          </cell>
          <cell r="K1083" t="str">
            <v>2</v>
          </cell>
          <cell r="L1083">
            <v>1</v>
          </cell>
          <cell r="M1083">
            <v>0</v>
          </cell>
          <cell r="N1083">
            <v>2817.8</v>
          </cell>
          <cell r="O1083" t="str">
            <v>M</v>
          </cell>
          <cell r="P1083" t="str">
            <v>00000000</v>
          </cell>
          <cell r="Q1083">
            <v>0</v>
          </cell>
          <cell r="R1083">
            <v>407.02</v>
          </cell>
          <cell r="S1083">
            <v>78.27</v>
          </cell>
          <cell r="T1083">
            <v>359.27</v>
          </cell>
          <cell r="U1083">
            <v>140.88999999999999</v>
          </cell>
          <cell r="V1083">
            <v>50.72</v>
          </cell>
          <cell r="W1083">
            <v>56.36</v>
          </cell>
          <cell r="X1083">
            <v>46</v>
          </cell>
          <cell r="Y1083">
            <v>0</v>
          </cell>
          <cell r="Z1083">
            <v>72.040000000000006</v>
          </cell>
          <cell r="AA1083">
            <v>77</v>
          </cell>
          <cell r="AB1083">
            <v>96</v>
          </cell>
          <cell r="AC1083">
            <v>80</v>
          </cell>
          <cell r="AD1083">
            <v>13.49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Y1083">
            <v>51538.32</v>
          </cell>
        </row>
        <row r="1084">
          <cell r="A1084">
            <v>2</v>
          </cell>
          <cell r="B1084" t="str">
            <v>12</v>
          </cell>
          <cell r="C1084" t="str">
            <v>000</v>
          </cell>
          <cell r="D1084" t="str">
            <v>1</v>
          </cell>
          <cell r="E1084" t="str">
            <v>701</v>
          </cell>
          <cell r="F1084" t="str">
            <v>N000</v>
          </cell>
          <cell r="G1084" t="str">
            <v>512</v>
          </cell>
          <cell r="H1084" t="str">
            <v>1103</v>
          </cell>
          <cell r="I1084" t="str">
            <v>CF41040</v>
          </cell>
          <cell r="K1084" t="str">
            <v>2</v>
          </cell>
          <cell r="L1084">
            <v>1</v>
          </cell>
          <cell r="M1084">
            <v>0</v>
          </cell>
          <cell r="N1084">
            <v>7482</v>
          </cell>
          <cell r="O1084" t="str">
            <v>M</v>
          </cell>
          <cell r="P1084" t="str">
            <v>00000000</v>
          </cell>
          <cell r="Q1084">
            <v>0</v>
          </cell>
          <cell r="R1084">
            <v>1080.73</v>
          </cell>
          <cell r="S1084">
            <v>207.83</v>
          </cell>
          <cell r="T1084">
            <v>953.96</v>
          </cell>
          <cell r="U1084">
            <v>374.1</v>
          </cell>
          <cell r="V1084">
            <v>134.68</v>
          </cell>
          <cell r="W1084">
            <v>149.63999999999999</v>
          </cell>
          <cell r="X1084">
            <v>82</v>
          </cell>
          <cell r="Y1084">
            <v>0</v>
          </cell>
          <cell r="Z1084">
            <v>290.86</v>
          </cell>
          <cell r="AA1084">
            <v>77</v>
          </cell>
          <cell r="AB1084">
            <v>96</v>
          </cell>
          <cell r="AC1084">
            <v>80</v>
          </cell>
          <cell r="AD1084">
            <v>13.49</v>
          </cell>
          <cell r="AE1084">
            <v>6.24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5431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Y1084">
            <v>197514.36</v>
          </cell>
        </row>
        <row r="1085">
          <cell r="A1085">
            <v>2</v>
          </cell>
          <cell r="B1085" t="str">
            <v>12</v>
          </cell>
          <cell r="C1085" t="str">
            <v>000</v>
          </cell>
          <cell r="D1085" t="str">
            <v>1</v>
          </cell>
          <cell r="E1085" t="str">
            <v>703</v>
          </cell>
          <cell r="F1085" t="str">
            <v>N000</v>
          </cell>
          <cell r="G1085" t="str">
            <v>513</v>
          </cell>
          <cell r="H1085" t="str">
            <v>1103</v>
          </cell>
          <cell r="I1085" t="str">
            <v>A01803</v>
          </cell>
          <cell r="J1085" t="str">
            <v>19</v>
          </cell>
          <cell r="K1085" t="str">
            <v>2</v>
          </cell>
          <cell r="L1085">
            <v>4</v>
          </cell>
          <cell r="M1085">
            <v>0</v>
          </cell>
          <cell r="N1085">
            <v>2120.3000000000002</v>
          </cell>
          <cell r="O1085" t="str">
            <v>M</v>
          </cell>
          <cell r="P1085" t="str">
            <v>00000000</v>
          </cell>
          <cell r="Q1085">
            <v>0</v>
          </cell>
          <cell r="R1085">
            <v>306.27</v>
          </cell>
          <cell r="S1085">
            <v>58.9</v>
          </cell>
          <cell r="T1085">
            <v>270.33999999999997</v>
          </cell>
          <cell r="U1085">
            <v>106.02</v>
          </cell>
          <cell r="V1085">
            <v>38.17</v>
          </cell>
          <cell r="W1085">
            <v>42.41</v>
          </cell>
          <cell r="X1085">
            <v>0</v>
          </cell>
          <cell r="Y1085">
            <v>0</v>
          </cell>
          <cell r="Z1085">
            <v>54.77</v>
          </cell>
          <cell r="AA1085">
            <v>77</v>
          </cell>
          <cell r="AB1085">
            <v>96</v>
          </cell>
          <cell r="AC1085">
            <v>80</v>
          </cell>
          <cell r="AD1085">
            <v>13.49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Y1085">
            <v>156656.16</v>
          </cell>
        </row>
        <row r="1086">
          <cell r="A1086">
            <v>2</v>
          </cell>
          <cell r="B1086" t="str">
            <v>12</v>
          </cell>
          <cell r="C1086" t="str">
            <v>000</v>
          </cell>
          <cell r="D1086" t="str">
            <v>1</v>
          </cell>
          <cell r="E1086" t="str">
            <v>703</v>
          </cell>
          <cell r="F1086" t="str">
            <v>N000</v>
          </cell>
          <cell r="G1086" t="str">
            <v>513</v>
          </cell>
          <cell r="H1086" t="str">
            <v>1103</v>
          </cell>
          <cell r="I1086" t="str">
            <v>A01805</v>
          </cell>
          <cell r="J1086" t="str">
            <v>21</v>
          </cell>
          <cell r="K1086" t="str">
            <v>2</v>
          </cell>
          <cell r="L1086">
            <v>12</v>
          </cell>
          <cell r="M1086">
            <v>0</v>
          </cell>
          <cell r="N1086">
            <v>2238.1999999999998</v>
          </cell>
          <cell r="O1086" t="str">
            <v>M</v>
          </cell>
          <cell r="P1086" t="str">
            <v>00000000</v>
          </cell>
          <cell r="Q1086">
            <v>0</v>
          </cell>
          <cell r="R1086">
            <v>323.3</v>
          </cell>
          <cell r="S1086">
            <v>62.17</v>
          </cell>
          <cell r="T1086">
            <v>285.37</v>
          </cell>
          <cell r="U1086">
            <v>111.91</v>
          </cell>
          <cell r="V1086">
            <v>40.29</v>
          </cell>
          <cell r="W1086">
            <v>44.76</v>
          </cell>
          <cell r="X1086">
            <v>12.25</v>
          </cell>
          <cell r="Y1086">
            <v>0</v>
          </cell>
          <cell r="Z1086">
            <v>57.78</v>
          </cell>
          <cell r="AA1086">
            <v>77</v>
          </cell>
          <cell r="AB1086">
            <v>96</v>
          </cell>
          <cell r="AC1086">
            <v>80</v>
          </cell>
          <cell r="AD1086">
            <v>13.49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Y1086">
            <v>495722.88</v>
          </cell>
        </row>
        <row r="1087">
          <cell r="A1087">
            <v>2</v>
          </cell>
          <cell r="B1087" t="str">
            <v>12</v>
          </cell>
          <cell r="C1087" t="str">
            <v>000</v>
          </cell>
          <cell r="D1087" t="str">
            <v>1</v>
          </cell>
          <cell r="E1087" t="str">
            <v>703</v>
          </cell>
          <cell r="F1087" t="str">
            <v>N000</v>
          </cell>
          <cell r="G1087" t="str">
            <v>513</v>
          </cell>
          <cell r="H1087" t="str">
            <v>1103</v>
          </cell>
          <cell r="I1087" t="str">
            <v>A01806</v>
          </cell>
          <cell r="J1087" t="str">
            <v>25</v>
          </cell>
          <cell r="K1087" t="str">
            <v>2</v>
          </cell>
          <cell r="L1087">
            <v>1</v>
          </cell>
          <cell r="M1087">
            <v>0</v>
          </cell>
          <cell r="N1087">
            <v>2572.4</v>
          </cell>
          <cell r="O1087" t="str">
            <v>M</v>
          </cell>
          <cell r="P1087" t="str">
            <v>00000000</v>
          </cell>
          <cell r="Q1087">
            <v>0</v>
          </cell>
          <cell r="R1087">
            <v>371.57</v>
          </cell>
          <cell r="S1087">
            <v>71.459999999999994</v>
          </cell>
          <cell r="T1087">
            <v>327.98</v>
          </cell>
          <cell r="U1087">
            <v>128.62</v>
          </cell>
          <cell r="V1087">
            <v>46.3</v>
          </cell>
          <cell r="W1087">
            <v>51.45</v>
          </cell>
          <cell r="X1087">
            <v>46</v>
          </cell>
          <cell r="Y1087">
            <v>0</v>
          </cell>
          <cell r="Z1087">
            <v>66.290000000000006</v>
          </cell>
          <cell r="AA1087">
            <v>77</v>
          </cell>
          <cell r="AB1087">
            <v>96</v>
          </cell>
          <cell r="AC1087">
            <v>80</v>
          </cell>
          <cell r="AD1087">
            <v>13.49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Y1087">
            <v>47382.720000000001</v>
          </cell>
        </row>
        <row r="1088">
          <cell r="A1088">
            <v>2</v>
          </cell>
          <cell r="B1088" t="str">
            <v>12</v>
          </cell>
          <cell r="C1088" t="str">
            <v>000</v>
          </cell>
          <cell r="D1088" t="str">
            <v>1</v>
          </cell>
          <cell r="E1088" t="str">
            <v>703</v>
          </cell>
          <cell r="F1088" t="str">
            <v>N000</v>
          </cell>
          <cell r="G1088" t="str">
            <v>513</v>
          </cell>
          <cell r="H1088" t="str">
            <v>1103</v>
          </cell>
          <cell r="I1088" t="str">
            <v>A01807</v>
          </cell>
          <cell r="J1088" t="str">
            <v>27</v>
          </cell>
          <cell r="K1088" t="str">
            <v>2</v>
          </cell>
          <cell r="L1088">
            <v>10</v>
          </cell>
          <cell r="M1088">
            <v>0</v>
          </cell>
          <cell r="N1088">
            <v>2817.8</v>
          </cell>
          <cell r="O1088" t="str">
            <v>M</v>
          </cell>
          <cell r="P1088" t="str">
            <v>00000000</v>
          </cell>
          <cell r="Q1088">
            <v>0</v>
          </cell>
          <cell r="R1088">
            <v>407.02</v>
          </cell>
          <cell r="S1088">
            <v>78.27</v>
          </cell>
          <cell r="T1088">
            <v>359.27</v>
          </cell>
          <cell r="U1088">
            <v>140.88999999999999</v>
          </cell>
          <cell r="V1088">
            <v>50.72</v>
          </cell>
          <cell r="W1088">
            <v>56.36</v>
          </cell>
          <cell r="X1088">
            <v>44.9</v>
          </cell>
          <cell r="Y1088">
            <v>0</v>
          </cell>
          <cell r="Z1088">
            <v>72.02</v>
          </cell>
          <cell r="AA1088">
            <v>77</v>
          </cell>
          <cell r="AB1088">
            <v>96</v>
          </cell>
          <cell r="AC1088">
            <v>80</v>
          </cell>
          <cell r="AD1088">
            <v>13.49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Y1088">
            <v>515248.8</v>
          </cell>
        </row>
        <row r="1089">
          <cell r="A1089">
            <v>2</v>
          </cell>
          <cell r="B1089" t="str">
            <v>12</v>
          </cell>
          <cell r="C1089" t="str">
            <v>000</v>
          </cell>
          <cell r="D1089" t="str">
            <v>1</v>
          </cell>
          <cell r="E1089" t="str">
            <v>703</v>
          </cell>
          <cell r="F1089" t="str">
            <v>N000</v>
          </cell>
          <cell r="G1089" t="str">
            <v>513</v>
          </cell>
          <cell r="H1089" t="str">
            <v>1103</v>
          </cell>
          <cell r="I1089" t="str">
            <v>A03803</v>
          </cell>
          <cell r="J1089" t="str">
            <v>20</v>
          </cell>
          <cell r="K1089" t="str">
            <v>2</v>
          </cell>
          <cell r="L1089">
            <v>2</v>
          </cell>
          <cell r="M1089">
            <v>0</v>
          </cell>
          <cell r="N1089">
            <v>2138.85</v>
          </cell>
          <cell r="O1089" t="str">
            <v>M</v>
          </cell>
          <cell r="P1089" t="str">
            <v>00000000</v>
          </cell>
          <cell r="Q1089">
            <v>0</v>
          </cell>
          <cell r="R1089">
            <v>308.94</v>
          </cell>
          <cell r="S1089">
            <v>59.41</v>
          </cell>
          <cell r="T1089">
            <v>272.7</v>
          </cell>
          <cell r="U1089">
            <v>106.94</v>
          </cell>
          <cell r="V1089">
            <v>38.5</v>
          </cell>
          <cell r="W1089">
            <v>42.78</v>
          </cell>
          <cell r="X1089">
            <v>0</v>
          </cell>
          <cell r="Y1089">
            <v>0</v>
          </cell>
          <cell r="Z1089">
            <v>55.2</v>
          </cell>
          <cell r="AA1089">
            <v>77</v>
          </cell>
          <cell r="AB1089">
            <v>96</v>
          </cell>
          <cell r="AC1089">
            <v>80</v>
          </cell>
          <cell r="AD1089">
            <v>13.49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Y1089">
            <v>78955.44</v>
          </cell>
        </row>
        <row r="1090">
          <cell r="A1090">
            <v>2</v>
          </cell>
          <cell r="B1090" t="str">
            <v>12</v>
          </cell>
          <cell r="C1090" t="str">
            <v>000</v>
          </cell>
          <cell r="D1090" t="str">
            <v>1</v>
          </cell>
          <cell r="E1090" t="str">
            <v>703</v>
          </cell>
          <cell r="F1090" t="str">
            <v>N000</v>
          </cell>
          <cell r="G1090" t="str">
            <v>513</v>
          </cell>
          <cell r="H1090" t="str">
            <v>1103</v>
          </cell>
          <cell r="I1090" t="str">
            <v>A03804</v>
          </cell>
          <cell r="J1090" t="str">
            <v>23</v>
          </cell>
          <cell r="K1090" t="str">
            <v>2</v>
          </cell>
          <cell r="L1090">
            <v>3</v>
          </cell>
          <cell r="M1090">
            <v>0</v>
          </cell>
          <cell r="N1090">
            <v>2451.25</v>
          </cell>
          <cell r="O1090" t="str">
            <v>M</v>
          </cell>
          <cell r="P1090" t="str">
            <v>00000000</v>
          </cell>
          <cell r="Q1090">
            <v>0</v>
          </cell>
          <cell r="R1090">
            <v>354.07</v>
          </cell>
          <cell r="S1090">
            <v>68.09</v>
          </cell>
          <cell r="T1090">
            <v>312.52999999999997</v>
          </cell>
          <cell r="U1090">
            <v>122.56</v>
          </cell>
          <cell r="V1090">
            <v>44.12</v>
          </cell>
          <cell r="W1090">
            <v>49.02</v>
          </cell>
          <cell r="X1090">
            <v>46</v>
          </cell>
          <cell r="Y1090">
            <v>0</v>
          </cell>
          <cell r="Z1090">
            <v>63.45</v>
          </cell>
          <cell r="AA1090">
            <v>77</v>
          </cell>
          <cell r="AB1090">
            <v>96</v>
          </cell>
          <cell r="AC1090">
            <v>80</v>
          </cell>
          <cell r="AD1090">
            <v>13.49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Y1090">
            <v>135992.88</v>
          </cell>
        </row>
        <row r="1091">
          <cell r="A1091">
            <v>2</v>
          </cell>
          <cell r="B1091" t="str">
            <v>12</v>
          </cell>
          <cell r="C1091" t="str">
            <v>000</v>
          </cell>
          <cell r="D1091" t="str">
            <v>1</v>
          </cell>
          <cell r="E1091" t="str">
            <v>703</v>
          </cell>
          <cell r="F1091" t="str">
            <v>N000</v>
          </cell>
          <cell r="G1091" t="str">
            <v>513</v>
          </cell>
          <cell r="H1091" t="str">
            <v>1103</v>
          </cell>
          <cell r="I1091" t="str">
            <v>CFMC03</v>
          </cell>
          <cell r="J1091" t="str">
            <v>MC03</v>
          </cell>
          <cell r="K1091" t="str">
            <v>1</v>
          </cell>
          <cell r="L1091">
            <v>11</v>
          </cell>
          <cell r="M1091">
            <v>0</v>
          </cell>
          <cell r="N1091">
            <v>4311.3999999999996</v>
          </cell>
          <cell r="O1091" t="str">
            <v>M</v>
          </cell>
          <cell r="P1091" t="str">
            <v>00000000</v>
          </cell>
          <cell r="Q1091">
            <v>11306.9</v>
          </cell>
          <cell r="R1091">
            <v>622.76</v>
          </cell>
          <cell r="S1091">
            <v>119.76</v>
          </cell>
          <cell r="T1091">
            <v>549.70000000000005</v>
          </cell>
          <cell r="U1091">
            <v>215.57</v>
          </cell>
          <cell r="V1091">
            <v>281.13</v>
          </cell>
          <cell r="W1091">
            <v>86.23</v>
          </cell>
          <cell r="X1091">
            <v>40.82</v>
          </cell>
          <cell r="Y1091">
            <v>780.91</v>
          </cell>
          <cell r="Z1091">
            <v>329.57</v>
          </cell>
          <cell r="AA1091">
            <v>77</v>
          </cell>
          <cell r="AB1091">
            <v>0</v>
          </cell>
          <cell r="AC1091">
            <v>0</v>
          </cell>
          <cell r="AD1091">
            <v>13.49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Y1091">
            <v>2473051.6800000002</v>
          </cell>
        </row>
        <row r="1092">
          <cell r="A1092">
            <v>2</v>
          </cell>
          <cell r="B1092" t="str">
            <v>12</v>
          </cell>
          <cell r="C1092" t="str">
            <v>000</v>
          </cell>
          <cell r="D1092" t="str">
            <v>1</v>
          </cell>
          <cell r="E1092" t="str">
            <v>703</v>
          </cell>
          <cell r="F1092" t="str">
            <v>N000</v>
          </cell>
          <cell r="G1092" t="str">
            <v>513</v>
          </cell>
          <cell r="H1092" t="str">
            <v>1103</v>
          </cell>
          <cell r="I1092" t="str">
            <v>CFMD09</v>
          </cell>
          <cell r="J1092" t="str">
            <v>MD09</v>
          </cell>
          <cell r="K1092" t="str">
            <v>1</v>
          </cell>
          <cell r="L1092">
            <v>1</v>
          </cell>
          <cell r="M1092">
            <v>0</v>
          </cell>
          <cell r="N1092">
            <v>14852.65</v>
          </cell>
          <cell r="O1092" t="str">
            <v>M</v>
          </cell>
          <cell r="P1092" t="str">
            <v>00000000</v>
          </cell>
          <cell r="Q1092">
            <v>100991.65</v>
          </cell>
          <cell r="R1092">
            <v>2145.38</v>
          </cell>
          <cell r="S1092">
            <v>412.57</v>
          </cell>
          <cell r="T1092">
            <v>1893.71</v>
          </cell>
          <cell r="U1092">
            <v>742.63</v>
          </cell>
          <cell r="V1092">
            <v>2085.1999999999998</v>
          </cell>
          <cell r="W1092">
            <v>297.05</v>
          </cell>
          <cell r="X1092">
            <v>0</v>
          </cell>
          <cell r="Y1092">
            <v>5792.22</v>
          </cell>
          <cell r="Z1092">
            <v>2369.59</v>
          </cell>
          <cell r="AA1092">
            <v>77</v>
          </cell>
          <cell r="AB1092">
            <v>0</v>
          </cell>
          <cell r="AC1092">
            <v>0</v>
          </cell>
          <cell r="AD1092">
            <v>13.49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Y1092">
            <v>1580077.68</v>
          </cell>
        </row>
        <row r="1093">
          <cell r="A1093">
            <v>2</v>
          </cell>
          <cell r="B1093" t="str">
            <v>12</v>
          </cell>
          <cell r="C1093" t="str">
            <v>000</v>
          </cell>
          <cell r="D1093" t="str">
            <v>1</v>
          </cell>
          <cell r="E1093" t="str">
            <v>703</v>
          </cell>
          <cell r="F1093" t="str">
            <v>N000</v>
          </cell>
          <cell r="G1093" t="str">
            <v>513</v>
          </cell>
          <cell r="H1093" t="str">
            <v>1103</v>
          </cell>
          <cell r="I1093" t="str">
            <v>CFMD12</v>
          </cell>
          <cell r="J1093" t="str">
            <v>MD12</v>
          </cell>
          <cell r="K1093" t="str">
            <v>1</v>
          </cell>
          <cell r="L1093">
            <v>1</v>
          </cell>
          <cell r="M1093">
            <v>0</v>
          </cell>
          <cell r="N1093">
            <v>12026.05</v>
          </cell>
          <cell r="O1093" t="str">
            <v>M</v>
          </cell>
          <cell r="P1093" t="str">
            <v>00000000</v>
          </cell>
          <cell r="Q1093">
            <v>72295.199999999997</v>
          </cell>
          <cell r="R1093">
            <v>1737.1</v>
          </cell>
          <cell r="S1093">
            <v>334.06</v>
          </cell>
          <cell r="T1093">
            <v>1533.32</v>
          </cell>
          <cell r="U1093">
            <v>601.29999999999995</v>
          </cell>
          <cell r="V1093">
            <v>1517.78</v>
          </cell>
          <cell r="W1093">
            <v>240.52</v>
          </cell>
          <cell r="X1093">
            <v>46</v>
          </cell>
          <cell r="Y1093">
            <v>4216.0600000000004</v>
          </cell>
          <cell r="Z1093">
            <v>1730.31</v>
          </cell>
          <cell r="AA1093">
            <v>77</v>
          </cell>
          <cell r="AB1093">
            <v>0</v>
          </cell>
          <cell r="AC1093">
            <v>0</v>
          </cell>
          <cell r="AD1093">
            <v>13.49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Y1093">
            <v>1156418.28</v>
          </cell>
        </row>
        <row r="1094">
          <cell r="A1094">
            <v>2</v>
          </cell>
          <cell r="B1094" t="str">
            <v>12</v>
          </cell>
          <cell r="C1094" t="str">
            <v>000</v>
          </cell>
          <cell r="D1094" t="str">
            <v>1</v>
          </cell>
          <cell r="E1094" t="str">
            <v>703</v>
          </cell>
          <cell r="F1094" t="str">
            <v>N000</v>
          </cell>
          <cell r="G1094" t="str">
            <v>513</v>
          </cell>
          <cell r="H1094" t="str">
            <v>1103</v>
          </cell>
          <cell r="I1094" t="str">
            <v>CFMG06</v>
          </cell>
          <cell r="J1094" t="str">
            <v>MG06</v>
          </cell>
          <cell r="K1094" t="str">
            <v>1</v>
          </cell>
          <cell r="L1094">
            <v>10</v>
          </cell>
          <cell r="M1094">
            <v>0</v>
          </cell>
          <cell r="N1094">
            <v>8232.25</v>
          </cell>
          <cell r="O1094" t="str">
            <v>M</v>
          </cell>
          <cell r="P1094" t="str">
            <v>00000000</v>
          </cell>
          <cell r="Q1094">
            <v>38872.050000000003</v>
          </cell>
          <cell r="R1094">
            <v>1189.0999999999999</v>
          </cell>
          <cell r="S1094">
            <v>228.67</v>
          </cell>
          <cell r="T1094">
            <v>1049.6099999999999</v>
          </cell>
          <cell r="U1094">
            <v>411.61</v>
          </cell>
          <cell r="V1094">
            <v>847.88</v>
          </cell>
          <cell r="W1094">
            <v>164.65</v>
          </cell>
          <cell r="X1094">
            <v>8.1999999999999993</v>
          </cell>
          <cell r="Y1094">
            <v>2355.2199999999998</v>
          </cell>
          <cell r="Z1094">
            <v>972.15</v>
          </cell>
          <cell r="AA1094">
            <v>77</v>
          </cell>
          <cell r="AB1094">
            <v>0</v>
          </cell>
          <cell r="AC1094">
            <v>0</v>
          </cell>
          <cell r="AD1094">
            <v>13.49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Y1094">
            <v>6530625.5999999996</v>
          </cell>
        </row>
        <row r="1095">
          <cell r="A1095">
            <v>2</v>
          </cell>
          <cell r="B1095" t="str">
            <v>12</v>
          </cell>
          <cell r="C1095" t="str">
            <v>000</v>
          </cell>
          <cell r="D1095" t="str">
            <v>1</v>
          </cell>
          <cell r="E1095" t="str">
            <v>703</v>
          </cell>
          <cell r="F1095" t="str">
            <v>N000</v>
          </cell>
          <cell r="G1095" t="str">
            <v>513</v>
          </cell>
          <cell r="H1095" t="str">
            <v>1103</v>
          </cell>
          <cell r="I1095" t="str">
            <v>CFMS06</v>
          </cell>
          <cell r="J1095" t="str">
            <v>MS06</v>
          </cell>
          <cell r="K1095" t="str">
            <v>1</v>
          </cell>
          <cell r="L1095">
            <v>2</v>
          </cell>
          <cell r="M1095">
            <v>0</v>
          </cell>
          <cell r="N1095">
            <v>4801.8999999999996</v>
          </cell>
          <cell r="O1095" t="str">
            <v>M</v>
          </cell>
          <cell r="P1095" t="str">
            <v>00000000</v>
          </cell>
          <cell r="Q1095">
            <v>21723.85</v>
          </cell>
          <cell r="R1095">
            <v>693.61</v>
          </cell>
          <cell r="S1095">
            <v>133.38999999999999</v>
          </cell>
          <cell r="T1095">
            <v>612.24</v>
          </cell>
          <cell r="U1095">
            <v>240.09</v>
          </cell>
          <cell r="V1095">
            <v>477.46</v>
          </cell>
          <cell r="W1095">
            <v>96.04</v>
          </cell>
          <cell r="X1095">
            <v>23</v>
          </cell>
          <cell r="Y1095">
            <v>1326.29</v>
          </cell>
          <cell r="Z1095">
            <v>549.05999999999995</v>
          </cell>
          <cell r="AA1095">
            <v>77</v>
          </cell>
          <cell r="AB1095">
            <v>0</v>
          </cell>
          <cell r="AC1095">
            <v>0</v>
          </cell>
          <cell r="AD1095">
            <v>13.49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Y1095">
            <v>738418.08</v>
          </cell>
        </row>
        <row r="1096">
          <cell r="A1096">
            <v>2</v>
          </cell>
          <cell r="B1096" t="str">
            <v>12</v>
          </cell>
          <cell r="C1096" t="str">
            <v>000</v>
          </cell>
          <cell r="D1096" t="str">
            <v>1</v>
          </cell>
          <cell r="E1096" t="str">
            <v>703</v>
          </cell>
          <cell r="F1096" t="str">
            <v>N000</v>
          </cell>
          <cell r="G1096" t="str">
            <v>513</v>
          </cell>
          <cell r="H1096" t="str">
            <v>1103</v>
          </cell>
          <cell r="I1096" t="str">
            <v>CFMS08</v>
          </cell>
          <cell r="J1096" t="str">
            <v>MS08</v>
          </cell>
          <cell r="K1096" t="str">
            <v>1</v>
          </cell>
          <cell r="L1096">
            <v>25</v>
          </cell>
          <cell r="M1096">
            <v>0</v>
          </cell>
          <cell r="N1096">
            <v>4801.8999999999996</v>
          </cell>
          <cell r="O1096" t="str">
            <v>M</v>
          </cell>
          <cell r="P1096" t="str">
            <v>00000000</v>
          </cell>
          <cell r="Q1096">
            <v>18269.849999999999</v>
          </cell>
          <cell r="R1096">
            <v>693.61</v>
          </cell>
          <cell r="S1096">
            <v>133.38999999999999</v>
          </cell>
          <cell r="T1096">
            <v>612.24</v>
          </cell>
          <cell r="U1096">
            <v>240.09</v>
          </cell>
          <cell r="V1096">
            <v>415.29</v>
          </cell>
          <cell r="W1096">
            <v>96.04</v>
          </cell>
          <cell r="X1096">
            <v>35.76</v>
          </cell>
          <cell r="Y1096">
            <v>1153.5899999999999</v>
          </cell>
          <cell r="Z1096">
            <v>480.23</v>
          </cell>
          <cell r="AA1096">
            <v>77</v>
          </cell>
          <cell r="AB1096">
            <v>0</v>
          </cell>
          <cell r="AC1096">
            <v>0</v>
          </cell>
          <cell r="AD1096">
            <v>13.49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Y1096">
            <v>8106744</v>
          </cell>
        </row>
        <row r="1097">
          <cell r="A1097">
            <v>2</v>
          </cell>
          <cell r="B1097" t="str">
            <v>12</v>
          </cell>
          <cell r="C1097" t="str">
            <v>000</v>
          </cell>
          <cell r="D1097" t="str">
            <v>1</v>
          </cell>
          <cell r="E1097" t="str">
            <v>703</v>
          </cell>
          <cell r="F1097" t="str">
            <v>N000</v>
          </cell>
          <cell r="G1097" t="str">
            <v>513</v>
          </cell>
          <cell r="H1097" t="str">
            <v>1103</v>
          </cell>
          <cell r="I1097" t="str">
            <v>M01006</v>
          </cell>
          <cell r="K1097" t="str">
            <v>2</v>
          </cell>
          <cell r="L1097">
            <v>1</v>
          </cell>
          <cell r="M1097">
            <v>0</v>
          </cell>
          <cell r="N1097">
            <v>5300</v>
          </cell>
          <cell r="O1097" t="str">
            <v>M</v>
          </cell>
          <cell r="P1097" t="str">
            <v>00000000</v>
          </cell>
          <cell r="Q1097">
            <v>0</v>
          </cell>
          <cell r="R1097">
            <v>765.56</v>
          </cell>
          <cell r="S1097">
            <v>147.22</v>
          </cell>
          <cell r="T1097">
            <v>675.75</v>
          </cell>
          <cell r="U1097">
            <v>265</v>
          </cell>
          <cell r="V1097">
            <v>95.4</v>
          </cell>
          <cell r="W1097">
            <v>106</v>
          </cell>
          <cell r="X1097">
            <v>0</v>
          </cell>
          <cell r="Y1097">
            <v>0</v>
          </cell>
          <cell r="Z1097">
            <v>237.92</v>
          </cell>
          <cell r="AA1097">
            <v>77</v>
          </cell>
          <cell r="AB1097">
            <v>96</v>
          </cell>
          <cell r="AC1097">
            <v>80</v>
          </cell>
          <cell r="AD1097">
            <v>13.49</v>
          </cell>
          <cell r="AE1097">
            <v>4.42</v>
          </cell>
          <cell r="AF1097">
            <v>0</v>
          </cell>
          <cell r="AG1097">
            <v>0</v>
          </cell>
          <cell r="AH1097">
            <v>2426</v>
          </cell>
          <cell r="AI1097">
            <v>0</v>
          </cell>
          <cell r="AJ1097">
            <v>3000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Y1097">
            <v>159477.12</v>
          </cell>
        </row>
        <row r="1098">
          <cell r="A1098">
            <v>2</v>
          </cell>
          <cell r="B1098" t="str">
            <v>12</v>
          </cell>
          <cell r="C1098" t="str">
            <v>000</v>
          </cell>
          <cell r="D1098" t="str">
            <v>1</v>
          </cell>
          <cell r="E1098" t="str">
            <v>703</v>
          </cell>
          <cell r="F1098" t="str">
            <v>N000</v>
          </cell>
          <cell r="G1098" t="str">
            <v>513</v>
          </cell>
          <cell r="H1098" t="str">
            <v>1103</v>
          </cell>
          <cell r="I1098" t="str">
            <v>M01008</v>
          </cell>
          <cell r="K1098" t="str">
            <v>2</v>
          </cell>
          <cell r="L1098">
            <v>1</v>
          </cell>
          <cell r="M1098">
            <v>0</v>
          </cell>
          <cell r="N1098">
            <v>5546</v>
          </cell>
          <cell r="O1098" t="str">
            <v>M</v>
          </cell>
          <cell r="P1098" t="str">
            <v>00000000</v>
          </cell>
          <cell r="Q1098">
            <v>0</v>
          </cell>
          <cell r="R1098">
            <v>801.09</v>
          </cell>
          <cell r="S1098">
            <v>154.06</v>
          </cell>
          <cell r="T1098">
            <v>707.12</v>
          </cell>
          <cell r="U1098">
            <v>277.3</v>
          </cell>
          <cell r="V1098">
            <v>99.83</v>
          </cell>
          <cell r="W1098">
            <v>110.92</v>
          </cell>
          <cell r="X1098">
            <v>0</v>
          </cell>
          <cell r="Y1098">
            <v>0</v>
          </cell>
          <cell r="Z1098">
            <v>250.26</v>
          </cell>
          <cell r="AA1098">
            <v>77</v>
          </cell>
          <cell r="AB1098">
            <v>96</v>
          </cell>
          <cell r="AC1098">
            <v>80</v>
          </cell>
          <cell r="AD1098">
            <v>13.49</v>
          </cell>
          <cell r="AE1098">
            <v>4.62</v>
          </cell>
          <cell r="AF1098">
            <v>0</v>
          </cell>
          <cell r="AG1098">
            <v>0</v>
          </cell>
          <cell r="AH1098">
            <v>2739</v>
          </cell>
          <cell r="AI1098">
            <v>0</v>
          </cell>
          <cell r="AJ1098">
            <v>3015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Y1098">
            <v>167660.28</v>
          </cell>
        </row>
        <row r="1099">
          <cell r="A1099">
            <v>2</v>
          </cell>
          <cell r="B1099" t="str">
            <v>12</v>
          </cell>
          <cell r="C1099" t="str">
            <v>000</v>
          </cell>
          <cell r="D1099" t="str">
            <v>1</v>
          </cell>
          <cell r="E1099" t="str">
            <v>703</v>
          </cell>
          <cell r="F1099" t="str">
            <v>N000</v>
          </cell>
          <cell r="G1099" t="str">
            <v>513</v>
          </cell>
          <cell r="H1099" t="str">
            <v>1103</v>
          </cell>
          <cell r="I1099" t="str">
            <v>M02005</v>
          </cell>
          <cell r="K1099" t="str">
            <v>2</v>
          </cell>
          <cell r="L1099">
            <v>1</v>
          </cell>
          <cell r="M1099">
            <v>0</v>
          </cell>
          <cell r="N1099">
            <v>2720</v>
          </cell>
          <cell r="O1099" t="str">
            <v>M</v>
          </cell>
          <cell r="P1099" t="str">
            <v>00000000</v>
          </cell>
          <cell r="Q1099">
            <v>0</v>
          </cell>
          <cell r="R1099">
            <v>392.89</v>
          </cell>
          <cell r="S1099">
            <v>75.56</v>
          </cell>
          <cell r="T1099">
            <v>346.8</v>
          </cell>
          <cell r="U1099">
            <v>136</v>
          </cell>
          <cell r="V1099">
            <v>48.96</v>
          </cell>
          <cell r="W1099">
            <v>54.4</v>
          </cell>
          <cell r="X1099">
            <v>0</v>
          </cell>
          <cell r="Y1099">
            <v>0</v>
          </cell>
          <cell r="Z1099">
            <v>92.53</v>
          </cell>
          <cell r="AA1099">
            <v>77</v>
          </cell>
          <cell r="AB1099">
            <v>96</v>
          </cell>
          <cell r="AC1099">
            <v>80</v>
          </cell>
          <cell r="AD1099">
            <v>13.49</v>
          </cell>
          <cell r="AE1099">
            <v>2.27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1183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Y1099">
            <v>63826.8</v>
          </cell>
        </row>
        <row r="1100">
          <cell r="A1100">
            <v>2</v>
          </cell>
          <cell r="B1100" t="str">
            <v>12</v>
          </cell>
          <cell r="C1100" t="str">
            <v>000</v>
          </cell>
          <cell r="D1100" t="str">
            <v>1</v>
          </cell>
          <cell r="E1100" t="str">
            <v>703</v>
          </cell>
          <cell r="F1100" t="str">
            <v>N000</v>
          </cell>
          <cell r="G1100" t="str">
            <v>513</v>
          </cell>
          <cell r="H1100" t="str">
            <v>1103</v>
          </cell>
          <cell r="I1100" t="str">
            <v>S01803</v>
          </cell>
          <cell r="J1100" t="str">
            <v>19</v>
          </cell>
          <cell r="K1100" t="str">
            <v>2</v>
          </cell>
          <cell r="L1100">
            <v>3</v>
          </cell>
          <cell r="M1100">
            <v>0</v>
          </cell>
          <cell r="N1100">
            <v>2120.3000000000002</v>
          </cell>
          <cell r="O1100" t="str">
            <v>M</v>
          </cell>
          <cell r="P1100" t="str">
            <v>00000000</v>
          </cell>
          <cell r="Q1100">
            <v>0</v>
          </cell>
          <cell r="R1100">
            <v>306.27</v>
          </cell>
          <cell r="S1100">
            <v>58.9</v>
          </cell>
          <cell r="T1100">
            <v>270.33999999999997</v>
          </cell>
          <cell r="U1100">
            <v>106.02</v>
          </cell>
          <cell r="V1100">
            <v>38.17</v>
          </cell>
          <cell r="W1100">
            <v>42.41</v>
          </cell>
          <cell r="X1100">
            <v>0</v>
          </cell>
          <cell r="Y1100">
            <v>0</v>
          </cell>
          <cell r="Z1100">
            <v>54.77</v>
          </cell>
          <cell r="AA1100">
            <v>77</v>
          </cell>
          <cell r="AB1100">
            <v>96</v>
          </cell>
          <cell r="AC1100">
            <v>80</v>
          </cell>
          <cell r="AD1100">
            <v>13.49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Y1100">
            <v>117492.12</v>
          </cell>
        </row>
        <row r="1101">
          <cell r="A1101">
            <v>2</v>
          </cell>
          <cell r="B1101" t="str">
            <v>12</v>
          </cell>
          <cell r="C1101" t="str">
            <v>000</v>
          </cell>
          <cell r="D1101" t="str">
            <v>1</v>
          </cell>
          <cell r="E1101" t="str">
            <v>703</v>
          </cell>
          <cell r="F1101" t="str">
            <v>N000</v>
          </cell>
          <cell r="G1101" t="str">
            <v>513</v>
          </cell>
          <cell r="H1101" t="str">
            <v>1103</v>
          </cell>
          <cell r="I1101" t="str">
            <v>S01808</v>
          </cell>
          <cell r="J1101" t="str">
            <v>17</v>
          </cell>
          <cell r="K1101" t="str">
            <v>2</v>
          </cell>
          <cell r="L1101">
            <v>2</v>
          </cell>
          <cell r="M1101">
            <v>0</v>
          </cell>
          <cell r="N1101">
            <v>1936.3</v>
          </cell>
          <cell r="O1101" t="str">
            <v>M</v>
          </cell>
          <cell r="P1101" t="str">
            <v>00000000</v>
          </cell>
          <cell r="Q1101">
            <v>0</v>
          </cell>
          <cell r="R1101">
            <v>279.69</v>
          </cell>
          <cell r="S1101">
            <v>53.79</v>
          </cell>
          <cell r="T1101">
            <v>246.88</v>
          </cell>
          <cell r="U1101">
            <v>96.81</v>
          </cell>
          <cell r="V1101">
            <v>34.85</v>
          </cell>
          <cell r="W1101">
            <v>38.729999999999997</v>
          </cell>
          <cell r="X1101">
            <v>0</v>
          </cell>
          <cell r="Y1101">
            <v>0</v>
          </cell>
          <cell r="Z1101">
            <v>50.46</v>
          </cell>
          <cell r="AA1101">
            <v>77</v>
          </cell>
          <cell r="AB1101">
            <v>96</v>
          </cell>
          <cell r="AC1101">
            <v>80</v>
          </cell>
          <cell r="AD1101">
            <v>13.49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Y1101">
            <v>72096</v>
          </cell>
        </row>
        <row r="1102">
          <cell r="A1102">
            <v>2</v>
          </cell>
          <cell r="B1102" t="str">
            <v>12</v>
          </cell>
          <cell r="C1102" t="str">
            <v>000</v>
          </cell>
          <cell r="D1102" t="str">
            <v>1</v>
          </cell>
          <cell r="E1102" t="str">
            <v>703</v>
          </cell>
          <cell r="F1102" t="str">
            <v>N000</v>
          </cell>
          <cell r="G1102" t="str">
            <v>513</v>
          </cell>
          <cell r="H1102" t="str">
            <v>1103</v>
          </cell>
          <cell r="I1102" t="str">
            <v>S01811</v>
          </cell>
          <cell r="J1102" t="str">
            <v>25</v>
          </cell>
          <cell r="K1102" t="str">
            <v>2</v>
          </cell>
          <cell r="L1102">
            <v>6</v>
          </cell>
          <cell r="M1102">
            <v>0</v>
          </cell>
          <cell r="N1102">
            <v>2572.4</v>
          </cell>
          <cell r="O1102" t="str">
            <v>M</v>
          </cell>
          <cell r="P1102" t="str">
            <v>00000000</v>
          </cell>
          <cell r="Q1102">
            <v>0</v>
          </cell>
          <cell r="R1102">
            <v>371.57</v>
          </cell>
          <cell r="S1102">
            <v>71.459999999999994</v>
          </cell>
          <cell r="T1102">
            <v>327.98</v>
          </cell>
          <cell r="U1102">
            <v>128.62</v>
          </cell>
          <cell r="V1102">
            <v>46.3</v>
          </cell>
          <cell r="W1102">
            <v>51.45</v>
          </cell>
          <cell r="X1102">
            <v>177.33</v>
          </cell>
          <cell r="Y1102">
            <v>0</v>
          </cell>
          <cell r="Z1102">
            <v>68.92</v>
          </cell>
          <cell r="AA1102">
            <v>77</v>
          </cell>
          <cell r="AB1102">
            <v>96</v>
          </cell>
          <cell r="AC1102">
            <v>80</v>
          </cell>
          <cell r="AD1102">
            <v>13.49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Y1102">
            <v>293941.44</v>
          </cell>
        </row>
        <row r="1103">
          <cell r="A1103">
            <v>2</v>
          </cell>
          <cell r="B1103" t="str">
            <v>12</v>
          </cell>
          <cell r="C1103" t="str">
            <v>000</v>
          </cell>
          <cell r="D1103" t="str">
            <v>1</v>
          </cell>
          <cell r="E1103" t="str">
            <v>703</v>
          </cell>
          <cell r="F1103" t="str">
            <v>N000</v>
          </cell>
          <cell r="G1103" t="str">
            <v>513</v>
          </cell>
          <cell r="H1103" t="str">
            <v>1103</v>
          </cell>
          <cell r="I1103" t="str">
            <v>S03810</v>
          </cell>
          <cell r="J1103" t="str">
            <v>22</v>
          </cell>
          <cell r="K1103" t="str">
            <v>2</v>
          </cell>
          <cell r="L1103">
            <v>2</v>
          </cell>
          <cell r="M1103">
            <v>0</v>
          </cell>
          <cell r="N1103">
            <v>2342.3000000000002</v>
          </cell>
          <cell r="O1103" t="str">
            <v>M</v>
          </cell>
          <cell r="P1103" t="str">
            <v>00000000</v>
          </cell>
          <cell r="Q1103">
            <v>0</v>
          </cell>
          <cell r="R1103">
            <v>338.33</v>
          </cell>
          <cell r="S1103">
            <v>65.06</v>
          </cell>
          <cell r="T1103">
            <v>298.64</v>
          </cell>
          <cell r="U1103">
            <v>117.12</v>
          </cell>
          <cell r="V1103">
            <v>42.16</v>
          </cell>
          <cell r="W1103">
            <v>46.85</v>
          </cell>
          <cell r="X1103">
            <v>46</v>
          </cell>
          <cell r="Y1103">
            <v>0</v>
          </cell>
          <cell r="Z1103">
            <v>60.89</v>
          </cell>
          <cell r="AA1103">
            <v>77</v>
          </cell>
          <cell r="AB1103">
            <v>96</v>
          </cell>
          <cell r="AC1103">
            <v>80</v>
          </cell>
          <cell r="AD1103">
            <v>13.49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Y1103">
            <v>86972.160000000003</v>
          </cell>
        </row>
        <row r="1104">
          <cell r="A1104">
            <v>2</v>
          </cell>
          <cell r="B1104" t="str">
            <v>12</v>
          </cell>
          <cell r="C1104" t="str">
            <v>000</v>
          </cell>
          <cell r="D1104" t="str">
            <v>1</v>
          </cell>
          <cell r="E1104" t="str">
            <v>703</v>
          </cell>
          <cell r="F1104" t="str">
            <v>N000</v>
          </cell>
          <cell r="G1104" t="str">
            <v>513</v>
          </cell>
          <cell r="H1104" t="str">
            <v>1103</v>
          </cell>
          <cell r="I1104" t="str">
            <v>S08802</v>
          </cell>
          <cell r="J1104" t="str">
            <v>21</v>
          </cell>
          <cell r="K1104" t="str">
            <v>2</v>
          </cell>
          <cell r="L1104">
            <v>1</v>
          </cell>
          <cell r="M1104">
            <v>0</v>
          </cell>
          <cell r="N1104">
            <v>2238.1999999999998</v>
          </cell>
          <cell r="O1104" t="str">
            <v>M</v>
          </cell>
          <cell r="P1104" t="str">
            <v>00000000</v>
          </cell>
          <cell r="Q1104">
            <v>0</v>
          </cell>
          <cell r="R1104">
            <v>323.3</v>
          </cell>
          <cell r="S1104">
            <v>62.17</v>
          </cell>
          <cell r="T1104">
            <v>285.37</v>
          </cell>
          <cell r="U1104">
            <v>111.91</v>
          </cell>
          <cell r="V1104">
            <v>40.29</v>
          </cell>
          <cell r="W1104">
            <v>44.76</v>
          </cell>
          <cell r="X1104">
            <v>46</v>
          </cell>
          <cell r="Y1104">
            <v>0</v>
          </cell>
          <cell r="Z1104">
            <v>58.45</v>
          </cell>
          <cell r="AA1104">
            <v>77</v>
          </cell>
          <cell r="AB1104">
            <v>96</v>
          </cell>
          <cell r="AC1104">
            <v>80</v>
          </cell>
          <cell r="AD1104">
            <v>13.49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Y1104">
            <v>41723.279999999999</v>
          </cell>
        </row>
        <row r="1105">
          <cell r="A1105">
            <v>2</v>
          </cell>
          <cell r="B1105" t="str">
            <v>12</v>
          </cell>
          <cell r="C1105" t="str">
            <v>000</v>
          </cell>
          <cell r="D1105" t="str">
            <v>1</v>
          </cell>
          <cell r="E1105" t="str">
            <v>703</v>
          </cell>
          <cell r="F1105" t="str">
            <v>N000</v>
          </cell>
          <cell r="G1105" t="str">
            <v>513</v>
          </cell>
          <cell r="H1105" t="str">
            <v>1103</v>
          </cell>
          <cell r="I1105" t="str">
            <v>T03804</v>
          </cell>
          <cell r="J1105" t="str">
            <v>25</v>
          </cell>
          <cell r="K1105" t="str">
            <v>2</v>
          </cell>
          <cell r="L1105">
            <v>9</v>
          </cell>
          <cell r="M1105">
            <v>0</v>
          </cell>
          <cell r="N1105">
            <v>2572.4</v>
          </cell>
          <cell r="O1105" t="str">
            <v>M</v>
          </cell>
          <cell r="P1105" t="str">
            <v>00000000</v>
          </cell>
          <cell r="Q1105">
            <v>0</v>
          </cell>
          <cell r="R1105">
            <v>371.57</v>
          </cell>
          <cell r="S1105">
            <v>71.459999999999994</v>
          </cell>
          <cell r="T1105">
            <v>327.98</v>
          </cell>
          <cell r="U1105">
            <v>128.62</v>
          </cell>
          <cell r="V1105">
            <v>46.3</v>
          </cell>
          <cell r="W1105">
            <v>51.45</v>
          </cell>
          <cell r="X1105">
            <v>25.56</v>
          </cell>
          <cell r="Y1105">
            <v>0</v>
          </cell>
          <cell r="Z1105">
            <v>65.88</v>
          </cell>
          <cell r="AA1105">
            <v>77</v>
          </cell>
          <cell r="AB1105">
            <v>96</v>
          </cell>
          <cell r="AC1105">
            <v>80</v>
          </cell>
          <cell r="AD1105">
            <v>13.49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Y1105">
            <v>424192.68</v>
          </cell>
        </row>
        <row r="1106">
          <cell r="A1106">
            <v>2</v>
          </cell>
          <cell r="B1106" t="str">
            <v>12</v>
          </cell>
          <cell r="C1106" t="str">
            <v>000</v>
          </cell>
          <cell r="D1106" t="str">
            <v>1</v>
          </cell>
          <cell r="E1106" t="str">
            <v>703</v>
          </cell>
          <cell r="F1106" t="str">
            <v>N000</v>
          </cell>
          <cell r="G1106" t="str">
            <v>513</v>
          </cell>
          <cell r="H1106" t="str">
            <v>1103</v>
          </cell>
          <cell r="I1106" t="str">
            <v>T06803</v>
          </cell>
          <cell r="J1106" t="str">
            <v>26</v>
          </cell>
          <cell r="K1106" t="str">
            <v>2</v>
          </cell>
          <cell r="L1106">
            <v>2</v>
          </cell>
          <cell r="M1106">
            <v>0</v>
          </cell>
          <cell r="N1106">
            <v>2692.2</v>
          </cell>
          <cell r="O1106" t="str">
            <v>M</v>
          </cell>
          <cell r="P1106" t="str">
            <v>00000000</v>
          </cell>
          <cell r="Q1106">
            <v>0</v>
          </cell>
          <cell r="R1106">
            <v>388.87</v>
          </cell>
          <cell r="S1106">
            <v>74.78</v>
          </cell>
          <cell r="T1106">
            <v>343.26</v>
          </cell>
          <cell r="U1106">
            <v>134.61000000000001</v>
          </cell>
          <cell r="V1106">
            <v>48.46</v>
          </cell>
          <cell r="W1106">
            <v>53.84</v>
          </cell>
          <cell r="X1106">
            <v>0</v>
          </cell>
          <cell r="Y1106">
            <v>0</v>
          </cell>
          <cell r="Z1106">
            <v>68.180000000000007</v>
          </cell>
          <cell r="AA1106">
            <v>77</v>
          </cell>
          <cell r="AB1106">
            <v>96</v>
          </cell>
          <cell r="AC1106">
            <v>80</v>
          </cell>
          <cell r="AD1106">
            <v>13.49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Y1106">
            <v>97696.56</v>
          </cell>
        </row>
        <row r="1107">
          <cell r="A1107">
            <v>2</v>
          </cell>
          <cell r="B1107" t="str">
            <v>12</v>
          </cell>
          <cell r="C1107" t="str">
            <v>000</v>
          </cell>
          <cell r="D1107" t="str">
            <v>1</v>
          </cell>
          <cell r="E1107" t="str">
            <v>703</v>
          </cell>
          <cell r="F1107" t="str">
            <v>N000</v>
          </cell>
          <cell r="G1107" t="str">
            <v>513</v>
          </cell>
          <cell r="H1107" t="str">
            <v>1103</v>
          </cell>
          <cell r="I1107" t="str">
            <v>T06807</v>
          </cell>
          <cell r="J1107" t="str">
            <v>24</v>
          </cell>
          <cell r="K1107" t="str">
            <v>2</v>
          </cell>
          <cell r="L1107">
            <v>1</v>
          </cell>
          <cell r="M1107">
            <v>0</v>
          </cell>
          <cell r="N1107">
            <v>2479.75</v>
          </cell>
          <cell r="O1107" t="str">
            <v>M</v>
          </cell>
          <cell r="P1107" t="str">
            <v>00000000</v>
          </cell>
          <cell r="Q1107">
            <v>0</v>
          </cell>
          <cell r="R1107">
            <v>358.19</v>
          </cell>
          <cell r="S1107">
            <v>68.88</v>
          </cell>
          <cell r="T1107">
            <v>316.17</v>
          </cell>
          <cell r="U1107">
            <v>123.99</v>
          </cell>
          <cell r="V1107">
            <v>44.64</v>
          </cell>
          <cell r="W1107">
            <v>49.59</v>
          </cell>
          <cell r="X1107">
            <v>109</v>
          </cell>
          <cell r="Y1107">
            <v>0</v>
          </cell>
          <cell r="Z1107">
            <v>65.38</v>
          </cell>
          <cell r="AA1107">
            <v>77</v>
          </cell>
          <cell r="AB1107">
            <v>96</v>
          </cell>
          <cell r="AC1107">
            <v>80</v>
          </cell>
          <cell r="AD1107">
            <v>13.49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Y1107">
            <v>46584.959999999999</v>
          </cell>
        </row>
        <row r="1108">
          <cell r="A1108">
            <v>2</v>
          </cell>
          <cell r="B1108" t="str">
            <v>12</v>
          </cell>
          <cell r="C1108" t="str">
            <v>000</v>
          </cell>
          <cell r="D1108" t="str">
            <v>1</v>
          </cell>
          <cell r="E1108" t="str">
            <v>703</v>
          </cell>
          <cell r="F1108" t="str">
            <v>N000</v>
          </cell>
          <cell r="G1108" t="str">
            <v>513</v>
          </cell>
          <cell r="H1108" t="str">
            <v>1103</v>
          </cell>
          <cell r="I1108" t="str">
            <v>CF01059</v>
          </cell>
          <cell r="J1108" t="str">
            <v>28</v>
          </cell>
          <cell r="K1108" t="str">
            <v>1</v>
          </cell>
          <cell r="L1108">
            <v>32</v>
          </cell>
          <cell r="M1108">
            <v>0</v>
          </cell>
          <cell r="N1108">
            <v>3631.8</v>
          </cell>
          <cell r="O1108" t="str">
            <v>M</v>
          </cell>
          <cell r="P1108" t="str">
            <v>00000000</v>
          </cell>
          <cell r="Q1108">
            <v>8731.1</v>
          </cell>
          <cell r="R1108">
            <v>524.59</v>
          </cell>
          <cell r="S1108">
            <v>100.88</v>
          </cell>
          <cell r="T1108">
            <v>463.05</v>
          </cell>
          <cell r="U1108">
            <v>181.59</v>
          </cell>
          <cell r="V1108">
            <v>222.53</v>
          </cell>
          <cell r="W1108">
            <v>72.64</v>
          </cell>
          <cell r="X1108">
            <v>42.72</v>
          </cell>
          <cell r="Y1108">
            <v>618.15</v>
          </cell>
          <cell r="Z1108">
            <v>262.16000000000003</v>
          </cell>
          <cell r="AA1108">
            <v>77</v>
          </cell>
          <cell r="AB1108">
            <v>0</v>
          </cell>
          <cell r="AC1108">
            <v>0</v>
          </cell>
          <cell r="AD1108">
            <v>13.49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Y1108">
            <v>5737612.7999999998</v>
          </cell>
        </row>
        <row r="1109">
          <cell r="A1109">
            <v>2</v>
          </cell>
          <cell r="B1109" t="str">
            <v>12</v>
          </cell>
          <cell r="C1109" t="str">
            <v>000</v>
          </cell>
          <cell r="D1109" t="str">
            <v>1</v>
          </cell>
          <cell r="E1109" t="str">
            <v>703</v>
          </cell>
          <cell r="F1109" t="str">
            <v>N000</v>
          </cell>
          <cell r="G1109" t="str">
            <v>513</v>
          </cell>
          <cell r="H1109" t="str">
            <v>1103</v>
          </cell>
          <cell r="I1109" t="str">
            <v>CF03809</v>
          </cell>
          <cell r="J1109" t="str">
            <v>25</v>
          </cell>
          <cell r="K1109" t="str">
            <v>2</v>
          </cell>
          <cell r="L1109">
            <v>1</v>
          </cell>
          <cell r="M1109">
            <v>0</v>
          </cell>
          <cell r="N1109">
            <v>2572.4</v>
          </cell>
          <cell r="O1109" t="str">
            <v>M</v>
          </cell>
          <cell r="P1109" t="str">
            <v>00000000</v>
          </cell>
          <cell r="Q1109">
            <v>0</v>
          </cell>
          <cell r="R1109">
            <v>371.57</v>
          </cell>
          <cell r="S1109">
            <v>71.459999999999994</v>
          </cell>
          <cell r="T1109">
            <v>327.98</v>
          </cell>
          <cell r="U1109">
            <v>128.62</v>
          </cell>
          <cell r="V1109">
            <v>46.3</v>
          </cell>
          <cell r="W1109">
            <v>51.45</v>
          </cell>
          <cell r="X1109">
            <v>0</v>
          </cell>
          <cell r="Y1109">
            <v>0</v>
          </cell>
          <cell r="Z1109">
            <v>65.37</v>
          </cell>
          <cell r="AA1109">
            <v>77</v>
          </cell>
          <cell r="AB1109">
            <v>96</v>
          </cell>
          <cell r="AC1109">
            <v>80</v>
          </cell>
          <cell r="AD1109">
            <v>13.49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Y1109">
            <v>46819.68</v>
          </cell>
        </row>
        <row r="1110">
          <cell r="A1110">
            <v>2</v>
          </cell>
          <cell r="B1110" t="str">
            <v>12</v>
          </cell>
          <cell r="C1110" t="str">
            <v>000</v>
          </cell>
          <cell r="D1110" t="str">
            <v>1</v>
          </cell>
          <cell r="E1110" t="str">
            <v>703</v>
          </cell>
          <cell r="F1110" t="str">
            <v>N000</v>
          </cell>
          <cell r="G1110" t="str">
            <v>513</v>
          </cell>
          <cell r="H1110" t="str">
            <v>1103</v>
          </cell>
          <cell r="I1110" t="str">
            <v>CF03820</v>
          </cell>
          <cell r="J1110" t="str">
            <v>27Z</v>
          </cell>
          <cell r="K1110" t="str">
            <v>2</v>
          </cell>
          <cell r="L1110">
            <v>5</v>
          </cell>
          <cell r="M1110">
            <v>0</v>
          </cell>
          <cell r="N1110">
            <v>2900.25</v>
          </cell>
          <cell r="O1110" t="str">
            <v>M</v>
          </cell>
          <cell r="P1110" t="str">
            <v>00000000</v>
          </cell>
          <cell r="Q1110">
            <v>205.15</v>
          </cell>
          <cell r="R1110">
            <v>418.93</v>
          </cell>
          <cell r="S1110">
            <v>80.56</v>
          </cell>
          <cell r="T1110">
            <v>369.78</v>
          </cell>
          <cell r="U1110">
            <v>145.01</v>
          </cell>
          <cell r="V1110">
            <v>55.89</v>
          </cell>
          <cell r="W1110">
            <v>58.01</v>
          </cell>
          <cell r="X1110">
            <v>0</v>
          </cell>
          <cell r="Y1110">
            <v>0</v>
          </cell>
          <cell r="Z1110">
            <v>77.16</v>
          </cell>
          <cell r="AA1110">
            <v>77</v>
          </cell>
          <cell r="AB1110">
            <v>96</v>
          </cell>
          <cell r="AC1110">
            <v>80</v>
          </cell>
          <cell r="AD1110">
            <v>13.49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Y1110">
            <v>274633.8</v>
          </cell>
        </row>
        <row r="1111">
          <cell r="A1111">
            <v>2</v>
          </cell>
          <cell r="B1111" t="str">
            <v>12</v>
          </cell>
          <cell r="C1111" t="str">
            <v>000</v>
          </cell>
          <cell r="D1111" t="str">
            <v>1</v>
          </cell>
          <cell r="E1111" t="str">
            <v>703</v>
          </cell>
          <cell r="F1111" t="str">
            <v>N000</v>
          </cell>
          <cell r="G1111" t="str">
            <v>513</v>
          </cell>
          <cell r="H1111" t="str">
            <v>1103</v>
          </cell>
          <cell r="I1111" t="str">
            <v>CF04806</v>
          </cell>
          <cell r="J1111" t="str">
            <v>26</v>
          </cell>
          <cell r="K1111" t="str">
            <v>2</v>
          </cell>
          <cell r="L1111">
            <v>14</v>
          </cell>
          <cell r="M1111">
            <v>0</v>
          </cell>
          <cell r="N1111">
            <v>2692.2</v>
          </cell>
          <cell r="O1111" t="str">
            <v>M</v>
          </cell>
          <cell r="P1111" t="str">
            <v>00000000</v>
          </cell>
          <cell r="Q1111">
            <v>0</v>
          </cell>
          <cell r="R1111">
            <v>388.87</v>
          </cell>
          <cell r="S1111">
            <v>74.78</v>
          </cell>
          <cell r="T1111">
            <v>343.26</v>
          </cell>
          <cell r="U1111">
            <v>134.61000000000001</v>
          </cell>
          <cell r="V1111">
            <v>48.46</v>
          </cell>
          <cell r="W1111">
            <v>53.84</v>
          </cell>
          <cell r="X1111">
            <v>28.14</v>
          </cell>
          <cell r="Y1111">
            <v>0</v>
          </cell>
          <cell r="Z1111">
            <v>68.739999999999995</v>
          </cell>
          <cell r="AA1111">
            <v>77</v>
          </cell>
          <cell r="AB1111">
            <v>96</v>
          </cell>
          <cell r="AC1111">
            <v>80</v>
          </cell>
          <cell r="AD1111">
            <v>13.49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Y1111">
            <v>688697.52</v>
          </cell>
        </row>
        <row r="1112">
          <cell r="A1112">
            <v>2</v>
          </cell>
          <cell r="B1112" t="str">
            <v>12</v>
          </cell>
          <cell r="C1112" t="str">
            <v>000</v>
          </cell>
          <cell r="D1112" t="str">
            <v>1</v>
          </cell>
          <cell r="E1112" t="str">
            <v>703</v>
          </cell>
          <cell r="F1112" t="str">
            <v>N000</v>
          </cell>
          <cell r="G1112" t="str">
            <v>513</v>
          </cell>
          <cell r="H1112" t="str">
            <v>1103</v>
          </cell>
          <cell r="I1112" t="str">
            <v>CF04807</v>
          </cell>
          <cell r="J1112" t="str">
            <v>27Z</v>
          </cell>
          <cell r="K1112" t="str">
            <v>2</v>
          </cell>
          <cell r="L1112">
            <v>24</v>
          </cell>
          <cell r="M1112">
            <v>0</v>
          </cell>
          <cell r="N1112">
            <v>2900.25</v>
          </cell>
          <cell r="O1112" t="str">
            <v>M</v>
          </cell>
          <cell r="P1112" t="str">
            <v>00000000</v>
          </cell>
          <cell r="Q1112">
            <v>205.15</v>
          </cell>
          <cell r="R1112">
            <v>418.93</v>
          </cell>
          <cell r="S1112">
            <v>80.56</v>
          </cell>
          <cell r="T1112">
            <v>369.78</v>
          </cell>
          <cell r="U1112">
            <v>145.01</v>
          </cell>
          <cell r="V1112">
            <v>55.89</v>
          </cell>
          <cell r="W1112">
            <v>58.01</v>
          </cell>
          <cell r="X1112">
            <v>45.42</v>
          </cell>
          <cell r="Y1112">
            <v>0</v>
          </cell>
          <cell r="Z1112">
            <v>78.069999999999993</v>
          </cell>
          <cell r="AA1112">
            <v>77</v>
          </cell>
          <cell r="AB1112">
            <v>96</v>
          </cell>
          <cell r="AC1112">
            <v>80</v>
          </cell>
          <cell r="AD1112">
            <v>13.49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Y1112">
            <v>1331585.28</v>
          </cell>
        </row>
        <row r="1113">
          <cell r="A1113">
            <v>2</v>
          </cell>
          <cell r="B1113" t="str">
            <v>12</v>
          </cell>
          <cell r="C1113" t="str">
            <v>000</v>
          </cell>
          <cell r="D1113" t="str">
            <v>1</v>
          </cell>
          <cell r="E1113" t="str">
            <v>703</v>
          </cell>
          <cell r="F1113" t="str">
            <v>N000</v>
          </cell>
          <cell r="G1113" t="str">
            <v>513</v>
          </cell>
          <cell r="H1113" t="str">
            <v>1103</v>
          </cell>
          <cell r="I1113" t="str">
            <v>CF04808</v>
          </cell>
          <cell r="J1113" t="str">
            <v>27ZA</v>
          </cell>
          <cell r="K1113" t="str">
            <v>2</v>
          </cell>
          <cell r="L1113">
            <v>23</v>
          </cell>
          <cell r="M1113">
            <v>0</v>
          </cell>
          <cell r="N1113">
            <v>2982.9</v>
          </cell>
          <cell r="O1113" t="str">
            <v>M</v>
          </cell>
          <cell r="P1113" t="str">
            <v>00000000</v>
          </cell>
          <cell r="Q1113">
            <v>579.4</v>
          </cell>
          <cell r="R1113">
            <v>430.86</v>
          </cell>
          <cell r="S1113">
            <v>82.86</v>
          </cell>
          <cell r="T1113">
            <v>380.32</v>
          </cell>
          <cell r="U1113">
            <v>149.15</v>
          </cell>
          <cell r="V1113">
            <v>64.12</v>
          </cell>
          <cell r="W1113">
            <v>59.66</v>
          </cell>
          <cell r="X1113">
            <v>0</v>
          </cell>
          <cell r="Y1113">
            <v>0</v>
          </cell>
          <cell r="Z1113">
            <v>86.58</v>
          </cell>
          <cell r="AA1113">
            <v>77</v>
          </cell>
          <cell r="AB1113">
            <v>96</v>
          </cell>
          <cell r="AC1113">
            <v>80</v>
          </cell>
          <cell r="AD1113">
            <v>13.49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Y1113">
            <v>1402725.84</v>
          </cell>
        </row>
        <row r="1114">
          <cell r="A1114">
            <v>2</v>
          </cell>
          <cell r="B1114" t="str">
            <v>12</v>
          </cell>
          <cell r="C1114" t="str">
            <v>000</v>
          </cell>
          <cell r="D1114" t="str">
            <v>1</v>
          </cell>
          <cell r="E1114" t="str">
            <v>703</v>
          </cell>
          <cell r="F1114" t="str">
            <v>N000</v>
          </cell>
          <cell r="G1114" t="str">
            <v>513</v>
          </cell>
          <cell r="H1114" t="str">
            <v>1103</v>
          </cell>
          <cell r="I1114" t="str">
            <v>CF08822</v>
          </cell>
          <cell r="J1114" t="str">
            <v>23</v>
          </cell>
          <cell r="K1114" t="str">
            <v>2</v>
          </cell>
          <cell r="L1114">
            <v>1</v>
          </cell>
          <cell r="M1114">
            <v>0</v>
          </cell>
          <cell r="N1114">
            <v>2451.25</v>
          </cell>
          <cell r="O1114" t="str">
            <v>M</v>
          </cell>
          <cell r="P1114" t="str">
            <v>00000000</v>
          </cell>
          <cell r="Q1114">
            <v>0</v>
          </cell>
          <cell r="R1114">
            <v>354.07</v>
          </cell>
          <cell r="S1114">
            <v>68.09</v>
          </cell>
          <cell r="T1114">
            <v>312.52999999999997</v>
          </cell>
          <cell r="U1114">
            <v>122.56</v>
          </cell>
          <cell r="V1114">
            <v>44.12</v>
          </cell>
          <cell r="W1114">
            <v>49.02</v>
          </cell>
          <cell r="X1114">
            <v>0</v>
          </cell>
          <cell r="Y1114">
            <v>0</v>
          </cell>
          <cell r="Z1114">
            <v>62.53</v>
          </cell>
          <cell r="AA1114">
            <v>77</v>
          </cell>
          <cell r="AB1114">
            <v>96</v>
          </cell>
          <cell r="AC1114">
            <v>80</v>
          </cell>
          <cell r="AD1114">
            <v>13.49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Y1114">
            <v>44767.92</v>
          </cell>
        </row>
        <row r="1115">
          <cell r="A1115">
            <v>2</v>
          </cell>
          <cell r="B1115" t="str">
            <v>12</v>
          </cell>
          <cell r="C1115" t="str">
            <v>000</v>
          </cell>
          <cell r="D1115" t="str">
            <v>1</v>
          </cell>
          <cell r="E1115" t="str">
            <v>703</v>
          </cell>
          <cell r="F1115" t="str">
            <v>N000</v>
          </cell>
          <cell r="G1115" t="str">
            <v>513</v>
          </cell>
          <cell r="H1115" t="str">
            <v>1103</v>
          </cell>
          <cell r="I1115" t="str">
            <v>CF21817</v>
          </cell>
          <cell r="J1115" t="str">
            <v>27ZA</v>
          </cell>
          <cell r="K1115" t="str">
            <v>2</v>
          </cell>
          <cell r="L1115">
            <v>3</v>
          </cell>
          <cell r="M1115">
            <v>0</v>
          </cell>
          <cell r="N1115">
            <v>2982.9</v>
          </cell>
          <cell r="O1115" t="str">
            <v>M</v>
          </cell>
          <cell r="P1115" t="str">
            <v>00000000</v>
          </cell>
          <cell r="Q1115">
            <v>579.4</v>
          </cell>
          <cell r="R1115">
            <v>430.86</v>
          </cell>
          <cell r="S1115">
            <v>82.86</v>
          </cell>
          <cell r="T1115">
            <v>380.32</v>
          </cell>
          <cell r="U1115">
            <v>149.15</v>
          </cell>
          <cell r="V1115">
            <v>64.12</v>
          </cell>
          <cell r="W1115">
            <v>59.66</v>
          </cell>
          <cell r="X1115">
            <v>15.33</v>
          </cell>
          <cell r="Y1115">
            <v>0</v>
          </cell>
          <cell r="Z1115">
            <v>86.89</v>
          </cell>
          <cell r="AA1115">
            <v>77</v>
          </cell>
          <cell r="AB1115">
            <v>96</v>
          </cell>
          <cell r="AC1115">
            <v>80</v>
          </cell>
          <cell r="AD1115">
            <v>13.49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Y1115">
            <v>183527.28</v>
          </cell>
        </row>
        <row r="1116">
          <cell r="A1116">
            <v>2</v>
          </cell>
          <cell r="B1116" t="str">
            <v>12</v>
          </cell>
          <cell r="C1116" t="str">
            <v>000</v>
          </cell>
          <cell r="D1116" t="str">
            <v>1</v>
          </cell>
          <cell r="E1116" t="str">
            <v>703</v>
          </cell>
          <cell r="F1116" t="str">
            <v>N000</v>
          </cell>
          <cell r="G1116" t="str">
            <v>513</v>
          </cell>
          <cell r="H1116" t="str">
            <v>1103</v>
          </cell>
          <cell r="I1116" t="str">
            <v>CF21856</v>
          </cell>
          <cell r="J1116" t="str">
            <v>27Z</v>
          </cell>
          <cell r="K1116" t="str">
            <v>2</v>
          </cell>
          <cell r="L1116">
            <v>1</v>
          </cell>
          <cell r="M1116">
            <v>0</v>
          </cell>
          <cell r="N1116">
            <v>2900.25</v>
          </cell>
          <cell r="O1116" t="str">
            <v>M</v>
          </cell>
          <cell r="P1116" t="str">
            <v>00000000</v>
          </cell>
          <cell r="Q1116">
            <v>205.15</v>
          </cell>
          <cell r="R1116">
            <v>418.93</v>
          </cell>
          <cell r="S1116">
            <v>80.56</v>
          </cell>
          <cell r="T1116">
            <v>369.78</v>
          </cell>
          <cell r="U1116">
            <v>145.01</v>
          </cell>
          <cell r="V1116">
            <v>55.89</v>
          </cell>
          <cell r="W1116">
            <v>58.01</v>
          </cell>
          <cell r="X1116">
            <v>0</v>
          </cell>
          <cell r="Y1116">
            <v>0</v>
          </cell>
          <cell r="Z1116">
            <v>77.16</v>
          </cell>
          <cell r="AA1116">
            <v>77</v>
          </cell>
          <cell r="AB1116">
            <v>96</v>
          </cell>
          <cell r="AC1116">
            <v>80</v>
          </cell>
          <cell r="AD1116">
            <v>13.49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Y1116">
            <v>54926.76</v>
          </cell>
        </row>
        <row r="1117">
          <cell r="A1117">
            <v>2</v>
          </cell>
          <cell r="B1117" t="str">
            <v>12</v>
          </cell>
          <cell r="C1117" t="str">
            <v>000</v>
          </cell>
          <cell r="D1117" t="str">
            <v>1</v>
          </cell>
          <cell r="E1117" t="str">
            <v>703</v>
          </cell>
          <cell r="F1117" t="str">
            <v>N000</v>
          </cell>
          <cell r="G1117" t="str">
            <v>513</v>
          </cell>
          <cell r="H1117" t="str">
            <v>1103</v>
          </cell>
          <cell r="I1117" t="str">
            <v>CF21858</v>
          </cell>
          <cell r="J1117" t="str">
            <v>27ZA</v>
          </cell>
          <cell r="K1117" t="str">
            <v>2</v>
          </cell>
          <cell r="L1117">
            <v>1</v>
          </cell>
          <cell r="M1117">
            <v>0</v>
          </cell>
          <cell r="N1117">
            <v>2982.9</v>
          </cell>
          <cell r="O1117" t="str">
            <v>M</v>
          </cell>
          <cell r="P1117" t="str">
            <v>00000000</v>
          </cell>
          <cell r="Q1117">
            <v>579.4</v>
          </cell>
          <cell r="R1117">
            <v>430.86</v>
          </cell>
          <cell r="S1117">
            <v>82.86</v>
          </cell>
          <cell r="T1117">
            <v>380.32</v>
          </cell>
          <cell r="U1117">
            <v>149.15</v>
          </cell>
          <cell r="V1117">
            <v>64.12</v>
          </cell>
          <cell r="W1117">
            <v>59.66</v>
          </cell>
          <cell r="X1117">
            <v>46</v>
          </cell>
          <cell r="Y1117">
            <v>0</v>
          </cell>
          <cell r="Z1117">
            <v>87.5</v>
          </cell>
          <cell r="AA1117">
            <v>77</v>
          </cell>
          <cell r="AB1117">
            <v>96</v>
          </cell>
          <cell r="AC1117">
            <v>80</v>
          </cell>
          <cell r="AD1117">
            <v>13.49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Y1117">
            <v>61551.12</v>
          </cell>
        </row>
        <row r="1118">
          <cell r="A1118">
            <v>2</v>
          </cell>
          <cell r="B1118" t="str">
            <v>12</v>
          </cell>
          <cell r="C1118" t="str">
            <v>000</v>
          </cell>
          <cell r="D1118" t="str">
            <v>1</v>
          </cell>
          <cell r="E1118" t="str">
            <v>703</v>
          </cell>
          <cell r="F1118" t="str">
            <v>N000</v>
          </cell>
          <cell r="G1118" t="str">
            <v>513</v>
          </cell>
          <cell r="H1118" t="str">
            <v>1103</v>
          </cell>
          <cell r="I1118" t="str">
            <v>CF21859</v>
          </cell>
          <cell r="J1118" t="str">
            <v>27ZB</v>
          </cell>
          <cell r="K1118" t="str">
            <v>2</v>
          </cell>
          <cell r="L1118">
            <v>5</v>
          </cell>
          <cell r="M1118">
            <v>0</v>
          </cell>
          <cell r="N1118">
            <v>3008.65</v>
          </cell>
          <cell r="O1118" t="str">
            <v>M</v>
          </cell>
          <cell r="P1118" t="str">
            <v>00000000</v>
          </cell>
          <cell r="Q1118">
            <v>857</v>
          </cell>
          <cell r="R1118">
            <v>434.58</v>
          </cell>
          <cell r="S1118">
            <v>83.57</v>
          </cell>
          <cell r="T1118">
            <v>383.6</v>
          </cell>
          <cell r="U1118">
            <v>150.43</v>
          </cell>
          <cell r="V1118">
            <v>69.59</v>
          </cell>
          <cell r="W1118">
            <v>60.17</v>
          </cell>
          <cell r="X1118">
            <v>20.2</v>
          </cell>
          <cell r="Y1118">
            <v>0</v>
          </cell>
          <cell r="Z1118">
            <v>93.14</v>
          </cell>
          <cell r="AA1118">
            <v>77</v>
          </cell>
          <cell r="AB1118">
            <v>96</v>
          </cell>
          <cell r="AC1118">
            <v>80</v>
          </cell>
          <cell r="AD1118">
            <v>13.49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Y1118">
            <v>325645.2</v>
          </cell>
        </row>
        <row r="1119">
          <cell r="A1119">
            <v>2</v>
          </cell>
          <cell r="B1119" t="str">
            <v>12</v>
          </cell>
          <cell r="C1119" t="str">
            <v>000</v>
          </cell>
          <cell r="D1119" t="str">
            <v>1</v>
          </cell>
          <cell r="E1119" t="str">
            <v>703</v>
          </cell>
          <cell r="F1119" t="str">
            <v>N000</v>
          </cell>
          <cell r="G1119" t="str">
            <v>513</v>
          </cell>
          <cell r="H1119" t="str">
            <v>1103</v>
          </cell>
          <cell r="I1119" t="str">
            <v>CF21864</v>
          </cell>
          <cell r="J1119" t="str">
            <v>27C</v>
          </cell>
          <cell r="K1119" t="str">
            <v>1</v>
          </cell>
          <cell r="L1119">
            <v>29</v>
          </cell>
          <cell r="M1119">
            <v>0</v>
          </cell>
          <cell r="N1119">
            <v>3268.2</v>
          </cell>
          <cell r="O1119" t="str">
            <v>M</v>
          </cell>
          <cell r="P1119" t="str">
            <v>00000000</v>
          </cell>
          <cell r="Q1119">
            <v>4783.05</v>
          </cell>
          <cell r="R1119">
            <v>472.07</v>
          </cell>
          <cell r="S1119">
            <v>90.78</v>
          </cell>
          <cell r="T1119">
            <v>416.7</v>
          </cell>
          <cell r="U1119">
            <v>163.41</v>
          </cell>
          <cell r="V1119">
            <v>144.91999999999999</v>
          </cell>
          <cell r="W1119">
            <v>65.36</v>
          </cell>
          <cell r="X1119">
            <v>25.62</v>
          </cell>
          <cell r="Y1119">
            <v>0</v>
          </cell>
          <cell r="Z1119">
            <v>174.33</v>
          </cell>
          <cell r="AA1119">
            <v>77</v>
          </cell>
          <cell r="AB1119">
            <v>0</v>
          </cell>
          <cell r="AC1119">
            <v>0</v>
          </cell>
          <cell r="AD1119">
            <v>13.49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Y1119">
            <v>3373835.64</v>
          </cell>
        </row>
        <row r="1120">
          <cell r="A1120">
            <v>2</v>
          </cell>
          <cell r="B1120" t="str">
            <v>12</v>
          </cell>
          <cell r="C1120" t="str">
            <v>000</v>
          </cell>
          <cell r="D1120" t="str">
            <v>1</v>
          </cell>
          <cell r="E1120" t="str">
            <v>703</v>
          </cell>
          <cell r="F1120" t="str">
            <v>N000</v>
          </cell>
          <cell r="G1120" t="str">
            <v>513</v>
          </cell>
          <cell r="H1120" t="str">
            <v>1103</v>
          </cell>
          <cell r="I1120" t="str">
            <v>CF21865</v>
          </cell>
          <cell r="J1120" t="str">
            <v>27B</v>
          </cell>
          <cell r="K1120" t="str">
            <v>1</v>
          </cell>
          <cell r="L1120">
            <v>8</v>
          </cell>
          <cell r="M1120">
            <v>0</v>
          </cell>
          <cell r="N1120">
            <v>3222.2</v>
          </cell>
          <cell r="O1120" t="str">
            <v>M</v>
          </cell>
          <cell r="P1120" t="str">
            <v>00000000</v>
          </cell>
          <cell r="Q1120">
            <v>3558.85</v>
          </cell>
          <cell r="R1120">
            <v>465.43</v>
          </cell>
          <cell r="S1120">
            <v>89.51</v>
          </cell>
          <cell r="T1120">
            <v>410.83</v>
          </cell>
          <cell r="U1120">
            <v>161.11000000000001</v>
          </cell>
          <cell r="V1120">
            <v>122.06</v>
          </cell>
          <cell r="W1120">
            <v>64.44</v>
          </cell>
          <cell r="X1120">
            <v>31</v>
          </cell>
          <cell r="Y1120">
            <v>0</v>
          </cell>
          <cell r="Z1120">
            <v>148.88</v>
          </cell>
          <cell r="AA1120">
            <v>77</v>
          </cell>
          <cell r="AB1120">
            <v>0</v>
          </cell>
          <cell r="AC1120">
            <v>0</v>
          </cell>
          <cell r="AD1120">
            <v>13.49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Y1120">
            <v>803020.80000000005</v>
          </cell>
        </row>
        <row r="1121">
          <cell r="A1121">
            <v>2</v>
          </cell>
          <cell r="B1121" t="str">
            <v>12</v>
          </cell>
          <cell r="C1121" t="str">
            <v>000</v>
          </cell>
          <cell r="D1121" t="str">
            <v>1</v>
          </cell>
          <cell r="E1121" t="str">
            <v>703</v>
          </cell>
          <cell r="F1121" t="str">
            <v>N000</v>
          </cell>
          <cell r="G1121" t="str">
            <v>513</v>
          </cell>
          <cell r="H1121" t="str">
            <v>1103</v>
          </cell>
          <cell r="I1121" t="str">
            <v>CF21866</v>
          </cell>
          <cell r="J1121" t="str">
            <v>27A</v>
          </cell>
          <cell r="K1121" t="str">
            <v>1</v>
          </cell>
          <cell r="L1121">
            <v>3</v>
          </cell>
          <cell r="M1121">
            <v>0</v>
          </cell>
          <cell r="N1121">
            <v>3185.4</v>
          </cell>
          <cell r="O1121" t="str">
            <v>M</v>
          </cell>
          <cell r="P1121" t="str">
            <v>00000000</v>
          </cell>
          <cell r="Q1121">
            <v>2791.7</v>
          </cell>
          <cell r="R1121">
            <v>460.11</v>
          </cell>
          <cell r="S1121">
            <v>88.48</v>
          </cell>
          <cell r="T1121">
            <v>406.14</v>
          </cell>
          <cell r="U1121">
            <v>159.27000000000001</v>
          </cell>
          <cell r="V1121">
            <v>107.59</v>
          </cell>
          <cell r="W1121">
            <v>63.71</v>
          </cell>
          <cell r="X1121">
            <v>15.33</v>
          </cell>
          <cell r="Y1121">
            <v>0</v>
          </cell>
          <cell r="Z1121">
            <v>132.36000000000001</v>
          </cell>
          <cell r="AA1121">
            <v>77</v>
          </cell>
          <cell r="AB1121">
            <v>0</v>
          </cell>
          <cell r="AC1121">
            <v>0</v>
          </cell>
          <cell r="AD1121">
            <v>13.49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Y1121">
            <v>270020.88</v>
          </cell>
        </row>
        <row r="1122">
          <cell r="A1122">
            <v>2</v>
          </cell>
          <cell r="B1122" t="str">
            <v>12</v>
          </cell>
          <cell r="C1122" t="str">
            <v>000</v>
          </cell>
          <cell r="D1122" t="str">
            <v>1</v>
          </cell>
          <cell r="E1122" t="str">
            <v>703</v>
          </cell>
          <cell r="F1122" t="str">
            <v>N000</v>
          </cell>
          <cell r="G1122" t="str">
            <v>513</v>
          </cell>
          <cell r="H1122" t="str">
            <v>1103</v>
          </cell>
          <cell r="I1122" t="str">
            <v>CF33834</v>
          </cell>
          <cell r="J1122" t="str">
            <v>27</v>
          </cell>
          <cell r="K1122" t="str">
            <v>2</v>
          </cell>
          <cell r="L1122">
            <v>19</v>
          </cell>
          <cell r="M1122">
            <v>0</v>
          </cell>
          <cell r="N1122">
            <v>2817.8</v>
          </cell>
          <cell r="O1122" t="str">
            <v>M</v>
          </cell>
          <cell r="P1122" t="str">
            <v>00000000</v>
          </cell>
          <cell r="Q1122">
            <v>0</v>
          </cell>
          <cell r="R1122">
            <v>407.02</v>
          </cell>
          <cell r="S1122">
            <v>78.27</v>
          </cell>
          <cell r="T1122">
            <v>359.27</v>
          </cell>
          <cell r="U1122">
            <v>140.88999999999999</v>
          </cell>
          <cell r="V1122">
            <v>50.72</v>
          </cell>
          <cell r="W1122">
            <v>56.36</v>
          </cell>
          <cell r="X1122">
            <v>41.37</v>
          </cell>
          <cell r="Y1122">
            <v>0</v>
          </cell>
          <cell r="Z1122">
            <v>71.95</v>
          </cell>
          <cell r="AA1122">
            <v>77</v>
          </cell>
          <cell r="AB1122">
            <v>96</v>
          </cell>
          <cell r="AC1122">
            <v>80</v>
          </cell>
          <cell r="AD1122">
            <v>13.49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Y1122">
            <v>978151.92</v>
          </cell>
        </row>
        <row r="1123">
          <cell r="A1123">
            <v>2</v>
          </cell>
          <cell r="B1123" t="str">
            <v>12</v>
          </cell>
          <cell r="C1123" t="str">
            <v>000</v>
          </cell>
          <cell r="D1123" t="str">
            <v>1</v>
          </cell>
          <cell r="E1123" t="str">
            <v>703</v>
          </cell>
          <cell r="F1123" t="str">
            <v>N000</v>
          </cell>
          <cell r="G1123" t="str">
            <v>513</v>
          </cell>
          <cell r="H1123" t="str">
            <v>1103</v>
          </cell>
          <cell r="I1123" t="str">
            <v>CF33892</v>
          </cell>
          <cell r="J1123" t="str">
            <v>27ZA</v>
          </cell>
          <cell r="K1123" t="str">
            <v>2</v>
          </cell>
          <cell r="L1123">
            <v>84</v>
          </cell>
          <cell r="M1123">
            <v>0</v>
          </cell>
          <cell r="N1123">
            <v>2982.9</v>
          </cell>
          <cell r="O1123" t="str">
            <v>M</v>
          </cell>
          <cell r="P1123" t="str">
            <v>00000000</v>
          </cell>
          <cell r="Q1123">
            <v>579.4</v>
          </cell>
          <cell r="R1123">
            <v>430.86</v>
          </cell>
          <cell r="S1123">
            <v>82.86</v>
          </cell>
          <cell r="T1123">
            <v>380.32</v>
          </cell>
          <cell r="U1123">
            <v>149.15</v>
          </cell>
          <cell r="V1123">
            <v>64.12</v>
          </cell>
          <cell r="W1123">
            <v>59.66</v>
          </cell>
          <cell r="X1123">
            <v>38.479999999999997</v>
          </cell>
          <cell r="Y1123">
            <v>0</v>
          </cell>
          <cell r="Z1123">
            <v>87.35</v>
          </cell>
          <cell r="AA1123">
            <v>77</v>
          </cell>
          <cell r="AB1123">
            <v>96</v>
          </cell>
          <cell r="AC1123">
            <v>80</v>
          </cell>
          <cell r="AD1123">
            <v>13.49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Y1123">
            <v>5162562.72</v>
          </cell>
        </row>
        <row r="1124">
          <cell r="A1124">
            <v>2</v>
          </cell>
          <cell r="B1124" t="str">
            <v>12</v>
          </cell>
          <cell r="C1124" t="str">
            <v>000</v>
          </cell>
          <cell r="D1124" t="str">
            <v>1</v>
          </cell>
          <cell r="E1124" t="str">
            <v>703</v>
          </cell>
          <cell r="F1124" t="str">
            <v>N000</v>
          </cell>
          <cell r="G1124" t="str">
            <v>513</v>
          </cell>
          <cell r="H1124" t="str">
            <v>1103</v>
          </cell>
          <cell r="I1124" t="str">
            <v>CF41040</v>
          </cell>
          <cell r="K1124" t="str">
            <v>2</v>
          </cell>
          <cell r="L1124">
            <v>5</v>
          </cell>
          <cell r="M1124">
            <v>0</v>
          </cell>
          <cell r="N1124">
            <v>7482</v>
          </cell>
          <cell r="O1124" t="str">
            <v>M</v>
          </cell>
          <cell r="P1124" t="str">
            <v>00000000</v>
          </cell>
          <cell r="Q1124">
            <v>0</v>
          </cell>
          <cell r="R1124">
            <v>1080.73</v>
          </cell>
          <cell r="S1124">
            <v>207.83</v>
          </cell>
          <cell r="T1124">
            <v>953.96</v>
          </cell>
          <cell r="U1124">
            <v>374.1</v>
          </cell>
          <cell r="V1124">
            <v>134.68</v>
          </cell>
          <cell r="W1124">
            <v>149.63999999999999</v>
          </cell>
          <cell r="X1124">
            <v>29.4</v>
          </cell>
          <cell r="Y1124">
            <v>0</v>
          </cell>
          <cell r="Z1124">
            <v>289.8</v>
          </cell>
          <cell r="AA1124">
            <v>77</v>
          </cell>
          <cell r="AB1124">
            <v>96</v>
          </cell>
          <cell r="AC1124">
            <v>80</v>
          </cell>
          <cell r="AD1124">
            <v>13.49</v>
          </cell>
          <cell r="AE1124">
            <v>6.24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5431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Y1124">
            <v>984352.2</v>
          </cell>
        </row>
        <row r="1125">
          <cell r="A1125">
            <v>2</v>
          </cell>
          <cell r="B1125" t="str">
            <v>12</v>
          </cell>
          <cell r="C1125" t="str">
            <v>000</v>
          </cell>
          <cell r="D1125" t="str">
            <v>1</v>
          </cell>
          <cell r="E1125" t="str">
            <v>702</v>
          </cell>
          <cell r="F1125" t="str">
            <v>N000</v>
          </cell>
          <cell r="G1125" t="str">
            <v>312</v>
          </cell>
          <cell r="H1125" t="str">
            <v>1103</v>
          </cell>
          <cell r="I1125" t="str">
            <v>CF01059</v>
          </cell>
          <cell r="J1125" t="str">
            <v>28</v>
          </cell>
          <cell r="K1125" t="str">
            <v>1</v>
          </cell>
          <cell r="L1125">
            <v>16</v>
          </cell>
          <cell r="M1125">
            <v>0</v>
          </cell>
          <cell r="N1125">
            <v>3631.8</v>
          </cell>
          <cell r="O1125" t="str">
            <v>M</v>
          </cell>
          <cell r="P1125" t="str">
            <v>00000000</v>
          </cell>
          <cell r="Q1125">
            <v>8731.1</v>
          </cell>
          <cell r="R1125">
            <v>524.59</v>
          </cell>
          <cell r="S1125">
            <v>100.88</v>
          </cell>
          <cell r="T1125">
            <v>463.05</v>
          </cell>
          <cell r="U1125">
            <v>181.59</v>
          </cell>
          <cell r="V1125">
            <v>222.53</v>
          </cell>
          <cell r="W1125">
            <v>72.64</v>
          </cell>
          <cell r="X1125">
            <v>55.94</v>
          </cell>
          <cell r="Y1125">
            <v>618.15</v>
          </cell>
          <cell r="Z1125">
            <v>262.43</v>
          </cell>
          <cell r="AA1125">
            <v>77</v>
          </cell>
          <cell r="AB1125">
            <v>0</v>
          </cell>
          <cell r="AC1125">
            <v>0</v>
          </cell>
          <cell r="AD1125">
            <v>13.49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Y1125">
            <v>2871396.48</v>
          </cell>
        </row>
        <row r="1126">
          <cell r="A1126">
            <v>0</v>
          </cell>
          <cell r="B1126" t="str">
            <v>09</v>
          </cell>
          <cell r="C1126" t="str">
            <v>000</v>
          </cell>
          <cell r="D1126" t="str">
            <v>1</v>
          </cell>
          <cell r="E1126" t="str">
            <v>101</v>
          </cell>
          <cell r="F1126" t="str">
            <v>N000</v>
          </cell>
          <cell r="G1126" t="str">
            <v>100</v>
          </cell>
          <cell r="H1126" t="str">
            <v>1201</v>
          </cell>
          <cell r="I1126" t="str">
            <v>0</v>
          </cell>
          <cell r="J1126" t="str">
            <v>0</v>
          </cell>
          <cell r="K1126" t="str">
            <v>2</v>
          </cell>
          <cell r="L1126">
            <v>17</v>
          </cell>
          <cell r="M1126">
            <v>0</v>
          </cell>
          <cell r="N1126">
            <v>25082.720000000001</v>
          </cell>
          <cell r="O1126" t="str">
            <v>0</v>
          </cell>
          <cell r="P1126" t="str">
            <v>ENE-DIC</v>
          </cell>
          <cell r="Q1126">
            <v>0</v>
          </cell>
          <cell r="R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D1126">
            <v>0</v>
          </cell>
          <cell r="AK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5116873.96</v>
          </cell>
        </row>
        <row r="1127">
          <cell r="A1127">
            <v>0</v>
          </cell>
          <cell r="B1127" t="str">
            <v>09</v>
          </cell>
          <cell r="C1127" t="str">
            <v>000</v>
          </cell>
          <cell r="D1127" t="str">
            <v>1</v>
          </cell>
          <cell r="E1127" t="str">
            <v>101</v>
          </cell>
          <cell r="F1127" t="str">
            <v>N000</v>
          </cell>
          <cell r="G1127" t="str">
            <v>109</v>
          </cell>
          <cell r="H1127" t="str">
            <v>1201</v>
          </cell>
          <cell r="I1127" t="str">
            <v>0</v>
          </cell>
          <cell r="J1127" t="str">
            <v>0</v>
          </cell>
          <cell r="K1127" t="str">
            <v>2</v>
          </cell>
          <cell r="L1127">
            <v>2</v>
          </cell>
          <cell r="M1127">
            <v>0</v>
          </cell>
          <cell r="N1127">
            <v>9585.92</v>
          </cell>
          <cell r="O1127" t="str">
            <v>0</v>
          </cell>
          <cell r="P1127" t="str">
            <v>ENE-DIC</v>
          </cell>
          <cell r="Q1127">
            <v>0</v>
          </cell>
          <cell r="R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D1127">
            <v>0</v>
          </cell>
          <cell r="AK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230062.1</v>
          </cell>
        </row>
        <row r="1128">
          <cell r="A1128">
            <v>0</v>
          </cell>
          <cell r="B1128" t="str">
            <v>09</v>
          </cell>
          <cell r="C1128" t="str">
            <v>000</v>
          </cell>
          <cell r="D1128" t="str">
            <v>1</v>
          </cell>
          <cell r="E1128" t="str">
            <v>701</v>
          </cell>
          <cell r="F1128" t="str">
            <v>N000</v>
          </cell>
          <cell r="G1128" t="str">
            <v>110</v>
          </cell>
          <cell r="H1128" t="str">
            <v>1201</v>
          </cell>
          <cell r="I1128" t="str">
            <v>0</v>
          </cell>
          <cell r="J1128" t="str">
            <v>0</v>
          </cell>
          <cell r="K1128" t="str">
            <v>2</v>
          </cell>
          <cell r="L1128">
            <v>12</v>
          </cell>
          <cell r="M1128">
            <v>0</v>
          </cell>
          <cell r="N1128">
            <v>14705.18</v>
          </cell>
          <cell r="O1128" t="str">
            <v>0</v>
          </cell>
          <cell r="P1128" t="str">
            <v>ENE-DIC</v>
          </cell>
          <cell r="Q1128">
            <v>0</v>
          </cell>
          <cell r="R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D1128">
            <v>0</v>
          </cell>
          <cell r="AK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2117545.92</v>
          </cell>
        </row>
        <row r="1129">
          <cell r="A1129">
            <v>0</v>
          </cell>
          <cell r="B1129" t="str">
            <v>09</v>
          </cell>
          <cell r="C1129" t="str">
            <v>000</v>
          </cell>
          <cell r="D1129" t="str">
            <v>1</v>
          </cell>
          <cell r="E1129" t="str">
            <v>104</v>
          </cell>
          <cell r="F1129" t="str">
            <v>N000</v>
          </cell>
          <cell r="G1129" t="str">
            <v>111</v>
          </cell>
          <cell r="H1129" t="str">
            <v>1201</v>
          </cell>
          <cell r="I1129" t="str">
            <v>0</v>
          </cell>
          <cell r="J1129" t="str">
            <v>0</v>
          </cell>
          <cell r="K1129" t="str">
            <v>2</v>
          </cell>
          <cell r="L1129">
            <v>8</v>
          </cell>
          <cell r="M1129">
            <v>0</v>
          </cell>
          <cell r="N1129">
            <v>15288.6</v>
          </cell>
          <cell r="O1129" t="str">
            <v>0</v>
          </cell>
          <cell r="P1129" t="str">
            <v>ENE-DIC</v>
          </cell>
          <cell r="Q1129">
            <v>0</v>
          </cell>
          <cell r="R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D1129">
            <v>0</v>
          </cell>
          <cell r="AK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1467705.6</v>
          </cell>
        </row>
        <row r="1130">
          <cell r="A1130">
            <v>0</v>
          </cell>
          <cell r="B1130" t="str">
            <v>09</v>
          </cell>
          <cell r="C1130" t="str">
            <v>000</v>
          </cell>
          <cell r="D1130" t="str">
            <v>1</v>
          </cell>
          <cell r="E1130" t="str">
            <v>601</v>
          </cell>
          <cell r="F1130" t="str">
            <v>N000</v>
          </cell>
          <cell r="G1130" t="str">
            <v>112</v>
          </cell>
          <cell r="H1130" t="str">
            <v>1201</v>
          </cell>
          <cell r="I1130" t="str">
            <v>0</v>
          </cell>
          <cell r="J1130" t="str">
            <v>0</v>
          </cell>
          <cell r="K1130" t="str">
            <v>2</v>
          </cell>
          <cell r="L1130">
            <v>6</v>
          </cell>
          <cell r="M1130">
            <v>0</v>
          </cell>
          <cell r="N1130">
            <v>14674</v>
          </cell>
          <cell r="O1130" t="str">
            <v>0</v>
          </cell>
          <cell r="P1130" t="str">
            <v>ENE-DIC</v>
          </cell>
          <cell r="Q1130">
            <v>0</v>
          </cell>
          <cell r="R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D1130">
            <v>0</v>
          </cell>
          <cell r="AK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1056528.26</v>
          </cell>
        </row>
        <row r="1131">
          <cell r="A1131">
            <v>0</v>
          </cell>
          <cell r="B1131" t="str">
            <v>09</v>
          </cell>
          <cell r="C1131" t="str">
            <v>000</v>
          </cell>
          <cell r="D1131" t="str">
            <v>1</v>
          </cell>
          <cell r="E1131" t="str">
            <v>101</v>
          </cell>
          <cell r="F1131" t="str">
            <v>N000</v>
          </cell>
          <cell r="G1131" t="str">
            <v>200</v>
          </cell>
          <cell r="H1131" t="str">
            <v>1201</v>
          </cell>
          <cell r="I1131" t="str">
            <v>0</v>
          </cell>
          <cell r="J1131" t="str">
            <v>0</v>
          </cell>
          <cell r="K1131" t="str">
            <v>2</v>
          </cell>
          <cell r="L1131">
            <v>6</v>
          </cell>
          <cell r="M1131">
            <v>0</v>
          </cell>
          <cell r="N1131">
            <v>35246.99</v>
          </cell>
          <cell r="O1131" t="str">
            <v>0</v>
          </cell>
          <cell r="P1131" t="str">
            <v>ENE-DIC</v>
          </cell>
          <cell r="Q1131">
            <v>0</v>
          </cell>
          <cell r="R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D1131">
            <v>0</v>
          </cell>
          <cell r="AK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2537783.37</v>
          </cell>
        </row>
        <row r="1132">
          <cell r="A1132">
            <v>0</v>
          </cell>
          <cell r="B1132" t="str">
            <v>09</v>
          </cell>
          <cell r="C1132" t="str">
            <v>000</v>
          </cell>
          <cell r="D1132" t="str">
            <v>1</v>
          </cell>
          <cell r="E1132" t="str">
            <v>101</v>
          </cell>
          <cell r="F1132" t="str">
            <v>N000</v>
          </cell>
          <cell r="G1132" t="str">
            <v>300</v>
          </cell>
          <cell r="H1132" t="str">
            <v>1201</v>
          </cell>
          <cell r="I1132" t="str">
            <v>0</v>
          </cell>
          <cell r="J1132" t="str">
            <v>0</v>
          </cell>
          <cell r="K1132" t="str">
            <v>2</v>
          </cell>
          <cell r="L1132">
            <v>13</v>
          </cell>
          <cell r="M1132">
            <v>0</v>
          </cell>
          <cell r="N1132">
            <v>15909.3</v>
          </cell>
          <cell r="O1132" t="str">
            <v>0</v>
          </cell>
          <cell r="P1132" t="str">
            <v>ENE-DIC</v>
          </cell>
          <cell r="Q1132">
            <v>0</v>
          </cell>
          <cell r="R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D1132">
            <v>0</v>
          </cell>
          <cell r="AK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2481850.8199999998</v>
          </cell>
        </row>
        <row r="1133">
          <cell r="A1133">
            <v>0</v>
          </cell>
          <cell r="B1133" t="str">
            <v>09</v>
          </cell>
          <cell r="C1133" t="str">
            <v>000</v>
          </cell>
          <cell r="D1133" t="str">
            <v>1</v>
          </cell>
          <cell r="E1133" t="str">
            <v>201</v>
          </cell>
          <cell r="F1133" t="str">
            <v>N000</v>
          </cell>
          <cell r="G1133" t="str">
            <v>310</v>
          </cell>
          <cell r="H1133" t="str">
            <v>1201</v>
          </cell>
          <cell r="I1133" t="str">
            <v>0</v>
          </cell>
          <cell r="J1133" t="str">
            <v>0</v>
          </cell>
          <cell r="K1133" t="str">
            <v>2</v>
          </cell>
          <cell r="L1133">
            <v>2</v>
          </cell>
          <cell r="M1133">
            <v>0</v>
          </cell>
          <cell r="N1133">
            <v>11810.88</v>
          </cell>
          <cell r="O1133" t="str">
            <v>0</v>
          </cell>
          <cell r="P1133" t="str">
            <v>ENE-DIC</v>
          </cell>
          <cell r="Q1133">
            <v>0</v>
          </cell>
          <cell r="R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D1133">
            <v>0</v>
          </cell>
          <cell r="AK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283461</v>
          </cell>
        </row>
        <row r="1134">
          <cell r="A1134">
            <v>0</v>
          </cell>
          <cell r="B1134" t="str">
            <v>09</v>
          </cell>
          <cell r="C1134" t="str">
            <v>000</v>
          </cell>
          <cell r="D1134" t="str">
            <v>1</v>
          </cell>
          <cell r="E1134" t="str">
            <v>101</v>
          </cell>
          <cell r="F1134" t="str">
            <v>N000</v>
          </cell>
          <cell r="G1134" t="str">
            <v>400</v>
          </cell>
          <cell r="H1134" t="str">
            <v>1201</v>
          </cell>
          <cell r="I1134" t="str">
            <v>0</v>
          </cell>
          <cell r="J1134" t="str">
            <v>0</v>
          </cell>
          <cell r="K1134" t="str">
            <v>2</v>
          </cell>
          <cell r="L1134">
            <v>6</v>
          </cell>
          <cell r="M1134">
            <v>0</v>
          </cell>
          <cell r="N1134">
            <v>19310.97</v>
          </cell>
          <cell r="O1134" t="str">
            <v>0</v>
          </cell>
          <cell r="P1134" t="str">
            <v>ENE-DIC</v>
          </cell>
          <cell r="Q1134">
            <v>0</v>
          </cell>
          <cell r="R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D1134">
            <v>0</v>
          </cell>
          <cell r="AK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1390389.86</v>
          </cell>
        </row>
        <row r="1135">
          <cell r="A1135">
            <v>0</v>
          </cell>
          <cell r="B1135" t="str">
            <v>09</v>
          </cell>
          <cell r="C1135" t="str">
            <v>000</v>
          </cell>
          <cell r="D1135" t="str">
            <v>1</v>
          </cell>
          <cell r="E1135" t="str">
            <v>701</v>
          </cell>
          <cell r="F1135" t="str">
            <v>N000</v>
          </cell>
          <cell r="G1135" t="str">
            <v>500</v>
          </cell>
          <cell r="H1135" t="str">
            <v>1201</v>
          </cell>
          <cell r="I1135" t="str">
            <v>0</v>
          </cell>
          <cell r="J1135" t="str">
            <v>0</v>
          </cell>
          <cell r="K1135" t="str">
            <v>2</v>
          </cell>
          <cell r="L1135">
            <v>3</v>
          </cell>
          <cell r="M1135">
            <v>0</v>
          </cell>
          <cell r="N1135">
            <v>21084.81</v>
          </cell>
          <cell r="O1135" t="str">
            <v>0</v>
          </cell>
          <cell r="P1135" t="str">
            <v>ENE-DIC</v>
          </cell>
          <cell r="Q1135">
            <v>0</v>
          </cell>
          <cell r="R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D1135">
            <v>0</v>
          </cell>
          <cell r="AK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759053.1</v>
          </cell>
        </row>
        <row r="1136">
          <cell r="A1136">
            <v>0</v>
          </cell>
          <cell r="B1136" t="str">
            <v>09</v>
          </cell>
          <cell r="C1136" t="str">
            <v>000</v>
          </cell>
          <cell r="D1136" t="str">
            <v>1</v>
          </cell>
          <cell r="E1136" t="str">
            <v>701</v>
          </cell>
          <cell r="F1136" t="str">
            <v>N000</v>
          </cell>
          <cell r="G1136" t="str">
            <v>510</v>
          </cell>
          <cell r="H1136" t="str">
            <v>1201</v>
          </cell>
          <cell r="I1136" t="str">
            <v>0</v>
          </cell>
          <cell r="J1136" t="str">
            <v>0</v>
          </cell>
          <cell r="K1136" t="str">
            <v>2</v>
          </cell>
          <cell r="L1136">
            <v>6</v>
          </cell>
          <cell r="M1136">
            <v>0</v>
          </cell>
          <cell r="N1136">
            <v>17993.5</v>
          </cell>
          <cell r="O1136" t="str">
            <v>0</v>
          </cell>
          <cell r="P1136" t="str">
            <v>ENE-DIC</v>
          </cell>
          <cell r="Q1136">
            <v>0</v>
          </cell>
          <cell r="R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D1136">
            <v>0</v>
          </cell>
          <cell r="AK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1295531.8</v>
          </cell>
        </row>
        <row r="1137">
          <cell r="A1137">
            <v>0</v>
          </cell>
          <cell r="B1137" t="str">
            <v>09</v>
          </cell>
          <cell r="C1137" t="str">
            <v>000</v>
          </cell>
          <cell r="D1137" t="str">
            <v>1</v>
          </cell>
          <cell r="E1137" t="str">
            <v>701</v>
          </cell>
          <cell r="F1137" t="str">
            <v>N000</v>
          </cell>
          <cell r="G1137" t="str">
            <v>511</v>
          </cell>
          <cell r="H1137" t="str">
            <v>1201</v>
          </cell>
          <cell r="I1137" t="str">
            <v>0</v>
          </cell>
          <cell r="J1137" t="str">
            <v>0</v>
          </cell>
          <cell r="K1137" t="str">
            <v>2</v>
          </cell>
          <cell r="L1137">
            <v>5</v>
          </cell>
          <cell r="M1137">
            <v>0</v>
          </cell>
          <cell r="N1137">
            <v>13665.66</v>
          </cell>
          <cell r="O1137" t="str">
            <v>0</v>
          </cell>
          <cell r="P1137" t="str">
            <v>ENE-DIC</v>
          </cell>
          <cell r="Q1137">
            <v>0</v>
          </cell>
          <cell r="R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D1137">
            <v>0</v>
          </cell>
          <cell r="AK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819939.7</v>
          </cell>
        </row>
        <row r="1138">
          <cell r="A1138">
            <v>0</v>
          </cell>
          <cell r="B1138" t="str">
            <v>09</v>
          </cell>
          <cell r="C1138" t="str">
            <v>000</v>
          </cell>
          <cell r="D1138" t="str">
            <v>1</v>
          </cell>
          <cell r="E1138" t="str">
            <v>701</v>
          </cell>
          <cell r="F1138" t="str">
            <v>N000</v>
          </cell>
          <cell r="G1138" t="str">
            <v>512</v>
          </cell>
          <cell r="H1138" t="str">
            <v>1201</v>
          </cell>
          <cell r="I1138" t="str">
            <v>0</v>
          </cell>
          <cell r="J1138" t="str">
            <v>0</v>
          </cell>
          <cell r="K1138" t="str">
            <v>2</v>
          </cell>
          <cell r="L1138">
            <v>2</v>
          </cell>
          <cell r="M1138">
            <v>0</v>
          </cell>
          <cell r="N1138">
            <v>33439.56</v>
          </cell>
          <cell r="O1138" t="str">
            <v>0</v>
          </cell>
          <cell r="P1138" t="str">
            <v>ENE-DIC</v>
          </cell>
          <cell r="Q1138">
            <v>0</v>
          </cell>
          <cell r="R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D1138">
            <v>0</v>
          </cell>
          <cell r="AK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802549.32</v>
          </cell>
        </row>
        <row r="1139">
          <cell r="A1139">
            <v>0</v>
          </cell>
          <cell r="B1139" t="str">
            <v>09</v>
          </cell>
          <cell r="C1139" t="str">
            <v>000</v>
          </cell>
          <cell r="D1139" t="str">
            <v>1</v>
          </cell>
          <cell r="E1139" t="str">
            <v>703</v>
          </cell>
          <cell r="F1139" t="str">
            <v>N000</v>
          </cell>
          <cell r="G1139" t="str">
            <v>513</v>
          </cell>
          <cell r="H1139" t="str">
            <v>1201</v>
          </cell>
          <cell r="I1139" t="str">
            <v>0</v>
          </cell>
          <cell r="J1139" t="str">
            <v>0</v>
          </cell>
          <cell r="K1139" t="str">
            <v>2</v>
          </cell>
          <cell r="L1139">
            <v>7</v>
          </cell>
          <cell r="M1139">
            <v>0</v>
          </cell>
          <cell r="N1139">
            <v>11864.32</v>
          </cell>
          <cell r="O1139" t="str">
            <v>0</v>
          </cell>
          <cell r="P1139" t="str">
            <v>ENE-DIC</v>
          </cell>
          <cell r="Q1139">
            <v>0</v>
          </cell>
          <cell r="R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D1139">
            <v>0</v>
          </cell>
          <cell r="AK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996602.9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ULADOR"/>
      <sheetName val="MOVIMIENTOS"/>
      <sheetName val="PLANTILLA 99"/>
      <sheetName val="SPS Y MM"/>
      <sheetName val="ADMVO"/>
      <sheetName val="MEDICA"/>
      <sheetName val="RESIDENTES"/>
      <sheetName val="INVESTIGADORES"/>
      <sheetName val="RESUMEN 01"/>
      <sheetName val="RESUMEN MENSUAL"/>
    </sheetNames>
    <sheetDataSet>
      <sheetData sheetId="0" refreshError="1"/>
      <sheetData sheetId="1" refreshError="1"/>
      <sheetData sheetId="2" refreshError="1">
        <row r="12">
          <cell r="J12" t="str">
            <v>COLECTIVO</v>
          </cell>
        </row>
        <row r="13">
          <cell r="F13" t="str">
            <v>DENOMINACION</v>
          </cell>
          <cell r="G13" t="str">
            <v>NO. DE</v>
          </cell>
          <cell r="H13" t="str">
            <v>SUELDO</v>
          </cell>
          <cell r="I13" t="str">
            <v>COMP.</v>
          </cell>
          <cell r="J13" t="str">
            <v>SUELDO</v>
          </cell>
        </row>
        <row r="14">
          <cell r="G14" t="str">
            <v>PLAZAS</v>
          </cell>
          <cell r="H14" t="str">
            <v>MENSUAL</v>
          </cell>
          <cell r="I14" t="str">
            <v>ADICIONAL</v>
          </cell>
        </row>
        <row r="16">
          <cell r="F16" t="str">
            <v>AUXILIAR  DE SERVICIOS Y MANTENIMIENTO</v>
          </cell>
          <cell r="G16">
            <v>792</v>
          </cell>
          <cell r="H16">
            <v>1812.65</v>
          </cell>
          <cell r="I16">
            <v>0</v>
          </cell>
          <cell r="J16">
            <v>1435618.8</v>
          </cell>
        </row>
        <row r="17">
          <cell r="F17" t="str">
            <v>EMPACADORA DE ALIMENTOS</v>
          </cell>
          <cell r="G17">
            <v>87</v>
          </cell>
          <cell r="H17">
            <v>1812.65</v>
          </cell>
          <cell r="I17">
            <v>0</v>
          </cell>
          <cell r="J17">
            <v>157700.55000000002</v>
          </cell>
        </row>
        <row r="18">
          <cell r="F18" t="str">
            <v>AUXILIAR ADMINISTRATIVO</v>
          </cell>
          <cell r="G18">
            <v>192</v>
          </cell>
          <cell r="H18">
            <v>1936.3</v>
          </cell>
          <cell r="I18">
            <v>0</v>
          </cell>
          <cell r="J18">
            <v>371769.59999999998</v>
          </cell>
        </row>
        <row r="19">
          <cell r="F19" t="str">
            <v>CHOFER</v>
          </cell>
          <cell r="G19">
            <v>134</v>
          </cell>
          <cell r="H19">
            <v>1987.5</v>
          </cell>
          <cell r="I19">
            <v>0</v>
          </cell>
          <cell r="J19">
            <v>266325</v>
          </cell>
        </row>
        <row r="20">
          <cell r="F20" t="str">
            <v>MECANICO</v>
          </cell>
          <cell r="G20">
            <v>10</v>
          </cell>
          <cell r="H20">
            <v>1987.5</v>
          </cell>
          <cell r="I20">
            <v>0</v>
          </cell>
          <cell r="J20">
            <v>19875</v>
          </cell>
        </row>
        <row r="21">
          <cell r="F21" t="str">
            <v>ADMINISTRATIVO ESPECIALIZADO</v>
          </cell>
          <cell r="G21">
            <v>303</v>
          </cell>
          <cell r="H21">
            <v>2120.3000000000002</v>
          </cell>
          <cell r="I21">
            <v>0</v>
          </cell>
          <cell r="J21">
            <v>642450.9</v>
          </cell>
        </row>
        <row r="22">
          <cell r="F22" t="str">
            <v>RECEPCIONISTA</v>
          </cell>
          <cell r="G22">
            <v>49</v>
          </cell>
          <cell r="H22">
            <v>2120.3000000000002</v>
          </cell>
          <cell r="I22">
            <v>0</v>
          </cell>
          <cell r="J22">
            <v>103894.70000000001</v>
          </cell>
        </row>
        <row r="23">
          <cell r="F23" t="str">
            <v>PROFESOR</v>
          </cell>
          <cell r="G23">
            <v>71</v>
          </cell>
          <cell r="H23">
            <v>2120.3000000000002</v>
          </cell>
          <cell r="I23">
            <v>0</v>
          </cell>
          <cell r="J23">
            <v>150541.30000000002</v>
          </cell>
        </row>
        <row r="24">
          <cell r="F24" t="str">
            <v>OFICIAL DE SERVICIOS Y MANTENIMIENTO</v>
          </cell>
          <cell r="G24">
            <v>195</v>
          </cell>
          <cell r="H24">
            <v>2120.3000000000002</v>
          </cell>
          <cell r="I24">
            <v>0</v>
          </cell>
          <cell r="J24">
            <v>413458.50000000006</v>
          </cell>
        </row>
        <row r="25">
          <cell r="F25" t="str">
            <v>ELECTRICISTA</v>
          </cell>
          <cell r="G25">
            <v>15</v>
          </cell>
          <cell r="H25">
            <v>2120.3000000000002</v>
          </cell>
          <cell r="I25">
            <v>0</v>
          </cell>
          <cell r="J25">
            <v>31804.500000000004</v>
          </cell>
        </row>
        <row r="26">
          <cell r="F26" t="str">
            <v>NIÑERA A</v>
          </cell>
          <cell r="G26">
            <v>285</v>
          </cell>
          <cell r="H26">
            <v>2120.3000000000002</v>
          </cell>
          <cell r="I26">
            <v>0</v>
          </cell>
          <cell r="J26">
            <v>604285.5</v>
          </cell>
        </row>
        <row r="27">
          <cell r="F27" t="str">
            <v>SECRETARIA DE APOYO</v>
          </cell>
          <cell r="G27">
            <v>84</v>
          </cell>
          <cell r="H27">
            <v>2138.85</v>
          </cell>
          <cell r="I27">
            <v>0</v>
          </cell>
          <cell r="J27">
            <v>179663.4</v>
          </cell>
        </row>
        <row r="28">
          <cell r="F28" t="str">
            <v>CHOFER DE CAMION</v>
          </cell>
          <cell r="G28">
            <v>152</v>
          </cell>
          <cell r="H28">
            <v>2138.85</v>
          </cell>
          <cell r="I28">
            <v>0</v>
          </cell>
          <cell r="J28">
            <v>325105.2</v>
          </cell>
        </row>
        <row r="29">
          <cell r="F29" t="str">
            <v>FOTOGRAFO</v>
          </cell>
          <cell r="G29">
            <v>4</v>
          </cell>
          <cell r="H29">
            <v>2138.85</v>
          </cell>
          <cell r="I29">
            <v>0</v>
          </cell>
          <cell r="J29">
            <v>8555.4</v>
          </cell>
        </row>
        <row r="30">
          <cell r="F30" t="str">
            <v>AUXILIAR DE ADMINISTRADOR</v>
          </cell>
          <cell r="G30">
            <v>144</v>
          </cell>
          <cell r="H30">
            <v>2238.1999999999998</v>
          </cell>
          <cell r="I30">
            <v>0</v>
          </cell>
          <cell r="J30">
            <v>322300.79999999999</v>
          </cell>
        </row>
        <row r="31">
          <cell r="F31" t="str">
            <v>PROFESOR DE EDUCACION PARA LA SALUD</v>
          </cell>
          <cell r="G31">
            <v>11</v>
          </cell>
          <cell r="H31">
            <v>2238.1999999999998</v>
          </cell>
          <cell r="I31">
            <v>0</v>
          </cell>
          <cell r="J31">
            <v>24620.199999999997</v>
          </cell>
        </row>
        <row r="32">
          <cell r="F32" t="str">
            <v>OFICIAL DE MANTENIMIENTO MECANICO</v>
          </cell>
          <cell r="G32">
            <v>19</v>
          </cell>
          <cell r="H32">
            <v>2238.1999999999998</v>
          </cell>
          <cell r="I32">
            <v>0</v>
          </cell>
          <cell r="J32">
            <v>42525.799999999996</v>
          </cell>
        </row>
        <row r="33">
          <cell r="F33" t="str">
            <v>TECNICO BIBLIOTECARIO</v>
          </cell>
          <cell r="G33">
            <v>7</v>
          </cell>
          <cell r="H33">
            <v>2238.1999999999998</v>
          </cell>
          <cell r="I33">
            <v>0</v>
          </cell>
          <cell r="J33">
            <v>15667.399999999998</v>
          </cell>
        </row>
        <row r="34">
          <cell r="F34" t="str">
            <v>TECNICO AUDIOVISUAL</v>
          </cell>
          <cell r="G34">
            <v>15</v>
          </cell>
          <cell r="H34">
            <v>2238.1999999999998</v>
          </cell>
          <cell r="I34">
            <v>0</v>
          </cell>
          <cell r="J34">
            <v>33573</v>
          </cell>
        </row>
        <row r="35">
          <cell r="F35" t="str">
            <v>PROMOTOR</v>
          </cell>
          <cell r="G35">
            <v>61</v>
          </cell>
          <cell r="H35">
            <v>2342.3000000000002</v>
          </cell>
          <cell r="I35">
            <v>0</v>
          </cell>
          <cell r="J35">
            <v>142880.30000000002</v>
          </cell>
        </row>
        <row r="36">
          <cell r="F36" t="str">
            <v>OPERADOR DE EQUIPO ESPECIALISTA. DE COMPUTO</v>
          </cell>
          <cell r="G36">
            <v>9</v>
          </cell>
          <cell r="H36">
            <v>2342.3000000000002</v>
          </cell>
          <cell r="I36">
            <v>0</v>
          </cell>
          <cell r="J36">
            <v>21080.7</v>
          </cell>
        </row>
        <row r="37">
          <cell r="F37" t="str">
            <v>INSPECTOR</v>
          </cell>
          <cell r="G37">
            <v>11</v>
          </cell>
          <cell r="H37">
            <v>2342.3000000000002</v>
          </cell>
          <cell r="I37">
            <v>0</v>
          </cell>
          <cell r="J37">
            <v>25765.300000000003</v>
          </cell>
        </row>
        <row r="38">
          <cell r="F38" t="str">
            <v>OFICIAL TECNICO</v>
          </cell>
          <cell r="G38">
            <v>6</v>
          </cell>
          <cell r="H38">
            <v>2342.3000000000002</v>
          </cell>
          <cell r="I38">
            <v>0</v>
          </cell>
          <cell r="J38">
            <v>14053.800000000001</v>
          </cell>
        </row>
        <row r="39">
          <cell r="F39" t="str">
            <v>TECNICO EN MANTENIMIENTO DE EQUIPO DE COMPUTO.</v>
          </cell>
          <cell r="G39">
            <v>4</v>
          </cell>
          <cell r="H39">
            <v>2342.3000000000002</v>
          </cell>
          <cell r="I39">
            <v>0</v>
          </cell>
          <cell r="J39">
            <v>9369.2000000000007</v>
          </cell>
        </row>
        <row r="40">
          <cell r="F40" t="str">
            <v>TECNICO MEDIO</v>
          </cell>
          <cell r="G40">
            <v>229</v>
          </cell>
          <cell r="H40">
            <v>2342.3000000000002</v>
          </cell>
          <cell r="I40">
            <v>0</v>
          </cell>
          <cell r="J40">
            <v>536386.70000000007</v>
          </cell>
        </row>
        <row r="41">
          <cell r="F41" t="str">
            <v>PROMOTOR DE RED MOVIL</v>
          </cell>
          <cell r="G41">
            <v>628</v>
          </cell>
          <cell r="H41">
            <v>2451.25</v>
          </cell>
          <cell r="I41">
            <v>0</v>
          </cell>
          <cell r="J41">
            <v>1539385</v>
          </cell>
        </row>
        <row r="42">
          <cell r="F42" t="str">
            <v>SECRETARIA C</v>
          </cell>
          <cell r="G42">
            <v>215</v>
          </cell>
          <cell r="H42">
            <v>2451.25</v>
          </cell>
          <cell r="I42">
            <v>0</v>
          </cell>
          <cell r="J42">
            <v>527018.75</v>
          </cell>
        </row>
        <row r="43">
          <cell r="F43" t="str">
            <v>JEFE DE SERVICIOS Y MANTENIMIENTO ESPECIALIZADO</v>
          </cell>
          <cell r="G43">
            <v>24</v>
          </cell>
          <cell r="H43">
            <v>2451.25</v>
          </cell>
          <cell r="I43">
            <v>0</v>
          </cell>
          <cell r="J43">
            <v>58830</v>
          </cell>
        </row>
        <row r="44">
          <cell r="F44" t="str">
            <v>CHOFER DE TRAILER</v>
          </cell>
          <cell r="G44">
            <v>32</v>
          </cell>
          <cell r="H44">
            <v>2451.25</v>
          </cell>
          <cell r="I44">
            <v>0</v>
          </cell>
          <cell r="J44">
            <v>78440</v>
          </cell>
        </row>
        <row r="45">
          <cell r="F45" t="str">
            <v>DIBUJANTE</v>
          </cell>
          <cell r="G45">
            <v>21</v>
          </cell>
          <cell r="H45">
            <v>2451.25</v>
          </cell>
          <cell r="I45">
            <v>0</v>
          </cell>
          <cell r="J45">
            <v>51476.25</v>
          </cell>
        </row>
        <row r="46">
          <cell r="F46" t="str">
            <v xml:space="preserve">MANEJADOR DE FONDOS Y VALORES </v>
          </cell>
          <cell r="G46">
            <v>12</v>
          </cell>
          <cell r="H46">
            <v>2479.75</v>
          </cell>
          <cell r="I46">
            <v>0</v>
          </cell>
          <cell r="J46">
            <v>29757</v>
          </cell>
        </row>
        <row r="47">
          <cell r="F47" t="str">
            <v>TECNICO EN COMPUTACION</v>
          </cell>
          <cell r="G47">
            <v>11</v>
          </cell>
          <cell r="H47">
            <v>2479.75</v>
          </cell>
          <cell r="I47">
            <v>0</v>
          </cell>
          <cell r="J47">
            <v>27277.25</v>
          </cell>
        </row>
        <row r="48">
          <cell r="F48" t="str">
            <v>ANALISTA ADMINISTRATIVO</v>
          </cell>
          <cell r="G48">
            <v>162</v>
          </cell>
          <cell r="H48">
            <v>2572.4</v>
          </cell>
          <cell r="I48">
            <v>0</v>
          </cell>
          <cell r="J48">
            <v>416728.8</v>
          </cell>
        </row>
        <row r="49">
          <cell r="F49" t="str">
            <v>JEFE DE GRUPO DE RED MOVIL</v>
          </cell>
          <cell r="G49">
            <v>70</v>
          </cell>
          <cell r="H49">
            <v>2572.4</v>
          </cell>
          <cell r="I49">
            <v>0</v>
          </cell>
          <cell r="J49">
            <v>180068</v>
          </cell>
        </row>
        <row r="50">
          <cell r="F50" t="str">
            <v>CHOFER DE SPS</v>
          </cell>
          <cell r="G50">
            <v>16</v>
          </cell>
          <cell r="H50">
            <v>2572.4</v>
          </cell>
          <cell r="I50">
            <v>0</v>
          </cell>
          <cell r="J50">
            <v>41158.400000000001</v>
          </cell>
        </row>
        <row r="51">
          <cell r="F51" t="str">
            <v>ADMINISTRADOR DE UNIDAD OPERATIVA</v>
          </cell>
          <cell r="G51">
            <v>3</v>
          </cell>
          <cell r="H51">
            <v>2572.4</v>
          </cell>
          <cell r="I51">
            <v>0</v>
          </cell>
          <cell r="J51">
            <v>7717.2000000000007</v>
          </cell>
        </row>
        <row r="52">
          <cell r="F52" t="str">
            <v>ESPECIALISTA EN ASUNTOS JURIDICOS</v>
          </cell>
          <cell r="G52">
            <v>40</v>
          </cell>
          <cell r="H52">
            <v>2572.4</v>
          </cell>
          <cell r="I52">
            <v>0</v>
          </cell>
          <cell r="J52">
            <v>102896</v>
          </cell>
        </row>
        <row r="53">
          <cell r="F53" t="str">
            <v>ESPECIALISTA TECNICO</v>
          </cell>
          <cell r="G53">
            <v>258</v>
          </cell>
          <cell r="H53">
            <v>2572.4</v>
          </cell>
          <cell r="I53">
            <v>0</v>
          </cell>
          <cell r="J53">
            <v>663679.20000000007</v>
          </cell>
        </row>
        <row r="54">
          <cell r="F54" t="str">
            <v>SECRETARIA EJECUTIVA C</v>
          </cell>
          <cell r="G54">
            <v>71</v>
          </cell>
          <cell r="H54">
            <v>2692.2</v>
          </cell>
          <cell r="I54">
            <v>0</v>
          </cell>
          <cell r="J54">
            <v>191146.19999999998</v>
          </cell>
        </row>
        <row r="55">
          <cell r="F55" t="str">
            <v>COORDINADOR DE TECNICOS. EN COMPUTACION</v>
          </cell>
          <cell r="G55">
            <v>3</v>
          </cell>
          <cell r="H55">
            <v>2692.2</v>
          </cell>
          <cell r="I55">
            <v>0</v>
          </cell>
          <cell r="J55">
            <v>8076.5999999999995</v>
          </cell>
        </row>
        <row r="56">
          <cell r="F56" t="str">
            <v>EDUCADORA</v>
          </cell>
          <cell r="G56">
            <v>43</v>
          </cell>
          <cell r="H56">
            <v>2692.2</v>
          </cell>
          <cell r="I56">
            <v>0</v>
          </cell>
          <cell r="J56">
            <v>115764.59999999999</v>
          </cell>
        </row>
        <row r="57">
          <cell r="F57" t="str">
            <v>JEFE DE OFICINA</v>
          </cell>
          <cell r="G57">
            <v>257</v>
          </cell>
          <cell r="H57">
            <v>2817.8</v>
          </cell>
          <cell r="I57">
            <v>0</v>
          </cell>
          <cell r="J57">
            <v>724174.60000000009</v>
          </cell>
        </row>
        <row r="58">
          <cell r="F58" t="str">
            <v>SUPERVISOR DE RED MOVIL</v>
          </cell>
          <cell r="G58">
            <v>23</v>
          </cell>
          <cell r="H58">
            <v>2817.8</v>
          </cell>
          <cell r="I58">
            <v>0</v>
          </cell>
          <cell r="J58">
            <v>64809.4</v>
          </cell>
        </row>
        <row r="59">
          <cell r="F59" t="str">
            <v>SUPERVISOR DE OPERACION</v>
          </cell>
          <cell r="G59">
            <v>1</v>
          </cell>
          <cell r="H59">
            <v>2817.8</v>
          </cell>
          <cell r="I59">
            <v>0</v>
          </cell>
          <cell r="J59">
            <v>2817.8</v>
          </cell>
        </row>
        <row r="60">
          <cell r="F60" t="str">
            <v>TECNICO ESPECIALIZADO</v>
          </cell>
          <cell r="G60">
            <v>36</v>
          </cell>
          <cell r="H60">
            <v>2817.8</v>
          </cell>
          <cell r="I60">
            <v>0</v>
          </cell>
          <cell r="J60">
            <v>101440.8</v>
          </cell>
        </row>
        <row r="61">
          <cell r="F61" t="str">
            <v>PROFESIONAL EJECUTIVO DE SERVICIOS ESPECIALIZADOS</v>
          </cell>
          <cell r="G61">
            <v>214</v>
          </cell>
          <cell r="H61">
            <v>3268.2</v>
          </cell>
          <cell r="I61">
            <v>4783.05</v>
          </cell>
          <cell r="J61">
            <v>699394.79999999993</v>
          </cell>
        </row>
        <row r="62">
          <cell r="F62" t="str">
            <v>CHOFER DE SPS - 35</v>
          </cell>
          <cell r="G62">
            <v>9</v>
          </cell>
          <cell r="H62">
            <v>2900.25</v>
          </cell>
          <cell r="I62">
            <v>205.15</v>
          </cell>
          <cell r="J62">
            <v>26102.25</v>
          </cell>
        </row>
        <row r="63">
          <cell r="F63" t="str">
            <v>CHOFER DE SPS - 36</v>
          </cell>
          <cell r="G63">
            <v>2</v>
          </cell>
          <cell r="H63">
            <v>2900.25</v>
          </cell>
          <cell r="I63">
            <v>205.15</v>
          </cell>
          <cell r="J63">
            <v>5800.5</v>
          </cell>
        </row>
        <row r="64">
          <cell r="F64" t="str">
            <v>SECRETARIA EJECUTIVA B</v>
          </cell>
          <cell r="G64">
            <v>46</v>
          </cell>
          <cell r="H64">
            <v>2900.25</v>
          </cell>
          <cell r="I64">
            <v>205.15</v>
          </cell>
          <cell r="J64">
            <v>133411.5</v>
          </cell>
        </row>
        <row r="65">
          <cell r="F65" t="str">
            <v>ANALISTA PROGRAMADOR A</v>
          </cell>
          <cell r="G65">
            <v>17</v>
          </cell>
          <cell r="H65">
            <v>2900.25</v>
          </cell>
          <cell r="I65">
            <v>205.15</v>
          </cell>
          <cell r="J65">
            <v>49304.25</v>
          </cell>
        </row>
        <row r="66">
          <cell r="F66" t="str">
            <v>ANALISTA DE SISTEMAS</v>
          </cell>
          <cell r="G66">
            <v>0</v>
          </cell>
          <cell r="H66">
            <v>2900.25</v>
          </cell>
          <cell r="I66">
            <v>205.15</v>
          </cell>
          <cell r="J66">
            <v>0</v>
          </cell>
        </row>
        <row r="67">
          <cell r="F67" t="str">
            <v>PROF. DICT.  EN EL MANEJO DE FONDOS Y VALORES</v>
          </cell>
          <cell r="G67">
            <v>6</v>
          </cell>
          <cell r="H67">
            <v>2900.25</v>
          </cell>
          <cell r="I67">
            <v>205.15</v>
          </cell>
          <cell r="J67">
            <v>17401.5</v>
          </cell>
        </row>
        <row r="68">
          <cell r="F68" t="str">
            <v>AUDITOR ESPECIALIZADO</v>
          </cell>
          <cell r="G68">
            <v>15</v>
          </cell>
          <cell r="H68">
            <v>2982.9</v>
          </cell>
          <cell r="I68">
            <v>579.4</v>
          </cell>
          <cell r="J68">
            <v>44743.5</v>
          </cell>
        </row>
        <row r="69">
          <cell r="F69" t="str">
            <v>PROF. DICT. ESP. EN MANEJO DE  FONDOS Y VALORES</v>
          </cell>
          <cell r="G69">
            <v>3</v>
          </cell>
          <cell r="H69">
            <v>2982.9</v>
          </cell>
          <cell r="I69">
            <v>579.4</v>
          </cell>
          <cell r="J69">
            <v>8948.7000000000007</v>
          </cell>
        </row>
        <row r="70">
          <cell r="F70" t="str">
            <v>TECNICO SUPERIOR</v>
          </cell>
          <cell r="G70">
            <v>139</v>
          </cell>
          <cell r="H70">
            <v>2982.9</v>
          </cell>
          <cell r="I70">
            <v>579.4</v>
          </cell>
          <cell r="J70">
            <v>414623.10000000003</v>
          </cell>
        </row>
        <row r="71">
          <cell r="F71" t="str">
            <v>ANALISTA DE SISTEMAS MACROCOMPUTACIONALES</v>
          </cell>
          <cell r="G71">
            <v>21</v>
          </cell>
          <cell r="H71">
            <v>3008.65</v>
          </cell>
          <cell r="I71">
            <v>857</v>
          </cell>
          <cell r="J71">
            <v>63181.65</v>
          </cell>
        </row>
        <row r="72">
          <cell r="F72" t="str">
            <v>COORDINADOR DE PROFESIONALES DICTAMINADOR</v>
          </cell>
          <cell r="G72">
            <v>23</v>
          </cell>
          <cell r="H72">
            <v>3008.65</v>
          </cell>
          <cell r="I72">
            <v>857</v>
          </cell>
          <cell r="J72">
            <v>69198.95</v>
          </cell>
        </row>
        <row r="73">
          <cell r="F73" t="str">
            <v>COORDINADOR DE UNIDAD OPERATIVA</v>
          </cell>
          <cell r="G73">
            <v>22</v>
          </cell>
          <cell r="H73">
            <v>3008.65</v>
          </cell>
          <cell r="I73">
            <v>857</v>
          </cell>
          <cell r="J73">
            <v>66190.3</v>
          </cell>
        </row>
        <row r="75">
          <cell r="F75" t="str">
            <v>SUBTOTAL</v>
          </cell>
          <cell r="G75">
            <v>5332</v>
          </cell>
          <cell r="J75">
            <v>12430234.4</v>
          </cell>
        </row>
        <row r="78">
          <cell r="F78" t="str">
            <v>AUXILIAR DE SERVICIOS Y MANTENIMIENTO</v>
          </cell>
          <cell r="G78">
            <v>50</v>
          </cell>
          <cell r="H78">
            <v>2217.8000000000002</v>
          </cell>
          <cell r="I78">
            <v>0</v>
          </cell>
          <cell r="J78">
            <v>110890.00000000001</v>
          </cell>
        </row>
        <row r="79">
          <cell r="F79" t="str">
            <v>CHOFER</v>
          </cell>
          <cell r="G79">
            <v>1</v>
          </cell>
          <cell r="H79">
            <v>2371.0500000000002</v>
          </cell>
          <cell r="I79">
            <v>0</v>
          </cell>
          <cell r="J79">
            <v>2371.0500000000002</v>
          </cell>
        </row>
        <row r="80">
          <cell r="F80" t="str">
            <v>ADMINISTRATIVO ESPECIALIZADO</v>
          </cell>
          <cell r="G80">
            <v>8</v>
          </cell>
          <cell r="H80">
            <v>2511.3000000000002</v>
          </cell>
          <cell r="I80">
            <v>0</v>
          </cell>
          <cell r="J80">
            <v>20090.400000000001</v>
          </cell>
        </row>
        <row r="81">
          <cell r="F81" t="str">
            <v>PROFESOR</v>
          </cell>
          <cell r="G81">
            <v>7</v>
          </cell>
          <cell r="H81">
            <v>2511.3000000000002</v>
          </cell>
          <cell r="I81">
            <v>0</v>
          </cell>
          <cell r="J81">
            <v>17579.100000000002</v>
          </cell>
        </row>
        <row r="82">
          <cell r="F82" t="str">
            <v>OFICIAL DE SERVICIOS Y MANTENIMIENTO</v>
          </cell>
          <cell r="G82">
            <v>16</v>
          </cell>
          <cell r="H82">
            <v>2511.3000000000002</v>
          </cell>
          <cell r="I82">
            <v>0</v>
          </cell>
          <cell r="J82">
            <v>40180.800000000003</v>
          </cell>
        </row>
        <row r="84">
          <cell r="J84" t="str">
            <v>COLECTIVO</v>
          </cell>
        </row>
        <row r="85">
          <cell r="F85" t="str">
            <v>DENOMINACION</v>
          </cell>
          <cell r="G85" t="str">
            <v>NO. DE</v>
          </cell>
          <cell r="H85" t="str">
            <v>SUELDO</v>
          </cell>
          <cell r="I85" t="str">
            <v>COMP.</v>
          </cell>
          <cell r="J85" t="str">
            <v>SUELDO</v>
          </cell>
        </row>
        <row r="86">
          <cell r="G86" t="str">
            <v>PLAZAS</v>
          </cell>
          <cell r="H86" t="str">
            <v>MENSUAL</v>
          </cell>
          <cell r="I86" t="str">
            <v>ADICIONAL</v>
          </cell>
        </row>
        <row r="88">
          <cell r="F88" t="str">
            <v>NIÑERA A</v>
          </cell>
          <cell r="G88">
            <v>7</v>
          </cell>
          <cell r="H88">
            <v>2511.3000000000002</v>
          </cell>
          <cell r="I88">
            <v>0</v>
          </cell>
          <cell r="J88">
            <v>17579.100000000002</v>
          </cell>
        </row>
        <row r="89">
          <cell r="F89" t="str">
            <v>SECRETARIA DE APOYO</v>
          </cell>
          <cell r="G89">
            <v>8</v>
          </cell>
          <cell r="H89">
            <v>2514.75</v>
          </cell>
          <cell r="I89">
            <v>0</v>
          </cell>
          <cell r="J89">
            <v>20118</v>
          </cell>
        </row>
        <row r="90">
          <cell r="F90" t="str">
            <v>CHOFER DE CAMION</v>
          </cell>
          <cell r="G90">
            <v>7</v>
          </cell>
          <cell r="H90">
            <v>2514.75</v>
          </cell>
          <cell r="I90">
            <v>0</v>
          </cell>
          <cell r="J90">
            <v>17603.25</v>
          </cell>
        </row>
        <row r="91">
          <cell r="F91" t="str">
            <v>PROFESOR DE EDUCACION PARA LA SALUD</v>
          </cell>
          <cell r="G91">
            <v>2</v>
          </cell>
          <cell r="H91">
            <v>2612.5500000000002</v>
          </cell>
          <cell r="I91">
            <v>0</v>
          </cell>
          <cell r="J91">
            <v>5225.1000000000004</v>
          </cell>
        </row>
        <row r="92">
          <cell r="F92" t="str">
            <v>TECNICO BIBLIOTECARIO</v>
          </cell>
          <cell r="G92">
            <v>1</v>
          </cell>
          <cell r="H92">
            <v>2612.5500000000002</v>
          </cell>
          <cell r="I92">
            <v>0</v>
          </cell>
          <cell r="J92">
            <v>2612.5500000000002</v>
          </cell>
        </row>
        <row r="93">
          <cell r="F93" t="str">
            <v>TECNICO MEDIO</v>
          </cell>
          <cell r="G93">
            <v>2</v>
          </cell>
          <cell r="H93">
            <v>2714.1</v>
          </cell>
          <cell r="I93">
            <v>0</v>
          </cell>
          <cell r="J93">
            <v>5428.2</v>
          </cell>
        </row>
        <row r="94">
          <cell r="F94" t="str">
            <v>PROMOTOR DE RED MOVIL</v>
          </cell>
          <cell r="G94">
            <v>163</v>
          </cell>
          <cell r="H94">
            <v>2819.75</v>
          </cell>
          <cell r="I94">
            <v>0</v>
          </cell>
          <cell r="J94">
            <v>459619.25</v>
          </cell>
        </row>
        <row r="95">
          <cell r="F95" t="str">
            <v>JEFE DE SERVICIOS Y MANTENIMIENTO ESPECIALIZADO</v>
          </cell>
          <cell r="G95">
            <v>2</v>
          </cell>
          <cell r="H95">
            <v>2819.75</v>
          </cell>
          <cell r="I95">
            <v>0</v>
          </cell>
          <cell r="J95">
            <v>5639.5</v>
          </cell>
        </row>
        <row r="96">
          <cell r="F96" t="str">
            <v>JEFE DE GRUPO DE RED MOVIL</v>
          </cell>
          <cell r="G96">
            <v>18</v>
          </cell>
          <cell r="H96">
            <v>2916.25</v>
          </cell>
          <cell r="I96">
            <v>0</v>
          </cell>
          <cell r="J96">
            <v>52492.5</v>
          </cell>
        </row>
        <row r="97">
          <cell r="F97" t="str">
            <v>ADMINISTRADOR DE UNIDAD OPERATIVA</v>
          </cell>
          <cell r="G97">
            <v>1</v>
          </cell>
          <cell r="H97">
            <v>2916.25</v>
          </cell>
          <cell r="I97">
            <v>0</v>
          </cell>
          <cell r="J97">
            <v>2916.25</v>
          </cell>
        </row>
        <row r="98">
          <cell r="F98" t="str">
            <v>ESPECIALISTA TECNICO</v>
          </cell>
          <cell r="G98">
            <v>1</v>
          </cell>
          <cell r="H98">
            <v>2916.25</v>
          </cell>
          <cell r="I98">
            <v>0</v>
          </cell>
          <cell r="J98">
            <v>2916.25</v>
          </cell>
        </row>
        <row r="99">
          <cell r="F99" t="str">
            <v>JEFE DE OFICINA</v>
          </cell>
          <cell r="G99">
            <v>2</v>
          </cell>
          <cell r="H99">
            <v>3147.65</v>
          </cell>
          <cell r="I99">
            <v>0</v>
          </cell>
          <cell r="J99">
            <v>6295.3</v>
          </cell>
        </row>
        <row r="100">
          <cell r="F100" t="str">
            <v>SUPERVISOR DE RED MOVIL</v>
          </cell>
          <cell r="G100">
            <v>7</v>
          </cell>
          <cell r="H100">
            <v>3147.65</v>
          </cell>
          <cell r="I100">
            <v>0</v>
          </cell>
          <cell r="J100">
            <v>22033.55</v>
          </cell>
        </row>
        <row r="101">
          <cell r="F101" t="str">
            <v>PROFESIONAL EJECUTIVO DE SERVICIOS ESPECIALIZADOS</v>
          </cell>
          <cell r="G101">
            <v>3</v>
          </cell>
          <cell r="H101">
            <v>3268.2</v>
          </cell>
          <cell r="I101">
            <v>4783.05</v>
          </cell>
          <cell r="J101">
            <v>9804.5999999999985</v>
          </cell>
        </row>
        <row r="102">
          <cell r="F102" t="str">
            <v>TECNICO SUPERIOR</v>
          </cell>
          <cell r="G102">
            <v>3</v>
          </cell>
          <cell r="H102">
            <v>3222.2</v>
          </cell>
          <cell r="I102">
            <v>710.4</v>
          </cell>
          <cell r="J102">
            <v>9666.5999999999985</v>
          </cell>
        </row>
        <row r="103">
          <cell r="F103" t="str">
            <v>COORDINADOR DE UNIDAD OPERATIVA</v>
          </cell>
          <cell r="G103">
            <v>8</v>
          </cell>
          <cell r="H103">
            <v>3259.1</v>
          </cell>
          <cell r="I103">
            <v>933.65</v>
          </cell>
          <cell r="J103">
            <v>26072.799999999999</v>
          </cell>
        </row>
        <row r="105">
          <cell r="F105" t="str">
            <v>SUBTOTAL</v>
          </cell>
          <cell r="G105">
            <v>317</v>
          </cell>
          <cell r="J105">
            <v>857134.15000000014</v>
          </cell>
        </row>
        <row r="108">
          <cell r="F108" t="str">
            <v>T  O  T  A  L</v>
          </cell>
          <cell r="G108">
            <v>5649</v>
          </cell>
          <cell r="J108">
            <v>13287368.550000001</v>
          </cell>
        </row>
        <row r="111">
          <cell r="G111" t="str">
            <v>PERIODO</v>
          </cell>
          <cell r="H111">
            <v>12</v>
          </cell>
          <cell r="J111" t="str">
            <v>SDO. PERIODO</v>
          </cell>
        </row>
        <row r="112">
          <cell r="G112" t="str">
            <v>PORCIENTO</v>
          </cell>
          <cell r="H112">
            <v>1</v>
          </cell>
          <cell r="J112" t="str">
            <v>PV</v>
          </cell>
        </row>
        <row r="113">
          <cell r="G113" t="str">
            <v>PV</v>
          </cell>
          <cell r="H113">
            <v>10</v>
          </cell>
          <cell r="J113" t="str">
            <v>AG</v>
          </cell>
        </row>
        <row r="114">
          <cell r="G114" t="str">
            <v>AG</v>
          </cell>
          <cell r="H114">
            <v>20</v>
          </cell>
          <cell r="J114" t="str">
            <v>ISSSTE</v>
          </cell>
        </row>
        <row r="115">
          <cell r="J115" t="str">
            <v>FOVISSSTE</v>
          </cell>
        </row>
        <row r="116">
          <cell r="J116" t="str">
            <v>SAR</v>
          </cell>
        </row>
        <row r="117">
          <cell r="J117" t="str">
            <v>NSI</v>
          </cell>
        </row>
        <row r="119">
          <cell r="J119" t="str">
            <v>TOTAL</v>
          </cell>
        </row>
        <row r="121">
          <cell r="J121" t="str">
            <v>COMP. ENLACES</v>
          </cell>
        </row>
        <row r="123">
          <cell r="J123" t="str">
            <v>COSTO ANUAL</v>
          </cell>
        </row>
        <row r="128">
          <cell r="F128" t="str">
            <v>DENOMINACION</v>
          </cell>
          <cell r="G128" t="str">
            <v xml:space="preserve">NO. DE </v>
          </cell>
          <cell r="H128" t="str">
            <v>SUELDO</v>
          </cell>
          <cell r="I128" t="str">
            <v>ASIGNACION</v>
          </cell>
          <cell r="J128" t="str">
            <v xml:space="preserve">AYUDA  PARA </v>
          </cell>
        </row>
        <row r="129">
          <cell r="G129" t="str">
            <v>PLAZAS</v>
          </cell>
          <cell r="H129" t="str">
            <v>MENSUAL</v>
          </cell>
          <cell r="I129" t="str">
            <v>NETA</v>
          </cell>
          <cell r="J129" t="str">
            <v>GAS. DE ACT.</v>
          </cell>
        </row>
        <row r="132">
          <cell r="F132" t="str">
            <v>MEDICO ESPECIALISTA A</v>
          </cell>
          <cell r="G132">
            <v>142</v>
          </cell>
          <cell r="H132">
            <v>5668</v>
          </cell>
          <cell r="I132">
            <v>1634</v>
          </cell>
          <cell r="J132">
            <v>2833</v>
          </cell>
        </row>
        <row r="133">
          <cell r="F133" t="str">
            <v>MEDICO GENERAL  A</v>
          </cell>
          <cell r="G133">
            <v>44</v>
          </cell>
          <cell r="H133">
            <v>4907</v>
          </cell>
          <cell r="I133">
            <v>1432</v>
          </cell>
          <cell r="J133">
            <v>2509</v>
          </cell>
        </row>
        <row r="134">
          <cell r="F134" t="str">
            <v>CIRUJANO DENTISTA A</v>
          </cell>
          <cell r="G134">
            <v>24</v>
          </cell>
          <cell r="H134">
            <v>4613</v>
          </cell>
          <cell r="I134">
            <v>1524</v>
          </cell>
          <cell r="J134">
            <v>1432</v>
          </cell>
        </row>
        <row r="135">
          <cell r="F135" t="str">
            <v>QUIMICO A</v>
          </cell>
          <cell r="G135">
            <v>1</v>
          </cell>
          <cell r="H135">
            <v>4427</v>
          </cell>
          <cell r="I135">
            <v>2307</v>
          </cell>
          <cell r="J135">
            <v>0</v>
          </cell>
        </row>
        <row r="136">
          <cell r="F136" t="str">
            <v>TECNICO LABORATORISTA A</v>
          </cell>
          <cell r="G136">
            <v>5</v>
          </cell>
          <cell r="H136">
            <v>2657</v>
          </cell>
          <cell r="I136">
            <v>1076</v>
          </cell>
          <cell r="J136">
            <v>0</v>
          </cell>
        </row>
        <row r="137">
          <cell r="F137" t="str">
            <v>TECNICO RADIOLOGO O EN RADIOTERAPIA</v>
          </cell>
          <cell r="G137">
            <v>15</v>
          </cell>
          <cell r="H137">
            <v>3146</v>
          </cell>
          <cell r="I137">
            <v>1162</v>
          </cell>
          <cell r="J137">
            <v>0</v>
          </cell>
        </row>
        <row r="138">
          <cell r="F138" t="str">
            <v>TECNICO EN ELECTRODIAGNOSTICO</v>
          </cell>
          <cell r="G138">
            <v>17</v>
          </cell>
          <cell r="H138">
            <v>2965</v>
          </cell>
          <cell r="I138">
            <v>1146</v>
          </cell>
          <cell r="J138">
            <v>0</v>
          </cell>
        </row>
        <row r="139">
          <cell r="F139" t="str">
            <v>SUPERVISOR DE TERAPISTAS</v>
          </cell>
          <cell r="G139">
            <v>14</v>
          </cell>
          <cell r="H139">
            <v>3541</v>
          </cell>
          <cell r="I139">
            <v>1233</v>
          </cell>
          <cell r="J139">
            <v>0</v>
          </cell>
        </row>
        <row r="140">
          <cell r="F140" t="str">
            <v>TERAPISTA ESPECIALIZADO</v>
          </cell>
          <cell r="G140">
            <v>34</v>
          </cell>
          <cell r="H140">
            <v>3438</v>
          </cell>
          <cell r="I140">
            <v>1191</v>
          </cell>
          <cell r="J140">
            <v>0</v>
          </cell>
        </row>
        <row r="141">
          <cell r="F141" t="str">
            <v>TERAPISTA</v>
          </cell>
          <cell r="G141">
            <v>159</v>
          </cell>
          <cell r="H141">
            <v>3146</v>
          </cell>
          <cell r="I141">
            <v>1162</v>
          </cell>
          <cell r="J141">
            <v>0</v>
          </cell>
        </row>
        <row r="142">
          <cell r="F142" t="str">
            <v>TECNICO  PROTESISTA Y ORTESISTA</v>
          </cell>
          <cell r="G142">
            <v>23</v>
          </cell>
          <cell r="H142">
            <v>3146</v>
          </cell>
          <cell r="I142">
            <v>1162</v>
          </cell>
          <cell r="J142">
            <v>0</v>
          </cell>
        </row>
        <row r="143">
          <cell r="F143" t="str">
            <v>TECNICO EN OPTOMETRIA</v>
          </cell>
          <cell r="G143">
            <v>2</v>
          </cell>
          <cell r="H143">
            <v>3146</v>
          </cell>
          <cell r="I143">
            <v>1162</v>
          </cell>
          <cell r="J143">
            <v>0</v>
          </cell>
        </row>
        <row r="144">
          <cell r="F144" t="str">
            <v>PSICOLOGO CLINICO</v>
          </cell>
          <cell r="G144">
            <v>164</v>
          </cell>
          <cell r="H144">
            <v>4427</v>
          </cell>
          <cell r="I144">
            <v>2307</v>
          </cell>
          <cell r="J144">
            <v>0</v>
          </cell>
        </row>
        <row r="145">
          <cell r="F145" t="str">
            <v>SUPERVISOR PARAMED. EN AREA NORMATIVA</v>
          </cell>
          <cell r="G145">
            <v>33</v>
          </cell>
          <cell r="H145">
            <v>4674</v>
          </cell>
          <cell r="I145">
            <v>1453</v>
          </cell>
          <cell r="J145">
            <v>0</v>
          </cell>
        </row>
        <row r="146">
          <cell r="F146" t="str">
            <v>ENFERMERA JEFE DE SERVICO</v>
          </cell>
          <cell r="G146">
            <v>26</v>
          </cell>
          <cell r="H146">
            <v>4948</v>
          </cell>
          <cell r="I146">
            <v>1993</v>
          </cell>
          <cell r="J146">
            <v>928</v>
          </cell>
        </row>
        <row r="147">
          <cell r="F147" t="str">
            <v>ENFERMERA ESPECIALISTA A</v>
          </cell>
          <cell r="G147">
            <v>6</v>
          </cell>
          <cell r="H147">
            <v>3543</v>
          </cell>
          <cell r="I147">
            <v>1569</v>
          </cell>
          <cell r="J147">
            <v>903</v>
          </cell>
        </row>
        <row r="148">
          <cell r="F148" t="str">
            <v>ENFERMERA GENERAL TITULADA A</v>
          </cell>
          <cell r="G148">
            <v>77</v>
          </cell>
          <cell r="H148">
            <v>3138</v>
          </cell>
          <cell r="I148">
            <v>1412</v>
          </cell>
          <cell r="J148">
            <v>556</v>
          </cell>
        </row>
        <row r="149">
          <cell r="F149" t="str">
            <v>AUXILIAR DE ENFERMERIA A</v>
          </cell>
          <cell r="G149">
            <v>138</v>
          </cell>
          <cell r="H149">
            <v>2628</v>
          </cell>
          <cell r="I149">
            <v>1231</v>
          </cell>
          <cell r="J149">
            <v>498</v>
          </cell>
        </row>
        <row r="150">
          <cell r="F150" t="str">
            <v>TRABAJADORA SOCIAL EN AREA MEDICA A</v>
          </cell>
          <cell r="G150">
            <v>184</v>
          </cell>
          <cell r="H150">
            <v>2919</v>
          </cell>
          <cell r="I150">
            <v>1460</v>
          </cell>
          <cell r="J150">
            <v>0</v>
          </cell>
        </row>
        <row r="151">
          <cell r="F151" t="str">
            <v>AUXILIAR TECNICO DE DIAGNOSTICO  Y/O  TRATAMIENTO M.</v>
          </cell>
          <cell r="G151">
            <v>22</v>
          </cell>
          <cell r="H151">
            <v>2366</v>
          </cell>
          <cell r="I151">
            <v>987</v>
          </cell>
          <cell r="J151">
            <v>0</v>
          </cell>
        </row>
        <row r="152">
          <cell r="F152" t="str">
            <v>SUPERVISORA DE TRABAJO SOCIAL EN AREA  MEDICA A</v>
          </cell>
          <cell r="G152">
            <v>38</v>
          </cell>
          <cell r="H152">
            <v>3530</v>
          </cell>
          <cell r="I152">
            <v>1628</v>
          </cell>
          <cell r="J152">
            <v>0</v>
          </cell>
        </row>
        <row r="153">
          <cell r="F153" t="str">
            <v>LABORATORISTA A</v>
          </cell>
          <cell r="G153">
            <v>9</v>
          </cell>
          <cell r="H153">
            <v>3288</v>
          </cell>
          <cell r="I153">
            <v>1218</v>
          </cell>
          <cell r="J153">
            <v>0</v>
          </cell>
        </row>
        <row r="154">
          <cell r="F154" t="str">
            <v xml:space="preserve">AUXILIAR DE PROTESISTA Y ORTESISTA </v>
          </cell>
          <cell r="G154">
            <v>11</v>
          </cell>
          <cell r="H154">
            <v>2965</v>
          </cell>
          <cell r="I154">
            <v>1146</v>
          </cell>
          <cell r="J154">
            <v>0</v>
          </cell>
        </row>
        <row r="155">
          <cell r="F155" t="str">
            <v>TECNICO OPERADOR DE CALDERAS EN HOSPITAL</v>
          </cell>
          <cell r="G155">
            <v>38</v>
          </cell>
          <cell r="H155">
            <v>2989</v>
          </cell>
          <cell r="I155">
            <v>692</v>
          </cell>
          <cell r="J155">
            <v>0</v>
          </cell>
        </row>
        <row r="156">
          <cell r="F156" t="str">
            <v>SUPERVISOR MEDICO EN AREA NORMATIVA</v>
          </cell>
          <cell r="G156">
            <v>30</v>
          </cell>
          <cell r="H156">
            <v>7482</v>
          </cell>
          <cell r="I156">
            <v>3378</v>
          </cell>
          <cell r="J156">
            <v>0</v>
          </cell>
        </row>
        <row r="158">
          <cell r="F158" t="str">
            <v>SUBTOTAL</v>
          </cell>
          <cell r="G158">
            <v>1256</v>
          </cell>
        </row>
        <row r="160">
          <cell r="F160" t="str">
            <v>MEDICO ESPECIALISTA A</v>
          </cell>
          <cell r="G160">
            <v>10</v>
          </cell>
          <cell r="H160">
            <v>6146</v>
          </cell>
          <cell r="I160">
            <v>1781</v>
          </cell>
          <cell r="J160">
            <v>3085</v>
          </cell>
        </row>
        <row r="161">
          <cell r="F161" t="str">
            <v>MEDICO GENERAL  A</v>
          </cell>
          <cell r="G161">
            <v>2</v>
          </cell>
          <cell r="H161">
            <v>5324</v>
          </cell>
          <cell r="I161">
            <v>1562</v>
          </cell>
          <cell r="J161">
            <v>2709</v>
          </cell>
        </row>
        <row r="162">
          <cell r="F162" t="str">
            <v>CIRUJANO DENTISTA A</v>
          </cell>
          <cell r="G162">
            <v>2</v>
          </cell>
          <cell r="H162">
            <v>5005</v>
          </cell>
          <cell r="I162">
            <v>1662</v>
          </cell>
          <cell r="J162">
            <v>1562</v>
          </cell>
        </row>
        <row r="163">
          <cell r="F163" t="str">
            <v>TECNICO RADIOLOGO O EN RADIOTERAPIA</v>
          </cell>
          <cell r="G163">
            <v>2</v>
          </cell>
          <cell r="H163">
            <v>3569</v>
          </cell>
          <cell r="I163">
            <v>1335</v>
          </cell>
          <cell r="J163">
            <v>0</v>
          </cell>
        </row>
        <row r="164">
          <cell r="F164" t="str">
            <v>TECNICO EN ELECTRODIAGNOSTICO</v>
          </cell>
          <cell r="G164">
            <v>3</v>
          </cell>
          <cell r="H164">
            <v>3390</v>
          </cell>
          <cell r="I164">
            <v>1328</v>
          </cell>
          <cell r="J164">
            <v>0</v>
          </cell>
        </row>
        <row r="165">
          <cell r="F165" t="str">
            <v>TERAPISTA ESPECIALIZADO</v>
          </cell>
          <cell r="G165">
            <v>3</v>
          </cell>
          <cell r="H165">
            <v>3855</v>
          </cell>
          <cell r="I165">
            <v>1361</v>
          </cell>
          <cell r="J165">
            <v>0</v>
          </cell>
        </row>
        <row r="166">
          <cell r="F166" t="str">
            <v>TERAPISTA</v>
          </cell>
          <cell r="G166">
            <v>33</v>
          </cell>
          <cell r="H166">
            <v>3569</v>
          </cell>
          <cell r="I166">
            <v>1335</v>
          </cell>
          <cell r="J166">
            <v>0</v>
          </cell>
        </row>
        <row r="167">
          <cell r="F167" t="str">
            <v>TECNICO  PROTESISTA Y ORTESISTA</v>
          </cell>
          <cell r="G167">
            <v>2</v>
          </cell>
          <cell r="H167">
            <v>3569</v>
          </cell>
          <cell r="I167">
            <v>1335</v>
          </cell>
          <cell r="J167">
            <v>0</v>
          </cell>
        </row>
        <row r="168">
          <cell r="F168" t="str">
            <v>PSICOLOGO CLINICO</v>
          </cell>
          <cell r="G168">
            <v>9</v>
          </cell>
          <cell r="H168">
            <v>4819</v>
          </cell>
          <cell r="I168">
            <v>2516</v>
          </cell>
          <cell r="J168">
            <v>0</v>
          </cell>
        </row>
        <row r="169">
          <cell r="F169" t="str">
            <v>ENFERMERA GENERAL TITULADA A</v>
          </cell>
          <cell r="G169">
            <v>2</v>
          </cell>
          <cell r="H169">
            <v>3600</v>
          </cell>
          <cell r="I169">
            <v>1629</v>
          </cell>
          <cell r="J169">
            <v>633</v>
          </cell>
        </row>
        <row r="170">
          <cell r="F170" t="str">
            <v>AUXILIAR DE ENFERMERIA A</v>
          </cell>
          <cell r="G170">
            <v>4</v>
          </cell>
          <cell r="H170">
            <v>3095</v>
          </cell>
          <cell r="I170">
            <v>1444</v>
          </cell>
          <cell r="J170">
            <v>586</v>
          </cell>
        </row>
        <row r="171">
          <cell r="F171" t="str">
            <v>TRABAJADORA SOCIAL EN AREA MEDICA A</v>
          </cell>
          <cell r="G171">
            <v>13</v>
          </cell>
          <cell r="H171">
            <v>3348</v>
          </cell>
          <cell r="I171">
            <v>1719</v>
          </cell>
          <cell r="J171">
            <v>0</v>
          </cell>
        </row>
        <row r="172">
          <cell r="F172" t="str">
            <v>AUXILIAR TECNICO DE DIAGNOSTICO  Y/O  TRATAMIENTO M.</v>
          </cell>
          <cell r="G172">
            <v>2</v>
          </cell>
          <cell r="H172">
            <v>2813</v>
          </cell>
          <cell r="I172">
            <v>1178</v>
          </cell>
          <cell r="J172">
            <v>0</v>
          </cell>
        </row>
        <row r="173">
          <cell r="F173" t="str">
            <v>SUPERVISORA DE TRABAJO SOCIAL EN AREA  MEDICA A</v>
          </cell>
          <cell r="G173">
            <v>3</v>
          </cell>
          <cell r="H173">
            <v>3986</v>
          </cell>
          <cell r="I173">
            <v>1833</v>
          </cell>
          <cell r="J173">
            <v>0</v>
          </cell>
        </row>
        <row r="175">
          <cell r="F175" t="str">
            <v>SUBTOTAL</v>
          </cell>
          <cell r="G175">
            <v>90</v>
          </cell>
        </row>
        <row r="178">
          <cell r="F178" t="str">
            <v>T  O  T  A  L</v>
          </cell>
          <cell r="G178">
            <v>1346</v>
          </cell>
        </row>
        <row r="181">
          <cell r="J181" t="str">
            <v>PERIODO</v>
          </cell>
        </row>
        <row r="182">
          <cell r="J182" t="str">
            <v>PORCIENTO</v>
          </cell>
        </row>
        <row r="183">
          <cell r="J183" t="str">
            <v>PV</v>
          </cell>
        </row>
        <row r="184">
          <cell r="J184" t="str">
            <v>AG</v>
          </cell>
        </row>
        <row r="201">
          <cell r="F201" t="str">
            <v>DENOMINACION</v>
          </cell>
          <cell r="G201" t="str">
            <v xml:space="preserve">NO. DE </v>
          </cell>
          <cell r="H201" t="str">
            <v>SUELDO</v>
          </cell>
          <cell r="I201" t="str">
            <v>COMP.</v>
          </cell>
          <cell r="J201" t="str">
            <v>COLECTIVO</v>
          </cell>
        </row>
        <row r="202">
          <cell r="G202" t="str">
            <v>PLAZAS</v>
          </cell>
          <cell r="H202" t="str">
            <v>MENSUAL</v>
          </cell>
          <cell r="I202" t="str">
            <v>GARANTIZADA</v>
          </cell>
          <cell r="J202" t="str">
            <v>SUELDO</v>
          </cell>
        </row>
        <row r="205">
          <cell r="F205" t="str">
            <v xml:space="preserve">  DIRECTOR GENERAL</v>
          </cell>
          <cell r="G205">
            <v>1</v>
          </cell>
          <cell r="H205">
            <v>19938.849999999999</v>
          </cell>
          <cell r="I205">
            <v>90627.199999999997</v>
          </cell>
          <cell r="J205">
            <v>19938.849999999999</v>
          </cell>
        </row>
        <row r="206">
          <cell r="F206" t="str">
            <v xml:space="preserve">  SUBDIRECTOR GENERAL OPERATIVO</v>
          </cell>
          <cell r="G206">
            <v>2</v>
          </cell>
          <cell r="H206">
            <v>14852.65</v>
          </cell>
          <cell r="I206">
            <v>76129.899999999994</v>
          </cell>
          <cell r="J206">
            <v>29705.3</v>
          </cell>
        </row>
        <row r="207">
          <cell r="F207" t="str">
            <v xml:space="preserve">  CONTRALOR INTERNO</v>
          </cell>
          <cell r="G207">
            <v>1</v>
          </cell>
          <cell r="H207">
            <v>14852.65</v>
          </cell>
          <cell r="I207">
            <v>76129.899999999994</v>
          </cell>
          <cell r="J207">
            <v>14852.65</v>
          </cell>
        </row>
        <row r="208">
          <cell r="F208" t="str">
            <v xml:space="preserve">  OFICIAL MAYOR</v>
          </cell>
          <cell r="G208">
            <v>1</v>
          </cell>
          <cell r="H208">
            <v>14852.65</v>
          </cell>
          <cell r="I208">
            <v>76129.899999999994</v>
          </cell>
          <cell r="J208">
            <v>14852.65</v>
          </cell>
        </row>
        <row r="209">
          <cell r="F209" t="str">
            <v xml:space="preserve">  DIRECTOR DE INSTITUTO</v>
          </cell>
          <cell r="G209">
            <v>1</v>
          </cell>
          <cell r="H209">
            <v>12026.05</v>
          </cell>
          <cell r="I209">
            <v>57054.5</v>
          </cell>
          <cell r="J209">
            <v>12026.05</v>
          </cell>
        </row>
        <row r="210">
          <cell r="F210" t="str">
            <v xml:space="preserve">  DIRECTOR DE AREA</v>
          </cell>
          <cell r="G210">
            <v>9</v>
          </cell>
          <cell r="H210">
            <v>12026.05</v>
          </cell>
          <cell r="I210">
            <v>57054.5</v>
          </cell>
          <cell r="J210">
            <v>108234.45</v>
          </cell>
        </row>
        <row r="211">
          <cell r="F211" t="str">
            <v xml:space="preserve">  COORDINADOR DE ASESORES DE SPS-36</v>
          </cell>
          <cell r="G211">
            <v>1</v>
          </cell>
          <cell r="H211">
            <v>9641.4</v>
          </cell>
          <cell r="I211">
            <v>42218.1</v>
          </cell>
          <cell r="J211">
            <v>9641.4</v>
          </cell>
        </row>
        <row r="212">
          <cell r="F212" t="str">
            <v xml:space="preserve">  COORDINADOR DE ASESORES DE SPS-35</v>
          </cell>
          <cell r="G212">
            <v>3</v>
          </cell>
          <cell r="H212">
            <v>8232.25</v>
          </cell>
          <cell r="I212">
            <v>34749.199999999997</v>
          </cell>
          <cell r="J212">
            <v>24696.75</v>
          </cell>
        </row>
        <row r="213">
          <cell r="F213" t="str">
            <v xml:space="preserve">  SECRETARIO PARTICULAR DE SPS-36</v>
          </cell>
          <cell r="G213">
            <v>1</v>
          </cell>
          <cell r="H213">
            <v>6807.9</v>
          </cell>
          <cell r="I213">
            <v>24257.05</v>
          </cell>
          <cell r="J213">
            <v>6807.9</v>
          </cell>
        </row>
        <row r="214">
          <cell r="F214" t="str">
            <v xml:space="preserve">  COORDINADOR ADMINISTRATIVO DE SPS-36</v>
          </cell>
          <cell r="G214">
            <v>1</v>
          </cell>
          <cell r="H214">
            <v>6807.9</v>
          </cell>
          <cell r="I214">
            <v>24257.05</v>
          </cell>
          <cell r="J214">
            <v>6807.9</v>
          </cell>
        </row>
        <row r="215">
          <cell r="F215" t="str">
            <v xml:space="preserve">  SECRETARIO PARTICULAR DE SPS-35</v>
          </cell>
          <cell r="G215">
            <v>4</v>
          </cell>
          <cell r="H215">
            <v>5431.75</v>
          </cell>
          <cell r="I215">
            <v>21298.9</v>
          </cell>
          <cell r="J215">
            <v>21727</v>
          </cell>
        </row>
        <row r="216">
          <cell r="F216" t="str">
            <v xml:space="preserve">  COORDINADOR ADMINISTRATIVO DE SPS-35</v>
          </cell>
          <cell r="G216">
            <v>3</v>
          </cell>
          <cell r="H216">
            <v>5431.75</v>
          </cell>
          <cell r="I216">
            <v>21298.9</v>
          </cell>
          <cell r="J216">
            <v>16295.25</v>
          </cell>
        </row>
        <row r="217">
          <cell r="F217" t="str">
            <v xml:space="preserve">  ASESOR DE SPS-36</v>
          </cell>
          <cell r="G217">
            <v>2</v>
          </cell>
          <cell r="H217">
            <v>4801.8999999999996</v>
          </cell>
          <cell r="I217">
            <v>17432.099999999999</v>
          </cell>
          <cell r="J217">
            <v>9603.7999999999993</v>
          </cell>
        </row>
        <row r="218">
          <cell r="F218" t="str">
            <v xml:space="preserve">  ASESOR DE SPS-35</v>
          </cell>
          <cell r="G218">
            <v>6</v>
          </cell>
          <cell r="H218">
            <v>4801.8999999999996</v>
          </cell>
          <cell r="I218">
            <v>15504.4</v>
          </cell>
          <cell r="J218">
            <v>28811.399999999998</v>
          </cell>
        </row>
        <row r="219">
          <cell r="F219" t="str">
            <v xml:space="preserve">  SUBDIRECTOR DE AREA</v>
          </cell>
          <cell r="G219">
            <v>23</v>
          </cell>
          <cell r="H219">
            <v>6807.9</v>
          </cell>
          <cell r="I219">
            <v>24257.05</v>
          </cell>
          <cell r="J219">
            <v>156581.69999999998</v>
          </cell>
        </row>
        <row r="220">
          <cell r="F220" t="str">
            <v xml:space="preserve">  SECRETARIO PRIVADO DE SPS-36</v>
          </cell>
          <cell r="G220">
            <v>1</v>
          </cell>
          <cell r="H220">
            <v>4311.3999999999996</v>
          </cell>
          <cell r="I220">
            <v>11715.25</v>
          </cell>
          <cell r="J220">
            <v>4311.3999999999996</v>
          </cell>
        </row>
        <row r="221">
          <cell r="F221" t="str">
            <v xml:space="preserve">  JEFE DE DEPARTAMENTO</v>
          </cell>
          <cell r="G221">
            <v>69</v>
          </cell>
          <cell r="H221">
            <v>4311.3999999999996</v>
          </cell>
          <cell r="I221">
            <v>11715.25</v>
          </cell>
          <cell r="J221">
            <v>297486.59999999998</v>
          </cell>
        </row>
        <row r="222">
          <cell r="F222" t="str">
            <v xml:space="preserve">  JEFE DE UNIDAD ADMINISTRATIVA</v>
          </cell>
          <cell r="G222">
            <v>10</v>
          </cell>
          <cell r="H222">
            <v>4311.3999999999996</v>
          </cell>
          <cell r="I222">
            <v>11715.25</v>
          </cell>
          <cell r="J222">
            <v>43114</v>
          </cell>
        </row>
        <row r="223">
          <cell r="F223" t="str">
            <v xml:space="preserve">  DIRECTOR DE UNIDAD ASISTENCIAL</v>
          </cell>
          <cell r="G223">
            <v>12</v>
          </cell>
          <cell r="H223">
            <v>4311.3999999999996</v>
          </cell>
          <cell r="I223">
            <v>11715.25</v>
          </cell>
          <cell r="J223">
            <v>51736.799999999996</v>
          </cell>
        </row>
        <row r="224">
          <cell r="F224" t="str">
            <v xml:space="preserve">  COORDINADOR TECNICO</v>
          </cell>
          <cell r="G224">
            <v>299</v>
          </cell>
          <cell r="H224">
            <v>3631.8</v>
          </cell>
          <cell r="I224">
            <v>7891.55</v>
          </cell>
          <cell r="J224">
            <v>1085908.2</v>
          </cell>
        </row>
        <row r="225">
          <cell r="F225" t="str">
            <v xml:space="preserve">  LIDER DE PROYECTO</v>
          </cell>
          <cell r="G225">
            <v>2</v>
          </cell>
          <cell r="H225">
            <v>3631.8</v>
          </cell>
          <cell r="I225">
            <v>7891.55</v>
          </cell>
          <cell r="J225">
            <v>7263.6</v>
          </cell>
        </row>
        <row r="227">
          <cell r="F227" t="str">
            <v>SUBTOTAL</v>
          </cell>
          <cell r="G227">
            <v>452</v>
          </cell>
          <cell r="J227">
            <v>1970403.6500000001</v>
          </cell>
        </row>
        <row r="229">
          <cell r="F229" t="str">
            <v xml:space="preserve">  JEFE DE DEPARTAMENTO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</row>
        <row r="230">
          <cell r="F230" t="str">
            <v xml:space="preserve">  DIRECTOR DE UNIDAD ASISTENCIAL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</row>
        <row r="231">
          <cell r="F231" t="str">
            <v xml:space="preserve">  COORDINADOR TECNICO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</row>
        <row r="233">
          <cell r="F233" t="str">
            <v>SUBTOTAL</v>
          </cell>
          <cell r="G233">
            <v>0</v>
          </cell>
          <cell r="J233">
            <v>0</v>
          </cell>
        </row>
        <row r="235">
          <cell r="F235" t="str">
            <v xml:space="preserve">  JEFE DE DEPARTAMENTO</v>
          </cell>
          <cell r="G235">
            <v>5</v>
          </cell>
          <cell r="H235">
            <v>4311.3999999999996</v>
          </cell>
          <cell r="I235">
            <v>11715.25</v>
          </cell>
          <cell r="J235">
            <v>21557</v>
          </cell>
        </row>
        <row r="236">
          <cell r="F236" t="str">
            <v xml:space="preserve">  COORDINADOR TECNICO</v>
          </cell>
          <cell r="G236">
            <v>12</v>
          </cell>
          <cell r="H236">
            <v>3631.8</v>
          </cell>
          <cell r="I236">
            <v>7891.55</v>
          </cell>
          <cell r="J236">
            <v>43581.600000000006</v>
          </cell>
        </row>
        <row r="238">
          <cell r="F238" t="str">
            <v>SUBTOTAL</v>
          </cell>
          <cell r="G238">
            <v>17</v>
          </cell>
          <cell r="J238">
            <v>65138.600000000006</v>
          </cell>
        </row>
        <row r="241">
          <cell r="F241" t="str">
            <v>T  O  T  A  L</v>
          </cell>
          <cell r="G241">
            <v>469</v>
          </cell>
          <cell r="J241">
            <v>2035542.2500000002</v>
          </cell>
        </row>
        <row r="244">
          <cell r="G244" t="str">
            <v>PERIODO</v>
          </cell>
          <cell r="H244">
            <v>12</v>
          </cell>
          <cell r="I244" t="str">
            <v>SDO. PERIODO</v>
          </cell>
        </row>
        <row r="245">
          <cell r="G245" t="str">
            <v>PORCIENTO</v>
          </cell>
          <cell r="H245">
            <v>1</v>
          </cell>
          <cell r="I245" t="str">
            <v>PV</v>
          </cell>
        </row>
        <row r="246">
          <cell r="G246" t="str">
            <v>PV</v>
          </cell>
          <cell r="H246">
            <v>10</v>
          </cell>
          <cell r="I246" t="str">
            <v>AG</v>
          </cell>
        </row>
        <row r="247">
          <cell r="G247" t="str">
            <v>AG</v>
          </cell>
          <cell r="H247">
            <v>20</v>
          </cell>
          <cell r="I247" t="str">
            <v>ISSSTE</v>
          </cell>
        </row>
        <row r="248">
          <cell r="I248" t="str">
            <v>FOVISSSTE</v>
          </cell>
        </row>
        <row r="249">
          <cell r="I249" t="str">
            <v>SAR</v>
          </cell>
        </row>
        <row r="250">
          <cell r="I250" t="str">
            <v>NSI</v>
          </cell>
        </row>
        <row r="252">
          <cell r="I252" t="str">
            <v>TOTAL</v>
          </cell>
        </row>
        <row r="254">
          <cell r="I254" t="str">
            <v>CANT. ADIC.</v>
          </cell>
        </row>
        <row r="256">
          <cell r="J256" t="str">
            <v>COSTO ANUAL</v>
          </cell>
        </row>
        <row r="261">
          <cell r="F261" t="str">
            <v>DENOMINACION</v>
          </cell>
          <cell r="G261" t="str">
            <v xml:space="preserve">NO. DE </v>
          </cell>
          <cell r="H261" t="str">
            <v>SUELDO</v>
          </cell>
          <cell r="I261" t="str">
            <v>COMPLEMENTO</v>
          </cell>
          <cell r="J261" t="str">
            <v>COLECTIVO</v>
          </cell>
        </row>
        <row r="262">
          <cell r="G262" t="str">
            <v>PLAZAS</v>
          </cell>
          <cell r="I262" t="str">
            <v>DE LA BECA</v>
          </cell>
          <cell r="J262" t="str">
            <v>SUELDO</v>
          </cell>
        </row>
        <row r="265">
          <cell r="F265" t="str">
            <v xml:space="preserve">  MEDICO RESIDENTE DE PRIMER GRADO</v>
          </cell>
          <cell r="G265">
            <v>10</v>
          </cell>
          <cell r="H265">
            <v>2815</v>
          </cell>
          <cell r="I265">
            <v>3682</v>
          </cell>
          <cell r="J265">
            <v>28150</v>
          </cell>
        </row>
        <row r="266">
          <cell r="F266" t="str">
            <v xml:space="preserve">  MEDICO RESIDENTE DE SEGUNDO GRADO</v>
          </cell>
          <cell r="G266">
            <v>10</v>
          </cell>
          <cell r="H266">
            <v>2970</v>
          </cell>
          <cell r="I266">
            <v>4244</v>
          </cell>
          <cell r="J266">
            <v>29700</v>
          </cell>
        </row>
        <row r="267">
          <cell r="F267" t="str">
            <v xml:space="preserve">  MEDICO RESIDENTE DE TERCER GRADO</v>
          </cell>
          <cell r="G267">
            <v>10</v>
          </cell>
          <cell r="H267">
            <v>3119</v>
          </cell>
          <cell r="I267">
            <v>4261</v>
          </cell>
          <cell r="J267">
            <v>31190</v>
          </cell>
        </row>
        <row r="275">
          <cell r="F275" t="str">
            <v>T  O  T  A  L</v>
          </cell>
          <cell r="G275">
            <v>30</v>
          </cell>
          <cell r="J275">
            <v>89040</v>
          </cell>
        </row>
        <row r="278">
          <cell r="H278" t="str">
            <v>PERIODO</v>
          </cell>
          <cell r="I278">
            <v>12</v>
          </cell>
          <cell r="J278" t="str">
            <v>SDO. PERIODO</v>
          </cell>
        </row>
        <row r="279">
          <cell r="H279" t="str">
            <v>PORCIENTO</v>
          </cell>
          <cell r="I279">
            <v>1</v>
          </cell>
          <cell r="J279" t="str">
            <v>PV</v>
          </cell>
        </row>
        <row r="280">
          <cell r="H280" t="str">
            <v>PV</v>
          </cell>
          <cell r="I280">
            <v>10</v>
          </cell>
          <cell r="J280" t="str">
            <v>AG</v>
          </cell>
        </row>
        <row r="281">
          <cell r="H281" t="str">
            <v>AG</v>
          </cell>
          <cell r="I281">
            <v>20</v>
          </cell>
          <cell r="J281" t="str">
            <v>ISSSTE</v>
          </cell>
        </row>
        <row r="282">
          <cell r="J282" t="str">
            <v>FOVISSSTE</v>
          </cell>
        </row>
        <row r="283">
          <cell r="J283" t="str">
            <v>SAR</v>
          </cell>
        </row>
        <row r="284">
          <cell r="J284" t="str">
            <v>NSI</v>
          </cell>
        </row>
        <row r="286">
          <cell r="J286" t="str">
            <v>TOTAL</v>
          </cell>
        </row>
        <row r="288">
          <cell r="J288" t="str">
            <v>COMP. BECA</v>
          </cell>
        </row>
        <row r="291">
          <cell r="J291" t="str">
            <v>COSTO ANUAL</v>
          </cell>
        </row>
        <row r="297">
          <cell r="G297" t="str">
            <v xml:space="preserve">NO. DE </v>
          </cell>
          <cell r="H297" t="str">
            <v>SUELDO</v>
          </cell>
          <cell r="I297" t="str">
            <v>COLECTIVO</v>
          </cell>
        </row>
        <row r="298">
          <cell r="F298" t="str">
            <v>DENOMINACION</v>
          </cell>
          <cell r="G298" t="str">
            <v>PLAZAS</v>
          </cell>
          <cell r="H298" t="str">
            <v>MENSUAL</v>
          </cell>
          <cell r="I298" t="str">
            <v>SUELDO</v>
          </cell>
        </row>
        <row r="301">
          <cell r="F301" t="str">
            <v>INVESTIGADOR TITULAR  "A"</v>
          </cell>
          <cell r="G301">
            <v>2</v>
          </cell>
          <cell r="H301">
            <v>8129.85</v>
          </cell>
          <cell r="I301">
            <v>16259.7</v>
          </cell>
        </row>
        <row r="302">
          <cell r="F302" t="str">
            <v>INVESTIGADOR TITULAR "C"</v>
          </cell>
          <cell r="G302">
            <v>1</v>
          </cell>
          <cell r="H302">
            <v>11280.9</v>
          </cell>
          <cell r="I302">
            <v>11280.9</v>
          </cell>
        </row>
        <row r="303">
          <cell r="F303" t="str">
            <v>INVESTIGADOR ASOCIADO   "A"</v>
          </cell>
          <cell r="G303">
            <v>2</v>
          </cell>
          <cell r="H303">
            <v>5597.4</v>
          </cell>
          <cell r="I303">
            <v>11194.8</v>
          </cell>
        </row>
        <row r="304">
          <cell r="F304" t="str">
            <v>AYUDANTE DE INVESTIGADOR   "C"</v>
          </cell>
          <cell r="G304">
            <v>1</v>
          </cell>
          <cell r="H304">
            <v>4241</v>
          </cell>
          <cell r="I304">
            <v>4241</v>
          </cell>
        </row>
        <row r="312">
          <cell r="F312" t="str">
            <v>T  O  T  A  L</v>
          </cell>
          <cell r="G312">
            <v>6</v>
          </cell>
          <cell r="I312">
            <v>42976.399999999994</v>
          </cell>
        </row>
        <row r="315">
          <cell r="F315" t="str">
            <v>PERIODO</v>
          </cell>
          <cell r="G315">
            <v>12</v>
          </cell>
          <cell r="H315" t="str">
            <v>SDO. PERIODO</v>
          </cell>
          <cell r="I315">
            <v>515716.79999999993</v>
          </cell>
        </row>
        <row r="316">
          <cell r="F316" t="str">
            <v>PORCIENTO</v>
          </cell>
          <cell r="G316">
            <v>1</v>
          </cell>
          <cell r="H316" t="str">
            <v>PV</v>
          </cell>
          <cell r="I316">
            <v>14325.466666666664</v>
          </cell>
        </row>
        <row r="317">
          <cell r="F317" t="str">
            <v>PV</v>
          </cell>
          <cell r="G317">
            <v>10</v>
          </cell>
          <cell r="H317" t="str">
            <v>AG</v>
          </cell>
          <cell r="I317">
            <v>28650.933333333327</v>
          </cell>
        </row>
        <row r="318">
          <cell r="F318" t="str">
            <v>AG</v>
          </cell>
          <cell r="G318">
            <v>20</v>
          </cell>
          <cell r="H318" t="str">
            <v>ISSSTE</v>
          </cell>
          <cell r="I318">
            <v>65753.891999999993</v>
          </cell>
        </row>
        <row r="319">
          <cell r="H319" t="str">
            <v>FOVISSSTE</v>
          </cell>
          <cell r="I319">
            <v>25785.839999999997</v>
          </cell>
        </row>
        <row r="320">
          <cell r="H320" t="str">
            <v>SAR</v>
          </cell>
          <cell r="I320">
            <v>10314.335999999999</v>
          </cell>
        </row>
        <row r="321">
          <cell r="H321" t="str">
            <v>NSI</v>
          </cell>
          <cell r="I321">
            <v>8509.3271999999997</v>
          </cell>
        </row>
        <row r="323">
          <cell r="H323" t="str">
            <v>COSTO ANUAL</v>
          </cell>
          <cell r="I323">
            <v>669056.59519999987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ularizable"/>
      <sheetName val="Globales"/>
      <sheetName val="Eventual"/>
      <sheetName val="Resumen"/>
      <sheetName val="Apoyo"/>
      <sheetName val="CATALO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A3">
            <v>1</v>
          </cell>
          <cell r="D3">
            <v>1</v>
          </cell>
          <cell r="G3">
            <v>1</v>
          </cell>
          <cell r="L3" t="str">
            <v>1 - Quinquenios</v>
          </cell>
          <cell r="N3" t="str">
            <v>1 - Consolidado</v>
          </cell>
        </row>
        <row r="4">
          <cell r="A4">
            <v>2</v>
          </cell>
          <cell r="D4">
            <v>2</v>
          </cell>
          <cell r="G4">
            <v>2</v>
          </cell>
          <cell r="L4" t="str">
            <v>2 - Prima de Antigüedad</v>
          </cell>
          <cell r="N4" t="str">
            <v>2 - Específico</v>
          </cell>
        </row>
        <row r="5">
          <cell r="G5">
            <v>3</v>
          </cell>
          <cell r="L5" t="str">
            <v>3 – Compensación de Antigüedad</v>
          </cell>
        </row>
        <row r="6">
          <cell r="G6">
            <v>4</v>
          </cell>
        </row>
        <row r="7">
          <cell r="G7">
            <v>5</v>
          </cell>
        </row>
        <row r="8">
          <cell r="G8">
            <v>6</v>
          </cell>
        </row>
        <row r="9">
          <cell r="G9">
            <v>7</v>
          </cell>
        </row>
        <row r="10">
          <cell r="G10">
            <v>8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COMP"/>
      <sheetName val="COMP (2)"/>
      <sheetName val="cc anual (2)"/>
      <sheetName val="E cc200MEN"/>
      <sheetName val="E cc200MEN (2)"/>
      <sheetName val="E cc400 ANUAL"/>
      <sheetName val="cc 650"/>
      <sheetName val="UE 800)"/>
      <sheetName val="UE PRUEBA"/>
      <sheetName val="cc 62.5%SEM )"/>
      <sheetName val="E cc 33.33%"/>
      <sheetName val="cc 33.33%S-33"/>
      <sheetName val="cc 33.33%S-33 (2)"/>
      <sheetName val="av CC a ren 33.33%"/>
      <sheetName val="av CC a ren72.12%"/>
      <sheetName val="E av CC200"/>
      <sheetName val="RESUMEN REN 1"/>
      <sheetName val="R11 ren 1"/>
      <sheetName val="R25 ren 1 "/>
      <sheetName val="R33 ren 1 "/>
      <sheetName val=" R11 ren 2"/>
      <sheetName val="RESUMEN REN 2"/>
      <sheetName val=" R25 ren 2 "/>
      <sheetName val=" R33 ren 2  "/>
      <sheetName val="Pzas99"/>
      <sheetName val="6SMGDF11"/>
      <sheetName val="6SMGDF25"/>
      <sheetName val="6SMGDF33"/>
      <sheetName val="SEISSMGDF11"/>
      <sheetName val="SEISSMGDF25"/>
      <sheetName val="SEISSMGDF33"/>
      <sheetName val="Pzas00"/>
      <sheetName val="40%07CD11"/>
      <sheetName val="40%07CD25"/>
      <sheetName val="40%07CD33"/>
      <sheetName val="SMGV1140%"/>
      <sheetName val="SMGV2540%"/>
      <sheetName val="SMGV3340%"/>
      <sheetName val="RED"/>
      <sheetName val="%99 R11"/>
      <sheetName val="%99 R25"/>
      <sheetName val="%99 R33"/>
      <sheetName val="Hoja1"/>
      <sheetName val="E INC%A"/>
      <sheetName val="E INC%B "/>
      <sheetName val="costo rez"/>
      <sheetName val="Rez II a III"/>
      <sheetName val="formato rez (2)"/>
      <sheetName val="E R_25"/>
      <sheetName val="E R_33"/>
      <sheetName val="E R_11"/>
      <sheetName val="Tab"/>
      <sheetName val="Res"/>
      <sheetName val="E Port"/>
      <sheetName val="PromPond"/>
      <sheetName val="Incr07y37"/>
      <sheetName val="AsigAcCul"/>
      <sheetName val="38"/>
      <sheetName val="44"/>
      <sheetName val="46"/>
      <sheetName val="E CC 33%"/>
      <sheetName val="E CC200"/>
      <sheetName val="APGE"/>
      <sheetName val="APGE33.33%"/>
      <sheetName val="APGE14%"/>
      <sheetName val="APGE700"/>
      <sheetName val="APGE700 S-33"/>
      <sheetName val="APGE800 S-33"/>
      <sheetName val="APGE690 Y 800 S-33 "/>
      <sheetName val="Ant 200"/>
      <sheetName val="Ant 33%"/>
      <sheetName val="Ant14%DGP"/>
      <sheetName val="Ant14%DGRF"/>
      <sheetName val="Ant14%DGRF (2)"/>
      <sheetName val="AP ORT 33%"/>
      <sheetName val="AP ORT S- 33"/>
      <sheetName val="TESIS 500"/>
      <sheetName val="TESIS 33.33%"/>
      <sheetName val="TESIS 14%DGP"/>
      <sheetName val="TESIS 14%DGRF"/>
      <sheetName val="TESIS 14%DGRF (2)"/>
      <sheetName val="E EstxAnt"/>
      <sheetName val="E EstxAnt (2)"/>
      <sheetName val="DespFA"/>
      <sheetName val="PasFor"/>
      <sheetName val="PremEMes"/>
      <sheetName val="ProgDep"/>
      <sheetName val="Fest Trab"/>
      <sheetName val="Niño"/>
      <sheetName val="Festmama"/>
      <sheetName val="G_ZII 11"/>
      <sheetName val="G_ZIII 11"/>
      <sheetName val="G_ZII 25"/>
      <sheetName val="G_ZII 33"/>
      <sheetName val="G_ZIII 33"/>
      <sheetName val="G_ZII TGRAL"/>
      <sheetName val="G_ZIII TGRAL"/>
      <sheetName val="Módulo1"/>
      <sheetName val="Módulo2"/>
      <sheetName val="Módulo3"/>
      <sheetName val="Módulo4"/>
      <sheetName val="Módulo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>
        <row r="228">
          <cell r="D228">
            <v>17</v>
          </cell>
          <cell r="E228">
            <v>328</v>
          </cell>
          <cell r="F228">
            <v>328</v>
          </cell>
          <cell r="G228">
            <v>117</v>
          </cell>
          <cell r="H228">
            <v>115</v>
          </cell>
          <cell r="I228">
            <v>2100</v>
          </cell>
          <cell r="J228">
            <v>2098</v>
          </cell>
          <cell r="K228">
            <v>6614</v>
          </cell>
          <cell r="L228">
            <v>6553</v>
          </cell>
          <cell r="M228">
            <v>3639</v>
          </cell>
          <cell r="N228">
            <v>3639</v>
          </cell>
        </row>
        <row r="229">
          <cell r="D229">
            <v>18</v>
          </cell>
          <cell r="E229">
            <v>292</v>
          </cell>
          <cell r="F229">
            <v>223</v>
          </cell>
          <cell r="G229">
            <v>59</v>
          </cell>
          <cell r="H229">
            <v>35</v>
          </cell>
          <cell r="I229">
            <v>138</v>
          </cell>
          <cell r="J229">
            <v>136</v>
          </cell>
          <cell r="K229">
            <v>1486</v>
          </cell>
          <cell r="L229">
            <v>1519</v>
          </cell>
          <cell r="M229">
            <v>1287</v>
          </cell>
          <cell r="N229">
            <v>1287</v>
          </cell>
        </row>
        <row r="230">
          <cell r="D230">
            <v>19</v>
          </cell>
          <cell r="E230">
            <v>2090</v>
          </cell>
          <cell r="F230">
            <v>1950</v>
          </cell>
          <cell r="G230">
            <v>519</v>
          </cell>
          <cell r="H230">
            <v>448</v>
          </cell>
          <cell r="I230">
            <v>16034</v>
          </cell>
          <cell r="J230">
            <v>15958</v>
          </cell>
          <cell r="K230">
            <v>70931</v>
          </cell>
          <cell r="L230">
            <v>70942</v>
          </cell>
          <cell r="M230">
            <v>25159</v>
          </cell>
          <cell r="N230">
            <v>25159</v>
          </cell>
        </row>
        <row r="231">
          <cell r="D231">
            <v>20</v>
          </cell>
          <cell r="E231">
            <v>1397</v>
          </cell>
          <cell r="F231">
            <v>1512</v>
          </cell>
          <cell r="G231">
            <v>319</v>
          </cell>
          <cell r="H231">
            <v>403</v>
          </cell>
          <cell r="I231">
            <v>8158</v>
          </cell>
          <cell r="J231">
            <v>8114</v>
          </cell>
          <cell r="K231">
            <v>11363</v>
          </cell>
          <cell r="L231">
            <v>11382</v>
          </cell>
          <cell r="M231">
            <v>3816</v>
          </cell>
          <cell r="N231">
            <v>3815</v>
          </cell>
        </row>
        <row r="232">
          <cell r="D232">
            <v>21</v>
          </cell>
          <cell r="E232">
            <v>1002</v>
          </cell>
          <cell r="F232">
            <v>976</v>
          </cell>
          <cell r="G232">
            <v>118</v>
          </cell>
          <cell r="H232">
            <v>119</v>
          </cell>
          <cell r="I232">
            <v>978</v>
          </cell>
          <cell r="J232">
            <v>961</v>
          </cell>
          <cell r="K232">
            <v>2545</v>
          </cell>
          <cell r="L232">
            <v>2545</v>
          </cell>
          <cell r="M232">
            <v>795</v>
          </cell>
          <cell r="N232">
            <v>795</v>
          </cell>
        </row>
        <row r="233">
          <cell r="D233">
            <v>22</v>
          </cell>
          <cell r="E233">
            <v>787</v>
          </cell>
          <cell r="F233">
            <v>767</v>
          </cell>
          <cell r="G233">
            <v>105</v>
          </cell>
          <cell r="H233">
            <v>104</v>
          </cell>
          <cell r="I233">
            <v>427</v>
          </cell>
          <cell r="J233">
            <v>413</v>
          </cell>
          <cell r="K233">
            <v>2935</v>
          </cell>
          <cell r="L233">
            <v>2936</v>
          </cell>
          <cell r="M233">
            <v>910</v>
          </cell>
          <cell r="N233">
            <v>910</v>
          </cell>
        </row>
        <row r="234">
          <cell r="D234">
            <v>23</v>
          </cell>
          <cell r="E234">
            <v>2245</v>
          </cell>
          <cell r="F234">
            <v>1842</v>
          </cell>
          <cell r="G234">
            <v>12</v>
          </cell>
          <cell r="H234">
            <v>12</v>
          </cell>
          <cell r="I234">
            <v>335</v>
          </cell>
          <cell r="J234">
            <v>322</v>
          </cell>
          <cell r="K234">
            <v>1216</v>
          </cell>
          <cell r="L234">
            <v>1216</v>
          </cell>
          <cell r="M234">
            <v>394</v>
          </cell>
          <cell r="N234">
            <v>394</v>
          </cell>
        </row>
        <row r="235">
          <cell r="D235">
            <v>24</v>
          </cell>
          <cell r="E235">
            <v>319</v>
          </cell>
          <cell r="F235">
            <v>309</v>
          </cell>
          <cell r="G235">
            <v>63</v>
          </cell>
          <cell r="H235">
            <v>63</v>
          </cell>
          <cell r="I235">
            <v>1566</v>
          </cell>
          <cell r="J235">
            <v>1564</v>
          </cell>
          <cell r="K235">
            <v>5443</v>
          </cell>
          <cell r="L235">
            <v>5438</v>
          </cell>
          <cell r="M235">
            <v>2185</v>
          </cell>
          <cell r="N235">
            <v>2187</v>
          </cell>
        </row>
        <row r="236">
          <cell r="D236">
            <v>25</v>
          </cell>
          <cell r="E236">
            <v>1774</v>
          </cell>
          <cell r="F236">
            <v>1578</v>
          </cell>
          <cell r="G236">
            <v>32</v>
          </cell>
          <cell r="H236">
            <v>28</v>
          </cell>
          <cell r="I236">
            <v>1342</v>
          </cell>
          <cell r="J236">
            <v>1262</v>
          </cell>
          <cell r="K236">
            <v>3991</v>
          </cell>
          <cell r="L236">
            <v>3987</v>
          </cell>
          <cell r="M236">
            <v>1215</v>
          </cell>
          <cell r="N236">
            <v>1215</v>
          </cell>
        </row>
        <row r="237">
          <cell r="D237">
            <v>26</v>
          </cell>
          <cell r="E237">
            <v>554</v>
          </cell>
          <cell r="F237">
            <v>524</v>
          </cell>
          <cell r="G237">
            <v>11</v>
          </cell>
          <cell r="H237">
            <v>9</v>
          </cell>
          <cell r="I237">
            <v>620</v>
          </cell>
          <cell r="J237">
            <v>602</v>
          </cell>
          <cell r="K237">
            <v>315</v>
          </cell>
          <cell r="L237">
            <v>319</v>
          </cell>
          <cell r="M237">
            <v>71</v>
          </cell>
          <cell r="N237">
            <v>71</v>
          </cell>
        </row>
        <row r="238">
          <cell r="D238">
            <v>27</v>
          </cell>
          <cell r="E238">
            <v>1452</v>
          </cell>
          <cell r="F238">
            <v>1377</v>
          </cell>
          <cell r="G238">
            <v>146</v>
          </cell>
          <cell r="H238">
            <v>146</v>
          </cell>
          <cell r="I238">
            <v>417</v>
          </cell>
          <cell r="J238">
            <v>381</v>
          </cell>
          <cell r="K238">
            <v>1398</v>
          </cell>
          <cell r="L238">
            <v>1396</v>
          </cell>
          <cell r="M238">
            <v>653</v>
          </cell>
          <cell r="N238">
            <v>653</v>
          </cell>
        </row>
        <row r="239">
          <cell r="D239" t="str">
            <v>27A</v>
          </cell>
          <cell r="E239">
            <v>829</v>
          </cell>
          <cell r="F239">
            <v>869</v>
          </cell>
          <cell r="G239">
            <v>0</v>
          </cell>
          <cell r="H239">
            <v>0</v>
          </cell>
          <cell r="I239">
            <v>1</v>
          </cell>
          <cell r="J239">
            <v>2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</row>
        <row r="240">
          <cell r="D240" t="str">
            <v>27B</v>
          </cell>
          <cell r="E240">
            <v>21</v>
          </cell>
          <cell r="F240">
            <v>52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</row>
        <row r="241">
          <cell r="D241" t="str">
            <v>27C</v>
          </cell>
          <cell r="E241">
            <v>194</v>
          </cell>
          <cell r="F241">
            <v>269</v>
          </cell>
          <cell r="G241">
            <v>0</v>
          </cell>
          <cell r="H241">
            <v>0</v>
          </cell>
          <cell r="I241">
            <v>1</v>
          </cell>
          <cell r="J241">
            <v>1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</row>
        <row r="242">
          <cell r="D242" t="str">
            <v>27Z</v>
          </cell>
          <cell r="E242">
            <v>1023</v>
          </cell>
          <cell r="F242">
            <v>853</v>
          </cell>
          <cell r="G242">
            <v>3</v>
          </cell>
          <cell r="H242">
            <v>0</v>
          </cell>
          <cell r="I242">
            <v>41</v>
          </cell>
          <cell r="J242">
            <v>45</v>
          </cell>
          <cell r="K242">
            <v>180</v>
          </cell>
          <cell r="L242">
            <v>179</v>
          </cell>
          <cell r="M242">
            <v>43</v>
          </cell>
          <cell r="N242">
            <v>43</v>
          </cell>
        </row>
        <row r="243">
          <cell r="D243" t="str">
            <v>27ZA</v>
          </cell>
          <cell r="E243">
            <v>1766</v>
          </cell>
          <cell r="F243">
            <v>1458</v>
          </cell>
          <cell r="G243">
            <v>44</v>
          </cell>
          <cell r="H243">
            <v>31</v>
          </cell>
          <cell r="I243">
            <v>171</v>
          </cell>
          <cell r="J243">
            <v>156</v>
          </cell>
          <cell r="K243">
            <v>868</v>
          </cell>
          <cell r="L243">
            <v>864</v>
          </cell>
          <cell r="M243">
            <v>295</v>
          </cell>
          <cell r="N243">
            <v>295</v>
          </cell>
        </row>
        <row r="244">
          <cell r="D244" t="str">
            <v>27ZB</v>
          </cell>
          <cell r="E244">
            <v>268</v>
          </cell>
          <cell r="F244">
            <v>369</v>
          </cell>
          <cell r="G244">
            <v>8</v>
          </cell>
          <cell r="H244">
            <v>14</v>
          </cell>
          <cell r="I244">
            <v>37</v>
          </cell>
          <cell r="J244">
            <v>35</v>
          </cell>
          <cell r="K244">
            <v>177</v>
          </cell>
          <cell r="L244">
            <v>179</v>
          </cell>
          <cell r="M244">
            <v>29</v>
          </cell>
          <cell r="N244">
            <v>29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TABIPNDO298"/>
      <sheetName val="TABCETDO298"/>
      <sheetName val="TABCONDO298"/>
      <sheetName val="TABCREDO298"/>
      <sheetName val="TABCOFDO298"/>
      <sheetName val="TABCINDO298"/>
      <sheetName val="TABCINTES298"/>
      <sheetName val="Hoja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o"/>
      <sheetName val="IPNATM01"/>
      <sheetName val="Hoja1"/>
      <sheetName val="IPNCZA"/>
      <sheetName val="Hoja1 (2)"/>
      <sheetName val="IPNDOC1;2 T-3;4 T"/>
      <sheetName val="Hoja1 (3)"/>
      <sheetName val="IPNDOC T C HRS"/>
      <sheetName val="Hoja1 (4)"/>
      <sheetName val="TABULADOR ÚNICO IPN"/>
    </sheetNames>
    <sheetDataSet>
      <sheetData sheetId="0" refreshError="1"/>
      <sheetData sheetId="1">
        <row r="4">
          <cell r="D4" t="str">
            <v>S U B S E C R E T A R I A    D E    E G R E S O S</v>
          </cell>
        </row>
        <row r="5">
          <cell r="D5" t="str">
            <v>UNIDAD DE SERVICIO CIVIL</v>
          </cell>
        </row>
        <row r="6">
          <cell r="D6" t="str">
            <v>DIRECCION GENERAL ADJUNTA DE ESTRUCTURAS Y PRESUPUESTO</v>
          </cell>
        </row>
        <row r="7">
          <cell r="D7" t="str">
            <v>DIRECCION CONSULTIVA DE ESTRUCTURAS, COMPENSACIONES Y PRESUPUESTO "D"</v>
          </cell>
        </row>
        <row r="8">
          <cell r="D8" t="str">
            <v>SUBDIRECCION DEL SECTOR SEP</v>
          </cell>
        </row>
        <row r="10">
          <cell r="B10" t="str">
            <v>CATALOGO DE PUESTOS Y TABULADOR DE SUELDOS MENSUALES AUTORIZADOS PARA EL PERSONAL</v>
          </cell>
        </row>
        <row r="11">
          <cell r="B11" t="str">
            <v>ADMINISTRATIVO, TECNICO Y MANUAL ( BASE Y CONFIANZA )</v>
          </cell>
        </row>
        <row r="13">
          <cell r="B13" t="str">
            <v xml:space="preserve">ENTIDAD: </v>
          </cell>
          <cell r="D13" t="str">
            <v xml:space="preserve">   INSTITUTO POLITECNICO NACIONAL</v>
          </cell>
          <cell r="I13" t="str">
            <v>VIGENCIA : 01-02-2003</v>
          </cell>
        </row>
        <row r="15">
          <cell r="C15" t="str">
            <v>GRUPO</v>
          </cell>
          <cell r="F15" t="str">
            <v xml:space="preserve">Z O N A   E C O N O M I C A   </v>
          </cell>
        </row>
        <row r="16">
          <cell r="C16" t="str">
            <v xml:space="preserve"> </v>
          </cell>
          <cell r="D16" t="str">
            <v xml:space="preserve">      RAMA</v>
          </cell>
          <cell r="F16" t="str">
            <v xml:space="preserve">                I I</v>
          </cell>
          <cell r="I16" t="str">
            <v>I I I</v>
          </cell>
        </row>
        <row r="17">
          <cell r="D17" t="str">
            <v xml:space="preserve">              PUESTO</v>
          </cell>
          <cell r="F17" t="str">
            <v>MINIMO</v>
          </cell>
          <cell r="G17" t="str">
            <v>MEDIO</v>
          </cell>
          <cell r="H17" t="str">
            <v>MAXIMO</v>
          </cell>
          <cell r="I17" t="str">
            <v>MINIMO</v>
          </cell>
          <cell r="J17" t="str">
            <v>MEDIO</v>
          </cell>
          <cell r="K17" t="str">
            <v>MAXIMO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ulador"/>
      <sheetName val="planew99"/>
      <sheetName val="planew99 (2)"/>
      <sheetName val="cij"/>
      <sheetName val="planew99 (3)"/>
      <sheetName val="COSTO CIJ SEP"/>
      <sheetName val="COSTO CIJ DIC"/>
      <sheetName val="planew99 REVISADAS"/>
      <sheetName val="COSTO PRIMER PAQUETE"/>
      <sheetName val="planew99 prueba "/>
      <sheetName val="planew99 PROY CAM VIG"/>
      <sheetName val="TABULADOR (2)"/>
    </sheetNames>
    <sheetDataSet>
      <sheetData sheetId="0"/>
      <sheetData sheetId="1">
        <row r="10">
          <cell r="A10" t="str">
            <v>UNIDAD</v>
          </cell>
          <cell r="B10" t="str">
            <v>UNIDAD 2</v>
          </cell>
          <cell r="C10" t="str">
            <v>NIVEL</v>
          </cell>
          <cell r="D10" t="str">
            <v>CODIGO</v>
          </cell>
          <cell r="E10" t="str">
            <v>ZONA</v>
          </cell>
          <cell r="F10" t="str">
            <v>PLAZAS</v>
          </cell>
          <cell r="G10" t="str">
            <v>SUELDO</v>
          </cell>
          <cell r="I10" t="str">
            <v>ASIG</v>
          </cell>
          <cell r="J10" t="str">
            <v>AGA</v>
          </cell>
        </row>
        <row r="14">
          <cell r="A14" t="str">
            <v>NCH</v>
          </cell>
          <cell r="B14" t="str">
            <v>INSEN</v>
          </cell>
          <cell r="C14">
            <v>21</v>
          </cell>
          <cell r="D14" t="str">
            <v>A01805</v>
          </cell>
          <cell r="E14">
            <v>2</v>
          </cell>
          <cell r="F14">
            <v>12</v>
          </cell>
          <cell r="G14">
            <v>1946</v>
          </cell>
          <cell r="I14">
            <v>0</v>
          </cell>
          <cell r="J14">
            <v>0</v>
          </cell>
        </row>
        <row r="15">
          <cell r="A15" t="str">
            <v>NBG</v>
          </cell>
          <cell r="B15" t="str">
            <v>HIMEXICO</v>
          </cell>
          <cell r="C15">
            <v>23</v>
          </cell>
          <cell r="D15" t="str">
            <v>CF08822</v>
          </cell>
          <cell r="E15">
            <v>2</v>
          </cell>
          <cell r="F15">
            <v>3</v>
          </cell>
          <cell r="G15">
            <v>2132</v>
          </cell>
          <cell r="I15">
            <v>0</v>
          </cell>
          <cell r="J15">
            <v>0</v>
          </cell>
        </row>
        <row r="16">
          <cell r="A16" t="str">
            <v>NBG</v>
          </cell>
          <cell r="B16" t="str">
            <v>HIMEXICO</v>
          </cell>
          <cell r="C16">
            <v>23</v>
          </cell>
          <cell r="D16" t="str">
            <v>S01805</v>
          </cell>
          <cell r="E16">
            <v>2</v>
          </cell>
          <cell r="F16">
            <v>8</v>
          </cell>
          <cell r="G16">
            <v>2132</v>
          </cell>
          <cell r="I16">
            <v>0</v>
          </cell>
          <cell r="J16">
            <v>0</v>
          </cell>
        </row>
        <row r="17">
          <cell r="A17" t="str">
            <v>NCA</v>
          </cell>
          <cell r="B17" t="str">
            <v>INCARDIOLOGIA</v>
          </cell>
          <cell r="C17">
            <v>24</v>
          </cell>
          <cell r="D17" t="str">
            <v>T06807</v>
          </cell>
          <cell r="E17">
            <v>2</v>
          </cell>
          <cell r="F17">
            <v>4</v>
          </cell>
          <cell r="G17">
            <v>2156</v>
          </cell>
          <cell r="I17">
            <v>0</v>
          </cell>
          <cell r="J17">
            <v>0</v>
          </cell>
        </row>
        <row r="18">
          <cell r="A18" t="str">
            <v>NCA</v>
          </cell>
          <cell r="B18" t="str">
            <v>INCARDIOLOGIA</v>
          </cell>
          <cell r="C18">
            <v>26</v>
          </cell>
          <cell r="D18" t="str">
            <v>T06803</v>
          </cell>
          <cell r="E18">
            <v>2</v>
          </cell>
          <cell r="F18">
            <v>1</v>
          </cell>
          <cell r="G18">
            <v>2362</v>
          </cell>
          <cell r="I18">
            <v>0</v>
          </cell>
          <cell r="J18">
            <v>0</v>
          </cell>
        </row>
        <row r="19">
          <cell r="A19" t="str">
            <v>NCA</v>
          </cell>
          <cell r="B19" t="str">
            <v>INCARDIOLOGIA</v>
          </cell>
          <cell r="C19">
            <v>26</v>
          </cell>
          <cell r="D19" t="str">
            <v>CF04806</v>
          </cell>
          <cell r="E19">
            <v>2</v>
          </cell>
          <cell r="F19">
            <v>3</v>
          </cell>
          <cell r="G19">
            <v>2362</v>
          </cell>
          <cell r="I19">
            <v>0</v>
          </cell>
          <cell r="J19">
            <v>0</v>
          </cell>
        </row>
        <row r="20">
          <cell r="A20" t="str">
            <v>NBG</v>
          </cell>
          <cell r="B20" t="str">
            <v>HIMEXICO</v>
          </cell>
          <cell r="C20">
            <v>27</v>
          </cell>
          <cell r="D20" t="str">
            <v>CF33834</v>
          </cell>
          <cell r="E20">
            <v>2</v>
          </cell>
          <cell r="F20">
            <v>1</v>
          </cell>
          <cell r="G20">
            <v>2472</v>
          </cell>
          <cell r="I20">
            <v>0</v>
          </cell>
          <cell r="J20">
            <v>0</v>
          </cell>
        </row>
        <row r="21">
          <cell r="A21" t="str">
            <v>M7K</v>
          </cell>
          <cell r="B21" t="str">
            <v>CIJ</v>
          </cell>
          <cell r="C21">
            <v>28</v>
          </cell>
          <cell r="D21" t="str">
            <v>CF01059</v>
          </cell>
          <cell r="E21">
            <v>2</v>
          </cell>
          <cell r="F21">
            <v>1</v>
          </cell>
          <cell r="G21">
            <v>3632</v>
          </cell>
          <cell r="I21">
            <v>7892</v>
          </cell>
          <cell r="J21">
            <v>0</v>
          </cell>
        </row>
        <row r="22">
          <cell r="A22" t="str">
            <v>NBG</v>
          </cell>
          <cell r="B22" t="str">
            <v>HIMEXICO</v>
          </cell>
          <cell r="C22">
            <v>28</v>
          </cell>
          <cell r="D22" t="str">
            <v>CF01059</v>
          </cell>
          <cell r="E22">
            <v>2</v>
          </cell>
          <cell r="F22">
            <v>3</v>
          </cell>
          <cell r="G22">
            <v>3632</v>
          </cell>
          <cell r="I22">
            <v>7892</v>
          </cell>
          <cell r="J22">
            <v>0</v>
          </cell>
        </row>
        <row r="23">
          <cell r="A23" t="str">
            <v>NCA</v>
          </cell>
          <cell r="B23" t="str">
            <v>INCARDIOLOGIA</v>
          </cell>
          <cell r="C23">
            <v>28</v>
          </cell>
          <cell r="D23" t="str">
            <v>CF01059</v>
          </cell>
          <cell r="E23">
            <v>1</v>
          </cell>
          <cell r="F23">
            <v>2</v>
          </cell>
          <cell r="G23">
            <v>3632</v>
          </cell>
          <cell r="I23">
            <v>7892</v>
          </cell>
          <cell r="J23">
            <v>0</v>
          </cell>
        </row>
        <row r="24">
          <cell r="A24" t="str">
            <v>M7F</v>
          </cell>
          <cell r="B24" t="str">
            <v>PSIQUIATRIA</v>
          </cell>
          <cell r="C24">
            <v>29</v>
          </cell>
          <cell r="D24" t="str">
            <v>CF01012</v>
          </cell>
          <cell r="E24">
            <v>1</v>
          </cell>
          <cell r="F24">
            <v>4</v>
          </cell>
          <cell r="G24">
            <v>4311</v>
          </cell>
          <cell r="I24">
            <v>11715</v>
          </cell>
          <cell r="J24">
            <v>0</v>
          </cell>
        </row>
        <row r="25">
          <cell r="A25" t="str">
            <v>NCZ</v>
          </cell>
          <cell r="B25" t="str">
            <v>INPEDIATRIA</v>
          </cell>
          <cell r="C25" t="str">
            <v>27A</v>
          </cell>
          <cell r="D25" t="str">
            <v>CF21868</v>
          </cell>
          <cell r="E25">
            <v>2</v>
          </cell>
          <cell r="F25">
            <v>3</v>
          </cell>
          <cell r="G25">
            <v>2794</v>
          </cell>
          <cell r="I25">
            <v>1942</v>
          </cell>
          <cell r="J25">
            <v>0</v>
          </cell>
        </row>
        <row r="26">
          <cell r="A26" t="str">
            <v>NBG</v>
          </cell>
          <cell r="B26" t="str">
            <v>HIMEXICO</v>
          </cell>
          <cell r="C26" t="str">
            <v>27B</v>
          </cell>
          <cell r="D26" t="str">
            <v>CF21869</v>
          </cell>
          <cell r="E26">
            <v>2</v>
          </cell>
          <cell r="F26">
            <v>11</v>
          </cell>
          <cell r="G26">
            <v>3222</v>
          </cell>
          <cell r="I26">
            <v>3559</v>
          </cell>
          <cell r="J26">
            <v>0</v>
          </cell>
        </row>
        <row r="27">
          <cell r="A27" t="str">
            <v>NCZ</v>
          </cell>
          <cell r="B27" t="str">
            <v>INPEDIATRIA</v>
          </cell>
          <cell r="C27" t="str">
            <v>27B</v>
          </cell>
          <cell r="D27" t="str">
            <v>CF21869</v>
          </cell>
          <cell r="E27">
            <v>2</v>
          </cell>
          <cell r="F27">
            <v>3</v>
          </cell>
          <cell r="G27">
            <v>3222</v>
          </cell>
          <cell r="I27">
            <v>3559</v>
          </cell>
          <cell r="J27">
            <v>0</v>
          </cell>
        </row>
        <row r="28">
          <cell r="A28" t="str">
            <v>NBB</v>
          </cell>
          <cell r="B28" t="str">
            <v>HGMEXICO</v>
          </cell>
          <cell r="C28" t="str">
            <v>27C</v>
          </cell>
          <cell r="D28" t="str">
            <v>CF21870</v>
          </cell>
          <cell r="E28">
            <v>2</v>
          </cell>
          <cell r="F28">
            <v>3</v>
          </cell>
          <cell r="G28">
            <v>3268</v>
          </cell>
          <cell r="I28">
            <v>4783</v>
          </cell>
          <cell r="J28">
            <v>0</v>
          </cell>
        </row>
        <row r="29">
          <cell r="A29" t="str">
            <v>NBD</v>
          </cell>
          <cell r="B29" t="str">
            <v>HGMEXICO</v>
          </cell>
          <cell r="C29" t="str">
            <v>27C</v>
          </cell>
          <cell r="D29" t="str">
            <v>CF21870</v>
          </cell>
          <cell r="E29">
            <v>2</v>
          </cell>
          <cell r="F29">
            <v>50</v>
          </cell>
          <cell r="G29">
            <v>3268</v>
          </cell>
          <cell r="I29">
            <v>4783</v>
          </cell>
          <cell r="J29">
            <v>0</v>
          </cell>
        </row>
        <row r="30">
          <cell r="A30" t="str">
            <v>NBG</v>
          </cell>
          <cell r="B30" t="str">
            <v>HIMEXICO</v>
          </cell>
          <cell r="C30" t="str">
            <v>27C</v>
          </cell>
          <cell r="D30" t="str">
            <v>CF21870</v>
          </cell>
          <cell r="E30">
            <v>2</v>
          </cell>
          <cell r="F30">
            <v>1</v>
          </cell>
          <cell r="G30">
            <v>3268</v>
          </cell>
          <cell r="I30">
            <v>4783</v>
          </cell>
          <cell r="J30">
            <v>0</v>
          </cell>
        </row>
        <row r="31">
          <cell r="A31" t="str">
            <v>NBG</v>
          </cell>
          <cell r="B31" t="str">
            <v>HIMEXICO</v>
          </cell>
          <cell r="C31" t="str">
            <v>27C</v>
          </cell>
          <cell r="D31" t="str">
            <v>CF21870</v>
          </cell>
          <cell r="E31">
            <v>2</v>
          </cell>
          <cell r="F31">
            <v>1</v>
          </cell>
          <cell r="G31">
            <v>3268</v>
          </cell>
          <cell r="I31">
            <v>4783</v>
          </cell>
          <cell r="J31">
            <v>0</v>
          </cell>
        </row>
        <row r="32">
          <cell r="A32" t="str">
            <v>NCA</v>
          </cell>
          <cell r="B32" t="str">
            <v>INCARDIOLOGIA</v>
          </cell>
          <cell r="C32" t="str">
            <v>27C</v>
          </cell>
          <cell r="D32" t="str">
            <v>CF21870</v>
          </cell>
          <cell r="E32">
            <v>2</v>
          </cell>
          <cell r="F32">
            <v>1</v>
          </cell>
          <cell r="G32">
            <v>3268</v>
          </cell>
          <cell r="I32">
            <v>4783</v>
          </cell>
          <cell r="J32">
            <v>0</v>
          </cell>
        </row>
        <row r="33">
          <cell r="A33" t="str">
            <v>NCA</v>
          </cell>
          <cell r="B33" t="str">
            <v>INCARDIOLOGIA</v>
          </cell>
          <cell r="C33" t="str">
            <v>27C</v>
          </cell>
          <cell r="D33" t="str">
            <v>CF21870</v>
          </cell>
          <cell r="E33">
            <v>2</v>
          </cell>
          <cell r="F33">
            <v>12</v>
          </cell>
          <cell r="G33">
            <v>3268</v>
          </cell>
          <cell r="I33">
            <v>4783</v>
          </cell>
          <cell r="J33">
            <v>0</v>
          </cell>
        </row>
        <row r="34">
          <cell r="A34" t="str">
            <v>NCD</v>
          </cell>
          <cell r="B34" t="str">
            <v>INER</v>
          </cell>
          <cell r="C34" t="str">
            <v>27C</v>
          </cell>
          <cell r="D34" t="str">
            <v>CF21870</v>
          </cell>
          <cell r="E34">
            <v>2</v>
          </cell>
          <cell r="F34">
            <v>1</v>
          </cell>
          <cell r="G34">
            <v>3268</v>
          </cell>
          <cell r="I34">
            <v>4783</v>
          </cell>
          <cell r="J34">
            <v>0</v>
          </cell>
        </row>
        <row r="35">
          <cell r="A35" t="str">
            <v>NCG</v>
          </cell>
          <cell r="B35" t="str">
            <v>INNUTRICION</v>
          </cell>
          <cell r="C35" t="str">
            <v>27C</v>
          </cell>
          <cell r="D35" t="str">
            <v>CF21870</v>
          </cell>
          <cell r="E35">
            <v>2</v>
          </cell>
          <cell r="F35">
            <v>2</v>
          </cell>
          <cell r="G35">
            <v>3268</v>
          </cell>
          <cell r="I35">
            <v>4783</v>
          </cell>
          <cell r="J35">
            <v>0</v>
          </cell>
        </row>
        <row r="36">
          <cell r="A36" t="str">
            <v>NCK</v>
          </cell>
          <cell r="B36" t="str">
            <v>INNEURO</v>
          </cell>
          <cell r="C36" t="str">
            <v>27C</v>
          </cell>
          <cell r="D36" t="str">
            <v>CF21870</v>
          </cell>
          <cell r="E36">
            <v>2</v>
          </cell>
          <cell r="F36">
            <v>2</v>
          </cell>
          <cell r="G36">
            <v>3268</v>
          </cell>
          <cell r="I36">
            <v>4783</v>
          </cell>
          <cell r="J36">
            <v>0</v>
          </cell>
        </row>
        <row r="37">
          <cell r="A37" t="str">
            <v>NCZ</v>
          </cell>
          <cell r="B37" t="str">
            <v>INPEDIATRIA</v>
          </cell>
          <cell r="C37" t="str">
            <v>27C</v>
          </cell>
          <cell r="D37" t="str">
            <v>CF21870</v>
          </cell>
          <cell r="E37">
            <v>2</v>
          </cell>
          <cell r="F37">
            <v>1</v>
          </cell>
          <cell r="G37">
            <v>3268</v>
          </cell>
          <cell r="I37">
            <v>4783</v>
          </cell>
          <cell r="J37">
            <v>0</v>
          </cell>
        </row>
        <row r="38">
          <cell r="A38" t="str">
            <v>NDE</v>
          </cell>
          <cell r="B38" t="str">
            <v>INPERINATOLOGIA</v>
          </cell>
          <cell r="C38" t="str">
            <v>27C</v>
          </cell>
          <cell r="D38" t="str">
            <v>CF21870</v>
          </cell>
          <cell r="E38">
            <v>2</v>
          </cell>
          <cell r="F38">
            <v>2</v>
          </cell>
          <cell r="G38">
            <v>3268</v>
          </cell>
          <cell r="I38">
            <v>4783</v>
          </cell>
          <cell r="J38">
            <v>0</v>
          </cell>
        </row>
        <row r="39">
          <cell r="A39" t="str">
            <v>NBG</v>
          </cell>
          <cell r="B39" t="str">
            <v>HIMEXICO</v>
          </cell>
          <cell r="C39" t="str">
            <v>27ZA</v>
          </cell>
          <cell r="D39" t="str">
            <v>CF33892</v>
          </cell>
          <cell r="E39">
            <v>2</v>
          </cell>
          <cell r="F39">
            <v>1</v>
          </cell>
          <cell r="G39">
            <v>2617</v>
          </cell>
          <cell r="I39">
            <v>364</v>
          </cell>
          <cell r="J39">
            <v>0</v>
          </cell>
        </row>
        <row r="40">
          <cell r="A40" t="str">
            <v>NCA</v>
          </cell>
          <cell r="B40" t="str">
            <v>INCARDIOLOGIA</v>
          </cell>
          <cell r="C40" t="str">
            <v>27ZA</v>
          </cell>
          <cell r="D40" t="str">
            <v>CF04808</v>
          </cell>
          <cell r="E40">
            <v>2</v>
          </cell>
          <cell r="F40">
            <v>1</v>
          </cell>
          <cell r="G40">
            <v>2617</v>
          </cell>
          <cell r="I40">
            <v>364</v>
          </cell>
          <cell r="J40">
            <v>0</v>
          </cell>
        </row>
        <row r="41">
          <cell r="A41" t="str">
            <v>M7F</v>
          </cell>
          <cell r="B41" t="str">
            <v>PSIQUIATRIA</v>
          </cell>
          <cell r="C41" t="str">
            <v>30E</v>
          </cell>
          <cell r="D41" t="str">
            <v>CF01120</v>
          </cell>
          <cell r="E41">
            <v>1</v>
          </cell>
          <cell r="F41">
            <v>3</v>
          </cell>
          <cell r="G41">
            <v>6808</v>
          </cell>
          <cell r="I41">
            <v>24257</v>
          </cell>
          <cell r="J41">
            <v>0</v>
          </cell>
        </row>
        <row r="42">
          <cell r="A42" t="str">
            <v>M7K</v>
          </cell>
          <cell r="B42" t="str">
            <v>CIJ</v>
          </cell>
          <cell r="C42" t="str">
            <v>30E</v>
          </cell>
          <cell r="D42" t="str">
            <v>CF01120</v>
          </cell>
          <cell r="E42">
            <v>1</v>
          </cell>
          <cell r="F42">
            <v>1</v>
          </cell>
          <cell r="G42">
            <v>6808</v>
          </cell>
          <cell r="I42">
            <v>24257</v>
          </cell>
          <cell r="J42">
            <v>0</v>
          </cell>
        </row>
        <row r="46">
          <cell r="A46" t="str">
            <v>M7F</v>
          </cell>
          <cell r="B46" t="str">
            <v>PSIQUIATRIA</v>
          </cell>
          <cell r="C46" t="str">
            <v>SN</v>
          </cell>
          <cell r="D46" t="str">
            <v>CF41004</v>
          </cell>
          <cell r="E46">
            <v>2</v>
          </cell>
          <cell r="F46">
            <v>1</v>
          </cell>
          <cell r="G46">
            <v>7477</v>
          </cell>
          <cell r="I46">
            <v>3192</v>
          </cell>
          <cell r="J46">
            <v>2518</v>
          </cell>
        </row>
        <row r="47">
          <cell r="A47" t="str">
            <v>M7F</v>
          </cell>
          <cell r="B47" t="str">
            <v>PSIQUIATRIA</v>
          </cell>
          <cell r="C47" t="str">
            <v>SN</v>
          </cell>
          <cell r="D47" t="str">
            <v>CF41042</v>
          </cell>
          <cell r="E47">
            <v>2</v>
          </cell>
          <cell r="F47">
            <v>1</v>
          </cell>
          <cell r="G47">
            <v>9623</v>
          </cell>
          <cell r="I47">
            <v>0</v>
          </cell>
          <cell r="J47">
            <v>0</v>
          </cell>
        </row>
        <row r="48">
          <cell r="A48" t="str">
            <v>M7F</v>
          </cell>
          <cell r="B48" t="str">
            <v>PSIQUIATRIA</v>
          </cell>
          <cell r="C48" t="str">
            <v>SN</v>
          </cell>
          <cell r="D48" t="str">
            <v>M01011</v>
          </cell>
          <cell r="E48">
            <v>2</v>
          </cell>
          <cell r="F48">
            <v>2</v>
          </cell>
          <cell r="G48">
            <v>6769</v>
          </cell>
          <cell r="I48">
            <v>1814</v>
          </cell>
          <cell r="J48">
            <v>3116</v>
          </cell>
        </row>
        <row r="49">
          <cell r="A49" t="str">
            <v>NBB</v>
          </cell>
          <cell r="B49" t="str">
            <v>HGMEXICO</v>
          </cell>
          <cell r="C49" t="str">
            <v>SN</v>
          </cell>
          <cell r="D49" t="str">
            <v>M01010</v>
          </cell>
          <cell r="E49">
            <v>2</v>
          </cell>
          <cell r="F49">
            <v>10</v>
          </cell>
          <cell r="G49">
            <v>5979</v>
          </cell>
          <cell r="I49">
            <v>1630</v>
          </cell>
          <cell r="J49">
            <v>2822</v>
          </cell>
        </row>
        <row r="50">
          <cell r="A50" t="str">
            <v>NBB</v>
          </cell>
          <cell r="B50" t="str">
            <v>HGMEXICO</v>
          </cell>
          <cell r="C50" t="str">
            <v>SN</v>
          </cell>
          <cell r="D50" t="str">
            <v>M01011</v>
          </cell>
          <cell r="E50">
            <v>2</v>
          </cell>
          <cell r="F50">
            <v>5</v>
          </cell>
          <cell r="G50">
            <v>6769</v>
          </cell>
          <cell r="I50">
            <v>1814</v>
          </cell>
          <cell r="J50">
            <v>3116</v>
          </cell>
        </row>
        <row r="51">
          <cell r="A51" t="str">
            <v>NBB</v>
          </cell>
          <cell r="B51" t="str">
            <v>HGMEXICO</v>
          </cell>
          <cell r="C51" t="str">
            <v>SN</v>
          </cell>
          <cell r="D51" t="str">
            <v>CF41012</v>
          </cell>
          <cell r="E51">
            <v>2</v>
          </cell>
          <cell r="F51">
            <v>40</v>
          </cell>
          <cell r="G51">
            <v>8374</v>
          </cell>
          <cell r="I51">
            <v>3251</v>
          </cell>
          <cell r="J51">
            <v>3251</v>
          </cell>
        </row>
        <row r="52">
          <cell r="A52" t="str">
            <v>NBD</v>
          </cell>
          <cell r="B52" t="str">
            <v>HGMEXICO</v>
          </cell>
          <cell r="C52" t="str">
            <v>SN</v>
          </cell>
          <cell r="D52" t="str">
            <v>M02089</v>
          </cell>
          <cell r="E52">
            <v>2</v>
          </cell>
          <cell r="F52">
            <v>1</v>
          </cell>
          <cell r="G52">
            <v>4971</v>
          </cell>
          <cell r="I52">
            <v>2365</v>
          </cell>
          <cell r="J52">
            <v>0</v>
          </cell>
        </row>
        <row r="53">
          <cell r="A53" t="str">
            <v>NBD</v>
          </cell>
          <cell r="B53" t="str">
            <v>HGMEXICO</v>
          </cell>
          <cell r="C53" t="str">
            <v>SN</v>
          </cell>
          <cell r="D53" t="str">
            <v>M02003</v>
          </cell>
          <cell r="E53">
            <v>2</v>
          </cell>
          <cell r="F53">
            <v>1</v>
          </cell>
          <cell r="G53">
            <v>2657</v>
          </cell>
          <cell r="I53">
            <v>996</v>
          </cell>
          <cell r="J53">
            <v>0</v>
          </cell>
        </row>
        <row r="54">
          <cell r="A54" t="str">
            <v>NBD</v>
          </cell>
          <cell r="B54" t="str">
            <v>HGMEXICO</v>
          </cell>
          <cell r="C54" t="str">
            <v>SN</v>
          </cell>
          <cell r="D54" t="str">
            <v>CF41045</v>
          </cell>
          <cell r="E54">
            <v>2</v>
          </cell>
          <cell r="F54">
            <v>2</v>
          </cell>
          <cell r="G54">
            <v>6277</v>
          </cell>
          <cell r="I54">
            <v>0</v>
          </cell>
          <cell r="J54">
            <v>0</v>
          </cell>
        </row>
        <row r="55">
          <cell r="A55" t="str">
            <v>NBD</v>
          </cell>
          <cell r="B55" t="str">
            <v>HGMEXICO</v>
          </cell>
          <cell r="C55" t="str">
            <v>SN</v>
          </cell>
          <cell r="D55" t="str">
            <v>CF41042</v>
          </cell>
          <cell r="E55">
            <v>2</v>
          </cell>
          <cell r="F55">
            <v>2</v>
          </cell>
          <cell r="G55">
            <v>9623</v>
          </cell>
          <cell r="I55">
            <v>0</v>
          </cell>
          <cell r="J55">
            <v>0</v>
          </cell>
        </row>
        <row r="56">
          <cell r="A56" t="str">
            <v>NBD</v>
          </cell>
          <cell r="B56" t="str">
            <v>HGMEXICO</v>
          </cell>
          <cell r="C56" t="str">
            <v>SN</v>
          </cell>
          <cell r="D56" t="str">
            <v>M02081</v>
          </cell>
          <cell r="E56">
            <v>2</v>
          </cell>
          <cell r="F56">
            <v>4</v>
          </cell>
          <cell r="G56">
            <v>3443</v>
          </cell>
          <cell r="I56">
            <v>1420</v>
          </cell>
          <cell r="J56">
            <v>576</v>
          </cell>
        </row>
        <row r="57">
          <cell r="A57" t="str">
            <v>NBD</v>
          </cell>
          <cell r="B57" t="str">
            <v>HGMEXICO</v>
          </cell>
          <cell r="C57" t="str">
            <v>SN</v>
          </cell>
          <cell r="D57" t="str">
            <v>M02087</v>
          </cell>
          <cell r="E57">
            <v>2</v>
          </cell>
          <cell r="F57">
            <v>4</v>
          </cell>
          <cell r="G57">
            <v>3968</v>
          </cell>
          <cell r="I57">
            <v>1599</v>
          </cell>
          <cell r="J57">
            <v>608</v>
          </cell>
        </row>
        <row r="58">
          <cell r="A58" t="str">
            <v>NBD</v>
          </cell>
          <cell r="B58" t="str">
            <v>HGMEXICO</v>
          </cell>
          <cell r="C58" t="str">
            <v>SN</v>
          </cell>
          <cell r="D58" t="str">
            <v>M01011</v>
          </cell>
          <cell r="E58">
            <v>2</v>
          </cell>
          <cell r="F58">
            <v>5</v>
          </cell>
          <cell r="G58">
            <v>6769</v>
          </cell>
          <cell r="I58">
            <v>1814</v>
          </cell>
          <cell r="J58">
            <v>3116</v>
          </cell>
        </row>
        <row r="59">
          <cell r="A59" t="str">
            <v>NBG</v>
          </cell>
          <cell r="B59" t="str">
            <v>HIMEXICO</v>
          </cell>
          <cell r="C59" t="str">
            <v>SN</v>
          </cell>
          <cell r="D59" t="str">
            <v>M02003</v>
          </cell>
          <cell r="E59">
            <v>2</v>
          </cell>
          <cell r="F59">
            <v>1</v>
          </cell>
          <cell r="G59">
            <v>2657</v>
          </cell>
          <cell r="I59">
            <v>996</v>
          </cell>
          <cell r="J59">
            <v>0</v>
          </cell>
        </row>
        <row r="60">
          <cell r="A60" t="str">
            <v>NBG</v>
          </cell>
          <cell r="B60" t="str">
            <v>HIMEXICO</v>
          </cell>
          <cell r="C60" t="str">
            <v>SN</v>
          </cell>
          <cell r="D60" t="str">
            <v>M02001</v>
          </cell>
          <cell r="E60">
            <v>2</v>
          </cell>
          <cell r="F60">
            <v>1</v>
          </cell>
          <cell r="G60">
            <v>4427</v>
          </cell>
          <cell r="I60">
            <v>2187</v>
          </cell>
          <cell r="J60">
            <v>0</v>
          </cell>
        </row>
        <row r="61">
          <cell r="A61" t="str">
            <v>NBG</v>
          </cell>
          <cell r="B61" t="str">
            <v>HIMEXICO</v>
          </cell>
          <cell r="C61" t="str">
            <v>SN</v>
          </cell>
          <cell r="D61" t="str">
            <v>M01004</v>
          </cell>
          <cell r="E61">
            <v>2</v>
          </cell>
          <cell r="F61">
            <v>2</v>
          </cell>
          <cell r="G61">
            <v>5668</v>
          </cell>
          <cell r="I61">
            <v>1549</v>
          </cell>
          <cell r="J61">
            <v>2686</v>
          </cell>
        </row>
        <row r="62">
          <cell r="A62" t="str">
            <v>NBG</v>
          </cell>
          <cell r="B62" t="str">
            <v>HIMEXICO</v>
          </cell>
          <cell r="C62" t="str">
            <v>SN</v>
          </cell>
          <cell r="D62" t="str">
            <v>M03007</v>
          </cell>
          <cell r="E62">
            <v>2</v>
          </cell>
          <cell r="F62">
            <v>1</v>
          </cell>
          <cell r="G62">
            <v>5088</v>
          </cell>
          <cell r="I62">
            <v>2376</v>
          </cell>
          <cell r="J62">
            <v>0</v>
          </cell>
        </row>
        <row r="63">
          <cell r="A63" t="str">
            <v>NBG</v>
          </cell>
          <cell r="B63" t="str">
            <v>HIMEXICO</v>
          </cell>
          <cell r="C63" t="str">
            <v>SN</v>
          </cell>
          <cell r="D63" t="str">
            <v>M02034</v>
          </cell>
          <cell r="E63">
            <v>2</v>
          </cell>
          <cell r="F63">
            <v>8</v>
          </cell>
          <cell r="G63">
            <v>3543</v>
          </cell>
          <cell r="I63">
            <v>1502</v>
          </cell>
          <cell r="J63">
            <v>577</v>
          </cell>
        </row>
        <row r="64">
          <cell r="A64" t="str">
            <v>NBV</v>
          </cell>
          <cell r="B64" t="str">
            <v>INCANCER</v>
          </cell>
          <cell r="C64" t="str">
            <v>SN</v>
          </cell>
          <cell r="D64" t="str">
            <v>M02001</v>
          </cell>
          <cell r="E64">
            <v>2</v>
          </cell>
          <cell r="F64">
            <v>1</v>
          </cell>
          <cell r="G64">
            <v>4427</v>
          </cell>
          <cell r="I64">
            <v>2187</v>
          </cell>
          <cell r="J64">
            <v>0</v>
          </cell>
        </row>
        <row r="65">
          <cell r="A65" t="str">
            <v>NBV</v>
          </cell>
          <cell r="B65" t="str">
            <v>INCANCER</v>
          </cell>
          <cell r="C65" t="str">
            <v>SN</v>
          </cell>
          <cell r="D65" t="str">
            <v>M01011</v>
          </cell>
          <cell r="E65">
            <v>2</v>
          </cell>
          <cell r="F65">
            <v>3</v>
          </cell>
          <cell r="G65">
            <v>6769</v>
          </cell>
          <cell r="I65">
            <v>1814</v>
          </cell>
          <cell r="J65">
            <v>3116</v>
          </cell>
        </row>
        <row r="66">
          <cell r="A66" t="str">
            <v>NBV</v>
          </cell>
          <cell r="B66" t="str">
            <v>INCANCER</v>
          </cell>
          <cell r="C66" t="str">
            <v>SN</v>
          </cell>
          <cell r="D66" t="str">
            <v>M01004</v>
          </cell>
          <cell r="E66">
            <v>2</v>
          </cell>
          <cell r="F66">
            <v>2</v>
          </cell>
          <cell r="G66">
            <v>5668</v>
          </cell>
          <cell r="I66">
            <v>1549</v>
          </cell>
          <cell r="J66">
            <v>2686</v>
          </cell>
        </row>
        <row r="67">
          <cell r="A67" t="str">
            <v>NBV</v>
          </cell>
          <cell r="B67" t="str">
            <v>INCANCER</v>
          </cell>
          <cell r="C67" t="str">
            <v>SN</v>
          </cell>
          <cell r="D67" t="str">
            <v>M02035</v>
          </cell>
          <cell r="E67">
            <v>2</v>
          </cell>
          <cell r="F67">
            <v>4</v>
          </cell>
          <cell r="G67">
            <v>3138</v>
          </cell>
          <cell r="I67">
            <v>1355</v>
          </cell>
          <cell r="J67">
            <v>533</v>
          </cell>
        </row>
        <row r="68">
          <cell r="A68" t="str">
            <v>NBV</v>
          </cell>
          <cell r="B68" t="str">
            <v>INCANCER</v>
          </cell>
          <cell r="C68" t="str">
            <v>SN</v>
          </cell>
          <cell r="D68" t="str">
            <v>M02034</v>
          </cell>
          <cell r="E68">
            <v>2</v>
          </cell>
          <cell r="F68">
            <v>4</v>
          </cell>
          <cell r="G68">
            <v>3543</v>
          </cell>
          <cell r="I68">
            <v>1502</v>
          </cell>
          <cell r="J68">
            <v>577</v>
          </cell>
        </row>
        <row r="69">
          <cell r="A69" t="str">
            <v>NCA</v>
          </cell>
          <cell r="B69" t="str">
            <v>INCARDIOLOGIA</v>
          </cell>
          <cell r="C69" t="str">
            <v>SN</v>
          </cell>
          <cell r="D69" t="str">
            <v>CF41041</v>
          </cell>
          <cell r="E69">
            <v>2</v>
          </cell>
          <cell r="F69">
            <v>1</v>
          </cell>
          <cell r="G69">
            <v>8130</v>
          </cell>
          <cell r="I69">
            <v>0</v>
          </cell>
          <cell r="J69">
            <v>0</v>
          </cell>
        </row>
        <row r="70">
          <cell r="A70" t="str">
            <v>NCA</v>
          </cell>
          <cell r="B70" t="str">
            <v>INCARDIOLOGIA</v>
          </cell>
          <cell r="C70" t="str">
            <v>SN</v>
          </cell>
          <cell r="D70" t="str">
            <v>CF41045</v>
          </cell>
          <cell r="E70">
            <v>2</v>
          </cell>
          <cell r="F70">
            <v>1</v>
          </cell>
          <cell r="G70">
            <v>6277</v>
          </cell>
          <cell r="I70">
            <v>0</v>
          </cell>
          <cell r="J70">
            <v>0</v>
          </cell>
        </row>
        <row r="71">
          <cell r="A71" t="str">
            <v>NCA</v>
          </cell>
          <cell r="B71" t="str">
            <v>INCARDIOLOGIA</v>
          </cell>
          <cell r="C71" t="str">
            <v>SN</v>
          </cell>
          <cell r="D71" t="str">
            <v>CF41044</v>
          </cell>
          <cell r="E71">
            <v>2</v>
          </cell>
          <cell r="F71">
            <v>2</v>
          </cell>
          <cell r="G71">
            <v>5597</v>
          </cell>
          <cell r="I71">
            <v>0</v>
          </cell>
          <cell r="J71">
            <v>0</v>
          </cell>
        </row>
        <row r="72">
          <cell r="A72" t="str">
            <v>NCA</v>
          </cell>
          <cell r="B72" t="str">
            <v>INCARDIOLOGIA</v>
          </cell>
          <cell r="C72" t="str">
            <v>SN</v>
          </cell>
          <cell r="D72" t="str">
            <v>M02006</v>
          </cell>
          <cell r="E72">
            <v>2</v>
          </cell>
          <cell r="F72">
            <v>1</v>
          </cell>
          <cell r="G72">
            <v>3146</v>
          </cell>
          <cell r="I72">
            <v>1085</v>
          </cell>
          <cell r="J72">
            <v>0</v>
          </cell>
        </row>
        <row r="73">
          <cell r="A73" t="str">
            <v>NCA</v>
          </cell>
          <cell r="B73" t="str">
            <v>INCARDIOLOGIA</v>
          </cell>
          <cell r="C73" t="str">
            <v>SN</v>
          </cell>
          <cell r="D73" t="str">
            <v>M02089</v>
          </cell>
          <cell r="E73">
            <v>2</v>
          </cell>
          <cell r="F73">
            <v>1</v>
          </cell>
          <cell r="G73">
            <v>4971</v>
          </cell>
          <cell r="I73">
            <v>2365</v>
          </cell>
          <cell r="J73">
            <v>0</v>
          </cell>
        </row>
        <row r="74">
          <cell r="A74" t="str">
            <v>NCA</v>
          </cell>
          <cell r="B74" t="str">
            <v>INCARDIOLOGIA</v>
          </cell>
          <cell r="C74" t="str">
            <v>SN</v>
          </cell>
          <cell r="D74" t="str">
            <v>M02075</v>
          </cell>
          <cell r="E74">
            <v>2</v>
          </cell>
          <cell r="F74">
            <v>1</v>
          </cell>
          <cell r="G74">
            <v>3146</v>
          </cell>
          <cell r="I74">
            <v>1085</v>
          </cell>
          <cell r="J74">
            <v>0</v>
          </cell>
        </row>
        <row r="75">
          <cell r="A75" t="str">
            <v>NCA</v>
          </cell>
          <cell r="B75" t="str">
            <v>INCARDIOLOGIA</v>
          </cell>
          <cell r="C75" t="str">
            <v>SN</v>
          </cell>
          <cell r="D75" t="str">
            <v>M02081</v>
          </cell>
          <cell r="E75">
            <v>2</v>
          </cell>
          <cell r="F75">
            <v>3</v>
          </cell>
          <cell r="G75">
            <v>3443</v>
          </cell>
          <cell r="I75">
            <v>1420</v>
          </cell>
          <cell r="J75">
            <v>576</v>
          </cell>
        </row>
        <row r="76">
          <cell r="A76" t="str">
            <v>NCA</v>
          </cell>
          <cell r="B76" t="str">
            <v>INCARDIOLOGIA</v>
          </cell>
          <cell r="C76" t="str">
            <v>SN</v>
          </cell>
          <cell r="D76" t="str">
            <v>M02087</v>
          </cell>
          <cell r="E76">
            <v>2</v>
          </cell>
          <cell r="F76">
            <v>4</v>
          </cell>
          <cell r="G76">
            <v>3968</v>
          </cell>
          <cell r="I76">
            <v>1599</v>
          </cell>
          <cell r="J76">
            <v>608</v>
          </cell>
        </row>
        <row r="77">
          <cell r="A77" t="str">
            <v>NCA</v>
          </cell>
          <cell r="B77" t="str">
            <v>INCARDIOLOGIA</v>
          </cell>
          <cell r="C77" t="str">
            <v>SN</v>
          </cell>
          <cell r="D77" t="str">
            <v>M03001</v>
          </cell>
          <cell r="E77">
            <v>2</v>
          </cell>
          <cell r="F77">
            <v>2</v>
          </cell>
          <cell r="G77">
            <v>5234</v>
          </cell>
          <cell r="I77">
            <v>1373</v>
          </cell>
          <cell r="J77">
            <v>0</v>
          </cell>
        </row>
        <row r="78">
          <cell r="A78" t="str">
            <v>NCA</v>
          </cell>
          <cell r="B78" t="str">
            <v>INCARDIOLOGIA</v>
          </cell>
          <cell r="C78" t="str">
            <v>SN</v>
          </cell>
          <cell r="D78" t="str">
            <v>M02048</v>
          </cell>
          <cell r="E78">
            <v>2</v>
          </cell>
          <cell r="F78">
            <v>5</v>
          </cell>
          <cell r="G78">
            <v>2264</v>
          </cell>
          <cell r="I78">
            <v>865</v>
          </cell>
          <cell r="J78">
            <v>0</v>
          </cell>
        </row>
        <row r="79">
          <cell r="A79" t="str">
            <v>NCA</v>
          </cell>
          <cell r="B79" t="str">
            <v>INCARDIOLOGIA</v>
          </cell>
          <cell r="C79" t="str">
            <v>SN</v>
          </cell>
          <cell r="D79" t="str">
            <v>M02046</v>
          </cell>
          <cell r="E79">
            <v>2</v>
          </cell>
          <cell r="F79">
            <v>1</v>
          </cell>
          <cell r="G79">
            <v>2559</v>
          </cell>
          <cell r="I79">
            <v>976</v>
          </cell>
          <cell r="J79">
            <v>0</v>
          </cell>
        </row>
        <row r="80">
          <cell r="A80" t="str">
            <v>NCA</v>
          </cell>
          <cell r="B80" t="str">
            <v>INCARDIOLOGIA</v>
          </cell>
          <cell r="C80" t="str">
            <v>SN</v>
          </cell>
          <cell r="D80" t="str">
            <v>M02045</v>
          </cell>
          <cell r="E80">
            <v>2</v>
          </cell>
          <cell r="F80">
            <v>1</v>
          </cell>
          <cell r="G80">
            <v>2965</v>
          </cell>
          <cell r="I80">
            <v>1078</v>
          </cell>
          <cell r="J80">
            <v>0</v>
          </cell>
        </row>
        <row r="81">
          <cell r="A81" t="str">
            <v>NCA</v>
          </cell>
          <cell r="B81" t="str">
            <v>INCARDIOLOGIA</v>
          </cell>
          <cell r="C81" t="str">
            <v>SN</v>
          </cell>
          <cell r="D81" t="str">
            <v>M02085</v>
          </cell>
          <cell r="E81">
            <v>2</v>
          </cell>
          <cell r="F81">
            <v>2</v>
          </cell>
          <cell r="G81">
            <v>3197</v>
          </cell>
          <cell r="I81">
            <v>1459</v>
          </cell>
          <cell r="J81">
            <v>0</v>
          </cell>
        </row>
        <row r="82">
          <cell r="A82" t="str">
            <v>NCA</v>
          </cell>
          <cell r="B82" t="str">
            <v>INCARDIOLOGIA</v>
          </cell>
          <cell r="C82" t="str">
            <v>SN</v>
          </cell>
          <cell r="D82" t="str">
            <v>M02006</v>
          </cell>
          <cell r="E82">
            <v>2</v>
          </cell>
          <cell r="F82">
            <v>2</v>
          </cell>
          <cell r="G82">
            <v>3146</v>
          </cell>
          <cell r="I82">
            <v>1085</v>
          </cell>
          <cell r="J82">
            <v>0</v>
          </cell>
        </row>
        <row r="83">
          <cell r="A83" t="str">
            <v>NCA</v>
          </cell>
          <cell r="B83" t="str">
            <v>INCARDIOLOGIA</v>
          </cell>
          <cell r="C83" t="str">
            <v>SN</v>
          </cell>
          <cell r="D83" t="str">
            <v>M02081</v>
          </cell>
          <cell r="E83">
            <v>2</v>
          </cell>
          <cell r="F83">
            <v>12</v>
          </cell>
          <cell r="G83">
            <v>3443</v>
          </cell>
          <cell r="I83">
            <v>1420</v>
          </cell>
          <cell r="J83">
            <v>576</v>
          </cell>
        </row>
        <row r="84">
          <cell r="A84" t="str">
            <v>NCA</v>
          </cell>
          <cell r="B84" t="str">
            <v>INCARDIOLOGIA</v>
          </cell>
          <cell r="C84" t="str">
            <v>SN</v>
          </cell>
          <cell r="D84" t="str">
            <v>M02032</v>
          </cell>
          <cell r="E84">
            <v>2</v>
          </cell>
          <cell r="F84">
            <v>32</v>
          </cell>
          <cell r="G84">
            <v>4661</v>
          </cell>
          <cell r="I84">
            <v>1845</v>
          </cell>
          <cell r="J84">
            <v>809</v>
          </cell>
        </row>
        <row r="85">
          <cell r="A85" t="str">
            <v>NCA</v>
          </cell>
          <cell r="B85" t="str">
            <v>INCARDIOLOGIA</v>
          </cell>
          <cell r="C85" t="str">
            <v>SN</v>
          </cell>
          <cell r="D85" t="str">
            <v>M02082</v>
          </cell>
          <cell r="E85">
            <v>2</v>
          </cell>
          <cell r="F85">
            <v>4</v>
          </cell>
          <cell r="G85">
            <v>2889</v>
          </cell>
          <cell r="I85">
            <v>1246</v>
          </cell>
          <cell r="J85">
            <v>502</v>
          </cell>
        </row>
        <row r="86">
          <cell r="A86" t="str">
            <v>NCA</v>
          </cell>
          <cell r="B86" t="str">
            <v>INCARDIOLOGIA</v>
          </cell>
          <cell r="C86" t="str">
            <v>SN</v>
          </cell>
          <cell r="D86" t="str">
            <v>M02089</v>
          </cell>
          <cell r="E86">
            <v>2</v>
          </cell>
          <cell r="F86">
            <v>2</v>
          </cell>
          <cell r="G86">
            <v>4971</v>
          </cell>
          <cell r="I86">
            <v>2365</v>
          </cell>
          <cell r="J86">
            <v>0</v>
          </cell>
        </row>
        <row r="87">
          <cell r="A87" t="str">
            <v>NCA</v>
          </cell>
          <cell r="B87" t="str">
            <v>INCARDIOLOGIA</v>
          </cell>
          <cell r="C87" t="str">
            <v>SN</v>
          </cell>
          <cell r="D87" t="str">
            <v>M02096</v>
          </cell>
          <cell r="E87">
            <v>2</v>
          </cell>
          <cell r="F87">
            <v>3</v>
          </cell>
          <cell r="G87">
            <v>2715</v>
          </cell>
          <cell r="I87">
            <v>1035</v>
          </cell>
          <cell r="J87">
            <v>0</v>
          </cell>
        </row>
        <row r="88">
          <cell r="A88" t="str">
            <v>NCA</v>
          </cell>
          <cell r="B88" t="str">
            <v>INCARDIOLOGIA</v>
          </cell>
          <cell r="C88" t="str">
            <v>SN</v>
          </cell>
          <cell r="D88" t="str">
            <v>M01009</v>
          </cell>
          <cell r="E88">
            <v>2</v>
          </cell>
          <cell r="F88">
            <v>2</v>
          </cell>
          <cell r="G88">
            <v>5668</v>
          </cell>
          <cell r="I88">
            <v>1549</v>
          </cell>
          <cell r="J88">
            <v>2686</v>
          </cell>
        </row>
        <row r="89">
          <cell r="A89" t="str">
            <v>NCA</v>
          </cell>
          <cell r="B89" t="str">
            <v>INCARDIOLOGIA</v>
          </cell>
          <cell r="C89" t="str">
            <v>SN</v>
          </cell>
          <cell r="D89" t="str">
            <v>CF41041</v>
          </cell>
          <cell r="E89">
            <v>2</v>
          </cell>
          <cell r="F89">
            <v>1</v>
          </cell>
          <cell r="G89">
            <v>8130</v>
          </cell>
          <cell r="I89">
            <v>0</v>
          </cell>
          <cell r="J89">
            <v>0</v>
          </cell>
        </row>
        <row r="90">
          <cell r="A90" t="str">
            <v>NCD</v>
          </cell>
          <cell r="B90" t="str">
            <v>INER</v>
          </cell>
          <cell r="C90" t="str">
            <v>SN</v>
          </cell>
          <cell r="D90" t="str">
            <v>M02006</v>
          </cell>
          <cell r="E90">
            <v>2</v>
          </cell>
          <cell r="F90">
            <v>1</v>
          </cell>
          <cell r="G90">
            <v>3146</v>
          </cell>
          <cell r="I90">
            <v>1085</v>
          </cell>
          <cell r="J90">
            <v>0</v>
          </cell>
        </row>
        <row r="91">
          <cell r="A91" t="str">
            <v>NCD</v>
          </cell>
          <cell r="B91" t="str">
            <v>INER</v>
          </cell>
          <cell r="C91" t="str">
            <v>SN</v>
          </cell>
          <cell r="D91" t="str">
            <v>M02095</v>
          </cell>
          <cell r="E91">
            <v>2</v>
          </cell>
          <cell r="F91">
            <v>1</v>
          </cell>
          <cell r="G91">
            <v>2911</v>
          </cell>
          <cell r="I91">
            <v>1070</v>
          </cell>
          <cell r="J91">
            <v>0</v>
          </cell>
        </row>
        <row r="92">
          <cell r="A92" t="str">
            <v>NCD</v>
          </cell>
          <cell r="B92" t="str">
            <v>INER</v>
          </cell>
          <cell r="C92" t="str">
            <v>SN</v>
          </cell>
          <cell r="D92" t="str">
            <v>M02001</v>
          </cell>
          <cell r="E92">
            <v>2</v>
          </cell>
          <cell r="F92">
            <v>1</v>
          </cell>
          <cell r="G92">
            <v>4427</v>
          </cell>
          <cell r="I92">
            <v>2187</v>
          </cell>
          <cell r="J92">
            <v>0</v>
          </cell>
        </row>
        <row r="93">
          <cell r="A93" t="str">
            <v>NCD</v>
          </cell>
          <cell r="B93" t="str">
            <v>INER</v>
          </cell>
          <cell r="C93" t="str">
            <v>SN</v>
          </cell>
          <cell r="D93" t="str">
            <v>M02015</v>
          </cell>
          <cell r="E93">
            <v>2</v>
          </cell>
          <cell r="F93">
            <v>1</v>
          </cell>
          <cell r="G93">
            <v>4427</v>
          </cell>
          <cell r="I93">
            <v>2187</v>
          </cell>
          <cell r="J93">
            <v>0</v>
          </cell>
        </row>
        <row r="94">
          <cell r="A94" t="str">
            <v>NCD</v>
          </cell>
          <cell r="B94" t="str">
            <v>INER</v>
          </cell>
          <cell r="C94" t="str">
            <v>SN</v>
          </cell>
          <cell r="D94" t="str">
            <v>M01010</v>
          </cell>
          <cell r="E94">
            <v>2</v>
          </cell>
          <cell r="F94">
            <v>2</v>
          </cell>
          <cell r="G94">
            <v>5979</v>
          </cell>
          <cell r="I94">
            <v>1630</v>
          </cell>
          <cell r="J94">
            <v>2822</v>
          </cell>
        </row>
        <row r="95">
          <cell r="A95" t="str">
            <v>NCD</v>
          </cell>
          <cell r="B95" t="str">
            <v>INER</v>
          </cell>
          <cell r="C95" t="str">
            <v>SN</v>
          </cell>
          <cell r="D95" t="str">
            <v>M01004</v>
          </cell>
          <cell r="E95">
            <v>2</v>
          </cell>
          <cell r="F95">
            <v>2</v>
          </cell>
          <cell r="G95">
            <v>5668</v>
          </cell>
          <cell r="I95">
            <v>1549</v>
          </cell>
          <cell r="J95">
            <v>2686</v>
          </cell>
        </row>
        <row r="96">
          <cell r="A96" t="str">
            <v>NCD</v>
          </cell>
          <cell r="B96" t="str">
            <v>INER</v>
          </cell>
          <cell r="C96" t="str">
            <v>SN</v>
          </cell>
          <cell r="D96" t="str">
            <v>M02075</v>
          </cell>
          <cell r="E96">
            <v>2</v>
          </cell>
          <cell r="F96">
            <v>2</v>
          </cell>
          <cell r="G96">
            <v>3146</v>
          </cell>
          <cell r="I96">
            <v>1085</v>
          </cell>
          <cell r="J96">
            <v>0</v>
          </cell>
        </row>
        <row r="97">
          <cell r="A97" t="str">
            <v>NCD</v>
          </cell>
          <cell r="B97" t="str">
            <v>INER</v>
          </cell>
          <cell r="C97" t="str">
            <v>SN</v>
          </cell>
          <cell r="D97" t="str">
            <v>M02031</v>
          </cell>
          <cell r="E97">
            <v>2</v>
          </cell>
          <cell r="F97">
            <v>1</v>
          </cell>
          <cell r="G97">
            <v>4948</v>
          </cell>
          <cell r="I97">
            <v>1893</v>
          </cell>
          <cell r="J97">
            <v>881</v>
          </cell>
        </row>
        <row r="98">
          <cell r="A98" t="str">
            <v>NCD</v>
          </cell>
          <cell r="B98" t="str">
            <v>INER</v>
          </cell>
          <cell r="C98" t="str">
            <v>SN</v>
          </cell>
          <cell r="D98" t="str">
            <v>M02035</v>
          </cell>
          <cell r="E98">
            <v>2</v>
          </cell>
          <cell r="F98">
            <v>2</v>
          </cell>
          <cell r="G98">
            <v>3138</v>
          </cell>
          <cell r="I98">
            <v>1355</v>
          </cell>
          <cell r="J98">
            <v>533</v>
          </cell>
        </row>
        <row r="99">
          <cell r="A99" t="str">
            <v>NCD</v>
          </cell>
          <cell r="B99" t="str">
            <v>INER</v>
          </cell>
          <cell r="C99" t="str">
            <v>SN</v>
          </cell>
          <cell r="D99" t="str">
            <v>M02087</v>
          </cell>
          <cell r="E99">
            <v>2</v>
          </cell>
          <cell r="F99">
            <v>2</v>
          </cell>
          <cell r="G99">
            <v>3968</v>
          </cell>
          <cell r="I99">
            <v>1599</v>
          </cell>
          <cell r="J99">
            <v>608</v>
          </cell>
        </row>
        <row r="100">
          <cell r="A100" t="str">
            <v>NCD</v>
          </cell>
          <cell r="B100" t="str">
            <v>INER</v>
          </cell>
          <cell r="C100" t="str">
            <v>SN</v>
          </cell>
          <cell r="D100" t="str">
            <v>M02034</v>
          </cell>
          <cell r="E100">
            <v>2</v>
          </cell>
          <cell r="F100">
            <v>2</v>
          </cell>
          <cell r="G100">
            <v>3543</v>
          </cell>
          <cell r="I100">
            <v>1502</v>
          </cell>
          <cell r="J100">
            <v>577</v>
          </cell>
        </row>
        <row r="101">
          <cell r="A101" t="str">
            <v>NCG</v>
          </cell>
          <cell r="B101" t="str">
            <v>INNUTRICION</v>
          </cell>
          <cell r="C101" t="str">
            <v>SN</v>
          </cell>
          <cell r="D101" t="str">
            <v>CF41045</v>
          </cell>
          <cell r="E101">
            <v>2</v>
          </cell>
          <cell r="F101">
            <v>2</v>
          </cell>
          <cell r="G101">
            <v>6277</v>
          </cell>
          <cell r="I101">
            <v>0</v>
          </cell>
          <cell r="J101">
            <v>0</v>
          </cell>
        </row>
        <row r="102">
          <cell r="A102" t="str">
            <v>NCG</v>
          </cell>
          <cell r="B102" t="str">
            <v>INNUTRICION</v>
          </cell>
          <cell r="C102" t="str">
            <v>SN</v>
          </cell>
          <cell r="D102" t="str">
            <v>CF41044</v>
          </cell>
          <cell r="E102">
            <v>2</v>
          </cell>
          <cell r="F102">
            <v>3</v>
          </cell>
          <cell r="G102">
            <v>5597</v>
          </cell>
          <cell r="I102">
            <v>0</v>
          </cell>
          <cell r="J102">
            <v>0</v>
          </cell>
        </row>
        <row r="103">
          <cell r="A103" t="str">
            <v>NCG</v>
          </cell>
          <cell r="B103" t="str">
            <v>INNUTRICION</v>
          </cell>
          <cell r="C103" t="str">
            <v>SN</v>
          </cell>
          <cell r="D103" t="str">
            <v>M02006</v>
          </cell>
          <cell r="E103">
            <v>2</v>
          </cell>
          <cell r="F103">
            <v>2</v>
          </cell>
          <cell r="G103">
            <v>3146</v>
          </cell>
          <cell r="I103">
            <v>1085</v>
          </cell>
          <cell r="J103">
            <v>0</v>
          </cell>
        </row>
        <row r="104">
          <cell r="A104" t="str">
            <v>NCG</v>
          </cell>
          <cell r="B104" t="str">
            <v>INNUTRICION</v>
          </cell>
          <cell r="C104" t="str">
            <v>SN</v>
          </cell>
          <cell r="D104" t="str">
            <v>M01011</v>
          </cell>
          <cell r="E104">
            <v>2</v>
          </cell>
          <cell r="F104">
            <v>2</v>
          </cell>
          <cell r="G104">
            <v>6769</v>
          </cell>
          <cell r="I104">
            <v>1814</v>
          </cell>
          <cell r="J104">
            <v>3116</v>
          </cell>
        </row>
        <row r="105">
          <cell r="A105" t="str">
            <v>NCG</v>
          </cell>
          <cell r="B105" t="str">
            <v>INNUTRICION</v>
          </cell>
          <cell r="C105" t="str">
            <v>SN</v>
          </cell>
          <cell r="D105" t="str">
            <v>M01010</v>
          </cell>
          <cell r="E105">
            <v>2</v>
          </cell>
          <cell r="F105">
            <v>2</v>
          </cell>
          <cell r="G105">
            <v>5979</v>
          </cell>
          <cell r="I105">
            <v>1630</v>
          </cell>
          <cell r="J105">
            <v>2822</v>
          </cell>
        </row>
        <row r="106">
          <cell r="A106" t="str">
            <v>NCG</v>
          </cell>
          <cell r="B106" t="str">
            <v>INNUTRICION</v>
          </cell>
          <cell r="C106" t="str">
            <v>SN</v>
          </cell>
          <cell r="D106" t="str">
            <v>M02087</v>
          </cell>
          <cell r="E106">
            <v>2</v>
          </cell>
          <cell r="F106">
            <v>2</v>
          </cell>
          <cell r="G106">
            <v>3968</v>
          </cell>
          <cell r="I106">
            <v>1599</v>
          </cell>
          <cell r="J106">
            <v>608</v>
          </cell>
        </row>
        <row r="107">
          <cell r="A107" t="str">
            <v>NCG</v>
          </cell>
          <cell r="B107" t="str">
            <v>INNUTRICION</v>
          </cell>
          <cell r="C107" t="str">
            <v>SN</v>
          </cell>
          <cell r="D107" t="str">
            <v>M02034</v>
          </cell>
          <cell r="E107">
            <v>2</v>
          </cell>
          <cell r="F107">
            <v>2</v>
          </cell>
          <cell r="G107">
            <v>3543</v>
          </cell>
          <cell r="I107">
            <v>1502</v>
          </cell>
          <cell r="J107">
            <v>577</v>
          </cell>
        </row>
        <row r="108">
          <cell r="A108" t="str">
            <v>NCK</v>
          </cell>
          <cell r="B108" t="str">
            <v>INNEURO</v>
          </cell>
          <cell r="C108" t="str">
            <v>SN</v>
          </cell>
          <cell r="D108" t="str">
            <v>M02006</v>
          </cell>
          <cell r="E108">
            <v>2</v>
          </cell>
          <cell r="F108">
            <v>1</v>
          </cell>
          <cell r="G108">
            <v>3146</v>
          </cell>
          <cell r="I108">
            <v>1085</v>
          </cell>
          <cell r="J108">
            <v>0</v>
          </cell>
        </row>
        <row r="109">
          <cell r="A109" t="str">
            <v>NCK</v>
          </cell>
          <cell r="B109" t="str">
            <v>INNEURO</v>
          </cell>
          <cell r="C109" t="str">
            <v>SN</v>
          </cell>
          <cell r="D109" t="str">
            <v>M02089</v>
          </cell>
          <cell r="E109">
            <v>2</v>
          </cell>
          <cell r="F109">
            <v>1</v>
          </cell>
          <cell r="G109">
            <v>4971</v>
          </cell>
          <cell r="I109">
            <v>2365</v>
          </cell>
          <cell r="J109">
            <v>0</v>
          </cell>
        </row>
        <row r="110">
          <cell r="A110" t="str">
            <v>NCK</v>
          </cell>
          <cell r="B110" t="str">
            <v>INNEURO</v>
          </cell>
          <cell r="C110" t="str">
            <v>SN</v>
          </cell>
          <cell r="D110" t="str">
            <v>M02015</v>
          </cell>
          <cell r="E110">
            <v>2</v>
          </cell>
          <cell r="F110">
            <v>1</v>
          </cell>
          <cell r="G110">
            <v>4427</v>
          </cell>
          <cell r="I110">
            <v>2187</v>
          </cell>
          <cell r="J110">
            <v>0</v>
          </cell>
        </row>
        <row r="111">
          <cell r="A111" t="str">
            <v>NCK</v>
          </cell>
          <cell r="B111" t="str">
            <v>INNEURO</v>
          </cell>
          <cell r="C111" t="str">
            <v>SN</v>
          </cell>
          <cell r="D111" t="str">
            <v>M01011</v>
          </cell>
          <cell r="E111">
            <v>2</v>
          </cell>
          <cell r="F111">
            <v>4</v>
          </cell>
          <cell r="G111">
            <v>6769</v>
          </cell>
          <cell r="I111">
            <v>1814</v>
          </cell>
          <cell r="J111">
            <v>3116</v>
          </cell>
        </row>
        <row r="112">
          <cell r="A112" t="str">
            <v>NCK</v>
          </cell>
          <cell r="B112" t="str">
            <v>INNEURO</v>
          </cell>
          <cell r="C112" t="str">
            <v>SN</v>
          </cell>
          <cell r="D112" t="str">
            <v>M02075</v>
          </cell>
          <cell r="E112">
            <v>2</v>
          </cell>
          <cell r="F112">
            <v>1</v>
          </cell>
          <cell r="G112">
            <v>3146</v>
          </cell>
          <cell r="I112">
            <v>1085</v>
          </cell>
          <cell r="J112">
            <v>0</v>
          </cell>
        </row>
        <row r="113">
          <cell r="A113" t="str">
            <v>NCK</v>
          </cell>
          <cell r="B113" t="str">
            <v>INNEURO</v>
          </cell>
          <cell r="C113" t="str">
            <v>SN</v>
          </cell>
          <cell r="D113" t="str">
            <v>CF41046</v>
          </cell>
          <cell r="E113">
            <v>2</v>
          </cell>
          <cell r="F113">
            <v>4</v>
          </cell>
          <cell r="G113">
            <v>7033</v>
          </cell>
          <cell r="I113">
            <v>0</v>
          </cell>
          <cell r="J113">
            <v>0</v>
          </cell>
        </row>
        <row r="114">
          <cell r="A114" t="str">
            <v>NCK</v>
          </cell>
          <cell r="B114" t="str">
            <v>INNEURO</v>
          </cell>
          <cell r="C114" t="str">
            <v>SN</v>
          </cell>
          <cell r="D114" t="str">
            <v>M02034</v>
          </cell>
          <cell r="E114">
            <v>2</v>
          </cell>
          <cell r="F114">
            <v>4</v>
          </cell>
          <cell r="G114">
            <v>3543</v>
          </cell>
          <cell r="I114">
            <v>1502</v>
          </cell>
          <cell r="J114">
            <v>577</v>
          </cell>
        </row>
        <row r="115">
          <cell r="A115" t="str">
            <v>NCZ</v>
          </cell>
          <cell r="B115" t="str">
            <v>INPEDIATRIA</v>
          </cell>
          <cell r="C115" t="str">
            <v>SN</v>
          </cell>
          <cell r="D115" t="str">
            <v>M02075</v>
          </cell>
          <cell r="E115">
            <v>2</v>
          </cell>
          <cell r="F115">
            <v>2</v>
          </cell>
          <cell r="G115">
            <v>3146</v>
          </cell>
          <cell r="I115">
            <v>1085</v>
          </cell>
          <cell r="J115">
            <v>0</v>
          </cell>
        </row>
        <row r="116">
          <cell r="A116" t="str">
            <v>NDE</v>
          </cell>
          <cell r="B116" t="str">
            <v>INPERINATOLOGIA</v>
          </cell>
          <cell r="C116" t="str">
            <v>SN</v>
          </cell>
          <cell r="D116" t="str">
            <v>CF41024</v>
          </cell>
          <cell r="E116">
            <v>2</v>
          </cell>
          <cell r="F116">
            <v>1</v>
          </cell>
          <cell r="G116">
            <v>5681</v>
          </cell>
          <cell r="I116">
            <v>1398</v>
          </cell>
          <cell r="J116">
            <v>1684</v>
          </cell>
        </row>
        <row r="117">
          <cell r="A117" t="str">
            <v>NDE</v>
          </cell>
          <cell r="B117" t="str">
            <v>INPERINATOLOGIA</v>
          </cell>
          <cell r="C117" t="str">
            <v>SN</v>
          </cell>
          <cell r="D117" t="str">
            <v>CF41042</v>
          </cell>
          <cell r="E117">
            <v>2</v>
          </cell>
          <cell r="F117">
            <v>1</v>
          </cell>
          <cell r="G117">
            <v>9623</v>
          </cell>
          <cell r="I117">
            <v>0</v>
          </cell>
          <cell r="J117">
            <v>0</v>
          </cell>
        </row>
        <row r="118">
          <cell r="A118" t="str">
            <v>NDE</v>
          </cell>
          <cell r="B118" t="str">
            <v>INPERINATOLOGIA</v>
          </cell>
          <cell r="C118" t="str">
            <v>SN</v>
          </cell>
          <cell r="D118" t="str">
            <v>CF41041</v>
          </cell>
          <cell r="E118">
            <v>2</v>
          </cell>
          <cell r="F118">
            <v>1</v>
          </cell>
          <cell r="G118">
            <v>8130</v>
          </cell>
          <cell r="I118">
            <v>0</v>
          </cell>
          <cell r="J118">
            <v>0</v>
          </cell>
        </row>
        <row r="119">
          <cell r="A119" t="str">
            <v>NDE</v>
          </cell>
          <cell r="B119" t="str">
            <v>INPERINATOLOGIA</v>
          </cell>
          <cell r="C119" t="str">
            <v>SN</v>
          </cell>
          <cell r="D119" t="str">
            <v>M02095</v>
          </cell>
          <cell r="E119">
            <v>2</v>
          </cell>
          <cell r="F119">
            <v>1</v>
          </cell>
          <cell r="G119">
            <v>2911</v>
          </cell>
          <cell r="I119">
            <v>1070</v>
          </cell>
          <cell r="J119">
            <v>0</v>
          </cell>
        </row>
        <row r="120">
          <cell r="A120" t="str">
            <v>NDE</v>
          </cell>
          <cell r="B120" t="str">
            <v>INPERINATOLOGIA</v>
          </cell>
          <cell r="C120" t="str">
            <v>SN</v>
          </cell>
          <cell r="D120" t="str">
            <v>M02089</v>
          </cell>
          <cell r="E120">
            <v>2</v>
          </cell>
          <cell r="F120">
            <v>2</v>
          </cell>
          <cell r="G120">
            <v>4971</v>
          </cell>
          <cell r="I120">
            <v>2365</v>
          </cell>
          <cell r="J120">
            <v>0</v>
          </cell>
        </row>
        <row r="121">
          <cell r="A121" t="str">
            <v>NDE</v>
          </cell>
          <cell r="B121" t="str">
            <v>INPERINATOLOGIA</v>
          </cell>
          <cell r="C121" t="str">
            <v>SN</v>
          </cell>
          <cell r="D121" t="str">
            <v>M02062</v>
          </cell>
          <cell r="E121">
            <v>2</v>
          </cell>
          <cell r="F121">
            <v>1</v>
          </cell>
          <cell r="G121">
            <v>5088</v>
          </cell>
          <cell r="I121">
            <v>2376</v>
          </cell>
          <cell r="J121">
            <v>0</v>
          </cell>
        </row>
        <row r="122">
          <cell r="A122" t="str">
            <v>NDE</v>
          </cell>
          <cell r="B122" t="str">
            <v>INPERINATOLOGIA</v>
          </cell>
          <cell r="C122" t="str">
            <v>SN</v>
          </cell>
          <cell r="D122" t="str">
            <v>M02015</v>
          </cell>
          <cell r="E122">
            <v>2</v>
          </cell>
          <cell r="F122">
            <v>1</v>
          </cell>
          <cell r="G122">
            <v>4427</v>
          </cell>
          <cell r="I122">
            <v>2187</v>
          </cell>
          <cell r="J122">
            <v>0</v>
          </cell>
        </row>
        <row r="123">
          <cell r="A123" t="str">
            <v>NDE</v>
          </cell>
          <cell r="B123" t="str">
            <v>INPERINATOLOGIA</v>
          </cell>
          <cell r="C123" t="str">
            <v>SN</v>
          </cell>
          <cell r="D123" t="str">
            <v>M01011</v>
          </cell>
          <cell r="E123">
            <v>2</v>
          </cell>
          <cell r="F123">
            <v>2</v>
          </cell>
          <cell r="G123">
            <v>6769</v>
          </cell>
          <cell r="I123">
            <v>1814</v>
          </cell>
          <cell r="J123">
            <v>3116</v>
          </cell>
        </row>
        <row r="124">
          <cell r="A124" t="str">
            <v>NDE</v>
          </cell>
          <cell r="B124" t="str">
            <v>INPERINATOLOGIA</v>
          </cell>
          <cell r="C124" t="str">
            <v>SN</v>
          </cell>
          <cell r="D124" t="str">
            <v>M02082</v>
          </cell>
          <cell r="E124">
            <v>2</v>
          </cell>
          <cell r="F124">
            <v>3</v>
          </cell>
          <cell r="G124">
            <v>2889</v>
          </cell>
          <cell r="I124">
            <v>1246</v>
          </cell>
          <cell r="J124">
            <v>502</v>
          </cell>
        </row>
        <row r="125">
          <cell r="A125" t="str">
            <v>NDY</v>
          </cell>
          <cell r="B125" t="str">
            <v>INSALPUBLICA</v>
          </cell>
          <cell r="C125" t="str">
            <v>SN</v>
          </cell>
          <cell r="D125" t="str">
            <v>CF41042</v>
          </cell>
          <cell r="E125">
            <v>2</v>
          </cell>
          <cell r="F125">
            <v>2</v>
          </cell>
          <cell r="G125">
            <v>9623</v>
          </cell>
          <cell r="I125">
            <v>0</v>
          </cell>
          <cell r="J125">
            <v>0</v>
          </cell>
        </row>
        <row r="126">
          <cell r="A126" t="str">
            <v>NDY</v>
          </cell>
          <cell r="B126" t="str">
            <v>INSALPUBLICA</v>
          </cell>
          <cell r="C126" t="str">
            <v>SN</v>
          </cell>
          <cell r="D126" t="str">
            <v>CF41041</v>
          </cell>
          <cell r="E126">
            <v>2</v>
          </cell>
          <cell r="F126">
            <v>1</v>
          </cell>
          <cell r="G126">
            <v>8130</v>
          </cell>
          <cell r="I126">
            <v>0</v>
          </cell>
          <cell r="J126">
            <v>0</v>
          </cell>
        </row>
        <row r="127">
          <cell r="A127" t="str">
            <v>NDY</v>
          </cell>
          <cell r="B127" t="str">
            <v>INSALPUBLICA</v>
          </cell>
          <cell r="C127" t="str">
            <v>SN</v>
          </cell>
          <cell r="D127" t="str">
            <v>CF41045</v>
          </cell>
          <cell r="E127">
            <v>2</v>
          </cell>
          <cell r="F127">
            <v>2</v>
          </cell>
          <cell r="G127">
            <v>6277</v>
          </cell>
          <cell r="I127">
            <v>0</v>
          </cell>
          <cell r="J127">
            <v>0</v>
          </cell>
        </row>
        <row r="128">
          <cell r="A128" t="str">
            <v>NDY</v>
          </cell>
          <cell r="B128" t="str">
            <v>INSALPUBLICA</v>
          </cell>
          <cell r="C128" t="str">
            <v>SN</v>
          </cell>
          <cell r="D128" t="str">
            <v>CF41044</v>
          </cell>
          <cell r="E128">
            <v>2</v>
          </cell>
          <cell r="F128">
            <v>2</v>
          </cell>
          <cell r="G128">
            <v>5597</v>
          </cell>
          <cell r="I128">
            <v>0</v>
          </cell>
          <cell r="J128">
            <v>0</v>
          </cell>
        </row>
        <row r="129">
          <cell r="A129" t="str">
            <v>NDY</v>
          </cell>
          <cell r="B129" t="str">
            <v>INSALPUBLICA</v>
          </cell>
          <cell r="C129" t="str">
            <v>SN</v>
          </cell>
          <cell r="D129" t="str">
            <v>M01004</v>
          </cell>
          <cell r="E129">
            <v>2</v>
          </cell>
          <cell r="F129">
            <v>3</v>
          </cell>
          <cell r="G129">
            <v>5668</v>
          </cell>
          <cell r="I129">
            <v>1549</v>
          </cell>
          <cell r="J129">
            <v>2686</v>
          </cell>
        </row>
        <row r="130">
          <cell r="A130" t="str">
            <v>NDY</v>
          </cell>
          <cell r="B130" t="str">
            <v>INSALPUBLICA</v>
          </cell>
          <cell r="C130" t="str">
            <v>SN</v>
          </cell>
          <cell r="D130" t="str">
            <v>M02035</v>
          </cell>
          <cell r="E130">
            <v>2</v>
          </cell>
          <cell r="F130">
            <v>2</v>
          </cell>
          <cell r="G130">
            <v>3138</v>
          </cell>
          <cell r="I130">
            <v>1355</v>
          </cell>
          <cell r="J130">
            <v>533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ATM CETI 2002 "/>
      <sheetName val="TAB DCENTE CETI 2002"/>
    </sheetNames>
    <sheetDataSet>
      <sheetData sheetId="0" refreshError="1"/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 y adm x gen"/>
      <sheetName val="Asp x gen"/>
      <sheetName val="egresados x gen"/>
      <sheetName val="efic. term"/>
      <sheetName val="DCultura"/>
      <sheetName val="Col Acad"/>
      <sheetName val="TIPPA"/>
      <sheetName val="PADTC"/>
      <sheetName val="Reconoc. acad"/>
      <sheetName val="Transparencia"/>
    </sheetNames>
    <sheetDataSet>
      <sheetData sheetId="0">
        <row r="14">
          <cell r="H14">
            <v>2332</v>
          </cell>
          <cell r="I14">
            <v>6617</v>
          </cell>
        </row>
        <row r="19">
          <cell r="H19">
            <v>6580</v>
          </cell>
          <cell r="I19">
            <v>4805</v>
          </cell>
        </row>
        <row r="23">
          <cell r="H23">
            <v>4348</v>
          </cell>
          <cell r="I23">
            <v>4309</v>
          </cell>
        </row>
        <row r="34">
          <cell r="H34">
            <v>1077</v>
          </cell>
          <cell r="I34">
            <v>2576</v>
          </cell>
        </row>
        <row r="46">
          <cell r="H46">
            <v>4952</v>
          </cell>
          <cell r="I46">
            <v>3255</v>
          </cell>
        </row>
        <row r="53">
          <cell r="H53">
            <v>1723</v>
          </cell>
          <cell r="I53">
            <v>1107</v>
          </cell>
        </row>
        <row r="61">
          <cell r="H61">
            <v>7350</v>
          </cell>
          <cell r="I61">
            <v>4793</v>
          </cell>
        </row>
        <row r="70">
          <cell r="H70">
            <v>13761</v>
          </cell>
          <cell r="I70">
            <v>7493</v>
          </cell>
        </row>
        <row r="75">
          <cell r="H75">
            <v>3384</v>
          </cell>
          <cell r="I75">
            <v>3882</v>
          </cell>
        </row>
        <row r="80">
          <cell r="H80">
            <v>375</v>
          </cell>
          <cell r="I80">
            <v>341</v>
          </cell>
        </row>
        <row r="84">
          <cell r="H84">
            <v>996</v>
          </cell>
          <cell r="I84">
            <v>891</v>
          </cell>
        </row>
        <row r="89">
          <cell r="H89">
            <v>307</v>
          </cell>
          <cell r="I89">
            <v>463</v>
          </cell>
        </row>
        <row r="92">
          <cell r="H92">
            <v>20</v>
          </cell>
          <cell r="I92">
            <v>40</v>
          </cell>
        </row>
        <row r="95">
          <cell r="H95">
            <v>106</v>
          </cell>
          <cell r="I95">
            <v>88</v>
          </cell>
        </row>
        <row r="97">
          <cell r="H97">
            <v>100</v>
          </cell>
          <cell r="I97">
            <v>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DOC IPN 2001"/>
      <sheetName val="TAB DCENTE CETI 2001"/>
      <sheetName val="TAB DCENTE CONALEP 2001"/>
      <sheetName val="TAB DOC COFAA 2001"/>
      <sheetName val="TAB CIEA TEC Y  ESP 2001"/>
      <sheetName val="TAB DCENTE CIEA 2001"/>
      <sheetName val="TAB DCENTE CONACYT 200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XI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IVO"/>
      <sheetName val="MATRIZ DIRECTIVO"/>
      <sheetName val="RESUMEN"/>
      <sheetName val="FORMATO DEL PROC. DE PLANTILLAS"/>
    </sheetNames>
    <sheetDataSet>
      <sheetData sheetId="0"/>
      <sheetData sheetId="1"/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2CCG94"/>
      <sheetName val="93-01-07"/>
      <sheetName val="93-02-08"/>
      <sheetName val="04CCG93"/>
      <sheetName val="93-11-11"/>
      <sheetName val="93-12-07"/>
      <sheetName val="17CCG93"/>
      <sheetName val="93-20-07"/>
      <sheetName val="94-20-06"/>
      <sheetName val="93-25-06"/>
      <sheetName val="94-25-03"/>
      <sheetName val="27CCG94"/>
      <sheetName val="93-28-07"/>
      <sheetName val="28-07-93"/>
      <sheetName val="93-29-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ISTRATIVOS"/>
      <sheetName val="DOCENTES "/>
      <sheetName val="MMyS"/>
    </sheetNames>
    <sheetDataSet>
      <sheetData sheetId="0" refreshError="1"/>
      <sheetData sheetId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-R33"/>
      <sheetName val="ramo33"/>
      <sheetName val="RESCOST-R33"/>
      <sheetName val="MAT-CATINST-33"/>
      <sheetName val="PORT-R25"/>
      <sheetName val="ramo25"/>
      <sheetName val="RESCOST-R25"/>
      <sheetName val="MAT-CATINST-25"/>
      <sheetName val="PORT-R11"/>
      <sheetName val="ramo11"/>
      <sheetName val="RESCOST-R11"/>
      <sheetName val="MAT-CATINST-11"/>
      <sheetName val="PASTA"/>
      <sheetName val="tabulador"/>
      <sheetName val="2a. versión TF00"/>
    </sheetNames>
    <sheetDataSet>
      <sheetData sheetId="0" refreshError="1"/>
      <sheetData sheetId="1" refreshError="1"/>
      <sheetData sheetId="2" refreshError="1"/>
      <sheetData sheetId="3">
        <row r="3">
          <cell r="A3" t="str">
            <v>A01803</v>
          </cell>
          <cell r="B3">
            <v>20161</v>
          </cell>
          <cell r="C3">
            <v>6175</v>
          </cell>
        </row>
        <row r="4">
          <cell r="A4" t="str">
            <v>A01805</v>
          </cell>
          <cell r="B4">
            <v>1495</v>
          </cell>
          <cell r="C4">
            <v>367</v>
          </cell>
        </row>
        <row r="5">
          <cell r="A5" t="str">
            <v>A01806</v>
          </cell>
          <cell r="B5">
            <v>1960</v>
          </cell>
          <cell r="C5">
            <v>550</v>
          </cell>
        </row>
        <row r="6">
          <cell r="A6" t="str">
            <v>A01807</v>
          </cell>
          <cell r="B6">
            <v>970</v>
          </cell>
          <cell r="C6">
            <v>462</v>
          </cell>
        </row>
        <row r="7">
          <cell r="A7" t="str">
            <v>A01820</v>
          </cell>
          <cell r="B7">
            <v>710</v>
          </cell>
          <cell r="C7">
            <v>752</v>
          </cell>
        </row>
        <row r="8">
          <cell r="A8" t="str">
            <v>A02802</v>
          </cell>
          <cell r="B8">
            <v>13</v>
          </cell>
          <cell r="C8">
            <v>7</v>
          </cell>
        </row>
        <row r="9">
          <cell r="A9" t="str">
            <v>A02804</v>
          </cell>
          <cell r="B9">
            <v>97</v>
          </cell>
          <cell r="C9">
            <v>28</v>
          </cell>
        </row>
        <row r="10">
          <cell r="A10" t="str">
            <v>A03803</v>
          </cell>
          <cell r="B10">
            <v>7722</v>
          </cell>
          <cell r="C10">
            <v>2238</v>
          </cell>
        </row>
        <row r="11">
          <cell r="A11" t="str">
            <v>A03804</v>
          </cell>
          <cell r="B11">
            <v>30</v>
          </cell>
          <cell r="C11">
            <v>8</v>
          </cell>
        </row>
        <row r="12">
          <cell r="A12" t="str">
            <v>C01806</v>
          </cell>
          <cell r="B12">
            <v>6</v>
          </cell>
          <cell r="C12">
            <v>2</v>
          </cell>
        </row>
        <row r="13">
          <cell r="A13" t="str">
            <v>C01808</v>
          </cell>
          <cell r="B13">
            <v>5</v>
          </cell>
          <cell r="C13">
            <v>0</v>
          </cell>
        </row>
        <row r="14">
          <cell r="A14" t="str">
            <v>C02802</v>
          </cell>
          <cell r="B14">
            <v>33</v>
          </cell>
          <cell r="C14">
            <v>11</v>
          </cell>
        </row>
        <row r="15">
          <cell r="A15" t="str">
            <v>CF03803</v>
          </cell>
          <cell r="B15">
            <v>38</v>
          </cell>
          <cell r="C15">
            <v>4</v>
          </cell>
        </row>
        <row r="16">
          <cell r="A16" t="str">
            <v>CF03809</v>
          </cell>
          <cell r="B16">
            <v>22</v>
          </cell>
          <cell r="C16">
            <v>6</v>
          </cell>
        </row>
        <row r="17">
          <cell r="A17" t="str">
            <v>CF04805</v>
          </cell>
          <cell r="B17">
            <v>553</v>
          </cell>
          <cell r="C17">
            <v>131</v>
          </cell>
        </row>
        <row r="18">
          <cell r="A18" t="str">
            <v>CF04806</v>
          </cell>
          <cell r="B18">
            <v>105</v>
          </cell>
          <cell r="C18">
            <v>34</v>
          </cell>
        </row>
        <row r="19">
          <cell r="A19" t="str">
            <v>CF04807</v>
          </cell>
          <cell r="B19">
            <v>104</v>
          </cell>
          <cell r="C19">
            <v>26</v>
          </cell>
        </row>
        <row r="20">
          <cell r="A20" t="str">
            <v>CF04808</v>
          </cell>
          <cell r="B20">
            <v>42</v>
          </cell>
          <cell r="C20">
            <v>8</v>
          </cell>
        </row>
        <row r="21">
          <cell r="A21" t="str">
            <v>CF06801</v>
          </cell>
          <cell r="B21">
            <v>16</v>
          </cell>
          <cell r="C21">
            <v>1</v>
          </cell>
        </row>
        <row r="22">
          <cell r="A22" t="str">
            <v>CF07810</v>
          </cell>
          <cell r="B22">
            <v>29</v>
          </cell>
          <cell r="C22">
            <v>10</v>
          </cell>
        </row>
        <row r="23">
          <cell r="A23" t="str">
            <v>CF07817</v>
          </cell>
          <cell r="B23">
            <v>243</v>
          </cell>
          <cell r="C23">
            <v>82</v>
          </cell>
        </row>
        <row r="24">
          <cell r="A24" t="str">
            <v>CF08822</v>
          </cell>
          <cell r="B24">
            <v>75</v>
          </cell>
          <cell r="C24">
            <v>22</v>
          </cell>
        </row>
        <row r="25">
          <cell r="A25" t="str">
            <v>CF10804</v>
          </cell>
          <cell r="B25">
            <v>2</v>
          </cell>
          <cell r="C25">
            <v>5</v>
          </cell>
        </row>
        <row r="26">
          <cell r="A26" t="str">
            <v>CF11806</v>
          </cell>
          <cell r="B26">
            <v>2</v>
          </cell>
          <cell r="C26">
            <v>0</v>
          </cell>
        </row>
        <row r="27">
          <cell r="A27" t="str">
            <v>CF12803</v>
          </cell>
          <cell r="B27">
            <v>115</v>
          </cell>
          <cell r="C27">
            <v>23</v>
          </cell>
        </row>
        <row r="28">
          <cell r="A28" t="str">
            <v>CF12804</v>
          </cell>
          <cell r="B28">
            <v>49</v>
          </cell>
          <cell r="C28">
            <v>13</v>
          </cell>
        </row>
        <row r="29">
          <cell r="A29" t="str">
            <v>CF12812</v>
          </cell>
          <cell r="B29">
            <v>30</v>
          </cell>
          <cell r="C29">
            <v>3</v>
          </cell>
        </row>
        <row r="30">
          <cell r="A30" t="str">
            <v>CF12814</v>
          </cell>
          <cell r="B30">
            <v>22</v>
          </cell>
          <cell r="C30">
            <v>6</v>
          </cell>
        </row>
        <row r="31">
          <cell r="A31" t="str">
            <v>CF12825</v>
          </cell>
          <cell r="B31">
            <v>18</v>
          </cell>
          <cell r="C31">
            <v>2</v>
          </cell>
        </row>
        <row r="32">
          <cell r="A32" t="str">
            <v>CF17805</v>
          </cell>
          <cell r="B32">
            <v>12</v>
          </cell>
          <cell r="C32">
            <v>4</v>
          </cell>
        </row>
        <row r="33">
          <cell r="A33" t="str">
            <v>CF21802</v>
          </cell>
          <cell r="B33">
            <v>34</v>
          </cell>
          <cell r="C33">
            <v>4</v>
          </cell>
        </row>
        <row r="34">
          <cell r="A34" t="str">
            <v>CF21803</v>
          </cell>
          <cell r="B34">
            <v>11</v>
          </cell>
          <cell r="C34">
            <v>0</v>
          </cell>
        </row>
        <row r="35">
          <cell r="A35" t="str">
            <v>CF21807</v>
          </cell>
          <cell r="B35">
            <v>4</v>
          </cell>
          <cell r="C35">
            <v>3</v>
          </cell>
        </row>
        <row r="36">
          <cell r="A36" t="str">
            <v>CF21856</v>
          </cell>
          <cell r="B36">
            <v>26</v>
          </cell>
          <cell r="C36">
            <v>4</v>
          </cell>
        </row>
        <row r="37">
          <cell r="A37" t="str">
            <v>CF21858</v>
          </cell>
          <cell r="B37">
            <v>38</v>
          </cell>
          <cell r="C37">
            <v>3</v>
          </cell>
        </row>
        <row r="38">
          <cell r="A38" t="str">
            <v>CF21859</v>
          </cell>
          <cell r="B38">
            <v>161</v>
          </cell>
          <cell r="C38">
            <v>27</v>
          </cell>
        </row>
        <row r="39">
          <cell r="A39" t="str">
            <v>CF21887</v>
          </cell>
          <cell r="B39">
            <v>2</v>
          </cell>
          <cell r="C39">
            <v>0</v>
          </cell>
        </row>
        <row r="40">
          <cell r="A40" t="str">
            <v>CF22811</v>
          </cell>
          <cell r="B40">
            <v>22</v>
          </cell>
          <cell r="C40">
            <v>0</v>
          </cell>
        </row>
        <row r="41">
          <cell r="A41" t="str">
            <v>CF33821</v>
          </cell>
          <cell r="B41">
            <v>73</v>
          </cell>
          <cell r="C41">
            <v>18</v>
          </cell>
        </row>
        <row r="42">
          <cell r="A42" t="str">
            <v>CF33828</v>
          </cell>
          <cell r="B42">
            <v>25</v>
          </cell>
          <cell r="C42">
            <v>10</v>
          </cell>
        </row>
        <row r="43">
          <cell r="A43" t="str">
            <v>CF33834</v>
          </cell>
          <cell r="B43">
            <v>114</v>
          </cell>
          <cell r="C43">
            <v>25</v>
          </cell>
        </row>
        <row r="44">
          <cell r="A44" t="str">
            <v>CF33865</v>
          </cell>
          <cell r="B44">
            <v>9</v>
          </cell>
          <cell r="C44">
            <v>10</v>
          </cell>
        </row>
        <row r="45">
          <cell r="A45" t="str">
            <v>CF33891</v>
          </cell>
          <cell r="B45">
            <v>7</v>
          </cell>
          <cell r="C45">
            <v>3</v>
          </cell>
        </row>
        <row r="46">
          <cell r="A46" t="str">
            <v>CF33892</v>
          </cell>
          <cell r="B46">
            <v>762</v>
          </cell>
          <cell r="C46">
            <v>278</v>
          </cell>
        </row>
        <row r="47">
          <cell r="A47" t="str">
            <v>CF34806</v>
          </cell>
          <cell r="B47">
            <v>93</v>
          </cell>
          <cell r="C47">
            <v>77</v>
          </cell>
        </row>
        <row r="48">
          <cell r="A48" t="str">
            <v>CF34807</v>
          </cell>
          <cell r="B48">
            <v>118</v>
          </cell>
          <cell r="C48">
            <v>41</v>
          </cell>
        </row>
        <row r="49">
          <cell r="A49" t="str">
            <v>CF34810</v>
          </cell>
          <cell r="B49">
            <v>314</v>
          </cell>
          <cell r="C49">
            <v>130</v>
          </cell>
        </row>
        <row r="50">
          <cell r="A50" t="str">
            <v>CF34813</v>
          </cell>
          <cell r="B50">
            <v>311</v>
          </cell>
          <cell r="C50">
            <v>165</v>
          </cell>
        </row>
        <row r="51">
          <cell r="A51" t="str">
            <v>CF34844</v>
          </cell>
          <cell r="B51">
            <v>736</v>
          </cell>
          <cell r="C51">
            <v>275</v>
          </cell>
        </row>
        <row r="52">
          <cell r="A52" t="str">
            <v>ED01804</v>
          </cell>
          <cell r="B52">
            <v>33</v>
          </cell>
          <cell r="C52">
            <v>9</v>
          </cell>
        </row>
        <row r="53">
          <cell r="A53" t="str">
            <v>ED02807</v>
          </cell>
          <cell r="B53">
            <v>2</v>
          </cell>
          <cell r="C53">
            <v>0</v>
          </cell>
        </row>
        <row r="54">
          <cell r="A54" t="str">
            <v>ED02809</v>
          </cell>
          <cell r="B54">
            <v>9</v>
          </cell>
          <cell r="C54">
            <v>3</v>
          </cell>
        </row>
        <row r="55">
          <cell r="A55" t="str">
            <v>ED02810</v>
          </cell>
          <cell r="B55">
            <v>98</v>
          </cell>
          <cell r="C55">
            <v>27</v>
          </cell>
        </row>
        <row r="56">
          <cell r="A56" t="str">
            <v>P01801</v>
          </cell>
          <cell r="B56">
            <v>19</v>
          </cell>
          <cell r="C56">
            <v>3</v>
          </cell>
        </row>
        <row r="57">
          <cell r="A57" t="str">
            <v>P02802</v>
          </cell>
          <cell r="B57">
            <v>194</v>
          </cell>
          <cell r="C57">
            <v>73</v>
          </cell>
        </row>
        <row r="58">
          <cell r="A58" t="str">
            <v>P03802</v>
          </cell>
          <cell r="B58">
            <v>4</v>
          </cell>
          <cell r="C58">
            <v>1</v>
          </cell>
        </row>
        <row r="59">
          <cell r="A59" t="str">
            <v>P04802</v>
          </cell>
          <cell r="B59">
            <v>2</v>
          </cell>
          <cell r="C59">
            <v>0</v>
          </cell>
        </row>
        <row r="60">
          <cell r="A60" t="str">
            <v>P04803</v>
          </cell>
          <cell r="B60">
            <v>107</v>
          </cell>
          <cell r="C60">
            <v>36</v>
          </cell>
        </row>
        <row r="61">
          <cell r="A61" t="str">
            <v>S01803</v>
          </cell>
          <cell r="B61">
            <v>8074</v>
          </cell>
          <cell r="C61">
            <v>2575</v>
          </cell>
        </row>
        <row r="62">
          <cell r="A62" t="str">
            <v>S01804</v>
          </cell>
          <cell r="B62">
            <v>4</v>
          </cell>
          <cell r="C62">
            <v>2</v>
          </cell>
        </row>
        <row r="63">
          <cell r="A63" t="str">
            <v>S01807</v>
          </cell>
          <cell r="B63">
            <v>41771</v>
          </cell>
          <cell r="C63">
            <v>16047</v>
          </cell>
        </row>
        <row r="64">
          <cell r="A64" t="str">
            <v>S01808</v>
          </cell>
          <cell r="B64">
            <v>5168</v>
          </cell>
          <cell r="C64">
            <v>3112</v>
          </cell>
        </row>
        <row r="65">
          <cell r="A65" t="str">
            <v>S01812</v>
          </cell>
          <cell r="B65">
            <v>801</v>
          </cell>
          <cell r="C65">
            <v>521</v>
          </cell>
        </row>
        <row r="66">
          <cell r="A66" t="str">
            <v>S02803</v>
          </cell>
          <cell r="B66">
            <v>14</v>
          </cell>
          <cell r="C66">
            <v>1</v>
          </cell>
        </row>
        <row r="67">
          <cell r="A67" t="str">
            <v>S02804</v>
          </cell>
          <cell r="B67">
            <v>1056</v>
          </cell>
          <cell r="C67">
            <v>540</v>
          </cell>
        </row>
        <row r="68">
          <cell r="A68" t="str">
            <v>S02805</v>
          </cell>
          <cell r="B68">
            <v>44</v>
          </cell>
          <cell r="C68">
            <v>20</v>
          </cell>
        </row>
        <row r="69">
          <cell r="A69" t="str">
            <v>S02810</v>
          </cell>
          <cell r="B69">
            <v>1385</v>
          </cell>
          <cell r="C69">
            <v>527</v>
          </cell>
        </row>
        <row r="70">
          <cell r="A70" t="str">
            <v>S03802</v>
          </cell>
          <cell r="B70">
            <v>443</v>
          </cell>
          <cell r="C70">
            <v>171</v>
          </cell>
        </row>
        <row r="71">
          <cell r="A71" t="str">
            <v>S05805</v>
          </cell>
          <cell r="B71">
            <v>117</v>
          </cell>
          <cell r="C71">
            <v>20</v>
          </cell>
        </row>
        <row r="72">
          <cell r="A72" t="str">
            <v>S05806</v>
          </cell>
          <cell r="B72">
            <v>25</v>
          </cell>
          <cell r="C72">
            <v>10</v>
          </cell>
        </row>
        <row r="73">
          <cell r="A73" t="str">
            <v>S08802</v>
          </cell>
          <cell r="B73">
            <v>98</v>
          </cell>
          <cell r="C73">
            <v>37</v>
          </cell>
        </row>
        <row r="74">
          <cell r="A74" t="str">
            <v>S09801</v>
          </cell>
          <cell r="B74">
            <v>13</v>
          </cell>
          <cell r="C74">
            <v>6</v>
          </cell>
        </row>
        <row r="75">
          <cell r="A75" t="str">
            <v>S10802</v>
          </cell>
          <cell r="B75">
            <v>2</v>
          </cell>
          <cell r="C75">
            <v>0</v>
          </cell>
        </row>
        <row r="76">
          <cell r="A76" t="str">
            <v>T03803</v>
          </cell>
          <cell r="B76">
            <v>2618</v>
          </cell>
          <cell r="C76">
            <v>800</v>
          </cell>
        </row>
        <row r="77">
          <cell r="A77" t="str">
            <v>T03804</v>
          </cell>
          <cell r="B77">
            <v>1218</v>
          </cell>
          <cell r="C77">
            <v>367</v>
          </cell>
        </row>
        <row r="78">
          <cell r="A78" t="str">
            <v>T04802</v>
          </cell>
          <cell r="B78">
            <v>1</v>
          </cell>
          <cell r="C78">
            <v>1</v>
          </cell>
        </row>
        <row r="79">
          <cell r="A79" t="str">
            <v>T04803</v>
          </cell>
          <cell r="B79">
            <v>9</v>
          </cell>
          <cell r="C79">
            <v>1</v>
          </cell>
        </row>
        <row r="80">
          <cell r="A80" t="str">
            <v>T05808</v>
          </cell>
          <cell r="B80">
            <v>822</v>
          </cell>
          <cell r="C80">
            <v>347</v>
          </cell>
        </row>
        <row r="81">
          <cell r="A81" t="str">
            <v>T05809</v>
          </cell>
          <cell r="B81">
            <v>2</v>
          </cell>
          <cell r="C81">
            <v>14</v>
          </cell>
        </row>
        <row r="82">
          <cell r="A82" t="str">
            <v>T06803</v>
          </cell>
          <cell r="B82">
            <v>52</v>
          </cell>
          <cell r="C82">
            <v>8</v>
          </cell>
        </row>
        <row r="83">
          <cell r="A83" t="str">
            <v>T06806</v>
          </cell>
          <cell r="B83">
            <v>139</v>
          </cell>
          <cell r="C83">
            <v>31</v>
          </cell>
        </row>
        <row r="84">
          <cell r="A84" t="str">
            <v>T08803</v>
          </cell>
          <cell r="B84">
            <v>46</v>
          </cell>
          <cell r="C84">
            <v>12</v>
          </cell>
        </row>
        <row r="85">
          <cell r="A85" t="str">
            <v>T09802</v>
          </cell>
          <cell r="B85">
            <v>33</v>
          </cell>
          <cell r="C85">
            <v>11</v>
          </cell>
        </row>
        <row r="86">
          <cell r="A86" t="str">
            <v>T09803</v>
          </cell>
          <cell r="B86">
            <v>118</v>
          </cell>
          <cell r="C86">
            <v>43</v>
          </cell>
        </row>
        <row r="87">
          <cell r="A87" t="str">
            <v>T13801</v>
          </cell>
          <cell r="B87">
            <v>6</v>
          </cell>
          <cell r="C87">
            <v>0</v>
          </cell>
        </row>
        <row r="88">
          <cell r="A88" t="str">
            <v>T13803</v>
          </cell>
          <cell r="B88">
            <v>19</v>
          </cell>
          <cell r="C88">
            <v>3</v>
          </cell>
        </row>
        <row r="89">
          <cell r="A89" t="str">
            <v>T14805</v>
          </cell>
          <cell r="B89">
            <v>112</v>
          </cell>
          <cell r="C89">
            <v>58</v>
          </cell>
        </row>
        <row r="90">
          <cell r="A90" t="str">
            <v>T14807</v>
          </cell>
          <cell r="B90">
            <v>1827</v>
          </cell>
          <cell r="C90">
            <v>800</v>
          </cell>
        </row>
        <row r="91">
          <cell r="A91" t="str">
            <v>T16803</v>
          </cell>
          <cell r="B91">
            <v>4</v>
          </cell>
          <cell r="C91">
            <v>1</v>
          </cell>
        </row>
        <row r="92">
          <cell r="A92" t="str">
            <v>T16807</v>
          </cell>
          <cell r="B92">
            <v>79</v>
          </cell>
          <cell r="C92">
            <v>36</v>
          </cell>
        </row>
        <row r="93">
          <cell r="A93" t="str">
            <v>T17804</v>
          </cell>
          <cell r="B93">
            <v>20</v>
          </cell>
          <cell r="C93">
            <v>3</v>
          </cell>
        </row>
        <row r="94">
          <cell r="A94" t="str">
            <v>T18802</v>
          </cell>
          <cell r="B94">
            <v>6</v>
          </cell>
          <cell r="C94">
            <v>13</v>
          </cell>
        </row>
        <row r="95">
          <cell r="A95" t="str">
            <v>T18804</v>
          </cell>
          <cell r="B95">
            <v>3</v>
          </cell>
          <cell r="C95">
            <v>21</v>
          </cell>
        </row>
        <row r="96">
          <cell r="A96" t="str">
            <v>T18817</v>
          </cell>
          <cell r="B96">
            <v>4</v>
          </cell>
          <cell r="C96">
            <v>18</v>
          </cell>
        </row>
        <row r="97">
          <cell r="A97" t="str">
            <v>T22818</v>
          </cell>
          <cell r="B97">
            <v>1</v>
          </cell>
          <cell r="C97">
            <v>1</v>
          </cell>
        </row>
        <row r="98">
          <cell r="A98" t="str">
            <v>T22827</v>
          </cell>
          <cell r="B98">
            <v>6</v>
          </cell>
          <cell r="C98">
            <v>1</v>
          </cell>
        </row>
        <row r="99">
          <cell r="A99" t="str">
            <v>T22828</v>
          </cell>
          <cell r="B99">
            <v>8</v>
          </cell>
          <cell r="C99">
            <v>1</v>
          </cell>
        </row>
        <row r="100">
          <cell r="A100" t="str">
            <v>T26803</v>
          </cell>
          <cell r="B100">
            <v>5271</v>
          </cell>
          <cell r="C100">
            <v>2105</v>
          </cell>
        </row>
        <row r="101">
          <cell r="A101" t="str">
            <v>T26805</v>
          </cell>
          <cell r="B101">
            <v>9</v>
          </cell>
          <cell r="C101">
            <v>2</v>
          </cell>
        </row>
      </sheetData>
      <sheetData sheetId="4" refreshError="1"/>
      <sheetData sheetId="5" refreshError="1"/>
      <sheetData sheetId="6" refreshError="1"/>
      <sheetData sheetId="7">
        <row r="3">
          <cell r="A3" t="str">
            <v>A01803</v>
          </cell>
          <cell r="B3">
            <v>0</v>
          </cell>
          <cell r="C3">
            <v>1572</v>
          </cell>
        </row>
        <row r="4">
          <cell r="A4" t="str">
            <v>A01805</v>
          </cell>
          <cell r="B4">
            <v>0</v>
          </cell>
          <cell r="C4">
            <v>373</v>
          </cell>
        </row>
        <row r="5">
          <cell r="A5" t="str">
            <v>A01806</v>
          </cell>
          <cell r="B5">
            <v>0</v>
          </cell>
          <cell r="C5">
            <v>700</v>
          </cell>
        </row>
        <row r="6">
          <cell r="A6" t="str">
            <v>A01807</v>
          </cell>
          <cell r="B6">
            <v>0</v>
          </cell>
          <cell r="C6">
            <v>282</v>
          </cell>
        </row>
        <row r="7">
          <cell r="A7" t="str">
            <v>A01810</v>
          </cell>
          <cell r="B7">
            <v>0</v>
          </cell>
          <cell r="C7">
            <v>490</v>
          </cell>
        </row>
        <row r="8">
          <cell r="A8" t="str">
            <v>A01820</v>
          </cell>
          <cell r="B8">
            <v>0</v>
          </cell>
          <cell r="C8">
            <v>85</v>
          </cell>
        </row>
        <row r="9">
          <cell r="A9" t="str">
            <v>A02802</v>
          </cell>
          <cell r="B9">
            <v>0</v>
          </cell>
          <cell r="C9">
            <v>14</v>
          </cell>
        </row>
        <row r="10">
          <cell r="A10" t="str">
            <v>A02804</v>
          </cell>
          <cell r="B10">
            <v>0</v>
          </cell>
          <cell r="C10">
            <v>29</v>
          </cell>
        </row>
        <row r="11">
          <cell r="A11" t="str">
            <v>A03803</v>
          </cell>
          <cell r="B11">
            <v>0</v>
          </cell>
          <cell r="C11">
            <v>6881</v>
          </cell>
        </row>
        <row r="12">
          <cell r="A12" t="str">
            <v>A03804</v>
          </cell>
          <cell r="B12">
            <v>0</v>
          </cell>
          <cell r="C12">
            <v>16</v>
          </cell>
        </row>
        <row r="13">
          <cell r="A13" t="str">
            <v>C01806</v>
          </cell>
          <cell r="B13">
            <v>0</v>
          </cell>
          <cell r="C13">
            <v>3</v>
          </cell>
        </row>
        <row r="14">
          <cell r="A14" t="str">
            <v>C01808</v>
          </cell>
          <cell r="B14">
            <v>0</v>
          </cell>
          <cell r="C14">
            <v>10</v>
          </cell>
        </row>
        <row r="15">
          <cell r="A15" t="str">
            <v>C02802</v>
          </cell>
          <cell r="B15">
            <v>0</v>
          </cell>
          <cell r="C15">
            <v>4</v>
          </cell>
        </row>
        <row r="16">
          <cell r="A16" t="str">
            <v>CF03803</v>
          </cell>
          <cell r="B16">
            <v>0</v>
          </cell>
          <cell r="C16">
            <v>5</v>
          </cell>
        </row>
        <row r="17">
          <cell r="A17" t="str">
            <v>CF03809</v>
          </cell>
          <cell r="B17">
            <v>0</v>
          </cell>
          <cell r="C17">
            <v>3</v>
          </cell>
        </row>
        <row r="18">
          <cell r="A18" t="str">
            <v>CF04805</v>
          </cell>
          <cell r="B18">
            <v>0</v>
          </cell>
          <cell r="C18">
            <v>94</v>
          </cell>
        </row>
        <row r="19">
          <cell r="A19" t="str">
            <v>CF04806</v>
          </cell>
          <cell r="B19">
            <v>0</v>
          </cell>
          <cell r="C19">
            <v>33</v>
          </cell>
        </row>
        <row r="20">
          <cell r="A20" t="str">
            <v>CF04807</v>
          </cell>
          <cell r="B20">
            <v>0</v>
          </cell>
          <cell r="C20">
            <v>10</v>
          </cell>
        </row>
        <row r="21">
          <cell r="A21" t="str">
            <v>CF04808</v>
          </cell>
          <cell r="B21">
            <v>0</v>
          </cell>
          <cell r="C21">
            <v>14</v>
          </cell>
        </row>
        <row r="22">
          <cell r="A22" t="str">
            <v>CF04810</v>
          </cell>
          <cell r="B22">
            <v>0</v>
          </cell>
          <cell r="C22">
            <v>1</v>
          </cell>
        </row>
        <row r="23">
          <cell r="A23" t="str">
            <v>CF07810</v>
          </cell>
          <cell r="B23">
            <v>0</v>
          </cell>
          <cell r="C23">
            <v>24</v>
          </cell>
        </row>
        <row r="24">
          <cell r="A24" t="str">
            <v>CF07817</v>
          </cell>
          <cell r="B24">
            <v>0</v>
          </cell>
          <cell r="C24">
            <v>11</v>
          </cell>
        </row>
        <row r="25">
          <cell r="A25" t="str">
            <v>CF08822</v>
          </cell>
          <cell r="B25">
            <v>0</v>
          </cell>
          <cell r="C25">
            <v>31</v>
          </cell>
        </row>
        <row r="26">
          <cell r="A26" t="str">
            <v>CF11806</v>
          </cell>
          <cell r="B26">
            <v>0</v>
          </cell>
          <cell r="C26">
            <v>2</v>
          </cell>
        </row>
        <row r="27">
          <cell r="A27" t="str">
            <v>CF12803</v>
          </cell>
          <cell r="B27">
            <v>0</v>
          </cell>
          <cell r="C27">
            <v>23</v>
          </cell>
        </row>
        <row r="28">
          <cell r="A28" t="str">
            <v>CF12804</v>
          </cell>
          <cell r="B28">
            <v>0</v>
          </cell>
          <cell r="C28">
            <v>16</v>
          </cell>
        </row>
        <row r="29">
          <cell r="A29" t="str">
            <v>CF12812</v>
          </cell>
          <cell r="B29">
            <v>0</v>
          </cell>
          <cell r="C29">
            <v>21</v>
          </cell>
        </row>
        <row r="30">
          <cell r="A30" t="str">
            <v>CF12814</v>
          </cell>
          <cell r="B30">
            <v>0</v>
          </cell>
          <cell r="C30">
            <v>14</v>
          </cell>
        </row>
        <row r="31">
          <cell r="A31" t="str">
            <v>CF12825</v>
          </cell>
          <cell r="B31">
            <v>0</v>
          </cell>
          <cell r="C31">
            <v>32</v>
          </cell>
        </row>
        <row r="32">
          <cell r="A32" t="str">
            <v>CF21802</v>
          </cell>
          <cell r="B32">
            <v>0</v>
          </cell>
          <cell r="C32">
            <v>2</v>
          </cell>
        </row>
        <row r="33">
          <cell r="A33" t="str">
            <v>CF21812</v>
          </cell>
          <cell r="B33">
            <v>0</v>
          </cell>
          <cell r="C33">
            <v>2</v>
          </cell>
        </row>
        <row r="34">
          <cell r="A34" t="str">
            <v>CF21815</v>
          </cell>
          <cell r="B34">
            <v>0</v>
          </cell>
          <cell r="C34">
            <v>11</v>
          </cell>
        </row>
        <row r="35">
          <cell r="A35" t="str">
            <v>CF21820</v>
          </cell>
          <cell r="B35">
            <v>0</v>
          </cell>
          <cell r="C35">
            <v>6</v>
          </cell>
        </row>
        <row r="36">
          <cell r="A36" t="str">
            <v>CF21856</v>
          </cell>
          <cell r="B36">
            <v>0</v>
          </cell>
          <cell r="C36">
            <v>5</v>
          </cell>
        </row>
        <row r="37">
          <cell r="A37" t="str">
            <v>CF21858</v>
          </cell>
          <cell r="B37">
            <v>0</v>
          </cell>
          <cell r="C37">
            <v>6</v>
          </cell>
        </row>
        <row r="38">
          <cell r="A38" t="str">
            <v>CF21859</v>
          </cell>
          <cell r="B38">
            <v>0</v>
          </cell>
          <cell r="C38">
            <v>2</v>
          </cell>
        </row>
        <row r="39">
          <cell r="A39" t="str">
            <v>CF21864</v>
          </cell>
          <cell r="B39">
            <v>1</v>
          </cell>
          <cell r="C39">
            <v>0</v>
          </cell>
        </row>
        <row r="40">
          <cell r="A40" t="str">
            <v>CF21866</v>
          </cell>
          <cell r="B40">
            <v>2</v>
          </cell>
          <cell r="C40">
            <v>0</v>
          </cell>
        </row>
        <row r="41">
          <cell r="A41" t="str">
            <v>CF22811</v>
          </cell>
          <cell r="B41">
            <v>0</v>
          </cell>
          <cell r="C41">
            <v>9</v>
          </cell>
        </row>
        <row r="42">
          <cell r="A42" t="str">
            <v>CF33821</v>
          </cell>
          <cell r="B42">
            <v>0</v>
          </cell>
          <cell r="C42">
            <v>15</v>
          </cell>
        </row>
        <row r="43">
          <cell r="A43" t="str">
            <v>CF33834</v>
          </cell>
          <cell r="B43">
            <v>0</v>
          </cell>
          <cell r="C43">
            <v>59</v>
          </cell>
        </row>
        <row r="44">
          <cell r="A44" t="str">
            <v>CF33891</v>
          </cell>
          <cell r="B44">
            <v>0</v>
          </cell>
          <cell r="C44">
            <v>7</v>
          </cell>
        </row>
        <row r="45">
          <cell r="A45" t="str">
            <v>CF33892</v>
          </cell>
          <cell r="B45">
            <v>0</v>
          </cell>
          <cell r="C45">
            <v>116</v>
          </cell>
        </row>
        <row r="46">
          <cell r="A46" t="str">
            <v>CF34807</v>
          </cell>
          <cell r="B46">
            <v>0</v>
          </cell>
          <cell r="C46">
            <v>3</v>
          </cell>
        </row>
        <row r="47">
          <cell r="A47" t="str">
            <v>CF34810</v>
          </cell>
          <cell r="B47">
            <v>0</v>
          </cell>
          <cell r="C47">
            <v>38</v>
          </cell>
        </row>
        <row r="48">
          <cell r="A48" t="str">
            <v>CF34813</v>
          </cell>
          <cell r="B48">
            <v>0</v>
          </cell>
          <cell r="C48">
            <v>40</v>
          </cell>
        </row>
        <row r="49">
          <cell r="A49" t="str">
            <v>CF34844</v>
          </cell>
          <cell r="B49">
            <v>0</v>
          </cell>
          <cell r="C49">
            <v>169</v>
          </cell>
        </row>
        <row r="50">
          <cell r="A50" t="str">
            <v>CF53805</v>
          </cell>
          <cell r="B50">
            <v>0</v>
          </cell>
          <cell r="C50">
            <v>1</v>
          </cell>
        </row>
        <row r="51">
          <cell r="A51" t="str">
            <v>ED01804</v>
          </cell>
          <cell r="B51">
            <v>0</v>
          </cell>
          <cell r="C51">
            <v>29</v>
          </cell>
        </row>
        <row r="52">
          <cell r="A52" t="str">
            <v>ED02805</v>
          </cell>
          <cell r="B52">
            <v>0</v>
          </cell>
          <cell r="C52">
            <v>1</v>
          </cell>
        </row>
        <row r="53">
          <cell r="A53" t="str">
            <v>ED02810</v>
          </cell>
          <cell r="B53">
            <v>0</v>
          </cell>
          <cell r="C53">
            <v>4</v>
          </cell>
        </row>
        <row r="54">
          <cell r="A54" t="str">
            <v>P02802</v>
          </cell>
          <cell r="B54">
            <v>0</v>
          </cell>
          <cell r="C54">
            <v>91</v>
          </cell>
        </row>
        <row r="55">
          <cell r="A55" t="str">
            <v>P03802</v>
          </cell>
          <cell r="B55">
            <v>0</v>
          </cell>
          <cell r="C55">
            <v>1</v>
          </cell>
        </row>
        <row r="56">
          <cell r="A56" t="str">
            <v>P04802</v>
          </cell>
          <cell r="B56">
            <v>0</v>
          </cell>
          <cell r="C56">
            <v>1</v>
          </cell>
        </row>
        <row r="57">
          <cell r="A57" t="str">
            <v>P04803</v>
          </cell>
          <cell r="B57">
            <v>0</v>
          </cell>
          <cell r="C57">
            <v>53</v>
          </cell>
        </row>
        <row r="58">
          <cell r="A58" t="str">
            <v>S01803</v>
          </cell>
          <cell r="B58">
            <v>0</v>
          </cell>
          <cell r="C58">
            <v>1448</v>
          </cell>
        </row>
        <row r="59">
          <cell r="A59" t="str">
            <v>S01804</v>
          </cell>
          <cell r="B59">
            <v>0</v>
          </cell>
          <cell r="C59">
            <v>7</v>
          </cell>
        </row>
        <row r="60">
          <cell r="A60" t="str">
            <v>S01807</v>
          </cell>
          <cell r="B60">
            <v>0</v>
          </cell>
          <cell r="C60">
            <v>12728</v>
          </cell>
        </row>
        <row r="61">
          <cell r="A61" t="str">
            <v>S01808</v>
          </cell>
          <cell r="B61">
            <v>0</v>
          </cell>
          <cell r="C61">
            <v>1764</v>
          </cell>
        </row>
        <row r="62">
          <cell r="A62" t="str">
            <v>S01812</v>
          </cell>
          <cell r="B62">
            <v>0</v>
          </cell>
          <cell r="C62">
            <v>34</v>
          </cell>
        </row>
        <row r="63">
          <cell r="A63" t="str">
            <v>S02803</v>
          </cell>
          <cell r="B63">
            <v>0</v>
          </cell>
          <cell r="C63">
            <v>6</v>
          </cell>
        </row>
        <row r="64">
          <cell r="A64" t="str">
            <v>S02804</v>
          </cell>
          <cell r="B64">
            <v>0</v>
          </cell>
          <cell r="C64">
            <v>186</v>
          </cell>
        </row>
        <row r="65">
          <cell r="A65" t="str">
            <v>S02805</v>
          </cell>
          <cell r="B65">
            <v>0</v>
          </cell>
          <cell r="C65">
            <v>39</v>
          </cell>
        </row>
        <row r="66">
          <cell r="A66" t="str">
            <v>S02810</v>
          </cell>
          <cell r="B66">
            <v>0</v>
          </cell>
          <cell r="C66">
            <v>334</v>
          </cell>
        </row>
        <row r="67">
          <cell r="A67" t="str">
            <v>S03802</v>
          </cell>
          <cell r="B67">
            <v>0</v>
          </cell>
          <cell r="C67">
            <v>67</v>
          </cell>
        </row>
        <row r="68">
          <cell r="A68" t="str">
            <v>S05805</v>
          </cell>
          <cell r="B68">
            <v>0</v>
          </cell>
          <cell r="C68">
            <v>52</v>
          </cell>
        </row>
        <row r="69">
          <cell r="A69" t="str">
            <v>S05806</v>
          </cell>
          <cell r="B69">
            <v>0</v>
          </cell>
          <cell r="C69">
            <v>31</v>
          </cell>
        </row>
        <row r="70">
          <cell r="A70" t="str">
            <v>S08802</v>
          </cell>
          <cell r="B70">
            <v>0</v>
          </cell>
          <cell r="C70">
            <v>192</v>
          </cell>
        </row>
        <row r="71">
          <cell r="A71" t="str">
            <v>S09801</v>
          </cell>
          <cell r="B71">
            <v>0</v>
          </cell>
          <cell r="C71">
            <v>6</v>
          </cell>
        </row>
        <row r="72">
          <cell r="A72" t="str">
            <v>S10802</v>
          </cell>
          <cell r="B72">
            <v>0</v>
          </cell>
          <cell r="C72">
            <v>1</v>
          </cell>
        </row>
        <row r="73">
          <cell r="A73" t="str">
            <v>T03803</v>
          </cell>
          <cell r="B73">
            <v>0</v>
          </cell>
          <cell r="C73">
            <v>322</v>
          </cell>
        </row>
        <row r="74">
          <cell r="A74" t="str">
            <v>T03804</v>
          </cell>
          <cell r="B74">
            <v>0</v>
          </cell>
          <cell r="C74">
            <v>354</v>
          </cell>
        </row>
        <row r="75">
          <cell r="A75" t="str">
            <v>T05808</v>
          </cell>
          <cell r="B75">
            <v>0</v>
          </cell>
          <cell r="C75">
            <v>351</v>
          </cell>
        </row>
        <row r="76">
          <cell r="A76" t="str">
            <v>T05809</v>
          </cell>
          <cell r="B76">
            <v>0</v>
          </cell>
          <cell r="C76">
            <v>17</v>
          </cell>
        </row>
        <row r="77">
          <cell r="A77" t="str">
            <v>T06803</v>
          </cell>
          <cell r="B77">
            <v>0</v>
          </cell>
          <cell r="C77">
            <v>35</v>
          </cell>
        </row>
        <row r="78">
          <cell r="A78" t="str">
            <v>T06806</v>
          </cell>
          <cell r="B78">
            <v>0</v>
          </cell>
          <cell r="C78">
            <v>84</v>
          </cell>
        </row>
        <row r="79">
          <cell r="A79" t="str">
            <v>T08803</v>
          </cell>
          <cell r="B79">
            <v>0</v>
          </cell>
          <cell r="C79">
            <v>33</v>
          </cell>
        </row>
        <row r="80">
          <cell r="A80" t="str">
            <v>T09802</v>
          </cell>
          <cell r="B80">
            <v>0</v>
          </cell>
          <cell r="C80">
            <v>5</v>
          </cell>
        </row>
        <row r="81">
          <cell r="A81" t="str">
            <v>T09803</v>
          </cell>
          <cell r="B81">
            <v>0</v>
          </cell>
          <cell r="C81">
            <v>77</v>
          </cell>
        </row>
        <row r="82">
          <cell r="A82" t="str">
            <v>T13803</v>
          </cell>
          <cell r="B82">
            <v>0</v>
          </cell>
          <cell r="C82">
            <v>6</v>
          </cell>
        </row>
        <row r="83">
          <cell r="A83" t="str">
            <v>T14805</v>
          </cell>
          <cell r="B83">
            <v>0</v>
          </cell>
          <cell r="C83">
            <v>62</v>
          </cell>
        </row>
        <row r="84">
          <cell r="A84" t="str">
            <v>T14807</v>
          </cell>
          <cell r="B84">
            <v>0</v>
          </cell>
          <cell r="C84">
            <v>808</v>
          </cell>
        </row>
        <row r="85">
          <cell r="A85" t="str">
            <v>T22816</v>
          </cell>
          <cell r="B85">
            <v>0</v>
          </cell>
          <cell r="C85">
            <v>1</v>
          </cell>
        </row>
        <row r="86">
          <cell r="A86" t="str">
            <v>T22827</v>
          </cell>
          <cell r="B86">
            <v>0</v>
          </cell>
          <cell r="C86">
            <v>34</v>
          </cell>
        </row>
        <row r="87">
          <cell r="A87" t="str">
            <v>T22828</v>
          </cell>
          <cell r="B87">
            <v>0</v>
          </cell>
          <cell r="C87">
            <v>2</v>
          </cell>
        </row>
        <row r="88">
          <cell r="A88" t="str">
            <v>T25802</v>
          </cell>
          <cell r="B88">
            <v>0</v>
          </cell>
          <cell r="C88">
            <v>4</v>
          </cell>
        </row>
        <row r="89">
          <cell r="A89" t="str">
            <v>T26803</v>
          </cell>
          <cell r="B89">
            <v>0</v>
          </cell>
          <cell r="C89">
            <v>1493</v>
          </cell>
        </row>
      </sheetData>
      <sheetData sheetId="8" refreshError="1"/>
      <sheetData sheetId="9" refreshError="1"/>
      <sheetData sheetId="10" refreshError="1"/>
      <sheetData sheetId="11">
        <row r="3">
          <cell r="A3" t="str">
            <v>A01803</v>
          </cell>
          <cell r="B3">
            <v>0</v>
          </cell>
          <cell r="C3">
            <v>515</v>
          </cell>
          <cell r="D3">
            <v>15</v>
          </cell>
        </row>
        <row r="4">
          <cell r="A4" t="str">
            <v>A01805</v>
          </cell>
          <cell r="B4">
            <v>0</v>
          </cell>
          <cell r="C4">
            <v>164</v>
          </cell>
          <cell r="D4">
            <v>0</v>
          </cell>
        </row>
        <row r="5">
          <cell r="A5" t="str">
            <v>A01806</v>
          </cell>
          <cell r="B5">
            <v>0</v>
          </cell>
          <cell r="C5">
            <v>627</v>
          </cell>
          <cell r="D5">
            <v>1</v>
          </cell>
        </row>
        <row r="6">
          <cell r="A6" t="str">
            <v>A01807</v>
          </cell>
          <cell r="B6">
            <v>0</v>
          </cell>
          <cell r="C6">
            <v>730</v>
          </cell>
          <cell r="D6">
            <v>117</v>
          </cell>
        </row>
        <row r="7">
          <cell r="A7" t="str">
            <v>A01810</v>
          </cell>
          <cell r="B7">
            <v>0</v>
          </cell>
          <cell r="C7">
            <v>2</v>
          </cell>
          <cell r="D7">
            <v>0</v>
          </cell>
        </row>
        <row r="8">
          <cell r="A8" t="str">
            <v>A01811</v>
          </cell>
          <cell r="B8">
            <v>0</v>
          </cell>
          <cell r="C8">
            <v>1</v>
          </cell>
          <cell r="D8">
            <v>0</v>
          </cell>
        </row>
        <row r="9">
          <cell r="A9" t="str">
            <v>A01820</v>
          </cell>
          <cell r="B9">
            <v>0</v>
          </cell>
          <cell r="C9">
            <v>119</v>
          </cell>
          <cell r="D9">
            <v>15</v>
          </cell>
        </row>
        <row r="10">
          <cell r="A10" t="str">
            <v>A02802</v>
          </cell>
          <cell r="B10">
            <v>0</v>
          </cell>
          <cell r="C10">
            <v>26</v>
          </cell>
          <cell r="D10">
            <v>0</v>
          </cell>
        </row>
        <row r="11">
          <cell r="A11" t="str">
            <v>A02804</v>
          </cell>
          <cell r="B11">
            <v>0</v>
          </cell>
          <cell r="C11">
            <v>122</v>
          </cell>
          <cell r="D11">
            <v>27</v>
          </cell>
        </row>
        <row r="12">
          <cell r="A12" t="str">
            <v>A03803</v>
          </cell>
          <cell r="B12">
            <v>0</v>
          </cell>
          <cell r="C12">
            <v>1362</v>
          </cell>
          <cell r="D12">
            <v>393</v>
          </cell>
        </row>
        <row r="13">
          <cell r="A13" t="str">
            <v>A03804</v>
          </cell>
          <cell r="B13">
            <v>0</v>
          </cell>
          <cell r="C13">
            <v>276</v>
          </cell>
          <cell r="D13">
            <v>0</v>
          </cell>
        </row>
        <row r="14">
          <cell r="A14" t="str">
            <v>A03805</v>
          </cell>
          <cell r="B14">
            <v>0</v>
          </cell>
          <cell r="C14">
            <v>18</v>
          </cell>
          <cell r="D14">
            <v>0</v>
          </cell>
        </row>
        <row r="15">
          <cell r="A15" t="str">
            <v>A03806</v>
          </cell>
          <cell r="B15">
            <v>0</v>
          </cell>
          <cell r="C15">
            <v>1</v>
          </cell>
          <cell r="D15">
            <v>0</v>
          </cell>
        </row>
        <row r="16">
          <cell r="A16" t="str">
            <v>C01806</v>
          </cell>
          <cell r="B16">
            <v>0</v>
          </cell>
          <cell r="C16">
            <v>41</v>
          </cell>
          <cell r="D16">
            <v>0</v>
          </cell>
        </row>
        <row r="17">
          <cell r="A17" t="str">
            <v>C01808</v>
          </cell>
          <cell r="B17">
            <v>0</v>
          </cell>
          <cell r="C17">
            <v>4</v>
          </cell>
          <cell r="D17">
            <v>0</v>
          </cell>
        </row>
        <row r="18">
          <cell r="A18" t="str">
            <v>C02802</v>
          </cell>
          <cell r="B18">
            <v>0</v>
          </cell>
          <cell r="C18">
            <v>6</v>
          </cell>
          <cell r="D18">
            <v>0</v>
          </cell>
        </row>
        <row r="19">
          <cell r="A19" t="str">
            <v>CF03803</v>
          </cell>
          <cell r="B19">
            <v>0</v>
          </cell>
          <cell r="C19">
            <v>29</v>
          </cell>
          <cell r="D19">
            <v>4</v>
          </cell>
        </row>
        <row r="20">
          <cell r="A20" t="str">
            <v>CF03806</v>
          </cell>
          <cell r="B20">
            <v>0</v>
          </cell>
          <cell r="C20">
            <v>2</v>
          </cell>
          <cell r="D20">
            <v>0</v>
          </cell>
        </row>
        <row r="21">
          <cell r="A21" t="str">
            <v>CF03809</v>
          </cell>
          <cell r="B21">
            <v>0</v>
          </cell>
          <cell r="C21">
            <v>54</v>
          </cell>
          <cell r="D21">
            <v>7</v>
          </cell>
        </row>
        <row r="22">
          <cell r="A22" t="str">
            <v>CF03810</v>
          </cell>
          <cell r="B22">
            <v>0</v>
          </cell>
          <cell r="C22">
            <v>11</v>
          </cell>
          <cell r="D22">
            <v>0</v>
          </cell>
        </row>
        <row r="23">
          <cell r="A23" t="str">
            <v>CF03811</v>
          </cell>
          <cell r="B23">
            <v>0</v>
          </cell>
          <cell r="C23">
            <v>7</v>
          </cell>
          <cell r="D23">
            <v>0</v>
          </cell>
        </row>
        <row r="24">
          <cell r="A24" t="str">
            <v>CF03813</v>
          </cell>
          <cell r="B24">
            <v>0</v>
          </cell>
          <cell r="C24">
            <v>4</v>
          </cell>
          <cell r="D24">
            <v>0</v>
          </cell>
        </row>
        <row r="25">
          <cell r="A25" t="str">
            <v>CF04805</v>
          </cell>
          <cell r="B25">
            <v>0</v>
          </cell>
          <cell r="C25">
            <v>219</v>
          </cell>
          <cell r="D25">
            <v>9</v>
          </cell>
        </row>
        <row r="26">
          <cell r="A26" t="str">
            <v>CF04806</v>
          </cell>
          <cell r="B26">
            <v>0</v>
          </cell>
          <cell r="C26">
            <v>212</v>
          </cell>
          <cell r="D26">
            <v>9</v>
          </cell>
        </row>
        <row r="27">
          <cell r="A27" t="str">
            <v>CF04807</v>
          </cell>
          <cell r="B27">
            <v>0</v>
          </cell>
          <cell r="C27">
            <v>129</v>
          </cell>
          <cell r="D27">
            <v>0</v>
          </cell>
        </row>
        <row r="28">
          <cell r="A28" t="str">
            <v>CF04808</v>
          </cell>
          <cell r="B28">
            <v>0</v>
          </cell>
          <cell r="C28">
            <v>115</v>
          </cell>
          <cell r="D28">
            <v>17</v>
          </cell>
        </row>
        <row r="29">
          <cell r="A29" t="str">
            <v>CF04810</v>
          </cell>
          <cell r="B29">
            <v>0</v>
          </cell>
          <cell r="C29">
            <v>5</v>
          </cell>
          <cell r="D29">
            <v>0</v>
          </cell>
        </row>
        <row r="30">
          <cell r="A30" t="str">
            <v>CF06801</v>
          </cell>
          <cell r="B30">
            <v>0</v>
          </cell>
          <cell r="C30">
            <v>6</v>
          </cell>
          <cell r="D30">
            <v>0</v>
          </cell>
        </row>
        <row r="31">
          <cell r="A31" t="str">
            <v>CF07810</v>
          </cell>
          <cell r="B31">
            <v>0</v>
          </cell>
          <cell r="C31">
            <v>3</v>
          </cell>
          <cell r="D31">
            <v>0</v>
          </cell>
        </row>
        <row r="32">
          <cell r="A32" t="str">
            <v>CF07817</v>
          </cell>
          <cell r="B32">
            <v>0</v>
          </cell>
          <cell r="C32">
            <v>109</v>
          </cell>
          <cell r="D32">
            <v>0</v>
          </cell>
        </row>
        <row r="33">
          <cell r="A33" t="str">
            <v>CF08822</v>
          </cell>
          <cell r="B33">
            <v>0</v>
          </cell>
          <cell r="C33">
            <v>10</v>
          </cell>
          <cell r="D33">
            <v>0</v>
          </cell>
        </row>
        <row r="34">
          <cell r="A34" t="str">
            <v>CF11806</v>
          </cell>
          <cell r="B34">
            <v>0</v>
          </cell>
          <cell r="C34">
            <v>6</v>
          </cell>
          <cell r="D34">
            <v>0</v>
          </cell>
        </row>
        <row r="35">
          <cell r="A35" t="str">
            <v>CF12803</v>
          </cell>
          <cell r="B35">
            <v>0</v>
          </cell>
          <cell r="C35">
            <v>9</v>
          </cell>
          <cell r="D35">
            <v>0</v>
          </cell>
        </row>
        <row r="36">
          <cell r="A36" t="str">
            <v>CF12804</v>
          </cell>
          <cell r="B36">
            <v>0</v>
          </cell>
          <cell r="C36">
            <v>20</v>
          </cell>
          <cell r="D36">
            <v>0</v>
          </cell>
        </row>
        <row r="37">
          <cell r="A37" t="str">
            <v>CF12812</v>
          </cell>
          <cell r="B37">
            <v>0</v>
          </cell>
          <cell r="C37">
            <v>7</v>
          </cell>
          <cell r="D37">
            <v>0</v>
          </cell>
        </row>
        <row r="38">
          <cell r="A38" t="str">
            <v>CF12814</v>
          </cell>
          <cell r="B38">
            <v>0</v>
          </cell>
          <cell r="C38">
            <v>3</v>
          </cell>
          <cell r="D38">
            <v>0</v>
          </cell>
        </row>
        <row r="39">
          <cell r="A39" t="str">
            <v>CF12825</v>
          </cell>
          <cell r="B39">
            <v>0</v>
          </cell>
          <cell r="C39">
            <v>26</v>
          </cell>
          <cell r="D39">
            <v>6</v>
          </cell>
        </row>
        <row r="40">
          <cell r="A40" t="str">
            <v>CF17803</v>
          </cell>
          <cell r="B40">
            <v>0</v>
          </cell>
          <cell r="C40">
            <v>14</v>
          </cell>
          <cell r="D40">
            <v>0</v>
          </cell>
        </row>
        <row r="41">
          <cell r="A41" t="str">
            <v>CF17805</v>
          </cell>
          <cell r="B41">
            <v>0</v>
          </cell>
          <cell r="C41">
            <v>5</v>
          </cell>
          <cell r="D41">
            <v>0</v>
          </cell>
        </row>
        <row r="42">
          <cell r="A42" t="str">
            <v>CF21802</v>
          </cell>
          <cell r="B42">
            <v>0</v>
          </cell>
          <cell r="C42">
            <v>4</v>
          </cell>
          <cell r="D42">
            <v>0</v>
          </cell>
        </row>
        <row r="43">
          <cell r="A43" t="str">
            <v>CF21803</v>
          </cell>
          <cell r="B43">
            <v>0</v>
          </cell>
          <cell r="C43">
            <v>2</v>
          </cell>
          <cell r="D43">
            <v>0</v>
          </cell>
        </row>
        <row r="44">
          <cell r="A44" t="str">
            <v>CF21807</v>
          </cell>
          <cell r="B44">
            <v>0</v>
          </cell>
          <cell r="C44">
            <v>54</v>
          </cell>
          <cell r="D44">
            <v>0</v>
          </cell>
        </row>
        <row r="45">
          <cell r="A45" t="str">
            <v>CF21812</v>
          </cell>
          <cell r="B45">
            <v>0</v>
          </cell>
          <cell r="C45">
            <v>1</v>
          </cell>
          <cell r="D45">
            <v>0</v>
          </cell>
        </row>
        <row r="46">
          <cell r="A46" t="str">
            <v>CF21817</v>
          </cell>
          <cell r="B46">
            <v>0</v>
          </cell>
          <cell r="C46">
            <v>16</v>
          </cell>
          <cell r="D46">
            <v>0</v>
          </cell>
        </row>
        <row r="47">
          <cell r="A47" t="str">
            <v>CF21856</v>
          </cell>
          <cell r="B47">
            <v>0</v>
          </cell>
          <cell r="C47">
            <v>645</v>
          </cell>
          <cell r="D47">
            <v>0</v>
          </cell>
        </row>
        <row r="48">
          <cell r="A48" t="str">
            <v>CF21858</v>
          </cell>
          <cell r="B48">
            <v>0</v>
          </cell>
          <cell r="C48">
            <v>12</v>
          </cell>
          <cell r="D48">
            <v>1</v>
          </cell>
        </row>
        <row r="49">
          <cell r="A49" t="str">
            <v>CF21859</v>
          </cell>
          <cell r="B49">
            <v>0</v>
          </cell>
          <cell r="C49">
            <v>310</v>
          </cell>
          <cell r="D49">
            <v>6</v>
          </cell>
        </row>
        <row r="50">
          <cell r="A50" t="str">
            <v>CF21864</v>
          </cell>
          <cell r="B50">
            <v>269</v>
          </cell>
          <cell r="C50">
            <v>0</v>
          </cell>
          <cell r="D50">
            <v>0</v>
          </cell>
        </row>
        <row r="51">
          <cell r="A51" t="str">
            <v>CF21865</v>
          </cell>
          <cell r="B51">
            <v>37</v>
          </cell>
          <cell r="C51">
            <v>15</v>
          </cell>
          <cell r="D51">
            <v>0</v>
          </cell>
        </row>
        <row r="52">
          <cell r="A52" t="str">
            <v>CF21866</v>
          </cell>
          <cell r="B52">
            <v>869</v>
          </cell>
          <cell r="C52">
            <v>0</v>
          </cell>
          <cell r="D52">
            <v>0</v>
          </cell>
        </row>
        <row r="53">
          <cell r="A53" t="str">
            <v>CF21887</v>
          </cell>
          <cell r="B53">
            <v>0</v>
          </cell>
          <cell r="C53">
            <v>1</v>
          </cell>
          <cell r="D53">
            <v>0</v>
          </cell>
        </row>
        <row r="54">
          <cell r="A54" t="str">
            <v>CF22811</v>
          </cell>
          <cell r="B54">
            <v>0</v>
          </cell>
          <cell r="C54">
            <v>74</v>
          </cell>
          <cell r="D54">
            <v>9</v>
          </cell>
        </row>
        <row r="55">
          <cell r="A55" t="str">
            <v>CF33821</v>
          </cell>
          <cell r="B55">
            <v>0</v>
          </cell>
          <cell r="C55">
            <v>285</v>
          </cell>
          <cell r="D55">
            <v>16</v>
          </cell>
        </row>
        <row r="56">
          <cell r="A56" t="str">
            <v>CF33834</v>
          </cell>
          <cell r="B56">
            <v>0</v>
          </cell>
          <cell r="C56">
            <v>518</v>
          </cell>
          <cell r="D56">
            <v>10</v>
          </cell>
        </row>
        <row r="57">
          <cell r="A57" t="str">
            <v>CF33890</v>
          </cell>
          <cell r="B57">
            <v>0</v>
          </cell>
          <cell r="C57">
            <v>28</v>
          </cell>
          <cell r="D57">
            <v>2</v>
          </cell>
        </row>
        <row r="58">
          <cell r="A58" t="str">
            <v>CF33891</v>
          </cell>
          <cell r="B58">
            <v>0</v>
          </cell>
          <cell r="C58">
            <v>179</v>
          </cell>
          <cell r="D58">
            <v>1</v>
          </cell>
        </row>
        <row r="59">
          <cell r="A59" t="str">
            <v>CF33892</v>
          </cell>
          <cell r="B59">
            <v>0</v>
          </cell>
          <cell r="C59">
            <v>1298</v>
          </cell>
          <cell r="D59">
            <v>13</v>
          </cell>
        </row>
        <row r="60">
          <cell r="A60" t="str">
            <v>CF34807</v>
          </cell>
          <cell r="B60">
            <v>0</v>
          </cell>
          <cell r="C60">
            <v>10</v>
          </cell>
          <cell r="D60">
            <v>1</v>
          </cell>
        </row>
        <row r="61">
          <cell r="A61" t="str">
            <v>CF34810</v>
          </cell>
          <cell r="B61">
            <v>0</v>
          </cell>
          <cell r="C61">
            <v>118</v>
          </cell>
          <cell r="D61">
            <v>0</v>
          </cell>
        </row>
        <row r="62">
          <cell r="A62" t="str">
            <v>CF34813</v>
          </cell>
          <cell r="B62">
            <v>0</v>
          </cell>
          <cell r="C62">
            <v>120</v>
          </cell>
          <cell r="D62">
            <v>19</v>
          </cell>
        </row>
        <row r="63">
          <cell r="A63" t="str">
            <v>CF34844</v>
          </cell>
          <cell r="B63">
            <v>0</v>
          </cell>
          <cell r="C63">
            <v>89</v>
          </cell>
          <cell r="D63">
            <v>36</v>
          </cell>
        </row>
        <row r="64">
          <cell r="A64" t="str">
            <v>CF53805</v>
          </cell>
          <cell r="B64">
            <v>0</v>
          </cell>
          <cell r="C64">
            <v>7</v>
          </cell>
          <cell r="D64">
            <v>0</v>
          </cell>
        </row>
        <row r="65">
          <cell r="A65" t="str">
            <v>ED01804</v>
          </cell>
          <cell r="B65">
            <v>0</v>
          </cell>
          <cell r="C65">
            <v>3</v>
          </cell>
          <cell r="D65">
            <v>0</v>
          </cell>
        </row>
        <row r="66">
          <cell r="A66" t="str">
            <v>ED02805</v>
          </cell>
          <cell r="B66">
            <v>0</v>
          </cell>
          <cell r="C66">
            <v>12</v>
          </cell>
          <cell r="D66">
            <v>0</v>
          </cell>
        </row>
        <row r="67">
          <cell r="A67" t="str">
            <v>ED02809</v>
          </cell>
          <cell r="B67">
            <v>0</v>
          </cell>
          <cell r="C67">
            <v>2</v>
          </cell>
          <cell r="D67">
            <v>0</v>
          </cell>
        </row>
        <row r="68">
          <cell r="A68" t="str">
            <v>P01801</v>
          </cell>
          <cell r="B68">
            <v>0</v>
          </cell>
          <cell r="C68">
            <v>2</v>
          </cell>
          <cell r="D68">
            <v>0</v>
          </cell>
        </row>
        <row r="69">
          <cell r="A69" t="str">
            <v>P02802</v>
          </cell>
          <cell r="B69">
            <v>0</v>
          </cell>
          <cell r="C69">
            <v>1</v>
          </cell>
          <cell r="D69">
            <v>0</v>
          </cell>
        </row>
        <row r="70">
          <cell r="A70" t="str">
            <v>P04803</v>
          </cell>
          <cell r="B70">
            <v>0</v>
          </cell>
          <cell r="C70">
            <v>1</v>
          </cell>
          <cell r="D70">
            <v>0</v>
          </cell>
        </row>
        <row r="71">
          <cell r="A71" t="str">
            <v>S01803</v>
          </cell>
          <cell r="B71">
            <v>0</v>
          </cell>
          <cell r="C71">
            <v>433</v>
          </cell>
          <cell r="D71">
            <v>23</v>
          </cell>
        </row>
        <row r="72">
          <cell r="A72" t="str">
            <v>S01804</v>
          </cell>
          <cell r="B72">
            <v>0</v>
          </cell>
          <cell r="C72">
            <v>77</v>
          </cell>
          <cell r="D72">
            <v>0</v>
          </cell>
        </row>
        <row r="73">
          <cell r="A73" t="str">
            <v>S01807</v>
          </cell>
          <cell r="B73">
            <v>0</v>
          </cell>
          <cell r="C73">
            <v>832</v>
          </cell>
          <cell r="D73">
            <v>374</v>
          </cell>
        </row>
        <row r="74">
          <cell r="A74" t="str">
            <v>S01808</v>
          </cell>
          <cell r="B74">
            <v>0</v>
          </cell>
          <cell r="C74">
            <v>327</v>
          </cell>
          <cell r="D74">
            <v>115</v>
          </cell>
        </row>
        <row r="75">
          <cell r="A75" t="str">
            <v>S02804</v>
          </cell>
          <cell r="B75">
            <v>0</v>
          </cell>
          <cell r="C75">
            <v>1</v>
          </cell>
          <cell r="D75">
            <v>0</v>
          </cell>
        </row>
        <row r="76">
          <cell r="A76" t="str">
            <v>S02810</v>
          </cell>
          <cell r="B76">
            <v>0</v>
          </cell>
          <cell r="C76">
            <v>1</v>
          </cell>
          <cell r="D76">
            <v>0</v>
          </cell>
        </row>
        <row r="77">
          <cell r="A77" t="str">
            <v>S03802</v>
          </cell>
          <cell r="B77">
            <v>0</v>
          </cell>
          <cell r="C77">
            <v>102</v>
          </cell>
          <cell r="D77">
            <v>10</v>
          </cell>
        </row>
        <row r="78">
          <cell r="A78" t="str">
            <v>S05805</v>
          </cell>
          <cell r="B78">
            <v>0</v>
          </cell>
          <cell r="C78">
            <v>20</v>
          </cell>
          <cell r="D78">
            <v>0</v>
          </cell>
        </row>
        <row r="79">
          <cell r="A79" t="str">
            <v>S05806</v>
          </cell>
          <cell r="B79">
            <v>0</v>
          </cell>
          <cell r="C79">
            <v>1160</v>
          </cell>
          <cell r="D79">
            <v>0</v>
          </cell>
        </row>
        <row r="80">
          <cell r="A80" t="str">
            <v>S08802</v>
          </cell>
          <cell r="B80">
            <v>0</v>
          </cell>
          <cell r="C80">
            <v>269</v>
          </cell>
          <cell r="D80">
            <v>93</v>
          </cell>
        </row>
        <row r="81">
          <cell r="A81" t="str">
            <v>S09801</v>
          </cell>
          <cell r="B81">
            <v>0</v>
          </cell>
          <cell r="C81">
            <v>17</v>
          </cell>
          <cell r="D81">
            <v>0</v>
          </cell>
        </row>
        <row r="82">
          <cell r="A82" t="str">
            <v>S10802</v>
          </cell>
          <cell r="B82">
            <v>0</v>
          </cell>
          <cell r="C82">
            <v>9</v>
          </cell>
          <cell r="D82">
            <v>0</v>
          </cell>
        </row>
        <row r="83">
          <cell r="A83" t="str">
            <v>T03803</v>
          </cell>
          <cell r="B83">
            <v>0</v>
          </cell>
          <cell r="C83">
            <v>403</v>
          </cell>
          <cell r="D83">
            <v>72</v>
          </cell>
        </row>
        <row r="84">
          <cell r="A84" t="str">
            <v>T03804</v>
          </cell>
          <cell r="B84">
            <v>0</v>
          </cell>
          <cell r="C84">
            <v>409</v>
          </cell>
          <cell r="D84">
            <v>4</v>
          </cell>
        </row>
        <row r="85">
          <cell r="A85" t="str">
            <v>T03810</v>
          </cell>
          <cell r="B85">
            <v>0</v>
          </cell>
          <cell r="C85">
            <v>6</v>
          </cell>
          <cell r="D85">
            <v>0</v>
          </cell>
        </row>
        <row r="86">
          <cell r="A86" t="str">
            <v>T03812</v>
          </cell>
          <cell r="B86">
            <v>0</v>
          </cell>
          <cell r="C86">
            <v>5</v>
          </cell>
          <cell r="D86">
            <v>0</v>
          </cell>
        </row>
        <row r="87">
          <cell r="A87" t="str">
            <v>T03824</v>
          </cell>
          <cell r="B87">
            <v>0</v>
          </cell>
          <cell r="C87">
            <v>4</v>
          </cell>
          <cell r="D87">
            <v>0</v>
          </cell>
        </row>
        <row r="88">
          <cell r="A88" t="str">
            <v>T04801</v>
          </cell>
          <cell r="B88">
            <v>0</v>
          </cell>
          <cell r="C88">
            <v>5</v>
          </cell>
          <cell r="D88">
            <v>0</v>
          </cell>
        </row>
        <row r="89">
          <cell r="A89" t="str">
            <v>T04802</v>
          </cell>
          <cell r="B89">
            <v>0</v>
          </cell>
          <cell r="C89">
            <v>1</v>
          </cell>
          <cell r="D89">
            <v>0</v>
          </cell>
        </row>
        <row r="90">
          <cell r="A90" t="str">
            <v>T04803</v>
          </cell>
          <cell r="B90">
            <v>0</v>
          </cell>
          <cell r="C90">
            <v>18</v>
          </cell>
          <cell r="D90">
            <v>0</v>
          </cell>
        </row>
        <row r="91">
          <cell r="A91" t="str">
            <v>T04804</v>
          </cell>
          <cell r="B91">
            <v>0</v>
          </cell>
          <cell r="C91">
            <v>5</v>
          </cell>
          <cell r="D91">
            <v>0</v>
          </cell>
        </row>
        <row r="92">
          <cell r="A92" t="str">
            <v>T05808</v>
          </cell>
          <cell r="B92">
            <v>0</v>
          </cell>
          <cell r="C92">
            <v>397</v>
          </cell>
          <cell r="D92">
            <v>25</v>
          </cell>
        </row>
        <row r="93">
          <cell r="A93" t="str">
            <v>T05809</v>
          </cell>
          <cell r="B93">
            <v>0</v>
          </cell>
          <cell r="C93">
            <v>102</v>
          </cell>
          <cell r="D93">
            <v>20</v>
          </cell>
        </row>
        <row r="94">
          <cell r="A94" t="str">
            <v>T06803</v>
          </cell>
          <cell r="B94">
            <v>0</v>
          </cell>
          <cell r="C94">
            <v>204</v>
          </cell>
          <cell r="D94">
            <v>0</v>
          </cell>
        </row>
        <row r="95">
          <cell r="A95" t="str">
            <v>T06806</v>
          </cell>
          <cell r="B95">
            <v>0</v>
          </cell>
          <cell r="C95">
            <v>16</v>
          </cell>
          <cell r="D95">
            <v>0</v>
          </cell>
        </row>
        <row r="96">
          <cell r="A96" t="str">
            <v>T06807</v>
          </cell>
          <cell r="B96">
            <v>0</v>
          </cell>
          <cell r="C96">
            <v>1</v>
          </cell>
          <cell r="D96">
            <v>0</v>
          </cell>
        </row>
        <row r="97">
          <cell r="A97" t="str">
            <v>T08803</v>
          </cell>
          <cell r="B97">
            <v>0</v>
          </cell>
          <cell r="C97">
            <v>64</v>
          </cell>
          <cell r="D97">
            <v>3</v>
          </cell>
        </row>
        <row r="98">
          <cell r="A98" t="str">
            <v>T09802</v>
          </cell>
          <cell r="B98">
            <v>0</v>
          </cell>
          <cell r="C98">
            <v>2</v>
          </cell>
          <cell r="D98">
            <v>0</v>
          </cell>
        </row>
        <row r="99">
          <cell r="A99" t="str">
            <v>T09803</v>
          </cell>
          <cell r="B99">
            <v>0</v>
          </cell>
          <cell r="C99">
            <v>1</v>
          </cell>
          <cell r="D99">
            <v>0</v>
          </cell>
        </row>
        <row r="100">
          <cell r="A100" t="str">
            <v>T13801</v>
          </cell>
          <cell r="B100">
            <v>0</v>
          </cell>
          <cell r="C100">
            <v>2</v>
          </cell>
          <cell r="D100">
            <v>0</v>
          </cell>
        </row>
        <row r="101">
          <cell r="A101" t="str">
            <v>T13803</v>
          </cell>
          <cell r="B101">
            <v>0</v>
          </cell>
          <cell r="C101">
            <v>2</v>
          </cell>
          <cell r="D101">
            <v>0</v>
          </cell>
        </row>
        <row r="102">
          <cell r="A102" t="str">
            <v>T16803</v>
          </cell>
          <cell r="B102">
            <v>0</v>
          </cell>
          <cell r="C102">
            <v>2</v>
          </cell>
          <cell r="D102">
            <v>0</v>
          </cell>
        </row>
        <row r="103">
          <cell r="A103" t="str">
            <v>T22816</v>
          </cell>
          <cell r="B103">
            <v>0</v>
          </cell>
          <cell r="C103">
            <v>29</v>
          </cell>
          <cell r="D103">
            <v>0</v>
          </cell>
        </row>
        <row r="104">
          <cell r="A104" t="str">
            <v>T22818</v>
          </cell>
          <cell r="B104">
            <v>0</v>
          </cell>
          <cell r="C104">
            <v>9</v>
          </cell>
          <cell r="D104">
            <v>0</v>
          </cell>
        </row>
        <row r="105">
          <cell r="A105" t="str">
            <v>T22823</v>
          </cell>
          <cell r="B105">
            <v>0</v>
          </cell>
          <cell r="C105">
            <v>55</v>
          </cell>
          <cell r="D105">
            <v>0</v>
          </cell>
        </row>
        <row r="106">
          <cell r="A106" t="str">
            <v>T22827</v>
          </cell>
          <cell r="B106">
            <v>0</v>
          </cell>
          <cell r="C106">
            <v>58</v>
          </cell>
          <cell r="D106">
            <v>0</v>
          </cell>
        </row>
        <row r="107">
          <cell r="A107" t="str">
            <v>T26803</v>
          </cell>
          <cell r="B107">
            <v>0</v>
          </cell>
          <cell r="C107">
            <v>162</v>
          </cell>
          <cell r="D107">
            <v>54</v>
          </cell>
        </row>
        <row r="108">
          <cell r="A108" t="str">
            <v>T41805</v>
          </cell>
          <cell r="B108">
            <v>0</v>
          </cell>
          <cell r="C108">
            <v>2</v>
          </cell>
          <cell r="D108">
            <v>0</v>
          </cell>
        </row>
        <row r="109">
          <cell r="A109" t="str">
            <v>T41809</v>
          </cell>
          <cell r="B109">
            <v>0</v>
          </cell>
          <cell r="C109">
            <v>3</v>
          </cell>
          <cell r="D109">
            <v>0</v>
          </cell>
        </row>
        <row r="110">
          <cell r="A110" t="str">
            <v>T41810</v>
          </cell>
          <cell r="B110">
            <v>0</v>
          </cell>
          <cell r="C110">
            <v>2</v>
          </cell>
          <cell r="D110">
            <v>0</v>
          </cell>
        </row>
        <row r="111">
          <cell r="A111" t="str">
            <v>T41811</v>
          </cell>
          <cell r="B111">
            <v>0</v>
          </cell>
          <cell r="C111">
            <v>4</v>
          </cell>
          <cell r="D111">
            <v>0</v>
          </cell>
        </row>
        <row r="112">
          <cell r="A112" t="str">
            <v>T41814</v>
          </cell>
          <cell r="B112">
            <v>0</v>
          </cell>
          <cell r="C112">
            <v>9</v>
          </cell>
          <cell r="D112">
            <v>0</v>
          </cell>
        </row>
        <row r="113">
          <cell r="A113" t="str">
            <v>T41815</v>
          </cell>
          <cell r="B113">
            <v>0</v>
          </cell>
          <cell r="C113">
            <v>3</v>
          </cell>
          <cell r="D113">
            <v>0</v>
          </cell>
        </row>
        <row r="114">
          <cell r="A114" t="str">
            <v>T41818</v>
          </cell>
          <cell r="B114">
            <v>0</v>
          </cell>
          <cell r="C114">
            <v>22</v>
          </cell>
          <cell r="D114">
            <v>0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IPN"/>
      <sheetName val="POI"/>
      <sheetName val="COFAA"/>
      <sheetName val="CINVESTAV"/>
      <sheetName val="CONALEP"/>
      <sheetName val="CETI"/>
      <sheetName val="INAOE"/>
      <sheetName val="CIDESI"/>
      <sheetName val="INDA"/>
    </sheetNames>
    <sheetDataSet>
      <sheetData sheetId="0">
        <row r="11">
          <cell r="B11" t="str">
            <v>JC1</v>
          </cell>
          <cell r="C11" t="str">
            <v>DIRECTOR GENERAL</v>
          </cell>
          <cell r="D11" t="str">
            <v>JC1</v>
          </cell>
          <cell r="E11">
            <v>25454.98</v>
          </cell>
          <cell r="F11">
            <v>167129.38</v>
          </cell>
          <cell r="G11">
            <v>12972.91</v>
          </cell>
          <cell r="H11">
            <v>25913.149999999998</v>
          </cell>
          <cell r="I11">
            <v>170137.7</v>
          </cell>
          <cell r="K11">
            <v>25913.16964</v>
          </cell>
          <cell r="L11">
            <v>170137.70884000001</v>
          </cell>
        </row>
        <row r="12">
          <cell r="B12" t="str">
            <v>LB2</v>
          </cell>
          <cell r="C12" t="str">
            <v>SECRETARIO</v>
          </cell>
          <cell r="D12" t="str">
            <v>LB2</v>
          </cell>
          <cell r="E12">
            <v>19328.43</v>
          </cell>
          <cell r="F12">
            <v>92251.24</v>
          </cell>
          <cell r="G12">
            <v>18476.990000000002</v>
          </cell>
          <cell r="H12">
            <v>19676.349999999999</v>
          </cell>
          <cell r="I12">
            <v>93911.75</v>
          </cell>
          <cell r="K12">
            <v>19676.34174</v>
          </cell>
          <cell r="L12">
            <v>93911.762320000009</v>
          </cell>
        </row>
        <row r="13">
          <cell r="B13" t="str">
            <v>LC1</v>
          </cell>
          <cell r="C13" t="str">
            <v>ABOGADO GENERAL</v>
          </cell>
          <cell r="D13" t="str">
            <v>LC1</v>
          </cell>
          <cell r="E13">
            <v>19328.43</v>
          </cell>
          <cell r="F13">
            <v>92251.24</v>
          </cell>
          <cell r="G13">
            <v>2792.23</v>
          </cell>
          <cell r="H13">
            <v>19676.349999999999</v>
          </cell>
          <cell r="I13">
            <v>93911.75</v>
          </cell>
          <cell r="K13">
            <v>19676.34174</v>
          </cell>
          <cell r="L13">
            <v>93911.762320000009</v>
          </cell>
        </row>
        <row r="14">
          <cell r="B14" t="str">
            <v>LC2</v>
          </cell>
          <cell r="C14" t="str">
            <v>SECRETARIO</v>
          </cell>
          <cell r="D14" t="str">
            <v>LC2</v>
          </cell>
          <cell r="E14">
            <v>19328.43</v>
          </cell>
          <cell r="F14">
            <v>108988.19</v>
          </cell>
          <cell r="H14">
            <v>19676.349999999999</v>
          </cell>
          <cell r="I14">
            <v>110950</v>
          </cell>
          <cell r="K14">
            <v>19676.34174</v>
          </cell>
          <cell r="L14">
            <v>110949.97742000001</v>
          </cell>
        </row>
        <row r="15">
          <cell r="B15" t="str">
            <v>1LC2</v>
          </cell>
          <cell r="G15">
            <v>7948.77</v>
          </cell>
        </row>
        <row r="16">
          <cell r="B16" t="str">
            <v>2LC2</v>
          </cell>
          <cell r="G16">
            <v>9783.0400000000009</v>
          </cell>
        </row>
        <row r="17">
          <cell r="B17" t="str">
            <v>3LC2</v>
          </cell>
          <cell r="G17">
            <v>11524.24</v>
          </cell>
        </row>
        <row r="18">
          <cell r="B18" t="str">
            <v>MA1</v>
          </cell>
          <cell r="C18" t="str">
            <v>DIRECTOR DE ESCUELA SUPERIOR "A"</v>
          </cell>
          <cell r="D18" t="str">
            <v>MA1</v>
          </cell>
          <cell r="E18">
            <v>10853.72</v>
          </cell>
          <cell r="F18">
            <v>36271.71</v>
          </cell>
          <cell r="G18">
            <v>17445.39</v>
          </cell>
          <cell r="H18">
            <v>11049.1</v>
          </cell>
          <cell r="I18">
            <v>36924.6</v>
          </cell>
          <cell r="K18">
            <v>11049.086959999999</v>
          </cell>
          <cell r="L18">
            <v>36924.600780000001</v>
          </cell>
        </row>
        <row r="19">
          <cell r="B19" t="str">
            <v>MA2</v>
          </cell>
          <cell r="C19" t="str">
            <v>COORD. DE ASESORES DE DIR. GRAL.</v>
          </cell>
          <cell r="D19" t="str">
            <v>MA2</v>
          </cell>
          <cell r="E19">
            <v>12249.51</v>
          </cell>
          <cell r="F19">
            <v>42887.24</v>
          </cell>
          <cell r="H19">
            <v>12470</v>
          </cell>
          <cell r="I19">
            <v>43659.199999999997</v>
          </cell>
          <cell r="K19">
            <v>12470.001180000001</v>
          </cell>
          <cell r="L19">
            <v>43659.22</v>
          </cell>
        </row>
        <row r="20">
          <cell r="B20" t="str">
            <v>MC1</v>
          </cell>
          <cell r="C20" t="str">
            <v>DIRECTOR DE ÁREA</v>
          </cell>
          <cell r="D20" t="str">
            <v>MC1</v>
          </cell>
          <cell r="E20">
            <v>15400.62</v>
          </cell>
          <cell r="F20">
            <v>49109.38</v>
          </cell>
          <cell r="H20">
            <v>15677.849999999999</v>
          </cell>
          <cell r="I20">
            <v>49993.350000000006</v>
          </cell>
          <cell r="K20">
            <v>15677.831160000002</v>
          </cell>
          <cell r="L20">
            <v>49993.348839999999</v>
          </cell>
        </row>
        <row r="21">
          <cell r="B21" t="str">
            <v>1MC1</v>
          </cell>
          <cell r="G21">
            <v>3337.76</v>
          </cell>
        </row>
        <row r="22">
          <cell r="B22" t="str">
            <v>2MC1</v>
          </cell>
          <cell r="G22">
            <v>24399.15</v>
          </cell>
        </row>
        <row r="23">
          <cell r="B23" t="str">
            <v>MC3</v>
          </cell>
          <cell r="C23" t="str">
            <v>DIRECTOR DE ÁREA</v>
          </cell>
          <cell r="D23" t="str">
            <v>MC3</v>
          </cell>
          <cell r="E23">
            <v>15400.62</v>
          </cell>
          <cell r="F23">
            <v>78267.899999999994</v>
          </cell>
          <cell r="H23">
            <v>15677.849999999999</v>
          </cell>
          <cell r="I23">
            <v>79676.75</v>
          </cell>
          <cell r="K23">
            <v>15677.831160000002</v>
          </cell>
          <cell r="L23">
            <v>79676.73</v>
          </cell>
        </row>
        <row r="24">
          <cell r="B24" t="str">
            <v>1MC3</v>
          </cell>
          <cell r="G24">
            <v>1517.08</v>
          </cell>
        </row>
        <row r="25">
          <cell r="B25" t="str">
            <v>2MC3</v>
          </cell>
          <cell r="G25">
            <v>1862.26</v>
          </cell>
        </row>
        <row r="26">
          <cell r="B26" t="str">
            <v>3MC3</v>
          </cell>
          <cell r="G26">
            <v>2216.5500000000002</v>
          </cell>
        </row>
        <row r="27">
          <cell r="B27" t="str">
            <v>4MC3</v>
          </cell>
          <cell r="G27">
            <v>2311.39</v>
          </cell>
        </row>
        <row r="28">
          <cell r="B28" t="str">
            <v>5MC3</v>
          </cell>
          <cell r="G28">
            <v>2495.92</v>
          </cell>
        </row>
        <row r="29">
          <cell r="B29" t="str">
            <v>6MC3</v>
          </cell>
          <cell r="G29">
            <v>4175.29</v>
          </cell>
        </row>
        <row r="30">
          <cell r="B30" t="str">
            <v>7MC3</v>
          </cell>
          <cell r="G30">
            <v>6490.13</v>
          </cell>
        </row>
        <row r="31">
          <cell r="B31" t="str">
            <v>8MC3</v>
          </cell>
          <cell r="G31">
            <v>7219.47</v>
          </cell>
        </row>
        <row r="32">
          <cell r="B32" t="str">
            <v>9MC3</v>
          </cell>
          <cell r="G32">
            <v>8421.7999999999993</v>
          </cell>
        </row>
        <row r="33">
          <cell r="B33" t="str">
            <v>10MC3</v>
          </cell>
          <cell r="G33">
            <v>8730.26</v>
          </cell>
        </row>
        <row r="34">
          <cell r="B34" t="str">
            <v>11MC3</v>
          </cell>
          <cell r="G34">
            <v>9230.84</v>
          </cell>
        </row>
        <row r="35">
          <cell r="B35" t="str">
            <v>12MC3</v>
          </cell>
          <cell r="G35">
            <v>11074.07</v>
          </cell>
        </row>
        <row r="36">
          <cell r="B36" t="str">
            <v>13MC3</v>
          </cell>
          <cell r="G36">
            <v>11669.12</v>
          </cell>
        </row>
        <row r="37">
          <cell r="B37" t="str">
            <v>14MC3</v>
          </cell>
          <cell r="G37">
            <v>12497.23</v>
          </cell>
        </row>
        <row r="38">
          <cell r="B38" t="str">
            <v>15MC3</v>
          </cell>
          <cell r="G38">
            <v>13358.7</v>
          </cell>
        </row>
        <row r="39">
          <cell r="B39" t="str">
            <v>16MC3</v>
          </cell>
          <cell r="G39">
            <v>15288.78</v>
          </cell>
        </row>
        <row r="40">
          <cell r="B40" t="str">
            <v>NB2</v>
          </cell>
          <cell r="C40" t="str">
            <v>JEFE DE DIVISIÓN "B"</v>
          </cell>
          <cell r="D40" t="str">
            <v>NB2</v>
          </cell>
          <cell r="E40">
            <v>8206.6</v>
          </cell>
          <cell r="F40">
            <v>24737.47</v>
          </cell>
          <cell r="H40">
            <v>8354.2999999999993</v>
          </cell>
          <cell r="I40">
            <v>25182.75</v>
          </cell>
          <cell r="K40">
            <v>8354.3188000000009</v>
          </cell>
          <cell r="L40">
            <v>25182.744460000002</v>
          </cell>
        </row>
        <row r="41">
          <cell r="B41" t="str">
            <v>1NB2</v>
          </cell>
          <cell r="G41">
            <v>1075.32</v>
          </cell>
        </row>
        <row r="42">
          <cell r="B42" t="str">
            <v>2NB2</v>
          </cell>
          <cell r="G42">
            <v>6848.82</v>
          </cell>
        </row>
        <row r="43">
          <cell r="B43" t="str">
            <v>3NB2</v>
          </cell>
          <cell r="G43">
            <v>8826.7000000000007</v>
          </cell>
        </row>
        <row r="44">
          <cell r="B44" t="str">
            <v>4NB2</v>
          </cell>
          <cell r="G44">
            <v>10824.53</v>
          </cell>
        </row>
        <row r="45">
          <cell r="B45" t="str">
            <v>5NB2</v>
          </cell>
          <cell r="G45">
            <v>16022.61</v>
          </cell>
        </row>
        <row r="46">
          <cell r="B46" t="str">
            <v>NB2-1</v>
          </cell>
          <cell r="C46" t="str">
            <v>JEFE DE DIVISÓN "A"</v>
          </cell>
          <cell r="D46" t="str">
            <v>NB2</v>
          </cell>
          <cell r="E46">
            <v>7301.88</v>
          </cell>
          <cell r="F46">
            <v>25642.19</v>
          </cell>
          <cell r="G46">
            <v>17410.849999999999</v>
          </cell>
          <cell r="H46">
            <v>7433.3</v>
          </cell>
          <cell r="I46">
            <v>26103.75</v>
          </cell>
          <cell r="K46">
            <v>7433.3138399999998</v>
          </cell>
          <cell r="L46">
            <v>26103.74942</v>
          </cell>
        </row>
        <row r="47">
          <cell r="B47" t="str">
            <v>NB2-2</v>
          </cell>
          <cell r="C47" t="str">
            <v>SRIO. PARTICULAR DE DIR. GRAL.</v>
          </cell>
          <cell r="D47" t="str">
            <v>NB2</v>
          </cell>
          <cell r="E47">
            <v>7902.11</v>
          </cell>
          <cell r="F47">
            <v>25041.919999999998</v>
          </cell>
          <cell r="G47">
            <v>2934.18</v>
          </cell>
          <cell r="H47">
            <v>8044.35</v>
          </cell>
          <cell r="I47">
            <v>25492.7</v>
          </cell>
          <cell r="K47">
            <v>8044.3479799999996</v>
          </cell>
          <cell r="L47">
            <v>25492.71</v>
          </cell>
        </row>
        <row r="48">
          <cell r="B48" t="str">
            <v>NB2-3</v>
          </cell>
          <cell r="C48" t="str">
            <v>SUBDIRECTOR DE CECYT "C"</v>
          </cell>
          <cell r="D48" t="str">
            <v>NB2</v>
          </cell>
          <cell r="E48">
            <v>9403.4500000000007</v>
          </cell>
          <cell r="F48">
            <v>23540.62</v>
          </cell>
          <cell r="H48">
            <v>9572.7000000000007</v>
          </cell>
          <cell r="I48">
            <v>23964.35</v>
          </cell>
          <cell r="K48">
            <v>9572.7121000000006</v>
          </cell>
          <cell r="L48">
            <v>23964.351159999998</v>
          </cell>
        </row>
        <row r="49">
          <cell r="B49" t="str">
            <v>NC1</v>
          </cell>
          <cell r="C49" t="str">
            <v>JEFE DE DIVISIÓN "C"</v>
          </cell>
          <cell r="D49" t="str">
            <v>NC1</v>
          </cell>
          <cell r="E49">
            <v>9587.36</v>
          </cell>
          <cell r="F49">
            <v>23356.71</v>
          </cell>
          <cell r="H49">
            <v>9759.9499999999989</v>
          </cell>
          <cell r="I49">
            <v>23777.149999999998</v>
          </cell>
          <cell r="K49">
            <v>9759.9324800000013</v>
          </cell>
          <cell r="L49">
            <v>23777.13078</v>
          </cell>
        </row>
        <row r="50">
          <cell r="B50" t="str">
            <v>1NC1</v>
          </cell>
          <cell r="G50">
            <v>604.16999999999996</v>
          </cell>
        </row>
        <row r="51">
          <cell r="B51" t="str">
            <v>2NC1</v>
          </cell>
          <cell r="G51">
            <v>2389.77</v>
          </cell>
        </row>
        <row r="52">
          <cell r="B52" t="str">
            <v>3NC1</v>
          </cell>
          <cell r="G52">
            <v>7548.45</v>
          </cell>
        </row>
        <row r="53">
          <cell r="B53" t="str">
            <v>4NC1</v>
          </cell>
          <cell r="G53">
            <v>7789.73</v>
          </cell>
        </row>
        <row r="54">
          <cell r="B54" t="str">
            <v>5NC1</v>
          </cell>
          <cell r="G54">
            <v>9219.89</v>
          </cell>
        </row>
        <row r="55">
          <cell r="B55" t="str">
            <v>6NC1</v>
          </cell>
          <cell r="G55">
            <v>10956.1</v>
          </cell>
        </row>
        <row r="56">
          <cell r="B56" t="str">
            <v>7NC1</v>
          </cell>
          <cell r="G56">
            <v>15870.55</v>
          </cell>
        </row>
        <row r="57">
          <cell r="B57" t="str">
            <v>8NC1</v>
          </cell>
          <cell r="G57">
            <v>16195.56</v>
          </cell>
        </row>
        <row r="58">
          <cell r="B58" t="str">
            <v>9NC1</v>
          </cell>
          <cell r="G58">
            <v>18887.64</v>
          </cell>
        </row>
        <row r="59">
          <cell r="B59" t="str">
            <v>10NC1</v>
          </cell>
          <cell r="G59">
            <v>23075.48</v>
          </cell>
        </row>
        <row r="60">
          <cell r="B60" t="str">
            <v>NC2</v>
          </cell>
          <cell r="C60" t="str">
            <v>JEFE DE DIVISIÓN "C"</v>
          </cell>
          <cell r="D60" t="str">
            <v>NC2</v>
          </cell>
          <cell r="E60">
            <v>9587.36</v>
          </cell>
          <cell r="F60">
            <v>29616.080000000002</v>
          </cell>
          <cell r="H60">
            <v>9759.9499999999989</v>
          </cell>
          <cell r="I60">
            <v>30149.199999999997</v>
          </cell>
          <cell r="K60">
            <v>9759.9324800000013</v>
          </cell>
          <cell r="L60">
            <v>30149.18</v>
          </cell>
        </row>
        <row r="61">
          <cell r="B61" t="str">
            <v>1NC2</v>
          </cell>
          <cell r="G61">
            <v>275.64</v>
          </cell>
        </row>
        <row r="62">
          <cell r="B62" t="str">
            <v>2NC2</v>
          </cell>
          <cell r="G62">
            <v>526.35</v>
          </cell>
        </row>
        <row r="63">
          <cell r="B63" t="str">
            <v>3NC2</v>
          </cell>
          <cell r="G63">
            <v>528.88</v>
          </cell>
        </row>
        <row r="64">
          <cell r="B64" t="str">
            <v>4NC2</v>
          </cell>
          <cell r="G64">
            <v>1055.1099999999999</v>
          </cell>
        </row>
        <row r="65">
          <cell r="B65" t="str">
            <v>5NC2</v>
          </cell>
          <cell r="G65">
            <v>1567.95</v>
          </cell>
        </row>
        <row r="66">
          <cell r="B66" t="str">
            <v>6NC2</v>
          </cell>
          <cell r="G66">
            <v>1867.52</v>
          </cell>
        </row>
        <row r="67">
          <cell r="B67" t="str">
            <v>7NC2</v>
          </cell>
          <cell r="G67">
            <v>2500.7800000000002</v>
          </cell>
        </row>
        <row r="68">
          <cell r="B68" t="str">
            <v>8NC2</v>
          </cell>
          <cell r="G68">
            <v>3019.26</v>
          </cell>
        </row>
        <row r="69">
          <cell r="B69" t="str">
            <v>9NC2</v>
          </cell>
          <cell r="G69">
            <v>3895.88</v>
          </cell>
        </row>
        <row r="70">
          <cell r="B70" t="str">
            <v>10NC2</v>
          </cell>
          <cell r="G70">
            <v>5488.87</v>
          </cell>
        </row>
        <row r="71">
          <cell r="B71" t="str">
            <v>11NC2</v>
          </cell>
          <cell r="G71">
            <v>5504.76</v>
          </cell>
        </row>
        <row r="72">
          <cell r="B72" t="str">
            <v>12NC2</v>
          </cell>
          <cell r="G72">
            <v>5506.46</v>
          </cell>
        </row>
        <row r="73">
          <cell r="B73" t="str">
            <v>13NC2</v>
          </cell>
          <cell r="G73">
            <v>6175.76</v>
          </cell>
        </row>
        <row r="74">
          <cell r="B74" t="str">
            <v>14NC2</v>
          </cell>
          <cell r="G74">
            <v>6407.86</v>
          </cell>
        </row>
        <row r="75">
          <cell r="B75" t="str">
            <v>15NC2</v>
          </cell>
          <cell r="G75">
            <v>7750.91</v>
          </cell>
        </row>
        <row r="76">
          <cell r="B76" t="str">
            <v>16NC2</v>
          </cell>
          <cell r="G76">
            <v>7799.33</v>
          </cell>
        </row>
        <row r="77">
          <cell r="B77" t="str">
            <v>17NC2</v>
          </cell>
          <cell r="G77">
            <v>7912.29</v>
          </cell>
        </row>
        <row r="78">
          <cell r="B78" t="str">
            <v>18NC2</v>
          </cell>
          <cell r="G78">
            <v>7959.96</v>
          </cell>
        </row>
        <row r="79">
          <cell r="B79" t="str">
            <v>19NC2</v>
          </cell>
          <cell r="G79">
            <v>8058</v>
          </cell>
        </row>
        <row r="80">
          <cell r="B80" t="str">
            <v>20NC2</v>
          </cell>
          <cell r="G80">
            <v>8225.41</v>
          </cell>
        </row>
        <row r="81">
          <cell r="B81" t="str">
            <v>21NC2</v>
          </cell>
          <cell r="G81">
            <v>8476.2000000000007</v>
          </cell>
        </row>
        <row r="82">
          <cell r="B82" t="str">
            <v>22NC2</v>
          </cell>
          <cell r="G82">
            <v>9033.82</v>
          </cell>
        </row>
        <row r="83">
          <cell r="B83" t="str">
            <v>23NC2</v>
          </cell>
          <cell r="G83">
            <v>9127.23</v>
          </cell>
        </row>
        <row r="84">
          <cell r="B84" t="str">
            <v>24NC2</v>
          </cell>
          <cell r="G84">
            <v>9552.5499999999993</v>
          </cell>
        </row>
        <row r="85">
          <cell r="B85" t="str">
            <v>25NC2</v>
          </cell>
          <cell r="G85">
            <v>9851.9500000000007</v>
          </cell>
        </row>
        <row r="86">
          <cell r="B86" t="str">
            <v>26NC2</v>
          </cell>
          <cell r="G86">
            <v>10787.36</v>
          </cell>
        </row>
        <row r="87">
          <cell r="B87" t="str">
            <v>27NC2</v>
          </cell>
          <cell r="G87">
            <v>12546.33</v>
          </cell>
        </row>
        <row r="88">
          <cell r="B88" t="str">
            <v>28NC2</v>
          </cell>
          <cell r="G88">
            <v>12895.93</v>
          </cell>
        </row>
        <row r="89">
          <cell r="B89" t="str">
            <v>29NC2</v>
          </cell>
          <cell r="G89">
            <v>14391.85</v>
          </cell>
        </row>
        <row r="90">
          <cell r="B90" t="str">
            <v>30NC2</v>
          </cell>
          <cell r="G90">
            <v>14841.16</v>
          </cell>
        </row>
        <row r="91">
          <cell r="B91" t="str">
            <v>31NC2</v>
          </cell>
          <cell r="G91">
            <v>16224.3</v>
          </cell>
        </row>
        <row r="92">
          <cell r="B92" t="str">
            <v>32NC2</v>
          </cell>
          <cell r="G92">
            <v>16240.55</v>
          </cell>
        </row>
        <row r="93">
          <cell r="B93" t="str">
            <v>33NC2</v>
          </cell>
          <cell r="G93">
            <v>16474.71</v>
          </cell>
        </row>
        <row r="94">
          <cell r="B94" t="str">
            <v>34NC2</v>
          </cell>
          <cell r="G94">
            <v>17069.11</v>
          </cell>
        </row>
        <row r="95">
          <cell r="B95" t="str">
            <v>35NC2</v>
          </cell>
          <cell r="G95">
            <v>17400.57</v>
          </cell>
        </row>
        <row r="96">
          <cell r="B96" t="str">
            <v>36NC2</v>
          </cell>
          <cell r="G96">
            <v>17722.61</v>
          </cell>
        </row>
        <row r="97">
          <cell r="B97" t="str">
            <v>37NC2</v>
          </cell>
          <cell r="G97">
            <v>17717.439999999999</v>
          </cell>
        </row>
        <row r="98">
          <cell r="B98" t="str">
            <v>38NC2</v>
          </cell>
          <cell r="G98">
            <v>18449.32</v>
          </cell>
        </row>
        <row r="99">
          <cell r="B99" t="str">
            <v>39NC2</v>
          </cell>
          <cell r="G99">
            <v>18761.41</v>
          </cell>
        </row>
        <row r="100">
          <cell r="B100" t="str">
            <v>40NC2</v>
          </cell>
          <cell r="G100">
            <v>19723.62</v>
          </cell>
        </row>
        <row r="101">
          <cell r="B101" t="str">
            <v>41NC2</v>
          </cell>
          <cell r="G101">
            <v>20656.59</v>
          </cell>
        </row>
        <row r="102">
          <cell r="B102" t="str">
            <v>42NC2</v>
          </cell>
          <cell r="G102">
            <v>20659.29</v>
          </cell>
        </row>
        <row r="103">
          <cell r="B103" t="str">
            <v>43NC2</v>
          </cell>
          <cell r="G103">
            <v>22144.85</v>
          </cell>
        </row>
        <row r="104">
          <cell r="B104" t="str">
            <v>44NC2</v>
          </cell>
          <cell r="G104">
            <v>22919.13</v>
          </cell>
        </row>
        <row r="105">
          <cell r="B105" t="str">
            <v>45NC2</v>
          </cell>
          <cell r="G105">
            <v>23418.16</v>
          </cell>
        </row>
        <row r="106">
          <cell r="B106" t="str">
            <v>46NC2</v>
          </cell>
          <cell r="G106">
            <v>23497.42</v>
          </cell>
        </row>
        <row r="107">
          <cell r="B107" t="str">
            <v>47NC2</v>
          </cell>
          <cell r="G107">
            <v>25030.51</v>
          </cell>
        </row>
        <row r="108">
          <cell r="B108" t="str">
            <v>NC3</v>
          </cell>
          <cell r="C108" t="str">
            <v>DIRECTOR DE CECYT "C"</v>
          </cell>
          <cell r="D108" t="str">
            <v>NC3</v>
          </cell>
          <cell r="E108">
            <v>11653.43</v>
          </cell>
          <cell r="F108">
            <v>35390.699999999997</v>
          </cell>
          <cell r="H108">
            <v>11863.2</v>
          </cell>
          <cell r="I108">
            <v>36027.75</v>
          </cell>
          <cell r="K108">
            <v>11863.19174</v>
          </cell>
          <cell r="L108">
            <v>36027.74</v>
          </cell>
        </row>
        <row r="109">
          <cell r="B109" t="str">
            <v>1NC3</v>
          </cell>
          <cell r="G109">
            <v>2568.88</v>
          </cell>
        </row>
        <row r="110">
          <cell r="B110" t="str">
            <v>2NC3</v>
          </cell>
          <cell r="G110">
            <v>7082.73</v>
          </cell>
        </row>
        <row r="111">
          <cell r="B111" t="str">
            <v>3NC3</v>
          </cell>
          <cell r="G111">
            <v>11338.39</v>
          </cell>
        </row>
        <row r="112">
          <cell r="B112" t="str">
            <v>PA1</v>
          </cell>
          <cell r="C112" t="str">
            <v>DIRECTOR DE CENTRO DE DESARROLLO INFANTIL</v>
          </cell>
          <cell r="D112" t="str">
            <v>PA1</v>
          </cell>
          <cell r="E112">
            <v>4141.26</v>
          </cell>
          <cell r="F112">
            <v>9494.24</v>
          </cell>
          <cell r="G112">
            <v>708.98</v>
          </cell>
          <cell r="H112">
            <v>4215.8</v>
          </cell>
          <cell r="I112">
            <v>9665.15</v>
          </cell>
          <cell r="K112">
            <v>4215.8026800000007</v>
          </cell>
          <cell r="L112">
            <v>9665.1363199999996</v>
          </cell>
        </row>
        <row r="113">
          <cell r="B113" t="str">
            <v>1OA1</v>
          </cell>
          <cell r="G113">
            <v>8121.49</v>
          </cell>
        </row>
        <row r="114">
          <cell r="B114" t="str">
            <v>2OA1</v>
          </cell>
          <cell r="G114">
            <v>10871.25</v>
          </cell>
        </row>
        <row r="115">
          <cell r="B115" t="str">
            <v>3OA1</v>
          </cell>
          <cell r="G115">
            <v>13758.3</v>
          </cell>
        </row>
        <row r="116">
          <cell r="B116" t="str">
            <v>4OA1</v>
          </cell>
          <cell r="G116">
            <v>16874.77</v>
          </cell>
        </row>
        <row r="117">
          <cell r="B117" t="str">
            <v>PA2</v>
          </cell>
          <cell r="C117" t="str">
            <v>DIRECTOR DE CENTRO DE ATENCIÓN A ESTUDIANTES</v>
          </cell>
          <cell r="D117" t="str">
            <v>PA2</v>
          </cell>
          <cell r="E117">
            <v>4373.05</v>
          </cell>
          <cell r="F117">
            <v>10112.950000000001</v>
          </cell>
          <cell r="G117">
            <v>2001.33</v>
          </cell>
          <cell r="H117">
            <v>4451.75</v>
          </cell>
          <cell r="I117">
            <v>10295</v>
          </cell>
          <cell r="K117">
            <v>4451.7649000000001</v>
          </cell>
          <cell r="L117">
            <v>10294.99</v>
          </cell>
        </row>
        <row r="118">
          <cell r="B118" t="str">
            <v>1OA1-1</v>
          </cell>
          <cell r="G118">
            <v>2705.94</v>
          </cell>
        </row>
        <row r="119">
          <cell r="B119" t="str">
            <v>2OA1-1</v>
          </cell>
          <cell r="G119">
            <v>4853.32</v>
          </cell>
        </row>
        <row r="120">
          <cell r="B120" t="str">
            <v>3OA1-1</v>
          </cell>
          <cell r="G120">
            <v>5526.14</v>
          </cell>
        </row>
        <row r="121">
          <cell r="B121" t="str">
            <v>4OA1-1</v>
          </cell>
          <cell r="G121">
            <v>6441.61</v>
          </cell>
        </row>
        <row r="122">
          <cell r="B122" t="str">
            <v>5OA1-1</v>
          </cell>
          <cell r="G122">
            <v>7654.87</v>
          </cell>
        </row>
        <row r="123">
          <cell r="B123" t="str">
            <v>6OA1-1</v>
          </cell>
          <cell r="G123">
            <v>8577.9500000000007</v>
          </cell>
        </row>
        <row r="124">
          <cell r="B124" t="str">
            <v>7OA1-1</v>
          </cell>
          <cell r="G124">
            <v>9827.39</v>
          </cell>
        </row>
        <row r="125">
          <cell r="B125" t="str">
            <v>OA1-2</v>
          </cell>
          <cell r="C125" t="str">
            <v>JEFE DE DEPTO. DE DIR. DE ÁREA "B"</v>
          </cell>
          <cell r="D125" t="str">
            <v>OA1</v>
          </cell>
          <cell r="E125">
            <v>4417.41</v>
          </cell>
          <cell r="F125">
            <v>12327.43</v>
          </cell>
          <cell r="H125">
            <v>4496.8999999999996</v>
          </cell>
          <cell r="I125">
            <v>12549.349999999999</v>
          </cell>
          <cell r="K125">
            <v>4496.9233800000002</v>
          </cell>
          <cell r="L125">
            <v>12549.33</v>
          </cell>
        </row>
        <row r="126">
          <cell r="B126" t="str">
            <v>1OA1-2</v>
          </cell>
          <cell r="G126">
            <v>4924.87</v>
          </cell>
        </row>
        <row r="127">
          <cell r="B127" t="str">
            <v>2OA1-2</v>
          </cell>
          <cell r="G127">
            <v>9259.8799999999992</v>
          </cell>
        </row>
        <row r="128">
          <cell r="B128" t="str">
            <v>3OA1-2</v>
          </cell>
          <cell r="G128">
            <v>11430.11</v>
          </cell>
        </row>
        <row r="129">
          <cell r="B129" t="str">
            <v>4OA1-2</v>
          </cell>
          <cell r="G129">
            <v>21423.22</v>
          </cell>
        </row>
        <row r="130">
          <cell r="B130" t="str">
            <v>5OA1-2</v>
          </cell>
          <cell r="G130">
            <v>24317.99</v>
          </cell>
        </row>
        <row r="131">
          <cell r="B131" t="str">
            <v>6OA1-2</v>
          </cell>
          <cell r="G131">
            <v>25797.37</v>
          </cell>
        </row>
        <row r="132">
          <cell r="B132" t="str">
            <v>1PA2</v>
          </cell>
          <cell r="C132" t="str">
            <v>JEFE DE DEPTO. DE DIR. DE ÁREA "A"</v>
          </cell>
          <cell r="D132" t="str">
            <v>PA2</v>
          </cell>
          <cell r="E132">
            <v>3641.6</v>
          </cell>
          <cell r="F132">
            <v>10844.4</v>
          </cell>
          <cell r="H132">
            <v>3707.15</v>
          </cell>
          <cell r="I132">
            <v>11039.6</v>
          </cell>
          <cell r="K132">
            <v>3707.1487999999999</v>
          </cell>
          <cell r="L132">
            <v>11039.599200000001</v>
          </cell>
        </row>
        <row r="133">
          <cell r="B133" t="str">
            <v>1OA1-3</v>
          </cell>
          <cell r="G133">
            <v>398.75</v>
          </cell>
        </row>
        <row r="134">
          <cell r="B134" t="str">
            <v>OB1</v>
          </cell>
          <cell r="C134" t="str">
            <v>ASESOR TÉCNICO DE SRIO. GRAL.</v>
          </cell>
          <cell r="D134" t="str">
            <v>OB1</v>
          </cell>
          <cell r="E134">
            <v>4835.3900000000003</v>
          </cell>
          <cell r="F134">
            <v>14253.73</v>
          </cell>
          <cell r="H134">
            <v>4922.45</v>
          </cell>
          <cell r="I134">
            <v>14510.300000000001</v>
          </cell>
          <cell r="K134">
            <v>4922.4270200000001</v>
          </cell>
          <cell r="L134">
            <v>14510.29</v>
          </cell>
        </row>
        <row r="135">
          <cell r="B135" t="str">
            <v>1OB1</v>
          </cell>
          <cell r="G135">
            <v>587.88</v>
          </cell>
        </row>
        <row r="136">
          <cell r="B136" t="str">
            <v>2OB1</v>
          </cell>
          <cell r="G136">
            <v>6068.4</v>
          </cell>
        </row>
        <row r="137">
          <cell r="B137" t="str">
            <v>3OB1</v>
          </cell>
          <cell r="G137">
            <v>14736.96</v>
          </cell>
        </row>
        <row r="138">
          <cell r="B138" t="str">
            <v>OB1-1</v>
          </cell>
          <cell r="C138" t="str">
            <v>JEFE DE DEPTO. DE DIR. DE ÁREA "C"</v>
          </cell>
          <cell r="D138" t="str">
            <v>OB1</v>
          </cell>
          <cell r="E138">
            <v>5262.45</v>
          </cell>
          <cell r="F138">
            <v>13826.67</v>
          </cell>
          <cell r="H138">
            <v>5357.1500000000005</v>
          </cell>
          <cell r="I138">
            <v>14075.55</v>
          </cell>
          <cell r="K138">
            <v>5357.1741000000002</v>
          </cell>
          <cell r="L138">
            <v>14075.55006</v>
          </cell>
        </row>
        <row r="139">
          <cell r="B139" t="str">
            <v>1OB1-1</v>
          </cell>
          <cell r="G139">
            <v>528.57000000000005</v>
          </cell>
        </row>
        <row r="140">
          <cell r="B140" t="str">
            <v>2OB1-1</v>
          </cell>
          <cell r="G140">
            <v>607.63</v>
          </cell>
        </row>
        <row r="141">
          <cell r="B141" t="str">
            <v>3OB1-1</v>
          </cell>
          <cell r="G141">
            <v>950.37</v>
          </cell>
        </row>
        <row r="142">
          <cell r="B142" t="str">
            <v>4OB1-1</v>
          </cell>
          <cell r="G142">
            <v>2947.72</v>
          </cell>
        </row>
        <row r="143">
          <cell r="B143" t="str">
            <v>5OB1-1</v>
          </cell>
          <cell r="G143">
            <v>4515.04</v>
          </cell>
        </row>
        <row r="144">
          <cell r="B144" t="str">
            <v>6OB1-1</v>
          </cell>
          <cell r="G144">
            <v>5739.14</v>
          </cell>
        </row>
        <row r="145">
          <cell r="B145" t="str">
            <v>7OB1-1</v>
          </cell>
          <cell r="G145">
            <v>6649.46</v>
          </cell>
        </row>
        <row r="146">
          <cell r="B146" t="str">
            <v>8OB1-1</v>
          </cell>
          <cell r="G146">
            <v>7097.05</v>
          </cell>
        </row>
        <row r="147">
          <cell r="B147" t="str">
            <v>9OB1-1</v>
          </cell>
          <cell r="G147">
            <v>9618.1</v>
          </cell>
        </row>
        <row r="148">
          <cell r="B148" t="str">
            <v>10OB1-1</v>
          </cell>
          <cell r="G148">
            <v>14700.37</v>
          </cell>
        </row>
        <row r="149">
          <cell r="B149" t="str">
            <v>11OB1-1</v>
          </cell>
          <cell r="G149">
            <v>15833.3</v>
          </cell>
        </row>
        <row r="150">
          <cell r="B150" t="str">
            <v>12OB1-1</v>
          </cell>
          <cell r="G150">
            <v>16204.13</v>
          </cell>
        </row>
        <row r="151">
          <cell r="B151" t="str">
            <v>13OB1-1</v>
          </cell>
          <cell r="G151">
            <v>20423.89</v>
          </cell>
        </row>
        <row r="152">
          <cell r="B152" t="str">
            <v>14OB1-1</v>
          </cell>
          <cell r="G152">
            <v>21145.16</v>
          </cell>
        </row>
        <row r="153">
          <cell r="B153" t="str">
            <v>OC1</v>
          </cell>
          <cell r="C153" t="str">
            <v>COORDINADOR ADMINISTRATIVO DE DIR. GRAL.</v>
          </cell>
          <cell r="D153" t="str">
            <v>OC1</v>
          </cell>
          <cell r="E153">
            <v>6839.66</v>
          </cell>
          <cell r="F153">
            <v>14921.93</v>
          </cell>
          <cell r="H153">
            <v>6962.75</v>
          </cell>
          <cell r="I153">
            <v>15190.55</v>
          </cell>
          <cell r="K153">
            <v>6962.7738799999997</v>
          </cell>
          <cell r="L153">
            <v>15190.53</v>
          </cell>
        </row>
        <row r="154">
          <cell r="B154" t="str">
            <v>OC1-1</v>
          </cell>
          <cell r="C154" t="str">
            <v>JEFE DE DEPTO. DE DIR. DE ÁREA "E"</v>
          </cell>
          <cell r="D154" t="str">
            <v>OC1</v>
          </cell>
          <cell r="E154">
            <v>6839.66</v>
          </cell>
          <cell r="F154">
            <v>14921.93</v>
          </cell>
          <cell r="H154">
            <v>6962.75</v>
          </cell>
          <cell r="I154">
            <v>15190.55</v>
          </cell>
          <cell r="K154">
            <v>6962.7738799999997</v>
          </cell>
          <cell r="L154">
            <v>15190.53</v>
          </cell>
        </row>
        <row r="155">
          <cell r="B155">
            <v>1</v>
          </cell>
          <cell r="G155">
            <v>61.59</v>
          </cell>
        </row>
        <row r="156">
          <cell r="B156">
            <v>2</v>
          </cell>
          <cell r="G156">
            <v>79.59</v>
          </cell>
        </row>
        <row r="157">
          <cell r="B157">
            <v>3</v>
          </cell>
          <cell r="G157">
            <v>80.91</v>
          </cell>
        </row>
        <row r="158">
          <cell r="B158">
            <v>4</v>
          </cell>
          <cell r="G158">
            <v>114.86</v>
          </cell>
        </row>
        <row r="159">
          <cell r="B159">
            <v>5</v>
          </cell>
          <cell r="G159">
            <v>211.28</v>
          </cell>
        </row>
        <row r="160">
          <cell r="B160">
            <v>6</v>
          </cell>
          <cell r="G160">
            <v>309.5</v>
          </cell>
        </row>
        <row r="161">
          <cell r="B161">
            <v>7</v>
          </cell>
          <cell r="G161">
            <v>230.15</v>
          </cell>
        </row>
        <row r="162">
          <cell r="B162">
            <v>8</v>
          </cell>
          <cell r="G162">
            <v>440.74</v>
          </cell>
        </row>
        <row r="163">
          <cell r="B163">
            <v>9</v>
          </cell>
          <cell r="G163">
            <v>498.42</v>
          </cell>
        </row>
        <row r="164">
          <cell r="B164">
            <v>10</v>
          </cell>
          <cell r="G164">
            <v>561.11</v>
          </cell>
        </row>
        <row r="165">
          <cell r="B165">
            <v>11</v>
          </cell>
          <cell r="G165">
            <v>815.95</v>
          </cell>
        </row>
        <row r="166">
          <cell r="B166">
            <v>12</v>
          </cell>
          <cell r="G166">
            <v>821.77</v>
          </cell>
        </row>
        <row r="167">
          <cell r="B167">
            <v>13</v>
          </cell>
          <cell r="G167">
            <v>942.3</v>
          </cell>
        </row>
        <row r="168">
          <cell r="B168">
            <v>14</v>
          </cell>
          <cell r="G168">
            <v>1007.93</v>
          </cell>
        </row>
        <row r="169">
          <cell r="B169">
            <v>15</v>
          </cell>
          <cell r="G169">
            <v>1030.5899999999999</v>
          </cell>
        </row>
        <row r="170">
          <cell r="B170">
            <v>16</v>
          </cell>
          <cell r="G170">
            <v>1095.67</v>
          </cell>
        </row>
        <row r="171">
          <cell r="B171">
            <v>17</v>
          </cell>
          <cell r="G171">
            <v>1149.81</v>
          </cell>
        </row>
        <row r="172">
          <cell r="B172">
            <v>18</v>
          </cell>
          <cell r="G172">
            <v>1156.56</v>
          </cell>
        </row>
        <row r="173">
          <cell r="B173">
            <v>19</v>
          </cell>
          <cell r="G173">
            <v>1162.43</v>
          </cell>
        </row>
        <row r="174">
          <cell r="B174">
            <v>20</v>
          </cell>
          <cell r="G174">
            <v>1182.3699999999999</v>
          </cell>
        </row>
        <row r="175">
          <cell r="B175">
            <v>21</v>
          </cell>
          <cell r="G175">
            <v>1270.49</v>
          </cell>
        </row>
        <row r="176">
          <cell r="B176">
            <v>22</v>
          </cell>
          <cell r="G176">
            <v>1310.81</v>
          </cell>
        </row>
        <row r="177">
          <cell r="B177">
            <v>23</v>
          </cell>
          <cell r="G177">
            <v>1480.85</v>
          </cell>
        </row>
        <row r="178">
          <cell r="B178">
            <v>24</v>
          </cell>
          <cell r="G178">
            <v>1556.69</v>
          </cell>
        </row>
        <row r="179">
          <cell r="B179">
            <v>25</v>
          </cell>
          <cell r="G179">
            <v>1583.04</v>
          </cell>
        </row>
        <row r="180">
          <cell r="B180">
            <v>26</v>
          </cell>
          <cell r="G180">
            <v>1756.57</v>
          </cell>
        </row>
        <row r="181">
          <cell r="B181">
            <v>27</v>
          </cell>
          <cell r="G181">
            <v>1838.45</v>
          </cell>
        </row>
        <row r="182">
          <cell r="B182">
            <v>28</v>
          </cell>
          <cell r="G182">
            <v>1891.44</v>
          </cell>
        </row>
        <row r="183">
          <cell r="B183">
            <v>29</v>
          </cell>
          <cell r="G183">
            <v>1892.82</v>
          </cell>
        </row>
        <row r="184">
          <cell r="B184">
            <v>30</v>
          </cell>
          <cell r="G184">
            <v>1920.73</v>
          </cell>
        </row>
        <row r="185">
          <cell r="B185">
            <v>31</v>
          </cell>
          <cell r="G185">
            <v>1951.18</v>
          </cell>
        </row>
        <row r="186">
          <cell r="B186">
            <v>32</v>
          </cell>
          <cell r="G186">
            <v>1985.6</v>
          </cell>
        </row>
        <row r="187">
          <cell r="B187">
            <v>33</v>
          </cell>
          <cell r="G187">
            <v>1989.17</v>
          </cell>
        </row>
        <row r="188">
          <cell r="B188">
            <v>34</v>
          </cell>
          <cell r="G188">
            <v>2153.46</v>
          </cell>
        </row>
        <row r="189">
          <cell r="B189">
            <v>35</v>
          </cell>
          <cell r="G189">
            <v>2301.2600000000002</v>
          </cell>
        </row>
        <row r="190">
          <cell r="B190">
            <v>36</v>
          </cell>
          <cell r="G190">
            <v>2377.21</v>
          </cell>
        </row>
        <row r="191">
          <cell r="B191">
            <v>37</v>
          </cell>
          <cell r="G191">
            <v>2392.04</v>
          </cell>
        </row>
        <row r="192">
          <cell r="B192">
            <v>38</v>
          </cell>
          <cell r="G192">
            <v>2417.21</v>
          </cell>
        </row>
        <row r="193">
          <cell r="B193">
            <v>39</v>
          </cell>
          <cell r="G193">
            <v>2454.52</v>
          </cell>
        </row>
        <row r="194">
          <cell r="B194">
            <v>40</v>
          </cell>
          <cell r="G194">
            <v>2696.96</v>
          </cell>
        </row>
        <row r="195">
          <cell r="B195">
            <v>41</v>
          </cell>
          <cell r="G195">
            <v>2810.4</v>
          </cell>
        </row>
        <row r="196">
          <cell r="B196">
            <v>42</v>
          </cell>
          <cell r="G196">
            <v>2947.89</v>
          </cell>
        </row>
        <row r="197">
          <cell r="B197">
            <v>43</v>
          </cell>
          <cell r="G197">
            <v>3395.58</v>
          </cell>
        </row>
        <row r="198">
          <cell r="B198">
            <v>44</v>
          </cell>
          <cell r="G198">
            <v>3413.98</v>
          </cell>
        </row>
        <row r="199">
          <cell r="B199">
            <v>45</v>
          </cell>
          <cell r="G199">
            <v>3474.12</v>
          </cell>
        </row>
        <row r="200">
          <cell r="B200">
            <v>46</v>
          </cell>
          <cell r="G200">
            <v>3594.22</v>
          </cell>
        </row>
        <row r="201">
          <cell r="B201">
            <v>47</v>
          </cell>
          <cell r="G201">
            <v>3651.87</v>
          </cell>
        </row>
        <row r="202">
          <cell r="B202">
            <v>48</v>
          </cell>
          <cell r="G202">
            <v>3787.27</v>
          </cell>
        </row>
        <row r="203">
          <cell r="B203">
            <v>49</v>
          </cell>
          <cell r="G203">
            <v>3787.83</v>
          </cell>
        </row>
        <row r="204">
          <cell r="B204">
            <v>50</v>
          </cell>
          <cell r="G204">
            <v>3869.5</v>
          </cell>
        </row>
        <row r="205">
          <cell r="B205">
            <v>51</v>
          </cell>
          <cell r="G205">
            <v>4120.13</v>
          </cell>
        </row>
        <row r="206">
          <cell r="B206">
            <v>52</v>
          </cell>
          <cell r="G206">
            <v>4203.24</v>
          </cell>
        </row>
        <row r="207">
          <cell r="B207">
            <v>53</v>
          </cell>
          <cell r="G207">
            <v>4530.05</v>
          </cell>
        </row>
        <row r="208">
          <cell r="B208">
            <v>54</v>
          </cell>
          <cell r="G208">
            <v>4533.83</v>
          </cell>
        </row>
        <row r="209">
          <cell r="B209">
            <v>55</v>
          </cell>
          <cell r="G209">
            <v>4537.1099999999997</v>
          </cell>
        </row>
        <row r="210">
          <cell r="B210">
            <v>56</v>
          </cell>
          <cell r="G210">
            <v>4587.84</v>
          </cell>
        </row>
        <row r="211">
          <cell r="B211">
            <v>57</v>
          </cell>
          <cell r="G211">
            <v>4625.26</v>
          </cell>
        </row>
        <row r="212">
          <cell r="B212">
            <v>58</v>
          </cell>
          <cell r="G212">
            <v>4812.43</v>
          </cell>
        </row>
        <row r="213">
          <cell r="B213">
            <v>59</v>
          </cell>
          <cell r="G213">
            <v>4907.0600000000004</v>
          </cell>
        </row>
        <row r="214">
          <cell r="B214">
            <v>60</v>
          </cell>
          <cell r="G214">
            <v>4924.72</v>
          </cell>
        </row>
        <row r="215">
          <cell r="B215">
            <v>61</v>
          </cell>
          <cell r="G215">
            <v>4945.09</v>
          </cell>
        </row>
        <row r="216">
          <cell r="B216">
            <v>62</v>
          </cell>
          <cell r="G216">
            <v>4984.58</v>
          </cell>
        </row>
        <row r="217">
          <cell r="B217">
            <v>63</v>
          </cell>
          <cell r="G217">
            <v>5636.68</v>
          </cell>
        </row>
        <row r="218">
          <cell r="B218">
            <v>64</v>
          </cell>
          <cell r="G218">
            <v>5809.1</v>
          </cell>
        </row>
        <row r="219">
          <cell r="B219">
            <v>65</v>
          </cell>
          <cell r="G219">
            <v>5815.31</v>
          </cell>
        </row>
        <row r="220">
          <cell r="B220">
            <v>66</v>
          </cell>
          <cell r="G220">
            <v>5941.89</v>
          </cell>
        </row>
        <row r="221">
          <cell r="B221">
            <v>67</v>
          </cell>
          <cell r="G221">
            <v>6060.74</v>
          </cell>
        </row>
        <row r="222">
          <cell r="B222">
            <v>68</v>
          </cell>
          <cell r="G222">
            <v>6151.57</v>
          </cell>
        </row>
        <row r="223">
          <cell r="B223">
            <v>69</v>
          </cell>
          <cell r="G223">
            <v>6204.4</v>
          </cell>
        </row>
        <row r="224">
          <cell r="B224">
            <v>70</v>
          </cell>
          <cell r="G224">
            <v>6206.39</v>
          </cell>
        </row>
        <row r="225">
          <cell r="B225">
            <v>71</v>
          </cell>
          <cell r="G225">
            <v>6240.61</v>
          </cell>
        </row>
        <row r="226">
          <cell r="B226">
            <v>72</v>
          </cell>
          <cell r="G226">
            <v>6249.58</v>
          </cell>
        </row>
        <row r="227">
          <cell r="B227">
            <v>73</v>
          </cell>
          <cell r="G227">
            <v>6402.43</v>
          </cell>
        </row>
        <row r="228">
          <cell r="B228">
            <v>74</v>
          </cell>
          <cell r="G228">
            <v>6425.44</v>
          </cell>
        </row>
        <row r="229">
          <cell r="B229">
            <v>75</v>
          </cell>
          <cell r="G229">
            <v>6602.84</v>
          </cell>
        </row>
        <row r="230">
          <cell r="B230">
            <v>76</v>
          </cell>
          <cell r="G230">
            <v>6688.11</v>
          </cell>
        </row>
        <row r="231">
          <cell r="B231">
            <v>77</v>
          </cell>
          <cell r="G231">
            <v>6760.08</v>
          </cell>
        </row>
        <row r="232">
          <cell r="B232">
            <v>78</v>
          </cell>
          <cell r="G232">
            <v>7115.79</v>
          </cell>
        </row>
        <row r="233">
          <cell r="B233">
            <v>79</v>
          </cell>
          <cell r="G233">
            <v>7571.15</v>
          </cell>
        </row>
        <row r="234">
          <cell r="B234">
            <v>80</v>
          </cell>
          <cell r="G234">
            <v>7717.34</v>
          </cell>
        </row>
        <row r="235">
          <cell r="B235">
            <v>81</v>
          </cell>
          <cell r="G235">
            <v>8012.32</v>
          </cell>
        </row>
        <row r="236">
          <cell r="B236">
            <v>82</v>
          </cell>
          <cell r="G236">
            <v>8306.3700000000008</v>
          </cell>
        </row>
        <row r="237">
          <cell r="B237">
            <v>83</v>
          </cell>
          <cell r="G237">
            <v>8328.2199999999993</v>
          </cell>
        </row>
        <row r="238">
          <cell r="B238">
            <v>84</v>
          </cell>
          <cell r="G238">
            <v>8415.01</v>
          </cell>
        </row>
        <row r="239">
          <cell r="B239">
            <v>85</v>
          </cell>
          <cell r="G239">
            <v>8491.02</v>
          </cell>
        </row>
        <row r="240">
          <cell r="B240">
            <v>86</v>
          </cell>
          <cell r="G240">
            <v>8520.5300000000007</v>
          </cell>
        </row>
        <row r="241">
          <cell r="B241">
            <v>87</v>
          </cell>
          <cell r="G241">
            <v>8549.83</v>
          </cell>
        </row>
        <row r="242">
          <cell r="B242">
            <v>88</v>
          </cell>
          <cell r="G242">
            <v>8894.85</v>
          </cell>
        </row>
        <row r="243">
          <cell r="B243">
            <v>89</v>
          </cell>
          <cell r="G243">
            <v>8906.61</v>
          </cell>
        </row>
        <row r="244">
          <cell r="B244">
            <v>90</v>
          </cell>
          <cell r="G244">
            <v>8936.31</v>
          </cell>
        </row>
        <row r="245">
          <cell r="B245">
            <v>91</v>
          </cell>
          <cell r="G245">
            <v>9872.9599999999991</v>
          </cell>
        </row>
        <row r="246">
          <cell r="B246">
            <v>92</v>
          </cell>
          <cell r="G246">
            <v>10927.15</v>
          </cell>
        </row>
        <row r="247">
          <cell r="B247">
            <v>93</v>
          </cell>
          <cell r="G247">
            <v>11047.72</v>
          </cell>
        </row>
        <row r="248">
          <cell r="B248">
            <v>94</v>
          </cell>
          <cell r="G248">
            <v>11047.74</v>
          </cell>
        </row>
        <row r="249">
          <cell r="B249">
            <v>95</v>
          </cell>
          <cell r="G249">
            <v>11089.54</v>
          </cell>
        </row>
        <row r="250">
          <cell r="B250">
            <v>96</v>
          </cell>
          <cell r="G250">
            <v>11172.06</v>
          </cell>
        </row>
        <row r="251">
          <cell r="B251">
            <v>97</v>
          </cell>
          <cell r="G251">
            <v>11253.07</v>
          </cell>
        </row>
        <row r="252">
          <cell r="B252">
            <v>98</v>
          </cell>
          <cell r="G252">
            <v>12187.74</v>
          </cell>
        </row>
        <row r="253">
          <cell r="B253">
            <v>99</v>
          </cell>
          <cell r="G253">
            <v>12194.9</v>
          </cell>
        </row>
        <row r="254">
          <cell r="B254">
            <v>100</v>
          </cell>
          <cell r="G254">
            <v>12349.22</v>
          </cell>
        </row>
        <row r="255">
          <cell r="B255">
            <v>101</v>
          </cell>
          <cell r="G255">
            <v>12540.46</v>
          </cell>
        </row>
        <row r="256">
          <cell r="B256">
            <v>102</v>
          </cell>
          <cell r="G256">
            <v>12581.48</v>
          </cell>
        </row>
        <row r="257">
          <cell r="B257">
            <v>103</v>
          </cell>
          <cell r="G257">
            <v>12845.37</v>
          </cell>
        </row>
        <row r="258">
          <cell r="B258">
            <v>104</v>
          </cell>
          <cell r="G258">
            <v>13574.79</v>
          </cell>
        </row>
        <row r="259">
          <cell r="B259">
            <v>105</v>
          </cell>
          <cell r="G259">
            <v>13883.13</v>
          </cell>
        </row>
        <row r="260">
          <cell r="B260">
            <v>106</v>
          </cell>
          <cell r="G260">
            <v>14667.33</v>
          </cell>
        </row>
        <row r="261">
          <cell r="B261">
            <v>107</v>
          </cell>
          <cell r="G261">
            <v>15138.9</v>
          </cell>
        </row>
        <row r="262">
          <cell r="B262">
            <v>108</v>
          </cell>
          <cell r="G262">
            <v>15195.63</v>
          </cell>
        </row>
        <row r="263">
          <cell r="B263">
            <v>109</v>
          </cell>
          <cell r="G263">
            <v>15282.28</v>
          </cell>
        </row>
        <row r="264">
          <cell r="B264">
            <v>110</v>
          </cell>
          <cell r="G264">
            <v>15825.28</v>
          </cell>
        </row>
        <row r="265">
          <cell r="B265">
            <v>111</v>
          </cell>
          <cell r="G265">
            <v>16231.44</v>
          </cell>
        </row>
        <row r="266">
          <cell r="B266">
            <v>112</v>
          </cell>
          <cell r="G266">
            <v>19142.34</v>
          </cell>
        </row>
        <row r="267">
          <cell r="B267">
            <v>113</v>
          </cell>
          <cell r="G267">
            <v>19858</v>
          </cell>
        </row>
        <row r="268">
          <cell r="B268">
            <v>114</v>
          </cell>
          <cell r="G268">
            <v>20072.52</v>
          </cell>
        </row>
        <row r="269">
          <cell r="B269">
            <v>115</v>
          </cell>
          <cell r="G269">
            <v>20255.28</v>
          </cell>
        </row>
        <row r="270">
          <cell r="B270">
            <v>116</v>
          </cell>
          <cell r="G270">
            <v>20341.72</v>
          </cell>
        </row>
        <row r="271">
          <cell r="B271">
            <v>117</v>
          </cell>
          <cell r="G271">
            <v>20550.080000000002</v>
          </cell>
        </row>
        <row r="272">
          <cell r="B272">
            <v>118</v>
          </cell>
          <cell r="G272">
            <v>22016.959999999999</v>
          </cell>
        </row>
        <row r="273">
          <cell r="B273">
            <v>119</v>
          </cell>
          <cell r="G273">
            <v>22947.58</v>
          </cell>
        </row>
        <row r="274">
          <cell r="B274">
            <v>120</v>
          </cell>
          <cell r="G274">
            <v>23310.33</v>
          </cell>
        </row>
        <row r="275">
          <cell r="B275">
            <v>121</v>
          </cell>
          <cell r="G275">
            <v>24528.25</v>
          </cell>
        </row>
        <row r="276">
          <cell r="B276">
            <v>122</v>
          </cell>
          <cell r="G276">
            <v>24736.17</v>
          </cell>
        </row>
        <row r="277">
          <cell r="B277">
            <v>123</v>
          </cell>
          <cell r="G277">
            <v>24821.91</v>
          </cell>
        </row>
        <row r="278">
          <cell r="B278">
            <v>124</v>
          </cell>
          <cell r="G278">
            <v>25270.28</v>
          </cell>
        </row>
        <row r="279">
          <cell r="B279">
            <v>125</v>
          </cell>
          <cell r="G279">
            <v>25739.49</v>
          </cell>
        </row>
        <row r="280">
          <cell r="B280">
            <v>126</v>
          </cell>
          <cell r="G280">
            <v>25834.93</v>
          </cell>
        </row>
        <row r="281">
          <cell r="B281">
            <v>127</v>
          </cell>
          <cell r="G281">
            <v>25427.21</v>
          </cell>
        </row>
        <row r="282">
          <cell r="B282">
            <v>128</v>
          </cell>
          <cell r="G282">
            <v>27489.5</v>
          </cell>
        </row>
        <row r="283">
          <cell r="B283">
            <v>129</v>
          </cell>
          <cell r="G283">
            <v>28066.07</v>
          </cell>
        </row>
        <row r="284">
          <cell r="B284">
            <v>130</v>
          </cell>
          <cell r="G284">
            <v>29696.81</v>
          </cell>
        </row>
        <row r="285">
          <cell r="B285" t="str">
            <v>OC1-2</v>
          </cell>
          <cell r="C285" t="str">
            <v>JEFE DE DEPTO. DE DIR. DE ÁREA "D"</v>
          </cell>
          <cell r="D285" t="str">
            <v>OC1</v>
          </cell>
          <cell r="E285">
            <v>6082.05</v>
          </cell>
          <cell r="F285">
            <v>15679.54</v>
          </cell>
          <cell r="H285">
            <v>6191.55</v>
          </cell>
          <cell r="I285">
            <v>15961.75</v>
          </cell>
          <cell r="K285">
            <v>6191.5268999999998</v>
          </cell>
          <cell r="L285">
            <v>15961.771720000001</v>
          </cell>
        </row>
        <row r="286">
          <cell r="B286" t="str">
            <v>1OC1-2</v>
          </cell>
          <cell r="G286">
            <v>3561.91</v>
          </cell>
        </row>
        <row r="287">
          <cell r="B287" t="str">
            <v>2OC1-2</v>
          </cell>
          <cell r="G287">
            <v>5090.6400000000003</v>
          </cell>
        </row>
        <row r="288">
          <cell r="B288" t="str">
            <v>3OC1-2</v>
          </cell>
          <cell r="G288">
            <v>7417.05</v>
          </cell>
        </row>
        <row r="289">
          <cell r="B289" t="str">
            <v>4OC1-2</v>
          </cell>
          <cell r="G289">
            <v>8515.57</v>
          </cell>
        </row>
        <row r="290">
          <cell r="B290" t="str">
            <v>OC2</v>
          </cell>
          <cell r="C290" t="str">
            <v>ASESOR TÉCNICO DE DIR. GRAL.</v>
          </cell>
          <cell r="D290" t="str">
            <v>OC2</v>
          </cell>
          <cell r="E290">
            <v>6256.97</v>
          </cell>
          <cell r="F290">
            <v>18551.25</v>
          </cell>
          <cell r="G290">
            <v>19708.72</v>
          </cell>
          <cell r="H290">
            <v>6369.6</v>
          </cell>
          <cell r="I290">
            <v>18885.149999999998</v>
          </cell>
          <cell r="K290">
            <v>6369.5954600000005</v>
          </cell>
          <cell r="L290">
            <v>18885.16</v>
          </cell>
        </row>
        <row r="291">
          <cell r="B291" t="str">
            <v>1OC2</v>
          </cell>
          <cell r="G291">
            <v>21272.240000000002</v>
          </cell>
        </row>
        <row r="292">
          <cell r="B292" t="str">
            <v>OC2-1</v>
          </cell>
          <cell r="C292" t="str">
            <v>ENCARGADO DE ACDOS. DE DIR. DE A. Y CENTROS</v>
          </cell>
          <cell r="D292" t="str">
            <v>OC2</v>
          </cell>
          <cell r="E292">
            <v>5998.19</v>
          </cell>
          <cell r="F292">
            <v>18810.03</v>
          </cell>
          <cell r="H292">
            <v>6106.1500000000005</v>
          </cell>
          <cell r="I292">
            <v>19148.599999999999</v>
          </cell>
          <cell r="K292">
            <v>6106.1574199999995</v>
          </cell>
          <cell r="L292">
            <v>19148.599999999999</v>
          </cell>
        </row>
        <row r="293">
          <cell r="B293" t="str">
            <v>1OC2-1</v>
          </cell>
          <cell r="G293">
            <v>426.36</v>
          </cell>
        </row>
        <row r="294">
          <cell r="B294" t="str">
            <v>2OC2-1</v>
          </cell>
          <cell r="G294">
            <v>580.07000000000005</v>
          </cell>
        </row>
        <row r="295">
          <cell r="B295" t="str">
            <v>3OC2-1</v>
          </cell>
          <cell r="G295">
            <v>785.52</v>
          </cell>
        </row>
        <row r="296">
          <cell r="B296" t="str">
            <v>4OC2-1</v>
          </cell>
          <cell r="G296">
            <v>2954.25</v>
          </cell>
        </row>
        <row r="297">
          <cell r="B297" t="str">
            <v>5OC2-1</v>
          </cell>
          <cell r="G297">
            <v>3375.77</v>
          </cell>
        </row>
        <row r="298">
          <cell r="B298" t="str">
            <v>6OC2-1</v>
          </cell>
          <cell r="G298">
            <v>4790.3500000000004</v>
          </cell>
        </row>
        <row r="299">
          <cell r="B299" t="str">
            <v>7OC2-1</v>
          </cell>
          <cell r="G299">
            <v>5963.87</v>
          </cell>
        </row>
        <row r="300">
          <cell r="B300" t="str">
            <v>8OC2-1</v>
          </cell>
          <cell r="G300">
            <v>6732.93</v>
          </cell>
        </row>
        <row r="301">
          <cell r="B301" t="str">
            <v>9OC2-1</v>
          </cell>
          <cell r="G301">
            <v>12789.71</v>
          </cell>
        </row>
        <row r="302">
          <cell r="B302" t="str">
            <v>10OC2-1</v>
          </cell>
          <cell r="G302">
            <v>14514.97</v>
          </cell>
        </row>
        <row r="303">
          <cell r="B303" t="str">
            <v>11OC2-1</v>
          </cell>
          <cell r="G303">
            <v>17509.57</v>
          </cell>
        </row>
        <row r="304">
          <cell r="B304" t="str">
            <v>12OC2-1</v>
          </cell>
          <cell r="G304">
            <v>18808.330000000002</v>
          </cell>
        </row>
        <row r="305">
          <cell r="B305" t="str">
            <v>13OC2-1</v>
          </cell>
          <cell r="G305">
            <v>19990.64</v>
          </cell>
        </row>
        <row r="306">
          <cell r="B306" t="str">
            <v>OC3</v>
          </cell>
          <cell r="C306" t="str">
            <v>JEFE DE DEPTO. DE INVESTIGACIÓN Y DOCENCIA "E"</v>
          </cell>
          <cell r="D306" t="str">
            <v>OC3</v>
          </cell>
          <cell r="E306">
            <v>7648.08</v>
          </cell>
          <cell r="F306">
            <v>20633.29</v>
          </cell>
          <cell r="G306">
            <v>11561.86</v>
          </cell>
          <cell r="H306">
            <v>7785.75</v>
          </cell>
          <cell r="I306">
            <v>21004.699999999997</v>
          </cell>
          <cell r="K306">
            <v>7785.7454399999997</v>
          </cell>
          <cell r="L306">
            <v>21004.68</v>
          </cell>
        </row>
        <row r="307">
          <cell r="B307" t="str">
            <v>OC3-1</v>
          </cell>
          <cell r="C307" t="str">
            <v>SRIO. PARTICULAR DE SECRETARIO GRAL.</v>
          </cell>
          <cell r="D307" t="str">
            <v>OC3</v>
          </cell>
          <cell r="E307">
            <v>6881.64</v>
          </cell>
          <cell r="F307">
            <v>21399.73</v>
          </cell>
          <cell r="H307">
            <v>7005.5</v>
          </cell>
          <cell r="I307">
            <v>21784.9</v>
          </cell>
          <cell r="K307">
            <v>7005.5095200000005</v>
          </cell>
          <cell r="L307">
            <v>21784.92</v>
          </cell>
        </row>
        <row r="308">
          <cell r="B308" t="str">
            <v>1OC3-1</v>
          </cell>
          <cell r="G308">
            <v>806.05</v>
          </cell>
        </row>
        <row r="309">
          <cell r="B309" t="str">
            <v>2OC3-1</v>
          </cell>
          <cell r="G309">
            <v>6390.65</v>
          </cell>
        </row>
        <row r="313">
          <cell r="B313" t="str">
            <v>LB2</v>
          </cell>
          <cell r="C313" t="str">
            <v>SECRETARIO EJECUTIVO</v>
          </cell>
          <cell r="D313" t="str">
            <v>LB2</v>
          </cell>
          <cell r="E313">
            <v>19899.71</v>
          </cell>
          <cell r="F313">
            <v>91679.96</v>
          </cell>
          <cell r="G313">
            <v>20257.900000000001</v>
          </cell>
          <cell r="H313">
            <v>93330.2</v>
          </cell>
          <cell r="I313">
            <v>20257.904780000001</v>
          </cell>
          <cell r="J313">
            <v>93330.199280000001</v>
          </cell>
        </row>
        <row r="314">
          <cell r="B314" t="str">
            <v>MA1</v>
          </cell>
          <cell r="C314" t="str">
            <v>DIRECTOR</v>
          </cell>
          <cell r="D314" t="str">
            <v>MA1</v>
          </cell>
          <cell r="E314">
            <v>14352.71</v>
          </cell>
          <cell r="F314">
            <v>32772.720000000001</v>
          </cell>
          <cell r="G314">
            <v>14611.05</v>
          </cell>
          <cell r="H314">
            <v>33362.65</v>
          </cell>
          <cell r="I314">
            <v>14611.058779999999</v>
          </cell>
          <cell r="J314">
            <v>33362.628960000002</v>
          </cell>
        </row>
        <row r="315">
          <cell r="B315" t="str">
            <v>1MA1</v>
          </cell>
          <cell r="C315" t="str">
            <v>CONTRALOR INTERNO</v>
          </cell>
          <cell r="D315" t="str">
            <v>MA1</v>
          </cell>
          <cell r="E315">
            <v>14352.71</v>
          </cell>
          <cell r="F315">
            <v>32772.720000000001</v>
          </cell>
          <cell r="G315">
            <v>14611.05</v>
          </cell>
          <cell r="H315">
            <v>33362.65</v>
          </cell>
          <cell r="I315">
            <v>14611.058779999999</v>
          </cell>
          <cell r="J315">
            <v>33362.628960000002</v>
          </cell>
        </row>
        <row r="316">
          <cell r="B316" t="str">
            <v>OC2</v>
          </cell>
          <cell r="C316" t="str">
            <v>JEFE DE DIVISIÓN</v>
          </cell>
          <cell r="D316" t="str">
            <v>OC2</v>
          </cell>
          <cell r="E316">
            <v>7445.35</v>
          </cell>
          <cell r="F316">
            <v>17362.87</v>
          </cell>
          <cell r="G316">
            <v>7579.35</v>
          </cell>
          <cell r="H316">
            <v>17675.399999999998</v>
          </cell>
          <cell r="I316">
            <v>7579.3663000000006</v>
          </cell>
          <cell r="J316">
            <v>17675.39</v>
          </cell>
        </row>
        <row r="317">
          <cell r="B317" t="str">
            <v>1OC2</v>
          </cell>
          <cell r="C317" t="str">
            <v>SRIO. PARTICULAR DE SECRETARIO EJECUTIVO</v>
          </cell>
          <cell r="D317" t="str">
            <v>OC2</v>
          </cell>
          <cell r="E317">
            <v>5921.53</v>
          </cell>
          <cell r="F317">
            <v>18886.689999999999</v>
          </cell>
          <cell r="G317">
            <v>6028.1</v>
          </cell>
          <cell r="H317">
            <v>19226.649999999998</v>
          </cell>
          <cell r="I317">
            <v>6028.1175400000002</v>
          </cell>
          <cell r="J317">
            <v>19226.64</v>
          </cell>
        </row>
        <row r="318">
          <cell r="B318" t="str">
            <v>OA1</v>
          </cell>
          <cell r="C318" t="str">
            <v>ASESOR DE SECRETARIO EJECUTIVO</v>
          </cell>
          <cell r="D318" t="str">
            <v>OA1</v>
          </cell>
          <cell r="E318">
            <v>4399.1899999999996</v>
          </cell>
          <cell r="F318">
            <v>12345.65</v>
          </cell>
          <cell r="G318">
            <v>4478.4000000000005</v>
          </cell>
          <cell r="H318">
            <v>12567.849999999999</v>
          </cell>
          <cell r="I318">
            <v>4478.3754199999994</v>
          </cell>
          <cell r="J318">
            <v>12567.8717</v>
          </cell>
        </row>
        <row r="322">
          <cell r="B322" t="str">
            <v>LB2</v>
          </cell>
          <cell r="C322" t="str">
            <v>SECRETARIO EJECUTIVO</v>
          </cell>
          <cell r="D322" t="str">
            <v>LB2</v>
          </cell>
          <cell r="E322">
            <v>19090.939999999999</v>
          </cell>
          <cell r="F322">
            <v>92488.73</v>
          </cell>
          <cell r="G322">
            <v>19434.599999999999</v>
          </cell>
          <cell r="H322">
            <v>94153.5</v>
          </cell>
          <cell r="I322">
            <v>19434.57692</v>
          </cell>
          <cell r="J322">
            <v>94153.52</v>
          </cell>
        </row>
        <row r="323">
          <cell r="B323" t="str">
            <v>MA2</v>
          </cell>
          <cell r="C323" t="str">
            <v>DIRECTOR DE ÁREA</v>
          </cell>
          <cell r="D323" t="str">
            <v>MA2</v>
          </cell>
          <cell r="E323">
            <v>13769.38</v>
          </cell>
          <cell r="F323">
            <v>41367.370000000003</v>
          </cell>
          <cell r="G323">
            <v>14017.25</v>
          </cell>
          <cell r="H323">
            <v>42112</v>
          </cell>
          <cell r="I323">
            <v>14017.22884</v>
          </cell>
          <cell r="J323">
            <v>42111.99</v>
          </cell>
        </row>
        <row r="324">
          <cell r="B324" t="str">
            <v>1MA2</v>
          </cell>
          <cell r="C324" t="str">
            <v>CONTRALOR INTERNO</v>
          </cell>
          <cell r="D324" t="str">
            <v>MA2</v>
          </cell>
          <cell r="E324">
            <v>13769.38</v>
          </cell>
          <cell r="F324">
            <v>41367.370000000003</v>
          </cell>
          <cell r="G324">
            <v>14017.25</v>
          </cell>
          <cell r="H324">
            <v>42112</v>
          </cell>
          <cell r="I324">
            <v>14017.22884</v>
          </cell>
          <cell r="J324">
            <v>42111.99</v>
          </cell>
        </row>
        <row r="325">
          <cell r="B325" t="str">
            <v>OC2</v>
          </cell>
          <cell r="C325" t="str">
            <v>JEFE DE DEPARTAMENTO</v>
          </cell>
          <cell r="D325" t="str">
            <v>OC2</v>
          </cell>
          <cell r="E325">
            <v>7142.75</v>
          </cell>
          <cell r="F325">
            <v>17665.47</v>
          </cell>
          <cell r="G325">
            <v>7271.3</v>
          </cell>
          <cell r="H325">
            <v>17983.45</v>
          </cell>
          <cell r="I325">
            <v>7271.3195000000005</v>
          </cell>
          <cell r="J325">
            <v>17983.439999999999</v>
          </cell>
        </row>
        <row r="326">
          <cell r="B326" t="str">
            <v>1OC2</v>
          </cell>
          <cell r="C326" t="str">
            <v>SRIO. PARTICULAR DE SECRETARIO EJECUTIVO</v>
          </cell>
          <cell r="D326" t="str">
            <v>OC2</v>
          </cell>
          <cell r="E326">
            <v>5888.85</v>
          </cell>
          <cell r="F326">
            <v>18919.37</v>
          </cell>
          <cell r="G326">
            <v>5994.85</v>
          </cell>
          <cell r="H326">
            <v>19259.900000000001</v>
          </cell>
          <cell r="I326">
            <v>5994.8493000000008</v>
          </cell>
          <cell r="J326">
            <v>19259.91</v>
          </cell>
        </row>
        <row r="327">
          <cell r="B327" t="str">
            <v>OA1</v>
          </cell>
          <cell r="C327" t="str">
            <v>ASESOR DE SECRETARIO EJECUTIVO</v>
          </cell>
          <cell r="D327" t="str">
            <v>OA1</v>
          </cell>
          <cell r="E327">
            <v>4389.79</v>
          </cell>
          <cell r="F327">
            <v>12355.05</v>
          </cell>
          <cell r="G327">
            <v>4468.8</v>
          </cell>
          <cell r="H327">
            <v>12577.449999999999</v>
          </cell>
          <cell r="I327">
            <v>4468.8062200000004</v>
          </cell>
          <cell r="J327">
            <v>12577.4409</v>
          </cell>
        </row>
        <row r="331">
          <cell r="B331" t="str">
            <v>KB1</v>
          </cell>
          <cell r="C331" t="str">
            <v>DIRECTOR GENERAL</v>
          </cell>
          <cell r="D331" t="str">
            <v>KB1</v>
          </cell>
          <cell r="E331">
            <v>23623.55</v>
          </cell>
          <cell r="F331">
            <v>109800.77</v>
          </cell>
          <cell r="G331">
            <v>24048.75</v>
          </cell>
          <cell r="H331">
            <v>111777.2</v>
          </cell>
          <cell r="I331">
            <v>24048.7739</v>
          </cell>
          <cell r="J331">
            <v>111777.2</v>
          </cell>
        </row>
        <row r="332">
          <cell r="B332" t="str">
            <v>MC3</v>
          </cell>
          <cell r="C332" t="str">
            <v>SECRETARIO</v>
          </cell>
          <cell r="D332" t="str">
            <v>MC3</v>
          </cell>
          <cell r="E332">
            <v>18153.3</v>
          </cell>
          <cell r="F332">
            <v>75515.23</v>
          </cell>
          <cell r="G332">
            <v>18480.05</v>
          </cell>
          <cell r="H332">
            <v>76874.5</v>
          </cell>
          <cell r="I332">
            <v>18480.059399999998</v>
          </cell>
          <cell r="J332">
            <v>76874.5</v>
          </cell>
        </row>
        <row r="333">
          <cell r="B333" t="str">
            <v>MA1</v>
          </cell>
          <cell r="C333" t="str">
            <v>CONTRALOR INTERNO</v>
          </cell>
          <cell r="D333" t="str">
            <v>MA1</v>
          </cell>
          <cell r="E333">
            <v>14352.71</v>
          </cell>
          <cell r="F333">
            <v>32772.720000000001</v>
          </cell>
          <cell r="G333">
            <v>14611.05</v>
          </cell>
          <cell r="H333">
            <v>33362.65</v>
          </cell>
          <cell r="I333">
            <v>14611.058779999999</v>
          </cell>
          <cell r="J333">
            <v>33362.629999999997</v>
          </cell>
        </row>
        <row r="334">
          <cell r="B334" t="str">
            <v>1MC3</v>
          </cell>
          <cell r="C334" t="str">
            <v>DIRECTOR DE UNIDAD</v>
          </cell>
          <cell r="D334" t="str">
            <v>MC3</v>
          </cell>
          <cell r="E334">
            <v>27229.94</v>
          </cell>
          <cell r="F334">
            <v>66438.58</v>
          </cell>
          <cell r="G334">
            <v>27720.1</v>
          </cell>
          <cell r="H334">
            <v>67634.5</v>
          </cell>
          <cell r="I334">
            <v>27720.07892</v>
          </cell>
          <cell r="J334">
            <v>67634.48</v>
          </cell>
        </row>
        <row r="335">
          <cell r="B335" t="str">
            <v>2MC3</v>
          </cell>
          <cell r="C335" t="str">
            <v>DIRECTOR DE UNIDAD</v>
          </cell>
          <cell r="D335" t="str">
            <v>MC3</v>
          </cell>
          <cell r="E335">
            <v>25414.61</v>
          </cell>
          <cell r="F335">
            <v>68253.91</v>
          </cell>
          <cell r="G335">
            <v>25872.05</v>
          </cell>
          <cell r="H335">
            <v>69482.5</v>
          </cell>
          <cell r="I335">
            <v>25872.072980000001</v>
          </cell>
          <cell r="J335">
            <v>69482.490000000005</v>
          </cell>
        </row>
        <row r="336">
          <cell r="B336" t="str">
            <v>1MA1</v>
          </cell>
          <cell r="C336" t="str">
            <v>DIRECTOR DE UNIDAD</v>
          </cell>
          <cell r="D336" t="str">
            <v>MA1</v>
          </cell>
          <cell r="E336">
            <v>14352.71</v>
          </cell>
          <cell r="F336">
            <v>32772.720000000001</v>
          </cell>
          <cell r="G336">
            <v>14611.05</v>
          </cell>
          <cell r="H336">
            <v>33362.65</v>
          </cell>
          <cell r="I336">
            <v>14611.058779999999</v>
          </cell>
          <cell r="J336">
            <v>33362.629999999997</v>
          </cell>
        </row>
        <row r="337">
          <cell r="B337" t="str">
            <v>NA1</v>
          </cell>
          <cell r="C337" t="str">
            <v>SUBDIRECTOR</v>
          </cell>
          <cell r="D337" t="str">
            <v>NA1</v>
          </cell>
          <cell r="E337">
            <v>8721.25</v>
          </cell>
          <cell r="F337">
            <v>16086.97</v>
          </cell>
          <cell r="G337">
            <v>8878.25</v>
          </cell>
          <cell r="H337">
            <v>16376.55</v>
          </cell>
          <cell r="I337">
            <v>8878.2325000000001</v>
          </cell>
          <cell r="J337">
            <v>16376.53</v>
          </cell>
        </row>
        <row r="338">
          <cell r="B338" t="str">
            <v>OA1</v>
          </cell>
          <cell r="C338" t="str">
            <v>JEFE DE DEPARTAMENTO</v>
          </cell>
          <cell r="D338" t="str">
            <v>OA1</v>
          </cell>
          <cell r="E338">
            <v>5310.13</v>
          </cell>
          <cell r="F338">
            <v>11434.71</v>
          </cell>
          <cell r="G338">
            <v>5405.7</v>
          </cell>
          <cell r="H338">
            <v>11640.55</v>
          </cell>
          <cell r="I338">
            <v>5405.71234</v>
          </cell>
          <cell r="J338">
            <v>11640.54</v>
          </cell>
        </row>
        <row r="339">
          <cell r="B339" t="str">
            <v>NA3</v>
          </cell>
          <cell r="C339" t="str">
            <v>SUBDIRECTOR</v>
          </cell>
          <cell r="D339" t="str">
            <v>NA3</v>
          </cell>
          <cell r="E339">
            <v>13081.88</v>
          </cell>
          <cell r="F339">
            <v>19158.259999999998</v>
          </cell>
          <cell r="G339">
            <v>13317.349999999999</v>
          </cell>
          <cell r="H339">
            <v>19503.099999999999</v>
          </cell>
          <cell r="I339">
            <v>13317.35384</v>
          </cell>
          <cell r="J339">
            <v>19503.11</v>
          </cell>
        </row>
        <row r="340">
          <cell r="B340" t="str">
            <v>NA2</v>
          </cell>
          <cell r="C340" t="str">
            <v>SUBDIRECTOR</v>
          </cell>
          <cell r="D340" t="str">
            <v>NA2</v>
          </cell>
          <cell r="E340">
            <v>12209.75</v>
          </cell>
          <cell r="F340">
            <v>15947.58</v>
          </cell>
          <cell r="G340">
            <v>12429.55</v>
          </cell>
          <cell r="H340">
            <v>16234.65</v>
          </cell>
          <cell r="I340">
            <v>12429.5255</v>
          </cell>
          <cell r="J340">
            <v>16234.63</v>
          </cell>
        </row>
        <row r="341">
          <cell r="B341" t="str">
            <v>1NA1</v>
          </cell>
          <cell r="C341" t="str">
            <v>SUBDIRECTOR</v>
          </cell>
          <cell r="D341" t="str">
            <v>NA1</v>
          </cell>
          <cell r="E341">
            <v>8721.25</v>
          </cell>
          <cell r="F341">
            <v>16086.97</v>
          </cell>
          <cell r="G341">
            <v>8878.25</v>
          </cell>
          <cell r="H341">
            <v>16376.55</v>
          </cell>
          <cell r="I341">
            <v>8878.2325000000001</v>
          </cell>
          <cell r="J341">
            <v>16376.53</v>
          </cell>
        </row>
        <row r="342">
          <cell r="B342" t="str">
            <v>OA2</v>
          </cell>
          <cell r="C342" t="str">
            <v>JEFE DE DEPARTAMENTO</v>
          </cell>
          <cell r="D342" t="str">
            <v>OA2</v>
          </cell>
          <cell r="E342">
            <v>7434.19</v>
          </cell>
          <cell r="F342">
            <v>11654.93</v>
          </cell>
          <cell r="G342">
            <v>7568</v>
          </cell>
          <cell r="H342">
            <v>11864.7</v>
          </cell>
          <cell r="I342">
            <v>7568.0054199999995</v>
          </cell>
          <cell r="J342">
            <v>11864.71</v>
          </cell>
        </row>
        <row r="365">
          <cell r="B365" t="str">
            <v>LA1</v>
          </cell>
          <cell r="C365" t="str">
            <v>DIRECTOR GENERAL</v>
          </cell>
          <cell r="D365" t="str">
            <v>LA1</v>
          </cell>
          <cell r="E365">
            <v>14218.58</v>
          </cell>
          <cell r="F365">
            <v>70151.679999999993</v>
          </cell>
          <cell r="G365">
            <v>14474.5</v>
          </cell>
          <cell r="H365">
            <v>71414.399999999994</v>
          </cell>
          <cell r="I365">
            <v>14474.514440000001</v>
          </cell>
          <cell r="J365">
            <v>71414.42</v>
          </cell>
        </row>
        <row r="366">
          <cell r="B366" t="str">
            <v>NB2</v>
          </cell>
          <cell r="C366" t="str">
            <v>DIRECTOR DE ÁREA</v>
          </cell>
          <cell r="D366" t="str">
            <v>NB2</v>
          </cell>
          <cell r="E366">
            <v>9905.24</v>
          </cell>
          <cell r="F366">
            <v>23038.83</v>
          </cell>
          <cell r="G366">
            <v>10083.549999999999</v>
          </cell>
          <cell r="H366">
            <v>23453.55</v>
          </cell>
          <cell r="I366">
            <v>10083.534320000001</v>
          </cell>
          <cell r="J366">
            <v>23453.528940000004</v>
          </cell>
        </row>
        <row r="367">
          <cell r="B367" t="str">
            <v>NA1</v>
          </cell>
          <cell r="C367" t="str">
            <v>DIRECTOR DE PLANTEL</v>
          </cell>
          <cell r="D367" t="str">
            <v>NA1</v>
          </cell>
          <cell r="E367">
            <v>5074.55</v>
          </cell>
          <cell r="F367">
            <v>19733.669999999998</v>
          </cell>
          <cell r="G367">
            <v>5165.9000000000005</v>
          </cell>
          <cell r="H367">
            <v>20088.849999999999</v>
          </cell>
          <cell r="I367">
            <v>5165.8919000000005</v>
          </cell>
          <cell r="J367">
            <v>20088.87</v>
          </cell>
        </row>
        <row r="368">
          <cell r="B368" t="str">
            <v>OB2</v>
          </cell>
          <cell r="C368" t="str">
            <v>SUBDIRECTOR</v>
          </cell>
          <cell r="D368" t="str">
            <v>OB2</v>
          </cell>
          <cell r="E368">
            <v>6547.07</v>
          </cell>
          <cell r="F368">
            <v>15214.52</v>
          </cell>
          <cell r="G368">
            <v>6664.9</v>
          </cell>
          <cell r="H368">
            <v>15488.4</v>
          </cell>
          <cell r="I368">
            <v>6664.9172600000002</v>
          </cell>
          <cell r="J368">
            <v>15488.381360000001</v>
          </cell>
        </row>
        <row r="369">
          <cell r="B369" t="str">
            <v>OA1</v>
          </cell>
          <cell r="C369" t="str">
            <v>SUBDIRECTOR</v>
          </cell>
          <cell r="D369" t="str">
            <v>OA1</v>
          </cell>
          <cell r="E369">
            <v>6547.07</v>
          </cell>
          <cell r="F369">
            <v>10197.77</v>
          </cell>
          <cell r="G369">
            <v>6664.9</v>
          </cell>
          <cell r="H369">
            <v>10381.349999999999</v>
          </cell>
          <cell r="I369">
            <v>6664.9172600000002</v>
          </cell>
          <cell r="J369">
            <v>10381.32986</v>
          </cell>
        </row>
        <row r="370">
          <cell r="B370" t="str">
            <v>1OA1</v>
          </cell>
          <cell r="C370" t="str">
            <v>SUBDIRECTOR DE PLANTEL</v>
          </cell>
          <cell r="D370" t="str">
            <v>OA1</v>
          </cell>
          <cell r="E370">
            <v>4274.6499999999996</v>
          </cell>
          <cell r="F370">
            <v>12470.19</v>
          </cell>
          <cell r="G370">
            <v>4351.6000000000004</v>
          </cell>
          <cell r="H370">
            <v>12694.65</v>
          </cell>
          <cell r="I370">
            <v>4351.5936999999994</v>
          </cell>
          <cell r="J370">
            <v>12694.66</v>
          </cell>
        </row>
        <row r="371">
          <cell r="B371" t="str">
            <v>1OB2</v>
          </cell>
          <cell r="C371" t="str">
            <v>SECRETARIO PARTICULAR DE DIRECTOR GENERAL</v>
          </cell>
          <cell r="D371" t="str">
            <v>OB2</v>
          </cell>
          <cell r="E371">
            <v>6547.07</v>
          </cell>
          <cell r="F371">
            <v>15214.52</v>
          </cell>
          <cell r="G371">
            <v>6664.9</v>
          </cell>
          <cell r="H371">
            <v>15488.4</v>
          </cell>
          <cell r="I371">
            <v>6664.9172600000002</v>
          </cell>
          <cell r="J371">
            <v>15488.381360000001</v>
          </cell>
        </row>
        <row r="372">
          <cell r="B372" t="str">
            <v>PA1</v>
          </cell>
          <cell r="C372" t="str">
            <v>JEFE DE DEPARTAMENTO</v>
          </cell>
          <cell r="D372" t="str">
            <v>PA1</v>
          </cell>
          <cell r="E372">
            <v>4314.3500000000004</v>
          </cell>
          <cell r="F372">
            <v>9321.15</v>
          </cell>
          <cell r="G372">
            <v>4392</v>
          </cell>
          <cell r="H372">
            <v>9488.9499999999989</v>
          </cell>
          <cell r="I372">
            <v>4392</v>
          </cell>
          <cell r="J372">
            <v>9488.94</v>
          </cell>
        </row>
        <row r="396">
          <cell r="B396" t="str">
            <v>KC2</v>
          </cell>
          <cell r="C396" t="str">
            <v>DIRECTOR GRAL. Y COORD. GRAL. OTITULAR DE ENTIDAD</v>
          </cell>
          <cell r="D396" t="str">
            <v>KC2</v>
          </cell>
          <cell r="E396">
            <v>17318.150000000001</v>
          </cell>
          <cell r="F396">
            <v>151543.67999999999</v>
          </cell>
          <cell r="G396">
            <v>17629.899999999998</v>
          </cell>
          <cell r="H396">
            <v>154271.44999999998</v>
          </cell>
          <cell r="I396">
            <v>17629.876700000001</v>
          </cell>
          <cell r="J396">
            <v>154271.47</v>
          </cell>
        </row>
        <row r="397">
          <cell r="B397" t="str">
            <v>MC2</v>
          </cell>
          <cell r="C397" t="str">
            <v>DIRECTOR DE ÁREA</v>
          </cell>
          <cell r="D397" t="str">
            <v>MC2</v>
          </cell>
          <cell r="E397">
            <v>11347.95</v>
          </cell>
          <cell r="F397">
            <v>66064.05</v>
          </cell>
          <cell r="G397">
            <v>11552.2</v>
          </cell>
          <cell r="H397">
            <v>67253.2</v>
          </cell>
          <cell r="I397">
            <v>11552.213100000001</v>
          </cell>
          <cell r="J397">
            <v>67253.210000000006</v>
          </cell>
        </row>
        <row r="398">
          <cell r="B398" t="str">
            <v>MA2</v>
          </cell>
          <cell r="C398" t="str">
            <v>DIRECTOR DE ÁREA</v>
          </cell>
          <cell r="D398" t="str">
            <v>MA2</v>
          </cell>
          <cell r="E398">
            <v>8012.9</v>
          </cell>
          <cell r="F398">
            <v>47123.85</v>
          </cell>
          <cell r="G398">
            <v>8157.1500000000005</v>
          </cell>
          <cell r="H398">
            <v>47972.1</v>
          </cell>
          <cell r="I398">
            <v>8157.1322</v>
          </cell>
          <cell r="J398">
            <v>47972.08</v>
          </cell>
        </row>
        <row r="399">
          <cell r="B399" t="str">
            <v>NC2</v>
          </cell>
          <cell r="C399" t="str">
            <v>SUBDIRECTOR DE ÁREA</v>
          </cell>
          <cell r="D399" t="str">
            <v>NC2</v>
          </cell>
          <cell r="E399">
            <v>8012.9</v>
          </cell>
          <cell r="F399">
            <v>31190.54</v>
          </cell>
          <cell r="G399">
            <v>8157.1500000000005</v>
          </cell>
          <cell r="H399">
            <v>31751.95</v>
          </cell>
          <cell r="I399">
            <v>8157.1322</v>
          </cell>
          <cell r="J399">
            <v>31751.97</v>
          </cell>
        </row>
        <row r="400">
          <cell r="B400" t="str">
            <v>NB2</v>
          </cell>
          <cell r="C400" t="str">
            <v>SUBDIRECTOR DE ÁREA</v>
          </cell>
          <cell r="D400" t="str">
            <v>NB2</v>
          </cell>
          <cell r="E400">
            <v>5651.85</v>
          </cell>
          <cell r="F400">
            <v>27292.22</v>
          </cell>
          <cell r="G400">
            <v>5753.6</v>
          </cell>
          <cell r="H400">
            <v>27783.5</v>
          </cell>
          <cell r="I400">
            <v>5753.5833000000002</v>
          </cell>
          <cell r="J400">
            <v>27783.479960000001</v>
          </cell>
        </row>
        <row r="401">
          <cell r="B401" t="str">
            <v>NA2</v>
          </cell>
          <cell r="C401" t="str">
            <v>SUBDIRECTOR DE ÁREA</v>
          </cell>
          <cell r="D401" t="str">
            <v>NA2</v>
          </cell>
          <cell r="E401">
            <v>5074.55</v>
          </cell>
          <cell r="F401">
            <v>23082.78</v>
          </cell>
          <cell r="G401">
            <v>5165.9000000000005</v>
          </cell>
          <cell r="H401">
            <v>23498.25</v>
          </cell>
          <cell r="I401">
            <v>5165.8919000000005</v>
          </cell>
          <cell r="J401">
            <v>23498.270039999999</v>
          </cell>
        </row>
        <row r="402">
          <cell r="B402" t="str">
            <v>OA1</v>
          </cell>
          <cell r="C402" t="str">
            <v>JEFE DE DEPARTAMENTO</v>
          </cell>
          <cell r="D402" t="str">
            <v>OA1</v>
          </cell>
          <cell r="E402">
            <v>4274.6499999999996</v>
          </cell>
          <cell r="F402">
            <v>12470.19</v>
          </cell>
          <cell r="G402">
            <v>4576.05</v>
          </cell>
          <cell r="H402">
            <v>12470.2</v>
          </cell>
          <cell r="I402">
            <v>4576.0600000000004</v>
          </cell>
          <cell r="J402">
            <v>12470.19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IPN"/>
      <sheetName val="POI"/>
      <sheetName val="COFAA"/>
      <sheetName val="CINVESTAV"/>
      <sheetName val="CONALEP"/>
      <sheetName val="CETI"/>
      <sheetName val="INAOE"/>
      <sheetName val="CIDESI"/>
      <sheetName val="INDA"/>
    </sheetNames>
    <sheetDataSet>
      <sheetData sheetId="0">
        <row r="346">
          <cell r="B346" t="str">
            <v>JA1-16</v>
          </cell>
          <cell r="C346" t="str">
            <v>DIRECTOR GENERAL</v>
          </cell>
          <cell r="D346" t="str">
            <v>JA1-16</v>
          </cell>
          <cell r="E346">
            <v>17318.18</v>
          </cell>
          <cell r="F346">
            <v>146911.49</v>
          </cell>
          <cell r="G346">
            <v>17629.900000000001</v>
          </cell>
          <cell r="H346">
            <v>149490.94999999998</v>
          </cell>
          <cell r="I346">
            <v>17629.90724</v>
          </cell>
          <cell r="J346">
            <v>149490.94</v>
          </cell>
        </row>
        <row r="347">
          <cell r="B347" t="str">
            <v>LB2-36</v>
          </cell>
          <cell r="C347" t="str">
            <v>SECRETARIO</v>
          </cell>
          <cell r="D347" t="str">
            <v>LB2-36</v>
          </cell>
          <cell r="E347">
            <v>19899.71</v>
          </cell>
          <cell r="F347">
            <v>102114.84</v>
          </cell>
          <cell r="G347">
            <v>20257.900000000001</v>
          </cell>
          <cell r="H347">
            <v>103765.1</v>
          </cell>
          <cell r="I347">
            <v>20257.904780000001</v>
          </cell>
          <cell r="J347">
            <v>103765.08</v>
          </cell>
        </row>
        <row r="348">
          <cell r="B348" t="str">
            <v>1LB2-36</v>
          </cell>
          <cell r="C348" t="str">
            <v>DIR. DE ASUNT. JUR./DE INF. Y COM./ASUNT. INT./Y DEL CONTRALOR INTERNO</v>
          </cell>
          <cell r="D348" t="str">
            <v>LB2-36</v>
          </cell>
          <cell r="E348">
            <v>19899.71</v>
          </cell>
          <cell r="F348">
            <v>102114.84</v>
          </cell>
          <cell r="G348">
            <v>20257.900000000001</v>
          </cell>
          <cell r="H348">
            <v>103765.1</v>
          </cell>
          <cell r="I348">
            <v>20257.904780000001</v>
          </cell>
          <cell r="J348">
            <v>103765.08</v>
          </cell>
        </row>
        <row r="349">
          <cell r="B349" t="str">
            <v>MC2</v>
          </cell>
          <cell r="C349" t="str">
            <v>DIRECTOR DE ÁREA</v>
          </cell>
          <cell r="D349" t="str">
            <v>MC2</v>
          </cell>
          <cell r="E349">
            <v>15855.81</v>
          </cell>
          <cell r="F349">
            <v>61556.19</v>
          </cell>
          <cell r="G349">
            <v>16141.2</v>
          </cell>
          <cell r="H349">
            <v>62664.2</v>
          </cell>
          <cell r="I349">
            <v>16141.21458</v>
          </cell>
          <cell r="J349">
            <v>62664.21</v>
          </cell>
        </row>
        <row r="350">
          <cell r="B350" t="str">
            <v>NC3</v>
          </cell>
          <cell r="C350" t="str">
            <v>SRIO. PARTICULAR/ SECREATRIO TÉCNICO</v>
          </cell>
          <cell r="D350" t="str">
            <v>NC3</v>
          </cell>
          <cell r="E350">
            <v>11351.79</v>
          </cell>
          <cell r="F350">
            <v>35692.339999999997</v>
          </cell>
          <cell r="G350">
            <v>11556.1</v>
          </cell>
          <cell r="H350">
            <v>36334.800000000003</v>
          </cell>
          <cell r="I350">
            <v>11556.122220000001</v>
          </cell>
          <cell r="J350">
            <v>36334.81</v>
          </cell>
        </row>
        <row r="351">
          <cell r="B351" t="str">
            <v>NC2</v>
          </cell>
          <cell r="C351" t="str">
            <v>COORD. /CEN. NAL. DE FORM. Y DES. DE PROF. E INSTRUCTORES</v>
          </cell>
          <cell r="D351" t="str">
            <v>NC2</v>
          </cell>
          <cell r="E351">
            <v>11351.79</v>
          </cell>
          <cell r="F351">
            <v>27851.65</v>
          </cell>
          <cell r="G351">
            <v>11556.1</v>
          </cell>
          <cell r="H351">
            <v>28353</v>
          </cell>
          <cell r="I351">
            <v>11556.122220000001</v>
          </cell>
          <cell r="J351">
            <v>28352.99</v>
          </cell>
        </row>
        <row r="352">
          <cell r="B352" t="str">
            <v>OB1</v>
          </cell>
          <cell r="C352" t="str">
            <v>JEFE DE DEPARTAMENTO</v>
          </cell>
          <cell r="D352" t="str">
            <v>OB1</v>
          </cell>
          <cell r="E352">
            <v>5483.37</v>
          </cell>
          <cell r="F352">
            <v>13605.75</v>
          </cell>
          <cell r="G352">
            <v>5582.05</v>
          </cell>
          <cell r="H352">
            <v>13850.65</v>
          </cell>
          <cell r="I352">
            <v>5582.0706600000003</v>
          </cell>
          <cell r="J352">
            <v>13850.65</v>
          </cell>
        </row>
        <row r="353">
          <cell r="B353" t="str">
            <v>OC2</v>
          </cell>
          <cell r="C353" t="str">
            <v>SUBCOORDINADOR</v>
          </cell>
          <cell r="D353" t="str">
            <v>OC2</v>
          </cell>
          <cell r="E353">
            <v>7364.46</v>
          </cell>
          <cell r="F353">
            <v>17443.759999999998</v>
          </cell>
          <cell r="G353">
            <v>7497</v>
          </cell>
          <cell r="H353">
            <v>17757.75</v>
          </cell>
          <cell r="I353">
            <v>7497.0202799999997</v>
          </cell>
          <cell r="J353">
            <v>17757.740000000002</v>
          </cell>
        </row>
        <row r="354">
          <cell r="B354" t="str">
            <v>1MC2</v>
          </cell>
          <cell r="C354" t="str">
            <v>REPRESENTANTE</v>
          </cell>
          <cell r="D354" t="str">
            <v>MC2</v>
          </cell>
          <cell r="E354">
            <v>15855.81</v>
          </cell>
          <cell r="F354">
            <v>61556.19</v>
          </cell>
          <cell r="G354">
            <v>16141.2</v>
          </cell>
          <cell r="H354">
            <v>62664.2</v>
          </cell>
          <cell r="I354">
            <v>16141.21458</v>
          </cell>
          <cell r="J354">
            <v>62664.21</v>
          </cell>
        </row>
        <row r="355">
          <cell r="B355" t="str">
            <v>NB2</v>
          </cell>
          <cell r="C355" t="str">
            <v>DIRECTOR DE PLANTEL "A" II</v>
          </cell>
          <cell r="D355" t="str">
            <v>NB2</v>
          </cell>
          <cell r="E355">
            <v>8682.7199999999993</v>
          </cell>
          <cell r="F355">
            <v>24261.35</v>
          </cell>
          <cell r="G355">
            <v>8839</v>
          </cell>
          <cell r="H355">
            <v>24698.05</v>
          </cell>
          <cell r="I355">
            <v>8839.0089599999992</v>
          </cell>
          <cell r="J355">
            <v>24698.05</v>
          </cell>
        </row>
        <row r="356">
          <cell r="B356" t="str">
            <v>NB1</v>
          </cell>
          <cell r="C356" t="str">
            <v>DIRECTOR DE PLANTEL "B" Y "C" II</v>
          </cell>
          <cell r="D356" t="str">
            <v>NB1</v>
          </cell>
          <cell r="E356">
            <v>7779.95</v>
          </cell>
          <cell r="F356">
            <v>20377.38</v>
          </cell>
          <cell r="G356">
            <v>7920</v>
          </cell>
          <cell r="H356">
            <v>20744.149999999998</v>
          </cell>
          <cell r="I356">
            <v>7919.9890999999998</v>
          </cell>
          <cell r="J356">
            <v>20744.169999999998</v>
          </cell>
        </row>
        <row r="357">
          <cell r="B357" t="str">
            <v>1NB2</v>
          </cell>
          <cell r="C357" t="str">
            <v>DIRECTOR DE PLANTEL "B" Y "C" III</v>
          </cell>
          <cell r="D357" t="str">
            <v>NB2</v>
          </cell>
          <cell r="E357">
            <v>8222.85</v>
          </cell>
          <cell r="F357">
            <v>24721.22</v>
          </cell>
          <cell r="G357">
            <v>8370.8499999999985</v>
          </cell>
          <cell r="H357">
            <v>25166.2</v>
          </cell>
          <cell r="I357">
            <v>8370.8613000000005</v>
          </cell>
          <cell r="J357">
            <v>25166.2</v>
          </cell>
        </row>
        <row r="358">
          <cell r="B358" t="str">
            <v>NA2</v>
          </cell>
          <cell r="C358" t="str">
            <v>DIRECTOR DE PLANTEL "D" Y "E" III</v>
          </cell>
          <cell r="D358" t="str">
            <v>NA2</v>
          </cell>
          <cell r="E358">
            <v>7378.1</v>
          </cell>
          <cell r="F358">
            <v>20779.23</v>
          </cell>
          <cell r="G358">
            <v>7510.9</v>
          </cell>
          <cell r="H358">
            <v>21153.25</v>
          </cell>
          <cell r="I358">
            <v>7510.9058000000005</v>
          </cell>
          <cell r="J358">
            <v>21153.25</v>
          </cell>
        </row>
        <row r="359">
          <cell r="B359" t="str">
            <v>1OC2</v>
          </cell>
          <cell r="C359" t="str">
            <v>SUBCORDINADOR</v>
          </cell>
          <cell r="D359" t="str">
            <v>OC2</v>
          </cell>
          <cell r="E359">
            <v>7364.47</v>
          </cell>
          <cell r="F359">
            <v>17443.75</v>
          </cell>
          <cell r="G359">
            <v>7497.05</v>
          </cell>
          <cell r="H359">
            <v>17757.75</v>
          </cell>
          <cell r="I359">
            <v>7497.0304599999999</v>
          </cell>
          <cell r="J359">
            <v>17757.73</v>
          </cell>
        </row>
        <row r="360">
          <cell r="B360" t="str">
            <v>OB2</v>
          </cell>
          <cell r="C360" t="str">
            <v>COORDINADOR EJECUTIVO</v>
          </cell>
          <cell r="D360" t="str">
            <v>OB2</v>
          </cell>
          <cell r="E360">
            <v>6301.13</v>
          </cell>
          <cell r="F360">
            <v>15460.46</v>
          </cell>
          <cell r="G360">
            <v>6414.55</v>
          </cell>
          <cell r="H360">
            <v>15738.75</v>
          </cell>
          <cell r="I360">
            <v>6414.5503399999998</v>
          </cell>
          <cell r="J360">
            <v>15738.75</v>
          </cell>
        </row>
        <row r="361">
          <cell r="B361" t="str">
            <v>1OB2</v>
          </cell>
          <cell r="C361" t="str">
            <v>COORDINADOR EJECUTIVO III</v>
          </cell>
          <cell r="D361" t="str">
            <v>OB2</v>
          </cell>
          <cell r="E361">
            <v>7021</v>
          </cell>
          <cell r="F361">
            <v>14740.59</v>
          </cell>
          <cell r="G361">
            <v>7147.4000000000005</v>
          </cell>
          <cell r="H361">
            <v>15005.9</v>
          </cell>
          <cell r="I361">
            <v>7147.3779999999997</v>
          </cell>
          <cell r="J361">
            <v>15005.92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97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98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9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100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10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81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82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83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84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85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8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87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88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9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90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91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92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93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94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95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9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E6:N18"/>
  <sheetViews>
    <sheetView showGridLines="0" tabSelected="1" topLeftCell="A7" zoomScale="90" zoomScaleNormal="90" workbookViewId="0">
      <selection activeCell="Q34" sqref="Q34"/>
    </sheetView>
  </sheetViews>
  <sheetFormatPr baseColWidth="10" defaultRowHeight="12.75" x14ac:dyDescent="0.2"/>
  <sheetData>
    <row r="6" spans="5:14" ht="13.5" customHeight="1" x14ac:dyDescent="0.2">
      <c r="E6" s="5002"/>
      <c r="F6" s="5002"/>
      <c r="G6" s="5002"/>
      <c r="H6" s="5002"/>
      <c r="I6" s="5002"/>
      <c r="J6" s="5002"/>
      <c r="K6" s="5002"/>
    </row>
    <row r="9" spans="5:14" ht="12.75" customHeight="1" x14ac:dyDescent="0.2">
      <c r="G9" s="5003"/>
      <c r="H9" s="5003"/>
      <c r="I9" s="5003"/>
    </row>
    <row r="11" spans="5:14" ht="15.75" customHeight="1" x14ac:dyDescent="0.55000000000000004">
      <c r="I11" s="3793"/>
      <c r="J11" s="3793"/>
      <c r="K11" s="3793"/>
      <c r="L11" s="3793"/>
      <c r="M11" s="3793"/>
      <c r="N11" s="3793"/>
    </row>
    <row r="14" spans="5:14" x14ac:dyDescent="0.2">
      <c r="H14" s="3975"/>
    </row>
    <row r="17" spans="6:10" ht="14.25" x14ac:dyDescent="0.2">
      <c r="F17" s="46"/>
      <c r="G17" s="46"/>
      <c r="H17" s="46"/>
      <c r="I17" s="46"/>
      <c r="J17" s="46"/>
    </row>
    <row r="18" spans="6:10" ht="14.25" x14ac:dyDescent="0.2">
      <c r="G18" s="46"/>
      <c r="H18" s="46"/>
      <c r="I18" s="46"/>
    </row>
  </sheetData>
  <mergeCells count="2">
    <mergeCell ref="E6:K6"/>
    <mergeCell ref="G9:I9"/>
  </mergeCells>
  <printOptions horizontalCentered="1" verticalCentered="1"/>
  <pageMargins left="0.31496062992125984" right="0.39370078740157483" top="0.35433070866141736" bottom="0.35433070866141736" header="0" footer="0"/>
  <pageSetup scale="83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AP102"/>
  <sheetViews>
    <sheetView showGridLines="0" zoomScaleNormal="100" workbookViewId="0">
      <pane xSplit="3" ySplit="4" topLeftCell="AB8" activePane="bottomRight" state="frozen"/>
      <selection pane="topRight" activeCell="E1" sqref="E1"/>
      <selection pane="bottomLeft" activeCell="A6" sqref="A6"/>
      <selection pane="bottomRight" activeCell="AN96" sqref="AN96:AO96"/>
    </sheetView>
  </sheetViews>
  <sheetFormatPr baseColWidth="10" defaultRowHeight="15" x14ac:dyDescent="0.2"/>
  <cols>
    <col min="1" max="1" width="9.5703125" style="200" customWidth="1"/>
    <col min="2" max="2" width="9.7109375" style="194" customWidth="1"/>
    <col min="3" max="3" width="35.7109375" style="200" customWidth="1"/>
    <col min="4" max="42" width="8.7109375" style="200" customWidth="1"/>
    <col min="43" max="256" width="11.42578125" style="200"/>
    <col min="257" max="257" width="2" style="200" customWidth="1"/>
    <col min="258" max="258" width="20.5703125" style="200" bestFit="1" customWidth="1"/>
    <col min="259" max="259" width="5.7109375" style="200" bestFit="1" customWidth="1"/>
    <col min="260" max="260" width="35.7109375" style="200" customWidth="1"/>
    <col min="261" max="262" width="9.7109375" style="200" customWidth="1"/>
    <col min="263" max="263" width="11.5703125" style="200" customWidth="1"/>
    <col min="264" max="265" width="9.7109375" style="200" customWidth="1"/>
    <col min="266" max="266" width="12.140625" style="200" customWidth="1"/>
    <col min="267" max="268" width="9.7109375" style="200" customWidth="1"/>
    <col min="269" max="269" width="10.85546875" style="200" customWidth="1"/>
    <col min="270" max="271" width="9.7109375" style="200" customWidth="1"/>
    <col min="272" max="272" width="11.42578125" style="200" customWidth="1"/>
    <col min="273" max="274" width="9.7109375" style="200" customWidth="1"/>
    <col min="275" max="275" width="10.85546875" style="200" customWidth="1"/>
    <col min="276" max="277" width="9.7109375" style="200" customWidth="1"/>
    <col min="278" max="278" width="10.85546875" style="200" customWidth="1"/>
    <col min="279" max="280" width="9.7109375" style="200" customWidth="1"/>
    <col min="281" max="281" width="10.85546875" style="200" customWidth="1"/>
    <col min="282" max="512" width="11.42578125" style="200"/>
    <col min="513" max="513" width="2" style="200" customWidth="1"/>
    <col min="514" max="514" width="20.5703125" style="200" bestFit="1" customWidth="1"/>
    <col min="515" max="515" width="5.7109375" style="200" bestFit="1" customWidth="1"/>
    <col min="516" max="516" width="35.7109375" style="200" customWidth="1"/>
    <col min="517" max="518" width="9.7109375" style="200" customWidth="1"/>
    <col min="519" max="519" width="11.5703125" style="200" customWidth="1"/>
    <col min="520" max="521" width="9.7109375" style="200" customWidth="1"/>
    <col min="522" max="522" width="12.140625" style="200" customWidth="1"/>
    <col min="523" max="524" width="9.7109375" style="200" customWidth="1"/>
    <col min="525" max="525" width="10.85546875" style="200" customWidth="1"/>
    <col min="526" max="527" width="9.7109375" style="200" customWidth="1"/>
    <col min="528" max="528" width="11.42578125" style="200" customWidth="1"/>
    <col min="529" max="530" width="9.7109375" style="200" customWidth="1"/>
    <col min="531" max="531" width="10.85546875" style="200" customWidth="1"/>
    <col min="532" max="533" width="9.7109375" style="200" customWidth="1"/>
    <col min="534" max="534" width="10.85546875" style="200" customWidth="1"/>
    <col min="535" max="536" width="9.7109375" style="200" customWidth="1"/>
    <col min="537" max="537" width="10.85546875" style="200" customWidth="1"/>
    <col min="538" max="768" width="11.42578125" style="200"/>
    <col min="769" max="769" width="2" style="200" customWidth="1"/>
    <col min="770" max="770" width="20.5703125" style="200" bestFit="1" customWidth="1"/>
    <col min="771" max="771" width="5.7109375" style="200" bestFit="1" customWidth="1"/>
    <col min="772" max="772" width="35.7109375" style="200" customWidth="1"/>
    <col min="773" max="774" width="9.7109375" style="200" customWidth="1"/>
    <col min="775" max="775" width="11.5703125" style="200" customWidth="1"/>
    <col min="776" max="777" width="9.7109375" style="200" customWidth="1"/>
    <col min="778" max="778" width="12.140625" style="200" customWidth="1"/>
    <col min="779" max="780" width="9.7109375" style="200" customWidth="1"/>
    <col min="781" max="781" width="10.85546875" style="200" customWidth="1"/>
    <col min="782" max="783" width="9.7109375" style="200" customWidth="1"/>
    <col min="784" max="784" width="11.42578125" style="200" customWidth="1"/>
    <col min="785" max="786" width="9.7109375" style="200" customWidth="1"/>
    <col min="787" max="787" width="10.85546875" style="200" customWidth="1"/>
    <col min="788" max="789" width="9.7109375" style="200" customWidth="1"/>
    <col min="790" max="790" width="10.85546875" style="200" customWidth="1"/>
    <col min="791" max="792" width="9.7109375" style="200" customWidth="1"/>
    <col min="793" max="793" width="10.85546875" style="200" customWidth="1"/>
    <col min="794" max="1024" width="11.42578125" style="200"/>
    <col min="1025" max="1025" width="2" style="200" customWidth="1"/>
    <col min="1026" max="1026" width="20.5703125" style="200" bestFit="1" customWidth="1"/>
    <col min="1027" max="1027" width="5.7109375" style="200" bestFit="1" customWidth="1"/>
    <col min="1028" max="1028" width="35.7109375" style="200" customWidth="1"/>
    <col min="1029" max="1030" width="9.7109375" style="200" customWidth="1"/>
    <col min="1031" max="1031" width="11.5703125" style="200" customWidth="1"/>
    <col min="1032" max="1033" width="9.7109375" style="200" customWidth="1"/>
    <col min="1034" max="1034" width="12.140625" style="200" customWidth="1"/>
    <col min="1035" max="1036" width="9.7109375" style="200" customWidth="1"/>
    <col min="1037" max="1037" width="10.85546875" style="200" customWidth="1"/>
    <col min="1038" max="1039" width="9.7109375" style="200" customWidth="1"/>
    <col min="1040" max="1040" width="11.42578125" style="200" customWidth="1"/>
    <col min="1041" max="1042" width="9.7109375" style="200" customWidth="1"/>
    <col min="1043" max="1043" width="10.85546875" style="200" customWidth="1"/>
    <col min="1044" max="1045" width="9.7109375" style="200" customWidth="1"/>
    <col min="1046" max="1046" width="10.85546875" style="200" customWidth="1"/>
    <col min="1047" max="1048" width="9.7109375" style="200" customWidth="1"/>
    <col min="1049" max="1049" width="10.85546875" style="200" customWidth="1"/>
    <col min="1050" max="1280" width="11.42578125" style="200"/>
    <col min="1281" max="1281" width="2" style="200" customWidth="1"/>
    <col min="1282" max="1282" width="20.5703125" style="200" bestFit="1" customWidth="1"/>
    <col min="1283" max="1283" width="5.7109375" style="200" bestFit="1" customWidth="1"/>
    <col min="1284" max="1284" width="35.7109375" style="200" customWidth="1"/>
    <col min="1285" max="1286" width="9.7109375" style="200" customWidth="1"/>
    <col min="1287" max="1287" width="11.5703125" style="200" customWidth="1"/>
    <col min="1288" max="1289" width="9.7109375" style="200" customWidth="1"/>
    <col min="1290" max="1290" width="12.140625" style="200" customWidth="1"/>
    <col min="1291" max="1292" width="9.7109375" style="200" customWidth="1"/>
    <col min="1293" max="1293" width="10.85546875" style="200" customWidth="1"/>
    <col min="1294" max="1295" width="9.7109375" style="200" customWidth="1"/>
    <col min="1296" max="1296" width="11.42578125" style="200" customWidth="1"/>
    <col min="1297" max="1298" width="9.7109375" style="200" customWidth="1"/>
    <col min="1299" max="1299" width="10.85546875" style="200" customWidth="1"/>
    <col min="1300" max="1301" width="9.7109375" style="200" customWidth="1"/>
    <col min="1302" max="1302" width="10.85546875" style="200" customWidth="1"/>
    <col min="1303" max="1304" width="9.7109375" style="200" customWidth="1"/>
    <col min="1305" max="1305" width="10.85546875" style="200" customWidth="1"/>
    <col min="1306" max="1536" width="11.42578125" style="200"/>
    <col min="1537" max="1537" width="2" style="200" customWidth="1"/>
    <col min="1538" max="1538" width="20.5703125" style="200" bestFit="1" customWidth="1"/>
    <col min="1539" max="1539" width="5.7109375" style="200" bestFit="1" customWidth="1"/>
    <col min="1540" max="1540" width="35.7109375" style="200" customWidth="1"/>
    <col min="1541" max="1542" width="9.7109375" style="200" customWidth="1"/>
    <col min="1543" max="1543" width="11.5703125" style="200" customWidth="1"/>
    <col min="1544" max="1545" width="9.7109375" style="200" customWidth="1"/>
    <col min="1546" max="1546" width="12.140625" style="200" customWidth="1"/>
    <col min="1547" max="1548" width="9.7109375" style="200" customWidth="1"/>
    <col min="1549" max="1549" width="10.85546875" style="200" customWidth="1"/>
    <col min="1550" max="1551" width="9.7109375" style="200" customWidth="1"/>
    <col min="1552" max="1552" width="11.42578125" style="200" customWidth="1"/>
    <col min="1553" max="1554" width="9.7109375" style="200" customWidth="1"/>
    <col min="1555" max="1555" width="10.85546875" style="200" customWidth="1"/>
    <col min="1556" max="1557" width="9.7109375" style="200" customWidth="1"/>
    <col min="1558" max="1558" width="10.85546875" style="200" customWidth="1"/>
    <col min="1559" max="1560" width="9.7109375" style="200" customWidth="1"/>
    <col min="1561" max="1561" width="10.85546875" style="200" customWidth="1"/>
    <col min="1562" max="1792" width="11.42578125" style="200"/>
    <col min="1793" max="1793" width="2" style="200" customWidth="1"/>
    <col min="1794" max="1794" width="20.5703125" style="200" bestFit="1" customWidth="1"/>
    <col min="1795" max="1795" width="5.7109375" style="200" bestFit="1" customWidth="1"/>
    <col min="1796" max="1796" width="35.7109375" style="200" customWidth="1"/>
    <col min="1797" max="1798" width="9.7109375" style="200" customWidth="1"/>
    <col min="1799" max="1799" width="11.5703125" style="200" customWidth="1"/>
    <col min="1800" max="1801" width="9.7109375" style="200" customWidth="1"/>
    <col min="1802" max="1802" width="12.140625" style="200" customWidth="1"/>
    <col min="1803" max="1804" width="9.7109375" style="200" customWidth="1"/>
    <col min="1805" max="1805" width="10.85546875" style="200" customWidth="1"/>
    <col min="1806" max="1807" width="9.7109375" style="200" customWidth="1"/>
    <col min="1808" max="1808" width="11.42578125" style="200" customWidth="1"/>
    <col min="1809" max="1810" width="9.7109375" style="200" customWidth="1"/>
    <col min="1811" max="1811" width="10.85546875" style="200" customWidth="1"/>
    <col min="1812" max="1813" width="9.7109375" style="200" customWidth="1"/>
    <col min="1814" max="1814" width="10.85546875" style="200" customWidth="1"/>
    <col min="1815" max="1816" width="9.7109375" style="200" customWidth="1"/>
    <col min="1817" max="1817" width="10.85546875" style="200" customWidth="1"/>
    <col min="1818" max="2048" width="11.42578125" style="200"/>
    <col min="2049" max="2049" width="2" style="200" customWidth="1"/>
    <col min="2050" max="2050" width="20.5703125" style="200" bestFit="1" customWidth="1"/>
    <col min="2051" max="2051" width="5.7109375" style="200" bestFit="1" customWidth="1"/>
    <col min="2052" max="2052" width="35.7109375" style="200" customWidth="1"/>
    <col min="2053" max="2054" width="9.7109375" style="200" customWidth="1"/>
    <col min="2055" max="2055" width="11.5703125" style="200" customWidth="1"/>
    <col min="2056" max="2057" width="9.7109375" style="200" customWidth="1"/>
    <col min="2058" max="2058" width="12.140625" style="200" customWidth="1"/>
    <col min="2059" max="2060" width="9.7109375" style="200" customWidth="1"/>
    <col min="2061" max="2061" width="10.85546875" style="200" customWidth="1"/>
    <col min="2062" max="2063" width="9.7109375" style="200" customWidth="1"/>
    <col min="2064" max="2064" width="11.42578125" style="200" customWidth="1"/>
    <col min="2065" max="2066" width="9.7109375" style="200" customWidth="1"/>
    <col min="2067" max="2067" width="10.85546875" style="200" customWidth="1"/>
    <col min="2068" max="2069" width="9.7109375" style="200" customWidth="1"/>
    <col min="2070" max="2070" width="10.85546875" style="200" customWidth="1"/>
    <col min="2071" max="2072" width="9.7109375" style="200" customWidth="1"/>
    <col min="2073" max="2073" width="10.85546875" style="200" customWidth="1"/>
    <col min="2074" max="2304" width="11.42578125" style="200"/>
    <col min="2305" max="2305" width="2" style="200" customWidth="1"/>
    <col min="2306" max="2306" width="20.5703125" style="200" bestFit="1" customWidth="1"/>
    <col min="2307" max="2307" width="5.7109375" style="200" bestFit="1" customWidth="1"/>
    <col min="2308" max="2308" width="35.7109375" style="200" customWidth="1"/>
    <col min="2309" max="2310" width="9.7109375" style="200" customWidth="1"/>
    <col min="2311" max="2311" width="11.5703125" style="200" customWidth="1"/>
    <col min="2312" max="2313" width="9.7109375" style="200" customWidth="1"/>
    <col min="2314" max="2314" width="12.140625" style="200" customWidth="1"/>
    <col min="2315" max="2316" width="9.7109375" style="200" customWidth="1"/>
    <col min="2317" max="2317" width="10.85546875" style="200" customWidth="1"/>
    <col min="2318" max="2319" width="9.7109375" style="200" customWidth="1"/>
    <col min="2320" max="2320" width="11.42578125" style="200" customWidth="1"/>
    <col min="2321" max="2322" width="9.7109375" style="200" customWidth="1"/>
    <col min="2323" max="2323" width="10.85546875" style="200" customWidth="1"/>
    <col min="2324" max="2325" width="9.7109375" style="200" customWidth="1"/>
    <col min="2326" max="2326" width="10.85546875" style="200" customWidth="1"/>
    <col min="2327" max="2328" width="9.7109375" style="200" customWidth="1"/>
    <col min="2329" max="2329" width="10.85546875" style="200" customWidth="1"/>
    <col min="2330" max="2560" width="11.42578125" style="200"/>
    <col min="2561" max="2561" width="2" style="200" customWidth="1"/>
    <col min="2562" max="2562" width="20.5703125" style="200" bestFit="1" customWidth="1"/>
    <col min="2563" max="2563" width="5.7109375" style="200" bestFit="1" customWidth="1"/>
    <col min="2564" max="2564" width="35.7109375" style="200" customWidth="1"/>
    <col min="2565" max="2566" width="9.7109375" style="200" customWidth="1"/>
    <col min="2567" max="2567" width="11.5703125" style="200" customWidth="1"/>
    <col min="2568" max="2569" width="9.7109375" style="200" customWidth="1"/>
    <col min="2570" max="2570" width="12.140625" style="200" customWidth="1"/>
    <col min="2571" max="2572" width="9.7109375" style="200" customWidth="1"/>
    <col min="2573" max="2573" width="10.85546875" style="200" customWidth="1"/>
    <col min="2574" max="2575" width="9.7109375" style="200" customWidth="1"/>
    <col min="2576" max="2576" width="11.42578125" style="200" customWidth="1"/>
    <col min="2577" max="2578" width="9.7109375" style="200" customWidth="1"/>
    <col min="2579" max="2579" width="10.85546875" style="200" customWidth="1"/>
    <col min="2580" max="2581" width="9.7109375" style="200" customWidth="1"/>
    <col min="2582" max="2582" width="10.85546875" style="200" customWidth="1"/>
    <col min="2583" max="2584" width="9.7109375" style="200" customWidth="1"/>
    <col min="2585" max="2585" width="10.85546875" style="200" customWidth="1"/>
    <col min="2586" max="2816" width="11.42578125" style="200"/>
    <col min="2817" max="2817" width="2" style="200" customWidth="1"/>
    <col min="2818" max="2818" width="20.5703125" style="200" bestFit="1" customWidth="1"/>
    <col min="2819" max="2819" width="5.7109375" style="200" bestFit="1" customWidth="1"/>
    <col min="2820" max="2820" width="35.7109375" style="200" customWidth="1"/>
    <col min="2821" max="2822" width="9.7109375" style="200" customWidth="1"/>
    <col min="2823" max="2823" width="11.5703125" style="200" customWidth="1"/>
    <col min="2824" max="2825" width="9.7109375" style="200" customWidth="1"/>
    <col min="2826" max="2826" width="12.140625" style="200" customWidth="1"/>
    <col min="2827" max="2828" width="9.7109375" style="200" customWidth="1"/>
    <col min="2829" max="2829" width="10.85546875" style="200" customWidth="1"/>
    <col min="2830" max="2831" width="9.7109375" style="200" customWidth="1"/>
    <col min="2832" max="2832" width="11.42578125" style="200" customWidth="1"/>
    <col min="2833" max="2834" width="9.7109375" style="200" customWidth="1"/>
    <col min="2835" max="2835" width="10.85546875" style="200" customWidth="1"/>
    <col min="2836" max="2837" width="9.7109375" style="200" customWidth="1"/>
    <col min="2838" max="2838" width="10.85546875" style="200" customWidth="1"/>
    <col min="2839" max="2840" width="9.7109375" style="200" customWidth="1"/>
    <col min="2841" max="2841" width="10.85546875" style="200" customWidth="1"/>
    <col min="2842" max="3072" width="11.42578125" style="200"/>
    <col min="3073" max="3073" width="2" style="200" customWidth="1"/>
    <col min="3074" max="3074" width="20.5703125" style="200" bestFit="1" customWidth="1"/>
    <col min="3075" max="3075" width="5.7109375" style="200" bestFit="1" customWidth="1"/>
    <col min="3076" max="3076" width="35.7109375" style="200" customWidth="1"/>
    <col min="3077" max="3078" width="9.7109375" style="200" customWidth="1"/>
    <col min="3079" max="3079" width="11.5703125" style="200" customWidth="1"/>
    <col min="3080" max="3081" width="9.7109375" style="200" customWidth="1"/>
    <col min="3082" max="3082" width="12.140625" style="200" customWidth="1"/>
    <col min="3083" max="3084" width="9.7109375" style="200" customWidth="1"/>
    <col min="3085" max="3085" width="10.85546875" style="200" customWidth="1"/>
    <col min="3086" max="3087" width="9.7109375" style="200" customWidth="1"/>
    <col min="3088" max="3088" width="11.42578125" style="200" customWidth="1"/>
    <col min="3089" max="3090" width="9.7109375" style="200" customWidth="1"/>
    <col min="3091" max="3091" width="10.85546875" style="200" customWidth="1"/>
    <col min="3092" max="3093" width="9.7109375" style="200" customWidth="1"/>
    <col min="3094" max="3094" width="10.85546875" style="200" customWidth="1"/>
    <col min="3095" max="3096" width="9.7109375" style="200" customWidth="1"/>
    <col min="3097" max="3097" width="10.85546875" style="200" customWidth="1"/>
    <col min="3098" max="3328" width="11.42578125" style="200"/>
    <col min="3329" max="3329" width="2" style="200" customWidth="1"/>
    <col min="3330" max="3330" width="20.5703125" style="200" bestFit="1" customWidth="1"/>
    <col min="3331" max="3331" width="5.7109375" style="200" bestFit="1" customWidth="1"/>
    <col min="3332" max="3332" width="35.7109375" style="200" customWidth="1"/>
    <col min="3333" max="3334" width="9.7109375" style="200" customWidth="1"/>
    <col min="3335" max="3335" width="11.5703125" style="200" customWidth="1"/>
    <col min="3336" max="3337" width="9.7109375" style="200" customWidth="1"/>
    <col min="3338" max="3338" width="12.140625" style="200" customWidth="1"/>
    <col min="3339" max="3340" width="9.7109375" style="200" customWidth="1"/>
    <col min="3341" max="3341" width="10.85546875" style="200" customWidth="1"/>
    <col min="3342" max="3343" width="9.7109375" style="200" customWidth="1"/>
    <col min="3344" max="3344" width="11.42578125" style="200" customWidth="1"/>
    <col min="3345" max="3346" width="9.7109375" style="200" customWidth="1"/>
    <col min="3347" max="3347" width="10.85546875" style="200" customWidth="1"/>
    <col min="3348" max="3349" width="9.7109375" style="200" customWidth="1"/>
    <col min="3350" max="3350" width="10.85546875" style="200" customWidth="1"/>
    <col min="3351" max="3352" width="9.7109375" style="200" customWidth="1"/>
    <col min="3353" max="3353" width="10.85546875" style="200" customWidth="1"/>
    <col min="3354" max="3584" width="11.42578125" style="200"/>
    <col min="3585" max="3585" width="2" style="200" customWidth="1"/>
    <col min="3586" max="3586" width="20.5703125" style="200" bestFit="1" customWidth="1"/>
    <col min="3587" max="3587" width="5.7109375" style="200" bestFit="1" customWidth="1"/>
    <col min="3588" max="3588" width="35.7109375" style="200" customWidth="1"/>
    <col min="3589" max="3590" width="9.7109375" style="200" customWidth="1"/>
    <col min="3591" max="3591" width="11.5703125" style="200" customWidth="1"/>
    <col min="3592" max="3593" width="9.7109375" style="200" customWidth="1"/>
    <col min="3594" max="3594" width="12.140625" style="200" customWidth="1"/>
    <col min="3595" max="3596" width="9.7109375" style="200" customWidth="1"/>
    <col min="3597" max="3597" width="10.85546875" style="200" customWidth="1"/>
    <col min="3598" max="3599" width="9.7109375" style="200" customWidth="1"/>
    <col min="3600" max="3600" width="11.42578125" style="200" customWidth="1"/>
    <col min="3601" max="3602" width="9.7109375" style="200" customWidth="1"/>
    <col min="3603" max="3603" width="10.85546875" style="200" customWidth="1"/>
    <col min="3604" max="3605" width="9.7109375" style="200" customWidth="1"/>
    <col min="3606" max="3606" width="10.85546875" style="200" customWidth="1"/>
    <col min="3607" max="3608" width="9.7109375" style="200" customWidth="1"/>
    <col min="3609" max="3609" width="10.85546875" style="200" customWidth="1"/>
    <col min="3610" max="3840" width="11.42578125" style="200"/>
    <col min="3841" max="3841" width="2" style="200" customWidth="1"/>
    <col min="3842" max="3842" width="20.5703125" style="200" bestFit="1" customWidth="1"/>
    <col min="3843" max="3843" width="5.7109375" style="200" bestFit="1" customWidth="1"/>
    <col min="3844" max="3844" width="35.7109375" style="200" customWidth="1"/>
    <col min="3845" max="3846" width="9.7109375" style="200" customWidth="1"/>
    <col min="3847" max="3847" width="11.5703125" style="200" customWidth="1"/>
    <col min="3848" max="3849" width="9.7109375" style="200" customWidth="1"/>
    <col min="3850" max="3850" width="12.140625" style="200" customWidth="1"/>
    <col min="3851" max="3852" width="9.7109375" style="200" customWidth="1"/>
    <col min="3853" max="3853" width="10.85546875" style="200" customWidth="1"/>
    <col min="3854" max="3855" width="9.7109375" style="200" customWidth="1"/>
    <col min="3856" max="3856" width="11.42578125" style="200" customWidth="1"/>
    <col min="3857" max="3858" width="9.7109375" style="200" customWidth="1"/>
    <col min="3859" max="3859" width="10.85546875" style="200" customWidth="1"/>
    <col min="3860" max="3861" width="9.7109375" style="200" customWidth="1"/>
    <col min="3862" max="3862" width="10.85546875" style="200" customWidth="1"/>
    <col min="3863" max="3864" width="9.7109375" style="200" customWidth="1"/>
    <col min="3865" max="3865" width="10.85546875" style="200" customWidth="1"/>
    <col min="3866" max="4096" width="11.42578125" style="200"/>
    <col min="4097" max="4097" width="2" style="200" customWidth="1"/>
    <col min="4098" max="4098" width="20.5703125" style="200" bestFit="1" customWidth="1"/>
    <col min="4099" max="4099" width="5.7109375" style="200" bestFit="1" customWidth="1"/>
    <col min="4100" max="4100" width="35.7109375" style="200" customWidth="1"/>
    <col min="4101" max="4102" width="9.7109375" style="200" customWidth="1"/>
    <col min="4103" max="4103" width="11.5703125" style="200" customWidth="1"/>
    <col min="4104" max="4105" width="9.7109375" style="200" customWidth="1"/>
    <col min="4106" max="4106" width="12.140625" style="200" customWidth="1"/>
    <col min="4107" max="4108" width="9.7109375" style="200" customWidth="1"/>
    <col min="4109" max="4109" width="10.85546875" style="200" customWidth="1"/>
    <col min="4110" max="4111" width="9.7109375" style="200" customWidth="1"/>
    <col min="4112" max="4112" width="11.42578125" style="200" customWidth="1"/>
    <col min="4113" max="4114" width="9.7109375" style="200" customWidth="1"/>
    <col min="4115" max="4115" width="10.85546875" style="200" customWidth="1"/>
    <col min="4116" max="4117" width="9.7109375" style="200" customWidth="1"/>
    <col min="4118" max="4118" width="10.85546875" style="200" customWidth="1"/>
    <col min="4119" max="4120" width="9.7109375" style="200" customWidth="1"/>
    <col min="4121" max="4121" width="10.85546875" style="200" customWidth="1"/>
    <col min="4122" max="4352" width="11.42578125" style="200"/>
    <col min="4353" max="4353" width="2" style="200" customWidth="1"/>
    <col min="4354" max="4354" width="20.5703125" style="200" bestFit="1" customWidth="1"/>
    <col min="4355" max="4355" width="5.7109375" style="200" bestFit="1" customWidth="1"/>
    <col min="4356" max="4356" width="35.7109375" style="200" customWidth="1"/>
    <col min="4357" max="4358" width="9.7109375" style="200" customWidth="1"/>
    <col min="4359" max="4359" width="11.5703125" style="200" customWidth="1"/>
    <col min="4360" max="4361" width="9.7109375" style="200" customWidth="1"/>
    <col min="4362" max="4362" width="12.140625" style="200" customWidth="1"/>
    <col min="4363" max="4364" width="9.7109375" style="200" customWidth="1"/>
    <col min="4365" max="4365" width="10.85546875" style="200" customWidth="1"/>
    <col min="4366" max="4367" width="9.7109375" style="200" customWidth="1"/>
    <col min="4368" max="4368" width="11.42578125" style="200" customWidth="1"/>
    <col min="4369" max="4370" width="9.7109375" style="200" customWidth="1"/>
    <col min="4371" max="4371" width="10.85546875" style="200" customWidth="1"/>
    <col min="4372" max="4373" width="9.7109375" style="200" customWidth="1"/>
    <col min="4374" max="4374" width="10.85546875" style="200" customWidth="1"/>
    <col min="4375" max="4376" width="9.7109375" style="200" customWidth="1"/>
    <col min="4377" max="4377" width="10.85546875" style="200" customWidth="1"/>
    <col min="4378" max="4608" width="11.42578125" style="200"/>
    <col min="4609" max="4609" width="2" style="200" customWidth="1"/>
    <col min="4610" max="4610" width="20.5703125" style="200" bestFit="1" customWidth="1"/>
    <col min="4611" max="4611" width="5.7109375" style="200" bestFit="1" customWidth="1"/>
    <col min="4612" max="4612" width="35.7109375" style="200" customWidth="1"/>
    <col min="4613" max="4614" width="9.7109375" style="200" customWidth="1"/>
    <col min="4615" max="4615" width="11.5703125" style="200" customWidth="1"/>
    <col min="4616" max="4617" width="9.7109375" style="200" customWidth="1"/>
    <col min="4618" max="4618" width="12.140625" style="200" customWidth="1"/>
    <col min="4619" max="4620" width="9.7109375" style="200" customWidth="1"/>
    <col min="4621" max="4621" width="10.85546875" style="200" customWidth="1"/>
    <col min="4622" max="4623" width="9.7109375" style="200" customWidth="1"/>
    <col min="4624" max="4624" width="11.42578125" style="200" customWidth="1"/>
    <col min="4625" max="4626" width="9.7109375" style="200" customWidth="1"/>
    <col min="4627" max="4627" width="10.85546875" style="200" customWidth="1"/>
    <col min="4628" max="4629" width="9.7109375" style="200" customWidth="1"/>
    <col min="4630" max="4630" width="10.85546875" style="200" customWidth="1"/>
    <col min="4631" max="4632" width="9.7109375" style="200" customWidth="1"/>
    <col min="4633" max="4633" width="10.85546875" style="200" customWidth="1"/>
    <col min="4634" max="4864" width="11.42578125" style="200"/>
    <col min="4865" max="4865" width="2" style="200" customWidth="1"/>
    <col min="4866" max="4866" width="20.5703125" style="200" bestFit="1" customWidth="1"/>
    <col min="4867" max="4867" width="5.7109375" style="200" bestFit="1" customWidth="1"/>
    <col min="4868" max="4868" width="35.7109375" style="200" customWidth="1"/>
    <col min="4869" max="4870" width="9.7109375" style="200" customWidth="1"/>
    <col min="4871" max="4871" width="11.5703125" style="200" customWidth="1"/>
    <col min="4872" max="4873" width="9.7109375" style="200" customWidth="1"/>
    <col min="4874" max="4874" width="12.140625" style="200" customWidth="1"/>
    <col min="4875" max="4876" width="9.7109375" style="200" customWidth="1"/>
    <col min="4877" max="4877" width="10.85546875" style="200" customWidth="1"/>
    <col min="4878" max="4879" width="9.7109375" style="200" customWidth="1"/>
    <col min="4880" max="4880" width="11.42578125" style="200" customWidth="1"/>
    <col min="4881" max="4882" width="9.7109375" style="200" customWidth="1"/>
    <col min="4883" max="4883" width="10.85546875" style="200" customWidth="1"/>
    <col min="4884" max="4885" width="9.7109375" style="200" customWidth="1"/>
    <col min="4886" max="4886" width="10.85546875" style="200" customWidth="1"/>
    <col min="4887" max="4888" width="9.7109375" style="200" customWidth="1"/>
    <col min="4889" max="4889" width="10.85546875" style="200" customWidth="1"/>
    <col min="4890" max="5120" width="11.42578125" style="200"/>
    <col min="5121" max="5121" width="2" style="200" customWidth="1"/>
    <col min="5122" max="5122" width="20.5703125" style="200" bestFit="1" customWidth="1"/>
    <col min="5123" max="5123" width="5.7109375" style="200" bestFit="1" customWidth="1"/>
    <col min="5124" max="5124" width="35.7109375" style="200" customWidth="1"/>
    <col min="5125" max="5126" width="9.7109375" style="200" customWidth="1"/>
    <col min="5127" max="5127" width="11.5703125" style="200" customWidth="1"/>
    <col min="5128" max="5129" width="9.7109375" style="200" customWidth="1"/>
    <col min="5130" max="5130" width="12.140625" style="200" customWidth="1"/>
    <col min="5131" max="5132" width="9.7109375" style="200" customWidth="1"/>
    <col min="5133" max="5133" width="10.85546875" style="200" customWidth="1"/>
    <col min="5134" max="5135" width="9.7109375" style="200" customWidth="1"/>
    <col min="5136" max="5136" width="11.42578125" style="200" customWidth="1"/>
    <col min="5137" max="5138" width="9.7109375" style="200" customWidth="1"/>
    <col min="5139" max="5139" width="10.85546875" style="200" customWidth="1"/>
    <col min="5140" max="5141" width="9.7109375" style="200" customWidth="1"/>
    <col min="5142" max="5142" width="10.85546875" style="200" customWidth="1"/>
    <col min="5143" max="5144" width="9.7109375" style="200" customWidth="1"/>
    <col min="5145" max="5145" width="10.85546875" style="200" customWidth="1"/>
    <col min="5146" max="5376" width="11.42578125" style="200"/>
    <col min="5377" max="5377" width="2" style="200" customWidth="1"/>
    <col min="5378" max="5378" width="20.5703125" style="200" bestFit="1" customWidth="1"/>
    <col min="5379" max="5379" width="5.7109375" style="200" bestFit="1" customWidth="1"/>
    <col min="5380" max="5380" width="35.7109375" style="200" customWidth="1"/>
    <col min="5381" max="5382" width="9.7109375" style="200" customWidth="1"/>
    <col min="5383" max="5383" width="11.5703125" style="200" customWidth="1"/>
    <col min="5384" max="5385" width="9.7109375" style="200" customWidth="1"/>
    <col min="5386" max="5386" width="12.140625" style="200" customWidth="1"/>
    <col min="5387" max="5388" width="9.7109375" style="200" customWidth="1"/>
    <col min="5389" max="5389" width="10.85546875" style="200" customWidth="1"/>
    <col min="5390" max="5391" width="9.7109375" style="200" customWidth="1"/>
    <col min="5392" max="5392" width="11.42578125" style="200" customWidth="1"/>
    <col min="5393" max="5394" width="9.7109375" style="200" customWidth="1"/>
    <col min="5395" max="5395" width="10.85546875" style="200" customWidth="1"/>
    <col min="5396" max="5397" width="9.7109375" style="200" customWidth="1"/>
    <col min="5398" max="5398" width="10.85546875" style="200" customWidth="1"/>
    <col min="5399" max="5400" width="9.7109375" style="200" customWidth="1"/>
    <col min="5401" max="5401" width="10.85546875" style="200" customWidth="1"/>
    <col min="5402" max="5632" width="11.42578125" style="200"/>
    <col min="5633" max="5633" width="2" style="200" customWidth="1"/>
    <col min="5634" max="5634" width="20.5703125" style="200" bestFit="1" customWidth="1"/>
    <col min="5635" max="5635" width="5.7109375" style="200" bestFit="1" customWidth="1"/>
    <col min="5636" max="5636" width="35.7109375" style="200" customWidth="1"/>
    <col min="5637" max="5638" width="9.7109375" style="200" customWidth="1"/>
    <col min="5639" max="5639" width="11.5703125" style="200" customWidth="1"/>
    <col min="5640" max="5641" width="9.7109375" style="200" customWidth="1"/>
    <col min="5642" max="5642" width="12.140625" style="200" customWidth="1"/>
    <col min="5643" max="5644" width="9.7109375" style="200" customWidth="1"/>
    <col min="5645" max="5645" width="10.85546875" style="200" customWidth="1"/>
    <col min="5646" max="5647" width="9.7109375" style="200" customWidth="1"/>
    <col min="5648" max="5648" width="11.42578125" style="200" customWidth="1"/>
    <col min="5649" max="5650" width="9.7109375" style="200" customWidth="1"/>
    <col min="5651" max="5651" width="10.85546875" style="200" customWidth="1"/>
    <col min="5652" max="5653" width="9.7109375" style="200" customWidth="1"/>
    <col min="5654" max="5654" width="10.85546875" style="200" customWidth="1"/>
    <col min="5655" max="5656" width="9.7109375" style="200" customWidth="1"/>
    <col min="5657" max="5657" width="10.85546875" style="200" customWidth="1"/>
    <col min="5658" max="5888" width="11.42578125" style="200"/>
    <col min="5889" max="5889" width="2" style="200" customWidth="1"/>
    <col min="5890" max="5890" width="20.5703125" style="200" bestFit="1" customWidth="1"/>
    <col min="5891" max="5891" width="5.7109375" style="200" bestFit="1" customWidth="1"/>
    <col min="5892" max="5892" width="35.7109375" style="200" customWidth="1"/>
    <col min="5893" max="5894" width="9.7109375" style="200" customWidth="1"/>
    <col min="5895" max="5895" width="11.5703125" style="200" customWidth="1"/>
    <col min="5896" max="5897" width="9.7109375" style="200" customWidth="1"/>
    <col min="5898" max="5898" width="12.140625" style="200" customWidth="1"/>
    <col min="5899" max="5900" width="9.7109375" style="200" customWidth="1"/>
    <col min="5901" max="5901" width="10.85546875" style="200" customWidth="1"/>
    <col min="5902" max="5903" width="9.7109375" style="200" customWidth="1"/>
    <col min="5904" max="5904" width="11.42578125" style="200" customWidth="1"/>
    <col min="5905" max="5906" width="9.7109375" style="200" customWidth="1"/>
    <col min="5907" max="5907" width="10.85546875" style="200" customWidth="1"/>
    <col min="5908" max="5909" width="9.7109375" style="200" customWidth="1"/>
    <col min="5910" max="5910" width="10.85546875" style="200" customWidth="1"/>
    <col min="5911" max="5912" width="9.7109375" style="200" customWidth="1"/>
    <col min="5913" max="5913" width="10.85546875" style="200" customWidth="1"/>
    <col min="5914" max="6144" width="11.42578125" style="200"/>
    <col min="6145" max="6145" width="2" style="200" customWidth="1"/>
    <col min="6146" max="6146" width="20.5703125" style="200" bestFit="1" customWidth="1"/>
    <col min="6147" max="6147" width="5.7109375" style="200" bestFit="1" customWidth="1"/>
    <col min="6148" max="6148" width="35.7109375" style="200" customWidth="1"/>
    <col min="6149" max="6150" width="9.7109375" style="200" customWidth="1"/>
    <col min="6151" max="6151" width="11.5703125" style="200" customWidth="1"/>
    <col min="6152" max="6153" width="9.7109375" style="200" customWidth="1"/>
    <col min="6154" max="6154" width="12.140625" style="200" customWidth="1"/>
    <col min="6155" max="6156" width="9.7109375" style="200" customWidth="1"/>
    <col min="6157" max="6157" width="10.85546875" style="200" customWidth="1"/>
    <col min="6158" max="6159" width="9.7109375" style="200" customWidth="1"/>
    <col min="6160" max="6160" width="11.42578125" style="200" customWidth="1"/>
    <col min="6161" max="6162" width="9.7109375" style="200" customWidth="1"/>
    <col min="6163" max="6163" width="10.85546875" style="200" customWidth="1"/>
    <col min="6164" max="6165" width="9.7109375" style="200" customWidth="1"/>
    <col min="6166" max="6166" width="10.85546875" style="200" customWidth="1"/>
    <col min="6167" max="6168" width="9.7109375" style="200" customWidth="1"/>
    <col min="6169" max="6169" width="10.85546875" style="200" customWidth="1"/>
    <col min="6170" max="6400" width="11.42578125" style="200"/>
    <col min="6401" max="6401" width="2" style="200" customWidth="1"/>
    <col min="6402" max="6402" width="20.5703125" style="200" bestFit="1" customWidth="1"/>
    <col min="6403" max="6403" width="5.7109375" style="200" bestFit="1" customWidth="1"/>
    <col min="6404" max="6404" width="35.7109375" style="200" customWidth="1"/>
    <col min="6405" max="6406" width="9.7109375" style="200" customWidth="1"/>
    <col min="6407" max="6407" width="11.5703125" style="200" customWidth="1"/>
    <col min="6408" max="6409" width="9.7109375" style="200" customWidth="1"/>
    <col min="6410" max="6410" width="12.140625" style="200" customWidth="1"/>
    <col min="6411" max="6412" width="9.7109375" style="200" customWidth="1"/>
    <col min="6413" max="6413" width="10.85546875" style="200" customWidth="1"/>
    <col min="6414" max="6415" width="9.7109375" style="200" customWidth="1"/>
    <col min="6416" max="6416" width="11.42578125" style="200" customWidth="1"/>
    <col min="6417" max="6418" width="9.7109375" style="200" customWidth="1"/>
    <col min="6419" max="6419" width="10.85546875" style="200" customWidth="1"/>
    <col min="6420" max="6421" width="9.7109375" style="200" customWidth="1"/>
    <col min="6422" max="6422" width="10.85546875" style="200" customWidth="1"/>
    <col min="6423" max="6424" width="9.7109375" style="200" customWidth="1"/>
    <col min="6425" max="6425" width="10.85546875" style="200" customWidth="1"/>
    <col min="6426" max="6656" width="11.42578125" style="200"/>
    <col min="6657" max="6657" width="2" style="200" customWidth="1"/>
    <col min="6658" max="6658" width="20.5703125" style="200" bestFit="1" customWidth="1"/>
    <col min="6659" max="6659" width="5.7109375" style="200" bestFit="1" customWidth="1"/>
    <col min="6660" max="6660" width="35.7109375" style="200" customWidth="1"/>
    <col min="6661" max="6662" width="9.7109375" style="200" customWidth="1"/>
    <col min="6663" max="6663" width="11.5703125" style="200" customWidth="1"/>
    <col min="6664" max="6665" width="9.7109375" style="200" customWidth="1"/>
    <col min="6666" max="6666" width="12.140625" style="200" customWidth="1"/>
    <col min="6667" max="6668" width="9.7109375" style="200" customWidth="1"/>
    <col min="6669" max="6669" width="10.85546875" style="200" customWidth="1"/>
    <col min="6670" max="6671" width="9.7109375" style="200" customWidth="1"/>
    <col min="6672" max="6672" width="11.42578125" style="200" customWidth="1"/>
    <col min="6673" max="6674" width="9.7109375" style="200" customWidth="1"/>
    <col min="6675" max="6675" width="10.85546875" style="200" customWidth="1"/>
    <col min="6676" max="6677" width="9.7109375" style="200" customWidth="1"/>
    <col min="6678" max="6678" width="10.85546875" style="200" customWidth="1"/>
    <col min="6679" max="6680" width="9.7109375" style="200" customWidth="1"/>
    <col min="6681" max="6681" width="10.85546875" style="200" customWidth="1"/>
    <col min="6682" max="6912" width="11.42578125" style="200"/>
    <col min="6913" max="6913" width="2" style="200" customWidth="1"/>
    <col min="6914" max="6914" width="20.5703125" style="200" bestFit="1" customWidth="1"/>
    <col min="6915" max="6915" width="5.7109375" style="200" bestFit="1" customWidth="1"/>
    <col min="6916" max="6916" width="35.7109375" style="200" customWidth="1"/>
    <col min="6917" max="6918" width="9.7109375" style="200" customWidth="1"/>
    <col min="6919" max="6919" width="11.5703125" style="200" customWidth="1"/>
    <col min="6920" max="6921" width="9.7109375" style="200" customWidth="1"/>
    <col min="6922" max="6922" width="12.140625" style="200" customWidth="1"/>
    <col min="6923" max="6924" width="9.7109375" style="200" customWidth="1"/>
    <col min="6925" max="6925" width="10.85546875" style="200" customWidth="1"/>
    <col min="6926" max="6927" width="9.7109375" style="200" customWidth="1"/>
    <col min="6928" max="6928" width="11.42578125" style="200" customWidth="1"/>
    <col min="6929" max="6930" width="9.7109375" style="200" customWidth="1"/>
    <col min="6931" max="6931" width="10.85546875" style="200" customWidth="1"/>
    <col min="6932" max="6933" width="9.7109375" style="200" customWidth="1"/>
    <col min="6934" max="6934" width="10.85546875" style="200" customWidth="1"/>
    <col min="6935" max="6936" width="9.7109375" style="200" customWidth="1"/>
    <col min="6937" max="6937" width="10.85546875" style="200" customWidth="1"/>
    <col min="6938" max="7168" width="11.42578125" style="200"/>
    <col min="7169" max="7169" width="2" style="200" customWidth="1"/>
    <col min="7170" max="7170" width="20.5703125" style="200" bestFit="1" customWidth="1"/>
    <col min="7171" max="7171" width="5.7109375" style="200" bestFit="1" customWidth="1"/>
    <col min="7172" max="7172" width="35.7109375" style="200" customWidth="1"/>
    <col min="7173" max="7174" width="9.7109375" style="200" customWidth="1"/>
    <col min="7175" max="7175" width="11.5703125" style="200" customWidth="1"/>
    <col min="7176" max="7177" width="9.7109375" style="200" customWidth="1"/>
    <col min="7178" max="7178" width="12.140625" style="200" customWidth="1"/>
    <col min="7179" max="7180" width="9.7109375" style="200" customWidth="1"/>
    <col min="7181" max="7181" width="10.85546875" style="200" customWidth="1"/>
    <col min="7182" max="7183" width="9.7109375" style="200" customWidth="1"/>
    <col min="7184" max="7184" width="11.42578125" style="200" customWidth="1"/>
    <col min="7185" max="7186" width="9.7109375" style="200" customWidth="1"/>
    <col min="7187" max="7187" width="10.85546875" style="200" customWidth="1"/>
    <col min="7188" max="7189" width="9.7109375" style="200" customWidth="1"/>
    <col min="7190" max="7190" width="10.85546875" style="200" customWidth="1"/>
    <col min="7191" max="7192" width="9.7109375" style="200" customWidth="1"/>
    <col min="7193" max="7193" width="10.85546875" style="200" customWidth="1"/>
    <col min="7194" max="7424" width="11.42578125" style="200"/>
    <col min="7425" max="7425" width="2" style="200" customWidth="1"/>
    <col min="7426" max="7426" width="20.5703125" style="200" bestFit="1" customWidth="1"/>
    <col min="7427" max="7427" width="5.7109375" style="200" bestFit="1" customWidth="1"/>
    <col min="7428" max="7428" width="35.7109375" style="200" customWidth="1"/>
    <col min="7429" max="7430" width="9.7109375" style="200" customWidth="1"/>
    <col min="7431" max="7431" width="11.5703125" style="200" customWidth="1"/>
    <col min="7432" max="7433" width="9.7109375" style="200" customWidth="1"/>
    <col min="7434" max="7434" width="12.140625" style="200" customWidth="1"/>
    <col min="7435" max="7436" width="9.7109375" style="200" customWidth="1"/>
    <col min="7437" max="7437" width="10.85546875" style="200" customWidth="1"/>
    <col min="7438" max="7439" width="9.7109375" style="200" customWidth="1"/>
    <col min="7440" max="7440" width="11.42578125" style="200" customWidth="1"/>
    <col min="7441" max="7442" width="9.7109375" style="200" customWidth="1"/>
    <col min="7443" max="7443" width="10.85546875" style="200" customWidth="1"/>
    <col min="7444" max="7445" width="9.7109375" style="200" customWidth="1"/>
    <col min="7446" max="7446" width="10.85546875" style="200" customWidth="1"/>
    <col min="7447" max="7448" width="9.7109375" style="200" customWidth="1"/>
    <col min="7449" max="7449" width="10.85546875" style="200" customWidth="1"/>
    <col min="7450" max="7680" width="11.42578125" style="200"/>
    <col min="7681" max="7681" width="2" style="200" customWidth="1"/>
    <col min="7682" max="7682" width="20.5703125" style="200" bestFit="1" customWidth="1"/>
    <col min="7683" max="7683" width="5.7109375" style="200" bestFit="1" customWidth="1"/>
    <col min="7684" max="7684" width="35.7109375" style="200" customWidth="1"/>
    <col min="7685" max="7686" width="9.7109375" style="200" customWidth="1"/>
    <col min="7687" max="7687" width="11.5703125" style="200" customWidth="1"/>
    <col min="7688" max="7689" width="9.7109375" style="200" customWidth="1"/>
    <col min="7690" max="7690" width="12.140625" style="200" customWidth="1"/>
    <col min="7691" max="7692" width="9.7109375" style="200" customWidth="1"/>
    <col min="7693" max="7693" width="10.85546875" style="200" customWidth="1"/>
    <col min="7694" max="7695" width="9.7109375" style="200" customWidth="1"/>
    <col min="7696" max="7696" width="11.42578125" style="200" customWidth="1"/>
    <col min="7697" max="7698" width="9.7109375" style="200" customWidth="1"/>
    <col min="7699" max="7699" width="10.85546875" style="200" customWidth="1"/>
    <col min="7700" max="7701" width="9.7109375" style="200" customWidth="1"/>
    <col min="7702" max="7702" width="10.85546875" style="200" customWidth="1"/>
    <col min="7703" max="7704" width="9.7109375" style="200" customWidth="1"/>
    <col min="7705" max="7705" width="10.85546875" style="200" customWidth="1"/>
    <col min="7706" max="7936" width="11.42578125" style="200"/>
    <col min="7937" max="7937" width="2" style="200" customWidth="1"/>
    <col min="7938" max="7938" width="20.5703125" style="200" bestFit="1" customWidth="1"/>
    <col min="7939" max="7939" width="5.7109375" style="200" bestFit="1" customWidth="1"/>
    <col min="7940" max="7940" width="35.7109375" style="200" customWidth="1"/>
    <col min="7941" max="7942" width="9.7109375" style="200" customWidth="1"/>
    <col min="7943" max="7943" width="11.5703125" style="200" customWidth="1"/>
    <col min="7944" max="7945" width="9.7109375" style="200" customWidth="1"/>
    <col min="7946" max="7946" width="12.140625" style="200" customWidth="1"/>
    <col min="7947" max="7948" width="9.7109375" style="200" customWidth="1"/>
    <col min="7949" max="7949" width="10.85546875" style="200" customWidth="1"/>
    <col min="7950" max="7951" width="9.7109375" style="200" customWidth="1"/>
    <col min="7952" max="7952" width="11.42578125" style="200" customWidth="1"/>
    <col min="7953" max="7954" width="9.7109375" style="200" customWidth="1"/>
    <col min="7955" max="7955" width="10.85546875" style="200" customWidth="1"/>
    <col min="7956" max="7957" width="9.7109375" style="200" customWidth="1"/>
    <col min="7958" max="7958" width="10.85546875" style="200" customWidth="1"/>
    <col min="7959" max="7960" width="9.7109375" style="200" customWidth="1"/>
    <col min="7961" max="7961" width="10.85546875" style="200" customWidth="1"/>
    <col min="7962" max="8192" width="11.42578125" style="200"/>
    <col min="8193" max="8193" width="2" style="200" customWidth="1"/>
    <col min="8194" max="8194" width="20.5703125" style="200" bestFit="1" customWidth="1"/>
    <col min="8195" max="8195" width="5.7109375" style="200" bestFit="1" customWidth="1"/>
    <col min="8196" max="8196" width="35.7109375" style="200" customWidth="1"/>
    <col min="8197" max="8198" width="9.7109375" style="200" customWidth="1"/>
    <col min="8199" max="8199" width="11.5703125" style="200" customWidth="1"/>
    <col min="8200" max="8201" width="9.7109375" style="200" customWidth="1"/>
    <col min="8202" max="8202" width="12.140625" style="200" customWidth="1"/>
    <col min="8203" max="8204" width="9.7109375" style="200" customWidth="1"/>
    <col min="8205" max="8205" width="10.85546875" style="200" customWidth="1"/>
    <col min="8206" max="8207" width="9.7109375" style="200" customWidth="1"/>
    <col min="8208" max="8208" width="11.42578125" style="200" customWidth="1"/>
    <col min="8209" max="8210" width="9.7109375" style="200" customWidth="1"/>
    <col min="8211" max="8211" width="10.85546875" style="200" customWidth="1"/>
    <col min="8212" max="8213" width="9.7109375" style="200" customWidth="1"/>
    <col min="8214" max="8214" width="10.85546875" style="200" customWidth="1"/>
    <col min="8215" max="8216" width="9.7109375" style="200" customWidth="1"/>
    <col min="8217" max="8217" width="10.85546875" style="200" customWidth="1"/>
    <col min="8218" max="8448" width="11.42578125" style="200"/>
    <col min="8449" max="8449" width="2" style="200" customWidth="1"/>
    <col min="8450" max="8450" width="20.5703125" style="200" bestFit="1" customWidth="1"/>
    <col min="8451" max="8451" width="5.7109375" style="200" bestFit="1" customWidth="1"/>
    <col min="8452" max="8452" width="35.7109375" style="200" customWidth="1"/>
    <col min="8453" max="8454" width="9.7109375" style="200" customWidth="1"/>
    <col min="8455" max="8455" width="11.5703125" style="200" customWidth="1"/>
    <col min="8456" max="8457" width="9.7109375" style="200" customWidth="1"/>
    <col min="8458" max="8458" width="12.140625" style="200" customWidth="1"/>
    <col min="8459" max="8460" width="9.7109375" style="200" customWidth="1"/>
    <col min="8461" max="8461" width="10.85546875" style="200" customWidth="1"/>
    <col min="8462" max="8463" width="9.7109375" style="200" customWidth="1"/>
    <col min="8464" max="8464" width="11.42578125" style="200" customWidth="1"/>
    <col min="8465" max="8466" width="9.7109375" style="200" customWidth="1"/>
    <col min="8467" max="8467" width="10.85546875" style="200" customWidth="1"/>
    <col min="8468" max="8469" width="9.7109375" style="200" customWidth="1"/>
    <col min="8470" max="8470" width="10.85546875" style="200" customWidth="1"/>
    <col min="8471" max="8472" width="9.7109375" style="200" customWidth="1"/>
    <col min="8473" max="8473" width="10.85546875" style="200" customWidth="1"/>
    <col min="8474" max="8704" width="11.42578125" style="200"/>
    <col min="8705" max="8705" width="2" style="200" customWidth="1"/>
    <col min="8706" max="8706" width="20.5703125" style="200" bestFit="1" customWidth="1"/>
    <col min="8707" max="8707" width="5.7109375" style="200" bestFit="1" customWidth="1"/>
    <col min="8708" max="8708" width="35.7109375" style="200" customWidth="1"/>
    <col min="8709" max="8710" width="9.7109375" style="200" customWidth="1"/>
    <col min="8711" max="8711" width="11.5703125" style="200" customWidth="1"/>
    <col min="8712" max="8713" width="9.7109375" style="200" customWidth="1"/>
    <col min="8714" max="8714" width="12.140625" style="200" customWidth="1"/>
    <col min="8715" max="8716" width="9.7109375" style="200" customWidth="1"/>
    <col min="8717" max="8717" width="10.85546875" style="200" customWidth="1"/>
    <col min="8718" max="8719" width="9.7109375" style="200" customWidth="1"/>
    <col min="8720" max="8720" width="11.42578125" style="200" customWidth="1"/>
    <col min="8721" max="8722" width="9.7109375" style="200" customWidth="1"/>
    <col min="8723" max="8723" width="10.85546875" style="200" customWidth="1"/>
    <col min="8724" max="8725" width="9.7109375" style="200" customWidth="1"/>
    <col min="8726" max="8726" width="10.85546875" style="200" customWidth="1"/>
    <col min="8727" max="8728" width="9.7109375" style="200" customWidth="1"/>
    <col min="8729" max="8729" width="10.85546875" style="200" customWidth="1"/>
    <col min="8730" max="8960" width="11.42578125" style="200"/>
    <col min="8961" max="8961" width="2" style="200" customWidth="1"/>
    <col min="8962" max="8962" width="20.5703125" style="200" bestFit="1" customWidth="1"/>
    <col min="8963" max="8963" width="5.7109375" style="200" bestFit="1" customWidth="1"/>
    <col min="8964" max="8964" width="35.7109375" style="200" customWidth="1"/>
    <col min="8965" max="8966" width="9.7109375" style="200" customWidth="1"/>
    <col min="8967" max="8967" width="11.5703125" style="200" customWidth="1"/>
    <col min="8968" max="8969" width="9.7109375" style="200" customWidth="1"/>
    <col min="8970" max="8970" width="12.140625" style="200" customWidth="1"/>
    <col min="8971" max="8972" width="9.7109375" style="200" customWidth="1"/>
    <col min="8973" max="8973" width="10.85546875" style="200" customWidth="1"/>
    <col min="8974" max="8975" width="9.7109375" style="200" customWidth="1"/>
    <col min="8976" max="8976" width="11.42578125" style="200" customWidth="1"/>
    <col min="8977" max="8978" width="9.7109375" style="200" customWidth="1"/>
    <col min="8979" max="8979" width="10.85546875" style="200" customWidth="1"/>
    <col min="8980" max="8981" width="9.7109375" style="200" customWidth="1"/>
    <col min="8982" max="8982" width="10.85546875" style="200" customWidth="1"/>
    <col min="8983" max="8984" width="9.7109375" style="200" customWidth="1"/>
    <col min="8985" max="8985" width="10.85546875" style="200" customWidth="1"/>
    <col min="8986" max="9216" width="11.42578125" style="200"/>
    <col min="9217" max="9217" width="2" style="200" customWidth="1"/>
    <col min="9218" max="9218" width="20.5703125" style="200" bestFit="1" customWidth="1"/>
    <col min="9219" max="9219" width="5.7109375" style="200" bestFit="1" customWidth="1"/>
    <col min="9220" max="9220" width="35.7109375" style="200" customWidth="1"/>
    <col min="9221" max="9222" width="9.7109375" style="200" customWidth="1"/>
    <col min="9223" max="9223" width="11.5703125" style="200" customWidth="1"/>
    <col min="9224" max="9225" width="9.7109375" style="200" customWidth="1"/>
    <col min="9226" max="9226" width="12.140625" style="200" customWidth="1"/>
    <col min="9227" max="9228" width="9.7109375" style="200" customWidth="1"/>
    <col min="9229" max="9229" width="10.85546875" style="200" customWidth="1"/>
    <col min="9230" max="9231" width="9.7109375" style="200" customWidth="1"/>
    <col min="9232" max="9232" width="11.42578125" style="200" customWidth="1"/>
    <col min="9233" max="9234" width="9.7109375" style="200" customWidth="1"/>
    <col min="9235" max="9235" width="10.85546875" style="200" customWidth="1"/>
    <col min="9236" max="9237" width="9.7109375" style="200" customWidth="1"/>
    <col min="9238" max="9238" width="10.85546875" style="200" customWidth="1"/>
    <col min="9239" max="9240" width="9.7109375" style="200" customWidth="1"/>
    <col min="9241" max="9241" width="10.85546875" style="200" customWidth="1"/>
    <col min="9242" max="9472" width="11.42578125" style="200"/>
    <col min="9473" max="9473" width="2" style="200" customWidth="1"/>
    <col min="9474" max="9474" width="20.5703125" style="200" bestFit="1" customWidth="1"/>
    <col min="9475" max="9475" width="5.7109375" style="200" bestFit="1" customWidth="1"/>
    <col min="9476" max="9476" width="35.7109375" style="200" customWidth="1"/>
    <col min="9477" max="9478" width="9.7109375" style="200" customWidth="1"/>
    <col min="9479" max="9479" width="11.5703125" style="200" customWidth="1"/>
    <col min="9480" max="9481" width="9.7109375" style="200" customWidth="1"/>
    <col min="9482" max="9482" width="12.140625" style="200" customWidth="1"/>
    <col min="9483" max="9484" width="9.7109375" style="200" customWidth="1"/>
    <col min="9485" max="9485" width="10.85546875" style="200" customWidth="1"/>
    <col min="9486" max="9487" width="9.7109375" style="200" customWidth="1"/>
    <col min="9488" max="9488" width="11.42578125" style="200" customWidth="1"/>
    <col min="9489" max="9490" width="9.7109375" style="200" customWidth="1"/>
    <col min="9491" max="9491" width="10.85546875" style="200" customWidth="1"/>
    <col min="9492" max="9493" width="9.7109375" style="200" customWidth="1"/>
    <col min="9494" max="9494" width="10.85546875" style="200" customWidth="1"/>
    <col min="9495" max="9496" width="9.7109375" style="200" customWidth="1"/>
    <col min="9497" max="9497" width="10.85546875" style="200" customWidth="1"/>
    <col min="9498" max="9728" width="11.42578125" style="200"/>
    <col min="9729" max="9729" width="2" style="200" customWidth="1"/>
    <col min="9730" max="9730" width="20.5703125" style="200" bestFit="1" customWidth="1"/>
    <col min="9731" max="9731" width="5.7109375" style="200" bestFit="1" customWidth="1"/>
    <col min="9732" max="9732" width="35.7109375" style="200" customWidth="1"/>
    <col min="9733" max="9734" width="9.7109375" style="200" customWidth="1"/>
    <col min="9735" max="9735" width="11.5703125" style="200" customWidth="1"/>
    <col min="9736" max="9737" width="9.7109375" style="200" customWidth="1"/>
    <col min="9738" max="9738" width="12.140625" style="200" customWidth="1"/>
    <col min="9739" max="9740" width="9.7109375" style="200" customWidth="1"/>
    <col min="9741" max="9741" width="10.85546875" style="200" customWidth="1"/>
    <col min="9742" max="9743" width="9.7109375" style="200" customWidth="1"/>
    <col min="9744" max="9744" width="11.42578125" style="200" customWidth="1"/>
    <col min="9745" max="9746" width="9.7109375" style="200" customWidth="1"/>
    <col min="9747" max="9747" width="10.85546875" style="200" customWidth="1"/>
    <col min="9748" max="9749" width="9.7109375" style="200" customWidth="1"/>
    <col min="9750" max="9750" width="10.85546875" style="200" customWidth="1"/>
    <col min="9751" max="9752" width="9.7109375" style="200" customWidth="1"/>
    <col min="9753" max="9753" width="10.85546875" style="200" customWidth="1"/>
    <col min="9754" max="9984" width="11.42578125" style="200"/>
    <col min="9985" max="9985" width="2" style="200" customWidth="1"/>
    <col min="9986" max="9986" width="20.5703125" style="200" bestFit="1" customWidth="1"/>
    <col min="9987" max="9987" width="5.7109375" style="200" bestFit="1" customWidth="1"/>
    <col min="9988" max="9988" width="35.7109375" style="200" customWidth="1"/>
    <col min="9989" max="9990" width="9.7109375" style="200" customWidth="1"/>
    <col min="9991" max="9991" width="11.5703125" style="200" customWidth="1"/>
    <col min="9992" max="9993" width="9.7109375" style="200" customWidth="1"/>
    <col min="9994" max="9994" width="12.140625" style="200" customWidth="1"/>
    <col min="9995" max="9996" width="9.7109375" style="200" customWidth="1"/>
    <col min="9997" max="9997" width="10.85546875" style="200" customWidth="1"/>
    <col min="9998" max="9999" width="9.7109375" style="200" customWidth="1"/>
    <col min="10000" max="10000" width="11.42578125" style="200" customWidth="1"/>
    <col min="10001" max="10002" width="9.7109375" style="200" customWidth="1"/>
    <col min="10003" max="10003" width="10.85546875" style="200" customWidth="1"/>
    <col min="10004" max="10005" width="9.7109375" style="200" customWidth="1"/>
    <col min="10006" max="10006" width="10.85546875" style="200" customWidth="1"/>
    <col min="10007" max="10008" width="9.7109375" style="200" customWidth="1"/>
    <col min="10009" max="10009" width="10.85546875" style="200" customWidth="1"/>
    <col min="10010" max="10240" width="11.42578125" style="200"/>
    <col min="10241" max="10241" width="2" style="200" customWidth="1"/>
    <col min="10242" max="10242" width="20.5703125" style="200" bestFit="1" customWidth="1"/>
    <col min="10243" max="10243" width="5.7109375" style="200" bestFit="1" customWidth="1"/>
    <col min="10244" max="10244" width="35.7109375" style="200" customWidth="1"/>
    <col min="10245" max="10246" width="9.7109375" style="200" customWidth="1"/>
    <col min="10247" max="10247" width="11.5703125" style="200" customWidth="1"/>
    <col min="10248" max="10249" width="9.7109375" style="200" customWidth="1"/>
    <col min="10250" max="10250" width="12.140625" style="200" customWidth="1"/>
    <col min="10251" max="10252" width="9.7109375" style="200" customWidth="1"/>
    <col min="10253" max="10253" width="10.85546875" style="200" customWidth="1"/>
    <col min="10254" max="10255" width="9.7109375" style="200" customWidth="1"/>
    <col min="10256" max="10256" width="11.42578125" style="200" customWidth="1"/>
    <col min="10257" max="10258" width="9.7109375" style="200" customWidth="1"/>
    <col min="10259" max="10259" width="10.85546875" style="200" customWidth="1"/>
    <col min="10260" max="10261" width="9.7109375" style="200" customWidth="1"/>
    <col min="10262" max="10262" width="10.85546875" style="200" customWidth="1"/>
    <col min="10263" max="10264" width="9.7109375" style="200" customWidth="1"/>
    <col min="10265" max="10265" width="10.85546875" style="200" customWidth="1"/>
    <col min="10266" max="10496" width="11.42578125" style="200"/>
    <col min="10497" max="10497" width="2" style="200" customWidth="1"/>
    <col min="10498" max="10498" width="20.5703125" style="200" bestFit="1" customWidth="1"/>
    <col min="10499" max="10499" width="5.7109375" style="200" bestFit="1" customWidth="1"/>
    <col min="10500" max="10500" width="35.7109375" style="200" customWidth="1"/>
    <col min="10501" max="10502" width="9.7109375" style="200" customWidth="1"/>
    <col min="10503" max="10503" width="11.5703125" style="200" customWidth="1"/>
    <col min="10504" max="10505" width="9.7109375" style="200" customWidth="1"/>
    <col min="10506" max="10506" width="12.140625" style="200" customWidth="1"/>
    <col min="10507" max="10508" width="9.7109375" style="200" customWidth="1"/>
    <col min="10509" max="10509" width="10.85546875" style="200" customWidth="1"/>
    <col min="10510" max="10511" width="9.7109375" style="200" customWidth="1"/>
    <col min="10512" max="10512" width="11.42578125" style="200" customWidth="1"/>
    <col min="10513" max="10514" width="9.7109375" style="200" customWidth="1"/>
    <col min="10515" max="10515" width="10.85546875" style="200" customWidth="1"/>
    <col min="10516" max="10517" width="9.7109375" style="200" customWidth="1"/>
    <col min="10518" max="10518" width="10.85546875" style="200" customWidth="1"/>
    <col min="10519" max="10520" width="9.7109375" style="200" customWidth="1"/>
    <col min="10521" max="10521" width="10.85546875" style="200" customWidth="1"/>
    <col min="10522" max="10752" width="11.42578125" style="200"/>
    <col min="10753" max="10753" width="2" style="200" customWidth="1"/>
    <col min="10754" max="10754" width="20.5703125" style="200" bestFit="1" customWidth="1"/>
    <col min="10755" max="10755" width="5.7109375" style="200" bestFit="1" customWidth="1"/>
    <col min="10756" max="10756" width="35.7109375" style="200" customWidth="1"/>
    <col min="10757" max="10758" width="9.7109375" style="200" customWidth="1"/>
    <col min="10759" max="10759" width="11.5703125" style="200" customWidth="1"/>
    <col min="10760" max="10761" width="9.7109375" style="200" customWidth="1"/>
    <col min="10762" max="10762" width="12.140625" style="200" customWidth="1"/>
    <col min="10763" max="10764" width="9.7109375" style="200" customWidth="1"/>
    <col min="10765" max="10765" width="10.85546875" style="200" customWidth="1"/>
    <col min="10766" max="10767" width="9.7109375" style="200" customWidth="1"/>
    <col min="10768" max="10768" width="11.42578125" style="200" customWidth="1"/>
    <col min="10769" max="10770" width="9.7109375" style="200" customWidth="1"/>
    <col min="10771" max="10771" width="10.85546875" style="200" customWidth="1"/>
    <col min="10772" max="10773" width="9.7109375" style="200" customWidth="1"/>
    <col min="10774" max="10774" width="10.85546875" style="200" customWidth="1"/>
    <col min="10775" max="10776" width="9.7109375" style="200" customWidth="1"/>
    <col min="10777" max="10777" width="10.85546875" style="200" customWidth="1"/>
    <col min="10778" max="11008" width="11.42578125" style="200"/>
    <col min="11009" max="11009" width="2" style="200" customWidth="1"/>
    <col min="11010" max="11010" width="20.5703125" style="200" bestFit="1" customWidth="1"/>
    <col min="11011" max="11011" width="5.7109375" style="200" bestFit="1" customWidth="1"/>
    <col min="11012" max="11012" width="35.7109375" style="200" customWidth="1"/>
    <col min="11013" max="11014" width="9.7109375" style="200" customWidth="1"/>
    <col min="11015" max="11015" width="11.5703125" style="200" customWidth="1"/>
    <col min="11016" max="11017" width="9.7109375" style="200" customWidth="1"/>
    <col min="11018" max="11018" width="12.140625" style="200" customWidth="1"/>
    <col min="11019" max="11020" width="9.7109375" style="200" customWidth="1"/>
    <col min="11021" max="11021" width="10.85546875" style="200" customWidth="1"/>
    <col min="11022" max="11023" width="9.7109375" style="200" customWidth="1"/>
    <col min="11024" max="11024" width="11.42578125" style="200" customWidth="1"/>
    <col min="11025" max="11026" width="9.7109375" style="200" customWidth="1"/>
    <col min="11027" max="11027" width="10.85546875" style="200" customWidth="1"/>
    <col min="11028" max="11029" width="9.7109375" style="200" customWidth="1"/>
    <col min="11030" max="11030" width="10.85546875" style="200" customWidth="1"/>
    <col min="11031" max="11032" width="9.7109375" style="200" customWidth="1"/>
    <col min="11033" max="11033" width="10.85546875" style="200" customWidth="1"/>
    <col min="11034" max="11264" width="11.42578125" style="200"/>
    <col min="11265" max="11265" width="2" style="200" customWidth="1"/>
    <col min="11266" max="11266" width="20.5703125" style="200" bestFit="1" customWidth="1"/>
    <col min="11267" max="11267" width="5.7109375" style="200" bestFit="1" customWidth="1"/>
    <col min="11268" max="11268" width="35.7109375" style="200" customWidth="1"/>
    <col min="11269" max="11270" width="9.7109375" style="200" customWidth="1"/>
    <col min="11271" max="11271" width="11.5703125" style="200" customWidth="1"/>
    <col min="11272" max="11273" width="9.7109375" style="200" customWidth="1"/>
    <col min="11274" max="11274" width="12.140625" style="200" customWidth="1"/>
    <col min="11275" max="11276" width="9.7109375" style="200" customWidth="1"/>
    <col min="11277" max="11277" width="10.85546875" style="200" customWidth="1"/>
    <col min="11278" max="11279" width="9.7109375" style="200" customWidth="1"/>
    <col min="11280" max="11280" width="11.42578125" style="200" customWidth="1"/>
    <col min="11281" max="11282" width="9.7109375" style="200" customWidth="1"/>
    <col min="11283" max="11283" width="10.85546875" style="200" customWidth="1"/>
    <col min="11284" max="11285" width="9.7109375" style="200" customWidth="1"/>
    <col min="11286" max="11286" width="10.85546875" style="200" customWidth="1"/>
    <col min="11287" max="11288" width="9.7109375" style="200" customWidth="1"/>
    <col min="11289" max="11289" width="10.85546875" style="200" customWidth="1"/>
    <col min="11290" max="11520" width="11.42578125" style="200"/>
    <col min="11521" max="11521" width="2" style="200" customWidth="1"/>
    <col min="11522" max="11522" width="20.5703125" style="200" bestFit="1" customWidth="1"/>
    <col min="11523" max="11523" width="5.7109375" style="200" bestFit="1" customWidth="1"/>
    <col min="11524" max="11524" width="35.7109375" style="200" customWidth="1"/>
    <col min="11525" max="11526" width="9.7109375" style="200" customWidth="1"/>
    <col min="11527" max="11527" width="11.5703125" style="200" customWidth="1"/>
    <col min="11528" max="11529" width="9.7109375" style="200" customWidth="1"/>
    <col min="11530" max="11530" width="12.140625" style="200" customWidth="1"/>
    <col min="11531" max="11532" width="9.7109375" style="200" customWidth="1"/>
    <col min="11533" max="11533" width="10.85546875" style="200" customWidth="1"/>
    <col min="11534" max="11535" width="9.7109375" style="200" customWidth="1"/>
    <col min="11536" max="11536" width="11.42578125" style="200" customWidth="1"/>
    <col min="11537" max="11538" width="9.7109375" style="200" customWidth="1"/>
    <col min="11539" max="11539" width="10.85546875" style="200" customWidth="1"/>
    <col min="11540" max="11541" width="9.7109375" style="200" customWidth="1"/>
    <col min="11542" max="11542" width="10.85546875" style="200" customWidth="1"/>
    <col min="11543" max="11544" width="9.7109375" style="200" customWidth="1"/>
    <col min="11545" max="11545" width="10.85546875" style="200" customWidth="1"/>
    <col min="11546" max="11776" width="11.42578125" style="200"/>
    <col min="11777" max="11777" width="2" style="200" customWidth="1"/>
    <col min="11778" max="11778" width="20.5703125" style="200" bestFit="1" customWidth="1"/>
    <col min="11779" max="11779" width="5.7109375" style="200" bestFit="1" customWidth="1"/>
    <col min="11780" max="11780" width="35.7109375" style="200" customWidth="1"/>
    <col min="11781" max="11782" width="9.7109375" style="200" customWidth="1"/>
    <col min="11783" max="11783" width="11.5703125" style="200" customWidth="1"/>
    <col min="11784" max="11785" width="9.7109375" style="200" customWidth="1"/>
    <col min="11786" max="11786" width="12.140625" style="200" customWidth="1"/>
    <col min="11787" max="11788" width="9.7109375" style="200" customWidth="1"/>
    <col min="11789" max="11789" width="10.85546875" style="200" customWidth="1"/>
    <col min="11790" max="11791" width="9.7109375" style="200" customWidth="1"/>
    <col min="11792" max="11792" width="11.42578125" style="200" customWidth="1"/>
    <col min="11793" max="11794" width="9.7109375" style="200" customWidth="1"/>
    <col min="11795" max="11795" width="10.85546875" style="200" customWidth="1"/>
    <col min="11796" max="11797" width="9.7109375" style="200" customWidth="1"/>
    <col min="11798" max="11798" width="10.85546875" style="200" customWidth="1"/>
    <col min="11799" max="11800" width="9.7109375" style="200" customWidth="1"/>
    <col min="11801" max="11801" width="10.85546875" style="200" customWidth="1"/>
    <col min="11802" max="12032" width="11.42578125" style="200"/>
    <col min="12033" max="12033" width="2" style="200" customWidth="1"/>
    <col min="12034" max="12034" width="20.5703125" style="200" bestFit="1" customWidth="1"/>
    <col min="12035" max="12035" width="5.7109375" style="200" bestFit="1" customWidth="1"/>
    <col min="12036" max="12036" width="35.7109375" style="200" customWidth="1"/>
    <col min="12037" max="12038" width="9.7109375" style="200" customWidth="1"/>
    <col min="12039" max="12039" width="11.5703125" style="200" customWidth="1"/>
    <col min="12040" max="12041" width="9.7109375" style="200" customWidth="1"/>
    <col min="12042" max="12042" width="12.140625" style="200" customWidth="1"/>
    <col min="12043" max="12044" width="9.7109375" style="200" customWidth="1"/>
    <col min="12045" max="12045" width="10.85546875" style="200" customWidth="1"/>
    <col min="12046" max="12047" width="9.7109375" style="200" customWidth="1"/>
    <col min="12048" max="12048" width="11.42578125" style="200" customWidth="1"/>
    <col min="12049" max="12050" width="9.7109375" style="200" customWidth="1"/>
    <col min="12051" max="12051" width="10.85546875" style="200" customWidth="1"/>
    <col min="12052" max="12053" width="9.7109375" style="200" customWidth="1"/>
    <col min="12054" max="12054" width="10.85546875" style="200" customWidth="1"/>
    <col min="12055" max="12056" width="9.7109375" style="200" customWidth="1"/>
    <col min="12057" max="12057" width="10.85546875" style="200" customWidth="1"/>
    <col min="12058" max="12288" width="11.42578125" style="200"/>
    <col min="12289" max="12289" width="2" style="200" customWidth="1"/>
    <col min="12290" max="12290" width="20.5703125" style="200" bestFit="1" customWidth="1"/>
    <col min="12291" max="12291" width="5.7109375" style="200" bestFit="1" customWidth="1"/>
    <col min="12292" max="12292" width="35.7109375" style="200" customWidth="1"/>
    <col min="12293" max="12294" width="9.7109375" style="200" customWidth="1"/>
    <col min="12295" max="12295" width="11.5703125" style="200" customWidth="1"/>
    <col min="12296" max="12297" width="9.7109375" style="200" customWidth="1"/>
    <col min="12298" max="12298" width="12.140625" style="200" customWidth="1"/>
    <col min="12299" max="12300" width="9.7109375" style="200" customWidth="1"/>
    <col min="12301" max="12301" width="10.85546875" style="200" customWidth="1"/>
    <col min="12302" max="12303" width="9.7109375" style="200" customWidth="1"/>
    <col min="12304" max="12304" width="11.42578125" style="200" customWidth="1"/>
    <col min="12305" max="12306" width="9.7109375" style="200" customWidth="1"/>
    <col min="12307" max="12307" width="10.85546875" style="200" customWidth="1"/>
    <col min="12308" max="12309" width="9.7109375" style="200" customWidth="1"/>
    <col min="12310" max="12310" width="10.85546875" style="200" customWidth="1"/>
    <col min="12311" max="12312" width="9.7109375" style="200" customWidth="1"/>
    <col min="12313" max="12313" width="10.85546875" style="200" customWidth="1"/>
    <col min="12314" max="12544" width="11.42578125" style="200"/>
    <col min="12545" max="12545" width="2" style="200" customWidth="1"/>
    <col min="12546" max="12546" width="20.5703125" style="200" bestFit="1" customWidth="1"/>
    <col min="12547" max="12547" width="5.7109375" style="200" bestFit="1" customWidth="1"/>
    <col min="12548" max="12548" width="35.7109375" style="200" customWidth="1"/>
    <col min="12549" max="12550" width="9.7109375" style="200" customWidth="1"/>
    <col min="12551" max="12551" width="11.5703125" style="200" customWidth="1"/>
    <col min="12552" max="12553" width="9.7109375" style="200" customWidth="1"/>
    <col min="12554" max="12554" width="12.140625" style="200" customWidth="1"/>
    <col min="12555" max="12556" width="9.7109375" style="200" customWidth="1"/>
    <col min="12557" max="12557" width="10.85546875" style="200" customWidth="1"/>
    <col min="12558" max="12559" width="9.7109375" style="200" customWidth="1"/>
    <col min="12560" max="12560" width="11.42578125" style="200" customWidth="1"/>
    <col min="12561" max="12562" width="9.7109375" style="200" customWidth="1"/>
    <col min="12563" max="12563" width="10.85546875" style="200" customWidth="1"/>
    <col min="12564" max="12565" width="9.7109375" style="200" customWidth="1"/>
    <col min="12566" max="12566" width="10.85546875" style="200" customWidth="1"/>
    <col min="12567" max="12568" width="9.7109375" style="200" customWidth="1"/>
    <col min="12569" max="12569" width="10.85546875" style="200" customWidth="1"/>
    <col min="12570" max="12800" width="11.42578125" style="200"/>
    <col min="12801" max="12801" width="2" style="200" customWidth="1"/>
    <col min="12802" max="12802" width="20.5703125" style="200" bestFit="1" customWidth="1"/>
    <col min="12803" max="12803" width="5.7109375" style="200" bestFit="1" customWidth="1"/>
    <col min="12804" max="12804" width="35.7109375" style="200" customWidth="1"/>
    <col min="12805" max="12806" width="9.7109375" style="200" customWidth="1"/>
    <col min="12807" max="12807" width="11.5703125" style="200" customWidth="1"/>
    <col min="12808" max="12809" width="9.7109375" style="200" customWidth="1"/>
    <col min="12810" max="12810" width="12.140625" style="200" customWidth="1"/>
    <col min="12811" max="12812" width="9.7109375" style="200" customWidth="1"/>
    <col min="12813" max="12813" width="10.85546875" style="200" customWidth="1"/>
    <col min="12814" max="12815" width="9.7109375" style="200" customWidth="1"/>
    <col min="12816" max="12816" width="11.42578125" style="200" customWidth="1"/>
    <col min="12817" max="12818" width="9.7109375" style="200" customWidth="1"/>
    <col min="12819" max="12819" width="10.85546875" style="200" customWidth="1"/>
    <col min="12820" max="12821" width="9.7109375" style="200" customWidth="1"/>
    <col min="12822" max="12822" width="10.85546875" style="200" customWidth="1"/>
    <col min="12823" max="12824" width="9.7109375" style="200" customWidth="1"/>
    <col min="12825" max="12825" width="10.85546875" style="200" customWidth="1"/>
    <col min="12826" max="13056" width="11.42578125" style="200"/>
    <col min="13057" max="13057" width="2" style="200" customWidth="1"/>
    <col min="13058" max="13058" width="20.5703125" style="200" bestFit="1" customWidth="1"/>
    <col min="13059" max="13059" width="5.7109375" style="200" bestFit="1" customWidth="1"/>
    <col min="13060" max="13060" width="35.7109375" style="200" customWidth="1"/>
    <col min="13061" max="13062" width="9.7109375" style="200" customWidth="1"/>
    <col min="13063" max="13063" width="11.5703125" style="200" customWidth="1"/>
    <col min="13064" max="13065" width="9.7109375" style="200" customWidth="1"/>
    <col min="13066" max="13066" width="12.140625" style="200" customWidth="1"/>
    <col min="13067" max="13068" width="9.7109375" style="200" customWidth="1"/>
    <col min="13069" max="13069" width="10.85546875" style="200" customWidth="1"/>
    <col min="13070" max="13071" width="9.7109375" style="200" customWidth="1"/>
    <col min="13072" max="13072" width="11.42578125" style="200" customWidth="1"/>
    <col min="13073" max="13074" width="9.7109375" style="200" customWidth="1"/>
    <col min="13075" max="13075" width="10.85546875" style="200" customWidth="1"/>
    <col min="13076" max="13077" width="9.7109375" style="200" customWidth="1"/>
    <col min="13078" max="13078" width="10.85546875" style="200" customWidth="1"/>
    <col min="13079" max="13080" width="9.7109375" style="200" customWidth="1"/>
    <col min="13081" max="13081" width="10.85546875" style="200" customWidth="1"/>
    <col min="13082" max="13312" width="11.42578125" style="200"/>
    <col min="13313" max="13313" width="2" style="200" customWidth="1"/>
    <col min="13314" max="13314" width="20.5703125" style="200" bestFit="1" customWidth="1"/>
    <col min="13315" max="13315" width="5.7109375" style="200" bestFit="1" customWidth="1"/>
    <col min="13316" max="13316" width="35.7109375" style="200" customWidth="1"/>
    <col min="13317" max="13318" width="9.7109375" style="200" customWidth="1"/>
    <col min="13319" max="13319" width="11.5703125" style="200" customWidth="1"/>
    <col min="13320" max="13321" width="9.7109375" style="200" customWidth="1"/>
    <col min="13322" max="13322" width="12.140625" style="200" customWidth="1"/>
    <col min="13323" max="13324" width="9.7109375" style="200" customWidth="1"/>
    <col min="13325" max="13325" width="10.85546875" style="200" customWidth="1"/>
    <col min="13326" max="13327" width="9.7109375" style="200" customWidth="1"/>
    <col min="13328" max="13328" width="11.42578125" style="200" customWidth="1"/>
    <col min="13329" max="13330" width="9.7109375" style="200" customWidth="1"/>
    <col min="13331" max="13331" width="10.85546875" style="200" customWidth="1"/>
    <col min="13332" max="13333" width="9.7109375" style="200" customWidth="1"/>
    <col min="13334" max="13334" width="10.85546875" style="200" customWidth="1"/>
    <col min="13335" max="13336" width="9.7109375" style="200" customWidth="1"/>
    <col min="13337" max="13337" width="10.85546875" style="200" customWidth="1"/>
    <col min="13338" max="13568" width="11.42578125" style="200"/>
    <col min="13569" max="13569" width="2" style="200" customWidth="1"/>
    <col min="13570" max="13570" width="20.5703125" style="200" bestFit="1" customWidth="1"/>
    <col min="13571" max="13571" width="5.7109375" style="200" bestFit="1" customWidth="1"/>
    <col min="13572" max="13572" width="35.7109375" style="200" customWidth="1"/>
    <col min="13573" max="13574" width="9.7109375" style="200" customWidth="1"/>
    <col min="13575" max="13575" width="11.5703125" style="200" customWidth="1"/>
    <col min="13576" max="13577" width="9.7109375" style="200" customWidth="1"/>
    <col min="13578" max="13578" width="12.140625" style="200" customWidth="1"/>
    <col min="13579" max="13580" width="9.7109375" style="200" customWidth="1"/>
    <col min="13581" max="13581" width="10.85546875" style="200" customWidth="1"/>
    <col min="13582" max="13583" width="9.7109375" style="200" customWidth="1"/>
    <col min="13584" max="13584" width="11.42578125" style="200" customWidth="1"/>
    <col min="13585" max="13586" width="9.7109375" style="200" customWidth="1"/>
    <col min="13587" max="13587" width="10.85546875" style="200" customWidth="1"/>
    <col min="13588" max="13589" width="9.7109375" style="200" customWidth="1"/>
    <col min="13590" max="13590" width="10.85546875" style="200" customWidth="1"/>
    <col min="13591" max="13592" width="9.7109375" style="200" customWidth="1"/>
    <col min="13593" max="13593" width="10.85546875" style="200" customWidth="1"/>
    <col min="13594" max="13824" width="11.42578125" style="200"/>
    <col min="13825" max="13825" width="2" style="200" customWidth="1"/>
    <col min="13826" max="13826" width="20.5703125" style="200" bestFit="1" customWidth="1"/>
    <col min="13827" max="13827" width="5.7109375" style="200" bestFit="1" customWidth="1"/>
    <col min="13828" max="13828" width="35.7109375" style="200" customWidth="1"/>
    <col min="13829" max="13830" width="9.7109375" style="200" customWidth="1"/>
    <col min="13831" max="13831" width="11.5703125" style="200" customWidth="1"/>
    <col min="13832" max="13833" width="9.7109375" style="200" customWidth="1"/>
    <col min="13834" max="13834" width="12.140625" style="200" customWidth="1"/>
    <col min="13835" max="13836" width="9.7109375" style="200" customWidth="1"/>
    <col min="13837" max="13837" width="10.85546875" style="200" customWidth="1"/>
    <col min="13838" max="13839" width="9.7109375" style="200" customWidth="1"/>
    <col min="13840" max="13840" width="11.42578125" style="200" customWidth="1"/>
    <col min="13841" max="13842" width="9.7109375" style="200" customWidth="1"/>
    <col min="13843" max="13843" width="10.85546875" style="200" customWidth="1"/>
    <col min="13844" max="13845" width="9.7109375" style="200" customWidth="1"/>
    <col min="13846" max="13846" width="10.85546875" style="200" customWidth="1"/>
    <col min="13847" max="13848" width="9.7109375" style="200" customWidth="1"/>
    <col min="13849" max="13849" width="10.85546875" style="200" customWidth="1"/>
    <col min="13850" max="14080" width="11.42578125" style="200"/>
    <col min="14081" max="14081" width="2" style="200" customWidth="1"/>
    <col min="14082" max="14082" width="20.5703125" style="200" bestFit="1" customWidth="1"/>
    <col min="14083" max="14083" width="5.7109375" style="200" bestFit="1" customWidth="1"/>
    <col min="14084" max="14084" width="35.7109375" style="200" customWidth="1"/>
    <col min="14085" max="14086" width="9.7109375" style="200" customWidth="1"/>
    <col min="14087" max="14087" width="11.5703125" style="200" customWidth="1"/>
    <col min="14088" max="14089" width="9.7109375" style="200" customWidth="1"/>
    <col min="14090" max="14090" width="12.140625" style="200" customWidth="1"/>
    <col min="14091" max="14092" width="9.7109375" style="200" customWidth="1"/>
    <col min="14093" max="14093" width="10.85546875" style="200" customWidth="1"/>
    <col min="14094" max="14095" width="9.7109375" style="200" customWidth="1"/>
    <col min="14096" max="14096" width="11.42578125" style="200" customWidth="1"/>
    <col min="14097" max="14098" width="9.7109375" style="200" customWidth="1"/>
    <col min="14099" max="14099" width="10.85546875" style="200" customWidth="1"/>
    <col min="14100" max="14101" width="9.7109375" style="200" customWidth="1"/>
    <col min="14102" max="14102" width="10.85546875" style="200" customWidth="1"/>
    <col min="14103" max="14104" width="9.7109375" style="200" customWidth="1"/>
    <col min="14105" max="14105" width="10.85546875" style="200" customWidth="1"/>
    <col min="14106" max="14336" width="11.42578125" style="200"/>
    <col min="14337" max="14337" width="2" style="200" customWidth="1"/>
    <col min="14338" max="14338" width="20.5703125" style="200" bestFit="1" customWidth="1"/>
    <col min="14339" max="14339" width="5.7109375" style="200" bestFit="1" customWidth="1"/>
    <col min="14340" max="14340" width="35.7109375" style="200" customWidth="1"/>
    <col min="14341" max="14342" width="9.7109375" style="200" customWidth="1"/>
    <col min="14343" max="14343" width="11.5703125" style="200" customWidth="1"/>
    <col min="14344" max="14345" width="9.7109375" style="200" customWidth="1"/>
    <col min="14346" max="14346" width="12.140625" style="200" customWidth="1"/>
    <col min="14347" max="14348" width="9.7109375" style="200" customWidth="1"/>
    <col min="14349" max="14349" width="10.85546875" style="200" customWidth="1"/>
    <col min="14350" max="14351" width="9.7109375" style="200" customWidth="1"/>
    <col min="14352" max="14352" width="11.42578125" style="200" customWidth="1"/>
    <col min="14353" max="14354" width="9.7109375" style="200" customWidth="1"/>
    <col min="14355" max="14355" width="10.85546875" style="200" customWidth="1"/>
    <col min="14356" max="14357" width="9.7109375" style="200" customWidth="1"/>
    <col min="14358" max="14358" width="10.85546875" style="200" customWidth="1"/>
    <col min="14359" max="14360" width="9.7109375" style="200" customWidth="1"/>
    <col min="14361" max="14361" width="10.85546875" style="200" customWidth="1"/>
    <col min="14362" max="14592" width="11.42578125" style="200"/>
    <col min="14593" max="14593" width="2" style="200" customWidth="1"/>
    <col min="14594" max="14594" width="20.5703125" style="200" bestFit="1" customWidth="1"/>
    <col min="14595" max="14595" width="5.7109375" style="200" bestFit="1" customWidth="1"/>
    <col min="14596" max="14596" width="35.7109375" style="200" customWidth="1"/>
    <col min="14597" max="14598" width="9.7109375" style="200" customWidth="1"/>
    <col min="14599" max="14599" width="11.5703125" style="200" customWidth="1"/>
    <col min="14600" max="14601" width="9.7109375" style="200" customWidth="1"/>
    <col min="14602" max="14602" width="12.140625" style="200" customWidth="1"/>
    <col min="14603" max="14604" width="9.7109375" style="200" customWidth="1"/>
    <col min="14605" max="14605" width="10.85546875" style="200" customWidth="1"/>
    <col min="14606" max="14607" width="9.7109375" style="200" customWidth="1"/>
    <col min="14608" max="14608" width="11.42578125" style="200" customWidth="1"/>
    <col min="14609" max="14610" width="9.7109375" style="200" customWidth="1"/>
    <col min="14611" max="14611" width="10.85546875" style="200" customWidth="1"/>
    <col min="14612" max="14613" width="9.7109375" style="200" customWidth="1"/>
    <col min="14614" max="14614" width="10.85546875" style="200" customWidth="1"/>
    <col min="14615" max="14616" width="9.7109375" style="200" customWidth="1"/>
    <col min="14617" max="14617" width="10.85546875" style="200" customWidth="1"/>
    <col min="14618" max="14848" width="11.42578125" style="200"/>
    <col min="14849" max="14849" width="2" style="200" customWidth="1"/>
    <col min="14850" max="14850" width="20.5703125" style="200" bestFit="1" customWidth="1"/>
    <col min="14851" max="14851" width="5.7109375" style="200" bestFit="1" customWidth="1"/>
    <col min="14852" max="14852" width="35.7109375" style="200" customWidth="1"/>
    <col min="14853" max="14854" width="9.7109375" style="200" customWidth="1"/>
    <col min="14855" max="14855" width="11.5703125" style="200" customWidth="1"/>
    <col min="14856" max="14857" width="9.7109375" style="200" customWidth="1"/>
    <col min="14858" max="14858" width="12.140625" style="200" customWidth="1"/>
    <col min="14859" max="14860" width="9.7109375" style="200" customWidth="1"/>
    <col min="14861" max="14861" width="10.85546875" style="200" customWidth="1"/>
    <col min="14862" max="14863" width="9.7109375" style="200" customWidth="1"/>
    <col min="14864" max="14864" width="11.42578125" style="200" customWidth="1"/>
    <col min="14865" max="14866" width="9.7109375" style="200" customWidth="1"/>
    <col min="14867" max="14867" width="10.85546875" style="200" customWidth="1"/>
    <col min="14868" max="14869" width="9.7109375" style="200" customWidth="1"/>
    <col min="14870" max="14870" width="10.85546875" style="200" customWidth="1"/>
    <col min="14871" max="14872" width="9.7109375" style="200" customWidth="1"/>
    <col min="14873" max="14873" width="10.85546875" style="200" customWidth="1"/>
    <col min="14874" max="15104" width="11.42578125" style="200"/>
    <col min="15105" max="15105" width="2" style="200" customWidth="1"/>
    <col min="15106" max="15106" width="20.5703125" style="200" bestFit="1" customWidth="1"/>
    <col min="15107" max="15107" width="5.7109375" style="200" bestFit="1" customWidth="1"/>
    <col min="15108" max="15108" width="35.7109375" style="200" customWidth="1"/>
    <col min="15109" max="15110" width="9.7109375" style="200" customWidth="1"/>
    <col min="15111" max="15111" width="11.5703125" style="200" customWidth="1"/>
    <col min="15112" max="15113" width="9.7109375" style="200" customWidth="1"/>
    <col min="15114" max="15114" width="12.140625" style="200" customWidth="1"/>
    <col min="15115" max="15116" width="9.7109375" style="200" customWidth="1"/>
    <col min="15117" max="15117" width="10.85546875" style="200" customWidth="1"/>
    <col min="15118" max="15119" width="9.7109375" style="200" customWidth="1"/>
    <col min="15120" max="15120" width="11.42578125" style="200" customWidth="1"/>
    <col min="15121" max="15122" width="9.7109375" style="200" customWidth="1"/>
    <col min="15123" max="15123" width="10.85546875" style="200" customWidth="1"/>
    <col min="15124" max="15125" width="9.7109375" style="200" customWidth="1"/>
    <col min="15126" max="15126" width="10.85546875" style="200" customWidth="1"/>
    <col min="15127" max="15128" width="9.7109375" style="200" customWidth="1"/>
    <col min="15129" max="15129" width="10.85546875" style="200" customWidth="1"/>
    <col min="15130" max="15360" width="11.42578125" style="200"/>
    <col min="15361" max="15361" width="2" style="200" customWidth="1"/>
    <col min="15362" max="15362" width="20.5703125" style="200" bestFit="1" customWidth="1"/>
    <col min="15363" max="15363" width="5.7109375" style="200" bestFit="1" customWidth="1"/>
    <col min="15364" max="15364" width="35.7109375" style="200" customWidth="1"/>
    <col min="15365" max="15366" width="9.7109375" style="200" customWidth="1"/>
    <col min="15367" max="15367" width="11.5703125" style="200" customWidth="1"/>
    <col min="15368" max="15369" width="9.7109375" style="200" customWidth="1"/>
    <col min="15370" max="15370" width="12.140625" style="200" customWidth="1"/>
    <col min="15371" max="15372" width="9.7109375" style="200" customWidth="1"/>
    <col min="15373" max="15373" width="10.85546875" style="200" customWidth="1"/>
    <col min="15374" max="15375" width="9.7109375" style="200" customWidth="1"/>
    <col min="15376" max="15376" width="11.42578125" style="200" customWidth="1"/>
    <col min="15377" max="15378" width="9.7109375" style="200" customWidth="1"/>
    <col min="15379" max="15379" width="10.85546875" style="200" customWidth="1"/>
    <col min="15380" max="15381" width="9.7109375" style="200" customWidth="1"/>
    <col min="15382" max="15382" width="10.85546875" style="200" customWidth="1"/>
    <col min="15383" max="15384" width="9.7109375" style="200" customWidth="1"/>
    <col min="15385" max="15385" width="10.85546875" style="200" customWidth="1"/>
    <col min="15386" max="15616" width="11.42578125" style="200"/>
    <col min="15617" max="15617" width="2" style="200" customWidth="1"/>
    <col min="15618" max="15618" width="20.5703125" style="200" bestFit="1" customWidth="1"/>
    <col min="15619" max="15619" width="5.7109375" style="200" bestFit="1" customWidth="1"/>
    <col min="15620" max="15620" width="35.7109375" style="200" customWidth="1"/>
    <col min="15621" max="15622" width="9.7109375" style="200" customWidth="1"/>
    <col min="15623" max="15623" width="11.5703125" style="200" customWidth="1"/>
    <col min="15624" max="15625" width="9.7109375" style="200" customWidth="1"/>
    <col min="15626" max="15626" width="12.140625" style="200" customWidth="1"/>
    <col min="15627" max="15628" width="9.7109375" style="200" customWidth="1"/>
    <col min="15629" max="15629" width="10.85546875" style="200" customWidth="1"/>
    <col min="15630" max="15631" width="9.7109375" style="200" customWidth="1"/>
    <col min="15632" max="15632" width="11.42578125" style="200" customWidth="1"/>
    <col min="15633" max="15634" width="9.7109375" style="200" customWidth="1"/>
    <col min="15635" max="15635" width="10.85546875" style="200" customWidth="1"/>
    <col min="15636" max="15637" width="9.7109375" style="200" customWidth="1"/>
    <col min="15638" max="15638" width="10.85546875" style="200" customWidth="1"/>
    <col min="15639" max="15640" width="9.7109375" style="200" customWidth="1"/>
    <col min="15641" max="15641" width="10.85546875" style="200" customWidth="1"/>
    <col min="15642" max="15872" width="11.42578125" style="200"/>
    <col min="15873" max="15873" width="2" style="200" customWidth="1"/>
    <col min="15874" max="15874" width="20.5703125" style="200" bestFit="1" customWidth="1"/>
    <col min="15875" max="15875" width="5.7109375" style="200" bestFit="1" customWidth="1"/>
    <col min="15876" max="15876" width="35.7109375" style="200" customWidth="1"/>
    <col min="15877" max="15878" width="9.7109375" style="200" customWidth="1"/>
    <col min="15879" max="15879" width="11.5703125" style="200" customWidth="1"/>
    <col min="15880" max="15881" width="9.7109375" style="200" customWidth="1"/>
    <col min="15882" max="15882" width="12.140625" style="200" customWidth="1"/>
    <col min="15883" max="15884" width="9.7109375" style="200" customWidth="1"/>
    <col min="15885" max="15885" width="10.85546875" style="200" customWidth="1"/>
    <col min="15886" max="15887" width="9.7109375" style="200" customWidth="1"/>
    <col min="15888" max="15888" width="11.42578125" style="200" customWidth="1"/>
    <col min="15889" max="15890" width="9.7109375" style="200" customWidth="1"/>
    <col min="15891" max="15891" width="10.85546875" style="200" customWidth="1"/>
    <col min="15892" max="15893" width="9.7109375" style="200" customWidth="1"/>
    <col min="15894" max="15894" width="10.85546875" style="200" customWidth="1"/>
    <col min="15895" max="15896" width="9.7109375" style="200" customWidth="1"/>
    <col min="15897" max="15897" width="10.85546875" style="200" customWidth="1"/>
    <col min="15898" max="16128" width="11.42578125" style="200"/>
    <col min="16129" max="16129" width="2" style="200" customWidth="1"/>
    <col min="16130" max="16130" width="20.5703125" style="200" bestFit="1" customWidth="1"/>
    <col min="16131" max="16131" width="5.7109375" style="200" bestFit="1" customWidth="1"/>
    <col min="16132" max="16132" width="35.7109375" style="200" customWidth="1"/>
    <col min="16133" max="16134" width="9.7109375" style="200" customWidth="1"/>
    <col min="16135" max="16135" width="11.5703125" style="200" customWidth="1"/>
    <col min="16136" max="16137" width="9.7109375" style="200" customWidth="1"/>
    <col min="16138" max="16138" width="12.140625" style="200" customWidth="1"/>
    <col min="16139" max="16140" width="9.7109375" style="200" customWidth="1"/>
    <col min="16141" max="16141" width="10.85546875" style="200" customWidth="1"/>
    <col min="16142" max="16143" width="9.7109375" style="200" customWidth="1"/>
    <col min="16144" max="16144" width="11.42578125" style="200" customWidth="1"/>
    <col min="16145" max="16146" width="9.7109375" style="200" customWidth="1"/>
    <col min="16147" max="16147" width="10.85546875" style="200" customWidth="1"/>
    <col min="16148" max="16149" width="9.7109375" style="200" customWidth="1"/>
    <col min="16150" max="16150" width="10.85546875" style="200" customWidth="1"/>
    <col min="16151" max="16152" width="9.7109375" style="200" customWidth="1"/>
    <col min="16153" max="16153" width="10.85546875" style="200" customWidth="1"/>
    <col min="16154" max="16384" width="11.42578125" style="200"/>
  </cols>
  <sheetData>
    <row r="1" spans="1:42" ht="36.75" customHeight="1" x14ac:dyDescent="0.2">
      <c r="A1" s="5128" t="s">
        <v>1289</v>
      </c>
      <c r="B1" s="5128"/>
      <c r="C1" s="5128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  <c r="AA1" s="201"/>
      <c r="AB1" s="523"/>
    </row>
    <row r="2" spans="1:42" ht="15.75" x14ac:dyDescent="0.2">
      <c r="A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563"/>
    </row>
    <row r="3" spans="1:42" x14ac:dyDescent="0.2">
      <c r="A3" s="5106" t="s">
        <v>16</v>
      </c>
      <c r="B3" s="5106" t="s">
        <v>4</v>
      </c>
      <c r="C3" s="5106" t="s">
        <v>351</v>
      </c>
      <c r="D3" s="5022">
        <v>2003</v>
      </c>
      <c r="E3" s="5023"/>
      <c r="F3" s="5024"/>
      <c r="G3" s="5022">
        <v>2004</v>
      </c>
      <c r="H3" s="5023"/>
      <c r="I3" s="5024"/>
      <c r="J3" s="5022">
        <v>2005</v>
      </c>
      <c r="K3" s="5023"/>
      <c r="L3" s="5024"/>
      <c r="M3" s="5022">
        <v>2006</v>
      </c>
      <c r="N3" s="5023"/>
      <c r="O3" s="5024"/>
      <c r="P3" s="5022">
        <v>2007</v>
      </c>
      <c r="Q3" s="5023"/>
      <c r="R3" s="5024"/>
      <c r="S3" s="5022">
        <v>2008</v>
      </c>
      <c r="T3" s="5023"/>
      <c r="U3" s="5024"/>
      <c r="V3" s="5022">
        <v>2009</v>
      </c>
      <c r="W3" s="5023"/>
      <c r="X3" s="5024"/>
      <c r="Y3" s="5022">
        <v>2010</v>
      </c>
      <c r="Z3" s="5023"/>
      <c r="AA3" s="5024"/>
      <c r="AB3" s="5022">
        <v>2011</v>
      </c>
      <c r="AC3" s="5023"/>
      <c r="AD3" s="5024"/>
      <c r="AE3" s="5022">
        <v>2012</v>
      </c>
      <c r="AF3" s="5023"/>
      <c r="AG3" s="5024"/>
      <c r="AH3" s="5022">
        <v>2013</v>
      </c>
      <c r="AI3" s="5023"/>
      <c r="AJ3" s="5024"/>
      <c r="AK3" s="5022">
        <v>2014</v>
      </c>
      <c r="AL3" s="5023"/>
      <c r="AM3" s="5024"/>
      <c r="AN3" s="5022">
        <v>2015</v>
      </c>
      <c r="AO3" s="5023"/>
      <c r="AP3" s="5024"/>
    </row>
    <row r="4" spans="1:42" s="189" customFormat="1" ht="15.75" x14ac:dyDescent="0.2">
      <c r="A4" s="5106"/>
      <c r="B4" s="5106"/>
      <c r="C4" s="5106"/>
      <c r="D4" s="566" t="s">
        <v>668</v>
      </c>
      <c r="E4" s="567" t="s">
        <v>669</v>
      </c>
      <c r="F4" s="1031" t="s">
        <v>160</v>
      </c>
      <c r="G4" s="566" t="s">
        <v>668</v>
      </c>
      <c r="H4" s="567" t="s">
        <v>669</v>
      </c>
      <c r="I4" s="1031" t="s">
        <v>160</v>
      </c>
      <c r="J4" s="566" t="s">
        <v>668</v>
      </c>
      <c r="K4" s="567" t="s">
        <v>669</v>
      </c>
      <c r="L4" s="1031" t="s">
        <v>160</v>
      </c>
      <c r="M4" s="566" t="s">
        <v>668</v>
      </c>
      <c r="N4" s="567" t="s">
        <v>669</v>
      </c>
      <c r="O4" s="1031" t="s">
        <v>160</v>
      </c>
      <c r="P4" s="566" t="s">
        <v>668</v>
      </c>
      <c r="Q4" s="567" t="s">
        <v>669</v>
      </c>
      <c r="R4" s="1031" t="s">
        <v>160</v>
      </c>
      <c r="S4" s="566" t="s">
        <v>668</v>
      </c>
      <c r="T4" s="567" t="s">
        <v>669</v>
      </c>
      <c r="U4" s="1031" t="s">
        <v>160</v>
      </c>
      <c r="V4" s="566" t="s">
        <v>668</v>
      </c>
      <c r="W4" s="567" t="s">
        <v>669</v>
      </c>
      <c r="X4" s="1031" t="s">
        <v>160</v>
      </c>
      <c r="Y4" s="566" t="s">
        <v>668</v>
      </c>
      <c r="Z4" s="567" t="s">
        <v>669</v>
      </c>
      <c r="AA4" s="1031" t="s">
        <v>160</v>
      </c>
      <c r="AB4" s="566" t="s">
        <v>668</v>
      </c>
      <c r="AC4" s="567" t="s">
        <v>669</v>
      </c>
      <c r="AD4" s="1031" t="s">
        <v>160</v>
      </c>
      <c r="AE4" s="566" t="s">
        <v>668</v>
      </c>
      <c r="AF4" s="567" t="s">
        <v>669</v>
      </c>
      <c r="AG4" s="1031" t="s">
        <v>160</v>
      </c>
      <c r="AH4" s="566" t="s">
        <v>668</v>
      </c>
      <c r="AI4" s="567" t="s">
        <v>669</v>
      </c>
      <c r="AJ4" s="1031" t="s">
        <v>160</v>
      </c>
      <c r="AK4" s="566" t="s">
        <v>668</v>
      </c>
      <c r="AL4" s="567" t="s">
        <v>669</v>
      </c>
      <c r="AM4" s="1031" t="s">
        <v>160</v>
      </c>
      <c r="AN4" s="566" t="s">
        <v>668</v>
      </c>
      <c r="AO4" s="567" t="s">
        <v>669</v>
      </c>
      <c r="AP4" s="1031" t="s">
        <v>160</v>
      </c>
    </row>
    <row r="5" spans="1:42" s="186" customFormat="1" ht="15" customHeight="1" x14ac:dyDescent="0.25">
      <c r="A5" s="5065" t="s">
        <v>446</v>
      </c>
      <c r="B5" s="5046" t="s">
        <v>5</v>
      </c>
      <c r="C5" s="807" t="s">
        <v>452</v>
      </c>
      <c r="D5" s="852">
        <v>30</v>
      </c>
      <c r="E5" s="853">
        <v>45</v>
      </c>
      <c r="F5" s="810">
        <v>75</v>
      </c>
      <c r="G5" s="852">
        <v>25</v>
      </c>
      <c r="H5" s="853">
        <v>58</v>
      </c>
      <c r="I5" s="810">
        <v>83</v>
      </c>
      <c r="J5" s="808">
        <v>19</v>
      </c>
      <c r="K5" s="809">
        <v>43</v>
      </c>
      <c r="L5" s="810">
        <v>62</v>
      </c>
      <c r="M5" s="808">
        <v>43</v>
      </c>
      <c r="N5" s="809">
        <v>46</v>
      </c>
      <c r="O5" s="810">
        <v>89</v>
      </c>
      <c r="P5" s="808">
        <v>37</v>
      </c>
      <c r="Q5" s="809">
        <v>73</v>
      </c>
      <c r="R5" s="810">
        <v>110</v>
      </c>
      <c r="S5" s="808">
        <v>63</v>
      </c>
      <c r="T5" s="809">
        <v>97</v>
      </c>
      <c r="U5" s="810">
        <v>160</v>
      </c>
      <c r="V5" s="808">
        <v>71</v>
      </c>
      <c r="W5" s="809">
        <v>93</v>
      </c>
      <c r="X5" s="810">
        <v>164</v>
      </c>
      <c r="Y5" s="808">
        <v>101</v>
      </c>
      <c r="Z5" s="809">
        <v>117</v>
      </c>
      <c r="AA5" s="810">
        <f>SUM(Y5:Z5)</f>
        <v>218</v>
      </c>
      <c r="AB5" s="811">
        <v>97</v>
      </c>
      <c r="AC5" s="809">
        <v>65</v>
      </c>
      <c r="AD5" s="810">
        <f>SUM(AB5:AC5)</f>
        <v>162</v>
      </c>
      <c r="AE5" s="811">
        <v>49</v>
      </c>
      <c r="AF5" s="809">
        <v>58</v>
      </c>
      <c r="AG5" s="810">
        <f>SUM(AE5:AF5)</f>
        <v>107</v>
      </c>
      <c r="AH5" s="811">
        <v>54</v>
      </c>
      <c r="AI5" s="809">
        <v>57</v>
      </c>
      <c r="AJ5" s="810">
        <f>SUM(AH5:AI5)</f>
        <v>111</v>
      </c>
      <c r="AK5" s="811">
        <v>45</v>
      </c>
      <c r="AL5" s="809">
        <v>66</v>
      </c>
      <c r="AM5" s="810">
        <f>SUM(AK5:AL5)</f>
        <v>111</v>
      </c>
      <c r="AN5" s="811">
        <v>37</v>
      </c>
      <c r="AO5" s="809">
        <v>64</v>
      </c>
      <c r="AP5" s="810">
        <f>SUM(AN5:AO5)</f>
        <v>101</v>
      </c>
    </row>
    <row r="6" spans="1:42" s="186" customFormat="1" ht="15" customHeight="1" x14ac:dyDescent="0.25">
      <c r="A6" s="5066"/>
      <c r="B6" s="5047"/>
      <c r="C6" s="813" t="s">
        <v>453</v>
      </c>
      <c r="D6" s="854">
        <v>34</v>
      </c>
      <c r="E6" s="855">
        <v>53</v>
      </c>
      <c r="F6" s="816">
        <v>87</v>
      </c>
      <c r="G6" s="854">
        <v>32</v>
      </c>
      <c r="H6" s="855">
        <v>72</v>
      </c>
      <c r="I6" s="816">
        <v>104</v>
      </c>
      <c r="J6" s="814">
        <v>46</v>
      </c>
      <c r="K6" s="815">
        <v>51</v>
      </c>
      <c r="L6" s="816">
        <v>97</v>
      </c>
      <c r="M6" s="814">
        <v>48</v>
      </c>
      <c r="N6" s="815">
        <v>73</v>
      </c>
      <c r="O6" s="816">
        <v>121</v>
      </c>
      <c r="P6" s="814">
        <v>50</v>
      </c>
      <c r="Q6" s="815">
        <v>79</v>
      </c>
      <c r="R6" s="816">
        <v>129</v>
      </c>
      <c r="S6" s="814">
        <v>73</v>
      </c>
      <c r="T6" s="815">
        <v>108</v>
      </c>
      <c r="U6" s="816">
        <v>181</v>
      </c>
      <c r="V6" s="814">
        <v>86</v>
      </c>
      <c r="W6" s="815">
        <v>88</v>
      </c>
      <c r="X6" s="816">
        <v>174</v>
      </c>
      <c r="Y6" s="814">
        <v>103</v>
      </c>
      <c r="Z6" s="815">
        <v>138</v>
      </c>
      <c r="AA6" s="816">
        <f t="shared" ref="AA6:AA68" si="0">SUM(Y6:Z6)</f>
        <v>241</v>
      </c>
      <c r="AB6" s="817">
        <v>97</v>
      </c>
      <c r="AC6" s="815">
        <v>51</v>
      </c>
      <c r="AD6" s="816">
        <f t="shared" ref="AD6:AD81" si="1">SUM(AB6:AC6)</f>
        <v>148</v>
      </c>
      <c r="AE6" s="817">
        <v>47</v>
      </c>
      <c r="AF6" s="815">
        <v>44</v>
      </c>
      <c r="AG6" s="816">
        <f t="shared" ref="AG6:AG81" si="2">SUM(AE6:AF6)</f>
        <v>91</v>
      </c>
      <c r="AH6" s="817">
        <v>59</v>
      </c>
      <c r="AI6" s="815">
        <v>54</v>
      </c>
      <c r="AJ6" s="816">
        <f t="shared" ref="AJ6:AJ14" si="3">SUM(AH6:AI6)</f>
        <v>113</v>
      </c>
      <c r="AK6" s="817">
        <v>47</v>
      </c>
      <c r="AL6" s="815">
        <v>56</v>
      </c>
      <c r="AM6" s="816">
        <f t="shared" ref="AM6:AM14" si="4">SUM(AK6:AL6)</f>
        <v>103</v>
      </c>
      <c r="AN6" s="817">
        <v>32</v>
      </c>
      <c r="AO6" s="815">
        <v>58</v>
      </c>
      <c r="AP6" s="816">
        <f t="shared" ref="AP6:AP14" si="5">SUM(AN6:AO6)</f>
        <v>90</v>
      </c>
    </row>
    <row r="7" spans="1:42" s="186" customFormat="1" ht="15" customHeight="1" x14ac:dyDescent="0.25">
      <c r="A7" s="5066"/>
      <c r="B7" s="5047"/>
      <c r="C7" s="813" t="s">
        <v>454</v>
      </c>
      <c r="D7" s="854">
        <v>24</v>
      </c>
      <c r="E7" s="855">
        <v>40</v>
      </c>
      <c r="F7" s="816">
        <v>64</v>
      </c>
      <c r="G7" s="854">
        <v>45</v>
      </c>
      <c r="H7" s="855">
        <v>50</v>
      </c>
      <c r="I7" s="816">
        <v>95</v>
      </c>
      <c r="J7" s="814">
        <v>22</v>
      </c>
      <c r="K7" s="815">
        <v>26</v>
      </c>
      <c r="L7" s="816">
        <v>48</v>
      </c>
      <c r="M7" s="814">
        <v>26</v>
      </c>
      <c r="N7" s="815">
        <v>36</v>
      </c>
      <c r="O7" s="816">
        <v>62</v>
      </c>
      <c r="P7" s="814">
        <v>32</v>
      </c>
      <c r="Q7" s="815">
        <v>45</v>
      </c>
      <c r="R7" s="816">
        <v>77</v>
      </c>
      <c r="S7" s="814">
        <v>34</v>
      </c>
      <c r="T7" s="815">
        <v>57</v>
      </c>
      <c r="U7" s="816">
        <v>91</v>
      </c>
      <c r="V7" s="814">
        <v>50</v>
      </c>
      <c r="W7" s="815">
        <v>56</v>
      </c>
      <c r="X7" s="816">
        <v>106</v>
      </c>
      <c r="Y7" s="814">
        <v>29</v>
      </c>
      <c r="Z7" s="815">
        <v>49</v>
      </c>
      <c r="AA7" s="816">
        <f t="shared" si="0"/>
        <v>78</v>
      </c>
      <c r="AB7" s="817">
        <v>92</v>
      </c>
      <c r="AC7" s="815">
        <v>56</v>
      </c>
      <c r="AD7" s="816">
        <f t="shared" si="1"/>
        <v>148</v>
      </c>
      <c r="AE7" s="817">
        <v>51</v>
      </c>
      <c r="AF7" s="815">
        <v>54</v>
      </c>
      <c r="AG7" s="816">
        <f t="shared" si="2"/>
        <v>105</v>
      </c>
      <c r="AH7" s="817">
        <v>52</v>
      </c>
      <c r="AI7" s="815">
        <v>55</v>
      </c>
      <c r="AJ7" s="816">
        <f t="shared" si="3"/>
        <v>107</v>
      </c>
      <c r="AK7" s="817">
        <v>31</v>
      </c>
      <c r="AL7" s="815">
        <v>59</v>
      </c>
      <c r="AM7" s="816">
        <f t="shared" si="4"/>
        <v>90</v>
      </c>
      <c r="AN7" s="817">
        <v>31</v>
      </c>
      <c r="AO7" s="815">
        <v>58</v>
      </c>
      <c r="AP7" s="816">
        <f t="shared" si="5"/>
        <v>89</v>
      </c>
    </row>
    <row r="8" spans="1:42" s="186" customFormat="1" ht="15" customHeight="1" x14ac:dyDescent="0.25">
      <c r="A8" s="5066"/>
      <c r="B8" s="5047"/>
      <c r="C8" s="813" t="s">
        <v>455</v>
      </c>
      <c r="D8" s="854">
        <v>17</v>
      </c>
      <c r="E8" s="855">
        <v>32</v>
      </c>
      <c r="F8" s="816">
        <v>49</v>
      </c>
      <c r="G8" s="854">
        <v>13</v>
      </c>
      <c r="H8" s="855">
        <v>37</v>
      </c>
      <c r="I8" s="816">
        <v>50</v>
      </c>
      <c r="J8" s="814">
        <v>29</v>
      </c>
      <c r="K8" s="815">
        <v>41</v>
      </c>
      <c r="L8" s="816">
        <v>70</v>
      </c>
      <c r="M8" s="814">
        <v>14</v>
      </c>
      <c r="N8" s="815">
        <v>26</v>
      </c>
      <c r="O8" s="816">
        <v>40</v>
      </c>
      <c r="P8" s="814">
        <v>11</v>
      </c>
      <c r="Q8" s="815">
        <v>27</v>
      </c>
      <c r="R8" s="816">
        <v>38</v>
      </c>
      <c r="S8" s="814">
        <v>26</v>
      </c>
      <c r="T8" s="815">
        <v>46</v>
      </c>
      <c r="U8" s="816">
        <v>72</v>
      </c>
      <c r="V8" s="814">
        <v>25</v>
      </c>
      <c r="W8" s="815">
        <v>50</v>
      </c>
      <c r="X8" s="816">
        <v>75</v>
      </c>
      <c r="Y8" s="814">
        <v>34</v>
      </c>
      <c r="Z8" s="815">
        <v>62</v>
      </c>
      <c r="AA8" s="816">
        <f t="shared" si="0"/>
        <v>96</v>
      </c>
      <c r="AB8" s="817">
        <v>78</v>
      </c>
      <c r="AC8" s="815">
        <v>54</v>
      </c>
      <c r="AD8" s="816">
        <f t="shared" si="1"/>
        <v>132</v>
      </c>
      <c r="AE8" s="817">
        <v>42</v>
      </c>
      <c r="AF8" s="815">
        <v>52</v>
      </c>
      <c r="AG8" s="816">
        <f t="shared" si="2"/>
        <v>94</v>
      </c>
      <c r="AH8" s="817">
        <v>53</v>
      </c>
      <c r="AI8" s="815">
        <v>53</v>
      </c>
      <c r="AJ8" s="816">
        <f t="shared" si="3"/>
        <v>106</v>
      </c>
      <c r="AK8" s="817">
        <v>46</v>
      </c>
      <c r="AL8" s="815">
        <v>63</v>
      </c>
      <c r="AM8" s="816">
        <f t="shared" si="4"/>
        <v>109</v>
      </c>
      <c r="AN8" s="817">
        <v>34</v>
      </c>
      <c r="AO8" s="815">
        <v>63</v>
      </c>
      <c r="AP8" s="816">
        <f t="shared" si="5"/>
        <v>97</v>
      </c>
    </row>
    <row r="9" spans="1:42" s="186" customFormat="1" ht="15" customHeight="1" x14ac:dyDescent="0.25">
      <c r="A9" s="5066"/>
      <c r="B9" s="5047"/>
      <c r="C9" s="813" t="s">
        <v>456</v>
      </c>
      <c r="D9" s="854">
        <v>82</v>
      </c>
      <c r="E9" s="855">
        <v>124</v>
      </c>
      <c r="F9" s="816">
        <v>206</v>
      </c>
      <c r="G9" s="854">
        <v>120</v>
      </c>
      <c r="H9" s="855">
        <v>134</v>
      </c>
      <c r="I9" s="816">
        <v>254</v>
      </c>
      <c r="J9" s="814">
        <v>101</v>
      </c>
      <c r="K9" s="815">
        <v>115</v>
      </c>
      <c r="L9" s="816">
        <v>216</v>
      </c>
      <c r="M9" s="814">
        <v>77</v>
      </c>
      <c r="N9" s="815">
        <v>149</v>
      </c>
      <c r="O9" s="816">
        <v>226</v>
      </c>
      <c r="P9" s="814">
        <v>116</v>
      </c>
      <c r="Q9" s="815">
        <v>124</v>
      </c>
      <c r="R9" s="816">
        <v>240</v>
      </c>
      <c r="S9" s="814">
        <v>88</v>
      </c>
      <c r="T9" s="815">
        <v>106</v>
      </c>
      <c r="U9" s="816">
        <v>194</v>
      </c>
      <c r="V9" s="814">
        <v>86</v>
      </c>
      <c r="W9" s="815">
        <v>69</v>
      </c>
      <c r="X9" s="816">
        <v>155</v>
      </c>
      <c r="Y9" s="814">
        <v>105</v>
      </c>
      <c r="Z9" s="815">
        <v>89</v>
      </c>
      <c r="AA9" s="816">
        <f t="shared" si="0"/>
        <v>194</v>
      </c>
      <c r="AB9" s="817">
        <v>99</v>
      </c>
      <c r="AC9" s="815">
        <v>51</v>
      </c>
      <c r="AD9" s="816">
        <f t="shared" si="1"/>
        <v>150</v>
      </c>
      <c r="AE9" s="817">
        <v>43</v>
      </c>
      <c r="AF9" s="815">
        <v>51</v>
      </c>
      <c r="AG9" s="816">
        <f t="shared" si="2"/>
        <v>94</v>
      </c>
      <c r="AH9" s="817">
        <v>54</v>
      </c>
      <c r="AI9" s="815">
        <v>48</v>
      </c>
      <c r="AJ9" s="816">
        <f t="shared" si="3"/>
        <v>102</v>
      </c>
      <c r="AK9" s="817">
        <v>47</v>
      </c>
      <c r="AL9" s="815">
        <v>66</v>
      </c>
      <c r="AM9" s="816">
        <f t="shared" si="4"/>
        <v>113</v>
      </c>
      <c r="AN9" s="817">
        <v>37</v>
      </c>
      <c r="AO9" s="815">
        <v>56</v>
      </c>
      <c r="AP9" s="816">
        <f t="shared" si="5"/>
        <v>93</v>
      </c>
    </row>
    <row r="10" spans="1:42" s="186" customFormat="1" ht="15" customHeight="1" x14ac:dyDescent="0.25">
      <c r="A10" s="5066"/>
      <c r="B10" s="5047"/>
      <c r="C10" s="813" t="s">
        <v>457</v>
      </c>
      <c r="D10" s="854">
        <v>53</v>
      </c>
      <c r="E10" s="855">
        <v>80</v>
      </c>
      <c r="F10" s="816">
        <v>133</v>
      </c>
      <c r="G10" s="854">
        <v>63</v>
      </c>
      <c r="H10" s="855">
        <v>93</v>
      </c>
      <c r="I10" s="816">
        <v>156</v>
      </c>
      <c r="J10" s="814">
        <v>64</v>
      </c>
      <c r="K10" s="815">
        <v>91</v>
      </c>
      <c r="L10" s="816">
        <v>155</v>
      </c>
      <c r="M10" s="814">
        <v>87</v>
      </c>
      <c r="N10" s="815">
        <v>85</v>
      </c>
      <c r="O10" s="816">
        <v>172</v>
      </c>
      <c r="P10" s="814">
        <v>56</v>
      </c>
      <c r="Q10" s="815">
        <v>104</v>
      </c>
      <c r="R10" s="816">
        <v>160</v>
      </c>
      <c r="S10" s="814">
        <v>64</v>
      </c>
      <c r="T10" s="815">
        <v>93</v>
      </c>
      <c r="U10" s="816">
        <v>157</v>
      </c>
      <c r="V10" s="814">
        <v>81</v>
      </c>
      <c r="W10" s="815">
        <v>71</v>
      </c>
      <c r="X10" s="816">
        <v>152</v>
      </c>
      <c r="Y10" s="814">
        <v>106</v>
      </c>
      <c r="Z10" s="815">
        <v>91</v>
      </c>
      <c r="AA10" s="816">
        <f t="shared" si="0"/>
        <v>197</v>
      </c>
      <c r="AB10" s="817">
        <v>100</v>
      </c>
      <c r="AC10" s="815">
        <v>52</v>
      </c>
      <c r="AD10" s="816">
        <f t="shared" si="1"/>
        <v>152</v>
      </c>
      <c r="AE10" s="817">
        <v>42</v>
      </c>
      <c r="AF10" s="815">
        <v>40</v>
      </c>
      <c r="AG10" s="816">
        <f t="shared" si="2"/>
        <v>82</v>
      </c>
      <c r="AH10" s="817">
        <v>53</v>
      </c>
      <c r="AI10" s="815">
        <v>52</v>
      </c>
      <c r="AJ10" s="816">
        <f t="shared" si="3"/>
        <v>105</v>
      </c>
      <c r="AK10" s="817">
        <v>47</v>
      </c>
      <c r="AL10" s="815">
        <v>56</v>
      </c>
      <c r="AM10" s="816">
        <f t="shared" si="4"/>
        <v>103</v>
      </c>
      <c r="AN10" s="817">
        <v>39</v>
      </c>
      <c r="AO10" s="815">
        <v>59</v>
      </c>
      <c r="AP10" s="816">
        <f t="shared" si="5"/>
        <v>98</v>
      </c>
    </row>
    <row r="11" spans="1:42" s="186" customFormat="1" ht="15" customHeight="1" x14ac:dyDescent="0.25">
      <c r="A11" s="5066"/>
      <c r="B11" s="5047"/>
      <c r="C11" s="813" t="s">
        <v>458</v>
      </c>
      <c r="D11" s="854">
        <v>4</v>
      </c>
      <c r="E11" s="855">
        <v>10</v>
      </c>
      <c r="F11" s="816">
        <v>14</v>
      </c>
      <c r="G11" s="854">
        <v>6</v>
      </c>
      <c r="H11" s="855">
        <v>16</v>
      </c>
      <c r="I11" s="816">
        <v>22</v>
      </c>
      <c r="J11" s="814">
        <v>11</v>
      </c>
      <c r="K11" s="815">
        <v>19</v>
      </c>
      <c r="L11" s="816">
        <v>30</v>
      </c>
      <c r="M11" s="814">
        <v>7</v>
      </c>
      <c r="N11" s="815">
        <v>27</v>
      </c>
      <c r="O11" s="816">
        <v>34</v>
      </c>
      <c r="P11" s="814">
        <v>13</v>
      </c>
      <c r="Q11" s="815">
        <v>19</v>
      </c>
      <c r="R11" s="816">
        <v>32</v>
      </c>
      <c r="S11" s="814">
        <v>11</v>
      </c>
      <c r="T11" s="815">
        <v>34</v>
      </c>
      <c r="U11" s="816">
        <v>45</v>
      </c>
      <c r="V11" s="814">
        <v>19</v>
      </c>
      <c r="W11" s="815">
        <v>46</v>
      </c>
      <c r="X11" s="816">
        <v>65</v>
      </c>
      <c r="Y11" s="814">
        <v>20</v>
      </c>
      <c r="Z11" s="815">
        <v>41</v>
      </c>
      <c r="AA11" s="816">
        <f t="shared" si="0"/>
        <v>61</v>
      </c>
      <c r="AB11" s="817">
        <v>65</v>
      </c>
      <c r="AC11" s="815">
        <v>34</v>
      </c>
      <c r="AD11" s="816">
        <f t="shared" si="1"/>
        <v>99</v>
      </c>
      <c r="AE11" s="817">
        <v>49</v>
      </c>
      <c r="AF11" s="815">
        <v>48</v>
      </c>
      <c r="AG11" s="816">
        <f t="shared" si="2"/>
        <v>97</v>
      </c>
      <c r="AH11" s="817">
        <v>56</v>
      </c>
      <c r="AI11" s="815">
        <v>55</v>
      </c>
      <c r="AJ11" s="816">
        <f t="shared" si="3"/>
        <v>111</v>
      </c>
      <c r="AK11" s="817">
        <v>36</v>
      </c>
      <c r="AL11" s="815">
        <v>69</v>
      </c>
      <c r="AM11" s="816">
        <f t="shared" si="4"/>
        <v>105</v>
      </c>
      <c r="AN11" s="817">
        <v>36</v>
      </c>
      <c r="AO11" s="815">
        <v>66</v>
      </c>
      <c r="AP11" s="816">
        <f t="shared" si="5"/>
        <v>102</v>
      </c>
    </row>
    <row r="12" spans="1:42" s="186" customFormat="1" ht="15" customHeight="1" x14ac:dyDescent="0.25">
      <c r="A12" s="5066"/>
      <c r="B12" s="5047"/>
      <c r="C12" s="813" t="s">
        <v>459</v>
      </c>
      <c r="D12" s="854">
        <v>47</v>
      </c>
      <c r="E12" s="855">
        <v>93</v>
      </c>
      <c r="F12" s="816">
        <v>140</v>
      </c>
      <c r="G12" s="854">
        <v>44</v>
      </c>
      <c r="H12" s="855">
        <v>94</v>
      </c>
      <c r="I12" s="816">
        <v>138</v>
      </c>
      <c r="J12" s="814">
        <v>51</v>
      </c>
      <c r="K12" s="815">
        <v>71</v>
      </c>
      <c r="L12" s="816">
        <v>122</v>
      </c>
      <c r="M12" s="814">
        <v>66</v>
      </c>
      <c r="N12" s="815">
        <v>67</v>
      </c>
      <c r="O12" s="816">
        <v>133</v>
      </c>
      <c r="P12" s="814">
        <v>55</v>
      </c>
      <c r="Q12" s="815">
        <v>110</v>
      </c>
      <c r="R12" s="816">
        <v>165</v>
      </c>
      <c r="S12" s="814">
        <v>66</v>
      </c>
      <c r="T12" s="815">
        <v>96</v>
      </c>
      <c r="U12" s="816">
        <v>162</v>
      </c>
      <c r="V12" s="814">
        <v>68</v>
      </c>
      <c r="W12" s="815">
        <v>83</v>
      </c>
      <c r="X12" s="816">
        <v>151</v>
      </c>
      <c r="Y12" s="814">
        <v>106</v>
      </c>
      <c r="Z12" s="815">
        <v>84</v>
      </c>
      <c r="AA12" s="816">
        <f t="shared" si="0"/>
        <v>190</v>
      </c>
      <c r="AB12" s="817">
        <v>89</v>
      </c>
      <c r="AC12" s="815">
        <v>45</v>
      </c>
      <c r="AD12" s="816">
        <f t="shared" si="1"/>
        <v>134</v>
      </c>
      <c r="AE12" s="817">
        <v>47</v>
      </c>
      <c r="AF12" s="815">
        <v>50</v>
      </c>
      <c r="AG12" s="816">
        <f t="shared" si="2"/>
        <v>97</v>
      </c>
      <c r="AH12" s="817">
        <v>57</v>
      </c>
      <c r="AI12" s="815">
        <v>50</v>
      </c>
      <c r="AJ12" s="816">
        <f t="shared" si="3"/>
        <v>107</v>
      </c>
      <c r="AK12" s="817">
        <v>46</v>
      </c>
      <c r="AL12" s="815">
        <v>55</v>
      </c>
      <c r="AM12" s="816">
        <f t="shared" si="4"/>
        <v>101</v>
      </c>
      <c r="AN12" s="817">
        <v>36</v>
      </c>
      <c r="AO12" s="815">
        <v>55</v>
      </c>
      <c r="AP12" s="816">
        <f t="shared" si="5"/>
        <v>91</v>
      </c>
    </row>
    <row r="13" spans="1:42" s="186" customFormat="1" ht="15" customHeight="1" x14ac:dyDescent="0.25">
      <c r="A13" s="5066"/>
      <c r="B13" s="5047"/>
      <c r="C13" s="813" t="s">
        <v>460</v>
      </c>
      <c r="D13" s="854">
        <v>106</v>
      </c>
      <c r="E13" s="855">
        <v>131</v>
      </c>
      <c r="F13" s="816">
        <v>237</v>
      </c>
      <c r="G13" s="854">
        <v>144</v>
      </c>
      <c r="H13" s="855">
        <v>166</v>
      </c>
      <c r="I13" s="816">
        <v>310</v>
      </c>
      <c r="J13" s="814">
        <v>135</v>
      </c>
      <c r="K13" s="815">
        <v>146</v>
      </c>
      <c r="L13" s="816">
        <v>281</v>
      </c>
      <c r="M13" s="814">
        <v>154</v>
      </c>
      <c r="N13" s="815">
        <v>122</v>
      </c>
      <c r="O13" s="816">
        <v>276</v>
      </c>
      <c r="P13" s="814">
        <v>128</v>
      </c>
      <c r="Q13" s="815">
        <v>115</v>
      </c>
      <c r="R13" s="816">
        <v>243</v>
      </c>
      <c r="S13" s="814">
        <v>65</v>
      </c>
      <c r="T13" s="815">
        <v>111</v>
      </c>
      <c r="U13" s="816">
        <v>176</v>
      </c>
      <c r="V13" s="814">
        <v>77</v>
      </c>
      <c r="W13" s="815">
        <v>95</v>
      </c>
      <c r="X13" s="816">
        <v>172</v>
      </c>
      <c r="Y13" s="814">
        <v>112</v>
      </c>
      <c r="Z13" s="815">
        <v>118</v>
      </c>
      <c r="AA13" s="816">
        <f t="shared" si="0"/>
        <v>230</v>
      </c>
      <c r="AB13" s="817">
        <v>94</v>
      </c>
      <c r="AC13" s="815">
        <v>60</v>
      </c>
      <c r="AD13" s="816">
        <f t="shared" si="1"/>
        <v>154</v>
      </c>
      <c r="AE13" s="817">
        <v>46</v>
      </c>
      <c r="AF13" s="815">
        <v>53</v>
      </c>
      <c r="AG13" s="816">
        <f t="shared" si="2"/>
        <v>99</v>
      </c>
      <c r="AH13" s="817">
        <v>55</v>
      </c>
      <c r="AI13" s="815">
        <v>57</v>
      </c>
      <c r="AJ13" s="816">
        <f t="shared" si="3"/>
        <v>112</v>
      </c>
      <c r="AK13" s="817">
        <v>46</v>
      </c>
      <c r="AL13" s="815">
        <v>64</v>
      </c>
      <c r="AM13" s="816">
        <f t="shared" si="4"/>
        <v>110</v>
      </c>
      <c r="AN13" s="817">
        <v>35</v>
      </c>
      <c r="AO13" s="815">
        <v>65</v>
      </c>
      <c r="AP13" s="816">
        <f t="shared" si="5"/>
        <v>100</v>
      </c>
    </row>
    <row r="14" spans="1:42" s="186" customFormat="1" ht="15" customHeight="1" x14ac:dyDescent="0.25">
      <c r="A14" s="5066"/>
      <c r="B14" s="5047"/>
      <c r="C14" s="822" t="s">
        <v>461</v>
      </c>
      <c r="D14" s="823"/>
      <c r="E14" s="859">
        <v>98</v>
      </c>
      <c r="F14" s="825">
        <v>98</v>
      </c>
      <c r="G14" s="860">
        <v>205</v>
      </c>
      <c r="H14" s="859">
        <v>192</v>
      </c>
      <c r="I14" s="825">
        <v>397</v>
      </c>
      <c r="J14" s="823">
        <v>185</v>
      </c>
      <c r="K14" s="824">
        <v>177</v>
      </c>
      <c r="L14" s="825">
        <v>362</v>
      </c>
      <c r="M14" s="823">
        <v>199</v>
      </c>
      <c r="N14" s="824">
        <v>191</v>
      </c>
      <c r="O14" s="825">
        <v>390</v>
      </c>
      <c r="P14" s="823">
        <v>156</v>
      </c>
      <c r="Q14" s="824">
        <v>123</v>
      </c>
      <c r="R14" s="825">
        <v>279</v>
      </c>
      <c r="S14" s="823">
        <v>162</v>
      </c>
      <c r="T14" s="824">
        <v>160</v>
      </c>
      <c r="U14" s="825">
        <v>322</v>
      </c>
      <c r="V14" s="823">
        <v>136</v>
      </c>
      <c r="W14" s="824">
        <v>115</v>
      </c>
      <c r="X14" s="825">
        <v>251</v>
      </c>
      <c r="Y14" s="823">
        <v>137</v>
      </c>
      <c r="Z14" s="824">
        <v>115</v>
      </c>
      <c r="AA14" s="825">
        <f t="shared" si="0"/>
        <v>252</v>
      </c>
      <c r="AB14" s="826">
        <v>97</v>
      </c>
      <c r="AC14" s="824">
        <v>69</v>
      </c>
      <c r="AD14" s="825">
        <f t="shared" si="1"/>
        <v>166</v>
      </c>
      <c r="AE14" s="826">
        <v>37</v>
      </c>
      <c r="AF14" s="824">
        <v>57</v>
      </c>
      <c r="AG14" s="825">
        <f t="shared" si="2"/>
        <v>94</v>
      </c>
      <c r="AH14" s="826">
        <v>53</v>
      </c>
      <c r="AI14" s="824">
        <v>50</v>
      </c>
      <c r="AJ14" s="825">
        <f t="shared" si="3"/>
        <v>103</v>
      </c>
      <c r="AK14" s="826">
        <v>46</v>
      </c>
      <c r="AL14" s="824">
        <v>70</v>
      </c>
      <c r="AM14" s="825">
        <f t="shared" si="4"/>
        <v>116</v>
      </c>
      <c r="AN14" s="826">
        <v>33</v>
      </c>
      <c r="AO14" s="824">
        <v>66</v>
      </c>
      <c r="AP14" s="825">
        <f t="shared" si="5"/>
        <v>99</v>
      </c>
    </row>
    <row r="15" spans="1:42" s="186" customFormat="1" ht="15" customHeight="1" x14ac:dyDescent="0.25">
      <c r="A15" s="5066"/>
      <c r="B15" s="5048"/>
      <c r="C15" s="869" t="s">
        <v>160</v>
      </c>
      <c r="D15" s="870">
        <f>SUM(D5:D14)</f>
        <v>397</v>
      </c>
      <c r="E15" s="871">
        <f>SUM(E5:E14)</f>
        <v>706</v>
      </c>
      <c r="F15" s="872">
        <f>SUM(F5:F14)</f>
        <v>1103</v>
      </c>
      <c r="G15" s="870">
        <f t="shared" ref="G15:AG15" si="6">SUM(G5:G14)</f>
        <v>697</v>
      </c>
      <c r="H15" s="871">
        <f t="shared" si="6"/>
        <v>912</v>
      </c>
      <c r="I15" s="872">
        <f t="shared" si="6"/>
        <v>1609</v>
      </c>
      <c r="J15" s="870">
        <f t="shared" si="6"/>
        <v>663</v>
      </c>
      <c r="K15" s="871">
        <f t="shared" si="6"/>
        <v>780</v>
      </c>
      <c r="L15" s="872">
        <f t="shared" si="6"/>
        <v>1443</v>
      </c>
      <c r="M15" s="870">
        <f t="shared" si="6"/>
        <v>721</v>
      </c>
      <c r="N15" s="871">
        <f t="shared" si="6"/>
        <v>822</v>
      </c>
      <c r="O15" s="872">
        <f t="shared" si="6"/>
        <v>1543</v>
      </c>
      <c r="P15" s="870">
        <f t="shared" si="6"/>
        <v>654</v>
      </c>
      <c r="Q15" s="871">
        <f t="shared" si="6"/>
        <v>819</v>
      </c>
      <c r="R15" s="872">
        <f t="shared" si="6"/>
        <v>1473</v>
      </c>
      <c r="S15" s="870">
        <f t="shared" si="6"/>
        <v>652</v>
      </c>
      <c r="T15" s="871">
        <f t="shared" si="6"/>
        <v>908</v>
      </c>
      <c r="U15" s="872">
        <f t="shared" si="6"/>
        <v>1560</v>
      </c>
      <c r="V15" s="870">
        <f t="shared" si="6"/>
        <v>699</v>
      </c>
      <c r="W15" s="871">
        <f t="shared" si="6"/>
        <v>766</v>
      </c>
      <c r="X15" s="872">
        <f t="shared" si="6"/>
        <v>1465</v>
      </c>
      <c r="Y15" s="870">
        <f t="shared" si="6"/>
        <v>853</v>
      </c>
      <c r="Z15" s="871">
        <f t="shared" si="6"/>
        <v>904</v>
      </c>
      <c r="AA15" s="872">
        <f t="shared" si="6"/>
        <v>1757</v>
      </c>
      <c r="AB15" s="870">
        <f t="shared" si="6"/>
        <v>908</v>
      </c>
      <c r="AC15" s="871">
        <f t="shared" si="6"/>
        <v>537</v>
      </c>
      <c r="AD15" s="872">
        <f t="shared" si="6"/>
        <v>1445</v>
      </c>
      <c r="AE15" s="870">
        <f t="shared" si="6"/>
        <v>453</v>
      </c>
      <c r="AF15" s="871">
        <f t="shared" si="6"/>
        <v>507</v>
      </c>
      <c r="AG15" s="872">
        <f t="shared" si="6"/>
        <v>960</v>
      </c>
      <c r="AH15" s="870">
        <f t="shared" ref="AH15:AM15" si="7">SUM(AH5:AH14)</f>
        <v>546</v>
      </c>
      <c r="AI15" s="871">
        <f t="shared" si="7"/>
        <v>531</v>
      </c>
      <c r="AJ15" s="872">
        <f t="shared" si="7"/>
        <v>1077</v>
      </c>
      <c r="AK15" s="870">
        <f t="shared" si="7"/>
        <v>437</v>
      </c>
      <c r="AL15" s="871">
        <f t="shared" si="7"/>
        <v>624</v>
      </c>
      <c r="AM15" s="872">
        <f t="shared" si="7"/>
        <v>1061</v>
      </c>
      <c r="AN15" s="870">
        <f>SUM(AN5:AN14)</f>
        <v>350</v>
      </c>
      <c r="AO15" s="871">
        <f t="shared" ref="AO15:AP15" si="8">SUM(AO5:AO14)</f>
        <v>610</v>
      </c>
      <c r="AP15" s="872">
        <f t="shared" si="8"/>
        <v>960</v>
      </c>
    </row>
    <row r="16" spans="1:42" s="186" customFormat="1" ht="15" customHeight="1" x14ac:dyDescent="0.25">
      <c r="A16" s="5066"/>
      <c r="B16" s="5046" t="s">
        <v>6</v>
      </c>
      <c r="C16" s="807" t="s">
        <v>462</v>
      </c>
      <c r="D16" s="852">
        <v>105</v>
      </c>
      <c r="E16" s="853">
        <v>146</v>
      </c>
      <c r="F16" s="810">
        <v>251</v>
      </c>
      <c r="G16" s="852">
        <v>100</v>
      </c>
      <c r="H16" s="853">
        <v>165</v>
      </c>
      <c r="I16" s="810">
        <v>265</v>
      </c>
      <c r="J16" s="808">
        <v>105</v>
      </c>
      <c r="K16" s="809">
        <v>136</v>
      </c>
      <c r="L16" s="810">
        <v>241</v>
      </c>
      <c r="M16" s="808">
        <v>93</v>
      </c>
      <c r="N16" s="809">
        <v>140</v>
      </c>
      <c r="O16" s="810">
        <v>233</v>
      </c>
      <c r="P16" s="808">
        <v>176</v>
      </c>
      <c r="Q16" s="809">
        <v>105</v>
      </c>
      <c r="R16" s="810">
        <v>281</v>
      </c>
      <c r="S16" s="808">
        <v>155</v>
      </c>
      <c r="T16" s="809">
        <v>146</v>
      </c>
      <c r="U16" s="810">
        <v>301</v>
      </c>
      <c r="V16" s="808">
        <v>134</v>
      </c>
      <c r="W16" s="809">
        <v>142</v>
      </c>
      <c r="X16" s="810">
        <v>276</v>
      </c>
      <c r="Y16" s="808">
        <v>129</v>
      </c>
      <c r="Z16" s="809">
        <v>116</v>
      </c>
      <c r="AA16" s="810">
        <f t="shared" si="0"/>
        <v>245</v>
      </c>
      <c r="AB16" s="811">
        <v>131</v>
      </c>
      <c r="AC16" s="809">
        <v>118</v>
      </c>
      <c r="AD16" s="810">
        <f t="shared" si="1"/>
        <v>249</v>
      </c>
      <c r="AE16" s="811">
        <v>143</v>
      </c>
      <c r="AF16" s="809">
        <v>138</v>
      </c>
      <c r="AG16" s="810">
        <f t="shared" si="2"/>
        <v>281</v>
      </c>
      <c r="AH16" s="811">
        <v>152</v>
      </c>
      <c r="AI16" s="809">
        <v>144</v>
      </c>
      <c r="AJ16" s="810">
        <f>SUM(AH16:AI16)</f>
        <v>296</v>
      </c>
      <c r="AK16" s="811">
        <v>153</v>
      </c>
      <c r="AL16" s="809">
        <v>152</v>
      </c>
      <c r="AM16" s="810">
        <f>SUM(AK16:AL16)</f>
        <v>305</v>
      </c>
      <c r="AN16" s="811">
        <v>146</v>
      </c>
      <c r="AO16" s="809">
        <v>155</v>
      </c>
      <c r="AP16" s="810">
        <f>SUM(AN16:AO16)</f>
        <v>301</v>
      </c>
    </row>
    <row r="17" spans="1:42" s="186" customFormat="1" ht="15" customHeight="1" x14ac:dyDescent="0.25">
      <c r="A17" s="5066"/>
      <c r="B17" s="5047"/>
      <c r="C17" s="813" t="s">
        <v>463</v>
      </c>
      <c r="D17" s="854">
        <v>157</v>
      </c>
      <c r="E17" s="855">
        <v>211</v>
      </c>
      <c r="F17" s="816">
        <v>368</v>
      </c>
      <c r="G17" s="854">
        <v>123</v>
      </c>
      <c r="H17" s="855">
        <v>210</v>
      </c>
      <c r="I17" s="816">
        <v>333</v>
      </c>
      <c r="J17" s="814">
        <v>140</v>
      </c>
      <c r="K17" s="815">
        <v>178</v>
      </c>
      <c r="L17" s="816">
        <v>318</v>
      </c>
      <c r="M17" s="814">
        <v>120</v>
      </c>
      <c r="N17" s="815">
        <v>221</v>
      </c>
      <c r="O17" s="816">
        <v>341</v>
      </c>
      <c r="P17" s="814">
        <v>175</v>
      </c>
      <c r="Q17" s="815">
        <v>131</v>
      </c>
      <c r="R17" s="816">
        <v>306</v>
      </c>
      <c r="S17" s="814">
        <v>232</v>
      </c>
      <c r="T17" s="815">
        <v>205</v>
      </c>
      <c r="U17" s="816">
        <v>437</v>
      </c>
      <c r="V17" s="814">
        <v>195</v>
      </c>
      <c r="W17" s="815">
        <v>226</v>
      </c>
      <c r="X17" s="816">
        <v>421</v>
      </c>
      <c r="Y17" s="814">
        <v>208</v>
      </c>
      <c r="Z17" s="815">
        <v>188</v>
      </c>
      <c r="AA17" s="816">
        <f t="shared" si="0"/>
        <v>396</v>
      </c>
      <c r="AB17" s="817">
        <v>202</v>
      </c>
      <c r="AC17" s="815">
        <v>192</v>
      </c>
      <c r="AD17" s="816">
        <f t="shared" si="1"/>
        <v>394</v>
      </c>
      <c r="AE17" s="817">
        <v>231</v>
      </c>
      <c r="AF17" s="815">
        <v>229</v>
      </c>
      <c r="AG17" s="816">
        <f t="shared" si="2"/>
        <v>460</v>
      </c>
      <c r="AH17" s="817">
        <v>223</v>
      </c>
      <c r="AI17" s="815">
        <v>221</v>
      </c>
      <c r="AJ17" s="816">
        <f>SUM(AH17:AI17)</f>
        <v>444</v>
      </c>
      <c r="AK17" s="817">
        <v>232</v>
      </c>
      <c r="AL17" s="815">
        <v>236</v>
      </c>
      <c r="AM17" s="816">
        <f>SUM(AK17:AL17)</f>
        <v>468</v>
      </c>
      <c r="AN17" s="817">
        <v>223</v>
      </c>
      <c r="AO17" s="815">
        <v>247</v>
      </c>
      <c r="AP17" s="816">
        <f>SUM(AN17:AO17)</f>
        <v>470</v>
      </c>
    </row>
    <row r="18" spans="1:42" s="186" customFormat="1" ht="15" customHeight="1" x14ac:dyDescent="0.25">
      <c r="A18" s="5066"/>
      <c r="B18" s="5047"/>
      <c r="C18" s="813" t="s">
        <v>464</v>
      </c>
      <c r="D18" s="854">
        <v>99</v>
      </c>
      <c r="E18" s="855">
        <v>70</v>
      </c>
      <c r="F18" s="816">
        <v>169</v>
      </c>
      <c r="G18" s="854">
        <v>87</v>
      </c>
      <c r="H18" s="855">
        <v>112</v>
      </c>
      <c r="I18" s="816">
        <v>199</v>
      </c>
      <c r="J18" s="814">
        <v>94</v>
      </c>
      <c r="K18" s="815">
        <v>75</v>
      </c>
      <c r="L18" s="816">
        <v>169</v>
      </c>
      <c r="M18" s="814">
        <v>83</v>
      </c>
      <c r="N18" s="815">
        <v>82</v>
      </c>
      <c r="O18" s="816">
        <v>165</v>
      </c>
      <c r="P18" s="814">
        <v>79</v>
      </c>
      <c r="Q18" s="815">
        <v>92</v>
      </c>
      <c r="R18" s="816">
        <v>171</v>
      </c>
      <c r="S18" s="814">
        <v>131</v>
      </c>
      <c r="T18" s="815">
        <v>103</v>
      </c>
      <c r="U18" s="816">
        <v>234</v>
      </c>
      <c r="V18" s="814">
        <v>107</v>
      </c>
      <c r="W18" s="815">
        <v>110</v>
      </c>
      <c r="X18" s="816">
        <v>217</v>
      </c>
      <c r="Y18" s="814">
        <v>102</v>
      </c>
      <c r="Z18" s="815">
        <v>97</v>
      </c>
      <c r="AA18" s="816">
        <f t="shared" si="0"/>
        <v>199</v>
      </c>
      <c r="AB18" s="817">
        <v>106</v>
      </c>
      <c r="AC18" s="815">
        <v>92</v>
      </c>
      <c r="AD18" s="816">
        <f t="shared" si="1"/>
        <v>198</v>
      </c>
      <c r="AE18" s="817">
        <v>114</v>
      </c>
      <c r="AF18" s="815">
        <v>112</v>
      </c>
      <c r="AG18" s="816">
        <f t="shared" si="2"/>
        <v>226</v>
      </c>
      <c r="AH18" s="817">
        <v>118</v>
      </c>
      <c r="AI18" s="815">
        <v>109</v>
      </c>
      <c r="AJ18" s="816">
        <f>SUM(AH18:AI18)</f>
        <v>227</v>
      </c>
      <c r="AK18" s="817">
        <v>111</v>
      </c>
      <c r="AL18" s="815">
        <v>105</v>
      </c>
      <c r="AM18" s="816">
        <f>SUM(AK18:AL18)</f>
        <v>216</v>
      </c>
      <c r="AN18" s="817">
        <v>114</v>
      </c>
      <c r="AO18" s="815">
        <v>116</v>
      </c>
      <c r="AP18" s="816">
        <f>SUM(AN18:AO18)</f>
        <v>230</v>
      </c>
    </row>
    <row r="19" spans="1:42" s="186" customFormat="1" ht="15" customHeight="1" x14ac:dyDescent="0.25">
      <c r="A19" s="5066"/>
      <c r="B19" s="5047"/>
      <c r="C19" s="822" t="s">
        <v>465</v>
      </c>
      <c r="D19" s="860">
        <v>106</v>
      </c>
      <c r="E19" s="859">
        <v>99</v>
      </c>
      <c r="F19" s="825">
        <v>205</v>
      </c>
      <c r="G19" s="860">
        <v>107</v>
      </c>
      <c r="H19" s="859">
        <v>130</v>
      </c>
      <c r="I19" s="825">
        <v>237</v>
      </c>
      <c r="J19" s="823">
        <v>107</v>
      </c>
      <c r="K19" s="824">
        <v>87</v>
      </c>
      <c r="L19" s="825">
        <v>194</v>
      </c>
      <c r="M19" s="823">
        <v>87</v>
      </c>
      <c r="N19" s="824">
        <v>87</v>
      </c>
      <c r="O19" s="825">
        <v>174</v>
      </c>
      <c r="P19" s="823">
        <v>93</v>
      </c>
      <c r="Q19" s="824">
        <v>93</v>
      </c>
      <c r="R19" s="825">
        <v>186</v>
      </c>
      <c r="S19" s="823">
        <v>136</v>
      </c>
      <c r="T19" s="824">
        <v>102</v>
      </c>
      <c r="U19" s="825">
        <v>238</v>
      </c>
      <c r="V19" s="823">
        <v>113</v>
      </c>
      <c r="W19" s="824">
        <v>98</v>
      </c>
      <c r="X19" s="825">
        <v>211</v>
      </c>
      <c r="Y19" s="823">
        <v>100</v>
      </c>
      <c r="Z19" s="824">
        <v>99</v>
      </c>
      <c r="AA19" s="825">
        <f t="shared" si="0"/>
        <v>199</v>
      </c>
      <c r="AB19" s="826">
        <v>103</v>
      </c>
      <c r="AC19" s="824">
        <v>104</v>
      </c>
      <c r="AD19" s="825">
        <f t="shared" si="1"/>
        <v>207</v>
      </c>
      <c r="AE19" s="826">
        <v>117</v>
      </c>
      <c r="AF19" s="824">
        <v>121</v>
      </c>
      <c r="AG19" s="825">
        <f t="shared" si="2"/>
        <v>238</v>
      </c>
      <c r="AH19" s="826">
        <v>118</v>
      </c>
      <c r="AI19" s="824">
        <v>116</v>
      </c>
      <c r="AJ19" s="825">
        <f>SUM(AH19:AI19)</f>
        <v>234</v>
      </c>
      <c r="AK19" s="826">
        <v>115</v>
      </c>
      <c r="AL19" s="824">
        <v>115</v>
      </c>
      <c r="AM19" s="825">
        <f>SUM(AK19:AL19)</f>
        <v>230</v>
      </c>
      <c r="AN19" s="826">
        <v>117</v>
      </c>
      <c r="AO19" s="824">
        <v>117</v>
      </c>
      <c r="AP19" s="825">
        <f>SUM(AN19:AO19)</f>
        <v>234</v>
      </c>
    </row>
    <row r="20" spans="1:42" s="186" customFormat="1" ht="15" customHeight="1" x14ac:dyDescent="0.25">
      <c r="A20" s="5066"/>
      <c r="B20" s="5048"/>
      <c r="C20" s="875" t="s">
        <v>160</v>
      </c>
      <c r="D20" s="876">
        <f>SUM(D16:D19)</f>
        <v>467</v>
      </c>
      <c r="E20" s="877">
        <f t="shared" ref="E20:AG20" si="9">SUM(E16:E19)</f>
        <v>526</v>
      </c>
      <c r="F20" s="586">
        <f t="shared" si="9"/>
        <v>993</v>
      </c>
      <c r="G20" s="876">
        <f t="shared" si="9"/>
        <v>417</v>
      </c>
      <c r="H20" s="877">
        <f t="shared" si="9"/>
        <v>617</v>
      </c>
      <c r="I20" s="586">
        <f t="shared" si="9"/>
        <v>1034</v>
      </c>
      <c r="J20" s="876">
        <f t="shared" si="9"/>
        <v>446</v>
      </c>
      <c r="K20" s="877">
        <f t="shared" si="9"/>
        <v>476</v>
      </c>
      <c r="L20" s="586">
        <f t="shared" si="9"/>
        <v>922</v>
      </c>
      <c r="M20" s="876">
        <f t="shared" si="9"/>
        <v>383</v>
      </c>
      <c r="N20" s="877">
        <f t="shared" si="9"/>
        <v>530</v>
      </c>
      <c r="O20" s="586">
        <f t="shared" si="9"/>
        <v>913</v>
      </c>
      <c r="P20" s="876">
        <f t="shared" si="9"/>
        <v>523</v>
      </c>
      <c r="Q20" s="877">
        <f t="shared" si="9"/>
        <v>421</v>
      </c>
      <c r="R20" s="586">
        <f t="shared" si="9"/>
        <v>944</v>
      </c>
      <c r="S20" s="876">
        <f t="shared" si="9"/>
        <v>654</v>
      </c>
      <c r="T20" s="877">
        <f t="shared" si="9"/>
        <v>556</v>
      </c>
      <c r="U20" s="586">
        <f t="shared" si="9"/>
        <v>1210</v>
      </c>
      <c r="V20" s="876">
        <f t="shared" si="9"/>
        <v>549</v>
      </c>
      <c r="W20" s="877">
        <f t="shared" si="9"/>
        <v>576</v>
      </c>
      <c r="X20" s="586">
        <f t="shared" si="9"/>
        <v>1125</v>
      </c>
      <c r="Y20" s="876">
        <f t="shared" si="9"/>
        <v>539</v>
      </c>
      <c r="Z20" s="877">
        <f t="shared" si="9"/>
        <v>500</v>
      </c>
      <c r="AA20" s="586">
        <f t="shared" si="9"/>
        <v>1039</v>
      </c>
      <c r="AB20" s="876">
        <f t="shared" si="9"/>
        <v>542</v>
      </c>
      <c r="AC20" s="877">
        <f t="shared" si="9"/>
        <v>506</v>
      </c>
      <c r="AD20" s="586">
        <f t="shared" si="9"/>
        <v>1048</v>
      </c>
      <c r="AE20" s="876">
        <f t="shared" si="9"/>
        <v>605</v>
      </c>
      <c r="AF20" s="877">
        <f t="shared" si="9"/>
        <v>600</v>
      </c>
      <c r="AG20" s="586">
        <f t="shared" si="9"/>
        <v>1205</v>
      </c>
      <c r="AH20" s="876">
        <f t="shared" ref="AH20:AM20" si="10">SUM(AH16:AH19)</f>
        <v>611</v>
      </c>
      <c r="AI20" s="877">
        <f t="shared" si="10"/>
        <v>590</v>
      </c>
      <c r="AJ20" s="586">
        <f t="shared" si="10"/>
        <v>1201</v>
      </c>
      <c r="AK20" s="876">
        <f t="shared" si="10"/>
        <v>611</v>
      </c>
      <c r="AL20" s="877">
        <f t="shared" si="10"/>
        <v>608</v>
      </c>
      <c r="AM20" s="586">
        <f t="shared" si="10"/>
        <v>1219</v>
      </c>
      <c r="AN20" s="876">
        <f>SUM(AN16:AN19)</f>
        <v>600</v>
      </c>
      <c r="AO20" s="877">
        <f t="shared" ref="AO20:AP20" si="11">SUM(AO16:AO19)</f>
        <v>635</v>
      </c>
      <c r="AP20" s="586">
        <f t="shared" si="11"/>
        <v>1235</v>
      </c>
    </row>
    <row r="21" spans="1:42" s="186" customFormat="1" ht="15" customHeight="1" x14ac:dyDescent="0.25">
      <c r="A21" s="5066"/>
      <c r="B21" s="5046" t="s">
        <v>7</v>
      </c>
      <c r="C21" s="827" t="s">
        <v>466</v>
      </c>
      <c r="D21" s="861">
        <v>121</v>
      </c>
      <c r="E21" s="862">
        <v>159</v>
      </c>
      <c r="F21" s="830">
        <v>280</v>
      </c>
      <c r="G21" s="861">
        <v>125</v>
      </c>
      <c r="H21" s="862">
        <v>159</v>
      </c>
      <c r="I21" s="830">
        <v>284</v>
      </c>
      <c r="J21" s="828">
        <v>133</v>
      </c>
      <c r="K21" s="829">
        <v>110</v>
      </c>
      <c r="L21" s="830">
        <v>243</v>
      </c>
      <c r="M21" s="828">
        <v>124</v>
      </c>
      <c r="N21" s="829">
        <v>117</v>
      </c>
      <c r="O21" s="830">
        <v>241</v>
      </c>
      <c r="P21" s="863">
        <v>136</v>
      </c>
      <c r="Q21" s="829">
        <v>121</v>
      </c>
      <c r="R21" s="830">
        <v>257</v>
      </c>
      <c r="S21" s="863">
        <v>134</v>
      </c>
      <c r="T21" s="829">
        <v>137</v>
      </c>
      <c r="U21" s="830">
        <v>271</v>
      </c>
      <c r="V21" s="863">
        <v>113</v>
      </c>
      <c r="W21" s="829">
        <v>104</v>
      </c>
      <c r="X21" s="830">
        <v>217</v>
      </c>
      <c r="Y21" s="863">
        <v>112</v>
      </c>
      <c r="Z21" s="829">
        <v>107</v>
      </c>
      <c r="AA21" s="830">
        <f t="shared" si="0"/>
        <v>219</v>
      </c>
      <c r="AB21" s="831">
        <v>98</v>
      </c>
      <c r="AC21" s="829">
        <v>90</v>
      </c>
      <c r="AD21" s="830">
        <f t="shared" si="1"/>
        <v>188</v>
      </c>
      <c r="AE21" s="831">
        <v>98</v>
      </c>
      <c r="AF21" s="829">
        <v>97</v>
      </c>
      <c r="AG21" s="830">
        <f t="shared" si="2"/>
        <v>195</v>
      </c>
      <c r="AH21" s="831">
        <v>98</v>
      </c>
      <c r="AI21" s="829">
        <v>90</v>
      </c>
      <c r="AJ21" s="830">
        <f>SUM(AH21:AI21)</f>
        <v>188</v>
      </c>
      <c r="AK21" s="831">
        <v>101</v>
      </c>
      <c r="AL21" s="829">
        <v>95</v>
      </c>
      <c r="AM21" s="830">
        <f>SUM(AK21:AL21)</f>
        <v>196</v>
      </c>
      <c r="AN21" s="831">
        <v>99</v>
      </c>
      <c r="AO21" s="829">
        <v>97</v>
      </c>
      <c r="AP21" s="830">
        <f>SUM(AN21:AO21)</f>
        <v>196</v>
      </c>
    </row>
    <row r="22" spans="1:42" s="186" customFormat="1" ht="15" customHeight="1" x14ac:dyDescent="0.25">
      <c r="A22" s="5066"/>
      <c r="B22" s="5047"/>
      <c r="C22" s="813" t="s">
        <v>467</v>
      </c>
      <c r="D22" s="854">
        <v>138</v>
      </c>
      <c r="E22" s="855">
        <v>126</v>
      </c>
      <c r="F22" s="816">
        <v>264</v>
      </c>
      <c r="G22" s="854">
        <v>135</v>
      </c>
      <c r="H22" s="855">
        <v>95</v>
      </c>
      <c r="I22" s="816">
        <v>230</v>
      </c>
      <c r="J22" s="814">
        <v>100</v>
      </c>
      <c r="K22" s="815">
        <v>98</v>
      </c>
      <c r="L22" s="816">
        <v>198</v>
      </c>
      <c r="M22" s="814">
        <v>73</v>
      </c>
      <c r="N22" s="815">
        <v>75</v>
      </c>
      <c r="O22" s="816">
        <v>148</v>
      </c>
      <c r="P22" s="814">
        <v>75</v>
      </c>
      <c r="Q22" s="815">
        <v>70</v>
      </c>
      <c r="R22" s="816">
        <v>145</v>
      </c>
      <c r="S22" s="814">
        <v>85</v>
      </c>
      <c r="T22" s="815">
        <v>82</v>
      </c>
      <c r="U22" s="816">
        <v>167</v>
      </c>
      <c r="V22" s="814">
        <v>86</v>
      </c>
      <c r="W22" s="815">
        <v>82</v>
      </c>
      <c r="X22" s="816">
        <v>168</v>
      </c>
      <c r="Y22" s="814">
        <v>86</v>
      </c>
      <c r="Z22" s="815">
        <v>86</v>
      </c>
      <c r="AA22" s="816">
        <f t="shared" si="0"/>
        <v>172</v>
      </c>
      <c r="AB22" s="817">
        <v>101</v>
      </c>
      <c r="AC22" s="815">
        <v>97</v>
      </c>
      <c r="AD22" s="816">
        <f t="shared" si="1"/>
        <v>198</v>
      </c>
      <c r="AE22" s="817">
        <v>100</v>
      </c>
      <c r="AF22" s="815">
        <v>103</v>
      </c>
      <c r="AG22" s="816">
        <f t="shared" si="2"/>
        <v>203</v>
      </c>
      <c r="AH22" s="817">
        <v>126</v>
      </c>
      <c r="AI22" s="815">
        <v>124</v>
      </c>
      <c r="AJ22" s="816">
        <f>SUM(AH22:AI22)</f>
        <v>250</v>
      </c>
      <c r="AK22" s="817">
        <v>127</v>
      </c>
      <c r="AL22" s="815">
        <v>123</v>
      </c>
      <c r="AM22" s="816">
        <f>SUM(AK22:AL22)</f>
        <v>250</v>
      </c>
      <c r="AN22" s="817">
        <v>126</v>
      </c>
      <c r="AO22" s="815">
        <v>150</v>
      </c>
      <c r="AP22" s="816">
        <f>SUM(AN22:AO22)</f>
        <v>276</v>
      </c>
    </row>
    <row r="23" spans="1:42" s="186" customFormat="1" ht="15" customHeight="1" x14ac:dyDescent="0.25">
      <c r="A23" s="5066"/>
      <c r="B23" s="5047"/>
      <c r="C23" s="822" t="s">
        <v>468</v>
      </c>
      <c r="D23" s="860">
        <v>70</v>
      </c>
      <c r="E23" s="859">
        <v>71</v>
      </c>
      <c r="F23" s="825">
        <v>141</v>
      </c>
      <c r="G23" s="860">
        <v>52</v>
      </c>
      <c r="H23" s="859">
        <v>70</v>
      </c>
      <c r="I23" s="825">
        <v>122</v>
      </c>
      <c r="J23" s="823">
        <v>65</v>
      </c>
      <c r="K23" s="824">
        <v>61</v>
      </c>
      <c r="L23" s="825">
        <v>126</v>
      </c>
      <c r="M23" s="823">
        <v>56</v>
      </c>
      <c r="N23" s="824">
        <v>55</v>
      </c>
      <c r="O23" s="825">
        <v>111</v>
      </c>
      <c r="P23" s="823">
        <v>56</v>
      </c>
      <c r="Q23" s="824">
        <v>55</v>
      </c>
      <c r="R23" s="825">
        <v>111</v>
      </c>
      <c r="S23" s="823">
        <v>55</v>
      </c>
      <c r="T23" s="824">
        <v>55</v>
      </c>
      <c r="U23" s="825">
        <v>110</v>
      </c>
      <c r="V23" s="823">
        <v>70</v>
      </c>
      <c r="W23" s="824">
        <v>70</v>
      </c>
      <c r="X23" s="825">
        <v>140</v>
      </c>
      <c r="Y23" s="823">
        <v>69</v>
      </c>
      <c r="Z23" s="824">
        <v>73</v>
      </c>
      <c r="AA23" s="825">
        <f t="shared" si="0"/>
        <v>142</v>
      </c>
      <c r="AB23" s="826">
        <v>73</v>
      </c>
      <c r="AC23" s="824">
        <v>74</v>
      </c>
      <c r="AD23" s="825">
        <f t="shared" si="1"/>
        <v>147</v>
      </c>
      <c r="AE23" s="826">
        <v>75</v>
      </c>
      <c r="AF23" s="824">
        <v>74</v>
      </c>
      <c r="AG23" s="825">
        <f t="shared" si="2"/>
        <v>149</v>
      </c>
      <c r="AH23" s="826">
        <v>76</v>
      </c>
      <c r="AI23" s="824">
        <v>73</v>
      </c>
      <c r="AJ23" s="825">
        <f>SUM(AH23:AI23)</f>
        <v>149</v>
      </c>
      <c r="AK23" s="826">
        <v>76</v>
      </c>
      <c r="AL23" s="824">
        <v>74</v>
      </c>
      <c r="AM23" s="825">
        <f>SUM(AK23:AL23)</f>
        <v>150</v>
      </c>
      <c r="AN23" s="826">
        <v>74</v>
      </c>
      <c r="AO23" s="824">
        <v>99</v>
      </c>
      <c r="AP23" s="825">
        <f>SUM(AN23:AO23)</f>
        <v>173</v>
      </c>
    </row>
    <row r="24" spans="1:42" s="186" customFormat="1" ht="15" customHeight="1" x14ac:dyDescent="0.25">
      <c r="A24" s="5066"/>
      <c r="B24" s="5047"/>
      <c r="C24" s="869" t="s">
        <v>160</v>
      </c>
      <c r="D24" s="870">
        <f>SUM(D21:D23)</f>
        <v>329</v>
      </c>
      <c r="E24" s="871">
        <f t="shared" ref="E24:AG24" si="12">SUM(E21:E23)</f>
        <v>356</v>
      </c>
      <c r="F24" s="872">
        <f t="shared" si="12"/>
        <v>685</v>
      </c>
      <c r="G24" s="870">
        <f t="shared" si="12"/>
        <v>312</v>
      </c>
      <c r="H24" s="871">
        <f t="shared" si="12"/>
        <v>324</v>
      </c>
      <c r="I24" s="872">
        <f t="shared" si="12"/>
        <v>636</v>
      </c>
      <c r="J24" s="870">
        <f t="shared" si="12"/>
        <v>298</v>
      </c>
      <c r="K24" s="871">
        <f t="shared" si="12"/>
        <v>269</v>
      </c>
      <c r="L24" s="872">
        <f t="shared" si="12"/>
        <v>567</v>
      </c>
      <c r="M24" s="870">
        <f t="shared" si="12"/>
        <v>253</v>
      </c>
      <c r="N24" s="871">
        <f t="shared" si="12"/>
        <v>247</v>
      </c>
      <c r="O24" s="872">
        <f t="shared" si="12"/>
        <v>500</v>
      </c>
      <c r="P24" s="870">
        <f t="shared" si="12"/>
        <v>267</v>
      </c>
      <c r="Q24" s="871">
        <f t="shared" si="12"/>
        <v>246</v>
      </c>
      <c r="R24" s="872">
        <f t="shared" si="12"/>
        <v>513</v>
      </c>
      <c r="S24" s="870">
        <f t="shared" si="12"/>
        <v>274</v>
      </c>
      <c r="T24" s="871">
        <f t="shared" si="12"/>
        <v>274</v>
      </c>
      <c r="U24" s="872">
        <f t="shared" si="12"/>
        <v>548</v>
      </c>
      <c r="V24" s="870">
        <f t="shared" si="12"/>
        <v>269</v>
      </c>
      <c r="W24" s="871">
        <f t="shared" si="12"/>
        <v>256</v>
      </c>
      <c r="X24" s="872">
        <f t="shared" si="12"/>
        <v>525</v>
      </c>
      <c r="Y24" s="870">
        <f t="shared" si="12"/>
        <v>267</v>
      </c>
      <c r="Z24" s="871">
        <f t="shared" si="12"/>
        <v>266</v>
      </c>
      <c r="AA24" s="872">
        <f t="shared" si="12"/>
        <v>533</v>
      </c>
      <c r="AB24" s="870">
        <f t="shared" si="12"/>
        <v>272</v>
      </c>
      <c r="AC24" s="871">
        <f t="shared" si="12"/>
        <v>261</v>
      </c>
      <c r="AD24" s="872">
        <f t="shared" si="12"/>
        <v>533</v>
      </c>
      <c r="AE24" s="870">
        <f t="shared" si="12"/>
        <v>273</v>
      </c>
      <c r="AF24" s="871">
        <f t="shared" si="12"/>
        <v>274</v>
      </c>
      <c r="AG24" s="872">
        <f t="shared" si="12"/>
        <v>547</v>
      </c>
      <c r="AH24" s="870">
        <f t="shared" ref="AH24:AM24" si="13">SUM(AH21:AH23)</f>
        <v>300</v>
      </c>
      <c r="AI24" s="871">
        <f t="shared" si="13"/>
        <v>287</v>
      </c>
      <c r="AJ24" s="872">
        <f t="shared" si="13"/>
        <v>587</v>
      </c>
      <c r="AK24" s="870">
        <f t="shared" si="13"/>
        <v>304</v>
      </c>
      <c r="AL24" s="871">
        <f t="shared" si="13"/>
        <v>292</v>
      </c>
      <c r="AM24" s="872">
        <f t="shared" si="13"/>
        <v>596</v>
      </c>
      <c r="AN24" s="870">
        <f>SUM(AN21:AN23)</f>
        <v>299</v>
      </c>
      <c r="AO24" s="871">
        <f t="shared" ref="AO24:AP24" si="14">SUM(AO21:AO23)</f>
        <v>346</v>
      </c>
      <c r="AP24" s="872">
        <f t="shared" si="14"/>
        <v>645</v>
      </c>
    </row>
    <row r="25" spans="1:42" s="186" customFormat="1" ht="15" customHeight="1" x14ac:dyDescent="0.25">
      <c r="A25" s="5105"/>
      <c r="B25" s="3980"/>
      <c r="C25" s="2431" t="s">
        <v>450</v>
      </c>
      <c r="D25" s="2432">
        <f>SUM(D24,D20,D15)</f>
        <v>1193</v>
      </c>
      <c r="E25" s="2433">
        <f t="shared" ref="E25:AG25" si="15">SUM(E24,E20,E15)</f>
        <v>1588</v>
      </c>
      <c r="F25" s="2434">
        <f t="shared" si="15"/>
        <v>2781</v>
      </c>
      <c r="G25" s="2432">
        <f t="shared" si="15"/>
        <v>1426</v>
      </c>
      <c r="H25" s="2433">
        <f t="shared" si="15"/>
        <v>1853</v>
      </c>
      <c r="I25" s="2434">
        <f t="shared" si="15"/>
        <v>3279</v>
      </c>
      <c r="J25" s="2432">
        <f t="shared" si="15"/>
        <v>1407</v>
      </c>
      <c r="K25" s="2433">
        <f t="shared" si="15"/>
        <v>1525</v>
      </c>
      <c r="L25" s="2434">
        <f t="shared" si="15"/>
        <v>2932</v>
      </c>
      <c r="M25" s="2432">
        <f t="shared" si="15"/>
        <v>1357</v>
      </c>
      <c r="N25" s="2433">
        <f t="shared" si="15"/>
        <v>1599</v>
      </c>
      <c r="O25" s="2434">
        <f t="shared" si="15"/>
        <v>2956</v>
      </c>
      <c r="P25" s="2432">
        <f t="shared" si="15"/>
        <v>1444</v>
      </c>
      <c r="Q25" s="2433">
        <f t="shared" si="15"/>
        <v>1486</v>
      </c>
      <c r="R25" s="2434">
        <f t="shared" si="15"/>
        <v>2930</v>
      </c>
      <c r="S25" s="2432">
        <f t="shared" si="15"/>
        <v>1580</v>
      </c>
      <c r="T25" s="2433">
        <f t="shared" si="15"/>
        <v>1738</v>
      </c>
      <c r="U25" s="2434">
        <f t="shared" si="15"/>
        <v>3318</v>
      </c>
      <c r="V25" s="2432">
        <f t="shared" si="15"/>
        <v>1517</v>
      </c>
      <c r="W25" s="2433">
        <f t="shared" si="15"/>
        <v>1598</v>
      </c>
      <c r="X25" s="2434">
        <f t="shared" si="15"/>
        <v>3115</v>
      </c>
      <c r="Y25" s="2432">
        <f t="shared" si="15"/>
        <v>1659</v>
      </c>
      <c r="Z25" s="2433">
        <f t="shared" si="15"/>
        <v>1670</v>
      </c>
      <c r="AA25" s="2434">
        <f t="shared" si="15"/>
        <v>3329</v>
      </c>
      <c r="AB25" s="2432">
        <f t="shared" si="15"/>
        <v>1722</v>
      </c>
      <c r="AC25" s="2433">
        <f t="shared" si="15"/>
        <v>1304</v>
      </c>
      <c r="AD25" s="2434">
        <f t="shared" si="15"/>
        <v>3026</v>
      </c>
      <c r="AE25" s="2432">
        <f t="shared" si="15"/>
        <v>1331</v>
      </c>
      <c r="AF25" s="2433">
        <f t="shared" si="15"/>
        <v>1381</v>
      </c>
      <c r="AG25" s="2434">
        <f t="shared" si="15"/>
        <v>2712</v>
      </c>
      <c r="AH25" s="2432">
        <f t="shared" ref="AH25:AM25" si="16">SUM(AH24,AH20,AH15)</f>
        <v>1457</v>
      </c>
      <c r="AI25" s="2433">
        <f t="shared" si="16"/>
        <v>1408</v>
      </c>
      <c r="AJ25" s="2434">
        <f t="shared" si="16"/>
        <v>2865</v>
      </c>
      <c r="AK25" s="2432">
        <f t="shared" si="16"/>
        <v>1352</v>
      </c>
      <c r="AL25" s="2433">
        <f t="shared" si="16"/>
        <v>1524</v>
      </c>
      <c r="AM25" s="2434">
        <f t="shared" si="16"/>
        <v>2876</v>
      </c>
      <c r="AN25" s="2432">
        <f t="shared" ref="AN25:AP25" si="17">SUM(AN24,AN20,AN15)</f>
        <v>1249</v>
      </c>
      <c r="AO25" s="2433">
        <f t="shared" si="17"/>
        <v>1591</v>
      </c>
      <c r="AP25" s="2434">
        <f t="shared" si="17"/>
        <v>2840</v>
      </c>
    </row>
    <row r="26" spans="1:42" s="186" customFormat="1" ht="15" customHeight="1" x14ac:dyDescent="0.25">
      <c r="A26" s="5062" t="s">
        <v>447</v>
      </c>
      <c r="B26" s="5049" t="s">
        <v>5</v>
      </c>
      <c r="C26" s="807" t="s">
        <v>469</v>
      </c>
      <c r="D26" s="852">
        <v>39</v>
      </c>
      <c r="E26" s="853">
        <v>66</v>
      </c>
      <c r="F26" s="810">
        <v>105</v>
      </c>
      <c r="G26" s="852">
        <v>32</v>
      </c>
      <c r="H26" s="853">
        <v>66</v>
      </c>
      <c r="I26" s="810">
        <v>98</v>
      </c>
      <c r="J26" s="808">
        <v>45</v>
      </c>
      <c r="K26" s="809">
        <v>71</v>
      </c>
      <c r="L26" s="810">
        <v>116</v>
      </c>
      <c r="M26" s="808">
        <v>58</v>
      </c>
      <c r="N26" s="809">
        <v>59</v>
      </c>
      <c r="O26" s="810">
        <v>117</v>
      </c>
      <c r="P26" s="808">
        <v>25</v>
      </c>
      <c r="Q26" s="809">
        <v>52</v>
      </c>
      <c r="R26" s="810">
        <v>77</v>
      </c>
      <c r="S26" s="808">
        <v>34</v>
      </c>
      <c r="T26" s="809">
        <v>68</v>
      </c>
      <c r="U26" s="810">
        <v>102</v>
      </c>
      <c r="V26" s="808">
        <v>28</v>
      </c>
      <c r="W26" s="809">
        <v>77</v>
      </c>
      <c r="X26" s="810">
        <v>105</v>
      </c>
      <c r="Y26" s="808"/>
      <c r="Z26" s="809">
        <v>101</v>
      </c>
      <c r="AA26" s="810">
        <f t="shared" si="0"/>
        <v>101</v>
      </c>
      <c r="AB26" s="811"/>
      <c r="AC26" s="809">
        <v>99</v>
      </c>
      <c r="AD26" s="810">
        <f t="shared" si="1"/>
        <v>99</v>
      </c>
      <c r="AE26" s="811"/>
      <c r="AF26" s="809">
        <v>112</v>
      </c>
      <c r="AG26" s="810">
        <f t="shared" si="2"/>
        <v>112</v>
      </c>
      <c r="AH26" s="811"/>
      <c r="AI26" s="809">
        <v>128</v>
      </c>
      <c r="AJ26" s="810">
        <f t="shared" ref="AJ26:AJ34" si="18">SUM(AH26:AI26)</f>
        <v>128</v>
      </c>
      <c r="AK26" s="811"/>
      <c r="AL26" s="809">
        <v>115</v>
      </c>
      <c r="AM26" s="810">
        <f t="shared" ref="AM26:AM34" si="19">SUM(AK26:AL26)</f>
        <v>115</v>
      </c>
      <c r="AN26" s="811"/>
      <c r="AO26" s="809">
        <v>127</v>
      </c>
      <c r="AP26" s="810">
        <f t="shared" ref="AP26:AP34" si="20">SUM(AN26:AO26)</f>
        <v>127</v>
      </c>
    </row>
    <row r="27" spans="1:42" s="186" customFormat="1" ht="15" customHeight="1" x14ac:dyDescent="0.25">
      <c r="A27" s="5063"/>
      <c r="B27" s="5050"/>
      <c r="C27" s="813" t="s">
        <v>470</v>
      </c>
      <c r="D27" s="854">
        <v>10</v>
      </c>
      <c r="E27" s="855">
        <v>7</v>
      </c>
      <c r="F27" s="816">
        <v>17</v>
      </c>
      <c r="G27" s="854">
        <v>4</v>
      </c>
      <c r="H27" s="855">
        <v>13</v>
      </c>
      <c r="I27" s="816">
        <v>17</v>
      </c>
      <c r="J27" s="814">
        <v>7</v>
      </c>
      <c r="K27" s="815">
        <v>11</v>
      </c>
      <c r="L27" s="816">
        <v>18</v>
      </c>
      <c r="M27" s="814">
        <v>8</v>
      </c>
      <c r="N27" s="815">
        <v>5</v>
      </c>
      <c r="O27" s="816">
        <v>13</v>
      </c>
      <c r="P27" s="814">
        <v>10</v>
      </c>
      <c r="Q27" s="815">
        <v>18</v>
      </c>
      <c r="R27" s="816">
        <v>28</v>
      </c>
      <c r="S27" s="814"/>
      <c r="T27" s="815">
        <v>26</v>
      </c>
      <c r="U27" s="816">
        <v>26</v>
      </c>
      <c r="V27" s="814"/>
      <c r="W27" s="815">
        <v>17</v>
      </c>
      <c r="X27" s="816">
        <v>17</v>
      </c>
      <c r="Y27" s="814"/>
      <c r="Z27" s="815">
        <v>17</v>
      </c>
      <c r="AA27" s="816">
        <f t="shared" si="0"/>
        <v>17</v>
      </c>
      <c r="AB27" s="817"/>
      <c r="AC27" s="815">
        <v>30</v>
      </c>
      <c r="AD27" s="816">
        <f t="shared" si="1"/>
        <v>30</v>
      </c>
      <c r="AE27" s="817"/>
      <c r="AF27" s="815">
        <v>38</v>
      </c>
      <c r="AG27" s="816">
        <f t="shared" si="2"/>
        <v>38</v>
      </c>
      <c r="AH27" s="817"/>
      <c r="AI27" s="815">
        <v>30</v>
      </c>
      <c r="AJ27" s="816">
        <f t="shared" si="18"/>
        <v>30</v>
      </c>
      <c r="AK27" s="817"/>
      <c r="AL27" s="815">
        <v>35</v>
      </c>
      <c r="AM27" s="816">
        <f t="shared" si="19"/>
        <v>35</v>
      </c>
      <c r="AN27" s="817"/>
      <c r="AO27" s="815">
        <v>30</v>
      </c>
      <c r="AP27" s="816">
        <f t="shared" si="20"/>
        <v>30</v>
      </c>
    </row>
    <row r="28" spans="1:42" s="186" customFormat="1" ht="15" customHeight="1" x14ac:dyDescent="0.25">
      <c r="A28" s="5063"/>
      <c r="B28" s="5050"/>
      <c r="C28" s="813" t="s">
        <v>459</v>
      </c>
      <c r="D28" s="854">
        <v>18</v>
      </c>
      <c r="E28" s="855">
        <v>28</v>
      </c>
      <c r="F28" s="816">
        <v>46</v>
      </c>
      <c r="G28" s="854">
        <v>26</v>
      </c>
      <c r="H28" s="855">
        <v>38</v>
      </c>
      <c r="I28" s="816">
        <v>64</v>
      </c>
      <c r="J28" s="814">
        <v>22</v>
      </c>
      <c r="K28" s="815">
        <v>60</v>
      </c>
      <c r="L28" s="816">
        <v>82</v>
      </c>
      <c r="M28" s="814">
        <v>27</v>
      </c>
      <c r="N28" s="815">
        <v>53</v>
      </c>
      <c r="O28" s="816">
        <v>80</v>
      </c>
      <c r="P28" s="814">
        <v>25</v>
      </c>
      <c r="Q28" s="815">
        <v>37</v>
      </c>
      <c r="R28" s="816">
        <v>62</v>
      </c>
      <c r="S28" s="814">
        <v>31</v>
      </c>
      <c r="T28" s="815">
        <v>56</v>
      </c>
      <c r="U28" s="816">
        <v>87</v>
      </c>
      <c r="V28" s="814">
        <v>25</v>
      </c>
      <c r="W28" s="815">
        <v>50</v>
      </c>
      <c r="X28" s="816">
        <v>75</v>
      </c>
      <c r="Y28" s="814">
        <v>37</v>
      </c>
      <c r="Z28" s="815">
        <v>74</v>
      </c>
      <c r="AA28" s="816">
        <f t="shared" si="0"/>
        <v>111</v>
      </c>
      <c r="AB28" s="817">
        <v>37</v>
      </c>
      <c r="AC28" s="815">
        <v>61</v>
      </c>
      <c r="AD28" s="816">
        <f t="shared" si="1"/>
        <v>98</v>
      </c>
      <c r="AE28" s="817">
        <v>50</v>
      </c>
      <c r="AF28" s="815">
        <v>63</v>
      </c>
      <c r="AG28" s="816">
        <f t="shared" si="2"/>
        <v>113</v>
      </c>
      <c r="AH28" s="817">
        <v>67</v>
      </c>
      <c r="AI28" s="815">
        <v>80</v>
      </c>
      <c r="AJ28" s="816">
        <f t="shared" si="18"/>
        <v>147</v>
      </c>
      <c r="AK28" s="817">
        <v>53</v>
      </c>
      <c r="AL28" s="815">
        <v>54</v>
      </c>
      <c r="AM28" s="816">
        <f t="shared" si="19"/>
        <v>107</v>
      </c>
      <c r="AN28" s="817">
        <v>44</v>
      </c>
      <c r="AO28" s="815">
        <v>60</v>
      </c>
      <c r="AP28" s="816">
        <f t="shared" si="20"/>
        <v>104</v>
      </c>
    </row>
    <row r="29" spans="1:42" s="186" customFormat="1" ht="15" customHeight="1" x14ac:dyDescent="0.25">
      <c r="A29" s="5063"/>
      <c r="B29" s="5050"/>
      <c r="C29" s="813" t="s">
        <v>471</v>
      </c>
      <c r="D29" s="854">
        <v>22</v>
      </c>
      <c r="E29" s="855">
        <v>32</v>
      </c>
      <c r="F29" s="816">
        <v>54</v>
      </c>
      <c r="G29" s="854">
        <v>17</v>
      </c>
      <c r="H29" s="855">
        <v>23</v>
      </c>
      <c r="I29" s="816">
        <v>40</v>
      </c>
      <c r="J29" s="814">
        <v>32</v>
      </c>
      <c r="K29" s="815">
        <v>31</v>
      </c>
      <c r="L29" s="816">
        <v>63</v>
      </c>
      <c r="M29" s="814">
        <v>24</v>
      </c>
      <c r="N29" s="815">
        <v>20</v>
      </c>
      <c r="O29" s="816">
        <v>44</v>
      </c>
      <c r="P29" s="814">
        <v>13</v>
      </c>
      <c r="Q29" s="815">
        <v>35</v>
      </c>
      <c r="R29" s="816">
        <v>48</v>
      </c>
      <c r="S29" s="814">
        <v>26</v>
      </c>
      <c r="T29" s="815">
        <v>48</v>
      </c>
      <c r="U29" s="816">
        <v>74</v>
      </c>
      <c r="V29" s="814">
        <v>21</v>
      </c>
      <c r="W29" s="815">
        <v>47</v>
      </c>
      <c r="X29" s="816">
        <v>68</v>
      </c>
      <c r="Y29" s="814">
        <v>41</v>
      </c>
      <c r="Z29" s="815">
        <v>60</v>
      </c>
      <c r="AA29" s="816">
        <f t="shared" si="0"/>
        <v>101</v>
      </c>
      <c r="AB29" s="817">
        <v>65</v>
      </c>
      <c r="AC29" s="815">
        <v>55</v>
      </c>
      <c r="AD29" s="816">
        <f t="shared" si="1"/>
        <v>120</v>
      </c>
      <c r="AE29" s="817">
        <v>46</v>
      </c>
      <c r="AF29" s="815">
        <v>58</v>
      </c>
      <c r="AG29" s="816">
        <f t="shared" si="2"/>
        <v>104</v>
      </c>
      <c r="AH29" s="817">
        <v>81</v>
      </c>
      <c r="AI29" s="815">
        <v>56</v>
      </c>
      <c r="AJ29" s="816">
        <f t="shared" si="18"/>
        <v>137</v>
      </c>
      <c r="AK29" s="817">
        <v>52</v>
      </c>
      <c r="AL29" s="815">
        <v>56</v>
      </c>
      <c r="AM29" s="816">
        <f t="shared" si="19"/>
        <v>108</v>
      </c>
      <c r="AN29" s="817">
        <v>61</v>
      </c>
      <c r="AO29" s="815">
        <v>53</v>
      </c>
      <c r="AP29" s="816">
        <f t="shared" si="20"/>
        <v>114</v>
      </c>
    </row>
    <row r="30" spans="1:42" s="186" customFormat="1" ht="15" customHeight="1" x14ac:dyDescent="0.25">
      <c r="A30" s="5063"/>
      <c r="B30" s="5050"/>
      <c r="C30" s="813" t="s">
        <v>472</v>
      </c>
      <c r="D30" s="854">
        <v>7</v>
      </c>
      <c r="E30" s="855">
        <v>21</v>
      </c>
      <c r="F30" s="816">
        <v>28</v>
      </c>
      <c r="G30" s="854">
        <v>7</v>
      </c>
      <c r="H30" s="855">
        <v>24</v>
      </c>
      <c r="I30" s="816">
        <v>31</v>
      </c>
      <c r="J30" s="814">
        <v>13</v>
      </c>
      <c r="K30" s="815">
        <v>29</v>
      </c>
      <c r="L30" s="816">
        <v>42</v>
      </c>
      <c r="M30" s="814">
        <v>17</v>
      </c>
      <c r="N30" s="815">
        <v>21</v>
      </c>
      <c r="O30" s="816">
        <v>38</v>
      </c>
      <c r="P30" s="814">
        <v>20</v>
      </c>
      <c r="Q30" s="815">
        <v>27</v>
      </c>
      <c r="R30" s="816">
        <v>47</v>
      </c>
      <c r="S30" s="814">
        <v>14</v>
      </c>
      <c r="T30" s="815">
        <v>36</v>
      </c>
      <c r="U30" s="816">
        <v>50</v>
      </c>
      <c r="V30" s="814">
        <v>19</v>
      </c>
      <c r="W30" s="815">
        <v>35</v>
      </c>
      <c r="X30" s="816">
        <v>54</v>
      </c>
      <c r="Y30" s="814">
        <v>30</v>
      </c>
      <c r="Z30" s="815">
        <v>60</v>
      </c>
      <c r="AA30" s="816">
        <f t="shared" si="0"/>
        <v>90</v>
      </c>
      <c r="AB30" s="817">
        <v>45</v>
      </c>
      <c r="AC30" s="815">
        <v>76</v>
      </c>
      <c r="AD30" s="816">
        <f t="shared" si="1"/>
        <v>121</v>
      </c>
      <c r="AE30" s="817">
        <v>60</v>
      </c>
      <c r="AF30" s="815">
        <v>69</v>
      </c>
      <c r="AG30" s="816">
        <f t="shared" si="2"/>
        <v>129</v>
      </c>
      <c r="AH30" s="817">
        <v>52</v>
      </c>
      <c r="AI30" s="815">
        <v>64</v>
      </c>
      <c r="AJ30" s="816">
        <f t="shared" si="18"/>
        <v>116</v>
      </c>
      <c r="AK30" s="817">
        <v>47</v>
      </c>
      <c r="AL30" s="815">
        <v>63</v>
      </c>
      <c r="AM30" s="816">
        <f t="shared" si="19"/>
        <v>110</v>
      </c>
      <c r="AN30" s="817">
        <v>52</v>
      </c>
      <c r="AO30" s="815">
        <v>69</v>
      </c>
      <c r="AP30" s="816">
        <f t="shared" si="20"/>
        <v>121</v>
      </c>
    </row>
    <row r="31" spans="1:42" s="186" customFormat="1" ht="15" customHeight="1" x14ac:dyDescent="0.25">
      <c r="A31" s="5063"/>
      <c r="B31" s="5050"/>
      <c r="C31" s="813" t="s">
        <v>460</v>
      </c>
      <c r="D31" s="854">
        <v>64</v>
      </c>
      <c r="E31" s="855">
        <v>47</v>
      </c>
      <c r="F31" s="816">
        <v>111</v>
      </c>
      <c r="G31" s="854">
        <v>50</v>
      </c>
      <c r="H31" s="855">
        <v>82</v>
      </c>
      <c r="I31" s="816">
        <v>132</v>
      </c>
      <c r="J31" s="814">
        <v>57</v>
      </c>
      <c r="K31" s="815">
        <v>67</v>
      </c>
      <c r="L31" s="816">
        <v>124</v>
      </c>
      <c r="M31" s="814">
        <v>75</v>
      </c>
      <c r="N31" s="815">
        <v>82</v>
      </c>
      <c r="O31" s="816">
        <v>157</v>
      </c>
      <c r="P31" s="814">
        <v>55</v>
      </c>
      <c r="Q31" s="815">
        <v>51</v>
      </c>
      <c r="R31" s="816">
        <v>106</v>
      </c>
      <c r="S31" s="814">
        <v>37</v>
      </c>
      <c r="T31" s="815">
        <v>73</v>
      </c>
      <c r="U31" s="816">
        <v>110</v>
      </c>
      <c r="V31" s="814">
        <v>41</v>
      </c>
      <c r="W31" s="815">
        <v>52</v>
      </c>
      <c r="X31" s="816">
        <v>93</v>
      </c>
      <c r="Y31" s="814"/>
      <c r="Z31" s="815">
        <v>91</v>
      </c>
      <c r="AA31" s="816">
        <f t="shared" si="0"/>
        <v>91</v>
      </c>
      <c r="AB31" s="817"/>
      <c r="AC31" s="815">
        <v>88</v>
      </c>
      <c r="AD31" s="816">
        <f t="shared" si="1"/>
        <v>88</v>
      </c>
      <c r="AE31" s="817"/>
      <c r="AF31" s="815">
        <v>92</v>
      </c>
      <c r="AG31" s="816">
        <f t="shared" si="2"/>
        <v>92</v>
      </c>
      <c r="AH31" s="817"/>
      <c r="AI31" s="815">
        <v>116</v>
      </c>
      <c r="AJ31" s="816">
        <f t="shared" si="18"/>
        <v>116</v>
      </c>
      <c r="AK31" s="817"/>
      <c r="AL31" s="815">
        <v>82</v>
      </c>
      <c r="AM31" s="816">
        <f t="shared" si="19"/>
        <v>82</v>
      </c>
      <c r="AN31" s="817"/>
      <c r="AO31" s="815">
        <v>73</v>
      </c>
      <c r="AP31" s="816">
        <f t="shared" si="20"/>
        <v>73</v>
      </c>
    </row>
    <row r="32" spans="1:42" s="186" customFormat="1" ht="15" customHeight="1" x14ac:dyDescent="0.25">
      <c r="A32" s="5063"/>
      <c r="B32" s="5050"/>
      <c r="C32" s="813" t="s">
        <v>473</v>
      </c>
      <c r="D32" s="854">
        <v>38</v>
      </c>
      <c r="E32" s="855">
        <v>62</v>
      </c>
      <c r="F32" s="816">
        <v>100</v>
      </c>
      <c r="G32" s="854">
        <v>32</v>
      </c>
      <c r="H32" s="855">
        <v>65</v>
      </c>
      <c r="I32" s="816">
        <v>97</v>
      </c>
      <c r="J32" s="814">
        <v>21</v>
      </c>
      <c r="K32" s="815">
        <v>58</v>
      </c>
      <c r="L32" s="816">
        <v>79</v>
      </c>
      <c r="M32" s="814">
        <v>50</v>
      </c>
      <c r="N32" s="815">
        <v>53</v>
      </c>
      <c r="O32" s="816">
        <v>103</v>
      </c>
      <c r="P32" s="814">
        <v>26</v>
      </c>
      <c r="Q32" s="815">
        <v>41</v>
      </c>
      <c r="R32" s="816">
        <v>67</v>
      </c>
      <c r="S32" s="814">
        <v>41</v>
      </c>
      <c r="T32" s="815">
        <v>65</v>
      </c>
      <c r="U32" s="816">
        <v>106</v>
      </c>
      <c r="V32" s="814">
        <v>25</v>
      </c>
      <c r="W32" s="815">
        <v>54</v>
      </c>
      <c r="X32" s="816">
        <v>79</v>
      </c>
      <c r="Y32" s="814"/>
      <c r="Z32" s="815">
        <v>72</v>
      </c>
      <c r="AA32" s="816">
        <f t="shared" si="0"/>
        <v>72</v>
      </c>
      <c r="AB32" s="817"/>
      <c r="AC32" s="815">
        <v>49</v>
      </c>
      <c r="AD32" s="816">
        <f t="shared" si="1"/>
        <v>49</v>
      </c>
      <c r="AE32" s="817"/>
      <c r="AF32" s="815">
        <v>56</v>
      </c>
      <c r="AG32" s="816">
        <f t="shared" si="2"/>
        <v>56</v>
      </c>
      <c r="AH32" s="817"/>
      <c r="AI32" s="815">
        <v>89</v>
      </c>
      <c r="AJ32" s="816">
        <f t="shared" si="18"/>
        <v>89</v>
      </c>
      <c r="AK32" s="817"/>
      <c r="AL32" s="815">
        <v>92</v>
      </c>
      <c r="AM32" s="816">
        <f t="shared" si="19"/>
        <v>92</v>
      </c>
      <c r="AN32" s="817"/>
      <c r="AO32" s="815">
        <v>95</v>
      </c>
      <c r="AP32" s="816">
        <f t="shared" si="20"/>
        <v>95</v>
      </c>
    </row>
    <row r="33" spans="1:42" s="186" customFormat="1" ht="15" customHeight="1" x14ac:dyDescent="0.25">
      <c r="A33" s="5063"/>
      <c r="B33" s="5050"/>
      <c r="C33" s="813" t="s">
        <v>474</v>
      </c>
      <c r="D33" s="854">
        <v>6</v>
      </c>
      <c r="E33" s="855">
        <v>14</v>
      </c>
      <c r="F33" s="816">
        <v>20</v>
      </c>
      <c r="G33" s="854">
        <v>6</v>
      </c>
      <c r="H33" s="855">
        <v>6</v>
      </c>
      <c r="I33" s="816">
        <v>12</v>
      </c>
      <c r="J33" s="814">
        <v>6</v>
      </c>
      <c r="K33" s="815">
        <v>21</v>
      </c>
      <c r="L33" s="816">
        <v>27</v>
      </c>
      <c r="M33" s="814">
        <v>7</v>
      </c>
      <c r="N33" s="815">
        <v>11</v>
      </c>
      <c r="O33" s="816">
        <v>18</v>
      </c>
      <c r="P33" s="814">
        <v>17</v>
      </c>
      <c r="Q33" s="815">
        <v>14</v>
      </c>
      <c r="R33" s="816">
        <v>31</v>
      </c>
      <c r="S33" s="814">
        <v>16</v>
      </c>
      <c r="T33" s="815">
        <v>38</v>
      </c>
      <c r="U33" s="816">
        <v>54</v>
      </c>
      <c r="V33" s="814">
        <v>8</v>
      </c>
      <c r="W33" s="815">
        <v>26</v>
      </c>
      <c r="X33" s="816">
        <v>34</v>
      </c>
      <c r="Y33" s="814">
        <v>8</v>
      </c>
      <c r="Z33" s="815">
        <v>42</v>
      </c>
      <c r="AA33" s="816">
        <f t="shared" si="0"/>
        <v>50</v>
      </c>
      <c r="AB33" s="817">
        <v>39</v>
      </c>
      <c r="AC33" s="815">
        <v>29</v>
      </c>
      <c r="AD33" s="816">
        <f t="shared" si="1"/>
        <v>68</v>
      </c>
      <c r="AE33" s="817">
        <v>28</v>
      </c>
      <c r="AF33" s="815">
        <v>44</v>
      </c>
      <c r="AG33" s="816">
        <f t="shared" si="2"/>
        <v>72</v>
      </c>
      <c r="AH33" s="817">
        <v>27</v>
      </c>
      <c r="AI33" s="815">
        <v>53</v>
      </c>
      <c r="AJ33" s="816">
        <f t="shared" si="18"/>
        <v>80</v>
      </c>
      <c r="AK33" s="817">
        <v>28</v>
      </c>
      <c r="AL33" s="815">
        <v>42</v>
      </c>
      <c r="AM33" s="816">
        <f t="shared" si="19"/>
        <v>70</v>
      </c>
      <c r="AN33" s="817">
        <v>19</v>
      </c>
      <c r="AO33" s="815">
        <v>46</v>
      </c>
      <c r="AP33" s="816">
        <f t="shared" si="20"/>
        <v>65</v>
      </c>
    </row>
    <row r="34" spans="1:42" s="186" customFormat="1" ht="15" customHeight="1" x14ac:dyDescent="0.25">
      <c r="A34" s="5063"/>
      <c r="B34" s="5050"/>
      <c r="C34" s="822" t="s">
        <v>475</v>
      </c>
      <c r="D34" s="860">
        <v>91</v>
      </c>
      <c r="E34" s="859">
        <v>85</v>
      </c>
      <c r="F34" s="825">
        <v>176</v>
      </c>
      <c r="G34" s="860">
        <v>90</v>
      </c>
      <c r="H34" s="859">
        <v>100</v>
      </c>
      <c r="I34" s="825">
        <v>190</v>
      </c>
      <c r="J34" s="823">
        <v>87</v>
      </c>
      <c r="K34" s="824">
        <v>89</v>
      </c>
      <c r="L34" s="825">
        <v>176</v>
      </c>
      <c r="M34" s="823">
        <v>91</v>
      </c>
      <c r="N34" s="824">
        <v>82</v>
      </c>
      <c r="O34" s="825">
        <v>173</v>
      </c>
      <c r="P34" s="823">
        <v>77</v>
      </c>
      <c r="Q34" s="824">
        <v>80</v>
      </c>
      <c r="R34" s="825">
        <v>157</v>
      </c>
      <c r="S34" s="823">
        <v>82</v>
      </c>
      <c r="T34" s="824">
        <v>89</v>
      </c>
      <c r="U34" s="825">
        <v>171</v>
      </c>
      <c r="V34" s="823">
        <v>53</v>
      </c>
      <c r="W34" s="824">
        <v>70</v>
      </c>
      <c r="X34" s="825">
        <v>123</v>
      </c>
      <c r="Y34" s="823"/>
      <c r="Z34" s="824">
        <v>137</v>
      </c>
      <c r="AA34" s="825">
        <f t="shared" si="0"/>
        <v>137</v>
      </c>
      <c r="AB34" s="826"/>
      <c r="AC34" s="824">
        <v>135</v>
      </c>
      <c r="AD34" s="825">
        <f t="shared" si="1"/>
        <v>135</v>
      </c>
      <c r="AE34" s="826"/>
      <c r="AF34" s="824">
        <v>122</v>
      </c>
      <c r="AG34" s="825">
        <f t="shared" si="2"/>
        <v>122</v>
      </c>
      <c r="AH34" s="826"/>
      <c r="AI34" s="824">
        <v>138</v>
      </c>
      <c r="AJ34" s="825">
        <f t="shared" si="18"/>
        <v>138</v>
      </c>
      <c r="AK34" s="826"/>
      <c r="AL34" s="824">
        <v>93</v>
      </c>
      <c r="AM34" s="825">
        <f t="shared" si="19"/>
        <v>93</v>
      </c>
      <c r="AN34" s="826"/>
      <c r="AO34" s="824">
        <v>73</v>
      </c>
      <c r="AP34" s="825">
        <f t="shared" si="20"/>
        <v>73</v>
      </c>
    </row>
    <row r="35" spans="1:42" s="186" customFormat="1" ht="15" customHeight="1" x14ac:dyDescent="0.25">
      <c r="A35" s="5063"/>
      <c r="B35" s="5051"/>
      <c r="C35" s="875" t="s">
        <v>160</v>
      </c>
      <c r="D35" s="876">
        <f>SUM(D26:D34)</f>
        <v>295</v>
      </c>
      <c r="E35" s="877">
        <f t="shared" ref="E35:AG35" si="21">SUM(E26:E34)</f>
        <v>362</v>
      </c>
      <c r="F35" s="586">
        <f t="shared" si="21"/>
        <v>657</v>
      </c>
      <c r="G35" s="876">
        <f t="shared" si="21"/>
        <v>264</v>
      </c>
      <c r="H35" s="877">
        <f t="shared" si="21"/>
        <v>417</v>
      </c>
      <c r="I35" s="586">
        <f t="shared" si="21"/>
        <v>681</v>
      </c>
      <c r="J35" s="876">
        <f t="shared" si="21"/>
        <v>290</v>
      </c>
      <c r="K35" s="877">
        <f t="shared" si="21"/>
        <v>437</v>
      </c>
      <c r="L35" s="586">
        <f t="shared" si="21"/>
        <v>727</v>
      </c>
      <c r="M35" s="876">
        <f t="shared" si="21"/>
        <v>357</v>
      </c>
      <c r="N35" s="877">
        <f t="shared" si="21"/>
        <v>386</v>
      </c>
      <c r="O35" s="586">
        <f t="shared" si="21"/>
        <v>743</v>
      </c>
      <c r="P35" s="876">
        <f t="shared" si="21"/>
        <v>268</v>
      </c>
      <c r="Q35" s="877">
        <f t="shared" si="21"/>
        <v>355</v>
      </c>
      <c r="R35" s="586">
        <f t="shared" si="21"/>
        <v>623</v>
      </c>
      <c r="S35" s="876">
        <f t="shared" si="21"/>
        <v>281</v>
      </c>
      <c r="T35" s="877">
        <f t="shared" si="21"/>
        <v>499</v>
      </c>
      <c r="U35" s="586">
        <f t="shared" si="21"/>
        <v>780</v>
      </c>
      <c r="V35" s="876">
        <f t="shared" si="21"/>
        <v>220</v>
      </c>
      <c r="W35" s="877">
        <f t="shared" si="21"/>
        <v>428</v>
      </c>
      <c r="X35" s="586">
        <f t="shared" si="21"/>
        <v>648</v>
      </c>
      <c r="Y35" s="876">
        <f t="shared" si="21"/>
        <v>116</v>
      </c>
      <c r="Z35" s="877">
        <f t="shared" si="21"/>
        <v>654</v>
      </c>
      <c r="AA35" s="586">
        <f t="shared" si="21"/>
        <v>770</v>
      </c>
      <c r="AB35" s="876">
        <f t="shared" si="21"/>
        <v>186</v>
      </c>
      <c r="AC35" s="877">
        <f t="shared" si="21"/>
        <v>622</v>
      </c>
      <c r="AD35" s="586">
        <f t="shared" si="21"/>
        <v>808</v>
      </c>
      <c r="AE35" s="876">
        <f t="shared" si="21"/>
        <v>184</v>
      </c>
      <c r="AF35" s="877">
        <f t="shared" si="21"/>
        <v>654</v>
      </c>
      <c r="AG35" s="586">
        <f t="shared" si="21"/>
        <v>838</v>
      </c>
      <c r="AH35" s="876">
        <f t="shared" ref="AH35:AM35" si="22">SUM(AH26:AH34)</f>
        <v>227</v>
      </c>
      <c r="AI35" s="877">
        <f t="shared" si="22"/>
        <v>754</v>
      </c>
      <c r="AJ35" s="586">
        <f t="shared" si="22"/>
        <v>981</v>
      </c>
      <c r="AK35" s="876">
        <f t="shared" si="22"/>
        <v>180</v>
      </c>
      <c r="AL35" s="877">
        <f t="shared" si="22"/>
        <v>632</v>
      </c>
      <c r="AM35" s="586">
        <f t="shared" si="22"/>
        <v>812</v>
      </c>
      <c r="AN35" s="876">
        <f>SUM(AN26:AN34)</f>
        <v>176</v>
      </c>
      <c r="AO35" s="877">
        <f t="shared" ref="AO35:AP35" si="23">SUM(AO26:AO34)</f>
        <v>626</v>
      </c>
      <c r="AP35" s="586">
        <f t="shared" si="23"/>
        <v>802</v>
      </c>
    </row>
    <row r="36" spans="1:42" s="186" customFormat="1" ht="15" customHeight="1" x14ac:dyDescent="0.25">
      <c r="A36" s="5063"/>
      <c r="B36" s="5049" t="s">
        <v>6</v>
      </c>
      <c r="C36" s="827" t="s">
        <v>462</v>
      </c>
      <c r="D36" s="861">
        <v>100</v>
      </c>
      <c r="E36" s="862">
        <v>101</v>
      </c>
      <c r="F36" s="830">
        <v>201</v>
      </c>
      <c r="G36" s="861">
        <v>116</v>
      </c>
      <c r="H36" s="862">
        <v>115</v>
      </c>
      <c r="I36" s="830">
        <v>231</v>
      </c>
      <c r="J36" s="828">
        <v>102</v>
      </c>
      <c r="K36" s="829">
        <v>122</v>
      </c>
      <c r="L36" s="830">
        <v>224</v>
      </c>
      <c r="M36" s="828">
        <v>120</v>
      </c>
      <c r="N36" s="829">
        <v>116</v>
      </c>
      <c r="O36" s="830">
        <v>236</v>
      </c>
      <c r="P36" s="828">
        <v>137</v>
      </c>
      <c r="Q36" s="829">
        <v>142</v>
      </c>
      <c r="R36" s="830">
        <v>279</v>
      </c>
      <c r="S36" s="828">
        <v>121</v>
      </c>
      <c r="T36" s="829">
        <v>119</v>
      </c>
      <c r="U36" s="830">
        <v>240</v>
      </c>
      <c r="V36" s="828">
        <v>121</v>
      </c>
      <c r="W36" s="829">
        <v>113</v>
      </c>
      <c r="X36" s="830">
        <v>234</v>
      </c>
      <c r="Y36" s="828">
        <v>102</v>
      </c>
      <c r="Z36" s="829">
        <v>113</v>
      </c>
      <c r="AA36" s="830">
        <f t="shared" si="0"/>
        <v>215</v>
      </c>
      <c r="AB36" s="831">
        <v>99</v>
      </c>
      <c r="AC36" s="829">
        <v>115</v>
      </c>
      <c r="AD36" s="830">
        <f t="shared" si="1"/>
        <v>214</v>
      </c>
      <c r="AE36" s="831">
        <v>105</v>
      </c>
      <c r="AF36" s="829">
        <v>114</v>
      </c>
      <c r="AG36" s="830">
        <f t="shared" si="2"/>
        <v>219</v>
      </c>
      <c r="AH36" s="831">
        <v>90</v>
      </c>
      <c r="AI36" s="829">
        <v>118</v>
      </c>
      <c r="AJ36" s="830">
        <f t="shared" ref="AJ36:AJ46" si="24">SUM(AH36:AI36)</f>
        <v>208</v>
      </c>
      <c r="AK36" s="831">
        <v>89</v>
      </c>
      <c r="AL36" s="829">
        <v>114</v>
      </c>
      <c r="AM36" s="830">
        <f t="shared" ref="AM36:AM46" si="25">SUM(AK36:AL36)</f>
        <v>203</v>
      </c>
      <c r="AN36" s="831">
        <v>74</v>
      </c>
      <c r="AO36" s="829">
        <v>118</v>
      </c>
      <c r="AP36" s="830">
        <f t="shared" ref="AP36:AP46" si="26">SUM(AN36:AO36)</f>
        <v>192</v>
      </c>
    </row>
    <row r="37" spans="1:42" s="186" customFormat="1" ht="15" customHeight="1" x14ac:dyDescent="0.25">
      <c r="A37" s="5063"/>
      <c r="B37" s="5050"/>
      <c r="C37" s="813" t="s">
        <v>476</v>
      </c>
      <c r="D37" s="814"/>
      <c r="E37" s="855">
        <v>48</v>
      </c>
      <c r="F37" s="816">
        <v>48</v>
      </c>
      <c r="G37" s="856"/>
      <c r="H37" s="855">
        <v>58</v>
      </c>
      <c r="I37" s="816">
        <v>58</v>
      </c>
      <c r="J37" s="814"/>
      <c r="K37" s="815">
        <v>60</v>
      </c>
      <c r="L37" s="816">
        <v>60</v>
      </c>
      <c r="M37" s="814"/>
      <c r="N37" s="815">
        <v>61</v>
      </c>
      <c r="O37" s="816">
        <v>61</v>
      </c>
      <c r="P37" s="814"/>
      <c r="Q37" s="815">
        <v>69</v>
      </c>
      <c r="R37" s="816">
        <v>69</v>
      </c>
      <c r="S37" s="814"/>
      <c r="T37" s="815">
        <v>60</v>
      </c>
      <c r="U37" s="816">
        <v>60</v>
      </c>
      <c r="V37" s="814"/>
      <c r="W37" s="815">
        <v>59</v>
      </c>
      <c r="X37" s="816">
        <v>59</v>
      </c>
      <c r="Y37" s="814"/>
      <c r="Z37" s="815">
        <v>63</v>
      </c>
      <c r="AA37" s="816">
        <f t="shared" si="0"/>
        <v>63</v>
      </c>
      <c r="AB37" s="817"/>
      <c r="AC37" s="815">
        <v>58</v>
      </c>
      <c r="AD37" s="816">
        <f t="shared" si="1"/>
        <v>58</v>
      </c>
      <c r="AE37" s="817"/>
      <c r="AF37" s="815">
        <v>60</v>
      </c>
      <c r="AG37" s="816">
        <f t="shared" si="2"/>
        <v>60</v>
      </c>
      <c r="AH37" s="817"/>
      <c r="AI37" s="815">
        <v>60</v>
      </c>
      <c r="AJ37" s="816">
        <f t="shared" si="24"/>
        <v>60</v>
      </c>
      <c r="AK37" s="817"/>
      <c r="AL37" s="815">
        <v>60</v>
      </c>
      <c r="AM37" s="816">
        <f t="shared" si="25"/>
        <v>60</v>
      </c>
      <c r="AN37" s="817"/>
      <c r="AO37" s="815">
        <v>62</v>
      </c>
      <c r="AP37" s="816">
        <f t="shared" si="26"/>
        <v>62</v>
      </c>
    </row>
    <row r="38" spans="1:42" s="186" customFormat="1" ht="15" customHeight="1" x14ac:dyDescent="0.25">
      <c r="A38" s="5063"/>
      <c r="B38" s="5050"/>
      <c r="C38" s="813" t="s">
        <v>477</v>
      </c>
      <c r="D38" s="819"/>
      <c r="E38" s="855">
        <v>51</v>
      </c>
      <c r="F38" s="816">
        <v>51</v>
      </c>
      <c r="G38" s="856"/>
      <c r="H38" s="855">
        <v>55</v>
      </c>
      <c r="I38" s="816">
        <v>55</v>
      </c>
      <c r="J38" s="819"/>
      <c r="K38" s="815">
        <v>62</v>
      </c>
      <c r="L38" s="816">
        <v>62</v>
      </c>
      <c r="M38" s="819"/>
      <c r="N38" s="815">
        <v>59</v>
      </c>
      <c r="O38" s="816">
        <v>59</v>
      </c>
      <c r="P38" s="814"/>
      <c r="Q38" s="815">
        <v>68</v>
      </c>
      <c r="R38" s="816">
        <v>68</v>
      </c>
      <c r="S38" s="814"/>
      <c r="T38" s="815">
        <v>64</v>
      </c>
      <c r="U38" s="816">
        <v>64</v>
      </c>
      <c r="V38" s="814"/>
      <c r="W38" s="815">
        <v>61</v>
      </c>
      <c r="X38" s="816">
        <v>61</v>
      </c>
      <c r="Y38" s="814"/>
      <c r="Z38" s="815">
        <v>69</v>
      </c>
      <c r="AA38" s="816">
        <f t="shared" si="0"/>
        <v>69</v>
      </c>
      <c r="AB38" s="817"/>
      <c r="AC38" s="815">
        <v>66</v>
      </c>
      <c r="AD38" s="816">
        <f t="shared" si="1"/>
        <v>66</v>
      </c>
      <c r="AE38" s="817"/>
      <c r="AF38" s="815">
        <v>69</v>
      </c>
      <c r="AG38" s="816">
        <f t="shared" si="2"/>
        <v>69</v>
      </c>
      <c r="AH38" s="817"/>
      <c r="AI38" s="815">
        <v>63</v>
      </c>
      <c r="AJ38" s="816">
        <f t="shared" si="24"/>
        <v>63</v>
      </c>
      <c r="AK38" s="817"/>
      <c r="AL38" s="815">
        <v>64</v>
      </c>
      <c r="AM38" s="816">
        <f t="shared" si="25"/>
        <v>64</v>
      </c>
      <c r="AN38" s="817"/>
      <c r="AO38" s="815">
        <v>64</v>
      </c>
      <c r="AP38" s="816">
        <f t="shared" si="26"/>
        <v>64</v>
      </c>
    </row>
    <row r="39" spans="1:42" s="186" customFormat="1" ht="15" customHeight="1" x14ac:dyDescent="0.25">
      <c r="A39" s="5063"/>
      <c r="B39" s="5050"/>
      <c r="C39" s="813" t="s">
        <v>478</v>
      </c>
      <c r="D39" s="819"/>
      <c r="E39" s="855">
        <v>46</v>
      </c>
      <c r="F39" s="816">
        <v>46</v>
      </c>
      <c r="G39" s="856"/>
      <c r="H39" s="855">
        <v>73</v>
      </c>
      <c r="I39" s="816">
        <v>73</v>
      </c>
      <c r="J39" s="819"/>
      <c r="K39" s="815">
        <v>72</v>
      </c>
      <c r="L39" s="816">
        <v>72</v>
      </c>
      <c r="M39" s="819"/>
      <c r="N39" s="815">
        <v>69</v>
      </c>
      <c r="O39" s="816">
        <v>69</v>
      </c>
      <c r="P39" s="814"/>
      <c r="Q39" s="815">
        <v>77</v>
      </c>
      <c r="R39" s="816">
        <v>77</v>
      </c>
      <c r="S39" s="814"/>
      <c r="T39" s="815">
        <v>75</v>
      </c>
      <c r="U39" s="816">
        <v>75</v>
      </c>
      <c r="V39" s="814"/>
      <c r="W39" s="815">
        <v>73</v>
      </c>
      <c r="X39" s="816">
        <v>73</v>
      </c>
      <c r="Y39" s="814"/>
      <c r="Z39" s="815">
        <v>78</v>
      </c>
      <c r="AA39" s="816">
        <f t="shared" si="0"/>
        <v>78</v>
      </c>
      <c r="AB39" s="817"/>
      <c r="AC39" s="815">
        <v>75</v>
      </c>
      <c r="AD39" s="816">
        <f t="shared" si="1"/>
        <v>75</v>
      </c>
      <c r="AE39" s="817"/>
      <c r="AF39" s="815">
        <v>78</v>
      </c>
      <c r="AG39" s="816">
        <f t="shared" si="2"/>
        <v>78</v>
      </c>
      <c r="AH39" s="817"/>
      <c r="AI39" s="815">
        <v>81</v>
      </c>
      <c r="AJ39" s="816">
        <f t="shared" si="24"/>
        <v>81</v>
      </c>
      <c r="AK39" s="817"/>
      <c r="AL39" s="815">
        <v>77</v>
      </c>
      <c r="AM39" s="816">
        <f t="shared" si="25"/>
        <v>77</v>
      </c>
      <c r="AN39" s="817"/>
      <c r="AO39" s="815">
        <v>80</v>
      </c>
      <c r="AP39" s="816">
        <f t="shared" si="26"/>
        <v>80</v>
      </c>
    </row>
    <row r="40" spans="1:42" s="186" customFormat="1" ht="15" customHeight="1" x14ac:dyDescent="0.25">
      <c r="A40" s="5063"/>
      <c r="B40" s="5050"/>
      <c r="C40" s="813" t="s">
        <v>464</v>
      </c>
      <c r="D40" s="814"/>
      <c r="E40" s="855">
        <v>67</v>
      </c>
      <c r="F40" s="816">
        <v>67</v>
      </c>
      <c r="G40" s="856"/>
      <c r="H40" s="855">
        <v>68</v>
      </c>
      <c r="I40" s="816">
        <v>68</v>
      </c>
      <c r="J40" s="814"/>
      <c r="K40" s="815">
        <v>99</v>
      </c>
      <c r="L40" s="816">
        <v>99</v>
      </c>
      <c r="M40" s="814"/>
      <c r="N40" s="815">
        <v>83</v>
      </c>
      <c r="O40" s="816">
        <v>83</v>
      </c>
      <c r="P40" s="814"/>
      <c r="Q40" s="815">
        <v>91</v>
      </c>
      <c r="R40" s="816">
        <v>91</v>
      </c>
      <c r="S40" s="814"/>
      <c r="T40" s="815">
        <v>119</v>
      </c>
      <c r="U40" s="816">
        <v>119</v>
      </c>
      <c r="V40" s="814"/>
      <c r="W40" s="815">
        <v>111</v>
      </c>
      <c r="X40" s="816">
        <v>111</v>
      </c>
      <c r="Y40" s="814"/>
      <c r="Z40" s="815">
        <v>115</v>
      </c>
      <c r="AA40" s="816">
        <f t="shared" si="0"/>
        <v>115</v>
      </c>
      <c r="AB40" s="817"/>
      <c r="AC40" s="815">
        <v>111</v>
      </c>
      <c r="AD40" s="816">
        <f t="shared" si="1"/>
        <v>111</v>
      </c>
      <c r="AE40" s="817"/>
      <c r="AF40" s="815">
        <v>118</v>
      </c>
      <c r="AG40" s="816">
        <f t="shared" si="2"/>
        <v>118</v>
      </c>
      <c r="AH40" s="817"/>
      <c r="AI40" s="815">
        <v>117</v>
      </c>
      <c r="AJ40" s="816">
        <f t="shared" si="24"/>
        <v>117</v>
      </c>
      <c r="AK40" s="817"/>
      <c r="AL40" s="815">
        <v>115</v>
      </c>
      <c r="AM40" s="816">
        <f t="shared" si="25"/>
        <v>115</v>
      </c>
      <c r="AN40" s="817"/>
      <c r="AO40" s="815">
        <v>114</v>
      </c>
      <c r="AP40" s="816">
        <f t="shared" si="26"/>
        <v>114</v>
      </c>
    </row>
    <row r="41" spans="1:42" s="186" customFormat="1" ht="15" customHeight="1" x14ac:dyDescent="0.25">
      <c r="A41" s="5063"/>
      <c r="B41" s="5050"/>
      <c r="C41" s="813" t="s">
        <v>465</v>
      </c>
      <c r="D41" s="814"/>
      <c r="E41" s="855">
        <v>66</v>
      </c>
      <c r="F41" s="816">
        <v>66</v>
      </c>
      <c r="G41" s="856"/>
      <c r="H41" s="855">
        <v>83</v>
      </c>
      <c r="I41" s="816">
        <v>83</v>
      </c>
      <c r="J41" s="814"/>
      <c r="K41" s="815">
        <v>87</v>
      </c>
      <c r="L41" s="816">
        <v>87</v>
      </c>
      <c r="M41" s="814"/>
      <c r="N41" s="815">
        <v>86</v>
      </c>
      <c r="O41" s="816">
        <v>86</v>
      </c>
      <c r="P41" s="814"/>
      <c r="Q41" s="815">
        <v>77</v>
      </c>
      <c r="R41" s="816">
        <v>77</v>
      </c>
      <c r="S41" s="814"/>
      <c r="T41" s="815">
        <v>102</v>
      </c>
      <c r="U41" s="816">
        <v>102</v>
      </c>
      <c r="V41" s="814"/>
      <c r="W41" s="815">
        <v>98</v>
      </c>
      <c r="X41" s="816">
        <v>98</v>
      </c>
      <c r="Y41" s="814"/>
      <c r="Z41" s="815">
        <v>103</v>
      </c>
      <c r="AA41" s="816">
        <f t="shared" si="0"/>
        <v>103</v>
      </c>
      <c r="AB41" s="817"/>
      <c r="AC41" s="815">
        <v>100</v>
      </c>
      <c r="AD41" s="816">
        <f t="shared" si="1"/>
        <v>100</v>
      </c>
      <c r="AE41" s="817"/>
      <c r="AF41" s="815">
        <v>101</v>
      </c>
      <c r="AG41" s="816">
        <f t="shared" si="2"/>
        <v>101</v>
      </c>
      <c r="AH41" s="817"/>
      <c r="AI41" s="815">
        <v>102</v>
      </c>
      <c r="AJ41" s="816">
        <f t="shared" si="24"/>
        <v>102</v>
      </c>
      <c r="AK41" s="817"/>
      <c r="AL41" s="815">
        <v>98</v>
      </c>
      <c r="AM41" s="816">
        <f t="shared" si="25"/>
        <v>98</v>
      </c>
      <c r="AN41" s="817"/>
      <c r="AO41" s="815">
        <v>93</v>
      </c>
      <c r="AP41" s="816">
        <f t="shared" si="26"/>
        <v>93</v>
      </c>
    </row>
    <row r="42" spans="1:42" s="186" customFormat="1" ht="15" customHeight="1" x14ac:dyDescent="0.25">
      <c r="A42" s="5063"/>
      <c r="B42" s="5050"/>
      <c r="C42" s="813" t="s">
        <v>479</v>
      </c>
      <c r="D42" s="814"/>
      <c r="E42" s="855">
        <v>72</v>
      </c>
      <c r="F42" s="816">
        <v>72</v>
      </c>
      <c r="G42" s="856"/>
      <c r="H42" s="855">
        <v>79</v>
      </c>
      <c r="I42" s="816">
        <v>79</v>
      </c>
      <c r="J42" s="814"/>
      <c r="K42" s="815">
        <v>83</v>
      </c>
      <c r="L42" s="816">
        <v>83</v>
      </c>
      <c r="M42" s="814"/>
      <c r="N42" s="815">
        <v>78</v>
      </c>
      <c r="O42" s="816">
        <v>78</v>
      </c>
      <c r="P42" s="814"/>
      <c r="Q42" s="815">
        <v>77</v>
      </c>
      <c r="R42" s="816">
        <v>77</v>
      </c>
      <c r="S42" s="814"/>
      <c r="T42" s="815">
        <v>82</v>
      </c>
      <c r="U42" s="816">
        <v>82</v>
      </c>
      <c r="V42" s="814"/>
      <c r="W42" s="815">
        <v>80</v>
      </c>
      <c r="X42" s="816">
        <v>80</v>
      </c>
      <c r="Y42" s="814"/>
      <c r="Z42" s="815">
        <v>78</v>
      </c>
      <c r="AA42" s="816">
        <f t="shared" si="0"/>
        <v>78</v>
      </c>
      <c r="AB42" s="817"/>
      <c r="AC42" s="815">
        <v>84</v>
      </c>
      <c r="AD42" s="816">
        <f t="shared" si="1"/>
        <v>84</v>
      </c>
      <c r="AE42" s="817"/>
      <c r="AF42" s="815">
        <v>79</v>
      </c>
      <c r="AG42" s="816">
        <f t="shared" si="2"/>
        <v>79</v>
      </c>
      <c r="AH42" s="817"/>
      <c r="AI42" s="815">
        <v>80</v>
      </c>
      <c r="AJ42" s="816">
        <f t="shared" si="24"/>
        <v>80</v>
      </c>
      <c r="AK42" s="817"/>
      <c r="AL42" s="815">
        <v>86</v>
      </c>
      <c r="AM42" s="816">
        <f t="shared" si="25"/>
        <v>86</v>
      </c>
      <c r="AN42" s="817"/>
      <c r="AO42" s="815">
        <v>82</v>
      </c>
      <c r="AP42" s="816">
        <f t="shared" si="26"/>
        <v>82</v>
      </c>
    </row>
    <row r="43" spans="1:42" s="186" customFormat="1" ht="15" customHeight="1" x14ac:dyDescent="0.25">
      <c r="A43" s="5063"/>
      <c r="B43" s="5050"/>
      <c r="C43" s="813" t="s">
        <v>480</v>
      </c>
      <c r="D43" s="814"/>
      <c r="E43" s="855">
        <v>36</v>
      </c>
      <c r="F43" s="816">
        <v>36</v>
      </c>
      <c r="G43" s="856"/>
      <c r="H43" s="855">
        <v>39</v>
      </c>
      <c r="I43" s="816">
        <v>39</v>
      </c>
      <c r="J43" s="814"/>
      <c r="K43" s="815">
        <v>35</v>
      </c>
      <c r="L43" s="816">
        <v>35</v>
      </c>
      <c r="M43" s="814"/>
      <c r="N43" s="815">
        <v>36</v>
      </c>
      <c r="O43" s="816">
        <v>36</v>
      </c>
      <c r="P43" s="814"/>
      <c r="Q43" s="815">
        <v>38</v>
      </c>
      <c r="R43" s="816">
        <v>38</v>
      </c>
      <c r="S43" s="814"/>
      <c r="T43" s="815">
        <v>50</v>
      </c>
      <c r="U43" s="816">
        <v>50</v>
      </c>
      <c r="V43" s="814"/>
      <c r="W43" s="815">
        <v>48</v>
      </c>
      <c r="X43" s="816">
        <v>48</v>
      </c>
      <c r="Y43" s="814"/>
      <c r="Z43" s="815">
        <v>58</v>
      </c>
      <c r="AA43" s="816">
        <f t="shared" si="0"/>
        <v>58</v>
      </c>
      <c r="AB43" s="817"/>
      <c r="AC43" s="815">
        <v>57</v>
      </c>
      <c r="AD43" s="816">
        <f t="shared" si="1"/>
        <v>57</v>
      </c>
      <c r="AE43" s="817"/>
      <c r="AF43" s="815">
        <v>52</v>
      </c>
      <c r="AG43" s="816">
        <f t="shared" si="2"/>
        <v>52</v>
      </c>
      <c r="AH43" s="817"/>
      <c r="AI43" s="815">
        <v>55</v>
      </c>
      <c r="AJ43" s="816">
        <f t="shared" si="24"/>
        <v>55</v>
      </c>
      <c r="AK43" s="817"/>
      <c r="AL43" s="815">
        <v>56</v>
      </c>
      <c r="AM43" s="816">
        <f t="shared" si="25"/>
        <v>56</v>
      </c>
      <c r="AN43" s="817"/>
      <c r="AO43" s="815">
        <v>60</v>
      </c>
      <c r="AP43" s="816">
        <f t="shared" si="26"/>
        <v>60</v>
      </c>
    </row>
    <row r="44" spans="1:42" s="186" customFormat="1" ht="15" customHeight="1" x14ac:dyDescent="0.25">
      <c r="A44" s="5063"/>
      <c r="B44" s="5050"/>
      <c r="C44" s="813" t="s">
        <v>481</v>
      </c>
      <c r="D44" s="814"/>
      <c r="E44" s="855">
        <v>86</v>
      </c>
      <c r="F44" s="816">
        <v>86</v>
      </c>
      <c r="G44" s="856"/>
      <c r="H44" s="855">
        <v>80</v>
      </c>
      <c r="I44" s="816">
        <v>80</v>
      </c>
      <c r="J44" s="814"/>
      <c r="K44" s="815">
        <v>81</v>
      </c>
      <c r="L44" s="816">
        <v>81</v>
      </c>
      <c r="M44" s="814"/>
      <c r="N44" s="815">
        <v>105</v>
      </c>
      <c r="O44" s="816">
        <v>105</v>
      </c>
      <c r="P44" s="814"/>
      <c r="Q44" s="815">
        <v>129</v>
      </c>
      <c r="R44" s="816">
        <v>129</v>
      </c>
      <c r="S44" s="814"/>
      <c r="T44" s="815">
        <v>100</v>
      </c>
      <c r="U44" s="816">
        <v>100</v>
      </c>
      <c r="V44" s="814"/>
      <c r="W44" s="815">
        <v>96</v>
      </c>
      <c r="X44" s="816">
        <v>96</v>
      </c>
      <c r="Y44" s="814"/>
      <c r="Z44" s="815">
        <v>103</v>
      </c>
      <c r="AA44" s="816">
        <f t="shared" si="0"/>
        <v>103</v>
      </c>
      <c r="AB44" s="817"/>
      <c r="AC44" s="815">
        <v>94</v>
      </c>
      <c r="AD44" s="816">
        <f t="shared" si="1"/>
        <v>94</v>
      </c>
      <c r="AE44" s="817"/>
      <c r="AF44" s="815">
        <v>98</v>
      </c>
      <c r="AG44" s="816">
        <f t="shared" si="2"/>
        <v>98</v>
      </c>
      <c r="AH44" s="817"/>
      <c r="AI44" s="815">
        <v>99</v>
      </c>
      <c r="AJ44" s="816">
        <f t="shared" si="24"/>
        <v>99</v>
      </c>
      <c r="AK44" s="817"/>
      <c r="AL44" s="815">
        <v>88</v>
      </c>
      <c r="AM44" s="816">
        <f t="shared" si="25"/>
        <v>88</v>
      </c>
      <c r="AN44" s="817"/>
      <c r="AO44" s="815">
        <v>100</v>
      </c>
      <c r="AP44" s="816">
        <f t="shared" si="26"/>
        <v>100</v>
      </c>
    </row>
    <row r="45" spans="1:42" s="186" customFormat="1" ht="15" customHeight="1" x14ac:dyDescent="0.25">
      <c r="A45" s="5063"/>
      <c r="B45" s="5050"/>
      <c r="C45" s="813" t="s">
        <v>482</v>
      </c>
      <c r="D45" s="854">
        <v>59</v>
      </c>
      <c r="E45" s="855">
        <v>101</v>
      </c>
      <c r="F45" s="816">
        <v>160</v>
      </c>
      <c r="G45" s="854">
        <v>69</v>
      </c>
      <c r="H45" s="855">
        <v>114</v>
      </c>
      <c r="I45" s="816">
        <v>183</v>
      </c>
      <c r="J45" s="814">
        <v>59</v>
      </c>
      <c r="K45" s="815">
        <v>122</v>
      </c>
      <c r="L45" s="816">
        <v>181</v>
      </c>
      <c r="M45" s="814">
        <v>63</v>
      </c>
      <c r="N45" s="815">
        <v>121</v>
      </c>
      <c r="O45" s="816">
        <v>184</v>
      </c>
      <c r="P45" s="814">
        <v>75</v>
      </c>
      <c r="Q45" s="815">
        <v>151</v>
      </c>
      <c r="R45" s="816">
        <v>226</v>
      </c>
      <c r="S45" s="814">
        <v>80</v>
      </c>
      <c r="T45" s="815">
        <v>118</v>
      </c>
      <c r="U45" s="816">
        <v>198</v>
      </c>
      <c r="V45" s="814">
        <v>61</v>
      </c>
      <c r="W45" s="815">
        <v>116</v>
      </c>
      <c r="X45" s="816">
        <v>177</v>
      </c>
      <c r="Y45" s="814">
        <v>61</v>
      </c>
      <c r="Z45" s="815">
        <v>121</v>
      </c>
      <c r="AA45" s="816">
        <f t="shared" si="0"/>
        <v>182</v>
      </c>
      <c r="AB45" s="817">
        <v>59</v>
      </c>
      <c r="AC45" s="815">
        <v>115</v>
      </c>
      <c r="AD45" s="816">
        <f t="shared" si="1"/>
        <v>174</v>
      </c>
      <c r="AE45" s="817">
        <v>66</v>
      </c>
      <c r="AF45" s="815">
        <v>108</v>
      </c>
      <c r="AG45" s="816">
        <f t="shared" si="2"/>
        <v>174</v>
      </c>
      <c r="AH45" s="817">
        <v>64</v>
      </c>
      <c r="AI45" s="815">
        <v>120</v>
      </c>
      <c r="AJ45" s="816">
        <f t="shared" si="24"/>
        <v>184</v>
      </c>
      <c r="AK45" s="817">
        <v>64</v>
      </c>
      <c r="AL45" s="815">
        <v>116</v>
      </c>
      <c r="AM45" s="816">
        <f t="shared" si="25"/>
        <v>180</v>
      </c>
      <c r="AN45" s="817">
        <v>60</v>
      </c>
      <c r="AO45" s="815">
        <v>118</v>
      </c>
      <c r="AP45" s="816">
        <f t="shared" si="26"/>
        <v>178</v>
      </c>
    </row>
    <row r="46" spans="1:42" s="186" customFormat="1" ht="15" customHeight="1" x14ac:dyDescent="0.25">
      <c r="A46" s="5063"/>
      <c r="B46" s="5050"/>
      <c r="C46" s="822" t="s">
        <v>483</v>
      </c>
      <c r="D46" s="835"/>
      <c r="E46" s="859">
        <v>34</v>
      </c>
      <c r="F46" s="825">
        <v>34</v>
      </c>
      <c r="G46" s="864"/>
      <c r="H46" s="859">
        <v>41</v>
      </c>
      <c r="I46" s="825">
        <v>41</v>
      </c>
      <c r="J46" s="835"/>
      <c r="K46" s="824">
        <v>38</v>
      </c>
      <c r="L46" s="825">
        <v>38</v>
      </c>
      <c r="M46" s="835"/>
      <c r="N46" s="824">
        <v>38</v>
      </c>
      <c r="O46" s="825">
        <v>38</v>
      </c>
      <c r="P46" s="823"/>
      <c r="Q46" s="824">
        <v>38</v>
      </c>
      <c r="R46" s="825">
        <v>38</v>
      </c>
      <c r="S46" s="823"/>
      <c r="T46" s="824">
        <v>41</v>
      </c>
      <c r="U46" s="825">
        <v>41</v>
      </c>
      <c r="V46" s="823"/>
      <c r="W46" s="824">
        <v>41</v>
      </c>
      <c r="X46" s="825">
        <v>41</v>
      </c>
      <c r="Y46" s="823"/>
      <c r="Z46" s="824">
        <v>39</v>
      </c>
      <c r="AA46" s="825">
        <f t="shared" si="0"/>
        <v>39</v>
      </c>
      <c r="AB46" s="826"/>
      <c r="AC46" s="824">
        <v>42</v>
      </c>
      <c r="AD46" s="825">
        <f t="shared" si="1"/>
        <v>42</v>
      </c>
      <c r="AE46" s="826"/>
      <c r="AF46" s="824">
        <v>44</v>
      </c>
      <c r="AG46" s="825">
        <f t="shared" si="2"/>
        <v>44</v>
      </c>
      <c r="AH46" s="826"/>
      <c r="AI46" s="824">
        <v>46</v>
      </c>
      <c r="AJ46" s="825">
        <f t="shared" si="24"/>
        <v>46</v>
      </c>
      <c r="AK46" s="826"/>
      <c r="AL46" s="824">
        <v>43</v>
      </c>
      <c r="AM46" s="825">
        <f t="shared" si="25"/>
        <v>43</v>
      </c>
      <c r="AN46" s="826"/>
      <c r="AO46" s="824">
        <v>41</v>
      </c>
      <c r="AP46" s="825">
        <f t="shared" si="26"/>
        <v>41</v>
      </c>
    </row>
    <row r="47" spans="1:42" s="186" customFormat="1" ht="15" customHeight="1" x14ac:dyDescent="0.25">
      <c r="A47" s="5063"/>
      <c r="B47" s="5051"/>
      <c r="C47" s="869" t="s">
        <v>160</v>
      </c>
      <c r="D47" s="870">
        <f>SUM(D36:D46)</f>
        <v>159</v>
      </c>
      <c r="E47" s="871">
        <f t="shared" ref="E47:AG47" si="27">SUM(E36:E46)</f>
        <v>708</v>
      </c>
      <c r="F47" s="872">
        <f t="shared" si="27"/>
        <v>867</v>
      </c>
      <c r="G47" s="870">
        <f t="shared" si="27"/>
        <v>185</v>
      </c>
      <c r="H47" s="871">
        <f t="shared" si="27"/>
        <v>805</v>
      </c>
      <c r="I47" s="872">
        <f t="shared" si="27"/>
        <v>990</v>
      </c>
      <c r="J47" s="870">
        <f t="shared" si="27"/>
        <v>161</v>
      </c>
      <c r="K47" s="871">
        <f t="shared" si="27"/>
        <v>861</v>
      </c>
      <c r="L47" s="872">
        <f t="shared" si="27"/>
        <v>1022</v>
      </c>
      <c r="M47" s="870">
        <f t="shared" si="27"/>
        <v>183</v>
      </c>
      <c r="N47" s="871">
        <f t="shared" si="27"/>
        <v>852</v>
      </c>
      <c r="O47" s="872">
        <f t="shared" si="27"/>
        <v>1035</v>
      </c>
      <c r="P47" s="870">
        <f t="shared" si="27"/>
        <v>212</v>
      </c>
      <c r="Q47" s="871">
        <f t="shared" si="27"/>
        <v>957</v>
      </c>
      <c r="R47" s="872">
        <f t="shared" si="27"/>
        <v>1169</v>
      </c>
      <c r="S47" s="870">
        <f t="shared" si="27"/>
        <v>201</v>
      </c>
      <c r="T47" s="871">
        <f t="shared" si="27"/>
        <v>930</v>
      </c>
      <c r="U47" s="872">
        <f t="shared" si="27"/>
        <v>1131</v>
      </c>
      <c r="V47" s="870">
        <f t="shared" si="27"/>
        <v>182</v>
      </c>
      <c r="W47" s="871">
        <f t="shared" si="27"/>
        <v>896</v>
      </c>
      <c r="X47" s="872">
        <f t="shared" si="27"/>
        <v>1078</v>
      </c>
      <c r="Y47" s="870">
        <f t="shared" si="27"/>
        <v>163</v>
      </c>
      <c r="Z47" s="871">
        <f t="shared" si="27"/>
        <v>940</v>
      </c>
      <c r="AA47" s="872">
        <f t="shared" si="27"/>
        <v>1103</v>
      </c>
      <c r="AB47" s="870">
        <f t="shared" si="27"/>
        <v>158</v>
      </c>
      <c r="AC47" s="871">
        <f t="shared" si="27"/>
        <v>917</v>
      </c>
      <c r="AD47" s="872">
        <f t="shared" si="27"/>
        <v>1075</v>
      </c>
      <c r="AE47" s="870">
        <f t="shared" si="27"/>
        <v>171</v>
      </c>
      <c r="AF47" s="871">
        <f t="shared" si="27"/>
        <v>921</v>
      </c>
      <c r="AG47" s="872">
        <f t="shared" si="27"/>
        <v>1092</v>
      </c>
      <c r="AH47" s="870">
        <f t="shared" ref="AH47:AM47" si="28">SUM(AH36:AH46)</f>
        <v>154</v>
      </c>
      <c r="AI47" s="871">
        <f t="shared" si="28"/>
        <v>941</v>
      </c>
      <c r="AJ47" s="872">
        <f t="shared" si="28"/>
        <v>1095</v>
      </c>
      <c r="AK47" s="870">
        <f t="shared" si="28"/>
        <v>153</v>
      </c>
      <c r="AL47" s="871">
        <f t="shared" si="28"/>
        <v>917</v>
      </c>
      <c r="AM47" s="872">
        <f t="shared" si="28"/>
        <v>1070</v>
      </c>
      <c r="AN47" s="870">
        <f>SUM(AN36:AN46)</f>
        <v>134</v>
      </c>
      <c r="AO47" s="871">
        <f t="shared" ref="AO47:AP47" si="29">SUM(AO36:AO46)</f>
        <v>932</v>
      </c>
      <c r="AP47" s="872">
        <f t="shared" si="29"/>
        <v>1066</v>
      </c>
    </row>
    <row r="48" spans="1:42" s="186" customFormat="1" ht="15" customHeight="1" x14ac:dyDescent="0.25">
      <c r="A48" s="5063"/>
      <c r="B48" s="5049" t="s">
        <v>11</v>
      </c>
      <c r="C48" s="807" t="s">
        <v>484</v>
      </c>
      <c r="D48" s="852">
        <v>26</v>
      </c>
      <c r="E48" s="853">
        <v>47</v>
      </c>
      <c r="F48" s="810">
        <v>73</v>
      </c>
      <c r="G48" s="852">
        <v>29</v>
      </c>
      <c r="H48" s="853">
        <v>63</v>
      </c>
      <c r="I48" s="810">
        <v>92</v>
      </c>
      <c r="J48" s="808">
        <v>50</v>
      </c>
      <c r="K48" s="809">
        <v>67</v>
      </c>
      <c r="L48" s="810">
        <v>117</v>
      </c>
      <c r="M48" s="808">
        <v>72</v>
      </c>
      <c r="N48" s="809">
        <v>64</v>
      </c>
      <c r="O48" s="810">
        <v>136</v>
      </c>
      <c r="P48" s="808">
        <v>56</v>
      </c>
      <c r="Q48" s="809">
        <v>77</v>
      </c>
      <c r="R48" s="810">
        <v>133</v>
      </c>
      <c r="S48" s="808">
        <v>72</v>
      </c>
      <c r="T48" s="809">
        <v>80</v>
      </c>
      <c r="U48" s="810">
        <v>152</v>
      </c>
      <c r="V48" s="808">
        <v>82</v>
      </c>
      <c r="W48" s="809">
        <v>67</v>
      </c>
      <c r="X48" s="810">
        <v>149</v>
      </c>
      <c r="Y48" s="808">
        <v>75</v>
      </c>
      <c r="Z48" s="809">
        <v>77</v>
      </c>
      <c r="AA48" s="810">
        <f t="shared" si="0"/>
        <v>152</v>
      </c>
      <c r="AB48" s="811">
        <v>73</v>
      </c>
      <c r="AC48" s="809">
        <v>65</v>
      </c>
      <c r="AD48" s="810">
        <f t="shared" si="1"/>
        <v>138</v>
      </c>
      <c r="AE48" s="811">
        <v>58</v>
      </c>
      <c r="AF48" s="809">
        <v>55</v>
      </c>
      <c r="AG48" s="810">
        <f t="shared" si="2"/>
        <v>113</v>
      </c>
      <c r="AH48" s="811">
        <v>64</v>
      </c>
      <c r="AI48" s="809">
        <v>65</v>
      </c>
      <c r="AJ48" s="810">
        <f t="shared" ref="AJ48:AJ53" si="30">SUM(AH48:AI48)</f>
        <v>129</v>
      </c>
      <c r="AK48" s="811">
        <v>68</v>
      </c>
      <c r="AL48" s="809">
        <v>63</v>
      </c>
      <c r="AM48" s="810">
        <f t="shared" ref="AM48:AM53" si="31">SUM(AK48:AL48)</f>
        <v>131</v>
      </c>
      <c r="AN48" s="811">
        <v>60</v>
      </c>
      <c r="AO48" s="809">
        <v>62</v>
      </c>
      <c r="AP48" s="810">
        <f t="shared" ref="AP48:AP53" si="32">SUM(AN48:AO48)</f>
        <v>122</v>
      </c>
    </row>
    <row r="49" spans="1:42" s="186" customFormat="1" ht="15" customHeight="1" x14ac:dyDescent="0.25">
      <c r="A49" s="5063"/>
      <c r="B49" s="5050"/>
      <c r="C49" s="813" t="s">
        <v>485</v>
      </c>
      <c r="D49" s="854">
        <v>40</v>
      </c>
      <c r="E49" s="855">
        <v>69</v>
      </c>
      <c r="F49" s="816">
        <v>109</v>
      </c>
      <c r="G49" s="854">
        <v>42</v>
      </c>
      <c r="H49" s="855">
        <v>53</v>
      </c>
      <c r="I49" s="816">
        <v>95</v>
      </c>
      <c r="J49" s="814">
        <v>32</v>
      </c>
      <c r="K49" s="815">
        <v>44</v>
      </c>
      <c r="L49" s="816">
        <v>76</v>
      </c>
      <c r="M49" s="814">
        <v>34</v>
      </c>
      <c r="N49" s="815">
        <v>43</v>
      </c>
      <c r="O49" s="816">
        <v>77</v>
      </c>
      <c r="P49" s="814">
        <v>34</v>
      </c>
      <c r="Q49" s="815">
        <v>61</v>
      </c>
      <c r="R49" s="816">
        <v>95</v>
      </c>
      <c r="S49" s="814">
        <v>46</v>
      </c>
      <c r="T49" s="815">
        <v>59</v>
      </c>
      <c r="U49" s="816">
        <v>105</v>
      </c>
      <c r="V49" s="814">
        <v>59</v>
      </c>
      <c r="W49" s="815">
        <v>46</v>
      </c>
      <c r="X49" s="816">
        <v>105</v>
      </c>
      <c r="Y49" s="814">
        <v>37</v>
      </c>
      <c r="Z49" s="815">
        <v>49</v>
      </c>
      <c r="AA49" s="816">
        <f t="shared" si="0"/>
        <v>86</v>
      </c>
      <c r="AB49" s="817">
        <v>47</v>
      </c>
      <c r="AC49" s="815">
        <v>60</v>
      </c>
      <c r="AD49" s="816">
        <f t="shared" si="1"/>
        <v>107</v>
      </c>
      <c r="AE49" s="817">
        <v>56</v>
      </c>
      <c r="AF49" s="815">
        <v>56</v>
      </c>
      <c r="AG49" s="816">
        <f t="shared" si="2"/>
        <v>112</v>
      </c>
      <c r="AH49" s="817">
        <v>67</v>
      </c>
      <c r="AI49" s="815">
        <v>57</v>
      </c>
      <c r="AJ49" s="816">
        <f t="shared" si="30"/>
        <v>124</v>
      </c>
      <c r="AK49" s="817">
        <v>58</v>
      </c>
      <c r="AL49" s="815">
        <v>60</v>
      </c>
      <c r="AM49" s="816">
        <f t="shared" si="31"/>
        <v>118</v>
      </c>
      <c r="AN49" s="817">
        <v>51</v>
      </c>
      <c r="AO49" s="815">
        <v>58</v>
      </c>
      <c r="AP49" s="816">
        <f t="shared" si="32"/>
        <v>109</v>
      </c>
    </row>
    <row r="50" spans="1:42" s="186" customFormat="1" ht="15" customHeight="1" x14ac:dyDescent="0.25">
      <c r="A50" s="5063"/>
      <c r="B50" s="5050"/>
      <c r="C50" s="813" t="s">
        <v>486</v>
      </c>
      <c r="D50" s="814"/>
      <c r="E50" s="855">
        <v>41</v>
      </c>
      <c r="F50" s="816">
        <v>41</v>
      </c>
      <c r="G50" s="856"/>
      <c r="H50" s="855">
        <v>28</v>
      </c>
      <c r="I50" s="816">
        <v>28</v>
      </c>
      <c r="J50" s="814"/>
      <c r="K50" s="815">
        <v>43</v>
      </c>
      <c r="L50" s="816">
        <v>43</v>
      </c>
      <c r="M50" s="814"/>
      <c r="N50" s="815">
        <v>46</v>
      </c>
      <c r="O50" s="816">
        <v>46</v>
      </c>
      <c r="P50" s="814"/>
      <c r="Q50" s="815">
        <v>45</v>
      </c>
      <c r="R50" s="816">
        <v>45</v>
      </c>
      <c r="S50" s="814"/>
      <c r="T50" s="815">
        <v>49</v>
      </c>
      <c r="U50" s="816">
        <v>49</v>
      </c>
      <c r="V50" s="814"/>
      <c r="W50" s="815">
        <v>73</v>
      </c>
      <c r="X50" s="816">
        <v>73</v>
      </c>
      <c r="Y50" s="814">
        <v>48</v>
      </c>
      <c r="Z50" s="815">
        <v>51</v>
      </c>
      <c r="AA50" s="816">
        <f t="shared" si="0"/>
        <v>99</v>
      </c>
      <c r="AB50" s="817">
        <v>50</v>
      </c>
      <c r="AC50" s="815">
        <v>56</v>
      </c>
      <c r="AD50" s="816">
        <f t="shared" si="1"/>
        <v>106</v>
      </c>
      <c r="AE50" s="817">
        <v>50</v>
      </c>
      <c r="AF50" s="815">
        <v>50</v>
      </c>
      <c r="AG50" s="816">
        <f t="shared" si="2"/>
        <v>100</v>
      </c>
      <c r="AH50" s="817">
        <v>50</v>
      </c>
      <c r="AI50" s="815">
        <v>60</v>
      </c>
      <c r="AJ50" s="816">
        <f t="shared" si="30"/>
        <v>110</v>
      </c>
      <c r="AK50" s="817">
        <v>43</v>
      </c>
      <c r="AL50" s="815">
        <v>46</v>
      </c>
      <c r="AM50" s="816">
        <f t="shared" si="31"/>
        <v>89</v>
      </c>
      <c r="AN50" s="817">
        <v>42</v>
      </c>
      <c r="AO50" s="815">
        <v>43</v>
      </c>
      <c r="AP50" s="816">
        <f t="shared" si="32"/>
        <v>85</v>
      </c>
    </row>
    <row r="51" spans="1:42" s="186" customFormat="1" ht="15" customHeight="1" x14ac:dyDescent="0.25">
      <c r="A51" s="5063"/>
      <c r="B51" s="5050"/>
      <c r="C51" s="813" t="s">
        <v>487</v>
      </c>
      <c r="D51" s="814"/>
      <c r="E51" s="855">
        <v>13</v>
      </c>
      <c r="F51" s="816">
        <v>13</v>
      </c>
      <c r="G51" s="856"/>
      <c r="H51" s="855">
        <v>19</v>
      </c>
      <c r="I51" s="816">
        <v>19</v>
      </c>
      <c r="J51" s="814"/>
      <c r="K51" s="815">
        <v>20</v>
      </c>
      <c r="L51" s="816">
        <v>20</v>
      </c>
      <c r="M51" s="814"/>
      <c r="N51" s="815">
        <v>16</v>
      </c>
      <c r="O51" s="816">
        <v>16</v>
      </c>
      <c r="P51" s="814"/>
      <c r="Q51" s="815">
        <v>28</v>
      </c>
      <c r="R51" s="816">
        <v>28</v>
      </c>
      <c r="S51" s="814"/>
      <c r="T51" s="815">
        <v>31</v>
      </c>
      <c r="U51" s="816">
        <v>31</v>
      </c>
      <c r="V51" s="814"/>
      <c r="W51" s="815">
        <v>41</v>
      </c>
      <c r="X51" s="816">
        <v>41</v>
      </c>
      <c r="Y51" s="814">
        <v>35</v>
      </c>
      <c r="Z51" s="815">
        <v>59</v>
      </c>
      <c r="AA51" s="816">
        <f t="shared" si="0"/>
        <v>94</v>
      </c>
      <c r="AB51" s="817">
        <v>41</v>
      </c>
      <c r="AC51" s="815">
        <v>34</v>
      </c>
      <c r="AD51" s="816">
        <f t="shared" si="1"/>
        <v>75</v>
      </c>
      <c r="AE51" s="817">
        <v>39</v>
      </c>
      <c r="AF51" s="815">
        <v>49</v>
      </c>
      <c r="AG51" s="816">
        <f t="shared" si="2"/>
        <v>88</v>
      </c>
      <c r="AH51" s="817">
        <v>39</v>
      </c>
      <c r="AI51" s="815">
        <v>49</v>
      </c>
      <c r="AJ51" s="816">
        <f t="shared" si="30"/>
        <v>88</v>
      </c>
      <c r="AK51" s="817">
        <v>35</v>
      </c>
      <c r="AL51" s="815">
        <v>37</v>
      </c>
      <c r="AM51" s="816">
        <f t="shared" si="31"/>
        <v>72</v>
      </c>
      <c r="AN51" s="817">
        <v>26</v>
      </c>
      <c r="AO51" s="815">
        <v>22</v>
      </c>
      <c r="AP51" s="816">
        <f t="shared" si="32"/>
        <v>48</v>
      </c>
    </row>
    <row r="52" spans="1:42" s="186" customFormat="1" ht="15" customHeight="1" x14ac:dyDescent="0.25">
      <c r="A52" s="5063"/>
      <c r="B52" s="5050"/>
      <c r="C52" s="813" t="s">
        <v>488</v>
      </c>
      <c r="D52" s="854">
        <v>48</v>
      </c>
      <c r="E52" s="855">
        <v>58</v>
      </c>
      <c r="F52" s="816">
        <v>106</v>
      </c>
      <c r="G52" s="854">
        <v>37</v>
      </c>
      <c r="H52" s="855">
        <v>84</v>
      </c>
      <c r="I52" s="816">
        <v>121</v>
      </c>
      <c r="J52" s="814">
        <v>45</v>
      </c>
      <c r="K52" s="815">
        <v>60</v>
      </c>
      <c r="L52" s="816">
        <v>105</v>
      </c>
      <c r="M52" s="814">
        <v>48</v>
      </c>
      <c r="N52" s="815">
        <v>89</v>
      </c>
      <c r="O52" s="816">
        <v>137</v>
      </c>
      <c r="P52" s="814">
        <v>41</v>
      </c>
      <c r="Q52" s="815">
        <v>87</v>
      </c>
      <c r="R52" s="816">
        <v>128</v>
      </c>
      <c r="S52" s="814">
        <v>57</v>
      </c>
      <c r="T52" s="815">
        <v>83</v>
      </c>
      <c r="U52" s="816">
        <v>140</v>
      </c>
      <c r="V52" s="814">
        <v>99</v>
      </c>
      <c r="W52" s="815">
        <v>89</v>
      </c>
      <c r="X52" s="816">
        <v>188</v>
      </c>
      <c r="Y52" s="814">
        <v>78</v>
      </c>
      <c r="Z52" s="815">
        <v>95</v>
      </c>
      <c r="AA52" s="816">
        <f t="shared" si="0"/>
        <v>173</v>
      </c>
      <c r="AB52" s="817">
        <v>85</v>
      </c>
      <c r="AC52" s="815">
        <v>96</v>
      </c>
      <c r="AD52" s="816">
        <f t="shared" si="1"/>
        <v>181</v>
      </c>
      <c r="AE52" s="817">
        <v>98</v>
      </c>
      <c r="AF52" s="815">
        <v>98</v>
      </c>
      <c r="AG52" s="816">
        <f t="shared" si="2"/>
        <v>196</v>
      </c>
      <c r="AH52" s="817">
        <v>77</v>
      </c>
      <c r="AI52" s="815">
        <v>95</v>
      </c>
      <c r="AJ52" s="816">
        <f t="shared" si="30"/>
        <v>172</v>
      </c>
      <c r="AK52" s="817">
        <v>73</v>
      </c>
      <c r="AL52" s="815">
        <v>84</v>
      </c>
      <c r="AM52" s="816">
        <f t="shared" si="31"/>
        <v>157</v>
      </c>
      <c r="AN52" s="817">
        <v>61</v>
      </c>
      <c r="AO52" s="815">
        <v>95</v>
      </c>
      <c r="AP52" s="816">
        <f t="shared" si="32"/>
        <v>156</v>
      </c>
    </row>
    <row r="53" spans="1:42" s="186" customFormat="1" ht="15" customHeight="1" x14ac:dyDescent="0.25">
      <c r="A53" s="5063"/>
      <c r="B53" s="5050"/>
      <c r="C53" s="822" t="s">
        <v>489</v>
      </c>
      <c r="D53" s="860">
        <v>44</v>
      </c>
      <c r="E53" s="859">
        <v>68</v>
      </c>
      <c r="F53" s="825">
        <v>112</v>
      </c>
      <c r="G53" s="860">
        <v>59</v>
      </c>
      <c r="H53" s="859">
        <v>107</v>
      </c>
      <c r="I53" s="825">
        <v>166</v>
      </c>
      <c r="J53" s="823">
        <v>51</v>
      </c>
      <c r="K53" s="824">
        <v>93</v>
      </c>
      <c r="L53" s="825">
        <v>144</v>
      </c>
      <c r="M53" s="823">
        <v>88</v>
      </c>
      <c r="N53" s="824">
        <v>108</v>
      </c>
      <c r="O53" s="825">
        <v>196</v>
      </c>
      <c r="P53" s="823">
        <v>70</v>
      </c>
      <c r="Q53" s="824">
        <v>94</v>
      </c>
      <c r="R53" s="825">
        <v>164</v>
      </c>
      <c r="S53" s="823">
        <v>80</v>
      </c>
      <c r="T53" s="824">
        <v>99</v>
      </c>
      <c r="U53" s="825">
        <v>179</v>
      </c>
      <c r="V53" s="823">
        <v>106</v>
      </c>
      <c r="W53" s="824">
        <v>91</v>
      </c>
      <c r="X53" s="825">
        <v>197</v>
      </c>
      <c r="Y53" s="823">
        <v>100</v>
      </c>
      <c r="Z53" s="824">
        <v>99</v>
      </c>
      <c r="AA53" s="825">
        <f t="shared" si="0"/>
        <v>199</v>
      </c>
      <c r="AB53" s="826">
        <v>95</v>
      </c>
      <c r="AC53" s="824">
        <v>104</v>
      </c>
      <c r="AD53" s="825">
        <f t="shared" si="1"/>
        <v>199</v>
      </c>
      <c r="AE53" s="826">
        <v>98</v>
      </c>
      <c r="AF53" s="824">
        <v>97</v>
      </c>
      <c r="AG53" s="825">
        <f t="shared" si="2"/>
        <v>195</v>
      </c>
      <c r="AH53" s="826">
        <v>85</v>
      </c>
      <c r="AI53" s="824">
        <v>98</v>
      </c>
      <c r="AJ53" s="825">
        <f t="shared" si="30"/>
        <v>183</v>
      </c>
      <c r="AK53" s="826">
        <v>73</v>
      </c>
      <c r="AL53" s="824">
        <v>95</v>
      </c>
      <c r="AM53" s="825">
        <f t="shared" si="31"/>
        <v>168</v>
      </c>
      <c r="AN53" s="826">
        <v>58</v>
      </c>
      <c r="AO53" s="824">
        <v>97</v>
      </c>
      <c r="AP53" s="825">
        <f t="shared" si="32"/>
        <v>155</v>
      </c>
    </row>
    <row r="54" spans="1:42" s="186" customFormat="1" ht="15" customHeight="1" x14ac:dyDescent="0.25">
      <c r="A54" s="5063"/>
      <c r="B54" s="5050"/>
      <c r="C54" s="875" t="s">
        <v>160</v>
      </c>
      <c r="D54" s="876">
        <f>SUM(D48:D53)</f>
        <v>158</v>
      </c>
      <c r="E54" s="877">
        <f t="shared" ref="E54:AG54" si="33">SUM(E48:E53)</f>
        <v>296</v>
      </c>
      <c r="F54" s="586">
        <f t="shared" si="33"/>
        <v>454</v>
      </c>
      <c r="G54" s="876">
        <f t="shared" si="33"/>
        <v>167</v>
      </c>
      <c r="H54" s="877">
        <f t="shared" si="33"/>
        <v>354</v>
      </c>
      <c r="I54" s="586">
        <f t="shared" si="33"/>
        <v>521</v>
      </c>
      <c r="J54" s="876">
        <f t="shared" si="33"/>
        <v>178</v>
      </c>
      <c r="K54" s="877">
        <f t="shared" si="33"/>
        <v>327</v>
      </c>
      <c r="L54" s="586">
        <f t="shared" si="33"/>
        <v>505</v>
      </c>
      <c r="M54" s="876">
        <f t="shared" si="33"/>
        <v>242</v>
      </c>
      <c r="N54" s="877">
        <f t="shared" si="33"/>
        <v>366</v>
      </c>
      <c r="O54" s="586">
        <f t="shared" si="33"/>
        <v>608</v>
      </c>
      <c r="P54" s="876">
        <f t="shared" si="33"/>
        <v>201</v>
      </c>
      <c r="Q54" s="877">
        <f t="shared" si="33"/>
        <v>392</v>
      </c>
      <c r="R54" s="586">
        <f t="shared" si="33"/>
        <v>593</v>
      </c>
      <c r="S54" s="876">
        <f t="shared" si="33"/>
        <v>255</v>
      </c>
      <c r="T54" s="877">
        <f t="shared" si="33"/>
        <v>401</v>
      </c>
      <c r="U54" s="586">
        <f t="shared" si="33"/>
        <v>656</v>
      </c>
      <c r="V54" s="876">
        <f t="shared" si="33"/>
        <v>346</v>
      </c>
      <c r="W54" s="877">
        <f t="shared" si="33"/>
        <v>407</v>
      </c>
      <c r="X54" s="586">
        <f t="shared" si="33"/>
        <v>753</v>
      </c>
      <c r="Y54" s="876">
        <f t="shared" si="33"/>
        <v>373</v>
      </c>
      <c r="Z54" s="877">
        <f t="shared" si="33"/>
        <v>430</v>
      </c>
      <c r="AA54" s="586">
        <f t="shared" si="33"/>
        <v>803</v>
      </c>
      <c r="AB54" s="876">
        <f t="shared" si="33"/>
        <v>391</v>
      </c>
      <c r="AC54" s="877">
        <f t="shared" si="33"/>
        <v>415</v>
      </c>
      <c r="AD54" s="586">
        <f t="shared" si="33"/>
        <v>806</v>
      </c>
      <c r="AE54" s="876">
        <f t="shared" si="33"/>
        <v>399</v>
      </c>
      <c r="AF54" s="877">
        <f t="shared" si="33"/>
        <v>405</v>
      </c>
      <c r="AG54" s="586">
        <f t="shared" si="33"/>
        <v>804</v>
      </c>
      <c r="AH54" s="876">
        <f t="shared" ref="AH54:AM54" si="34">SUM(AH48:AH53)</f>
        <v>382</v>
      </c>
      <c r="AI54" s="877">
        <f t="shared" si="34"/>
        <v>424</v>
      </c>
      <c r="AJ54" s="586">
        <f t="shared" si="34"/>
        <v>806</v>
      </c>
      <c r="AK54" s="876">
        <f t="shared" si="34"/>
        <v>350</v>
      </c>
      <c r="AL54" s="877">
        <f t="shared" si="34"/>
        <v>385</v>
      </c>
      <c r="AM54" s="586">
        <f t="shared" si="34"/>
        <v>735</v>
      </c>
      <c r="AN54" s="876">
        <f>SUM(AN48:AN53)</f>
        <v>298</v>
      </c>
      <c r="AO54" s="877">
        <f t="shared" ref="AO54:AP54" si="35">SUM(AO48:AO53)</f>
        <v>377</v>
      </c>
      <c r="AP54" s="586">
        <f t="shared" si="35"/>
        <v>675</v>
      </c>
    </row>
    <row r="55" spans="1:42" s="186" customFormat="1" ht="15" customHeight="1" x14ac:dyDescent="0.25">
      <c r="A55" s="5098"/>
      <c r="B55" s="3981"/>
      <c r="C55" s="2440" t="s">
        <v>450</v>
      </c>
      <c r="D55" s="2441">
        <f>SUM(D54,D47,D35)</f>
        <v>612</v>
      </c>
      <c r="E55" s="2442">
        <f t="shared" ref="E55:AG55" si="36">SUM(E54,E47,E35)</f>
        <v>1366</v>
      </c>
      <c r="F55" s="2443">
        <f t="shared" si="36"/>
        <v>1978</v>
      </c>
      <c r="G55" s="2441">
        <f t="shared" si="36"/>
        <v>616</v>
      </c>
      <c r="H55" s="2442">
        <f t="shared" si="36"/>
        <v>1576</v>
      </c>
      <c r="I55" s="2443">
        <f t="shared" si="36"/>
        <v>2192</v>
      </c>
      <c r="J55" s="2441">
        <f t="shared" si="36"/>
        <v>629</v>
      </c>
      <c r="K55" s="2442">
        <f t="shared" si="36"/>
        <v>1625</v>
      </c>
      <c r="L55" s="2443">
        <f t="shared" si="36"/>
        <v>2254</v>
      </c>
      <c r="M55" s="2441">
        <f t="shared" si="36"/>
        <v>782</v>
      </c>
      <c r="N55" s="2442">
        <f t="shared" si="36"/>
        <v>1604</v>
      </c>
      <c r="O55" s="2443">
        <f t="shared" si="36"/>
        <v>2386</v>
      </c>
      <c r="P55" s="2441">
        <f t="shared" si="36"/>
        <v>681</v>
      </c>
      <c r="Q55" s="2442">
        <f t="shared" si="36"/>
        <v>1704</v>
      </c>
      <c r="R55" s="2443">
        <f t="shared" si="36"/>
        <v>2385</v>
      </c>
      <c r="S55" s="2441">
        <f t="shared" si="36"/>
        <v>737</v>
      </c>
      <c r="T55" s="2442">
        <f t="shared" si="36"/>
        <v>1830</v>
      </c>
      <c r="U55" s="2443">
        <f t="shared" si="36"/>
        <v>2567</v>
      </c>
      <c r="V55" s="2441">
        <f t="shared" si="36"/>
        <v>748</v>
      </c>
      <c r="W55" s="2442">
        <f t="shared" si="36"/>
        <v>1731</v>
      </c>
      <c r="X55" s="2443">
        <f t="shared" si="36"/>
        <v>2479</v>
      </c>
      <c r="Y55" s="2441">
        <f t="shared" si="36"/>
        <v>652</v>
      </c>
      <c r="Z55" s="2442">
        <f t="shared" si="36"/>
        <v>2024</v>
      </c>
      <c r="AA55" s="2443">
        <f t="shared" si="36"/>
        <v>2676</v>
      </c>
      <c r="AB55" s="2441">
        <f t="shared" si="36"/>
        <v>735</v>
      </c>
      <c r="AC55" s="2442">
        <f t="shared" si="36"/>
        <v>1954</v>
      </c>
      <c r="AD55" s="2443">
        <f t="shared" si="36"/>
        <v>2689</v>
      </c>
      <c r="AE55" s="2441">
        <f t="shared" si="36"/>
        <v>754</v>
      </c>
      <c r="AF55" s="2442">
        <f t="shared" si="36"/>
        <v>1980</v>
      </c>
      <c r="AG55" s="2443">
        <f t="shared" si="36"/>
        <v>2734</v>
      </c>
      <c r="AH55" s="2441">
        <f t="shared" ref="AH55:AM55" si="37">SUM(AH54,AH47,AH35)</f>
        <v>763</v>
      </c>
      <c r="AI55" s="2442">
        <f t="shared" si="37"/>
        <v>2119</v>
      </c>
      <c r="AJ55" s="2443">
        <f t="shared" si="37"/>
        <v>2882</v>
      </c>
      <c r="AK55" s="2441">
        <f t="shared" si="37"/>
        <v>683</v>
      </c>
      <c r="AL55" s="2442">
        <f t="shared" si="37"/>
        <v>1934</v>
      </c>
      <c r="AM55" s="2443">
        <f t="shared" si="37"/>
        <v>2617</v>
      </c>
      <c r="AN55" s="2441">
        <f t="shared" ref="AN55:AP55" si="38">SUM(AN54,AN47,AN35)</f>
        <v>608</v>
      </c>
      <c r="AO55" s="2442">
        <f t="shared" si="38"/>
        <v>1935</v>
      </c>
      <c r="AP55" s="2443">
        <f t="shared" si="38"/>
        <v>2543</v>
      </c>
    </row>
    <row r="56" spans="1:42" s="186" customFormat="1" ht="15" customHeight="1" x14ac:dyDescent="0.25">
      <c r="A56" s="5072" t="s">
        <v>448</v>
      </c>
      <c r="B56" s="5052" t="s">
        <v>6</v>
      </c>
      <c r="C56" s="827" t="s">
        <v>462</v>
      </c>
      <c r="D56" s="861">
        <v>89</v>
      </c>
      <c r="E56" s="862">
        <v>94</v>
      </c>
      <c r="F56" s="830">
        <v>183</v>
      </c>
      <c r="G56" s="861">
        <v>115</v>
      </c>
      <c r="H56" s="862">
        <v>104</v>
      </c>
      <c r="I56" s="830">
        <v>219</v>
      </c>
      <c r="J56" s="828">
        <v>117</v>
      </c>
      <c r="K56" s="829">
        <v>87</v>
      </c>
      <c r="L56" s="830">
        <v>204</v>
      </c>
      <c r="M56" s="828">
        <v>89</v>
      </c>
      <c r="N56" s="829">
        <v>83</v>
      </c>
      <c r="O56" s="830">
        <v>172</v>
      </c>
      <c r="P56" s="828">
        <v>135</v>
      </c>
      <c r="Q56" s="829">
        <v>96</v>
      </c>
      <c r="R56" s="830">
        <v>231</v>
      </c>
      <c r="S56" s="828">
        <v>112</v>
      </c>
      <c r="T56" s="829">
        <v>103</v>
      </c>
      <c r="U56" s="830">
        <v>215</v>
      </c>
      <c r="V56" s="828">
        <v>99</v>
      </c>
      <c r="W56" s="829">
        <v>86</v>
      </c>
      <c r="X56" s="830">
        <v>185</v>
      </c>
      <c r="Y56" s="828">
        <v>102</v>
      </c>
      <c r="Z56" s="829">
        <v>101</v>
      </c>
      <c r="AA56" s="830">
        <f t="shared" si="0"/>
        <v>203</v>
      </c>
      <c r="AB56" s="831">
        <v>109</v>
      </c>
      <c r="AC56" s="829">
        <v>99</v>
      </c>
      <c r="AD56" s="830">
        <f t="shared" si="1"/>
        <v>208</v>
      </c>
      <c r="AE56" s="831">
        <v>105</v>
      </c>
      <c r="AF56" s="829">
        <v>104</v>
      </c>
      <c r="AG56" s="830">
        <f t="shared" si="2"/>
        <v>209</v>
      </c>
      <c r="AH56" s="831">
        <v>106</v>
      </c>
      <c r="AI56" s="829">
        <v>109</v>
      </c>
      <c r="AJ56" s="830">
        <f t="shared" ref="AJ56:AJ61" si="39">SUM(AH56:AI56)</f>
        <v>215</v>
      </c>
      <c r="AK56" s="831">
        <v>121</v>
      </c>
      <c r="AL56" s="829">
        <v>103</v>
      </c>
      <c r="AM56" s="830">
        <f t="shared" ref="AM56:AM61" si="40">SUM(AK56:AL56)</f>
        <v>224</v>
      </c>
      <c r="AN56" s="831">
        <v>112</v>
      </c>
      <c r="AO56" s="829">
        <v>107</v>
      </c>
      <c r="AP56" s="830">
        <f t="shared" ref="AP56:AP61" si="41">SUM(AN56:AO56)</f>
        <v>219</v>
      </c>
    </row>
    <row r="57" spans="1:42" s="186" customFormat="1" ht="15" customHeight="1" x14ac:dyDescent="0.25">
      <c r="A57" s="5073"/>
      <c r="B57" s="5053"/>
      <c r="C57" s="813" t="s">
        <v>490</v>
      </c>
      <c r="D57" s="854">
        <v>111</v>
      </c>
      <c r="E57" s="855">
        <v>112</v>
      </c>
      <c r="F57" s="816">
        <v>223</v>
      </c>
      <c r="G57" s="854">
        <v>157</v>
      </c>
      <c r="H57" s="855">
        <v>127</v>
      </c>
      <c r="I57" s="816">
        <v>284</v>
      </c>
      <c r="J57" s="814">
        <v>137</v>
      </c>
      <c r="K57" s="815">
        <v>125</v>
      </c>
      <c r="L57" s="816">
        <v>262</v>
      </c>
      <c r="M57" s="814">
        <v>110</v>
      </c>
      <c r="N57" s="815">
        <v>116</v>
      </c>
      <c r="O57" s="816">
        <v>226</v>
      </c>
      <c r="P57" s="814">
        <v>113</v>
      </c>
      <c r="Q57" s="815">
        <v>106</v>
      </c>
      <c r="R57" s="816">
        <v>219</v>
      </c>
      <c r="S57" s="814">
        <v>117</v>
      </c>
      <c r="T57" s="815">
        <v>113</v>
      </c>
      <c r="U57" s="816">
        <v>230</v>
      </c>
      <c r="V57" s="814">
        <v>111</v>
      </c>
      <c r="W57" s="815">
        <v>107</v>
      </c>
      <c r="X57" s="816">
        <v>218</v>
      </c>
      <c r="Y57" s="814">
        <v>113</v>
      </c>
      <c r="Z57" s="815">
        <v>119</v>
      </c>
      <c r="AA57" s="816">
        <f t="shared" si="0"/>
        <v>232</v>
      </c>
      <c r="AB57" s="817">
        <v>109</v>
      </c>
      <c r="AC57" s="815">
        <v>97</v>
      </c>
      <c r="AD57" s="816">
        <f t="shared" si="1"/>
        <v>206</v>
      </c>
      <c r="AE57" s="817">
        <v>114</v>
      </c>
      <c r="AF57" s="815">
        <v>113</v>
      </c>
      <c r="AG57" s="816">
        <f t="shared" si="2"/>
        <v>227</v>
      </c>
      <c r="AH57" s="817">
        <v>108</v>
      </c>
      <c r="AI57" s="815">
        <v>111</v>
      </c>
      <c r="AJ57" s="816">
        <f t="shared" si="39"/>
        <v>219</v>
      </c>
      <c r="AK57" s="817">
        <v>120</v>
      </c>
      <c r="AL57" s="815">
        <v>111</v>
      </c>
      <c r="AM57" s="816">
        <f t="shared" si="40"/>
        <v>231</v>
      </c>
      <c r="AN57" s="817">
        <v>109</v>
      </c>
      <c r="AO57" s="815">
        <v>113</v>
      </c>
      <c r="AP57" s="816">
        <f t="shared" si="41"/>
        <v>222</v>
      </c>
    </row>
    <row r="58" spans="1:42" s="186" customFormat="1" ht="15" customHeight="1" x14ac:dyDescent="0.25">
      <c r="A58" s="5073"/>
      <c r="B58" s="5053"/>
      <c r="C58" s="813" t="s">
        <v>464</v>
      </c>
      <c r="D58" s="854">
        <v>88</v>
      </c>
      <c r="E58" s="855">
        <v>89</v>
      </c>
      <c r="F58" s="816">
        <v>177</v>
      </c>
      <c r="G58" s="854">
        <v>119</v>
      </c>
      <c r="H58" s="855">
        <v>99</v>
      </c>
      <c r="I58" s="816">
        <v>218</v>
      </c>
      <c r="J58" s="814">
        <v>104</v>
      </c>
      <c r="K58" s="815">
        <v>100</v>
      </c>
      <c r="L58" s="816">
        <v>204</v>
      </c>
      <c r="M58" s="814">
        <v>91</v>
      </c>
      <c r="N58" s="815">
        <v>102</v>
      </c>
      <c r="O58" s="816">
        <v>193</v>
      </c>
      <c r="P58" s="814">
        <v>103</v>
      </c>
      <c r="Q58" s="815">
        <v>100</v>
      </c>
      <c r="R58" s="816">
        <v>203</v>
      </c>
      <c r="S58" s="814">
        <v>109</v>
      </c>
      <c r="T58" s="815">
        <v>100</v>
      </c>
      <c r="U58" s="816">
        <v>209</v>
      </c>
      <c r="V58" s="814">
        <v>98</v>
      </c>
      <c r="W58" s="815">
        <v>89</v>
      </c>
      <c r="X58" s="816">
        <v>187</v>
      </c>
      <c r="Y58" s="814">
        <v>101</v>
      </c>
      <c r="Z58" s="815">
        <v>96</v>
      </c>
      <c r="AA58" s="816">
        <f t="shared" si="0"/>
        <v>197</v>
      </c>
      <c r="AB58" s="817">
        <v>101</v>
      </c>
      <c r="AC58" s="815">
        <v>91</v>
      </c>
      <c r="AD58" s="816">
        <f t="shared" si="1"/>
        <v>192</v>
      </c>
      <c r="AE58" s="817">
        <v>104</v>
      </c>
      <c r="AF58" s="815">
        <v>100</v>
      </c>
      <c r="AG58" s="816">
        <f t="shared" si="2"/>
        <v>204</v>
      </c>
      <c r="AH58" s="817">
        <v>101</v>
      </c>
      <c r="AI58" s="815">
        <v>105</v>
      </c>
      <c r="AJ58" s="816">
        <f t="shared" si="39"/>
        <v>206</v>
      </c>
      <c r="AK58" s="817">
        <v>116</v>
      </c>
      <c r="AL58" s="815">
        <v>99</v>
      </c>
      <c r="AM58" s="816">
        <f t="shared" si="40"/>
        <v>215</v>
      </c>
      <c r="AN58" s="817">
        <v>110</v>
      </c>
      <c r="AO58" s="815">
        <v>109</v>
      </c>
      <c r="AP58" s="816">
        <f t="shared" si="41"/>
        <v>219</v>
      </c>
    </row>
    <row r="59" spans="1:42" s="186" customFormat="1" ht="15" customHeight="1" x14ac:dyDescent="0.25">
      <c r="A59" s="5073"/>
      <c r="B59" s="5053"/>
      <c r="C59" s="813" t="s">
        <v>491</v>
      </c>
      <c r="D59" s="854">
        <v>203</v>
      </c>
      <c r="E59" s="855">
        <v>196</v>
      </c>
      <c r="F59" s="816">
        <v>399</v>
      </c>
      <c r="G59" s="854">
        <v>261</v>
      </c>
      <c r="H59" s="855">
        <v>238</v>
      </c>
      <c r="I59" s="816">
        <v>499</v>
      </c>
      <c r="J59" s="814">
        <v>263</v>
      </c>
      <c r="K59" s="815">
        <v>237</v>
      </c>
      <c r="L59" s="816">
        <v>500</v>
      </c>
      <c r="M59" s="814">
        <v>192</v>
      </c>
      <c r="N59" s="815">
        <v>182</v>
      </c>
      <c r="O59" s="816">
        <v>374</v>
      </c>
      <c r="P59" s="814">
        <v>201</v>
      </c>
      <c r="Q59" s="815">
        <v>195</v>
      </c>
      <c r="R59" s="816">
        <v>396</v>
      </c>
      <c r="S59" s="814">
        <v>208</v>
      </c>
      <c r="T59" s="815">
        <v>201</v>
      </c>
      <c r="U59" s="816">
        <v>409</v>
      </c>
      <c r="V59" s="814">
        <v>199</v>
      </c>
      <c r="W59" s="815">
        <v>189</v>
      </c>
      <c r="X59" s="816">
        <v>388</v>
      </c>
      <c r="Y59" s="814">
        <v>200</v>
      </c>
      <c r="Z59" s="815">
        <v>193</v>
      </c>
      <c r="AA59" s="816">
        <f t="shared" si="0"/>
        <v>393</v>
      </c>
      <c r="AB59" s="817">
        <v>192</v>
      </c>
      <c r="AC59" s="815">
        <v>183</v>
      </c>
      <c r="AD59" s="816">
        <f t="shared" si="1"/>
        <v>375</v>
      </c>
      <c r="AE59" s="817">
        <v>188</v>
      </c>
      <c r="AF59" s="815">
        <v>196</v>
      </c>
      <c r="AG59" s="816">
        <f t="shared" si="2"/>
        <v>384</v>
      </c>
      <c r="AH59" s="817">
        <v>176</v>
      </c>
      <c r="AI59" s="815">
        <v>179</v>
      </c>
      <c r="AJ59" s="816">
        <f t="shared" si="39"/>
        <v>355</v>
      </c>
      <c r="AK59" s="817">
        <v>183</v>
      </c>
      <c r="AL59" s="815">
        <v>174</v>
      </c>
      <c r="AM59" s="816">
        <f t="shared" si="40"/>
        <v>357</v>
      </c>
      <c r="AN59" s="817">
        <v>178</v>
      </c>
      <c r="AO59" s="815">
        <v>160</v>
      </c>
      <c r="AP59" s="816">
        <f t="shared" si="41"/>
        <v>338</v>
      </c>
    </row>
    <row r="60" spans="1:42" s="186" customFormat="1" ht="15" customHeight="1" x14ac:dyDescent="0.25">
      <c r="A60" s="5073"/>
      <c r="B60" s="5053"/>
      <c r="C60" s="813" t="s">
        <v>465</v>
      </c>
      <c r="D60" s="854">
        <v>107</v>
      </c>
      <c r="E60" s="855">
        <v>141</v>
      </c>
      <c r="F60" s="816">
        <v>248</v>
      </c>
      <c r="G60" s="854">
        <v>138</v>
      </c>
      <c r="H60" s="855">
        <v>130</v>
      </c>
      <c r="I60" s="816">
        <v>268</v>
      </c>
      <c r="J60" s="814">
        <v>105</v>
      </c>
      <c r="K60" s="815">
        <v>102</v>
      </c>
      <c r="L60" s="816">
        <v>207</v>
      </c>
      <c r="M60" s="814">
        <v>112</v>
      </c>
      <c r="N60" s="815">
        <v>114</v>
      </c>
      <c r="O60" s="816">
        <v>226</v>
      </c>
      <c r="P60" s="814">
        <v>108</v>
      </c>
      <c r="Q60" s="815">
        <v>110</v>
      </c>
      <c r="R60" s="816">
        <v>218</v>
      </c>
      <c r="S60" s="814">
        <v>109</v>
      </c>
      <c r="T60" s="815">
        <v>103</v>
      </c>
      <c r="U60" s="816">
        <v>212</v>
      </c>
      <c r="V60" s="814">
        <v>100</v>
      </c>
      <c r="W60" s="815">
        <v>98</v>
      </c>
      <c r="X60" s="816">
        <v>198</v>
      </c>
      <c r="Y60" s="814">
        <v>104</v>
      </c>
      <c r="Z60" s="815">
        <v>106</v>
      </c>
      <c r="AA60" s="816">
        <f t="shared" si="0"/>
        <v>210</v>
      </c>
      <c r="AB60" s="817">
        <v>104</v>
      </c>
      <c r="AC60" s="815">
        <v>106</v>
      </c>
      <c r="AD60" s="816">
        <f t="shared" si="1"/>
        <v>210</v>
      </c>
      <c r="AE60" s="817">
        <v>100</v>
      </c>
      <c r="AF60" s="815">
        <v>104</v>
      </c>
      <c r="AG60" s="816">
        <f t="shared" si="2"/>
        <v>204</v>
      </c>
      <c r="AH60" s="817">
        <v>99</v>
      </c>
      <c r="AI60" s="815">
        <v>102</v>
      </c>
      <c r="AJ60" s="816">
        <f t="shared" si="39"/>
        <v>201</v>
      </c>
      <c r="AK60" s="817">
        <v>108</v>
      </c>
      <c r="AL60" s="815">
        <v>101</v>
      </c>
      <c r="AM60" s="816">
        <f t="shared" si="40"/>
        <v>209</v>
      </c>
      <c r="AN60" s="817">
        <v>102</v>
      </c>
      <c r="AO60" s="815">
        <v>99</v>
      </c>
      <c r="AP60" s="816">
        <f t="shared" si="41"/>
        <v>201</v>
      </c>
    </row>
    <row r="61" spans="1:42" s="186" customFormat="1" ht="15" customHeight="1" x14ac:dyDescent="0.25">
      <c r="A61" s="5073"/>
      <c r="B61" s="5053"/>
      <c r="C61" s="822" t="s">
        <v>492</v>
      </c>
      <c r="D61" s="860">
        <v>33</v>
      </c>
      <c r="E61" s="859">
        <v>43</v>
      </c>
      <c r="F61" s="825">
        <v>76</v>
      </c>
      <c r="G61" s="860">
        <v>49</v>
      </c>
      <c r="H61" s="859">
        <v>36</v>
      </c>
      <c r="I61" s="825">
        <v>85</v>
      </c>
      <c r="J61" s="823">
        <v>42</v>
      </c>
      <c r="K61" s="824">
        <v>33</v>
      </c>
      <c r="L61" s="825">
        <v>75</v>
      </c>
      <c r="M61" s="823">
        <v>37</v>
      </c>
      <c r="N61" s="824">
        <v>50</v>
      </c>
      <c r="O61" s="825">
        <v>87</v>
      </c>
      <c r="P61" s="823">
        <v>42</v>
      </c>
      <c r="Q61" s="824">
        <v>46</v>
      </c>
      <c r="R61" s="825">
        <v>88</v>
      </c>
      <c r="S61" s="823">
        <v>40</v>
      </c>
      <c r="T61" s="824">
        <v>35</v>
      </c>
      <c r="U61" s="825">
        <v>75</v>
      </c>
      <c r="V61" s="823">
        <v>36</v>
      </c>
      <c r="W61" s="824">
        <v>34</v>
      </c>
      <c r="X61" s="825">
        <v>70</v>
      </c>
      <c r="Y61" s="823">
        <v>34</v>
      </c>
      <c r="Z61" s="824">
        <v>37</v>
      </c>
      <c r="AA61" s="825">
        <f t="shared" si="0"/>
        <v>71</v>
      </c>
      <c r="AB61" s="826">
        <v>35</v>
      </c>
      <c r="AC61" s="824">
        <v>36</v>
      </c>
      <c r="AD61" s="825">
        <f t="shared" si="1"/>
        <v>71</v>
      </c>
      <c r="AE61" s="826">
        <v>35</v>
      </c>
      <c r="AF61" s="824">
        <v>42</v>
      </c>
      <c r="AG61" s="825">
        <f t="shared" si="2"/>
        <v>77</v>
      </c>
      <c r="AH61" s="826">
        <v>40</v>
      </c>
      <c r="AI61" s="824">
        <v>43</v>
      </c>
      <c r="AJ61" s="825">
        <f t="shared" si="39"/>
        <v>83</v>
      </c>
      <c r="AK61" s="826">
        <v>60</v>
      </c>
      <c r="AL61" s="824">
        <v>61</v>
      </c>
      <c r="AM61" s="825">
        <f t="shared" si="40"/>
        <v>121</v>
      </c>
      <c r="AN61" s="826">
        <v>60</v>
      </c>
      <c r="AO61" s="824">
        <v>61</v>
      </c>
      <c r="AP61" s="825">
        <f t="shared" si="41"/>
        <v>121</v>
      </c>
    </row>
    <row r="62" spans="1:42" s="186" customFormat="1" ht="15" customHeight="1" x14ac:dyDescent="0.25">
      <c r="A62" s="5073"/>
      <c r="B62" s="5054"/>
      <c r="C62" s="875" t="s">
        <v>160</v>
      </c>
      <c r="D62" s="876">
        <f>SUM(D56:D61)</f>
        <v>631</v>
      </c>
      <c r="E62" s="877">
        <f t="shared" ref="E62:AG62" si="42">SUM(E56:E61)</f>
        <v>675</v>
      </c>
      <c r="F62" s="586">
        <f t="shared" si="42"/>
        <v>1306</v>
      </c>
      <c r="G62" s="876">
        <f t="shared" si="42"/>
        <v>839</v>
      </c>
      <c r="H62" s="877">
        <f t="shared" si="42"/>
        <v>734</v>
      </c>
      <c r="I62" s="586">
        <f t="shared" si="42"/>
        <v>1573</v>
      </c>
      <c r="J62" s="876">
        <f t="shared" si="42"/>
        <v>768</v>
      </c>
      <c r="K62" s="877">
        <f t="shared" si="42"/>
        <v>684</v>
      </c>
      <c r="L62" s="586">
        <f t="shared" si="42"/>
        <v>1452</v>
      </c>
      <c r="M62" s="876">
        <f t="shared" si="42"/>
        <v>631</v>
      </c>
      <c r="N62" s="877">
        <f t="shared" si="42"/>
        <v>647</v>
      </c>
      <c r="O62" s="586">
        <f t="shared" si="42"/>
        <v>1278</v>
      </c>
      <c r="P62" s="876">
        <f t="shared" si="42"/>
        <v>702</v>
      </c>
      <c r="Q62" s="877">
        <f t="shared" si="42"/>
        <v>653</v>
      </c>
      <c r="R62" s="586">
        <f t="shared" si="42"/>
        <v>1355</v>
      </c>
      <c r="S62" s="876">
        <f t="shared" si="42"/>
        <v>695</v>
      </c>
      <c r="T62" s="877">
        <f t="shared" si="42"/>
        <v>655</v>
      </c>
      <c r="U62" s="586">
        <f t="shared" si="42"/>
        <v>1350</v>
      </c>
      <c r="V62" s="876">
        <f t="shared" si="42"/>
        <v>643</v>
      </c>
      <c r="W62" s="877">
        <f t="shared" si="42"/>
        <v>603</v>
      </c>
      <c r="X62" s="586">
        <f t="shared" si="42"/>
        <v>1246</v>
      </c>
      <c r="Y62" s="876">
        <f t="shared" si="42"/>
        <v>654</v>
      </c>
      <c r="Z62" s="877">
        <f t="shared" si="42"/>
        <v>652</v>
      </c>
      <c r="AA62" s="586">
        <f t="shared" si="42"/>
        <v>1306</v>
      </c>
      <c r="AB62" s="876">
        <f t="shared" si="42"/>
        <v>650</v>
      </c>
      <c r="AC62" s="877">
        <f t="shared" si="42"/>
        <v>612</v>
      </c>
      <c r="AD62" s="586">
        <f t="shared" si="42"/>
        <v>1262</v>
      </c>
      <c r="AE62" s="876">
        <f t="shared" si="42"/>
        <v>646</v>
      </c>
      <c r="AF62" s="877">
        <f t="shared" si="42"/>
        <v>659</v>
      </c>
      <c r="AG62" s="586">
        <f t="shared" si="42"/>
        <v>1305</v>
      </c>
      <c r="AH62" s="876">
        <f t="shared" ref="AH62:AM62" si="43">SUM(AH56:AH61)</f>
        <v>630</v>
      </c>
      <c r="AI62" s="877">
        <f t="shared" si="43"/>
        <v>649</v>
      </c>
      <c r="AJ62" s="586">
        <f t="shared" si="43"/>
        <v>1279</v>
      </c>
      <c r="AK62" s="876">
        <f t="shared" si="43"/>
        <v>708</v>
      </c>
      <c r="AL62" s="877">
        <f t="shared" si="43"/>
        <v>649</v>
      </c>
      <c r="AM62" s="586">
        <f t="shared" si="43"/>
        <v>1357</v>
      </c>
      <c r="AN62" s="876">
        <f>SUM(AN56:AN61)</f>
        <v>671</v>
      </c>
      <c r="AO62" s="877">
        <f t="shared" ref="AO62:AP62" si="44">SUM(AO56:AO61)</f>
        <v>649</v>
      </c>
      <c r="AP62" s="586">
        <f t="shared" si="44"/>
        <v>1320</v>
      </c>
    </row>
    <row r="63" spans="1:42" s="186" customFormat="1" ht="15" customHeight="1" x14ac:dyDescent="0.25">
      <c r="A63" s="5073"/>
      <c r="B63" s="5052" t="s">
        <v>11</v>
      </c>
      <c r="C63" s="807" t="s">
        <v>484</v>
      </c>
      <c r="D63" s="852">
        <v>94</v>
      </c>
      <c r="E63" s="853">
        <v>84</v>
      </c>
      <c r="F63" s="810">
        <v>178</v>
      </c>
      <c r="G63" s="852">
        <v>90</v>
      </c>
      <c r="H63" s="853">
        <v>124</v>
      </c>
      <c r="I63" s="810">
        <v>214</v>
      </c>
      <c r="J63" s="808">
        <v>127</v>
      </c>
      <c r="K63" s="809">
        <v>131</v>
      </c>
      <c r="L63" s="810">
        <v>258</v>
      </c>
      <c r="M63" s="808">
        <v>124</v>
      </c>
      <c r="N63" s="809">
        <v>130</v>
      </c>
      <c r="O63" s="810">
        <v>254</v>
      </c>
      <c r="P63" s="808">
        <v>126</v>
      </c>
      <c r="Q63" s="809">
        <v>97</v>
      </c>
      <c r="R63" s="810">
        <v>223</v>
      </c>
      <c r="S63" s="808">
        <v>116</v>
      </c>
      <c r="T63" s="809">
        <v>99</v>
      </c>
      <c r="U63" s="810">
        <v>215</v>
      </c>
      <c r="V63" s="808">
        <v>100</v>
      </c>
      <c r="W63" s="809">
        <v>91</v>
      </c>
      <c r="X63" s="810">
        <v>191</v>
      </c>
      <c r="Y63" s="808">
        <v>101</v>
      </c>
      <c r="Z63" s="809">
        <v>104</v>
      </c>
      <c r="AA63" s="810">
        <f t="shared" si="0"/>
        <v>205</v>
      </c>
      <c r="AB63" s="811">
        <v>104</v>
      </c>
      <c r="AC63" s="809">
        <v>99</v>
      </c>
      <c r="AD63" s="810">
        <f t="shared" si="1"/>
        <v>203</v>
      </c>
      <c r="AE63" s="811">
        <v>101</v>
      </c>
      <c r="AF63" s="809">
        <v>106</v>
      </c>
      <c r="AG63" s="810">
        <f t="shared" si="2"/>
        <v>207</v>
      </c>
      <c r="AH63" s="811">
        <v>108</v>
      </c>
      <c r="AI63" s="809">
        <v>104</v>
      </c>
      <c r="AJ63" s="810">
        <f t="shared" ref="AJ63:AJ70" si="45">SUM(AH63:AI63)</f>
        <v>212</v>
      </c>
      <c r="AK63" s="811">
        <v>108</v>
      </c>
      <c r="AL63" s="809">
        <v>105</v>
      </c>
      <c r="AM63" s="810">
        <f t="shared" ref="AM63:AM70" si="46">SUM(AK63:AL63)</f>
        <v>213</v>
      </c>
      <c r="AN63" s="811">
        <v>104</v>
      </c>
      <c r="AO63" s="809">
        <v>105</v>
      </c>
      <c r="AP63" s="810">
        <f t="shared" ref="AP63:AP70" si="47">SUM(AN63:AO63)</f>
        <v>209</v>
      </c>
    </row>
    <row r="64" spans="1:42" s="186" customFormat="1" ht="15" customHeight="1" x14ac:dyDescent="0.25">
      <c r="A64" s="5073"/>
      <c r="B64" s="5053"/>
      <c r="C64" s="813" t="s">
        <v>493</v>
      </c>
      <c r="D64" s="854">
        <v>63</v>
      </c>
      <c r="E64" s="855">
        <v>65</v>
      </c>
      <c r="F64" s="816">
        <v>128</v>
      </c>
      <c r="G64" s="854">
        <v>99</v>
      </c>
      <c r="H64" s="855">
        <v>83</v>
      </c>
      <c r="I64" s="816">
        <v>182</v>
      </c>
      <c r="J64" s="814">
        <v>89</v>
      </c>
      <c r="K64" s="815">
        <v>90</v>
      </c>
      <c r="L64" s="816">
        <v>179</v>
      </c>
      <c r="M64" s="814">
        <v>86</v>
      </c>
      <c r="N64" s="815">
        <v>86</v>
      </c>
      <c r="O64" s="816">
        <v>172</v>
      </c>
      <c r="P64" s="814">
        <v>67</v>
      </c>
      <c r="Q64" s="815">
        <v>61</v>
      </c>
      <c r="R64" s="816">
        <v>128</v>
      </c>
      <c r="S64" s="814">
        <v>86</v>
      </c>
      <c r="T64" s="815">
        <v>76</v>
      </c>
      <c r="U64" s="816">
        <v>162</v>
      </c>
      <c r="V64" s="814">
        <v>79</v>
      </c>
      <c r="W64" s="815">
        <v>77</v>
      </c>
      <c r="X64" s="816">
        <v>156</v>
      </c>
      <c r="Y64" s="814">
        <v>76</v>
      </c>
      <c r="Z64" s="815">
        <v>75</v>
      </c>
      <c r="AA64" s="816">
        <f t="shared" si="0"/>
        <v>151</v>
      </c>
      <c r="AB64" s="817">
        <v>74</v>
      </c>
      <c r="AC64" s="815">
        <v>64</v>
      </c>
      <c r="AD64" s="816">
        <f t="shared" si="1"/>
        <v>138</v>
      </c>
      <c r="AE64" s="817">
        <v>68</v>
      </c>
      <c r="AF64" s="815">
        <v>66</v>
      </c>
      <c r="AG64" s="816">
        <f t="shared" si="2"/>
        <v>134</v>
      </c>
      <c r="AH64" s="817">
        <v>72</v>
      </c>
      <c r="AI64" s="815">
        <v>64</v>
      </c>
      <c r="AJ64" s="816">
        <f t="shared" si="45"/>
        <v>136</v>
      </c>
      <c r="AK64" s="817">
        <v>72</v>
      </c>
      <c r="AL64" s="815">
        <v>64</v>
      </c>
      <c r="AM64" s="816">
        <f t="shared" si="46"/>
        <v>136</v>
      </c>
      <c r="AN64" s="817">
        <v>70</v>
      </c>
      <c r="AO64" s="815">
        <v>68</v>
      </c>
      <c r="AP64" s="816">
        <f t="shared" si="47"/>
        <v>138</v>
      </c>
    </row>
    <row r="65" spans="1:42" s="186" customFormat="1" ht="15" customHeight="1" x14ac:dyDescent="0.25">
      <c r="A65" s="5073"/>
      <c r="B65" s="5053"/>
      <c r="C65" s="813" t="s">
        <v>494</v>
      </c>
      <c r="D65" s="854">
        <v>90</v>
      </c>
      <c r="E65" s="855">
        <v>100</v>
      </c>
      <c r="F65" s="816">
        <v>190</v>
      </c>
      <c r="G65" s="854">
        <v>142</v>
      </c>
      <c r="H65" s="855">
        <v>134</v>
      </c>
      <c r="I65" s="816">
        <v>276</v>
      </c>
      <c r="J65" s="814">
        <v>136</v>
      </c>
      <c r="K65" s="815">
        <v>115</v>
      </c>
      <c r="L65" s="816">
        <v>251</v>
      </c>
      <c r="M65" s="814">
        <v>105</v>
      </c>
      <c r="N65" s="815">
        <v>103</v>
      </c>
      <c r="O65" s="816">
        <v>208</v>
      </c>
      <c r="P65" s="814">
        <v>84</v>
      </c>
      <c r="Q65" s="815">
        <v>88</v>
      </c>
      <c r="R65" s="816">
        <v>172</v>
      </c>
      <c r="S65" s="814">
        <v>94</v>
      </c>
      <c r="T65" s="815">
        <v>86</v>
      </c>
      <c r="U65" s="816">
        <v>180</v>
      </c>
      <c r="V65" s="814">
        <v>81</v>
      </c>
      <c r="W65" s="815">
        <v>80</v>
      </c>
      <c r="X65" s="816">
        <v>161</v>
      </c>
      <c r="Y65" s="814">
        <v>93</v>
      </c>
      <c r="Z65" s="815">
        <v>96</v>
      </c>
      <c r="AA65" s="816">
        <f t="shared" si="0"/>
        <v>189</v>
      </c>
      <c r="AB65" s="817">
        <v>85</v>
      </c>
      <c r="AC65" s="815">
        <v>83</v>
      </c>
      <c r="AD65" s="816">
        <f t="shared" si="1"/>
        <v>168</v>
      </c>
      <c r="AE65" s="817">
        <v>79</v>
      </c>
      <c r="AF65" s="815">
        <v>79</v>
      </c>
      <c r="AG65" s="816">
        <f t="shared" si="2"/>
        <v>158</v>
      </c>
      <c r="AH65" s="817">
        <v>89</v>
      </c>
      <c r="AI65" s="815">
        <v>79</v>
      </c>
      <c r="AJ65" s="816">
        <f t="shared" si="45"/>
        <v>168</v>
      </c>
      <c r="AK65" s="817">
        <v>101</v>
      </c>
      <c r="AL65" s="815">
        <v>90</v>
      </c>
      <c r="AM65" s="816">
        <f t="shared" si="46"/>
        <v>191</v>
      </c>
      <c r="AN65" s="817">
        <v>95</v>
      </c>
      <c r="AO65" s="815">
        <v>96</v>
      </c>
      <c r="AP65" s="816">
        <f t="shared" si="47"/>
        <v>191</v>
      </c>
    </row>
    <row r="66" spans="1:42" s="186" customFormat="1" ht="15" customHeight="1" x14ac:dyDescent="0.25">
      <c r="A66" s="5073"/>
      <c r="B66" s="5053"/>
      <c r="C66" s="813" t="s">
        <v>495</v>
      </c>
      <c r="D66" s="854">
        <v>134</v>
      </c>
      <c r="E66" s="855">
        <v>131</v>
      </c>
      <c r="F66" s="816">
        <v>265</v>
      </c>
      <c r="G66" s="854">
        <v>186</v>
      </c>
      <c r="H66" s="855">
        <v>148</v>
      </c>
      <c r="I66" s="816">
        <v>334</v>
      </c>
      <c r="J66" s="814">
        <v>178</v>
      </c>
      <c r="K66" s="815">
        <v>140</v>
      </c>
      <c r="L66" s="816">
        <v>318</v>
      </c>
      <c r="M66" s="814">
        <v>149</v>
      </c>
      <c r="N66" s="815">
        <v>147</v>
      </c>
      <c r="O66" s="816">
        <v>296</v>
      </c>
      <c r="P66" s="814">
        <v>140</v>
      </c>
      <c r="Q66" s="815">
        <v>119</v>
      </c>
      <c r="R66" s="816">
        <v>259</v>
      </c>
      <c r="S66" s="814">
        <v>136</v>
      </c>
      <c r="T66" s="815">
        <v>121</v>
      </c>
      <c r="U66" s="816">
        <v>257</v>
      </c>
      <c r="V66" s="814">
        <v>126</v>
      </c>
      <c r="W66" s="815">
        <v>122</v>
      </c>
      <c r="X66" s="816">
        <v>248</v>
      </c>
      <c r="Y66" s="814">
        <v>122</v>
      </c>
      <c r="Z66" s="815">
        <v>122</v>
      </c>
      <c r="AA66" s="816">
        <f t="shared" si="0"/>
        <v>244</v>
      </c>
      <c r="AB66" s="817">
        <v>130</v>
      </c>
      <c r="AC66" s="815">
        <v>125</v>
      </c>
      <c r="AD66" s="816">
        <f t="shared" si="1"/>
        <v>255</v>
      </c>
      <c r="AE66" s="817">
        <v>127</v>
      </c>
      <c r="AF66" s="815">
        <v>125</v>
      </c>
      <c r="AG66" s="816">
        <f t="shared" si="2"/>
        <v>252</v>
      </c>
      <c r="AH66" s="817">
        <v>147</v>
      </c>
      <c r="AI66" s="815">
        <v>146</v>
      </c>
      <c r="AJ66" s="816">
        <f t="shared" si="45"/>
        <v>293</v>
      </c>
      <c r="AK66" s="817">
        <v>157</v>
      </c>
      <c r="AL66" s="815">
        <v>148</v>
      </c>
      <c r="AM66" s="816">
        <f t="shared" si="46"/>
        <v>305</v>
      </c>
      <c r="AN66" s="817">
        <v>156</v>
      </c>
      <c r="AO66" s="815">
        <v>152</v>
      </c>
      <c r="AP66" s="816">
        <f t="shared" si="47"/>
        <v>308</v>
      </c>
    </row>
    <row r="67" spans="1:42" s="186" customFormat="1" ht="15" customHeight="1" x14ac:dyDescent="0.25">
      <c r="A67" s="5073"/>
      <c r="B67" s="5053"/>
      <c r="C67" s="813" t="s">
        <v>496</v>
      </c>
      <c r="D67" s="854">
        <v>147</v>
      </c>
      <c r="E67" s="855">
        <v>150</v>
      </c>
      <c r="F67" s="816">
        <v>297</v>
      </c>
      <c r="G67" s="854">
        <v>179</v>
      </c>
      <c r="H67" s="855">
        <v>187</v>
      </c>
      <c r="I67" s="816">
        <v>366</v>
      </c>
      <c r="J67" s="814">
        <v>154</v>
      </c>
      <c r="K67" s="815">
        <v>174</v>
      </c>
      <c r="L67" s="816">
        <v>328</v>
      </c>
      <c r="M67" s="814">
        <v>162</v>
      </c>
      <c r="N67" s="815">
        <v>159</v>
      </c>
      <c r="O67" s="816">
        <v>321</v>
      </c>
      <c r="P67" s="814">
        <v>158</v>
      </c>
      <c r="Q67" s="815">
        <v>144</v>
      </c>
      <c r="R67" s="816">
        <v>302</v>
      </c>
      <c r="S67" s="814">
        <v>129</v>
      </c>
      <c r="T67" s="815">
        <v>121</v>
      </c>
      <c r="U67" s="816">
        <v>250</v>
      </c>
      <c r="V67" s="814">
        <v>120</v>
      </c>
      <c r="W67" s="815">
        <v>119</v>
      </c>
      <c r="X67" s="816">
        <v>239</v>
      </c>
      <c r="Y67" s="814">
        <v>116</v>
      </c>
      <c r="Z67" s="815">
        <v>120</v>
      </c>
      <c r="AA67" s="816">
        <f t="shared" si="0"/>
        <v>236</v>
      </c>
      <c r="AB67" s="817">
        <v>117</v>
      </c>
      <c r="AC67" s="815">
        <v>114</v>
      </c>
      <c r="AD67" s="816">
        <f t="shared" si="1"/>
        <v>231</v>
      </c>
      <c r="AE67" s="817">
        <v>132</v>
      </c>
      <c r="AF67" s="815">
        <v>125</v>
      </c>
      <c r="AG67" s="816">
        <f t="shared" si="2"/>
        <v>257</v>
      </c>
      <c r="AH67" s="817">
        <v>136</v>
      </c>
      <c r="AI67" s="815">
        <v>139</v>
      </c>
      <c r="AJ67" s="816">
        <f t="shared" si="45"/>
        <v>275</v>
      </c>
      <c r="AK67" s="817">
        <v>129</v>
      </c>
      <c r="AL67" s="815">
        <v>129</v>
      </c>
      <c r="AM67" s="816">
        <f t="shared" si="46"/>
        <v>258</v>
      </c>
      <c r="AN67" s="817">
        <v>131</v>
      </c>
      <c r="AO67" s="815">
        <v>135</v>
      </c>
      <c r="AP67" s="816">
        <f t="shared" si="47"/>
        <v>266</v>
      </c>
    </row>
    <row r="68" spans="1:42" s="186" customFormat="1" ht="15" customHeight="1" x14ac:dyDescent="0.25">
      <c r="A68" s="5073"/>
      <c r="B68" s="5053"/>
      <c r="C68" s="813" t="s">
        <v>497</v>
      </c>
      <c r="D68" s="854">
        <v>75</v>
      </c>
      <c r="E68" s="855">
        <v>108</v>
      </c>
      <c r="F68" s="816">
        <v>183</v>
      </c>
      <c r="G68" s="854">
        <v>68</v>
      </c>
      <c r="H68" s="855">
        <v>84</v>
      </c>
      <c r="I68" s="816">
        <v>152</v>
      </c>
      <c r="J68" s="814">
        <v>59</v>
      </c>
      <c r="K68" s="815">
        <v>85</v>
      </c>
      <c r="L68" s="816">
        <v>144</v>
      </c>
      <c r="M68" s="814">
        <v>98</v>
      </c>
      <c r="N68" s="815">
        <v>74</v>
      </c>
      <c r="O68" s="816">
        <v>172</v>
      </c>
      <c r="P68" s="814">
        <v>90</v>
      </c>
      <c r="Q68" s="815">
        <v>113</v>
      </c>
      <c r="R68" s="816">
        <v>203</v>
      </c>
      <c r="S68" s="814">
        <v>104</v>
      </c>
      <c r="T68" s="815">
        <v>112</v>
      </c>
      <c r="U68" s="816">
        <v>216</v>
      </c>
      <c r="V68" s="814">
        <v>113</v>
      </c>
      <c r="W68" s="815">
        <v>109</v>
      </c>
      <c r="X68" s="816">
        <v>222</v>
      </c>
      <c r="Y68" s="814">
        <v>124</v>
      </c>
      <c r="Z68" s="815">
        <v>138</v>
      </c>
      <c r="AA68" s="816">
        <f t="shared" si="0"/>
        <v>262</v>
      </c>
      <c r="AB68" s="817">
        <v>129</v>
      </c>
      <c r="AC68" s="815">
        <v>131</v>
      </c>
      <c r="AD68" s="816">
        <f t="shared" si="1"/>
        <v>260</v>
      </c>
      <c r="AE68" s="817">
        <v>117</v>
      </c>
      <c r="AF68" s="815">
        <v>122</v>
      </c>
      <c r="AG68" s="816">
        <f t="shared" si="2"/>
        <v>239</v>
      </c>
      <c r="AH68" s="817">
        <v>111</v>
      </c>
      <c r="AI68" s="815">
        <v>112</v>
      </c>
      <c r="AJ68" s="816">
        <f t="shared" si="45"/>
        <v>223</v>
      </c>
      <c r="AK68" s="817">
        <v>99</v>
      </c>
      <c r="AL68" s="815">
        <v>96</v>
      </c>
      <c r="AM68" s="816">
        <f t="shared" si="46"/>
        <v>195</v>
      </c>
      <c r="AN68" s="817">
        <v>104</v>
      </c>
      <c r="AO68" s="815">
        <v>99</v>
      </c>
      <c r="AP68" s="816">
        <f t="shared" si="47"/>
        <v>203</v>
      </c>
    </row>
    <row r="69" spans="1:42" s="186" customFormat="1" ht="15" customHeight="1" x14ac:dyDescent="0.25">
      <c r="A69" s="5073"/>
      <c r="B69" s="5053"/>
      <c r="C69" s="813" t="s">
        <v>498</v>
      </c>
      <c r="D69" s="854">
        <v>103</v>
      </c>
      <c r="E69" s="855">
        <v>86</v>
      </c>
      <c r="F69" s="816">
        <v>189</v>
      </c>
      <c r="G69" s="854">
        <v>134</v>
      </c>
      <c r="H69" s="855">
        <v>118</v>
      </c>
      <c r="I69" s="816">
        <v>252</v>
      </c>
      <c r="J69" s="814">
        <v>134</v>
      </c>
      <c r="K69" s="815">
        <v>112</v>
      </c>
      <c r="L69" s="816">
        <v>246</v>
      </c>
      <c r="M69" s="814">
        <v>124</v>
      </c>
      <c r="N69" s="815">
        <v>105</v>
      </c>
      <c r="O69" s="816">
        <v>229</v>
      </c>
      <c r="P69" s="814">
        <v>102</v>
      </c>
      <c r="Q69" s="815">
        <v>69</v>
      </c>
      <c r="R69" s="816">
        <v>171</v>
      </c>
      <c r="S69" s="814">
        <v>134</v>
      </c>
      <c r="T69" s="815">
        <v>115</v>
      </c>
      <c r="U69" s="816">
        <v>249</v>
      </c>
      <c r="V69" s="814">
        <v>117</v>
      </c>
      <c r="W69" s="815">
        <v>97</v>
      </c>
      <c r="X69" s="816">
        <v>214</v>
      </c>
      <c r="Y69" s="814">
        <v>117</v>
      </c>
      <c r="Z69" s="815">
        <v>111</v>
      </c>
      <c r="AA69" s="816">
        <f t="shared" ref="AA69:AA75" si="48">SUM(Y69:Z69)</f>
        <v>228</v>
      </c>
      <c r="AB69" s="817">
        <v>109</v>
      </c>
      <c r="AC69" s="815">
        <v>86</v>
      </c>
      <c r="AD69" s="816">
        <f t="shared" si="1"/>
        <v>195</v>
      </c>
      <c r="AE69" s="817">
        <v>107</v>
      </c>
      <c r="AF69" s="815">
        <v>95</v>
      </c>
      <c r="AG69" s="816">
        <f t="shared" si="2"/>
        <v>202</v>
      </c>
      <c r="AH69" s="817">
        <v>107</v>
      </c>
      <c r="AI69" s="815">
        <v>97</v>
      </c>
      <c r="AJ69" s="816">
        <f t="shared" si="45"/>
        <v>204</v>
      </c>
      <c r="AK69" s="817">
        <v>120</v>
      </c>
      <c r="AL69" s="815">
        <v>103</v>
      </c>
      <c r="AM69" s="816">
        <f t="shared" si="46"/>
        <v>223</v>
      </c>
      <c r="AN69" s="817">
        <v>117</v>
      </c>
      <c r="AO69" s="815">
        <v>101</v>
      </c>
      <c r="AP69" s="816">
        <f t="shared" si="47"/>
        <v>218</v>
      </c>
    </row>
    <row r="70" spans="1:42" s="186" customFormat="1" ht="15" customHeight="1" x14ac:dyDescent="0.25">
      <c r="A70" s="5073"/>
      <c r="B70" s="5053"/>
      <c r="C70" s="822" t="s">
        <v>499</v>
      </c>
      <c r="D70" s="860">
        <v>63</v>
      </c>
      <c r="E70" s="859">
        <v>52</v>
      </c>
      <c r="F70" s="825">
        <v>115</v>
      </c>
      <c r="G70" s="860">
        <v>77</v>
      </c>
      <c r="H70" s="859">
        <v>65</v>
      </c>
      <c r="I70" s="825">
        <v>142</v>
      </c>
      <c r="J70" s="823">
        <v>83</v>
      </c>
      <c r="K70" s="824">
        <v>65</v>
      </c>
      <c r="L70" s="825">
        <v>148</v>
      </c>
      <c r="M70" s="823">
        <v>67</v>
      </c>
      <c r="N70" s="824">
        <v>76</v>
      </c>
      <c r="O70" s="825">
        <v>143</v>
      </c>
      <c r="P70" s="823">
        <v>69</v>
      </c>
      <c r="Q70" s="824">
        <v>56</v>
      </c>
      <c r="R70" s="825">
        <v>125</v>
      </c>
      <c r="S70" s="823">
        <v>60</v>
      </c>
      <c r="T70" s="824">
        <v>53</v>
      </c>
      <c r="U70" s="825">
        <v>113</v>
      </c>
      <c r="V70" s="823">
        <v>54</v>
      </c>
      <c r="W70" s="824">
        <v>54</v>
      </c>
      <c r="X70" s="825">
        <v>108</v>
      </c>
      <c r="Y70" s="823">
        <v>64</v>
      </c>
      <c r="Z70" s="824">
        <v>57</v>
      </c>
      <c r="AA70" s="825">
        <f t="shared" si="48"/>
        <v>121</v>
      </c>
      <c r="AB70" s="826">
        <v>67</v>
      </c>
      <c r="AC70" s="824">
        <v>62</v>
      </c>
      <c r="AD70" s="825">
        <f t="shared" si="1"/>
        <v>129</v>
      </c>
      <c r="AE70" s="826">
        <v>64</v>
      </c>
      <c r="AF70" s="824">
        <v>63</v>
      </c>
      <c r="AG70" s="825">
        <f t="shared" si="2"/>
        <v>127</v>
      </c>
      <c r="AH70" s="826">
        <v>76</v>
      </c>
      <c r="AI70" s="824">
        <v>73</v>
      </c>
      <c r="AJ70" s="825">
        <f t="shared" si="45"/>
        <v>149</v>
      </c>
      <c r="AK70" s="826">
        <v>78</v>
      </c>
      <c r="AL70" s="824">
        <v>75</v>
      </c>
      <c r="AM70" s="825">
        <f t="shared" si="46"/>
        <v>153</v>
      </c>
      <c r="AN70" s="826">
        <v>74</v>
      </c>
      <c r="AO70" s="824">
        <v>77</v>
      </c>
      <c r="AP70" s="825">
        <f t="shared" si="47"/>
        <v>151</v>
      </c>
    </row>
    <row r="71" spans="1:42" s="186" customFormat="1" ht="15" customHeight="1" x14ac:dyDescent="0.25">
      <c r="A71" s="5073"/>
      <c r="B71" s="5054"/>
      <c r="C71" s="875" t="s">
        <v>160</v>
      </c>
      <c r="D71" s="876">
        <f>SUM(D63:D70)</f>
        <v>769</v>
      </c>
      <c r="E71" s="877">
        <f t="shared" ref="E71:AG71" si="49">SUM(E63:E70)</f>
        <v>776</v>
      </c>
      <c r="F71" s="586">
        <f t="shared" si="49"/>
        <v>1545</v>
      </c>
      <c r="G71" s="876">
        <f t="shared" si="49"/>
        <v>975</v>
      </c>
      <c r="H71" s="877">
        <f t="shared" si="49"/>
        <v>943</v>
      </c>
      <c r="I71" s="586">
        <f t="shared" si="49"/>
        <v>1918</v>
      </c>
      <c r="J71" s="876">
        <f t="shared" si="49"/>
        <v>960</v>
      </c>
      <c r="K71" s="877">
        <f t="shared" si="49"/>
        <v>912</v>
      </c>
      <c r="L71" s="586">
        <f t="shared" si="49"/>
        <v>1872</v>
      </c>
      <c r="M71" s="876">
        <f t="shared" si="49"/>
        <v>915</v>
      </c>
      <c r="N71" s="877">
        <f t="shared" si="49"/>
        <v>880</v>
      </c>
      <c r="O71" s="586">
        <f t="shared" si="49"/>
        <v>1795</v>
      </c>
      <c r="P71" s="876">
        <f t="shared" si="49"/>
        <v>836</v>
      </c>
      <c r="Q71" s="877">
        <f t="shared" si="49"/>
        <v>747</v>
      </c>
      <c r="R71" s="586">
        <f t="shared" si="49"/>
        <v>1583</v>
      </c>
      <c r="S71" s="876">
        <f t="shared" si="49"/>
        <v>859</v>
      </c>
      <c r="T71" s="877">
        <f t="shared" si="49"/>
        <v>783</v>
      </c>
      <c r="U71" s="586">
        <f t="shared" si="49"/>
        <v>1642</v>
      </c>
      <c r="V71" s="876">
        <f t="shared" si="49"/>
        <v>790</v>
      </c>
      <c r="W71" s="877">
        <f t="shared" si="49"/>
        <v>749</v>
      </c>
      <c r="X71" s="586">
        <f t="shared" si="49"/>
        <v>1539</v>
      </c>
      <c r="Y71" s="876">
        <f t="shared" si="49"/>
        <v>813</v>
      </c>
      <c r="Z71" s="877">
        <f t="shared" si="49"/>
        <v>823</v>
      </c>
      <c r="AA71" s="586">
        <f t="shared" si="49"/>
        <v>1636</v>
      </c>
      <c r="AB71" s="876">
        <f t="shared" si="49"/>
        <v>815</v>
      </c>
      <c r="AC71" s="877">
        <f t="shared" si="49"/>
        <v>764</v>
      </c>
      <c r="AD71" s="586">
        <f t="shared" si="49"/>
        <v>1579</v>
      </c>
      <c r="AE71" s="876">
        <f t="shared" si="49"/>
        <v>795</v>
      </c>
      <c r="AF71" s="877">
        <f t="shared" si="49"/>
        <v>781</v>
      </c>
      <c r="AG71" s="586">
        <f t="shared" si="49"/>
        <v>1576</v>
      </c>
      <c r="AH71" s="876">
        <f t="shared" ref="AH71:AM71" si="50">SUM(AH63:AH70)</f>
        <v>846</v>
      </c>
      <c r="AI71" s="877">
        <f t="shared" si="50"/>
        <v>814</v>
      </c>
      <c r="AJ71" s="586">
        <f t="shared" si="50"/>
        <v>1660</v>
      </c>
      <c r="AK71" s="876">
        <f t="shared" si="50"/>
        <v>864</v>
      </c>
      <c r="AL71" s="877">
        <f t="shared" si="50"/>
        <v>810</v>
      </c>
      <c r="AM71" s="586">
        <f t="shared" si="50"/>
        <v>1674</v>
      </c>
      <c r="AN71" s="876">
        <f>SUM(AN63:AN70)</f>
        <v>851</v>
      </c>
      <c r="AO71" s="877">
        <f t="shared" ref="AO71:AP71" si="51">SUM(AO63:AO70)</f>
        <v>833</v>
      </c>
      <c r="AP71" s="586">
        <f t="shared" si="51"/>
        <v>1684</v>
      </c>
    </row>
    <row r="72" spans="1:42" s="186" customFormat="1" ht="15" customHeight="1" x14ac:dyDescent="0.25">
      <c r="A72" s="5073"/>
      <c r="B72" s="5052" t="s">
        <v>7</v>
      </c>
      <c r="C72" s="827" t="s">
        <v>466</v>
      </c>
      <c r="D72" s="861">
        <v>152</v>
      </c>
      <c r="E72" s="862">
        <v>158</v>
      </c>
      <c r="F72" s="830">
        <v>310</v>
      </c>
      <c r="G72" s="861">
        <v>164</v>
      </c>
      <c r="H72" s="862">
        <v>162</v>
      </c>
      <c r="I72" s="830">
        <v>326</v>
      </c>
      <c r="J72" s="828">
        <v>163</v>
      </c>
      <c r="K72" s="829">
        <v>163</v>
      </c>
      <c r="L72" s="830">
        <v>326</v>
      </c>
      <c r="M72" s="828">
        <v>149</v>
      </c>
      <c r="N72" s="829">
        <v>152</v>
      </c>
      <c r="O72" s="830">
        <v>301</v>
      </c>
      <c r="P72" s="828">
        <v>158</v>
      </c>
      <c r="Q72" s="829">
        <v>162</v>
      </c>
      <c r="R72" s="830">
        <v>320</v>
      </c>
      <c r="S72" s="828">
        <v>163</v>
      </c>
      <c r="T72" s="829">
        <v>164</v>
      </c>
      <c r="U72" s="830">
        <v>327</v>
      </c>
      <c r="V72" s="828">
        <v>131</v>
      </c>
      <c r="W72" s="829">
        <v>128</v>
      </c>
      <c r="X72" s="830">
        <v>259</v>
      </c>
      <c r="Y72" s="828">
        <v>132</v>
      </c>
      <c r="Z72" s="829">
        <v>127</v>
      </c>
      <c r="AA72" s="830">
        <f t="shared" si="48"/>
        <v>259</v>
      </c>
      <c r="AB72" s="831">
        <v>136</v>
      </c>
      <c r="AC72" s="829">
        <v>128</v>
      </c>
      <c r="AD72" s="830">
        <f t="shared" si="1"/>
        <v>264</v>
      </c>
      <c r="AE72" s="831">
        <v>133</v>
      </c>
      <c r="AF72" s="829">
        <v>130</v>
      </c>
      <c r="AG72" s="830">
        <f t="shared" si="2"/>
        <v>263</v>
      </c>
      <c r="AH72" s="831">
        <v>136</v>
      </c>
      <c r="AI72" s="829">
        <v>130</v>
      </c>
      <c r="AJ72" s="830">
        <f>SUM(AH72:AI72)</f>
        <v>266</v>
      </c>
      <c r="AK72" s="831">
        <v>135</v>
      </c>
      <c r="AL72" s="829">
        <v>128</v>
      </c>
      <c r="AM72" s="830">
        <f>SUM(AK72:AL72)</f>
        <v>263</v>
      </c>
      <c r="AN72" s="831">
        <v>134</v>
      </c>
      <c r="AO72" s="829">
        <v>132</v>
      </c>
      <c r="AP72" s="830">
        <f>SUM(AN72:AO72)</f>
        <v>266</v>
      </c>
    </row>
    <row r="73" spans="1:42" s="186" customFormat="1" ht="15" customHeight="1" x14ac:dyDescent="0.25">
      <c r="A73" s="5073"/>
      <c r="B73" s="5053"/>
      <c r="C73" s="813" t="s">
        <v>467</v>
      </c>
      <c r="D73" s="854">
        <v>78</v>
      </c>
      <c r="E73" s="855">
        <v>80</v>
      </c>
      <c r="F73" s="816">
        <v>158</v>
      </c>
      <c r="G73" s="854">
        <v>72</v>
      </c>
      <c r="H73" s="855">
        <v>75</v>
      </c>
      <c r="I73" s="816">
        <v>147</v>
      </c>
      <c r="J73" s="814">
        <v>76</v>
      </c>
      <c r="K73" s="815">
        <v>77</v>
      </c>
      <c r="L73" s="816">
        <v>153</v>
      </c>
      <c r="M73" s="814">
        <v>61</v>
      </c>
      <c r="N73" s="815">
        <v>56</v>
      </c>
      <c r="O73" s="816">
        <v>117</v>
      </c>
      <c r="P73" s="814">
        <v>59</v>
      </c>
      <c r="Q73" s="815">
        <v>58</v>
      </c>
      <c r="R73" s="816">
        <v>117</v>
      </c>
      <c r="S73" s="814">
        <v>64</v>
      </c>
      <c r="T73" s="815">
        <v>59</v>
      </c>
      <c r="U73" s="816">
        <v>123</v>
      </c>
      <c r="V73" s="814">
        <v>57</v>
      </c>
      <c r="W73" s="815">
        <v>60</v>
      </c>
      <c r="X73" s="816">
        <v>117</v>
      </c>
      <c r="Y73" s="814">
        <v>60</v>
      </c>
      <c r="Z73" s="815">
        <v>62</v>
      </c>
      <c r="AA73" s="816">
        <f t="shared" si="48"/>
        <v>122</v>
      </c>
      <c r="AB73" s="817">
        <v>62</v>
      </c>
      <c r="AC73" s="815">
        <v>60</v>
      </c>
      <c r="AD73" s="816">
        <f t="shared" si="1"/>
        <v>122</v>
      </c>
      <c r="AE73" s="817">
        <v>59</v>
      </c>
      <c r="AF73" s="815">
        <v>65</v>
      </c>
      <c r="AG73" s="816">
        <f t="shared" si="2"/>
        <v>124</v>
      </c>
      <c r="AH73" s="817">
        <v>60</v>
      </c>
      <c r="AI73" s="815">
        <v>64</v>
      </c>
      <c r="AJ73" s="816">
        <f>SUM(AH73:AI73)</f>
        <v>124</v>
      </c>
      <c r="AK73" s="817">
        <v>63</v>
      </c>
      <c r="AL73" s="815">
        <v>59</v>
      </c>
      <c r="AM73" s="816">
        <f>SUM(AK73:AL73)</f>
        <v>122</v>
      </c>
      <c r="AN73" s="817">
        <v>65</v>
      </c>
      <c r="AO73" s="815">
        <v>61</v>
      </c>
      <c r="AP73" s="816">
        <f>SUM(AN73:AO73)</f>
        <v>126</v>
      </c>
    </row>
    <row r="74" spans="1:42" s="186" customFormat="1" ht="15" customHeight="1" x14ac:dyDescent="0.25">
      <c r="A74" s="5073"/>
      <c r="B74" s="5053"/>
      <c r="C74" s="813" t="s">
        <v>468</v>
      </c>
      <c r="D74" s="854">
        <v>70</v>
      </c>
      <c r="E74" s="855">
        <v>65</v>
      </c>
      <c r="F74" s="816">
        <v>135</v>
      </c>
      <c r="G74" s="854">
        <v>82</v>
      </c>
      <c r="H74" s="855">
        <v>81</v>
      </c>
      <c r="I74" s="816">
        <v>163</v>
      </c>
      <c r="J74" s="814">
        <v>75</v>
      </c>
      <c r="K74" s="815">
        <v>75</v>
      </c>
      <c r="L74" s="816">
        <v>150</v>
      </c>
      <c r="M74" s="814">
        <v>68</v>
      </c>
      <c r="N74" s="815">
        <v>63</v>
      </c>
      <c r="O74" s="816">
        <v>131</v>
      </c>
      <c r="P74" s="814">
        <v>68</v>
      </c>
      <c r="Q74" s="815">
        <v>58</v>
      </c>
      <c r="R74" s="816">
        <v>126</v>
      </c>
      <c r="S74" s="814">
        <v>67</v>
      </c>
      <c r="T74" s="815">
        <v>59</v>
      </c>
      <c r="U74" s="816">
        <v>126</v>
      </c>
      <c r="V74" s="814">
        <v>58</v>
      </c>
      <c r="W74" s="815">
        <v>58</v>
      </c>
      <c r="X74" s="816">
        <v>116</v>
      </c>
      <c r="Y74" s="814">
        <v>60</v>
      </c>
      <c r="Z74" s="815">
        <v>59</v>
      </c>
      <c r="AA74" s="816">
        <f t="shared" si="48"/>
        <v>119</v>
      </c>
      <c r="AB74" s="817">
        <v>65</v>
      </c>
      <c r="AC74" s="815">
        <v>61</v>
      </c>
      <c r="AD74" s="816">
        <f t="shared" si="1"/>
        <v>126</v>
      </c>
      <c r="AE74" s="817">
        <v>62</v>
      </c>
      <c r="AF74" s="815">
        <v>61</v>
      </c>
      <c r="AG74" s="816">
        <f t="shared" si="2"/>
        <v>123</v>
      </c>
      <c r="AH74" s="817">
        <v>59</v>
      </c>
      <c r="AI74" s="815">
        <v>63</v>
      </c>
      <c r="AJ74" s="816">
        <f>SUM(AH74:AI74)</f>
        <v>122</v>
      </c>
      <c r="AK74" s="817">
        <v>63</v>
      </c>
      <c r="AL74" s="815">
        <v>58</v>
      </c>
      <c r="AM74" s="816">
        <f>SUM(AK74:AL74)</f>
        <v>121</v>
      </c>
      <c r="AN74" s="817">
        <v>66</v>
      </c>
      <c r="AO74" s="815">
        <v>66</v>
      </c>
      <c r="AP74" s="816">
        <f>SUM(AN74:AO74)</f>
        <v>132</v>
      </c>
    </row>
    <row r="75" spans="1:42" s="186" customFormat="1" ht="15" customHeight="1" x14ac:dyDescent="0.25">
      <c r="A75" s="5073"/>
      <c r="B75" s="5053"/>
      <c r="C75" s="822" t="s">
        <v>500</v>
      </c>
      <c r="D75" s="860">
        <v>50</v>
      </c>
      <c r="E75" s="859">
        <v>54</v>
      </c>
      <c r="F75" s="825">
        <v>104</v>
      </c>
      <c r="G75" s="860">
        <v>48</v>
      </c>
      <c r="H75" s="859">
        <v>66</v>
      </c>
      <c r="I75" s="825">
        <v>114</v>
      </c>
      <c r="J75" s="823">
        <v>59</v>
      </c>
      <c r="K75" s="824">
        <v>52</v>
      </c>
      <c r="L75" s="825">
        <v>111</v>
      </c>
      <c r="M75" s="823">
        <v>56</v>
      </c>
      <c r="N75" s="824">
        <v>61</v>
      </c>
      <c r="O75" s="825">
        <v>117</v>
      </c>
      <c r="P75" s="823">
        <v>65</v>
      </c>
      <c r="Q75" s="824">
        <v>67</v>
      </c>
      <c r="R75" s="825">
        <v>132</v>
      </c>
      <c r="S75" s="823">
        <v>62</v>
      </c>
      <c r="T75" s="824">
        <v>65</v>
      </c>
      <c r="U75" s="825">
        <v>127</v>
      </c>
      <c r="V75" s="823">
        <v>60</v>
      </c>
      <c r="W75" s="824">
        <v>62</v>
      </c>
      <c r="X75" s="825">
        <v>122</v>
      </c>
      <c r="Y75" s="823">
        <v>61</v>
      </c>
      <c r="Z75" s="824">
        <v>60</v>
      </c>
      <c r="AA75" s="825">
        <f t="shared" si="48"/>
        <v>121</v>
      </c>
      <c r="AB75" s="826">
        <v>66</v>
      </c>
      <c r="AC75" s="824">
        <v>63</v>
      </c>
      <c r="AD75" s="825">
        <f t="shared" si="1"/>
        <v>129</v>
      </c>
      <c r="AE75" s="826">
        <v>59</v>
      </c>
      <c r="AF75" s="824">
        <v>62</v>
      </c>
      <c r="AG75" s="825">
        <f t="shared" si="2"/>
        <v>121</v>
      </c>
      <c r="AH75" s="826">
        <v>61</v>
      </c>
      <c r="AI75" s="824">
        <v>62</v>
      </c>
      <c r="AJ75" s="825">
        <f>SUM(AH75:AI75)</f>
        <v>123</v>
      </c>
      <c r="AK75" s="826">
        <v>59</v>
      </c>
      <c r="AL75" s="824">
        <v>60</v>
      </c>
      <c r="AM75" s="825">
        <f>SUM(AK75:AL75)</f>
        <v>119</v>
      </c>
      <c r="AN75" s="826">
        <v>65</v>
      </c>
      <c r="AO75" s="824">
        <v>64</v>
      </c>
      <c r="AP75" s="825">
        <f>SUM(AN75:AO75)</f>
        <v>129</v>
      </c>
    </row>
    <row r="76" spans="1:42" s="186" customFormat="1" ht="15" customHeight="1" x14ac:dyDescent="0.25">
      <c r="A76" s="5073"/>
      <c r="B76" s="5054"/>
      <c r="C76" s="875" t="s">
        <v>160</v>
      </c>
      <c r="D76" s="876">
        <f>SUM(D72:D75)</f>
        <v>350</v>
      </c>
      <c r="E76" s="877">
        <f t="shared" ref="E76:AG76" si="52">SUM(E72:E75)</f>
        <v>357</v>
      </c>
      <c r="F76" s="586">
        <f t="shared" si="52"/>
        <v>707</v>
      </c>
      <c r="G76" s="876">
        <f t="shared" si="52"/>
        <v>366</v>
      </c>
      <c r="H76" s="877">
        <f t="shared" si="52"/>
        <v>384</v>
      </c>
      <c r="I76" s="586">
        <f t="shared" si="52"/>
        <v>750</v>
      </c>
      <c r="J76" s="876">
        <f t="shared" si="52"/>
        <v>373</v>
      </c>
      <c r="K76" s="877">
        <f t="shared" si="52"/>
        <v>367</v>
      </c>
      <c r="L76" s="586">
        <f t="shared" si="52"/>
        <v>740</v>
      </c>
      <c r="M76" s="876">
        <f t="shared" si="52"/>
        <v>334</v>
      </c>
      <c r="N76" s="877">
        <f t="shared" si="52"/>
        <v>332</v>
      </c>
      <c r="O76" s="586">
        <f t="shared" si="52"/>
        <v>666</v>
      </c>
      <c r="P76" s="876">
        <f t="shared" si="52"/>
        <v>350</v>
      </c>
      <c r="Q76" s="877">
        <f t="shared" si="52"/>
        <v>345</v>
      </c>
      <c r="R76" s="586">
        <f t="shared" si="52"/>
        <v>695</v>
      </c>
      <c r="S76" s="876">
        <f t="shared" si="52"/>
        <v>356</v>
      </c>
      <c r="T76" s="877">
        <f t="shared" si="52"/>
        <v>347</v>
      </c>
      <c r="U76" s="586">
        <f t="shared" si="52"/>
        <v>703</v>
      </c>
      <c r="V76" s="876">
        <f t="shared" si="52"/>
        <v>306</v>
      </c>
      <c r="W76" s="877">
        <f t="shared" si="52"/>
        <v>308</v>
      </c>
      <c r="X76" s="586">
        <f t="shared" si="52"/>
        <v>614</v>
      </c>
      <c r="Y76" s="876">
        <f t="shared" si="52"/>
        <v>313</v>
      </c>
      <c r="Z76" s="877">
        <f t="shared" si="52"/>
        <v>308</v>
      </c>
      <c r="AA76" s="586">
        <f t="shared" si="52"/>
        <v>621</v>
      </c>
      <c r="AB76" s="876">
        <f t="shared" si="52"/>
        <v>329</v>
      </c>
      <c r="AC76" s="877">
        <f t="shared" si="52"/>
        <v>312</v>
      </c>
      <c r="AD76" s="586">
        <f t="shared" si="52"/>
        <v>641</v>
      </c>
      <c r="AE76" s="876">
        <f t="shared" si="52"/>
        <v>313</v>
      </c>
      <c r="AF76" s="877">
        <f t="shared" si="52"/>
        <v>318</v>
      </c>
      <c r="AG76" s="586">
        <f t="shared" si="52"/>
        <v>631</v>
      </c>
      <c r="AH76" s="876">
        <f t="shared" ref="AH76:AM76" si="53">SUM(AH72:AH75)</f>
        <v>316</v>
      </c>
      <c r="AI76" s="877">
        <f t="shared" si="53"/>
        <v>319</v>
      </c>
      <c r="AJ76" s="586">
        <f t="shared" si="53"/>
        <v>635</v>
      </c>
      <c r="AK76" s="876">
        <f t="shared" si="53"/>
        <v>320</v>
      </c>
      <c r="AL76" s="877">
        <f t="shared" si="53"/>
        <v>305</v>
      </c>
      <c r="AM76" s="586">
        <f t="shared" si="53"/>
        <v>625</v>
      </c>
      <c r="AN76" s="876">
        <f t="shared" ref="AN76:AP76" si="54">SUM(AN72:AN75)</f>
        <v>330</v>
      </c>
      <c r="AO76" s="877">
        <f t="shared" si="54"/>
        <v>323</v>
      </c>
      <c r="AP76" s="586">
        <f t="shared" si="54"/>
        <v>653</v>
      </c>
    </row>
    <row r="77" spans="1:42" s="186" customFormat="1" ht="15" customHeight="1" x14ac:dyDescent="0.25">
      <c r="A77" s="5100"/>
      <c r="B77" s="3982"/>
      <c r="C77" s="2448" t="s">
        <v>450</v>
      </c>
      <c r="D77" s="2449">
        <f>SUM(D76,D71,D62)</f>
        <v>1750</v>
      </c>
      <c r="E77" s="2450">
        <f t="shared" ref="E77:AG77" si="55">SUM(E76,E71,E62)</f>
        <v>1808</v>
      </c>
      <c r="F77" s="2451">
        <f t="shared" si="55"/>
        <v>3558</v>
      </c>
      <c r="G77" s="2449">
        <f t="shared" si="55"/>
        <v>2180</v>
      </c>
      <c r="H77" s="2450">
        <f t="shared" si="55"/>
        <v>2061</v>
      </c>
      <c r="I77" s="2451">
        <f t="shared" si="55"/>
        <v>4241</v>
      </c>
      <c r="J77" s="2449">
        <f t="shared" si="55"/>
        <v>2101</v>
      </c>
      <c r="K77" s="2450">
        <f t="shared" si="55"/>
        <v>1963</v>
      </c>
      <c r="L77" s="2451">
        <f t="shared" si="55"/>
        <v>4064</v>
      </c>
      <c r="M77" s="2449">
        <f t="shared" si="55"/>
        <v>1880</v>
      </c>
      <c r="N77" s="2450">
        <f t="shared" si="55"/>
        <v>1859</v>
      </c>
      <c r="O77" s="2451">
        <f t="shared" si="55"/>
        <v>3739</v>
      </c>
      <c r="P77" s="2449">
        <f t="shared" si="55"/>
        <v>1888</v>
      </c>
      <c r="Q77" s="2450">
        <f t="shared" si="55"/>
        <v>1745</v>
      </c>
      <c r="R77" s="2451">
        <f t="shared" si="55"/>
        <v>3633</v>
      </c>
      <c r="S77" s="2449">
        <f t="shared" si="55"/>
        <v>1910</v>
      </c>
      <c r="T77" s="2450">
        <f t="shared" si="55"/>
        <v>1785</v>
      </c>
      <c r="U77" s="2451">
        <f t="shared" si="55"/>
        <v>3695</v>
      </c>
      <c r="V77" s="2449">
        <f t="shared" si="55"/>
        <v>1739</v>
      </c>
      <c r="W77" s="2450">
        <f t="shared" si="55"/>
        <v>1660</v>
      </c>
      <c r="X77" s="2451">
        <f t="shared" si="55"/>
        <v>3399</v>
      </c>
      <c r="Y77" s="2449">
        <f t="shared" si="55"/>
        <v>1780</v>
      </c>
      <c r="Z77" s="2450">
        <f t="shared" si="55"/>
        <v>1783</v>
      </c>
      <c r="AA77" s="2451">
        <f t="shared" si="55"/>
        <v>3563</v>
      </c>
      <c r="AB77" s="2449">
        <f t="shared" si="55"/>
        <v>1794</v>
      </c>
      <c r="AC77" s="2450">
        <f t="shared" si="55"/>
        <v>1688</v>
      </c>
      <c r="AD77" s="2451">
        <f t="shared" si="55"/>
        <v>3482</v>
      </c>
      <c r="AE77" s="2449">
        <f t="shared" si="55"/>
        <v>1754</v>
      </c>
      <c r="AF77" s="2450">
        <f t="shared" si="55"/>
        <v>1758</v>
      </c>
      <c r="AG77" s="2451">
        <f t="shared" si="55"/>
        <v>3512</v>
      </c>
      <c r="AH77" s="2449">
        <f t="shared" ref="AH77:AM77" si="56">SUM(AH76,AH71,AH62)</f>
        <v>1792</v>
      </c>
      <c r="AI77" s="2450">
        <f t="shared" si="56"/>
        <v>1782</v>
      </c>
      <c r="AJ77" s="2451">
        <f t="shared" si="56"/>
        <v>3574</v>
      </c>
      <c r="AK77" s="2449">
        <f t="shared" si="56"/>
        <v>1892</v>
      </c>
      <c r="AL77" s="2450">
        <f t="shared" si="56"/>
        <v>1764</v>
      </c>
      <c r="AM77" s="2451">
        <f t="shared" si="56"/>
        <v>3656</v>
      </c>
      <c r="AN77" s="2449">
        <f t="shared" ref="AN77:AP77" si="57">SUM(AN76,AN71,AN62)</f>
        <v>1852</v>
      </c>
      <c r="AO77" s="2450">
        <f t="shared" si="57"/>
        <v>1805</v>
      </c>
      <c r="AP77" s="2451">
        <f t="shared" si="57"/>
        <v>3657</v>
      </c>
    </row>
    <row r="78" spans="1:42" s="186" customFormat="1" ht="15" customHeight="1" x14ac:dyDescent="0.25">
      <c r="A78" s="5069" t="s">
        <v>436</v>
      </c>
      <c r="B78" s="5034" t="s">
        <v>6</v>
      </c>
      <c r="C78" s="807" t="s">
        <v>462</v>
      </c>
      <c r="D78" s="837"/>
      <c r="E78" s="839"/>
      <c r="F78" s="810"/>
      <c r="G78" s="866"/>
      <c r="H78" s="839"/>
      <c r="I78" s="810"/>
      <c r="J78" s="837"/>
      <c r="K78" s="838">
        <v>57</v>
      </c>
      <c r="L78" s="810">
        <v>57</v>
      </c>
      <c r="M78" s="837"/>
      <c r="N78" s="867">
        <v>43</v>
      </c>
      <c r="O78" s="810">
        <v>43</v>
      </c>
      <c r="P78" s="837"/>
      <c r="Q78" s="838">
        <v>68</v>
      </c>
      <c r="R78" s="810">
        <v>68</v>
      </c>
      <c r="S78" s="837"/>
      <c r="T78" s="838">
        <v>63</v>
      </c>
      <c r="U78" s="810">
        <v>63</v>
      </c>
      <c r="V78" s="837"/>
      <c r="W78" s="838">
        <v>28</v>
      </c>
      <c r="X78" s="810">
        <v>28</v>
      </c>
      <c r="Y78" s="837"/>
      <c r="Z78" s="838">
        <v>30</v>
      </c>
      <c r="AA78" s="810">
        <f t="shared" ref="AA78:AA90" si="58">SUM(Y78:Z78)</f>
        <v>30</v>
      </c>
      <c r="AB78" s="837"/>
      <c r="AC78" s="838">
        <v>31</v>
      </c>
      <c r="AD78" s="810">
        <f t="shared" si="1"/>
        <v>31</v>
      </c>
      <c r="AE78" s="837"/>
      <c r="AF78" s="838">
        <v>29</v>
      </c>
      <c r="AG78" s="810">
        <f t="shared" si="2"/>
        <v>29</v>
      </c>
      <c r="AH78" s="837"/>
      <c r="AI78" s="838">
        <v>34</v>
      </c>
      <c r="AJ78" s="810">
        <f>SUM(AH78:AI78)</f>
        <v>34</v>
      </c>
      <c r="AK78" s="837">
        <v>30</v>
      </c>
      <c r="AL78" s="838">
        <v>30</v>
      </c>
      <c r="AM78" s="810">
        <f>SUM(AK78:AL78)</f>
        <v>60</v>
      </c>
      <c r="AN78" s="837">
        <v>32</v>
      </c>
      <c r="AO78" s="838">
        <v>33</v>
      </c>
      <c r="AP78" s="810">
        <f>SUM(AN78:AO78)</f>
        <v>65</v>
      </c>
    </row>
    <row r="79" spans="1:42" s="186" customFormat="1" ht="15" customHeight="1" x14ac:dyDescent="0.25">
      <c r="A79" s="5070"/>
      <c r="B79" s="5035"/>
      <c r="C79" s="813" t="s">
        <v>463</v>
      </c>
      <c r="D79" s="819"/>
      <c r="E79" s="820"/>
      <c r="F79" s="816"/>
      <c r="G79" s="856"/>
      <c r="H79" s="820"/>
      <c r="I79" s="816"/>
      <c r="J79" s="819"/>
      <c r="K79" s="821">
        <v>54</v>
      </c>
      <c r="L79" s="816">
        <v>54</v>
      </c>
      <c r="M79" s="819"/>
      <c r="N79" s="858"/>
      <c r="O79" s="816"/>
      <c r="P79" s="819"/>
      <c r="Q79" s="821"/>
      <c r="R79" s="816"/>
      <c r="S79" s="819"/>
      <c r="T79" s="821"/>
      <c r="U79" s="816">
        <v>0</v>
      </c>
      <c r="V79" s="819"/>
      <c r="W79" s="821"/>
      <c r="X79" s="816">
        <v>0</v>
      </c>
      <c r="Y79" s="819"/>
      <c r="Z79" s="821"/>
      <c r="AA79" s="816">
        <f t="shared" si="58"/>
        <v>0</v>
      </c>
      <c r="AB79" s="819"/>
      <c r="AC79" s="821"/>
      <c r="AD79" s="816">
        <f t="shared" si="1"/>
        <v>0</v>
      </c>
      <c r="AE79" s="819"/>
      <c r="AF79" s="821"/>
      <c r="AG79" s="816">
        <f t="shared" si="2"/>
        <v>0</v>
      </c>
      <c r="AH79" s="819"/>
      <c r="AI79" s="821"/>
      <c r="AJ79" s="816">
        <f>SUM(AH79:AI79)</f>
        <v>0</v>
      </c>
      <c r="AK79" s="819"/>
      <c r="AL79" s="821"/>
      <c r="AM79" s="816">
        <f>SUM(AK79:AL79)</f>
        <v>0</v>
      </c>
      <c r="AN79" s="819"/>
      <c r="AO79" s="821">
        <v>36</v>
      </c>
      <c r="AP79" s="816">
        <f>SUM(AN79:AO79)</f>
        <v>36</v>
      </c>
    </row>
    <row r="80" spans="1:42" s="186" customFormat="1" ht="15" customHeight="1" x14ac:dyDescent="0.2">
      <c r="A80" s="5070"/>
      <c r="B80" s="5035"/>
      <c r="C80" s="813" t="s">
        <v>501</v>
      </c>
      <c r="D80" s="819"/>
      <c r="E80" s="820"/>
      <c r="F80" s="816"/>
      <c r="G80" s="856"/>
      <c r="H80" s="820"/>
      <c r="I80" s="816"/>
      <c r="J80" s="819"/>
      <c r="K80" s="821"/>
      <c r="L80" s="816"/>
      <c r="M80" s="819"/>
      <c r="N80" s="821"/>
      <c r="O80" s="816"/>
      <c r="P80" s="819"/>
      <c r="Q80" s="821">
        <v>22</v>
      </c>
      <c r="R80" s="816">
        <v>22</v>
      </c>
      <c r="S80" s="819"/>
      <c r="T80" s="821">
        <v>21</v>
      </c>
      <c r="U80" s="816">
        <v>21</v>
      </c>
      <c r="V80" s="819"/>
      <c r="W80" s="821">
        <v>23</v>
      </c>
      <c r="X80" s="816">
        <v>23</v>
      </c>
      <c r="Y80" s="819"/>
      <c r="Z80" s="821">
        <v>37</v>
      </c>
      <c r="AA80" s="816">
        <f t="shared" si="58"/>
        <v>37</v>
      </c>
      <c r="AB80" s="819"/>
      <c r="AC80" s="821">
        <v>26</v>
      </c>
      <c r="AD80" s="816">
        <f t="shared" si="1"/>
        <v>26</v>
      </c>
      <c r="AE80" s="819"/>
      <c r="AF80" s="821">
        <v>27</v>
      </c>
      <c r="AG80" s="816">
        <f t="shared" si="2"/>
        <v>27</v>
      </c>
      <c r="AH80" s="819"/>
      <c r="AI80" s="821">
        <v>30</v>
      </c>
      <c r="AJ80" s="816">
        <f>SUM(AH80:AI80)</f>
        <v>30</v>
      </c>
      <c r="AK80" s="819">
        <v>34</v>
      </c>
      <c r="AL80" s="821">
        <v>34</v>
      </c>
      <c r="AM80" s="816">
        <f>SUM(AK80:AL80)</f>
        <v>68</v>
      </c>
      <c r="AN80" s="819">
        <v>33</v>
      </c>
      <c r="AO80" s="821">
        <v>30</v>
      </c>
      <c r="AP80" s="816">
        <f>SUM(AN80:AO80)</f>
        <v>63</v>
      </c>
    </row>
    <row r="81" spans="1:42" s="186" customFormat="1" ht="15" customHeight="1" x14ac:dyDescent="0.25">
      <c r="A81" s="5070"/>
      <c r="B81" s="5035"/>
      <c r="C81" s="822" t="s">
        <v>502</v>
      </c>
      <c r="D81" s="860"/>
      <c r="E81" s="859"/>
      <c r="F81" s="825"/>
      <c r="G81" s="860"/>
      <c r="H81" s="859"/>
      <c r="I81" s="825"/>
      <c r="J81" s="823"/>
      <c r="K81" s="824"/>
      <c r="L81" s="825"/>
      <c r="M81" s="823"/>
      <c r="N81" s="824"/>
      <c r="O81" s="825"/>
      <c r="P81" s="823"/>
      <c r="Q81" s="824">
        <v>31</v>
      </c>
      <c r="R81" s="825">
        <v>31</v>
      </c>
      <c r="S81" s="823"/>
      <c r="T81" s="824">
        <v>32</v>
      </c>
      <c r="U81" s="825">
        <v>32</v>
      </c>
      <c r="V81" s="823"/>
      <c r="W81" s="824">
        <v>30</v>
      </c>
      <c r="X81" s="825">
        <v>30</v>
      </c>
      <c r="Y81" s="823"/>
      <c r="Z81" s="824">
        <v>28</v>
      </c>
      <c r="AA81" s="825">
        <f t="shared" si="58"/>
        <v>28</v>
      </c>
      <c r="AB81" s="826"/>
      <c r="AC81" s="824">
        <v>30</v>
      </c>
      <c r="AD81" s="825">
        <f t="shared" si="1"/>
        <v>30</v>
      </c>
      <c r="AE81" s="826"/>
      <c r="AF81" s="824">
        <v>30</v>
      </c>
      <c r="AG81" s="825">
        <f t="shared" si="2"/>
        <v>30</v>
      </c>
      <c r="AH81" s="826"/>
      <c r="AI81" s="824">
        <v>30</v>
      </c>
      <c r="AJ81" s="825">
        <f>SUM(AH81:AI81)</f>
        <v>30</v>
      </c>
      <c r="AK81" s="826">
        <v>33</v>
      </c>
      <c r="AL81" s="824">
        <v>35</v>
      </c>
      <c r="AM81" s="825">
        <f>SUM(AK81:AL81)</f>
        <v>68</v>
      </c>
      <c r="AN81" s="826">
        <v>32</v>
      </c>
      <c r="AO81" s="824">
        <v>30</v>
      </c>
      <c r="AP81" s="825">
        <f>SUM(AN81:AO81)</f>
        <v>62</v>
      </c>
    </row>
    <row r="82" spans="1:42" s="186" customFormat="1" ht="15" customHeight="1" x14ac:dyDescent="0.25">
      <c r="A82" s="5070"/>
      <c r="B82" s="5036"/>
      <c r="C82" s="875" t="s">
        <v>160</v>
      </c>
      <c r="D82" s="876"/>
      <c r="E82" s="877"/>
      <c r="F82" s="586"/>
      <c r="G82" s="876"/>
      <c r="H82" s="877"/>
      <c r="I82" s="586"/>
      <c r="J82" s="876"/>
      <c r="K82" s="877">
        <f>SUM(K78:K81)</f>
        <v>111</v>
      </c>
      <c r="L82" s="586">
        <f t="shared" ref="L82:AG82" si="59">SUM(L78:L81)</f>
        <v>111</v>
      </c>
      <c r="M82" s="876">
        <f t="shared" si="59"/>
        <v>0</v>
      </c>
      <c r="N82" s="877">
        <f t="shared" si="59"/>
        <v>43</v>
      </c>
      <c r="O82" s="586">
        <f t="shared" si="59"/>
        <v>43</v>
      </c>
      <c r="P82" s="876">
        <f t="shared" si="59"/>
        <v>0</v>
      </c>
      <c r="Q82" s="877">
        <f t="shared" si="59"/>
        <v>121</v>
      </c>
      <c r="R82" s="586">
        <f t="shared" si="59"/>
        <v>121</v>
      </c>
      <c r="S82" s="876">
        <f t="shared" si="59"/>
        <v>0</v>
      </c>
      <c r="T82" s="877">
        <f t="shared" si="59"/>
        <v>116</v>
      </c>
      <c r="U82" s="586">
        <f t="shared" si="59"/>
        <v>116</v>
      </c>
      <c r="V82" s="876">
        <f t="shared" si="59"/>
        <v>0</v>
      </c>
      <c r="W82" s="877">
        <f t="shared" si="59"/>
        <v>81</v>
      </c>
      <c r="X82" s="586">
        <f t="shared" si="59"/>
        <v>81</v>
      </c>
      <c r="Y82" s="876">
        <f t="shared" si="59"/>
        <v>0</v>
      </c>
      <c r="Z82" s="877">
        <f t="shared" si="59"/>
        <v>95</v>
      </c>
      <c r="AA82" s="586">
        <f t="shared" si="59"/>
        <v>95</v>
      </c>
      <c r="AB82" s="876">
        <f t="shared" si="59"/>
        <v>0</v>
      </c>
      <c r="AC82" s="877">
        <f t="shared" si="59"/>
        <v>87</v>
      </c>
      <c r="AD82" s="586">
        <f t="shared" si="59"/>
        <v>87</v>
      </c>
      <c r="AE82" s="876">
        <f t="shared" si="59"/>
        <v>0</v>
      </c>
      <c r="AF82" s="877">
        <f t="shared" si="59"/>
        <v>86</v>
      </c>
      <c r="AG82" s="586">
        <f t="shared" si="59"/>
        <v>86</v>
      </c>
      <c r="AH82" s="876">
        <f t="shared" ref="AH82:AM82" si="60">SUM(AH78:AH81)</f>
        <v>0</v>
      </c>
      <c r="AI82" s="877">
        <f t="shared" si="60"/>
        <v>94</v>
      </c>
      <c r="AJ82" s="586">
        <f t="shared" si="60"/>
        <v>94</v>
      </c>
      <c r="AK82" s="876">
        <f t="shared" si="60"/>
        <v>97</v>
      </c>
      <c r="AL82" s="877">
        <f t="shared" si="60"/>
        <v>99</v>
      </c>
      <c r="AM82" s="586">
        <f t="shared" si="60"/>
        <v>196</v>
      </c>
      <c r="AN82" s="876">
        <f t="shared" ref="AN82:AP82" si="61">SUM(AN78:AN81)</f>
        <v>97</v>
      </c>
      <c r="AO82" s="877">
        <f t="shared" si="61"/>
        <v>129</v>
      </c>
      <c r="AP82" s="586">
        <f t="shared" si="61"/>
        <v>226</v>
      </c>
    </row>
    <row r="83" spans="1:42" s="186" customFormat="1" ht="15" customHeight="1" x14ac:dyDescent="0.2">
      <c r="A83" s="5070"/>
      <c r="B83" s="5034" t="s">
        <v>9</v>
      </c>
      <c r="C83" s="827" t="s">
        <v>503</v>
      </c>
      <c r="D83" s="833"/>
      <c r="E83" s="836"/>
      <c r="F83" s="830"/>
      <c r="G83" s="865"/>
      <c r="H83" s="836"/>
      <c r="I83" s="830"/>
      <c r="J83" s="833"/>
      <c r="K83" s="834">
        <v>34</v>
      </c>
      <c r="L83" s="830">
        <v>34</v>
      </c>
      <c r="M83" s="833"/>
      <c r="N83" s="834">
        <v>30</v>
      </c>
      <c r="O83" s="830">
        <v>30</v>
      </c>
      <c r="P83" s="828"/>
      <c r="Q83" s="829">
        <v>57</v>
      </c>
      <c r="R83" s="830">
        <v>57</v>
      </c>
      <c r="S83" s="828"/>
      <c r="T83" s="829">
        <v>56</v>
      </c>
      <c r="U83" s="830">
        <v>56</v>
      </c>
      <c r="V83" s="828"/>
      <c r="W83" s="829">
        <v>28</v>
      </c>
      <c r="X83" s="830">
        <v>28</v>
      </c>
      <c r="Y83" s="828"/>
      <c r="Z83" s="829">
        <v>42</v>
      </c>
      <c r="AA83" s="830">
        <f t="shared" si="58"/>
        <v>42</v>
      </c>
      <c r="AB83" s="828"/>
      <c r="AC83" s="829">
        <v>36</v>
      </c>
      <c r="AD83" s="830">
        <f t="shared" ref="AD83:AD97" si="62">SUM(AB83:AC83)</f>
        <v>36</v>
      </c>
      <c r="AE83" s="828"/>
      <c r="AF83" s="829">
        <v>47</v>
      </c>
      <c r="AG83" s="830">
        <f t="shared" ref="AG83:AG97" si="63">SUM(AE83:AF83)</f>
        <v>47</v>
      </c>
      <c r="AH83" s="828"/>
      <c r="AI83" s="829">
        <v>39</v>
      </c>
      <c r="AJ83" s="830">
        <f>SUM(AH83:AI83)</f>
        <v>39</v>
      </c>
      <c r="AK83" s="828"/>
      <c r="AL83" s="829">
        <v>60</v>
      </c>
      <c r="AM83" s="830">
        <f>SUM(AK83:AL83)</f>
        <v>60</v>
      </c>
      <c r="AN83" s="828"/>
      <c r="AO83" s="829">
        <v>57</v>
      </c>
      <c r="AP83" s="830">
        <f>SUM(AN83:AO83)</f>
        <v>57</v>
      </c>
    </row>
    <row r="84" spans="1:42" s="186" customFormat="1" ht="15" customHeight="1" x14ac:dyDescent="0.2">
      <c r="A84" s="5070"/>
      <c r="B84" s="5035"/>
      <c r="C84" s="813" t="s">
        <v>504</v>
      </c>
      <c r="D84" s="819"/>
      <c r="E84" s="820"/>
      <c r="F84" s="816"/>
      <c r="G84" s="856"/>
      <c r="H84" s="820"/>
      <c r="I84" s="816"/>
      <c r="J84" s="819"/>
      <c r="K84" s="821"/>
      <c r="L84" s="816"/>
      <c r="M84" s="819"/>
      <c r="N84" s="821"/>
      <c r="O84" s="816"/>
      <c r="P84" s="819"/>
      <c r="Q84" s="821">
        <v>25</v>
      </c>
      <c r="R84" s="816">
        <v>25</v>
      </c>
      <c r="S84" s="819"/>
      <c r="T84" s="821">
        <v>24</v>
      </c>
      <c r="U84" s="816">
        <v>24</v>
      </c>
      <c r="V84" s="819"/>
      <c r="W84" s="821">
        <v>41</v>
      </c>
      <c r="X84" s="816">
        <v>41</v>
      </c>
      <c r="Y84" s="819"/>
      <c r="Z84" s="821">
        <v>39</v>
      </c>
      <c r="AA84" s="816">
        <f t="shared" si="58"/>
        <v>39</v>
      </c>
      <c r="AB84" s="819"/>
      <c r="AC84" s="821">
        <v>41</v>
      </c>
      <c r="AD84" s="816">
        <f t="shared" si="62"/>
        <v>41</v>
      </c>
      <c r="AE84" s="819"/>
      <c r="AF84" s="821">
        <v>40</v>
      </c>
      <c r="AG84" s="816">
        <f t="shared" si="63"/>
        <v>40</v>
      </c>
      <c r="AH84" s="819"/>
      <c r="AI84" s="821">
        <v>38</v>
      </c>
      <c r="AJ84" s="816">
        <f>SUM(AH84:AI84)</f>
        <v>38</v>
      </c>
      <c r="AK84" s="819"/>
      <c r="AL84" s="821">
        <v>35</v>
      </c>
      <c r="AM84" s="816">
        <f>SUM(AK84:AL84)</f>
        <v>35</v>
      </c>
      <c r="AN84" s="819"/>
      <c r="AO84" s="821">
        <v>49</v>
      </c>
      <c r="AP84" s="816">
        <f>SUM(AN84:AO84)</f>
        <v>49</v>
      </c>
    </row>
    <row r="85" spans="1:42" s="186" customFormat="1" ht="15" customHeight="1" x14ac:dyDescent="0.25">
      <c r="A85" s="5070"/>
      <c r="B85" s="5035"/>
      <c r="C85" s="822" t="s">
        <v>505</v>
      </c>
      <c r="D85" s="860"/>
      <c r="E85" s="859"/>
      <c r="F85" s="825"/>
      <c r="G85" s="860"/>
      <c r="H85" s="859"/>
      <c r="I85" s="825"/>
      <c r="J85" s="823"/>
      <c r="K85" s="824"/>
      <c r="L85" s="825"/>
      <c r="M85" s="823"/>
      <c r="N85" s="824"/>
      <c r="O85" s="825"/>
      <c r="P85" s="823"/>
      <c r="Q85" s="824">
        <v>49</v>
      </c>
      <c r="R85" s="825">
        <v>49</v>
      </c>
      <c r="S85" s="823"/>
      <c r="T85" s="824">
        <v>49</v>
      </c>
      <c r="U85" s="825">
        <v>49</v>
      </c>
      <c r="V85" s="823"/>
      <c r="W85" s="824">
        <v>27</v>
      </c>
      <c r="X85" s="825">
        <v>27</v>
      </c>
      <c r="Y85" s="823"/>
      <c r="Z85" s="824">
        <v>36</v>
      </c>
      <c r="AA85" s="825">
        <f t="shared" si="58"/>
        <v>36</v>
      </c>
      <c r="AB85" s="826"/>
      <c r="AC85" s="824">
        <v>48</v>
      </c>
      <c r="AD85" s="825">
        <f t="shared" si="62"/>
        <v>48</v>
      </c>
      <c r="AE85" s="826"/>
      <c r="AF85" s="824">
        <v>47</v>
      </c>
      <c r="AG85" s="825">
        <f t="shared" si="63"/>
        <v>47</v>
      </c>
      <c r="AH85" s="826"/>
      <c r="AI85" s="824">
        <v>45</v>
      </c>
      <c r="AJ85" s="825">
        <f>SUM(AH85:AI85)</f>
        <v>45</v>
      </c>
      <c r="AK85" s="826"/>
      <c r="AL85" s="824">
        <v>60</v>
      </c>
      <c r="AM85" s="825">
        <f>SUM(AK85:AL85)</f>
        <v>60</v>
      </c>
      <c r="AN85" s="826"/>
      <c r="AO85" s="824">
        <v>83</v>
      </c>
      <c r="AP85" s="825">
        <f>SUM(AN85:AO85)</f>
        <v>83</v>
      </c>
    </row>
    <row r="86" spans="1:42" s="186" customFormat="1" ht="15" customHeight="1" x14ac:dyDescent="0.25">
      <c r="A86" s="5070"/>
      <c r="B86" s="5036"/>
      <c r="C86" s="875" t="s">
        <v>160</v>
      </c>
      <c r="D86" s="876"/>
      <c r="E86" s="877"/>
      <c r="F86" s="586"/>
      <c r="G86" s="876"/>
      <c r="H86" s="877"/>
      <c r="I86" s="586"/>
      <c r="J86" s="876"/>
      <c r="K86" s="877">
        <f>SUM(K83:K85)</f>
        <v>34</v>
      </c>
      <c r="L86" s="586">
        <f t="shared" ref="L86:AG86" si="64">SUM(L83:L85)</f>
        <v>34</v>
      </c>
      <c r="M86" s="876">
        <f t="shared" si="64"/>
        <v>0</v>
      </c>
      <c r="N86" s="877">
        <f t="shared" si="64"/>
        <v>30</v>
      </c>
      <c r="O86" s="586">
        <f t="shared" si="64"/>
        <v>30</v>
      </c>
      <c r="P86" s="876">
        <f t="shared" si="64"/>
        <v>0</v>
      </c>
      <c r="Q86" s="877">
        <f t="shared" si="64"/>
        <v>131</v>
      </c>
      <c r="R86" s="586">
        <f t="shared" si="64"/>
        <v>131</v>
      </c>
      <c r="S86" s="876">
        <f t="shared" si="64"/>
        <v>0</v>
      </c>
      <c r="T86" s="877">
        <f t="shared" si="64"/>
        <v>129</v>
      </c>
      <c r="U86" s="586">
        <f t="shared" si="64"/>
        <v>129</v>
      </c>
      <c r="V86" s="876">
        <f t="shared" si="64"/>
        <v>0</v>
      </c>
      <c r="W86" s="877">
        <f t="shared" si="64"/>
        <v>96</v>
      </c>
      <c r="X86" s="586">
        <f t="shared" si="64"/>
        <v>96</v>
      </c>
      <c r="Y86" s="876">
        <f t="shared" si="64"/>
        <v>0</v>
      </c>
      <c r="Z86" s="877">
        <f t="shared" si="64"/>
        <v>117</v>
      </c>
      <c r="AA86" s="586">
        <f t="shared" si="64"/>
        <v>117</v>
      </c>
      <c r="AB86" s="876">
        <f t="shared" si="64"/>
        <v>0</v>
      </c>
      <c r="AC86" s="877">
        <f t="shared" si="64"/>
        <v>125</v>
      </c>
      <c r="AD86" s="586">
        <f t="shared" si="64"/>
        <v>125</v>
      </c>
      <c r="AE86" s="876">
        <f t="shared" si="64"/>
        <v>0</v>
      </c>
      <c r="AF86" s="877">
        <f t="shared" si="64"/>
        <v>134</v>
      </c>
      <c r="AG86" s="586">
        <f t="shared" si="64"/>
        <v>134</v>
      </c>
      <c r="AH86" s="876">
        <f t="shared" ref="AH86:AM86" si="65">SUM(AH83:AH85)</f>
        <v>0</v>
      </c>
      <c r="AI86" s="877">
        <f t="shared" si="65"/>
        <v>122</v>
      </c>
      <c r="AJ86" s="586">
        <f t="shared" si="65"/>
        <v>122</v>
      </c>
      <c r="AK86" s="876">
        <f t="shared" si="65"/>
        <v>0</v>
      </c>
      <c r="AL86" s="877">
        <f t="shared" si="65"/>
        <v>155</v>
      </c>
      <c r="AM86" s="586">
        <f t="shared" si="65"/>
        <v>155</v>
      </c>
      <c r="AN86" s="876">
        <f t="shared" ref="AN86:AP86" si="66">SUM(AN83:AN85)</f>
        <v>0</v>
      </c>
      <c r="AO86" s="877">
        <f t="shared" si="66"/>
        <v>189</v>
      </c>
      <c r="AP86" s="586">
        <f t="shared" si="66"/>
        <v>189</v>
      </c>
    </row>
    <row r="87" spans="1:42" s="186" customFormat="1" ht="15" customHeight="1" x14ac:dyDescent="0.25">
      <c r="A87" s="5070"/>
      <c r="B87" s="5034" t="s">
        <v>74</v>
      </c>
      <c r="C87" s="807" t="s">
        <v>461</v>
      </c>
      <c r="D87" s="837"/>
      <c r="E87" s="839"/>
      <c r="F87" s="810"/>
      <c r="G87" s="866"/>
      <c r="H87" s="839"/>
      <c r="I87" s="810"/>
      <c r="J87" s="837"/>
      <c r="K87" s="838">
        <v>46</v>
      </c>
      <c r="L87" s="810">
        <v>46</v>
      </c>
      <c r="M87" s="837"/>
      <c r="N87" s="867">
        <v>24</v>
      </c>
      <c r="O87" s="810">
        <v>24</v>
      </c>
      <c r="P87" s="837"/>
      <c r="Q87" s="838">
        <v>42</v>
      </c>
      <c r="R87" s="810">
        <v>42</v>
      </c>
      <c r="S87" s="837"/>
      <c r="T87" s="838">
        <v>61</v>
      </c>
      <c r="U87" s="810">
        <v>61</v>
      </c>
      <c r="V87" s="837"/>
      <c r="W87" s="838">
        <v>32</v>
      </c>
      <c r="X87" s="810">
        <v>32</v>
      </c>
      <c r="Y87" s="837"/>
      <c r="Z87" s="838">
        <v>28</v>
      </c>
      <c r="AA87" s="810">
        <f t="shared" si="58"/>
        <v>28</v>
      </c>
      <c r="AB87" s="837"/>
      <c r="AC87" s="838">
        <v>28</v>
      </c>
      <c r="AD87" s="810">
        <f t="shared" si="62"/>
        <v>28</v>
      </c>
      <c r="AE87" s="837"/>
      <c r="AF87" s="838">
        <v>35</v>
      </c>
      <c r="AG87" s="810">
        <f t="shared" si="63"/>
        <v>35</v>
      </c>
      <c r="AH87" s="837"/>
      <c r="AI87" s="838">
        <v>44</v>
      </c>
      <c r="AJ87" s="810">
        <f>SUM(AH87:AI87)</f>
        <v>44</v>
      </c>
      <c r="AK87" s="837"/>
      <c r="AL87" s="838">
        <v>70</v>
      </c>
      <c r="AM87" s="810">
        <f>SUM(AK87:AL87)</f>
        <v>70</v>
      </c>
      <c r="AN87" s="837"/>
      <c r="AO87" s="838">
        <v>52</v>
      </c>
      <c r="AP87" s="810">
        <f>SUM(AN87:AO87)</f>
        <v>52</v>
      </c>
    </row>
    <row r="88" spans="1:42" s="186" customFormat="1" ht="15" customHeight="1" x14ac:dyDescent="0.25">
      <c r="A88" s="5070"/>
      <c r="B88" s="5035"/>
      <c r="C88" s="813" t="s">
        <v>506</v>
      </c>
      <c r="D88" s="819"/>
      <c r="E88" s="820"/>
      <c r="F88" s="816"/>
      <c r="G88" s="856"/>
      <c r="H88" s="820"/>
      <c r="I88" s="816"/>
      <c r="J88" s="819"/>
      <c r="K88" s="821">
        <v>12</v>
      </c>
      <c r="L88" s="816">
        <v>12</v>
      </c>
      <c r="M88" s="819"/>
      <c r="N88" s="857">
        <v>4</v>
      </c>
      <c r="O88" s="816">
        <v>4</v>
      </c>
      <c r="P88" s="819"/>
      <c r="Q88" s="821">
        <v>22</v>
      </c>
      <c r="R88" s="816">
        <v>22</v>
      </c>
      <c r="S88" s="819"/>
      <c r="T88" s="821">
        <v>30</v>
      </c>
      <c r="U88" s="816">
        <v>30</v>
      </c>
      <c r="V88" s="819"/>
      <c r="W88" s="821">
        <v>27</v>
      </c>
      <c r="X88" s="816">
        <v>27</v>
      </c>
      <c r="Y88" s="819"/>
      <c r="Z88" s="821">
        <v>25</v>
      </c>
      <c r="AA88" s="816">
        <f t="shared" si="58"/>
        <v>25</v>
      </c>
      <c r="AB88" s="819"/>
      <c r="AC88" s="821">
        <v>27</v>
      </c>
      <c r="AD88" s="816">
        <f t="shared" si="62"/>
        <v>27</v>
      </c>
      <c r="AE88" s="819"/>
      <c r="AF88" s="821">
        <v>28</v>
      </c>
      <c r="AG88" s="816">
        <f t="shared" si="63"/>
        <v>28</v>
      </c>
      <c r="AH88" s="819"/>
      <c r="AI88" s="821">
        <v>28</v>
      </c>
      <c r="AJ88" s="816">
        <f>SUM(AH88:AI88)</f>
        <v>28</v>
      </c>
      <c r="AK88" s="819"/>
      <c r="AL88" s="821">
        <v>34</v>
      </c>
      <c r="AM88" s="816">
        <f>SUM(AK88:AL88)</f>
        <v>34</v>
      </c>
      <c r="AN88" s="819"/>
      <c r="AO88" s="821">
        <v>31</v>
      </c>
      <c r="AP88" s="816">
        <f>SUM(AN88:AO88)</f>
        <v>31</v>
      </c>
    </row>
    <row r="89" spans="1:42" s="186" customFormat="1" ht="15" customHeight="1" x14ac:dyDescent="0.25">
      <c r="A89" s="5070"/>
      <c r="B89" s="5035"/>
      <c r="C89" s="813" t="s">
        <v>507</v>
      </c>
      <c r="D89" s="819"/>
      <c r="E89" s="820"/>
      <c r="F89" s="816"/>
      <c r="G89" s="856"/>
      <c r="H89" s="820"/>
      <c r="I89" s="816"/>
      <c r="J89" s="819"/>
      <c r="K89" s="821"/>
      <c r="L89" s="816"/>
      <c r="M89" s="819"/>
      <c r="N89" s="857"/>
      <c r="O89" s="816"/>
      <c r="P89" s="819"/>
      <c r="Q89" s="821"/>
      <c r="R89" s="816"/>
      <c r="S89" s="819"/>
      <c r="T89" s="821">
        <v>19</v>
      </c>
      <c r="U89" s="816">
        <v>19</v>
      </c>
      <c r="V89" s="819"/>
      <c r="W89" s="821">
        <v>24</v>
      </c>
      <c r="X89" s="816">
        <v>24</v>
      </c>
      <c r="Y89" s="819"/>
      <c r="Z89" s="821">
        <v>27</v>
      </c>
      <c r="AA89" s="816">
        <f t="shared" si="58"/>
        <v>27</v>
      </c>
      <c r="AB89" s="819"/>
      <c r="AC89" s="821">
        <v>13</v>
      </c>
      <c r="AD89" s="816">
        <f t="shared" si="62"/>
        <v>13</v>
      </c>
      <c r="AE89" s="819"/>
      <c r="AF89" s="821">
        <v>16</v>
      </c>
      <c r="AG89" s="816">
        <f t="shared" si="63"/>
        <v>16</v>
      </c>
      <c r="AH89" s="819"/>
      <c r="AI89" s="821">
        <v>28</v>
      </c>
      <c r="AJ89" s="816">
        <f>SUM(AH89:AI89)</f>
        <v>28</v>
      </c>
      <c r="AK89" s="819"/>
      <c r="AL89" s="821">
        <v>57</v>
      </c>
      <c r="AM89" s="816">
        <f>SUM(AK89:AL89)</f>
        <v>57</v>
      </c>
      <c r="AN89" s="819"/>
      <c r="AO89" s="821">
        <v>49</v>
      </c>
      <c r="AP89" s="816">
        <f>SUM(AN89:AO89)</f>
        <v>49</v>
      </c>
    </row>
    <row r="90" spans="1:42" s="186" customFormat="1" ht="15" customHeight="1" x14ac:dyDescent="0.25">
      <c r="A90" s="5070"/>
      <c r="B90" s="5035"/>
      <c r="C90" s="822" t="s">
        <v>508</v>
      </c>
      <c r="D90" s="860"/>
      <c r="E90" s="859"/>
      <c r="F90" s="825"/>
      <c r="G90" s="860"/>
      <c r="H90" s="859"/>
      <c r="I90" s="825"/>
      <c r="J90" s="823"/>
      <c r="K90" s="824"/>
      <c r="L90" s="825"/>
      <c r="M90" s="823"/>
      <c r="N90" s="824"/>
      <c r="O90" s="825"/>
      <c r="P90" s="823"/>
      <c r="Q90" s="824"/>
      <c r="R90" s="825"/>
      <c r="S90" s="823"/>
      <c r="T90" s="824"/>
      <c r="U90" s="825"/>
      <c r="V90" s="823"/>
      <c r="W90" s="824"/>
      <c r="X90" s="825"/>
      <c r="Y90" s="823"/>
      <c r="Z90" s="824">
        <v>27</v>
      </c>
      <c r="AA90" s="825">
        <f t="shared" si="58"/>
        <v>27</v>
      </c>
      <c r="AB90" s="826"/>
      <c r="AC90" s="824">
        <v>42</v>
      </c>
      <c r="AD90" s="825">
        <f t="shared" si="62"/>
        <v>42</v>
      </c>
      <c r="AE90" s="826"/>
      <c r="AF90" s="824">
        <v>57</v>
      </c>
      <c r="AG90" s="825">
        <f t="shared" si="63"/>
        <v>57</v>
      </c>
      <c r="AH90" s="826"/>
      <c r="AI90" s="824">
        <v>45</v>
      </c>
      <c r="AJ90" s="825">
        <f>SUM(AH90:AI90)</f>
        <v>45</v>
      </c>
      <c r="AK90" s="826"/>
      <c r="AL90" s="824">
        <v>68</v>
      </c>
      <c r="AM90" s="825">
        <f>SUM(AK90:AL90)</f>
        <v>68</v>
      </c>
      <c r="AN90" s="826"/>
      <c r="AO90" s="824">
        <v>61</v>
      </c>
      <c r="AP90" s="825">
        <f>SUM(AN90:AO90)</f>
        <v>61</v>
      </c>
    </row>
    <row r="91" spans="1:42" s="186" customFormat="1" ht="15" customHeight="1" x14ac:dyDescent="0.25">
      <c r="A91" s="5070"/>
      <c r="B91" s="5036"/>
      <c r="C91" s="875" t="s">
        <v>160</v>
      </c>
      <c r="D91" s="876"/>
      <c r="E91" s="877"/>
      <c r="F91" s="586"/>
      <c r="G91" s="876"/>
      <c r="H91" s="877"/>
      <c r="I91" s="586"/>
      <c r="J91" s="876"/>
      <c r="K91" s="877">
        <f>SUM(K87:K90)</f>
        <v>58</v>
      </c>
      <c r="L91" s="586">
        <f t="shared" ref="L91:AG91" si="67">SUM(L87:L90)</f>
        <v>58</v>
      </c>
      <c r="M91" s="876">
        <f t="shared" si="67"/>
        <v>0</v>
      </c>
      <c r="N91" s="877">
        <f t="shared" si="67"/>
        <v>28</v>
      </c>
      <c r="O91" s="586">
        <f t="shared" si="67"/>
        <v>28</v>
      </c>
      <c r="P91" s="876">
        <f t="shared" si="67"/>
        <v>0</v>
      </c>
      <c r="Q91" s="877">
        <f t="shared" si="67"/>
        <v>64</v>
      </c>
      <c r="R91" s="586">
        <f t="shared" si="67"/>
        <v>64</v>
      </c>
      <c r="S91" s="876">
        <f t="shared" si="67"/>
        <v>0</v>
      </c>
      <c r="T91" s="877">
        <f t="shared" si="67"/>
        <v>110</v>
      </c>
      <c r="U91" s="586">
        <f t="shared" si="67"/>
        <v>110</v>
      </c>
      <c r="V91" s="876">
        <f t="shared" si="67"/>
        <v>0</v>
      </c>
      <c r="W91" s="877">
        <f t="shared" si="67"/>
        <v>83</v>
      </c>
      <c r="X91" s="586">
        <f t="shared" si="67"/>
        <v>83</v>
      </c>
      <c r="Y91" s="876">
        <f t="shared" si="67"/>
        <v>0</v>
      </c>
      <c r="Z91" s="877">
        <f t="shared" si="67"/>
        <v>107</v>
      </c>
      <c r="AA91" s="586">
        <f t="shared" si="67"/>
        <v>107</v>
      </c>
      <c r="AB91" s="876">
        <f t="shared" si="67"/>
        <v>0</v>
      </c>
      <c r="AC91" s="877">
        <f t="shared" si="67"/>
        <v>110</v>
      </c>
      <c r="AD91" s="586">
        <f t="shared" si="67"/>
        <v>110</v>
      </c>
      <c r="AE91" s="876">
        <f t="shared" si="67"/>
        <v>0</v>
      </c>
      <c r="AF91" s="877">
        <f t="shared" si="67"/>
        <v>136</v>
      </c>
      <c r="AG91" s="586">
        <f t="shared" si="67"/>
        <v>136</v>
      </c>
      <c r="AH91" s="876">
        <f t="shared" ref="AH91:AM91" si="68">SUM(AH87:AH90)</f>
        <v>0</v>
      </c>
      <c r="AI91" s="877">
        <f t="shared" si="68"/>
        <v>145</v>
      </c>
      <c r="AJ91" s="586">
        <f t="shared" si="68"/>
        <v>145</v>
      </c>
      <c r="AK91" s="876">
        <f t="shared" si="68"/>
        <v>0</v>
      </c>
      <c r="AL91" s="877">
        <f t="shared" si="68"/>
        <v>229</v>
      </c>
      <c r="AM91" s="586">
        <f t="shared" si="68"/>
        <v>229</v>
      </c>
      <c r="AN91" s="876">
        <f t="shared" ref="AN91:AP91" si="69">SUM(AN87:AN90)</f>
        <v>0</v>
      </c>
      <c r="AO91" s="877">
        <f t="shared" si="69"/>
        <v>193</v>
      </c>
      <c r="AP91" s="586">
        <f t="shared" si="69"/>
        <v>193</v>
      </c>
    </row>
    <row r="92" spans="1:42" s="186" customFormat="1" ht="15" customHeight="1" x14ac:dyDescent="0.25">
      <c r="A92" s="5101"/>
      <c r="B92" s="3984"/>
      <c r="C92" s="2436" t="s">
        <v>450</v>
      </c>
      <c r="D92" s="2437"/>
      <c r="E92" s="2438"/>
      <c r="F92" s="2439"/>
      <c r="G92" s="2437"/>
      <c r="H92" s="2438"/>
      <c r="I92" s="2439"/>
      <c r="J92" s="2437"/>
      <c r="K92" s="2438">
        <f>SUM(K91,K86,K82)</f>
        <v>203</v>
      </c>
      <c r="L92" s="2439">
        <f t="shared" ref="L92:AG92" si="70">SUM(L91,L86,L82)</f>
        <v>203</v>
      </c>
      <c r="M92" s="2437">
        <f t="shared" si="70"/>
        <v>0</v>
      </c>
      <c r="N92" s="2438">
        <f t="shared" si="70"/>
        <v>101</v>
      </c>
      <c r="O92" s="2439">
        <f t="shared" si="70"/>
        <v>101</v>
      </c>
      <c r="P92" s="2437">
        <f t="shared" si="70"/>
        <v>0</v>
      </c>
      <c r="Q92" s="2438">
        <f t="shared" si="70"/>
        <v>316</v>
      </c>
      <c r="R92" s="2439">
        <f t="shared" si="70"/>
        <v>316</v>
      </c>
      <c r="S92" s="2437">
        <f t="shared" si="70"/>
        <v>0</v>
      </c>
      <c r="T92" s="2438">
        <f t="shared" si="70"/>
        <v>355</v>
      </c>
      <c r="U92" s="2439">
        <f t="shared" si="70"/>
        <v>355</v>
      </c>
      <c r="V92" s="2437">
        <f t="shared" si="70"/>
        <v>0</v>
      </c>
      <c r="W92" s="2438">
        <f t="shared" si="70"/>
        <v>260</v>
      </c>
      <c r="X92" s="2439">
        <f t="shared" si="70"/>
        <v>260</v>
      </c>
      <c r="Y92" s="2437">
        <f t="shared" si="70"/>
        <v>0</v>
      </c>
      <c r="Z92" s="2438">
        <f t="shared" si="70"/>
        <v>319</v>
      </c>
      <c r="AA92" s="2439">
        <f t="shared" si="70"/>
        <v>319</v>
      </c>
      <c r="AB92" s="2437">
        <f t="shared" si="70"/>
        <v>0</v>
      </c>
      <c r="AC92" s="2438">
        <f t="shared" si="70"/>
        <v>322</v>
      </c>
      <c r="AD92" s="2439">
        <f t="shared" si="70"/>
        <v>322</v>
      </c>
      <c r="AE92" s="2437">
        <f t="shared" si="70"/>
        <v>0</v>
      </c>
      <c r="AF92" s="2438">
        <f t="shared" si="70"/>
        <v>356</v>
      </c>
      <c r="AG92" s="2439">
        <f t="shared" si="70"/>
        <v>356</v>
      </c>
      <c r="AH92" s="2437">
        <f t="shared" ref="AH92:AM92" si="71">SUM(AH91,AH86,AH82)</f>
        <v>0</v>
      </c>
      <c r="AI92" s="2438">
        <f t="shared" si="71"/>
        <v>361</v>
      </c>
      <c r="AJ92" s="2439">
        <f t="shared" si="71"/>
        <v>361</v>
      </c>
      <c r="AK92" s="2437">
        <f t="shared" si="71"/>
        <v>97</v>
      </c>
      <c r="AL92" s="2438">
        <f t="shared" si="71"/>
        <v>483</v>
      </c>
      <c r="AM92" s="2439">
        <f t="shared" si="71"/>
        <v>580</v>
      </c>
      <c r="AN92" s="2437">
        <f t="shared" ref="AN92:AP92" si="72">SUM(AN91,AN86,AN82)</f>
        <v>97</v>
      </c>
      <c r="AO92" s="2438">
        <f t="shared" si="72"/>
        <v>511</v>
      </c>
      <c r="AP92" s="2439">
        <f t="shared" si="72"/>
        <v>608</v>
      </c>
    </row>
    <row r="93" spans="1:42" s="186" customFormat="1" ht="15" customHeight="1" x14ac:dyDescent="0.2">
      <c r="A93" s="5102" t="s">
        <v>437</v>
      </c>
      <c r="B93" s="1468" t="s">
        <v>5</v>
      </c>
      <c r="C93" s="1551" t="s">
        <v>509</v>
      </c>
      <c r="D93" s="841"/>
      <c r="E93" s="842"/>
      <c r="F93" s="844"/>
      <c r="G93" s="842"/>
      <c r="H93" s="842"/>
      <c r="I93" s="843"/>
      <c r="J93" s="841"/>
      <c r="K93" s="842"/>
      <c r="L93" s="844"/>
      <c r="M93" s="842"/>
      <c r="N93" s="842"/>
      <c r="O93" s="843"/>
      <c r="P93" s="841"/>
      <c r="Q93" s="842"/>
      <c r="R93" s="844"/>
      <c r="S93" s="842"/>
      <c r="T93" s="842"/>
      <c r="U93" s="843"/>
      <c r="V93" s="841"/>
      <c r="W93" s="842"/>
      <c r="X93" s="844"/>
      <c r="Y93" s="842"/>
      <c r="Z93" s="842"/>
      <c r="AA93" s="844"/>
      <c r="AB93" s="841">
        <v>26</v>
      </c>
      <c r="AC93" s="842">
        <v>33</v>
      </c>
      <c r="AD93" s="844">
        <f t="shared" si="62"/>
        <v>59</v>
      </c>
      <c r="AE93" s="841"/>
      <c r="AF93" s="842">
        <v>30</v>
      </c>
      <c r="AG93" s="844">
        <f t="shared" si="63"/>
        <v>30</v>
      </c>
      <c r="AH93" s="841">
        <v>26</v>
      </c>
      <c r="AI93" s="842">
        <v>26</v>
      </c>
      <c r="AJ93" s="844">
        <f>SUM(AH93:AI93)</f>
        <v>52</v>
      </c>
      <c r="AK93" s="841">
        <v>21</v>
      </c>
      <c r="AL93" s="842">
        <v>28</v>
      </c>
      <c r="AM93" s="844">
        <f>SUM(AK93:AL93)</f>
        <v>49</v>
      </c>
      <c r="AN93" s="841">
        <v>22</v>
      </c>
      <c r="AO93" s="842">
        <v>46</v>
      </c>
      <c r="AP93" s="844">
        <f>SUM(AN93:AO93)</f>
        <v>68</v>
      </c>
    </row>
    <row r="94" spans="1:42" s="186" customFormat="1" ht="15" customHeight="1" x14ac:dyDescent="0.2">
      <c r="A94" s="5103"/>
      <c r="B94" s="5129" t="s">
        <v>6</v>
      </c>
      <c r="C94" s="827" t="s">
        <v>510</v>
      </c>
      <c r="D94" s="833"/>
      <c r="E94" s="836"/>
      <c r="F94" s="830"/>
      <c r="G94" s="865"/>
      <c r="H94" s="836"/>
      <c r="I94" s="830"/>
      <c r="J94" s="833"/>
      <c r="K94" s="834"/>
      <c r="L94" s="830"/>
      <c r="M94" s="833"/>
      <c r="N94" s="834"/>
      <c r="O94" s="830"/>
      <c r="P94" s="828"/>
      <c r="Q94" s="829"/>
      <c r="R94" s="830"/>
      <c r="S94" s="828"/>
      <c r="T94" s="829"/>
      <c r="U94" s="830"/>
      <c r="V94" s="828"/>
      <c r="W94" s="829"/>
      <c r="X94" s="830"/>
      <c r="Y94" s="828"/>
      <c r="Z94" s="829"/>
      <c r="AA94" s="830"/>
      <c r="AB94" s="828">
        <v>29</v>
      </c>
      <c r="AC94" s="829">
        <v>29</v>
      </c>
      <c r="AD94" s="830">
        <f t="shared" si="62"/>
        <v>58</v>
      </c>
      <c r="AE94" s="828"/>
      <c r="AF94" s="829">
        <v>33</v>
      </c>
      <c r="AG94" s="830">
        <f t="shared" si="63"/>
        <v>33</v>
      </c>
      <c r="AH94" s="828">
        <v>22</v>
      </c>
      <c r="AI94" s="829">
        <v>29</v>
      </c>
      <c r="AJ94" s="830">
        <f>SUM(AH94:AI94)</f>
        <v>51</v>
      </c>
      <c r="AK94" s="828"/>
      <c r="AL94" s="829">
        <v>30</v>
      </c>
      <c r="AM94" s="830">
        <f>SUM(AK94:AL94)</f>
        <v>30</v>
      </c>
      <c r="AN94" s="828"/>
      <c r="AO94" s="829">
        <v>37</v>
      </c>
      <c r="AP94" s="830">
        <f>SUM(AN94:AO94)</f>
        <v>37</v>
      </c>
    </row>
    <row r="95" spans="1:42" s="186" customFormat="1" ht="15" customHeight="1" x14ac:dyDescent="0.2">
      <c r="A95" s="5103"/>
      <c r="B95" s="5130"/>
      <c r="C95" s="822" t="s">
        <v>625</v>
      </c>
      <c r="D95" s="833"/>
      <c r="E95" s="836"/>
      <c r="F95" s="830"/>
      <c r="G95" s="865"/>
      <c r="H95" s="836"/>
      <c r="I95" s="830"/>
      <c r="J95" s="833"/>
      <c r="K95" s="834"/>
      <c r="L95" s="830"/>
      <c r="M95" s="833"/>
      <c r="N95" s="834"/>
      <c r="O95" s="830"/>
      <c r="P95" s="828"/>
      <c r="Q95" s="829"/>
      <c r="R95" s="830"/>
      <c r="S95" s="828"/>
      <c r="T95" s="829"/>
      <c r="U95" s="830"/>
      <c r="V95" s="828"/>
      <c r="W95" s="829"/>
      <c r="X95" s="830"/>
      <c r="Y95" s="828"/>
      <c r="Z95" s="829"/>
      <c r="AA95" s="830"/>
      <c r="AB95" s="828"/>
      <c r="AC95" s="829"/>
      <c r="AD95" s="830"/>
      <c r="AE95" s="828"/>
      <c r="AF95" s="829"/>
      <c r="AG95" s="830"/>
      <c r="AH95" s="828"/>
      <c r="AI95" s="829">
        <v>18</v>
      </c>
      <c r="AJ95" s="830">
        <f>SUM(AH95:AI95)</f>
        <v>18</v>
      </c>
      <c r="AK95" s="828"/>
      <c r="AL95" s="829">
        <v>18</v>
      </c>
      <c r="AM95" s="830">
        <f>SUM(AK95:AL95)</f>
        <v>18</v>
      </c>
      <c r="AN95" s="828"/>
      <c r="AO95" s="829">
        <v>18</v>
      </c>
      <c r="AP95" s="830">
        <f>SUM(AN95:AO95)</f>
        <v>18</v>
      </c>
    </row>
    <row r="96" spans="1:42" s="186" customFormat="1" ht="15" customHeight="1" x14ac:dyDescent="0.25">
      <c r="A96" s="5103"/>
      <c r="B96" s="5131"/>
      <c r="C96" s="875" t="s">
        <v>160</v>
      </c>
      <c r="D96" s="876"/>
      <c r="E96" s="877"/>
      <c r="F96" s="586"/>
      <c r="G96" s="876"/>
      <c r="H96" s="877"/>
      <c r="I96" s="586"/>
      <c r="J96" s="876"/>
      <c r="K96" s="877"/>
      <c r="L96" s="586"/>
      <c r="M96" s="876"/>
      <c r="N96" s="877"/>
      <c r="O96" s="586"/>
      <c r="P96" s="876"/>
      <c r="Q96" s="877"/>
      <c r="R96" s="586"/>
      <c r="S96" s="876"/>
      <c r="T96" s="877"/>
      <c r="U96" s="586"/>
      <c r="V96" s="876"/>
      <c r="W96" s="877"/>
      <c r="X96" s="586"/>
      <c r="Y96" s="876"/>
      <c r="Z96" s="877"/>
      <c r="AA96" s="586"/>
      <c r="AB96" s="876">
        <f t="shared" ref="AB96:AG96" si="73">SUM(AB94:AB95)</f>
        <v>29</v>
      </c>
      <c r="AC96" s="877">
        <f t="shared" si="73"/>
        <v>29</v>
      </c>
      <c r="AD96" s="586">
        <f t="shared" si="73"/>
        <v>58</v>
      </c>
      <c r="AE96" s="876">
        <f t="shared" si="73"/>
        <v>0</v>
      </c>
      <c r="AF96" s="877">
        <f t="shared" si="73"/>
        <v>33</v>
      </c>
      <c r="AG96" s="586">
        <f t="shared" si="73"/>
        <v>33</v>
      </c>
      <c r="AH96" s="1522">
        <f t="shared" ref="AH96:AM96" si="74">SUM(AH94:AH95)</f>
        <v>22</v>
      </c>
      <c r="AI96" s="1522">
        <f t="shared" si="74"/>
        <v>47</v>
      </c>
      <c r="AJ96" s="586">
        <f t="shared" si="74"/>
        <v>69</v>
      </c>
      <c r="AK96" s="1522">
        <f t="shared" si="74"/>
        <v>0</v>
      </c>
      <c r="AL96" s="1522">
        <f t="shared" si="74"/>
        <v>48</v>
      </c>
      <c r="AM96" s="586">
        <f t="shared" si="74"/>
        <v>48</v>
      </c>
      <c r="AN96" s="1522">
        <f t="shared" ref="AN96:AP96" si="75">SUM(AN94:AN95)</f>
        <v>0</v>
      </c>
      <c r="AO96" s="1522">
        <f t="shared" si="75"/>
        <v>55</v>
      </c>
      <c r="AP96" s="586">
        <f t="shared" si="75"/>
        <v>55</v>
      </c>
    </row>
    <row r="97" spans="1:42" s="186" customFormat="1" ht="15" customHeight="1" x14ac:dyDescent="0.2">
      <c r="A97" s="5103"/>
      <c r="B97" s="1468" t="s">
        <v>11</v>
      </c>
      <c r="C97" s="868" t="s">
        <v>511</v>
      </c>
      <c r="D97" s="520"/>
      <c r="E97" s="521"/>
      <c r="F97" s="513"/>
      <c r="G97" s="521"/>
      <c r="H97" s="521"/>
      <c r="I97" s="512"/>
      <c r="J97" s="520"/>
      <c r="K97" s="521"/>
      <c r="L97" s="513"/>
      <c r="M97" s="521"/>
      <c r="N97" s="521"/>
      <c r="O97" s="512"/>
      <c r="P97" s="520"/>
      <c r="Q97" s="521"/>
      <c r="R97" s="513"/>
      <c r="S97" s="521"/>
      <c r="T97" s="521"/>
      <c r="U97" s="512"/>
      <c r="V97" s="520"/>
      <c r="W97" s="521"/>
      <c r="X97" s="513"/>
      <c r="Y97" s="521"/>
      <c r="Z97" s="521"/>
      <c r="AA97" s="513"/>
      <c r="AB97" s="478">
        <v>30</v>
      </c>
      <c r="AC97" s="477">
        <v>26</v>
      </c>
      <c r="AD97" s="513">
        <f t="shared" si="62"/>
        <v>56</v>
      </c>
      <c r="AE97" s="478"/>
      <c r="AF97" s="477">
        <v>26</v>
      </c>
      <c r="AG97" s="513">
        <f t="shared" si="63"/>
        <v>26</v>
      </c>
      <c r="AH97" s="478">
        <v>19</v>
      </c>
      <c r="AI97" s="477">
        <v>36</v>
      </c>
      <c r="AJ97" s="513">
        <f>SUM(AH97:AI97)</f>
        <v>55</v>
      </c>
      <c r="AK97" s="478">
        <v>30</v>
      </c>
      <c r="AL97" s="477">
        <v>17</v>
      </c>
      <c r="AM97" s="513">
        <f>SUM(AK97:AL97)</f>
        <v>47</v>
      </c>
      <c r="AN97" s="478">
        <v>37</v>
      </c>
      <c r="AO97" s="477">
        <v>41</v>
      </c>
      <c r="AP97" s="513">
        <f>SUM(AN97:AO97)</f>
        <v>78</v>
      </c>
    </row>
    <row r="98" spans="1:42" s="186" customFormat="1" ht="15" customHeight="1" x14ac:dyDescent="0.25">
      <c r="A98" s="5104"/>
      <c r="B98" s="3983"/>
      <c r="C98" s="2444" t="s">
        <v>450</v>
      </c>
      <c r="D98" s="2445"/>
      <c r="E98" s="2446"/>
      <c r="F98" s="2447"/>
      <c r="G98" s="2446"/>
      <c r="H98" s="2446"/>
      <c r="I98" s="2446"/>
      <c r="J98" s="2445"/>
      <c r="K98" s="2446"/>
      <c r="L98" s="2447"/>
      <c r="M98" s="2446"/>
      <c r="N98" s="2446"/>
      <c r="O98" s="2446"/>
      <c r="P98" s="2445"/>
      <c r="Q98" s="2446"/>
      <c r="R98" s="2447"/>
      <c r="S98" s="2446"/>
      <c r="T98" s="2446"/>
      <c r="U98" s="2446"/>
      <c r="V98" s="2445"/>
      <c r="W98" s="2446"/>
      <c r="X98" s="2447"/>
      <c r="Y98" s="2446"/>
      <c r="Z98" s="2446"/>
      <c r="AA98" s="2447"/>
      <c r="AB98" s="2445">
        <f>SUM(AB93,AB96,AB97)</f>
        <v>85</v>
      </c>
      <c r="AC98" s="2446">
        <f t="shared" ref="AC98:AJ98" si="76">SUM(AC93,AC96,AC97)</f>
        <v>88</v>
      </c>
      <c r="AD98" s="2447">
        <f t="shared" si="76"/>
        <v>173</v>
      </c>
      <c r="AE98" s="2445">
        <f t="shared" si="76"/>
        <v>0</v>
      </c>
      <c r="AF98" s="2446">
        <f t="shared" si="76"/>
        <v>89</v>
      </c>
      <c r="AG98" s="2447">
        <f t="shared" si="76"/>
        <v>89</v>
      </c>
      <c r="AH98" s="2445">
        <f t="shared" si="76"/>
        <v>67</v>
      </c>
      <c r="AI98" s="2446">
        <f t="shared" si="76"/>
        <v>109</v>
      </c>
      <c r="AJ98" s="2447">
        <f t="shared" si="76"/>
        <v>176</v>
      </c>
      <c r="AK98" s="2445">
        <f t="shared" ref="AK98:AP98" si="77">SUM(AK93,AK96,AK97)</f>
        <v>51</v>
      </c>
      <c r="AL98" s="2446">
        <f t="shared" si="77"/>
        <v>93</v>
      </c>
      <c r="AM98" s="2447">
        <f t="shared" si="77"/>
        <v>144</v>
      </c>
      <c r="AN98" s="2445">
        <f t="shared" si="77"/>
        <v>59</v>
      </c>
      <c r="AO98" s="2446">
        <f t="shared" si="77"/>
        <v>142</v>
      </c>
      <c r="AP98" s="2447">
        <f t="shared" si="77"/>
        <v>201</v>
      </c>
    </row>
    <row r="99" spans="1:42" s="186" customFormat="1" ht="15" customHeight="1" x14ac:dyDescent="0.2">
      <c r="A99" s="506"/>
      <c r="B99" s="506"/>
      <c r="C99" s="506"/>
      <c r="D99" s="506"/>
      <c r="E99" s="506"/>
      <c r="F99" s="506"/>
      <c r="G99" s="506"/>
      <c r="H99" s="506"/>
      <c r="I99" s="506"/>
      <c r="J99" s="506"/>
      <c r="K99" s="506"/>
      <c r="L99" s="506"/>
      <c r="M99" s="506"/>
      <c r="N99" s="506"/>
      <c r="O99" s="506"/>
      <c r="P99" s="506"/>
      <c r="Q99" s="506"/>
      <c r="R99" s="506"/>
      <c r="S99" s="506"/>
      <c r="T99" s="506"/>
      <c r="U99" s="506"/>
      <c r="V99" s="506"/>
      <c r="W99" s="506"/>
      <c r="X99" s="506"/>
      <c r="Y99" s="506"/>
      <c r="Z99" s="506"/>
      <c r="AA99" s="506"/>
      <c r="AB99" s="506"/>
      <c r="AC99" s="498"/>
      <c r="AD99" s="498"/>
      <c r="AE99" s="506"/>
      <c r="AF99" s="498"/>
      <c r="AG99" s="498"/>
      <c r="AH99" s="506"/>
      <c r="AI99" s="498"/>
      <c r="AJ99" s="498"/>
      <c r="AK99" s="506"/>
      <c r="AL99" s="498"/>
      <c r="AM99" s="498"/>
      <c r="AN99" s="506"/>
      <c r="AO99" s="498"/>
      <c r="AP99" s="498"/>
    </row>
    <row r="100" spans="1:42" s="188" customFormat="1" x14ac:dyDescent="0.25">
      <c r="A100" s="850"/>
      <c r="B100" s="5025" t="s">
        <v>76</v>
      </c>
      <c r="C100" s="5027"/>
      <c r="D100" s="878">
        <f t="shared" ref="D100:AD100" si="78">SUM(D25,D55,D77,D92,D98)</f>
        <v>3555</v>
      </c>
      <c r="E100" s="879">
        <f t="shared" si="78"/>
        <v>4762</v>
      </c>
      <c r="F100" s="880">
        <f t="shared" si="78"/>
        <v>8317</v>
      </c>
      <c r="G100" s="878">
        <f t="shared" si="78"/>
        <v>4222</v>
      </c>
      <c r="H100" s="879">
        <f t="shared" si="78"/>
        <v>5490</v>
      </c>
      <c r="I100" s="880">
        <f t="shared" si="78"/>
        <v>9712</v>
      </c>
      <c r="J100" s="878">
        <f t="shared" si="78"/>
        <v>4137</v>
      </c>
      <c r="K100" s="879">
        <f t="shared" si="78"/>
        <v>5316</v>
      </c>
      <c r="L100" s="880">
        <f t="shared" si="78"/>
        <v>9453</v>
      </c>
      <c r="M100" s="878">
        <f t="shared" si="78"/>
        <v>4019</v>
      </c>
      <c r="N100" s="879">
        <f t="shared" si="78"/>
        <v>5163</v>
      </c>
      <c r="O100" s="880">
        <f t="shared" si="78"/>
        <v>9182</v>
      </c>
      <c r="P100" s="878">
        <f t="shared" si="78"/>
        <v>4013</v>
      </c>
      <c r="Q100" s="879">
        <f t="shared" si="78"/>
        <v>5251</v>
      </c>
      <c r="R100" s="880">
        <f t="shared" si="78"/>
        <v>9264</v>
      </c>
      <c r="S100" s="878">
        <f t="shared" si="78"/>
        <v>4227</v>
      </c>
      <c r="T100" s="879">
        <f t="shared" si="78"/>
        <v>5708</v>
      </c>
      <c r="U100" s="880">
        <f t="shared" si="78"/>
        <v>9935</v>
      </c>
      <c r="V100" s="878">
        <f t="shared" si="78"/>
        <v>4004</v>
      </c>
      <c r="W100" s="879">
        <f t="shared" si="78"/>
        <v>5249</v>
      </c>
      <c r="X100" s="880">
        <f t="shared" si="78"/>
        <v>9253</v>
      </c>
      <c r="Y100" s="878">
        <f t="shared" si="78"/>
        <v>4091</v>
      </c>
      <c r="Z100" s="879">
        <f t="shared" si="78"/>
        <v>5796</v>
      </c>
      <c r="AA100" s="880">
        <f t="shared" si="78"/>
        <v>9887</v>
      </c>
      <c r="AB100" s="878">
        <f t="shared" si="78"/>
        <v>4336</v>
      </c>
      <c r="AC100" s="879">
        <f t="shared" si="78"/>
        <v>5356</v>
      </c>
      <c r="AD100" s="880">
        <f t="shared" si="78"/>
        <v>9692</v>
      </c>
      <c r="AE100" s="878">
        <f t="shared" ref="AE100:AJ100" si="79">SUM(AE25,AE55,AE77,AE92,AE98)</f>
        <v>3839</v>
      </c>
      <c r="AF100" s="879">
        <f t="shared" si="79"/>
        <v>5564</v>
      </c>
      <c r="AG100" s="880">
        <f t="shared" si="79"/>
        <v>9403</v>
      </c>
      <c r="AH100" s="878">
        <f t="shared" si="79"/>
        <v>4079</v>
      </c>
      <c r="AI100" s="879">
        <f t="shared" si="79"/>
        <v>5779</v>
      </c>
      <c r="AJ100" s="880">
        <f t="shared" si="79"/>
        <v>9858</v>
      </c>
      <c r="AK100" s="878">
        <f t="shared" ref="AK100:AP100" si="80">SUM(AK25,AK55,AK77,AK92,AK98)</f>
        <v>4075</v>
      </c>
      <c r="AL100" s="879">
        <f t="shared" si="80"/>
        <v>5798</v>
      </c>
      <c r="AM100" s="880">
        <f t="shared" si="80"/>
        <v>9873</v>
      </c>
      <c r="AN100" s="878">
        <f t="shared" si="80"/>
        <v>3865</v>
      </c>
      <c r="AO100" s="879">
        <f t="shared" si="80"/>
        <v>5984</v>
      </c>
      <c r="AP100" s="880">
        <f t="shared" si="80"/>
        <v>9849</v>
      </c>
    </row>
    <row r="101" spans="1:42" s="186" customFormat="1" x14ac:dyDescent="0.2">
      <c r="A101" s="498"/>
      <c r="B101" s="2379" t="s">
        <v>805</v>
      </c>
      <c r="C101" s="851"/>
      <c r="D101" s="498"/>
      <c r="E101" s="498"/>
      <c r="F101" s="498"/>
      <c r="G101" s="498"/>
      <c r="H101" s="498"/>
      <c r="I101" s="498"/>
      <c r="J101" s="498"/>
      <c r="K101" s="498"/>
      <c r="L101" s="498"/>
      <c r="M101" s="498"/>
      <c r="N101" s="498"/>
      <c r="O101" s="498"/>
      <c r="P101" s="498"/>
      <c r="Q101" s="498"/>
      <c r="R101" s="498"/>
      <c r="S101" s="498"/>
      <c r="T101" s="498"/>
      <c r="U101" s="498"/>
      <c r="V101" s="498"/>
      <c r="W101" s="498"/>
      <c r="X101" s="498"/>
      <c r="Y101" s="498"/>
      <c r="Z101" s="498"/>
      <c r="AA101" s="498"/>
      <c r="AB101" s="506"/>
      <c r="AC101" s="498"/>
      <c r="AD101" s="498"/>
      <c r="AE101" s="498"/>
      <c r="AF101" s="498"/>
      <c r="AG101" s="498"/>
    </row>
    <row r="102" spans="1:42" x14ac:dyDescent="0.2">
      <c r="B102" s="572" t="s">
        <v>0</v>
      </c>
      <c r="C102" s="572"/>
      <c r="D102" s="572"/>
      <c r="AB102" s="506"/>
    </row>
  </sheetData>
  <mergeCells count="36">
    <mergeCell ref="AN3:AP3"/>
    <mergeCell ref="D3:F3"/>
    <mergeCell ref="G3:I3"/>
    <mergeCell ref="AK3:AM3"/>
    <mergeCell ref="AH3:AJ3"/>
    <mergeCell ref="AE3:AG3"/>
    <mergeCell ref="S3:U3"/>
    <mergeCell ref="V3:X3"/>
    <mergeCell ref="J3:L3"/>
    <mergeCell ref="M3:O3"/>
    <mergeCell ref="P3:R3"/>
    <mergeCell ref="Y3:AA3"/>
    <mergeCell ref="AB3:AD3"/>
    <mergeCell ref="B100:C100"/>
    <mergeCell ref="B56:B62"/>
    <mergeCell ref="B63:B71"/>
    <mergeCell ref="B72:B76"/>
    <mergeCell ref="B78:B82"/>
    <mergeCell ref="B83:B86"/>
    <mergeCell ref="B87:B91"/>
    <mergeCell ref="B94:B96"/>
    <mergeCell ref="A1:C1"/>
    <mergeCell ref="A78:A92"/>
    <mergeCell ref="A93:A98"/>
    <mergeCell ref="B48:B54"/>
    <mergeCell ref="A5:A25"/>
    <mergeCell ref="B5:B15"/>
    <mergeCell ref="A56:A77"/>
    <mergeCell ref="A3:A4"/>
    <mergeCell ref="B3:B4"/>
    <mergeCell ref="A26:A55"/>
    <mergeCell ref="B36:B47"/>
    <mergeCell ref="C3:C4"/>
    <mergeCell ref="B21:B24"/>
    <mergeCell ref="B26:B35"/>
    <mergeCell ref="B16:B20"/>
  </mergeCells>
  <printOptions horizontalCentered="1" verticalCentered="1"/>
  <pageMargins left="0.35433070866141736" right="0.27559055118110237" top="0.31496062992125984" bottom="0.19685039370078741" header="0" footer="0.31496062992125984"/>
  <pageSetup scale="60" pageOrder="overThenDown" orientation="landscape" horizontalDpi="1200" verticalDpi="1200" r:id="rId1"/>
  <rowBreaks count="1" manualBreakCount="1">
    <brk id="55" max="41" man="1"/>
  </rowBreaks>
  <colBreaks count="2" manualBreakCount="2">
    <brk id="21" max="101" man="1"/>
    <brk id="39" max="101" man="1"/>
  </colBreaks>
  <ignoredErrors>
    <ignoredError sqref="AA87:AA90 AA5:AA14 AA21:AA23 AA26:AA34 AA36:AA46 AA48:AA53 AA72:AA75 AA78:AA81 AA56:AA61 AH96:AI96 AB96:AG96" formulaRange="1"/>
    <ignoredError sqref="AA16:AA19 AJ96 AA83:AA85 AA63:AA70 AK96:AM96 AN96:AO96" formula="1" formulaRange="1"/>
    <ignoredError sqref="AA15:AJ15 AA20:AJ20 AB16:AH19 AJ16:AJ19 AJ82:AJ86 AA47:AJ47 AA82:AG82 AA86:AG86 AB83:AG85 AA62:AJ62 AA71:AJ71 AB63:AJ70 AK15:AM95 AN82:AP95 AP62:AP71 AP35:AP47 AP15:AP20 AP96" formula="1"/>
  </ignoredErrors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25A8"/>
  </sheetPr>
  <dimension ref="A1:Q284"/>
  <sheetViews>
    <sheetView showGridLines="0" zoomScaleNormal="100" workbookViewId="0"/>
  </sheetViews>
  <sheetFormatPr baseColWidth="10" defaultRowHeight="15" x14ac:dyDescent="0.25"/>
  <cols>
    <col min="1" max="1" width="28.42578125" style="1649" customWidth="1"/>
    <col min="2" max="2" width="1.28515625" style="1649" customWidth="1"/>
    <col min="3" max="11" width="12.42578125" style="1649" customWidth="1"/>
    <col min="12" max="13" width="11.42578125" style="1649"/>
    <col min="14" max="14" width="8.7109375" style="1649" customWidth="1"/>
    <col min="15" max="15" width="17" style="1649" bestFit="1" customWidth="1"/>
    <col min="16" max="16" width="12.7109375" style="1649" customWidth="1"/>
    <col min="17" max="17" width="14.7109375" style="1649" customWidth="1"/>
    <col min="18" max="16384" width="11.42578125" style="1649"/>
  </cols>
  <sheetData>
    <row r="1" spans="1:15" ht="21" x14ac:dyDescent="0.25">
      <c r="A1" s="2310" t="s">
        <v>603</v>
      </c>
      <c r="B1" s="1650"/>
      <c r="D1" s="2310"/>
      <c r="E1" s="2310"/>
      <c r="F1" s="2310"/>
      <c r="G1" s="2310"/>
      <c r="H1" s="2310"/>
      <c r="I1" s="2310"/>
      <c r="J1" s="2310"/>
      <c r="K1" s="2310"/>
    </row>
    <row r="2" spans="1:15" ht="11.25" customHeight="1" thickBot="1" x14ac:dyDescent="0.3"/>
    <row r="3" spans="1:15" ht="33.75" customHeight="1" thickBot="1" x14ac:dyDescent="0.3">
      <c r="A3" s="1651" t="s">
        <v>98</v>
      </c>
      <c r="B3" s="1652"/>
      <c r="C3" s="1653">
        <v>2005</v>
      </c>
      <c r="D3" s="1654">
        <v>2006</v>
      </c>
      <c r="E3" s="1654">
        <v>2007</v>
      </c>
      <c r="F3" s="1654">
        <v>2008</v>
      </c>
      <c r="G3" s="1654">
        <v>2009</v>
      </c>
      <c r="H3" s="1654">
        <v>2010</v>
      </c>
      <c r="I3" s="1654">
        <v>2011</v>
      </c>
      <c r="J3" s="1654">
        <v>2012</v>
      </c>
      <c r="K3" s="1655">
        <v>2013</v>
      </c>
      <c r="L3" s="1655">
        <v>2014</v>
      </c>
      <c r="M3" s="1655">
        <v>2015</v>
      </c>
    </row>
    <row r="4" spans="1:15" ht="11.25" customHeight="1" thickBot="1" x14ac:dyDescent="0.3"/>
    <row r="5" spans="1:15" ht="21" customHeight="1" x14ac:dyDescent="0.25">
      <c r="A5" s="1656" t="s">
        <v>99</v>
      </c>
      <c r="C5" s="1657">
        <v>143</v>
      </c>
      <c r="D5" s="1658">
        <v>193</v>
      </c>
      <c r="E5" s="1659">
        <v>317</v>
      </c>
      <c r="F5" s="1659">
        <v>346</v>
      </c>
      <c r="G5" s="1659">
        <v>381</v>
      </c>
      <c r="H5" s="1659">
        <v>487</v>
      </c>
      <c r="I5" s="1658">
        <v>510</v>
      </c>
      <c r="J5" s="1659">
        <v>562</v>
      </c>
      <c r="K5" s="1660">
        <v>573</v>
      </c>
      <c r="L5" s="1660">
        <v>557</v>
      </c>
      <c r="M5" s="1660">
        <v>568</v>
      </c>
    </row>
    <row r="6" spans="1:15" ht="21" customHeight="1" x14ac:dyDescent="0.25">
      <c r="A6" s="1661" t="s">
        <v>100</v>
      </c>
      <c r="C6" s="1662">
        <v>287</v>
      </c>
      <c r="D6" s="1663">
        <v>300</v>
      </c>
      <c r="E6" s="1664">
        <v>355</v>
      </c>
      <c r="F6" s="1664">
        <v>376</v>
      </c>
      <c r="G6" s="1664">
        <v>398</v>
      </c>
      <c r="H6" s="1664">
        <v>423</v>
      </c>
      <c r="I6" s="1663">
        <v>461</v>
      </c>
      <c r="J6" s="1664">
        <v>484</v>
      </c>
      <c r="K6" s="1665">
        <v>493</v>
      </c>
      <c r="L6" s="1665">
        <v>533</v>
      </c>
      <c r="M6" s="1665">
        <v>532</v>
      </c>
    </row>
    <row r="7" spans="1:15" ht="21" customHeight="1" x14ac:dyDescent="0.25">
      <c r="A7" s="1661" t="s">
        <v>101</v>
      </c>
      <c r="C7" s="1662">
        <v>496</v>
      </c>
      <c r="D7" s="1663">
        <v>508</v>
      </c>
      <c r="E7" s="1664">
        <v>576</v>
      </c>
      <c r="F7" s="1664">
        <v>577</v>
      </c>
      <c r="G7" s="1664">
        <v>595</v>
      </c>
      <c r="H7" s="1664">
        <v>608</v>
      </c>
      <c r="I7" s="1663">
        <v>563</v>
      </c>
      <c r="J7" s="1664">
        <v>548</v>
      </c>
      <c r="K7" s="1665">
        <v>575</v>
      </c>
      <c r="L7" s="1665">
        <v>591</v>
      </c>
      <c r="M7" s="1665">
        <v>593</v>
      </c>
    </row>
    <row r="8" spans="1:15" ht="21" customHeight="1" x14ac:dyDescent="0.25">
      <c r="A8" s="1661" t="s">
        <v>102</v>
      </c>
      <c r="C8" s="1662">
        <v>731</v>
      </c>
      <c r="D8" s="1663">
        <v>735</v>
      </c>
      <c r="E8" s="1664">
        <v>795</v>
      </c>
      <c r="F8" s="1664">
        <v>769</v>
      </c>
      <c r="G8" s="1664">
        <v>725</v>
      </c>
      <c r="H8" s="1664">
        <v>710</v>
      </c>
      <c r="I8" s="1663">
        <v>709</v>
      </c>
      <c r="J8" s="1664">
        <v>741</v>
      </c>
      <c r="K8" s="1665">
        <v>719</v>
      </c>
      <c r="L8" s="1665">
        <v>738</v>
      </c>
      <c r="M8" s="1665">
        <v>728</v>
      </c>
    </row>
    <row r="9" spans="1:15" ht="21" customHeight="1" x14ac:dyDescent="0.25">
      <c r="A9" s="1661" t="s">
        <v>103</v>
      </c>
      <c r="C9" s="1662">
        <v>892</v>
      </c>
      <c r="D9" s="1663">
        <v>893</v>
      </c>
      <c r="E9" s="1664">
        <v>885</v>
      </c>
      <c r="F9" s="1664">
        <v>888</v>
      </c>
      <c r="G9" s="1664">
        <v>894</v>
      </c>
      <c r="H9" s="1664">
        <v>898</v>
      </c>
      <c r="I9" s="1663">
        <v>899</v>
      </c>
      <c r="J9" s="1664">
        <v>854</v>
      </c>
      <c r="K9" s="1665">
        <v>834</v>
      </c>
      <c r="L9" s="1665">
        <v>794</v>
      </c>
      <c r="M9" s="1665">
        <v>749</v>
      </c>
    </row>
    <row r="10" spans="1:15" ht="21" customHeight="1" x14ac:dyDescent="0.25">
      <c r="A10" s="1661" t="s">
        <v>104</v>
      </c>
      <c r="C10" s="1662">
        <v>861</v>
      </c>
      <c r="D10" s="1663">
        <v>825</v>
      </c>
      <c r="E10" s="1664">
        <v>727</v>
      </c>
      <c r="F10" s="1664">
        <v>759</v>
      </c>
      <c r="G10" s="1664">
        <v>792</v>
      </c>
      <c r="H10" s="1664">
        <v>821</v>
      </c>
      <c r="I10" s="1663">
        <v>817</v>
      </c>
      <c r="J10" s="1664">
        <v>807</v>
      </c>
      <c r="K10" s="1665">
        <v>814</v>
      </c>
      <c r="L10" s="1665">
        <v>826</v>
      </c>
      <c r="M10" s="1665">
        <v>841</v>
      </c>
    </row>
    <row r="11" spans="1:15" ht="21" customHeight="1" x14ac:dyDescent="0.25">
      <c r="A11" s="1661" t="s">
        <v>105</v>
      </c>
      <c r="C11" s="1662">
        <v>554</v>
      </c>
      <c r="D11" s="1663">
        <v>529</v>
      </c>
      <c r="E11" s="1664">
        <v>463</v>
      </c>
      <c r="F11" s="1664">
        <v>463</v>
      </c>
      <c r="G11" s="1664">
        <v>471</v>
      </c>
      <c r="H11" s="1664">
        <v>500</v>
      </c>
      <c r="I11" s="1663">
        <v>534</v>
      </c>
      <c r="J11" s="1664">
        <v>560</v>
      </c>
      <c r="K11" s="1665">
        <v>575</v>
      </c>
      <c r="L11" s="1665">
        <v>575</v>
      </c>
      <c r="M11" s="1665">
        <v>581</v>
      </c>
    </row>
    <row r="12" spans="1:15" ht="21" customHeight="1" x14ac:dyDescent="0.25">
      <c r="A12" s="1661" t="s">
        <v>106</v>
      </c>
      <c r="C12" s="1662">
        <v>300</v>
      </c>
      <c r="D12" s="1663">
        <v>287</v>
      </c>
      <c r="E12" s="1664">
        <v>220</v>
      </c>
      <c r="F12" s="1664">
        <v>240</v>
      </c>
      <c r="G12" s="1664">
        <v>265</v>
      </c>
      <c r="H12" s="1664">
        <v>282</v>
      </c>
      <c r="I12" s="1663">
        <v>302</v>
      </c>
      <c r="J12" s="1664">
        <v>304</v>
      </c>
      <c r="K12" s="1665">
        <v>301</v>
      </c>
      <c r="L12" s="1665">
        <v>321</v>
      </c>
      <c r="M12" s="1665">
        <v>323</v>
      </c>
    </row>
    <row r="13" spans="1:15" ht="21" customHeight="1" x14ac:dyDescent="0.25">
      <c r="A13" s="1661" t="s">
        <v>107</v>
      </c>
      <c r="C13" s="1662">
        <v>145</v>
      </c>
      <c r="D13" s="1663">
        <v>127</v>
      </c>
      <c r="E13" s="1664">
        <v>98</v>
      </c>
      <c r="F13" s="1664">
        <v>102</v>
      </c>
      <c r="G13" s="1664">
        <v>110</v>
      </c>
      <c r="H13" s="1664">
        <v>124</v>
      </c>
      <c r="I13" s="1663">
        <v>143</v>
      </c>
      <c r="J13" s="1664">
        <v>148</v>
      </c>
      <c r="K13" s="1665">
        <v>147</v>
      </c>
      <c r="L13" s="1665">
        <v>143</v>
      </c>
      <c r="M13" s="1665">
        <v>145</v>
      </c>
    </row>
    <row r="14" spans="1:15" ht="21" customHeight="1" thickBot="1" x14ac:dyDescent="0.3">
      <c r="A14" s="1666" t="s">
        <v>604</v>
      </c>
      <c r="C14" s="1667">
        <v>89</v>
      </c>
      <c r="D14" s="1668">
        <v>82</v>
      </c>
      <c r="E14" s="1669">
        <v>58</v>
      </c>
      <c r="F14" s="1669">
        <v>58</v>
      </c>
      <c r="G14" s="1669">
        <v>63</v>
      </c>
      <c r="H14" s="1669">
        <v>65</v>
      </c>
      <c r="I14" s="1668">
        <v>68</v>
      </c>
      <c r="J14" s="1669">
        <v>71</v>
      </c>
      <c r="K14" s="1670">
        <v>66</v>
      </c>
      <c r="L14" s="1670">
        <v>71</v>
      </c>
      <c r="M14" s="1670">
        <v>68</v>
      </c>
    </row>
    <row r="15" spans="1:15" ht="11.25" customHeight="1" thickBot="1" x14ac:dyDescent="0.3"/>
    <row r="16" spans="1:15" ht="21.75" customHeight="1" thickBot="1" x14ac:dyDescent="0.3">
      <c r="A16" s="1671" t="s">
        <v>12</v>
      </c>
      <c r="C16" s="1672">
        <f t="shared" ref="C16:J16" si="0">SUM(C5:C14)</f>
        <v>4498</v>
      </c>
      <c r="D16" s="1673">
        <f t="shared" si="0"/>
        <v>4479</v>
      </c>
      <c r="E16" s="1673">
        <f t="shared" si="0"/>
        <v>4494</v>
      </c>
      <c r="F16" s="1673">
        <f t="shared" si="0"/>
        <v>4578</v>
      </c>
      <c r="G16" s="1673">
        <f t="shared" si="0"/>
        <v>4694</v>
      </c>
      <c r="H16" s="1673">
        <f>SUM(H5:H14)</f>
        <v>4918</v>
      </c>
      <c r="I16" s="1673">
        <v>5006</v>
      </c>
      <c r="J16" s="1673">
        <f t="shared" si="0"/>
        <v>5079</v>
      </c>
      <c r="K16" s="1674">
        <f>SUM(K5:K14)</f>
        <v>5097</v>
      </c>
      <c r="L16" s="1674">
        <f>SUM(L5:L14)</f>
        <v>5149</v>
      </c>
      <c r="M16" s="1674">
        <f>SUM(M5:M14)</f>
        <v>5128</v>
      </c>
      <c r="O16" s="4371"/>
    </row>
    <row r="17" spans="1:13" ht="11.25" customHeight="1" thickBot="1" x14ac:dyDescent="0.3">
      <c r="A17" s="1675"/>
    </row>
    <row r="18" spans="1:13" ht="21.75" customHeight="1" thickBot="1" x14ac:dyDescent="0.3">
      <c r="A18" s="1671" t="s">
        <v>108</v>
      </c>
      <c r="C18" s="2045">
        <v>48.867718986216097</v>
      </c>
      <c r="D18" s="2046">
        <v>48.294038847957097</v>
      </c>
      <c r="E18" s="2047">
        <v>46.478415665331603</v>
      </c>
      <c r="F18" s="2045">
        <v>46.455657492354703</v>
      </c>
      <c r="G18" s="2046">
        <v>46.425436727737498</v>
      </c>
      <c r="H18" s="2047">
        <v>46.116307442049603</v>
      </c>
      <c r="I18" s="2047">
        <v>46.243507790651201</v>
      </c>
      <c r="J18" s="2047">
        <v>46.066154754873004</v>
      </c>
      <c r="K18" s="2048">
        <v>46.03</v>
      </c>
      <c r="L18" s="2048">
        <v>45.9584385317537</v>
      </c>
      <c r="M18" s="2048">
        <v>45.926482059282399</v>
      </c>
    </row>
    <row r="19" spans="1:13" ht="11.25" customHeight="1" x14ac:dyDescent="0.25"/>
    <row r="20" spans="1:13" x14ac:dyDescent="0.25">
      <c r="A20" s="1676" t="s">
        <v>640</v>
      </c>
    </row>
    <row r="21" spans="1:13" x14ac:dyDescent="0.25">
      <c r="A21" s="1676" t="s">
        <v>116</v>
      </c>
    </row>
    <row r="23" spans="1:13" s="3138" customFormat="1" ht="11.25" x14ac:dyDescent="0.2">
      <c r="A23" s="4192" t="s">
        <v>98</v>
      </c>
      <c r="C23" s="4193">
        <v>2005</v>
      </c>
      <c r="D23" s="4193">
        <v>2006</v>
      </c>
      <c r="E23" s="4193">
        <v>2007</v>
      </c>
      <c r="F23" s="4193">
        <v>2008</v>
      </c>
      <c r="G23" s="4193">
        <v>2009</v>
      </c>
      <c r="H23" s="4193">
        <v>2010</v>
      </c>
      <c r="I23" s="4193">
        <v>2011</v>
      </c>
      <c r="J23" s="4193">
        <v>2012</v>
      </c>
      <c r="K23" s="4193">
        <v>2013</v>
      </c>
      <c r="L23" s="4193">
        <v>2014</v>
      </c>
      <c r="M23" s="4193">
        <v>2015</v>
      </c>
    </row>
    <row r="24" spans="1:13" s="3138" customFormat="1" ht="11.25" x14ac:dyDescent="0.2">
      <c r="A24" s="4194" t="s">
        <v>99</v>
      </c>
      <c r="C24" s="4194">
        <v>143</v>
      </c>
      <c r="D24" s="4194">
        <v>193</v>
      </c>
      <c r="E24" s="4195">
        <v>317</v>
      </c>
      <c r="F24" s="4195">
        <v>346</v>
      </c>
      <c r="G24" s="4195">
        <v>381</v>
      </c>
      <c r="H24" s="4195">
        <v>487</v>
      </c>
      <c r="I24" s="4194">
        <v>510</v>
      </c>
      <c r="J24" s="4195">
        <v>562</v>
      </c>
      <c r="K24" s="4194">
        <v>573</v>
      </c>
      <c r="L24" s="4194">
        <f>+L5</f>
        <v>557</v>
      </c>
      <c r="M24" s="4194">
        <f>+M5</f>
        <v>568</v>
      </c>
    </row>
    <row r="25" spans="1:13" s="3138" customFormat="1" ht="11.25" x14ac:dyDescent="0.2">
      <c r="A25" s="4196" t="s">
        <v>641</v>
      </c>
      <c r="C25" s="4196">
        <f>SUM(C6:C7)</f>
        <v>783</v>
      </c>
      <c r="D25" s="4196">
        <f t="shared" ref="D25:K25" si="1">SUM(D6:D7)</f>
        <v>808</v>
      </c>
      <c r="E25" s="4196">
        <f t="shared" si="1"/>
        <v>931</v>
      </c>
      <c r="F25" s="4196">
        <f t="shared" si="1"/>
        <v>953</v>
      </c>
      <c r="G25" s="4196">
        <f t="shared" si="1"/>
        <v>993</v>
      </c>
      <c r="H25" s="4196">
        <f t="shared" si="1"/>
        <v>1031</v>
      </c>
      <c r="I25" s="4196">
        <f t="shared" si="1"/>
        <v>1024</v>
      </c>
      <c r="J25" s="4196">
        <f t="shared" si="1"/>
        <v>1032</v>
      </c>
      <c r="K25" s="4196">
        <f t="shared" si="1"/>
        <v>1068</v>
      </c>
      <c r="L25" s="4196">
        <f>SUM(L6:L7)</f>
        <v>1124</v>
      </c>
      <c r="M25" s="4196">
        <f>SUM(M6:M7)</f>
        <v>1125</v>
      </c>
    </row>
    <row r="26" spans="1:13" s="3138" customFormat="1" ht="11.25" x14ac:dyDescent="0.2">
      <c r="A26" s="4196" t="s">
        <v>652</v>
      </c>
      <c r="C26" s="4196">
        <f>SUM(C8:C9)</f>
        <v>1623</v>
      </c>
      <c r="D26" s="4196">
        <f t="shared" ref="D26:K26" si="2">SUM(D8:D9)</f>
        <v>1628</v>
      </c>
      <c r="E26" s="4196">
        <f t="shared" si="2"/>
        <v>1680</v>
      </c>
      <c r="F26" s="4196">
        <f t="shared" si="2"/>
        <v>1657</v>
      </c>
      <c r="G26" s="4196">
        <f t="shared" si="2"/>
        <v>1619</v>
      </c>
      <c r="H26" s="4196">
        <f t="shared" si="2"/>
        <v>1608</v>
      </c>
      <c r="I26" s="4196">
        <f t="shared" si="2"/>
        <v>1608</v>
      </c>
      <c r="J26" s="4196">
        <f t="shared" si="2"/>
        <v>1595</v>
      </c>
      <c r="K26" s="4196">
        <f t="shared" si="2"/>
        <v>1553</v>
      </c>
      <c r="L26" s="4196">
        <f>SUM(L8:L9)</f>
        <v>1532</v>
      </c>
      <c r="M26" s="4196">
        <f>SUM(M8:M9)</f>
        <v>1477</v>
      </c>
    </row>
    <row r="27" spans="1:13" s="3138" customFormat="1" ht="11.25" x14ac:dyDescent="0.2">
      <c r="A27" s="4196" t="s">
        <v>643</v>
      </c>
      <c r="C27" s="4196">
        <f>SUM(C10:C11)</f>
        <v>1415</v>
      </c>
      <c r="D27" s="4196">
        <f t="shared" ref="D27:K27" si="3">SUM(D10:D11)</f>
        <v>1354</v>
      </c>
      <c r="E27" s="4196">
        <f t="shared" si="3"/>
        <v>1190</v>
      </c>
      <c r="F27" s="4196">
        <f t="shared" si="3"/>
        <v>1222</v>
      </c>
      <c r="G27" s="4196">
        <f t="shared" si="3"/>
        <v>1263</v>
      </c>
      <c r="H27" s="4196">
        <f t="shared" si="3"/>
        <v>1321</v>
      </c>
      <c r="I27" s="4196">
        <f t="shared" si="3"/>
        <v>1351</v>
      </c>
      <c r="J27" s="4196">
        <f t="shared" si="3"/>
        <v>1367</v>
      </c>
      <c r="K27" s="4196">
        <f t="shared" si="3"/>
        <v>1389</v>
      </c>
      <c r="L27" s="4196">
        <f>SUM(L10:L11)</f>
        <v>1401</v>
      </c>
      <c r="M27" s="4196">
        <f>SUM(M10:M11)</f>
        <v>1422</v>
      </c>
    </row>
    <row r="28" spans="1:13" s="3138" customFormat="1" ht="11.25" x14ac:dyDescent="0.2">
      <c r="A28" s="4196" t="s">
        <v>653</v>
      </c>
      <c r="C28" s="4196">
        <f>SUM(C12:C13)</f>
        <v>445</v>
      </c>
      <c r="D28" s="4196">
        <f t="shared" ref="D28:K28" si="4">SUM(D12:D13)</f>
        <v>414</v>
      </c>
      <c r="E28" s="4196">
        <f t="shared" si="4"/>
        <v>318</v>
      </c>
      <c r="F28" s="4196">
        <f t="shared" si="4"/>
        <v>342</v>
      </c>
      <c r="G28" s="4196">
        <f t="shared" si="4"/>
        <v>375</v>
      </c>
      <c r="H28" s="4196">
        <f t="shared" si="4"/>
        <v>406</v>
      </c>
      <c r="I28" s="4196">
        <f t="shared" si="4"/>
        <v>445</v>
      </c>
      <c r="J28" s="4196">
        <f t="shared" si="4"/>
        <v>452</v>
      </c>
      <c r="K28" s="4196">
        <f t="shared" si="4"/>
        <v>448</v>
      </c>
      <c r="L28" s="4196">
        <f>SUM(L12:L13)</f>
        <v>464</v>
      </c>
      <c r="M28" s="4196">
        <f>SUM(M12:M13)</f>
        <v>468</v>
      </c>
    </row>
    <row r="29" spans="1:13" s="3138" customFormat="1" ht="11.25" x14ac:dyDescent="0.2">
      <c r="A29" s="4197" t="s">
        <v>604</v>
      </c>
      <c r="C29" s="4197">
        <v>89</v>
      </c>
      <c r="D29" s="4197">
        <v>82</v>
      </c>
      <c r="E29" s="4198">
        <v>58</v>
      </c>
      <c r="F29" s="4198">
        <v>58</v>
      </c>
      <c r="G29" s="4198">
        <v>63</v>
      </c>
      <c r="H29" s="4198">
        <v>65</v>
      </c>
      <c r="I29" s="4197">
        <v>68</v>
      </c>
      <c r="J29" s="4198">
        <v>71</v>
      </c>
      <c r="K29" s="4197">
        <v>66</v>
      </c>
      <c r="L29" s="4197">
        <f>+L14</f>
        <v>71</v>
      </c>
      <c r="M29" s="4197">
        <f>+M14</f>
        <v>68</v>
      </c>
    </row>
    <row r="30" spans="1:13" s="3138" customFormat="1" ht="11.25" x14ac:dyDescent="0.2">
      <c r="A30" s="4193" t="s">
        <v>12</v>
      </c>
      <c r="C30" s="4199">
        <f t="shared" ref="C30:H30" si="5">SUM(C24:C29)</f>
        <v>4498</v>
      </c>
      <c r="D30" s="4199">
        <f t="shared" si="5"/>
        <v>4479</v>
      </c>
      <c r="E30" s="4199">
        <f t="shared" si="5"/>
        <v>4494</v>
      </c>
      <c r="F30" s="4199">
        <f t="shared" si="5"/>
        <v>4578</v>
      </c>
      <c r="G30" s="4199">
        <f t="shared" si="5"/>
        <v>4694</v>
      </c>
      <c r="H30" s="4199">
        <f t="shared" si="5"/>
        <v>4918</v>
      </c>
      <c r="I30" s="4199">
        <v>5006</v>
      </c>
      <c r="J30" s="4199">
        <f>SUM(J24:J29)</f>
        <v>5079</v>
      </c>
      <c r="K30" s="4199">
        <f>SUM(K24:K29)</f>
        <v>5097</v>
      </c>
      <c r="L30" s="4199">
        <f>SUM(L24:L29)</f>
        <v>5149</v>
      </c>
      <c r="M30" s="4199">
        <f>SUM(M24:M29)</f>
        <v>5128</v>
      </c>
    </row>
    <row r="31" spans="1:13" s="3138" customFormat="1" ht="11.25" x14ac:dyDescent="0.2"/>
    <row r="32" spans="1:13" s="3138" customFormat="1" ht="11.25" x14ac:dyDescent="0.2">
      <c r="A32" s="4192" t="s">
        <v>98</v>
      </c>
      <c r="C32" s="4193">
        <v>2005</v>
      </c>
      <c r="D32" s="4193">
        <v>2006</v>
      </c>
      <c r="E32" s="4193">
        <v>2007</v>
      </c>
      <c r="F32" s="4193">
        <v>2008</v>
      </c>
      <c r="G32" s="4193">
        <v>2009</v>
      </c>
      <c r="H32" s="4193">
        <v>2010</v>
      </c>
      <c r="I32" s="4193">
        <v>2011</v>
      </c>
      <c r="J32" s="4193">
        <v>2012</v>
      </c>
      <c r="K32" s="4193">
        <v>2013</v>
      </c>
      <c r="L32" s="4193">
        <v>2014</v>
      </c>
      <c r="M32" s="4193">
        <v>2015</v>
      </c>
    </row>
    <row r="33" spans="1:13" s="3138" customFormat="1" ht="11.25" x14ac:dyDescent="0.2">
      <c r="A33" s="4194" t="s">
        <v>99</v>
      </c>
      <c r="C33" s="4200">
        <f t="shared" ref="C33:C38" si="6">C24/$C$30</f>
        <v>3.1791907514450865E-2</v>
      </c>
      <c r="D33" s="4200">
        <f t="shared" ref="D33:D38" si="7">D24/$D$30</f>
        <v>4.3089975440946643E-2</v>
      </c>
      <c r="E33" s="4200">
        <f t="shared" ref="E33:E38" si="8">E24/$E$30</f>
        <v>7.0538495772140636E-2</v>
      </c>
      <c r="F33" s="4200">
        <f t="shared" ref="F33:F38" si="9">F24/$F$30</f>
        <v>7.5578855395369154E-2</v>
      </c>
      <c r="G33" s="4200">
        <f t="shared" ref="G33:G38" si="10">G24/$G$30</f>
        <v>8.116744780570942E-2</v>
      </c>
      <c r="H33" s="4200">
        <f t="shared" ref="H33:H38" si="11">H24/$H$30</f>
        <v>9.9023993493289955E-2</v>
      </c>
      <c r="I33" s="4200">
        <f t="shared" ref="I33:I38" si="12">I24/$I$30</f>
        <v>0.10187774670395526</v>
      </c>
      <c r="J33" s="4200">
        <f t="shared" ref="J33:J38" si="13">J24/$J$30</f>
        <v>0.11065170309115968</v>
      </c>
      <c r="K33" s="4200">
        <f t="shared" ref="K33:K38" si="14">K24/$K$30</f>
        <v>0.11241907004120071</v>
      </c>
      <c r="L33" s="4200">
        <f t="shared" ref="L33:L38" si="15">L24/$L$30</f>
        <v>0.10817634492134395</v>
      </c>
      <c r="M33" s="4200">
        <f t="shared" ref="M33:M38" si="16">M24/$M$30</f>
        <v>0.11076443057722309</v>
      </c>
    </row>
    <row r="34" spans="1:13" s="3138" customFormat="1" ht="11.25" x14ac:dyDescent="0.2">
      <c r="A34" s="4196" t="s">
        <v>641</v>
      </c>
      <c r="C34" s="4201">
        <f t="shared" si="6"/>
        <v>0.17407736771898621</v>
      </c>
      <c r="D34" s="4201">
        <f t="shared" si="7"/>
        <v>0.18039741013619112</v>
      </c>
      <c r="E34" s="4201">
        <f t="shared" si="8"/>
        <v>0.20716510903426791</v>
      </c>
      <c r="F34" s="4201">
        <f t="shared" si="9"/>
        <v>0.20816950633464396</v>
      </c>
      <c r="G34" s="4201">
        <f t="shared" si="10"/>
        <v>0.21154665530464423</v>
      </c>
      <c r="H34" s="4201">
        <f t="shared" si="11"/>
        <v>0.20963806425376169</v>
      </c>
      <c r="I34" s="4201">
        <f t="shared" si="12"/>
        <v>0.20455453455852976</v>
      </c>
      <c r="J34" s="4201">
        <f t="shared" si="13"/>
        <v>0.20318960425280566</v>
      </c>
      <c r="K34" s="4201">
        <f t="shared" si="14"/>
        <v>0.20953502060035314</v>
      </c>
      <c r="L34" s="4201">
        <f t="shared" si="15"/>
        <v>0.21829481452709265</v>
      </c>
      <c r="M34" s="4201">
        <f t="shared" si="16"/>
        <v>0.21938377535101405</v>
      </c>
    </row>
    <row r="35" spans="1:13" s="3138" customFormat="1" ht="11.25" x14ac:dyDescent="0.2">
      <c r="A35" s="4196" t="s">
        <v>652</v>
      </c>
      <c r="C35" s="4201">
        <f t="shared" si="6"/>
        <v>0.36082703423743884</v>
      </c>
      <c r="D35" s="4201">
        <f t="shared" si="7"/>
        <v>0.3634739897298504</v>
      </c>
      <c r="E35" s="4201">
        <f t="shared" si="8"/>
        <v>0.37383177570093457</v>
      </c>
      <c r="F35" s="4201">
        <f t="shared" si="9"/>
        <v>0.36194844910441243</v>
      </c>
      <c r="G35" s="4201">
        <f t="shared" si="10"/>
        <v>0.34490839369407755</v>
      </c>
      <c r="H35" s="4201">
        <f t="shared" si="11"/>
        <v>0.32696217974786501</v>
      </c>
      <c r="I35" s="4201">
        <f t="shared" si="12"/>
        <v>0.32121454254894127</v>
      </c>
      <c r="J35" s="4201">
        <f t="shared" si="13"/>
        <v>0.31403819649537312</v>
      </c>
      <c r="K35" s="4201">
        <f t="shared" si="14"/>
        <v>0.3046890327643712</v>
      </c>
      <c r="L35" s="4201">
        <f t="shared" si="15"/>
        <v>0.297533501650806</v>
      </c>
      <c r="M35" s="4201">
        <f t="shared" si="16"/>
        <v>0.28802652106084242</v>
      </c>
    </row>
    <row r="36" spans="1:13" s="3138" customFormat="1" ht="11.25" x14ac:dyDescent="0.2">
      <c r="A36" s="4196" t="s">
        <v>643</v>
      </c>
      <c r="C36" s="4201">
        <f t="shared" si="6"/>
        <v>0.31458425967096487</v>
      </c>
      <c r="D36" s="4201">
        <f t="shared" si="7"/>
        <v>0.30229962045099351</v>
      </c>
      <c r="E36" s="4201">
        <f t="shared" si="8"/>
        <v>0.26479750778816197</v>
      </c>
      <c r="F36" s="4201">
        <f t="shared" si="9"/>
        <v>0.26692878986456969</v>
      </c>
      <c r="G36" s="4201">
        <f t="shared" si="10"/>
        <v>0.26906689390711547</v>
      </c>
      <c r="H36" s="4201">
        <f t="shared" si="11"/>
        <v>0.2686051240341602</v>
      </c>
      <c r="I36" s="4201">
        <f t="shared" si="12"/>
        <v>0.26987614862165399</v>
      </c>
      <c r="J36" s="4201">
        <f t="shared" si="13"/>
        <v>0.26914746997440442</v>
      </c>
      <c r="K36" s="4201">
        <f t="shared" si="14"/>
        <v>0.27251324308416713</v>
      </c>
      <c r="L36" s="4201">
        <f t="shared" si="15"/>
        <v>0.27209166828510389</v>
      </c>
      <c r="M36" s="4201">
        <f t="shared" si="16"/>
        <v>0.27730109204368175</v>
      </c>
    </row>
    <row r="37" spans="1:13" s="3138" customFormat="1" ht="11.25" x14ac:dyDescent="0.2">
      <c r="A37" s="4196" t="s">
        <v>653</v>
      </c>
      <c r="C37" s="4201">
        <f t="shared" si="6"/>
        <v>9.8932859048465979E-2</v>
      </c>
      <c r="D37" s="4201">
        <f t="shared" si="7"/>
        <v>9.2431346282652371E-2</v>
      </c>
      <c r="E37" s="4201">
        <f t="shared" si="8"/>
        <v>7.0761014686248333E-2</v>
      </c>
      <c r="F37" s="4201">
        <f t="shared" si="9"/>
        <v>7.4705111402359109E-2</v>
      </c>
      <c r="G37" s="4201">
        <f t="shared" si="10"/>
        <v>7.9889220281210052E-2</v>
      </c>
      <c r="H37" s="4201">
        <f t="shared" si="11"/>
        <v>8.255388369255795E-2</v>
      </c>
      <c r="I37" s="4201">
        <f t="shared" si="12"/>
        <v>8.8893328006392325E-2</v>
      </c>
      <c r="J37" s="4201">
        <f t="shared" si="13"/>
        <v>8.8993896436306355E-2</v>
      </c>
      <c r="K37" s="4201">
        <f t="shared" si="14"/>
        <v>8.7894840102020796E-2</v>
      </c>
      <c r="L37" s="4201">
        <f t="shared" si="15"/>
        <v>9.0114585356379881E-2</v>
      </c>
      <c r="M37" s="4201">
        <f t="shared" si="16"/>
        <v>9.1263650546021841E-2</v>
      </c>
    </row>
    <row r="38" spans="1:13" s="3138" customFormat="1" ht="11.25" x14ac:dyDescent="0.2">
      <c r="A38" s="4197" t="s">
        <v>604</v>
      </c>
      <c r="C38" s="4202">
        <f t="shared" si="6"/>
        <v>1.9786571809693197E-2</v>
      </c>
      <c r="D38" s="4202">
        <f t="shared" si="7"/>
        <v>1.8307657959365928E-2</v>
      </c>
      <c r="E38" s="4202">
        <f t="shared" si="8"/>
        <v>1.290609701824655E-2</v>
      </c>
      <c r="F38" s="4202">
        <f t="shared" si="9"/>
        <v>1.2669287898645697E-2</v>
      </c>
      <c r="G38" s="4202">
        <f t="shared" si="10"/>
        <v>1.342138900724329E-2</v>
      </c>
      <c r="H38" s="4202">
        <f t="shared" si="11"/>
        <v>1.3216754778365189E-2</v>
      </c>
      <c r="I38" s="4202">
        <f t="shared" si="12"/>
        <v>1.3583699560527367E-2</v>
      </c>
      <c r="J38" s="4202">
        <f t="shared" si="13"/>
        <v>1.3979129749950778E-2</v>
      </c>
      <c r="K38" s="4202">
        <f t="shared" si="14"/>
        <v>1.2948793407886992E-2</v>
      </c>
      <c r="L38" s="4202">
        <f t="shared" si="15"/>
        <v>1.3789085259273645E-2</v>
      </c>
      <c r="M38" s="4202">
        <f t="shared" si="16"/>
        <v>1.3260530421216849E-2</v>
      </c>
    </row>
    <row r="39" spans="1:13" s="3138" customFormat="1" ht="11.25" x14ac:dyDescent="0.2">
      <c r="A39" s="4193" t="s">
        <v>12</v>
      </c>
      <c r="C39" s="4203">
        <f t="shared" ref="C39:K39" si="17">SUM(C33:C38)</f>
        <v>1</v>
      </c>
      <c r="D39" s="4203">
        <f t="shared" si="17"/>
        <v>1</v>
      </c>
      <c r="E39" s="4203">
        <f t="shared" si="17"/>
        <v>0.99999999999999989</v>
      </c>
      <c r="F39" s="4203">
        <f t="shared" si="17"/>
        <v>1</v>
      </c>
      <c r="G39" s="4203">
        <f t="shared" si="17"/>
        <v>1</v>
      </c>
      <c r="H39" s="4203">
        <f t="shared" si="17"/>
        <v>0.99999999999999989</v>
      </c>
      <c r="I39" s="4203">
        <f t="shared" si="17"/>
        <v>1</v>
      </c>
      <c r="J39" s="4203">
        <f t="shared" si="17"/>
        <v>1</v>
      </c>
      <c r="K39" s="4203">
        <f t="shared" si="17"/>
        <v>1</v>
      </c>
      <c r="L39" s="4203">
        <f>SUM(L33:L38)</f>
        <v>1</v>
      </c>
      <c r="M39" s="4203">
        <f>SUM(M33:M38)</f>
        <v>1</v>
      </c>
    </row>
    <row r="55" spans="2:2" x14ac:dyDescent="0.25">
      <c r="B55" s="3142"/>
    </row>
    <row r="56" spans="2:2" x14ac:dyDescent="0.25">
      <c r="B56" s="3142"/>
    </row>
    <row r="96" spans="1:12" ht="15.75" x14ac:dyDescent="0.25">
      <c r="A96" s="1652"/>
      <c r="B96" s="1652"/>
      <c r="C96" s="1652"/>
      <c r="E96" s="3134"/>
      <c r="F96" s="1652"/>
      <c r="G96" s="1652"/>
      <c r="I96" s="3134"/>
      <c r="J96" s="1652"/>
      <c r="K96" s="1652"/>
      <c r="L96" s="1652"/>
    </row>
    <row r="97" spans="1:12" ht="15.75" x14ac:dyDescent="0.25">
      <c r="A97" s="3134"/>
      <c r="B97" s="1652"/>
      <c r="C97" s="1652"/>
      <c r="E97" s="1652"/>
      <c r="F97" s="1652"/>
      <c r="G97" s="1652"/>
      <c r="K97" s="3144"/>
      <c r="L97" s="3144"/>
    </row>
    <row r="98" spans="1:12" x14ac:dyDescent="0.25">
      <c r="B98" s="3141"/>
      <c r="C98" s="3141"/>
      <c r="F98" s="3143"/>
      <c r="G98" s="3143"/>
      <c r="K98" s="3144"/>
      <c r="L98" s="3140"/>
    </row>
    <row r="99" spans="1:12" x14ac:dyDescent="0.25">
      <c r="B99" s="3141"/>
      <c r="C99" s="3141"/>
      <c r="F99" s="3143"/>
      <c r="G99" s="3143"/>
    </row>
    <row r="135" spans="1:12" x14ac:dyDescent="0.25">
      <c r="A135" s="3135"/>
      <c r="B135" s="3135"/>
      <c r="C135" s="3135"/>
      <c r="D135" s="3135"/>
      <c r="E135" s="3136" t="s">
        <v>1053</v>
      </c>
      <c r="F135" s="3135"/>
      <c r="G135" s="3135"/>
      <c r="I135" s="3136" t="s">
        <v>1054</v>
      </c>
      <c r="J135" s="3137"/>
      <c r="K135" s="3137"/>
      <c r="L135" s="3137"/>
    </row>
    <row r="136" spans="1:12" x14ac:dyDescent="0.25">
      <c r="A136" s="3136" t="s">
        <v>1052</v>
      </c>
      <c r="B136" s="3135"/>
      <c r="C136" s="3135"/>
      <c r="D136" s="3135"/>
      <c r="E136" s="3135"/>
      <c r="F136" s="3135"/>
      <c r="G136" s="3135"/>
    </row>
    <row r="137" spans="1:12" x14ac:dyDescent="0.25">
      <c r="B137" s="3139"/>
      <c r="C137" s="3139"/>
      <c r="F137" s="3139"/>
      <c r="G137" s="3139"/>
      <c r="K137" s="3140"/>
      <c r="L137" s="3140"/>
    </row>
    <row r="138" spans="1:12" x14ac:dyDescent="0.25">
      <c r="B138" s="3139"/>
      <c r="C138" s="3139"/>
      <c r="F138" s="3139"/>
      <c r="G138" s="3139"/>
    </row>
    <row r="140" spans="1:12" x14ac:dyDescent="0.25">
      <c r="J140" s="3141"/>
    </row>
    <row r="141" spans="1:12" x14ac:dyDescent="0.25">
      <c r="J141" s="3141"/>
    </row>
    <row r="142" spans="1:12" x14ac:dyDescent="0.25">
      <c r="J142" s="3141"/>
    </row>
    <row r="169" spans="1:12" x14ac:dyDescent="0.25">
      <c r="A169" s="3135"/>
      <c r="B169" s="3135"/>
      <c r="C169" s="3135"/>
      <c r="D169" s="3135"/>
      <c r="E169" s="3136" t="s">
        <v>1069</v>
      </c>
      <c r="F169" s="3135"/>
      <c r="G169" s="3135"/>
      <c r="I169" s="3136" t="s">
        <v>1070</v>
      </c>
      <c r="J169" s="3135"/>
      <c r="K169" s="3135"/>
      <c r="L169" s="3135"/>
    </row>
    <row r="170" spans="1:12" x14ac:dyDescent="0.25">
      <c r="A170" s="3136" t="s">
        <v>1071</v>
      </c>
      <c r="B170" s="3135"/>
      <c r="C170" s="3135"/>
      <c r="D170" s="3135"/>
      <c r="E170" s="3135"/>
      <c r="F170" s="3135"/>
      <c r="G170" s="3135"/>
      <c r="K170" s="3138"/>
      <c r="L170" s="3138"/>
    </row>
    <row r="171" spans="1:12" x14ac:dyDescent="0.25">
      <c r="K171" s="3138"/>
      <c r="L171" s="3138"/>
    </row>
    <row r="174" spans="1:12" x14ac:dyDescent="0.25">
      <c r="J174" s="3141"/>
    </row>
    <row r="175" spans="1:12" x14ac:dyDescent="0.25">
      <c r="J175" s="3141"/>
    </row>
    <row r="199" spans="9:17" ht="15.75" x14ac:dyDescent="0.25">
      <c r="I199" s="3136" t="s">
        <v>1095</v>
      </c>
      <c r="J199" s="3135"/>
      <c r="K199" s="3135"/>
      <c r="L199" s="3135"/>
      <c r="N199" s="3145"/>
      <c r="O199" s="3146" t="s">
        <v>1096</v>
      </c>
      <c r="P199" s="3145"/>
      <c r="Q199" s="3145"/>
    </row>
    <row r="200" spans="9:17" x14ac:dyDescent="0.25">
      <c r="K200" s="3138"/>
      <c r="L200" s="3138"/>
    </row>
    <row r="201" spans="9:17" ht="15" customHeight="1" x14ac:dyDescent="0.25">
      <c r="K201" s="3138"/>
      <c r="L201" s="3138"/>
    </row>
    <row r="202" spans="9:17" ht="15" customHeight="1" x14ac:dyDescent="0.25"/>
    <row r="203" spans="9:17" x14ac:dyDescent="0.25">
      <c r="I203" s="3149" t="s">
        <v>1094</v>
      </c>
      <c r="J203" s="3150"/>
      <c r="K203" s="3135">
        <v>1690</v>
      </c>
      <c r="L203" s="3135">
        <v>8360</v>
      </c>
    </row>
    <row r="204" spans="9:17" x14ac:dyDescent="0.25">
      <c r="I204" s="3149"/>
      <c r="J204" s="3151"/>
      <c r="K204" s="3147">
        <v>2631</v>
      </c>
      <c r="L204" s="3147"/>
    </row>
    <row r="205" spans="9:17" x14ac:dyDescent="0.25">
      <c r="I205" s="3149"/>
      <c r="J205" s="3150"/>
      <c r="K205" s="3147">
        <v>4321</v>
      </c>
      <c r="L205" s="3147"/>
    </row>
    <row r="206" spans="9:17" x14ac:dyDescent="0.25">
      <c r="I206" s="3147" t="s">
        <v>1097</v>
      </c>
      <c r="J206" s="3152" t="s">
        <v>1049</v>
      </c>
      <c r="K206" s="3131">
        <v>975</v>
      </c>
      <c r="L206" s="3131">
        <v>7010</v>
      </c>
    </row>
    <row r="207" spans="9:17" x14ac:dyDescent="0.25">
      <c r="I207" s="6528"/>
      <c r="J207" s="6528"/>
      <c r="K207" s="3135">
        <f>SUM(K203:K206)</f>
        <v>9617</v>
      </c>
      <c r="L207" s="3135"/>
    </row>
    <row r="211" spans="15:17" ht="15" customHeight="1" x14ac:dyDescent="0.25">
      <c r="O211" s="3145"/>
      <c r="P211" s="3145"/>
      <c r="Q211" s="3145"/>
    </row>
    <row r="217" spans="15:17" x14ac:dyDescent="0.25">
      <c r="O217" s="3145"/>
      <c r="P217" s="3145"/>
      <c r="Q217" s="3145"/>
    </row>
    <row r="227" spans="15:17" x14ac:dyDescent="0.25">
      <c r="O227" s="3145"/>
      <c r="P227" s="3145"/>
      <c r="Q227" s="3145"/>
    </row>
    <row r="242" spans="9:17" x14ac:dyDescent="0.25">
      <c r="O242" s="3145"/>
      <c r="P242" s="3145"/>
      <c r="Q242" s="3145"/>
    </row>
    <row r="243" spans="9:17" x14ac:dyDescent="0.25">
      <c r="N243" s="6530"/>
      <c r="O243" s="6530"/>
      <c r="P243" s="3145"/>
      <c r="Q243" s="3145"/>
    </row>
    <row r="246" spans="9:17" ht="15.75" x14ac:dyDescent="0.25">
      <c r="I246" s="3136" t="s">
        <v>1099</v>
      </c>
      <c r="J246" s="3135"/>
      <c r="K246" s="3135"/>
      <c r="L246" s="3135"/>
      <c r="N246" s="3155"/>
      <c r="O246" s="3156" t="s">
        <v>1098</v>
      </c>
      <c r="P246" s="3155"/>
      <c r="Q246" s="3155"/>
    </row>
    <row r="247" spans="9:17" x14ac:dyDescent="0.25">
      <c r="K247" s="3138"/>
      <c r="L247" s="3138"/>
      <c r="N247" s="3154"/>
      <c r="O247" s="3135"/>
      <c r="P247" s="3135"/>
      <c r="Q247" s="3135"/>
    </row>
    <row r="248" spans="9:17" x14ac:dyDescent="0.25">
      <c r="K248" s="3138"/>
      <c r="L248" s="3138"/>
      <c r="N248" s="3154"/>
      <c r="O248" s="3135"/>
      <c r="P248" s="3135"/>
      <c r="Q248" s="3135"/>
    </row>
    <row r="249" spans="9:17" x14ac:dyDescent="0.25">
      <c r="N249" s="3154"/>
      <c r="O249" s="3135"/>
      <c r="P249" s="3135"/>
      <c r="Q249" s="3135"/>
    </row>
    <row r="250" spans="9:17" x14ac:dyDescent="0.25">
      <c r="I250" s="3149" t="s">
        <v>1100</v>
      </c>
      <c r="J250" s="3150"/>
      <c r="K250" s="3135">
        <v>1708</v>
      </c>
      <c r="L250" s="3135">
        <v>7230</v>
      </c>
      <c r="N250" s="3154"/>
      <c r="O250" s="3135"/>
      <c r="P250" s="3135"/>
      <c r="Q250" s="3135"/>
    </row>
    <row r="251" spans="9:17" x14ac:dyDescent="0.25">
      <c r="I251" s="3149"/>
      <c r="J251" s="3151"/>
      <c r="K251" s="3135">
        <v>705</v>
      </c>
      <c r="L251" s="3135"/>
      <c r="N251" s="3154"/>
      <c r="O251" s="3135"/>
      <c r="P251" s="3135"/>
      <c r="Q251" s="3135"/>
    </row>
    <row r="252" spans="9:17" x14ac:dyDescent="0.25">
      <c r="I252" s="3147"/>
      <c r="J252" s="3152"/>
      <c r="K252" s="3147">
        <v>538</v>
      </c>
      <c r="L252" s="3147"/>
      <c r="N252" s="3154"/>
      <c r="O252" s="3135"/>
      <c r="P252" s="3135"/>
      <c r="Q252" s="3135"/>
    </row>
    <row r="253" spans="9:17" x14ac:dyDescent="0.25">
      <c r="N253" s="3154"/>
      <c r="O253" s="3135"/>
      <c r="P253" s="3135"/>
      <c r="Q253" s="3135"/>
    </row>
    <row r="254" spans="9:17" x14ac:dyDescent="0.25">
      <c r="I254" s="6528"/>
      <c r="J254" s="6528"/>
      <c r="K254" s="3148">
        <f>SUM(K250:K253)</f>
        <v>2951</v>
      </c>
      <c r="L254" s="3148">
        <f>SUM(L250:L253)</f>
        <v>7230</v>
      </c>
      <c r="N254" s="3154"/>
      <c r="O254" s="3135"/>
      <c r="P254" s="3135"/>
      <c r="Q254" s="3135"/>
    </row>
    <row r="255" spans="9:17" x14ac:dyDescent="0.25">
      <c r="N255" s="3154"/>
      <c r="O255" s="3135"/>
      <c r="P255" s="3135"/>
      <c r="Q255" s="3135"/>
    </row>
    <row r="256" spans="9:17" x14ac:dyDescent="0.25">
      <c r="N256" s="3154"/>
      <c r="O256" s="3153"/>
      <c r="P256" s="3153"/>
      <c r="Q256" s="3153"/>
    </row>
    <row r="257" spans="14:17" x14ac:dyDescent="0.25">
      <c r="N257" s="3154"/>
      <c r="O257" s="3135"/>
      <c r="P257" s="3135"/>
      <c r="Q257" s="3135"/>
    </row>
    <row r="258" spans="14:17" x14ac:dyDescent="0.25">
      <c r="N258" s="3154"/>
      <c r="O258" s="3135"/>
      <c r="P258" s="3135"/>
      <c r="Q258" s="3135"/>
    </row>
    <row r="259" spans="14:17" x14ac:dyDescent="0.25">
      <c r="N259" s="3154"/>
      <c r="O259" s="3135"/>
      <c r="P259" s="3135"/>
      <c r="Q259" s="3135"/>
    </row>
    <row r="260" spans="14:17" x14ac:dyDescent="0.25">
      <c r="N260" s="3154"/>
      <c r="O260" s="3135"/>
      <c r="P260" s="3135"/>
      <c r="Q260" s="3135"/>
    </row>
    <row r="261" spans="14:17" x14ac:dyDescent="0.25">
      <c r="N261" s="3154"/>
      <c r="O261" s="3135"/>
      <c r="P261" s="3135"/>
      <c r="Q261" s="3135"/>
    </row>
    <row r="262" spans="14:17" x14ac:dyDescent="0.25">
      <c r="N262" s="3154"/>
      <c r="O262" s="3153"/>
      <c r="P262" s="3153"/>
      <c r="Q262" s="3153"/>
    </row>
    <row r="263" spans="14:17" x14ac:dyDescent="0.25">
      <c r="N263" s="3154"/>
      <c r="O263" s="3135"/>
      <c r="P263" s="3135"/>
      <c r="Q263" s="3135"/>
    </row>
    <row r="264" spans="14:17" x14ac:dyDescent="0.25">
      <c r="N264" s="3154"/>
      <c r="O264" s="3135"/>
      <c r="P264" s="3135"/>
      <c r="Q264" s="3135"/>
    </row>
    <row r="265" spans="14:17" x14ac:dyDescent="0.25">
      <c r="N265" s="3154"/>
      <c r="O265" s="3135"/>
      <c r="P265" s="3135"/>
      <c r="Q265" s="3135"/>
    </row>
    <row r="266" spans="14:17" x14ac:dyDescent="0.25">
      <c r="N266" s="3154"/>
      <c r="O266" s="3135"/>
      <c r="P266" s="3135"/>
      <c r="Q266" s="3135"/>
    </row>
    <row r="267" spans="14:17" x14ac:dyDescent="0.25">
      <c r="N267" s="3154"/>
      <c r="O267" s="3135"/>
      <c r="P267" s="3135"/>
      <c r="Q267" s="3135"/>
    </row>
    <row r="268" spans="14:17" x14ac:dyDescent="0.25">
      <c r="N268" s="3154"/>
      <c r="O268" s="3135"/>
      <c r="P268" s="3135"/>
      <c r="Q268" s="3135"/>
    </row>
    <row r="269" spans="14:17" x14ac:dyDescent="0.25">
      <c r="N269" s="3154"/>
      <c r="O269" s="3135"/>
      <c r="P269" s="3135"/>
      <c r="Q269" s="3135"/>
    </row>
    <row r="270" spans="14:17" x14ac:dyDescent="0.25">
      <c r="N270" s="3154"/>
      <c r="O270" s="3135"/>
      <c r="P270" s="3135"/>
      <c r="Q270" s="3135"/>
    </row>
    <row r="271" spans="14:17" x14ac:dyDescent="0.25">
      <c r="N271" s="3154"/>
      <c r="O271" s="3153"/>
      <c r="P271" s="3153"/>
      <c r="Q271" s="3153"/>
    </row>
    <row r="272" spans="14:17" x14ac:dyDescent="0.25">
      <c r="N272" s="3154"/>
      <c r="O272" s="3135"/>
      <c r="P272" s="3135"/>
      <c r="Q272" s="3135"/>
    </row>
    <row r="273" spans="14:17" x14ac:dyDescent="0.25">
      <c r="N273" s="3154"/>
      <c r="O273" s="3135"/>
      <c r="P273" s="3135"/>
      <c r="Q273" s="3135"/>
    </row>
    <row r="274" spans="14:17" x14ac:dyDescent="0.25">
      <c r="N274" s="3154"/>
      <c r="O274" s="3135"/>
      <c r="P274" s="3135"/>
      <c r="Q274" s="3135"/>
    </row>
    <row r="275" spans="14:17" x14ac:dyDescent="0.25">
      <c r="N275" s="3154"/>
      <c r="O275" s="3135"/>
      <c r="P275" s="3135"/>
      <c r="Q275" s="3135"/>
    </row>
    <row r="276" spans="14:17" x14ac:dyDescent="0.25">
      <c r="N276" s="3154"/>
      <c r="O276" s="3135"/>
      <c r="P276" s="3135"/>
      <c r="Q276" s="3135"/>
    </row>
    <row r="277" spans="14:17" x14ac:dyDescent="0.25">
      <c r="N277" s="3154"/>
      <c r="O277" s="3135"/>
      <c r="P277" s="3135"/>
      <c r="Q277" s="3135"/>
    </row>
    <row r="278" spans="14:17" x14ac:dyDescent="0.25">
      <c r="N278" s="3154"/>
      <c r="O278" s="3135"/>
      <c r="P278" s="3135"/>
      <c r="Q278" s="3135"/>
    </row>
    <row r="279" spans="14:17" x14ac:dyDescent="0.25">
      <c r="N279" s="3154"/>
      <c r="O279" s="3135"/>
      <c r="P279" s="3135"/>
      <c r="Q279" s="3135"/>
    </row>
    <row r="280" spans="14:17" x14ac:dyDescent="0.25">
      <c r="N280" s="3154"/>
      <c r="O280" s="3135"/>
      <c r="P280" s="3135"/>
      <c r="Q280" s="3135"/>
    </row>
    <row r="281" spans="14:17" x14ac:dyDescent="0.25">
      <c r="N281" s="3154"/>
      <c r="O281" s="3135"/>
      <c r="P281" s="3135"/>
      <c r="Q281" s="3135"/>
    </row>
    <row r="282" spans="14:17" x14ac:dyDescent="0.25">
      <c r="N282" s="3154"/>
      <c r="O282" s="3135"/>
      <c r="P282" s="3135"/>
      <c r="Q282" s="3135"/>
    </row>
    <row r="283" spans="14:17" x14ac:dyDescent="0.25">
      <c r="N283" s="3154"/>
      <c r="O283" s="3153"/>
      <c r="P283" s="3153"/>
      <c r="Q283" s="3153"/>
    </row>
    <row r="284" spans="14:17" x14ac:dyDescent="0.25">
      <c r="N284" s="6529"/>
      <c r="O284" s="6529"/>
      <c r="P284" s="3153"/>
      <c r="Q284" s="3153"/>
    </row>
  </sheetData>
  <mergeCells count="4">
    <mergeCell ref="I207:J207"/>
    <mergeCell ref="N284:O284"/>
    <mergeCell ref="I254:J254"/>
    <mergeCell ref="N243:O24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80" orientation="landscape" r:id="rId1"/>
  <rowBreaks count="1" manualBreakCount="1">
    <brk id="40" max="11" man="1"/>
  </rowBreaks>
  <ignoredErrors>
    <ignoredError sqref="C25:K28 L25:L28 M25:M28" formulaRange="1"/>
  </ignoredErrors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25A8"/>
  </sheetPr>
  <dimension ref="A1:M29"/>
  <sheetViews>
    <sheetView showGridLines="0" zoomScaleNormal="100" workbookViewId="0">
      <selection activeCell="O10" sqref="O10"/>
    </sheetView>
  </sheetViews>
  <sheetFormatPr baseColWidth="10" defaultRowHeight="15" x14ac:dyDescent="0.25"/>
  <cols>
    <col min="1" max="1" width="28.42578125" style="1649" customWidth="1"/>
    <col min="2" max="2" width="1.28515625" style="1649" customWidth="1"/>
    <col min="3" max="11" width="12.42578125" style="1649" customWidth="1"/>
    <col min="12" max="16384" width="11.42578125" style="1649"/>
  </cols>
  <sheetData>
    <row r="1" spans="1:13" ht="21" x14ac:dyDescent="0.25">
      <c r="A1" s="2310" t="s">
        <v>605</v>
      </c>
      <c r="B1" s="1650"/>
      <c r="D1" s="2310"/>
      <c r="E1" s="2310"/>
      <c r="F1" s="2310"/>
      <c r="G1" s="2310"/>
      <c r="H1" s="2310"/>
      <c r="I1" s="2310"/>
      <c r="J1" s="2310"/>
      <c r="K1" s="2310"/>
    </row>
    <row r="2" spans="1:13" ht="15.75" thickBot="1" x14ac:dyDescent="0.3"/>
    <row r="3" spans="1:13" ht="16.5" thickBot="1" x14ac:dyDescent="0.3">
      <c r="A3" s="1651" t="s">
        <v>606</v>
      </c>
      <c r="B3" s="1652"/>
      <c r="C3" s="1653">
        <v>2005</v>
      </c>
      <c r="D3" s="1654">
        <v>2006</v>
      </c>
      <c r="E3" s="1654">
        <v>2007</v>
      </c>
      <c r="F3" s="1654">
        <v>2008</v>
      </c>
      <c r="G3" s="1654">
        <v>2009</v>
      </c>
      <c r="H3" s="1654">
        <v>2010</v>
      </c>
      <c r="I3" s="1654">
        <v>2011</v>
      </c>
      <c r="J3" s="1654">
        <v>2012</v>
      </c>
      <c r="K3" s="1655">
        <v>2013</v>
      </c>
      <c r="L3" s="1655">
        <v>2014</v>
      </c>
      <c r="M3" s="1655">
        <v>2015</v>
      </c>
    </row>
    <row r="4" spans="1:13" ht="15.75" thickBot="1" x14ac:dyDescent="0.3"/>
    <row r="5" spans="1:13" ht="21" customHeight="1" x14ac:dyDescent="0.25">
      <c r="A5" s="1656" t="s">
        <v>110</v>
      </c>
      <c r="C5" s="1677">
        <v>500</v>
      </c>
      <c r="D5" s="1678">
        <v>480</v>
      </c>
      <c r="E5" s="1679">
        <v>638</v>
      </c>
      <c r="F5" s="1679">
        <v>668</v>
      </c>
      <c r="G5" s="1679">
        <v>850</v>
      </c>
      <c r="H5" s="1679">
        <v>1133</v>
      </c>
      <c r="I5" s="1678">
        <v>1259</v>
      </c>
      <c r="J5" s="1679">
        <v>1423</v>
      </c>
      <c r="K5" s="1680">
        <v>1462</v>
      </c>
      <c r="L5" s="1680">
        <v>1500</v>
      </c>
      <c r="M5" s="1680">
        <v>1473</v>
      </c>
    </row>
    <row r="6" spans="1:13" ht="21" customHeight="1" x14ac:dyDescent="0.25">
      <c r="A6" s="1661" t="s">
        <v>111</v>
      </c>
      <c r="C6" s="1681">
        <v>627</v>
      </c>
      <c r="D6" s="1682">
        <v>637</v>
      </c>
      <c r="E6" s="1683">
        <v>536</v>
      </c>
      <c r="F6" s="1683">
        <v>580</v>
      </c>
      <c r="G6" s="1683">
        <v>550</v>
      </c>
      <c r="H6" s="1683">
        <v>480</v>
      </c>
      <c r="I6" s="1682">
        <v>433</v>
      </c>
      <c r="J6" s="1683">
        <v>446</v>
      </c>
      <c r="K6" s="1684">
        <v>523</v>
      </c>
      <c r="L6" s="1684">
        <v>661</v>
      </c>
      <c r="M6" s="1684">
        <v>826</v>
      </c>
    </row>
    <row r="7" spans="1:13" ht="21" customHeight="1" x14ac:dyDescent="0.25">
      <c r="A7" s="1661" t="s">
        <v>112</v>
      </c>
      <c r="C7" s="1681">
        <v>860</v>
      </c>
      <c r="D7" s="1682">
        <v>778</v>
      </c>
      <c r="E7" s="1683">
        <v>655</v>
      </c>
      <c r="F7" s="1683">
        <v>641</v>
      </c>
      <c r="G7" s="1683">
        <v>599</v>
      </c>
      <c r="H7" s="1683">
        <v>598</v>
      </c>
      <c r="I7" s="1682">
        <v>620</v>
      </c>
      <c r="J7" s="1683">
        <v>610</v>
      </c>
      <c r="K7" s="1684">
        <v>539</v>
      </c>
      <c r="L7" s="1684">
        <v>498</v>
      </c>
      <c r="M7" s="1684">
        <v>430</v>
      </c>
    </row>
    <row r="8" spans="1:13" ht="21" customHeight="1" x14ac:dyDescent="0.25">
      <c r="A8" s="1661" t="s">
        <v>113</v>
      </c>
      <c r="C8" s="1681">
        <v>777</v>
      </c>
      <c r="D8" s="1682">
        <v>768</v>
      </c>
      <c r="E8" s="1683">
        <v>832</v>
      </c>
      <c r="F8" s="1683">
        <v>857</v>
      </c>
      <c r="G8" s="1683">
        <v>831</v>
      </c>
      <c r="H8" s="1683">
        <v>792</v>
      </c>
      <c r="I8" s="1682">
        <v>719</v>
      </c>
      <c r="J8" s="1683">
        <v>590</v>
      </c>
      <c r="K8" s="1684">
        <v>584</v>
      </c>
      <c r="L8" s="1684">
        <v>538</v>
      </c>
      <c r="M8" s="1684">
        <v>524</v>
      </c>
    </row>
    <row r="9" spans="1:13" ht="21" customHeight="1" x14ac:dyDescent="0.25">
      <c r="A9" s="1661" t="s">
        <v>114</v>
      </c>
      <c r="C9" s="1681">
        <v>989</v>
      </c>
      <c r="D9" s="1682">
        <v>994</v>
      </c>
      <c r="E9" s="1683">
        <v>937</v>
      </c>
      <c r="F9" s="1683">
        <v>814</v>
      </c>
      <c r="G9" s="1683">
        <v>698</v>
      </c>
      <c r="H9" s="1683">
        <v>720</v>
      </c>
      <c r="I9" s="1682">
        <v>718</v>
      </c>
      <c r="J9" s="1683">
        <v>764</v>
      </c>
      <c r="K9" s="1684">
        <v>776</v>
      </c>
      <c r="L9" s="1684">
        <v>762</v>
      </c>
      <c r="M9" s="1684">
        <v>719</v>
      </c>
    </row>
    <row r="10" spans="1:13" ht="21" customHeight="1" x14ac:dyDescent="0.25">
      <c r="A10" s="1661" t="s">
        <v>115</v>
      </c>
      <c r="C10" s="1681">
        <v>658</v>
      </c>
      <c r="D10" s="1682">
        <v>646</v>
      </c>
      <c r="E10" s="1683">
        <v>622</v>
      </c>
      <c r="F10" s="1683">
        <v>755</v>
      </c>
      <c r="G10" s="1683">
        <v>881</v>
      </c>
      <c r="H10" s="1683">
        <v>829</v>
      </c>
      <c r="I10" s="1682">
        <v>820</v>
      </c>
      <c r="J10" s="1683">
        <v>778</v>
      </c>
      <c r="K10" s="1684">
        <v>669</v>
      </c>
      <c r="L10" s="1684">
        <v>588</v>
      </c>
      <c r="M10" s="1684">
        <v>572</v>
      </c>
    </row>
    <row r="11" spans="1:13" ht="16.5" thickBot="1" x14ac:dyDescent="0.3">
      <c r="A11" s="1666" t="s">
        <v>607</v>
      </c>
      <c r="C11" s="1685">
        <v>87</v>
      </c>
      <c r="D11" s="1686">
        <v>176</v>
      </c>
      <c r="E11" s="1687">
        <v>274</v>
      </c>
      <c r="F11" s="1687">
        <v>263</v>
      </c>
      <c r="G11" s="1687">
        <v>285</v>
      </c>
      <c r="H11" s="1687">
        <v>366</v>
      </c>
      <c r="I11" s="1686">
        <v>437</v>
      </c>
      <c r="J11" s="1687">
        <v>468</v>
      </c>
      <c r="K11" s="1688">
        <v>544</v>
      </c>
      <c r="L11" s="1688">
        <v>602</v>
      </c>
      <c r="M11" s="1688">
        <v>584</v>
      </c>
    </row>
    <row r="12" spans="1:13" ht="15.75" thickBot="1" x14ac:dyDescent="0.3"/>
    <row r="13" spans="1:13" ht="16.5" thickBot="1" x14ac:dyDescent="0.3">
      <c r="A13" s="1671" t="s">
        <v>12</v>
      </c>
      <c r="C13" s="1672">
        <f t="shared" ref="C13:H13" si="0">SUM(C5:C11)</f>
        <v>4498</v>
      </c>
      <c r="D13" s="1673">
        <f t="shared" si="0"/>
        <v>4479</v>
      </c>
      <c r="E13" s="1673">
        <f t="shared" si="0"/>
        <v>4494</v>
      </c>
      <c r="F13" s="1673">
        <f t="shared" si="0"/>
        <v>4578</v>
      </c>
      <c r="G13" s="1673">
        <f t="shared" si="0"/>
        <v>4694</v>
      </c>
      <c r="H13" s="1673">
        <f t="shared" si="0"/>
        <v>4918</v>
      </c>
      <c r="I13" s="1673">
        <v>5006</v>
      </c>
      <c r="J13" s="1673">
        <f>SUM(J5:J12)</f>
        <v>5079</v>
      </c>
      <c r="K13" s="1674">
        <f>SUM(K5:K12)</f>
        <v>5097</v>
      </c>
      <c r="L13" s="1674">
        <f>SUM(L5:L12)</f>
        <v>5149</v>
      </c>
      <c r="M13" s="1674">
        <f>SUM(M5:M12)</f>
        <v>5128</v>
      </c>
    </row>
    <row r="14" spans="1:13" ht="16.5" thickBot="1" x14ac:dyDescent="0.3">
      <c r="A14" s="1675"/>
    </row>
    <row r="15" spans="1:13" ht="16.5" thickBot="1" x14ac:dyDescent="0.3">
      <c r="A15" s="1671" t="s">
        <v>608</v>
      </c>
      <c r="C15" s="2045">
        <v>16.829702089817701</v>
      </c>
      <c r="D15" s="2046">
        <v>17.190667559723199</v>
      </c>
      <c r="E15" s="2047">
        <v>17.146568736092501</v>
      </c>
      <c r="F15" s="2045">
        <v>17.0421581476627</v>
      </c>
      <c r="G15" s="2046">
        <v>16.8206220707286</v>
      </c>
      <c r="H15" s="2047">
        <v>16.293005286701899</v>
      </c>
      <c r="I15" s="2047">
        <v>16.300039952057499</v>
      </c>
      <c r="J15" s="2047">
        <v>15.89722386296515</v>
      </c>
      <c r="K15" s="2048">
        <v>15.81</v>
      </c>
      <c r="L15" s="2048">
        <v>15.456205088366699</v>
      </c>
      <c r="M15" s="2048">
        <v>15.2377145085803</v>
      </c>
    </row>
    <row r="16" spans="1:13" ht="11.25" customHeight="1" x14ac:dyDescent="0.25"/>
    <row r="17" spans="1:13" x14ac:dyDescent="0.25">
      <c r="A17" s="1676" t="s">
        <v>640</v>
      </c>
    </row>
    <row r="18" spans="1:13" x14ac:dyDescent="0.25">
      <c r="A18" s="1676" t="s">
        <v>116</v>
      </c>
    </row>
    <row r="20" spans="1:13" s="3138" customFormat="1" ht="11.25" x14ac:dyDescent="0.2">
      <c r="A20" s="4204" t="s">
        <v>606</v>
      </c>
      <c r="C20" s="4193">
        <v>2005</v>
      </c>
      <c r="D20" s="4193">
        <v>2006</v>
      </c>
      <c r="E20" s="4193">
        <v>2007</v>
      </c>
      <c r="F20" s="4193">
        <v>2008</v>
      </c>
      <c r="G20" s="4193">
        <v>2009</v>
      </c>
      <c r="H20" s="4193">
        <v>2010</v>
      </c>
      <c r="I20" s="4193">
        <v>2011</v>
      </c>
      <c r="J20" s="4193">
        <v>2012</v>
      </c>
      <c r="K20" s="4193">
        <v>2013</v>
      </c>
      <c r="L20" s="4193">
        <v>2014</v>
      </c>
      <c r="M20" s="4193">
        <v>2015</v>
      </c>
    </row>
    <row r="21" spans="1:13" s="3138" customFormat="1" ht="11.25" x14ac:dyDescent="0.2">
      <c r="A21" s="4194" t="s">
        <v>110</v>
      </c>
      <c r="C21" s="4200">
        <f>C5/$C$13</f>
        <v>0.11116051578479325</v>
      </c>
      <c r="D21" s="4200">
        <f>D5/$D$13</f>
        <v>0.10716677829872739</v>
      </c>
      <c r="E21" s="4200">
        <f>E5/$E$13</f>
        <v>0.14196706720071206</v>
      </c>
      <c r="F21" s="4200">
        <f>F5/$F$13</f>
        <v>0.14591524683267804</v>
      </c>
      <c r="G21" s="4200">
        <f>G5/$G$13</f>
        <v>0.18108223263740947</v>
      </c>
      <c r="H21" s="4200">
        <f>H5/$H$13</f>
        <v>0.23037820252135013</v>
      </c>
      <c r="I21" s="4200">
        <f>I5/$I$13</f>
        <v>0.25149820215741109</v>
      </c>
      <c r="J21" s="4200">
        <f>J5/$J$13</f>
        <v>0.28017326245323881</v>
      </c>
      <c r="K21" s="4200">
        <f>K5/$K$13</f>
        <v>0.28683539336864822</v>
      </c>
      <c r="L21" s="4200">
        <f>L5/$L$13</f>
        <v>0.2913187026607108</v>
      </c>
      <c r="M21" s="4200">
        <f t="shared" ref="M21:M27" si="1">M5/$M$13</f>
        <v>0.28724648985959439</v>
      </c>
    </row>
    <row r="22" spans="1:13" s="3138" customFormat="1" ht="11.25" x14ac:dyDescent="0.2">
      <c r="A22" s="4196" t="s">
        <v>111</v>
      </c>
      <c r="C22" s="4201">
        <f t="shared" ref="C22:C27" si="2">C6/$C$13</f>
        <v>0.13939528679413071</v>
      </c>
      <c r="D22" s="4201">
        <f t="shared" ref="D22:D27" si="3">D6/$D$13</f>
        <v>0.14221924536726949</v>
      </c>
      <c r="E22" s="4201">
        <f t="shared" ref="E22:E27" si="4">E6/$E$13</f>
        <v>0.11927013796172675</v>
      </c>
      <c r="F22" s="4201">
        <f t="shared" ref="F22:F27" si="5">F6/$F$13</f>
        <v>0.12669287898645698</v>
      </c>
      <c r="G22" s="4201">
        <f t="shared" ref="G22:G27" si="6">G6/$G$13</f>
        <v>0.11717085641244142</v>
      </c>
      <c r="H22" s="4201">
        <f t="shared" ref="H22:H27" si="7">H6/$H$13</f>
        <v>9.7600650671004471E-2</v>
      </c>
      <c r="I22" s="4201">
        <f t="shared" ref="I22:I27" si="8">I6/$I$13</f>
        <v>8.6496204554534564E-2</v>
      </c>
      <c r="J22" s="4201">
        <f t="shared" ref="J22:J27" si="9">J6/$J$13</f>
        <v>8.7812561527859809E-2</v>
      </c>
      <c r="K22" s="4201">
        <f t="shared" ref="K22:K27" si="10">K6/$K$13</f>
        <v>0.10260937806552874</v>
      </c>
      <c r="L22" s="4201">
        <f t="shared" ref="L22:L27" si="11">L6/$L$13</f>
        <v>0.12837444163915324</v>
      </c>
      <c r="M22" s="4201">
        <f t="shared" si="1"/>
        <v>0.16107644305772231</v>
      </c>
    </row>
    <row r="23" spans="1:13" s="3138" customFormat="1" ht="11.25" x14ac:dyDescent="0.2">
      <c r="A23" s="4196" t="s">
        <v>112</v>
      </c>
      <c r="C23" s="4201">
        <f t="shared" si="2"/>
        <v>0.19119608714984437</v>
      </c>
      <c r="D23" s="4201">
        <f t="shared" si="3"/>
        <v>0.17369948649252065</v>
      </c>
      <c r="E23" s="4201">
        <f t="shared" si="4"/>
        <v>0.14574988874054295</v>
      </c>
      <c r="F23" s="4201">
        <f t="shared" si="5"/>
        <v>0.14001747487986019</v>
      </c>
      <c r="G23" s="4201">
        <f t="shared" si="6"/>
        <v>0.12760971452918621</v>
      </c>
      <c r="H23" s="4201">
        <f t="shared" si="7"/>
        <v>0.12159414396095974</v>
      </c>
      <c r="I23" s="4201">
        <f t="shared" si="8"/>
        <v>0.12385137834598482</v>
      </c>
      <c r="J23" s="4201">
        <f t="shared" si="9"/>
        <v>0.12010238235873204</v>
      </c>
      <c r="K23" s="4201">
        <f t="shared" si="10"/>
        <v>0.10574847949774377</v>
      </c>
      <c r="L23" s="4201">
        <f t="shared" si="11"/>
        <v>9.6717809283355993E-2</v>
      </c>
      <c r="M23" s="4201">
        <f t="shared" si="1"/>
        <v>8.3853354134165364E-2</v>
      </c>
    </row>
    <row r="24" spans="1:13" s="3138" customFormat="1" ht="11.25" x14ac:dyDescent="0.2">
      <c r="A24" s="4196" t="s">
        <v>113</v>
      </c>
      <c r="C24" s="4201">
        <f t="shared" si="2"/>
        <v>0.17274344152956869</v>
      </c>
      <c r="D24" s="4201">
        <f t="shared" si="3"/>
        <v>0.17146684527796383</v>
      </c>
      <c r="E24" s="4201">
        <f t="shared" si="4"/>
        <v>0.18513573653760571</v>
      </c>
      <c r="F24" s="4201">
        <f t="shared" si="5"/>
        <v>0.18719965050240281</v>
      </c>
      <c r="G24" s="4201">
        <f t="shared" si="6"/>
        <v>0.17703451214316149</v>
      </c>
      <c r="H24" s="4201">
        <f t="shared" si="7"/>
        <v>0.16104107360715739</v>
      </c>
      <c r="I24" s="4201">
        <f t="shared" si="8"/>
        <v>0.14362764682381143</v>
      </c>
      <c r="J24" s="4201">
        <f t="shared" si="9"/>
        <v>0.11616459933057688</v>
      </c>
      <c r="K24" s="4201">
        <f t="shared" si="10"/>
        <v>0.11457720227584854</v>
      </c>
      <c r="L24" s="4201">
        <f t="shared" si="11"/>
        <v>0.10448630802097494</v>
      </c>
      <c r="M24" s="4201">
        <f t="shared" si="1"/>
        <v>0.10218408736349453</v>
      </c>
    </row>
    <row r="25" spans="1:13" s="3138" customFormat="1" ht="11.25" x14ac:dyDescent="0.2">
      <c r="A25" s="4196" t="s">
        <v>114</v>
      </c>
      <c r="C25" s="4201">
        <f t="shared" si="2"/>
        <v>0.21987550022232102</v>
      </c>
      <c r="D25" s="4201">
        <f t="shared" si="3"/>
        <v>0.22192453672694798</v>
      </c>
      <c r="E25" s="4201">
        <f t="shared" si="4"/>
        <v>0.20850022251891412</v>
      </c>
      <c r="F25" s="4201">
        <f t="shared" si="5"/>
        <v>0.17780690257754478</v>
      </c>
      <c r="G25" s="4201">
        <f t="shared" si="6"/>
        <v>0.14870046868342565</v>
      </c>
      <c r="H25" s="4201">
        <f t="shared" si="7"/>
        <v>0.1464009760065067</v>
      </c>
      <c r="I25" s="4201">
        <f t="shared" si="8"/>
        <v>0.14342788653615662</v>
      </c>
      <c r="J25" s="4201">
        <f t="shared" si="9"/>
        <v>0.15042331167552667</v>
      </c>
      <c r="K25" s="4201">
        <f t="shared" si="10"/>
        <v>0.15224641946242887</v>
      </c>
      <c r="L25" s="4201">
        <f t="shared" si="11"/>
        <v>0.14798990095164111</v>
      </c>
      <c r="M25" s="4201">
        <f t="shared" si="1"/>
        <v>0.14021060842433697</v>
      </c>
    </row>
    <row r="26" spans="1:13" s="3138" customFormat="1" ht="11.25" x14ac:dyDescent="0.2">
      <c r="A26" s="4196" t="s">
        <v>115</v>
      </c>
      <c r="C26" s="4201">
        <f t="shared" si="2"/>
        <v>0.1462872387727879</v>
      </c>
      <c r="D26" s="4201">
        <f t="shared" si="3"/>
        <v>0.14422862246037063</v>
      </c>
      <c r="E26" s="4201">
        <f t="shared" si="4"/>
        <v>0.13840676457498888</v>
      </c>
      <c r="F26" s="4201">
        <f t="shared" si="5"/>
        <v>0.16491917868064657</v>
      </c>
      <c r="G26" s="4201">
        <f t="shared" si="6"/>
        <v>0.18768640818065616</v>
      </c>
      <c r="H26" s="4201">
        <f t="shared" si="7"/>
        <v>0.16856445709638065</v>
      </c>
      <c r="I26" s="4201">
        <f t="shared" si="8"/>
        <v>0.16380343587694765</v>
      </c>
      <c r="J26" s="4201">
        <f t="shared" si="9"/>
        <v>0.15317975979523529</v>
      </c>
      <c r="K26" s="4201">
        <f t="shared" si="10"/>
        <v>0.13125367863449089</v>
      </c>
      <c r="L26" s="4201">
        <f t="shared" si="11"/>
        <v>0.11419693144299864</v>
      </c>
      <c r="M26" s="4201">
        <f t="shared" si="1"/>
        <v>0.11154446177847113</v>
      </c>
    </row>
    <row r="27" spans="1:13" s="3138" customFormat="1" ht="11.25" x14ac:dyDescent="0.2">
      <c r="A27" s="4197" t="s">
        <v>607</v>
      </c>
      <c r="C27" s="4202">
        <f t="shared" si="2"/>
        <v>1.9341929746554024E-2</v>
      </c>
      <c r="D27" s="4202">
        <f t="shared" si="3"/>
        <v>3.9294485376200047E-2</v>
      </c>
      <c r="E27" s="4202">
        <f t="shared" si="4"/>
        <v>6.0970182465509566E-2</v>
      </c>
      <c r="F27" s="4202">
        <f t="shared" si="5"/>
        <v>5.7448667540410663E-2</v>
      </c>
      <c r="G27" s="4202">
        <f t="shared" si="6"/>
        <v>6.0715807413719645E-2</v>
      </c>
      <c r="H27" s="4202">
        <f t="shared" si="7"/>
        <v>7.442049613664091E-2</v>
      </c>
      <c r="I27" s="4202">
        <f t="shared" si="8"/>
        <v>8.7295245705153818E-2</v>
      </c>
      <c r="J27" s="4202">
        <f t="shared" si="9"/>
        <v>9.2144122858830474E-2</v>
      </c>
      <c r="K27" s="4202">
        <f t="shared" si="10"/>
        <v>0.10672944869531097</v>
      </c>
      <c r="L27" s="4202">
        <f t="shared" si="11"/>
        <v>0.11691590600116528</v>
      </c>
      <c r="M27" s="4202">
        <f t="shared" si="1"/>
        <v>0.11388455538221529</v>
      </c>
    </row>
    <row r="28" spans="1:13" s="3138" customFormat="1" ht="11.25" x14ac:dyDescent="0.2">
      <c r="A28" s="4205" t="s">
        <v>12</v>
      </c>
      <c r="C28" s="4206">
        <f t="shared" ref="C28:K28" si="12">SUM(C21:C27)</f>
        <v>1</v>
      </c>
      <c r="D28" s="4206">
        <f t="shared" si="12"/>
        <v>1</v>
      </c>
      <c r="E28" s="4206">
        <f t="shared" si="12"/>
        <v>1</v>
      </c>
      <c r="F28" s="4206">
        <f t="shared" si="12"/>
        <v>1</v>
      </c>
      <c r="G28" s="4206">
        <f t="shared" si="12"/>
        <v>1</v>
      </c>
      <c r="H28" s="4206">
        <f t="shared" si="12"/>
        <v>1</v>
      </c>
      <c r="I28" s="4206">
        <f t="shared" si="12"/>
        <v>1</v>
      </c>
      <c r="J28" s="4206">
        <f t="shared" si="12"/>
        <v>1</v>
      </c>
      <c r="K28" s="4206">
        <f t="shared" si="12"/>
        <v>1</v>
      </c>
      <c r="L28" s="4206">
        <f>SUM(L21:L27)</f>
        <v>1</v>
      </c>
      <c r="M28" s="4206">
        <f>SUM(M21:M27)</f>
        <v>1</v>
      </c>
    </row>
    <row r="29" spans="1:13" ht="15.75" x14ac:dyDescent="0.25">
      <c r="A29" s="1675"/>
    </row>
  </sheetData>
  <printOptions horizontalCentered="1" verticalCentered="1"/>
  <pageMargins left="0.70866141732283472" right="0.70866141732283472" top="0.74803149606299213" bottom="0.74803149606299213" header="0.31496062992125984" footer="0.31496062992125984"/>
  <pageSetup scale="80" orientation="landscape" r:id="rId1"/>
  <rowBreaks count="1" manualBreakCount="1">
    <brk id="29" max="11" man="1"/>
  </rowBreaks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25A8"/>
  </sheetPr>
  <dimension ref="A1:F226"/>
  <sheetViews>
    <sheetView showGridLines="0" zoomScaleNormal="100" zoomScaleSheetLayoutView="80" workbookViewId="0">
      <selection activeCell="A3" sqref="A3:F30"/>
    </sheetView>
  </sheetViews>
  <sheetFormatPr baseColWidth="10" defaultRowHeight="12.75" x14ac:dyDescent="0.2"/>
  <cols>
    <col min="1" max="1" width="18.42578125" style="1929" bestFit="1" customWidth="1"/>
    <col min="2" max="2" width="13.28515625" style="262" bestFit="1" customWidth="1"/>
    <col min="3" max="5" width="15.7109375" style="262" customWidth="1"/>
    <col min="6" max="6" width="15.140625" style="1929" bestFit="1" customWidth="1"/>
    <col min="7" max="8" width="10.7109375" style="23" customWidth="1"/>
    <col min="9" max="9" width="9" style="23" bestFit="1" customWidth="1"/>
    <col min="10" max="10" width="4.7109375" style="23" bestFit="1" customWidth="1"/>
    <col min="11" max="16384" width="11.42578125" style="23"/>
  </cols>
  <sheetData>
    <row r="1" spans="1:6" ht="18.75" x14ac:dyDescent="0.2">
      <c r="A1" s="2894" t="s">
        <v>1302</v>
      </c>
      <c r="B1" s="2893"/>
      <c r="C1" s="2893"/>
      <c r="D1" s="2893"/>
      <c r="E1" s="2893"/>
      <c r="F1" s="2893"/>
    </row>
    <row r="2" spans="1:6" ht="18.75" x14ac:dyDescent="0.2">
      <c r="A2" s="2894"/>
      <c r="B2" s="2893"/>
      <c r="C2" s="2893"/>
      <c r="D2" s="2893"/>
      <c r="E2" s="2893"/>
      <c r="F2" s="2893"/>
    </row>
    <row r="3" spans="1:6" ht="15.75" x14ac:dyDescent="0.2">
      <c r="A3" s="4934" t="s">
        <v>51</v>
      </c>
      <c r="B3" s="4935" t="s">
        <v>702</v>
      </c>
      <c r="C3" s="4934" t="s">
        <v>812</v>
      </c>
      <c r="D3" s="4934" t="s">
        <v>610</v>
      </c>
      <c r="E3" s="4934" t="s">
        <v>728</v>
      </c>
      <c r="F3" s="4936" t="s">
        <v>1517</v>
      </c>
    </row>
    <row r="4" spans="1:6" ht="15" x14ac:dyDescent="0.2">
      <c r="A4" s="5900" t="s">
        <v>161</v>
      </c>
      <c r="B4" s="4937" t="s">
        <v>160</v>
      </c>
      <c r="C4" s="4938">
        <v>15691746.49</v>
      </c>
      <c r="D4" s="4938">
        <v>10053315.49</v>
      </c>
      <c r="E4" s="4938">
        <v>7077457.1699999999</v>
      </c>
      <c r="F4" s="4939">
        <v>32822519.149999999</v>
      </c>
    </row>
    <row r="5" spans="1:6" ht="15" x14ac:dyDescent="0.2">
      <c r="A5" s="5901"/>
      <c r="B5" s="4940" t="s">
        <v>5</v>
      </c>
      <c r="C5" s="3850">
        <v>12534228.49</v>
      </c>
      <c r="D5" s="3851">
        <v>4231102.2300000004</v>
      </c>
      <c r="E5" s="3852">
        <v>4739408.83</v>
      </c>
      <c r="F5" s="4941">
        <v>21504739.550000001</v>
      </c>
    </row>
    <row r="6" spans="1:6" ht="15" x14ac:dyDescent="0.2">
      <c r="A6" s="5901"/>
      <c r="B6" s="4940" t="s">
        <v>6</v>
      </c>
      <c r="C6" s="3850">
        <v>1978518</v>
      </c>
      <c r="D6" s="3851">
        <v>3498522</v>
      </c>
      <c r="E6" s="3852">
        <v>545981.67000000004</v>
      </c>
      <c r="F6" s="4941">
        <v>6023021.6699999999</v>
      </c>
    </row>
    <row r="7" spans="1:6" ht="15" x14ac:dyDescent="0.2">
      <c r="A7" s="5902"/>
      <c r="B7" s="4940" t="s">
        <v>7</v>
      </c>
      <c r="C7" s="3850">
        <v>1179000</v>
      </c>
      <c r="D7" s="3851">
        <v>2323691.2599999998</v>
      </c>
      <c r="E7" s="3852">
        <v>1792066.67</v>
      </c>
      <c r="F7" s="4942">
        <v>5294757.93</v>
      </c>
    </row>
    <row r="8" spans="1:6" ht="15" x14ac:dyDescent="0.2">
      <c r="A8" s="6553" t="s">
        <v>410</v>
      </c>
      <c r="B8" s="4933" t="s">
        <v>160</v>
      </c>
      <c r="C8" s="4943">
        <v>12248378.780000001</v>
      </c>
      <c r="D8" s="4943">
        <v>4602822</v>
      </c>
      <c r="E8" s="4943">
        <v>2037929.14</v>
      </c>
      <c r="F8" s="4944">
        <v>18889129.920000002</v>
      </c>
    </row>
    <row r="9" spans="1:6" ht="15" x14ac:dyDescent="0.2">
      <c r="A9" s="6554"/>
      <c r="B9" s="4940" t="s">
        <v>9</v>
      </c>
      <c r="C9" s="3850">
        <v>0</v>
      </c>
      <c r="D9" s="3851">
        <v>1429587</v>
      </c>
      <c r="E9" s="3852">
        <v>0</v>
      </c>
      <c r="F9" s="4941">
        <v>1429587</v>
      </c>
    </row>
    <row r="10" spans="1:6" ht="15" x14ac:dyDescent="0.2">
      <c r="A10" s="6554"/>
      <c r="B10" s="4940" t="s">
        <v>74</v>
      </c>
      <c r="C10" s="3850">
        <v>10549378.780000001</v>
      </c>
      <c r="D10" s="3851">
        <v>1084000</v>
      </c>
      <c r="E10" s="3852">
        <v>1957047.8599999999</v>
      </c>
      <c r="F10" s="4941">
        <v>13590426.640000001</v>
      </c>
    </row>
    <row r="11" spans="1:6" ht="15" x14ac:dyDescent="0.2">
      <c r="A11" s="6554"/>
      <c r="B11" s="4940" t="s">
        <v>6</v>
      </c>
      <c r="C11" s="3850">
        <v>1699000</v>
      </c>
      <c r="D11" s="3851">
        <v>2089235</v>
      </c>
      <c r="E11" s="3852">
        <v>67903.23</v>
      </c>
      <c r="F11" s="4941">
        <v>3856138.23</v>
      </c>
    </row>
    <row r="12" spans="1:6" ht="15" x14ac:dyDescent="0.2">
      <c r="A12" s="5925"/>
      <c r="B12" s="4945" t="s">
        <v>693</v>
      </c>
      <c r="C12" s="3850">
        <v>0</v>
      </c>
      <c r="D12" s="3851">
        <v>0</v>
      </c>
      <c r="E12" s="3852">
        <v>12978.05</v>
      </c>
      <c r="F12" s="4942">
        <v>12978.05</v>
      </c>
    </row>
    <row r="13" spans="1:6" ht="15" x14ac:dyDescent="0.2">
      <c r="A13" s="5889" t="s">
        <v>162</v>
      </c>
      <c r="B13" s="4931" t="s">
        <v>160</v>
      </c>
      <c r="C13" s="4946">
        <v>112250971.52</v>
      </c>
      <c r="D13" s="4946">
        <v>12336639.439999999</v>
      </c>
      <c r="E13" s="4946">
        <v>61882870.219999999</v>
      </c>
      <c r="F13" s="4947">
        <v>186470481.18000001</v>
      </c>
    </row>
    <row r="14" spans="1:6" ht="15" x14ac:dyDescent="0.2">
      <c r="A14" s="5890"/>
      <c r="B14" s="4940" t="s">
        <v>5</v>
      </c>
      <c r="C14" s="3850">
        <v>85547818.859999999</v>
      </c>
      <c r="D14" s="3851">
        <v>4203761</v>
      </c>
      <c r="E14" s="3852">
        <v>16020184.84</v>
      </c>
      <c r="F14" s="4941">
        <v>105771764.7</v>
      </c>
    </row>
    <row r="15" spans="1:6" ht="15" x14ac:dyDescent="0.2">
      <c r="A15" s="5890"/>
      <c r="B15" s="4940" t="s">
        <v>11</v>
      </c>
      <c r="C15" s="3850">
        <v>20123089.91</v>
      </c>
      <c r="D15" s="3851">
        <v>4502283</v>
      </c>
      <c r="E15" s="3852">
        <v>21342884.32</v>
      </c>
      <c r="F15" s="4941">
        <v>45968257.230000004</v>
      </c>
    </row>
    <row r="16" spans="1:6" ht="15" x14ac:dyDescent="0.2">
      <c r="A16" s="5890"/>
      <c r="B16" s="4940" t="s">
        <v>6</v>
      </c>
      <c r="C16" s="3850">
        <v>6580062.75</v>
      </c>
      <c r="D16" s="3851">
        <v>2130595.44</v>
      </c>
      <c r="E16" s="3852">
        <v>15391791.789999999</v>
      </c>
      <c r="F16" s="4941">
        <v>24102449.979999997</v>
      </c>
    </row>
    <row r="17" spans="1:6" ht="15" x14ac:dyDescent="0.2">
      <c r="A17" s="5891"/>
      <c r="B17" s="4945" t="s">
        <v>693</v>
      </c>
      <c r="C17" s="3850">
        <v>0</v>
      </c>
      <c r="D17" s="3851">
        <v>1500000</v>
      </c>
      <c r="E17" s="3852">
        <v>9128009.2700000014</v>
      </c>
      <c r="F17" s="4942">
        <v>10628009.270000001</v>
      </c>
    </row>
    <row r="18" spans="1:6" ht="15" x14ac:dyDescent="0.2">
      <c r="A18" s="6555" t="s">
        <v>411</v>
      </c>
      <c r="B18" s="4948" t="s">
        <v>160</v>
      </c>
      <c r="C18" s="4949">
        <v>9264572.0199999996</v>
      </c>
      <c r="D18" s="4949">
        <v>490087</v>
      </c>
      <c r="E18" s="4949">
        <v>1353729.26</v>
      </c>
      <c r="F18" s="4950">
        <v>11108388.279999999</v>
      </c>
    </row>
    <row r="19" spans="1:6" ht="15" x14ac:dyDescent="0.2">
      <c r="A19" s="5921"/>
      <c r="B19" s="4940" t="s">
        <v>5</v>
      </c>
      <c r="C19" s="3850">
        <v>0</v>
      </c>
      <c r="D19" s="3850">
        <v>40000</v>
      </c>
      <c r="E19" s="3850">
        <v>0</v>
      </c>
      <c r="F19" s="4941">
        <v>40000</v>
      </c>
    </row>
    <row r="20" spans="1:6" ht="15" x14ac:dyDescent="0.2">
      <c r="A20" s="5921"/>
      <c r="B20" s="4940" t="s">
        <v>11</v>
      </c>
      <c r="C20" s="3850">
        <v>384169.98</v>
      </c>
      <c r="D20" s="3850">
        <v>450087</v>
      </c>
      <c r="E20" s="3850">
        <v>283500</v>
      </c>
      <c r="F20" s="4941">
        <v>1117756.98</v>
      </c>
    </row>
    <row r="21" spans="1:6" ht="15" x14ac:dyDescent="0.2">
      <c r="A21" s="5921"/>
      <c r="B21" s="4940" t="s">
        <v>6</v>
      </c>
      <c r="C21" s="3850">
        <v>0</v>
      </c>
      <c r="D21" s="3850">
        <v>0</v>
      </c>
      <c r="E21" s="3850">
        <v>1053056.8500000001</v>
      </c>
      <c r="F21" s="4941">
        <v>1053056.8500000001</v>
      </c>
    </row>
    <row r="22" spans="1:6" ht="15" x14ac:dyDescent="0.2">
      <c r="A22" s="6556"/>
      <c r="B22" s="4945" t="s">
        <v>693</v>
      </c>
      <c r="C22" s="3850">
        <v>8880402.0399999991</v>
      </c>
      <c r="D22" s="3850">
        <v>0</v>
      </c>
      <c r="E22" s="3850">
        <v>17172.41</v>
      </c>
      <c r="F22" s="4941">
        <v>8897574.4499999993</v>
      </c>
    </row>
    <row r="23" spans="1:6" ht="15" x14ac:dyDescent="0.2">
      <c r="A23" s="6557" t="s">
        <v>163</v>
      </c>
      <c r="B23" s="4932" t="s">
        <v>160</v>
      </c>
      <c r="C23" s="4951">
        <v>12748810.75</v>
      </c>
      <c r="D23" s="4951">
        <v>20368552.18</v>
      </c>
      <c r="E23" s="4951">
        <v>27992782.59</v>
      </c>
      <c r="F23" s="4952">
        <v>61110145.519999996</v>
      </c>
    </row>
    <row r="24" spans="1:6" ht="15" x14ac:dyDescent="0.2">
      <c r="A24" s="5617"/>
      <c r="B24" s="4940" t="s">
        <v>11</v>
      </c>
      <c r="C24" s="3850">
        <v>5101877.5699999994</v>
      </c>
      <c r="D24" s="3851">
        <v>3214463.25</v>
      </c>
      <c r="E24" s="3852">
        <v>6674104.0199999996</v>
      </c>
      <c r="F24" s="4941">
        <v>14990444.84</v>
      </c>
    </row>
    <row r="25" spans="1:6" ht="15" x14ac:dyDescent="0.2">
      <c r="A25" s="5617"/>
      <c r="B25" s="4940" t="s">
        <v>6</v>
      </c>
      <c r="C25" s="3850">
        <v>7585933.1799999997</v>
      </c>
      <c r="D25" s="3851">
        <v>1607088.9300000002</v>
      </c>
      <c r="E25" s="3852">
        <v>12485349.879999999</v>
      </c>
      <c r="F25" s="4941">
        <v>21678371.989999998</v>
      </c>
    </row>
    <row r="26" spans="1:6" ht="15" x14ac:dyDescent="0.2">
      <c r="A26" s="5617"/>
      <c r="B26" s="4940" t="s">
        <v>7</v>
      </c>
      <c r="C26" s="3850">
        <v>61000</v>
      </c>
      <c r="D26" s="3851">
        <v>427000</v>
      </c>
      <c r="E26" s="3852">
        <v>4814643.16</v>
      </c>
      <c r="F26" s="4941">
        <v>5302643.16</v>
      </c>
    </row>
    <row r="27" spans="1:6" ht="15" x14ac:dyDescent="0.2">
      <c r="A27" s="5618"/>
      <c r="B27" s="4945" t="s">
        <v>693</v>
      </c>
      <c r="C27" s="3850">
        <v>0</v>
      </c>
      <c r="D27" s="3851">
        <v>15120000</v>
      </c>
      <c r="E27" s="3852">
        <v>4018685.5300000003</v>
      </c>
      <c r="F27" s="4942">
        <v>19138685.530000001</v>
      </c>
    </row>
    <row r="28" spans="1:6" ht="15" x14ac:dyDescent="0.2">
      <c r="A28" s="4960" t="s">
        <v>688</v>
      </c>
      <c r="B28" s="4953" t="s">
        <v>160</v>
      </c>
      <c r="C28" s="4957">
        <v>450000</v>
      </c>
      <c r="D28" s="4958">
        <v>0</v>
      </c>
      <c r="E28" s="4957">
        <v>23418729.120000001</v>
      </c>
      <c r="F28" s="4959">
        <v>23868729.120000001</v>
      </c>
    </row>
    <row r="29" spans="1:6" ht="15" x14ac:dyDescent="0.2">
      <c r="A29" s="6551" t="s">
        <v>586</v>
      </c>
      <c r="B29" s="6552"/>
      <c r="C29" s="4954">
        <v>162654479.56</v>
      </c>
      <c r="D29" s="4954">
        <v>47851416.109999999</v>
      </c>
      <c r="E29" s="4954">
        <v>123763497.50000001</v>
      </c>
      <c r="F29" s="4954">
        <v>334269393.17000002</v>
      </c>
    </row>
    <row r="30" spans="1:6" x14ac:dyDescent="0.2">
      <c r="A30" s="4955" t="s">
        <v>1576</v>
      </c>
      <c r="B30" s="184"/>
      <c r="C30" s="4956"/>
      <c r="D30" s="184"/>
      <c r="E30" s="184"/>
      <c r="F30" s="184"/>
    </row>
    <row r="31" spans="1:6" ht="18.75" x14ac:dyDescent="0.2">
      <c r="A31" s="2894"/>
      <c r="B31" s="2893"/>
      <c r="C31" s="2893"/>
      <c r="D31" s="2893"/>
      <c r="E31" s="2893"/>
      <c r="F31" s="2893"/>
    </row>
    <row r="32" spans="1:6" ht="18.75" x14ac:dyDescent="0.2">
      <c r="A32" s="2894"/>
      <c r="B32" s="2893"/>
      <c r="C32" s="2893"/>
      <c r="D32" s="2893"/>
      <c r="E32" s="2893"/>
      <c r="F32" s="2893"/>
    </row>
    <row r="33" spans="1:6" ht="20.25" customHeight="1" x14ac:dyDescent="0.2">
      <c r="A33" s="3806" t="s">
        <v>51</v>
      </c>
      <c r="B33" s="3807" t="s">
        <v>702</v>
      </c>
      <c r="C33" s="3806" t="s">
        <v>812</v>
      </c>
      <c r="D33" s="3806" t="s">
        <v>610</v>
      </c>
      <c r="E33" s="3806" t="s">
        <v>728</v>
      </c>
      <c r="F33" s="3882" t="s">
        <v>873</v>
      </c>
    </row>
    <row r="34" spans="1:6" ht="15" x14ac:dyDescent="0.2">
      <c r="A34" s="6542" t="s">
        <v>161</v>
      </c>
      <c r="B34" s="3804" t="s">
        <v>160</v>
      </c>
      <c r="C34" s="3847">
        <f>C37+C36+C35</f>
        <v>17789133.18</v>
      </c>
      <c r="D34" s="3848">
        <f>D37+D36+D35</f>
        <v>3600021.73</v>
      </c>
      <c r="E34" s="3849">
        <f>E37+E36+E35</f>
        <v>5611025.9800000004</v>
      </c>
      <c r="F34" s="2865">
        <f>F37+F36+F35</f>
        <v>27000180.890000001</v>
      </c>
    </row>
    <row r="35" spans="1:6" ht="15" x14ac:dyDescent="0.2">
      <c r="A35" s="6543"/>
      <c r="B35" s="2039" t="s">
        <v>5</v>
      </c>
      <c r="C35" s="3850">
        <v>11146044.289999999</v>
      </c>
      <c r="D35" s="3851">
        <v>1065666.73</v>
      </c>
      <c r="E35" s="3852">
        <v>4136533.6</v>
      </c>
      <c r="F35" s="1970">
        <f>+C35+D35+E35</f>
        <v>16348244.619999999</v>
      </c>
    </row>
    <row r="36" spans="1:6" ht="15" x14ac:dyDescent="0.2">
      <c r="A36" s="6543"/>
      <c r="B36" s="2039" t="s">
        <v>6</v>
      </c>
      <c r="C36" s="3850">
        <v>5414429.8899999997</v>
      </c>
      <c r="D36" s="3851">
        <v>1828244</v>
      </c>
      <c r="E36" s="3852">
        <v>1224492.3799999999</v>
      </c>
      <c r="F36" s="1970">
        <f>+C36+D36+E36</f>
        <v>8467166.2699999996</v>
      </c>
    </row>
    <row r="37" spans="1:6" ht="15" x14ac:dyDescent="0.2">
      <c r="A37" s="6544"/>
      <c r="B37" s="2039" t="s">
        <v>7</v>
      </c>
      <c r="C37" s="3853">
        <v>1228659</v>
      </c>
      <c r="D37" s="3854">
        <v>706111</v>
      </c>
      <c r="E37" s="3855">
        <v>250000</v>
      </c>
      <c r="F37" s="1973">
        <f>+C37+D37+E37</f>
        <v>2184770</v>
      </c>
    </row>
    <row r="38" spans="1:6" ht="15" x14ac:dyDescent="0.2">
      <c r="A38" s="6545" t="s">
        <v>410</v>
      </c>
      <c r="B38" s="3808" t="s">
        <v>160</v>
      </c>
      <c r="C38" s="3856">
        <f>+C39+C40+C41+C42</f>
        <v>5410324.1299999999</v>
      </c>
      <c r="D38" s="3857">
        <f>+D39+D40+D41+D42</f>
        <v>1898306.61</v>
      </c>
      <c r="E38" s="3858">
        <f>+E42+E41+E40+E39</f>
        <v>268388.11</v>
      </c>
      <c r="F38" s="2868">
        <f>+F42+F41+F40+F39</f>
        <v>7577018.8499999996</v>
      </c>
    </row>
    <row r="39" spans="1:6" ht="15" x14ac:dyDescent="0.2">
      <c r="A39" s="6546"/>
      <c r="B39" s="2039" t="s">
        <v>9</v>
      </c>
      <c r="C39" s="3850"/>
      <c r="D39" s="3851">
        <v>1818306.61</v>
      </c>
      <c r="E39" s="3852">
        <v>124751.75</v>
      </c>
      <c r="F39" s="1970">
        <f>+C39+D39+E39</f>
        <v>1943058.36</v>
      </c>
    </row>
    <row r="40" spans="1:6" ht="15" x14ac:dyDescent="0.2">
      <c r="A40" s="6546"/>
      <c r="B40" s="2039" t="s">
        <v>74</v>
      </c>
      <c r="C40" s="3850">
        <v>1328028.1299999999</v>
      </c>
      <c r="D40" s="3851">
        <v>40000</v>
      </c>
      <c r="E40" s="3852"/>
      <c r="F40" s="1970">
        <f>+C40+D40+E40</f>
        <v>1368028.13</v>
      </c>
    </row>
    <row r="41" spans="1:6" ht="15" x14ac:dyDescent="0.2">
      <c r="A41" s="6546"/>
      <c r="B41" s="2039" t="s">
        <v>6</v>
      </c>
      <c r="C41" s="3850">
        <v>1345296</v>
      </c>
      <c r="D41" s="3851">
        <v>40000</v>
      </c>
      <c r="E41" s="3852"/>
      <c r="F41" s="1970">
        <f>+C41+D41+E41</f>
        <v>1385296</v>
      </c>
    </row>
    <row r="42" spans="1:6" ht="15" x14ac:dyDescent="0.2">
      <c r="A42" s="6547"/>
      <c r="B42" s="2040" t="s">
        <v>693</v>
      </c>
      <c r="C42" s="3853">
        <v>2737000</v>
      </c>
      <c r="D42" s="3854"/>
      <c r="E42" s="3855">
        <v>143636.35999999999</v>
      </c>
      <c r="F42" s="1973">
        <f>+C42+D42+E42</f>
        <v>2880636.36</v>
      </c>
    </row>
    <row r="43" spans="1:6" ht="15" x14ac:dyDescent="0.2">
      <c r="A43" s="6548" t="s">
        <v>162</v>
      </c>
      <c r="B43" s="3805" t="s">
        <v>160</v>
      </c>
      <c r="C43" s="3859">
        <f>+C44+C45+C46+C47</f>
        <v>130801864.45999999</v>
      </c>
      <c r="D43" s="3860">
        <f>+D44+D45+D46+D47</f>
        <v>6107504.1099999994</v>
      </c>
      <c r="E43" s="3861">
        <f>+E47+E46+E45+E44</f>
        <v>21483205.110000003</v>
      </c>
      <c r="F43" s="2874">
        <f>+F47+F46+F45+F44</f>
        <v>158392573.67999998</v>
      </c>
    </row>
    <row r="44" spans="1:6" ht="15" x14ac:dyDescent="0.2">
      <c r="A44" s="6549"/>
      <c r="B44" s="2039" t="s">
        <v>5</v>
      </c>
      <c r="C44" s="3850">
        <v>93656180.349999994</v>
      </c>
      <c r="D44" s="3851">
        <v>2512654.63</v>
      </c>
      <c r="E44" s="3852">
        <v>3712352.35</v>
      </c>
      <c r="F44" s="1970">
        <f>+C44+D44+E44</f>
        <v>99881187.329999983</v>
      </c>
    </row>
    <row r="45" spans="1:6" ht="15" x14ac:dyDescent="0.2">
      <c r="A45" s="6549"/>
      <c r="B45" s="2039" t="s">
        <v>11</v>
      </c>
      <c r="C45" s="3850">
        <v>24529190.199999999</v>
      </c>
      <c r="D45" s="3851">
        <v>2021122</v>
      </c>
      <c r="E45" s="3852">
        <v>2477984.11</v>
      </c>
      <c r="F45" s="1970">
        <f>+C45+D45+E45</f>
        <v>29028296.309999999</v>
      </c>
    </row>
    <row r="46" spans="1:6" ht="15" x14ac:dyDescent="0.2">
      <c r="A46" s="6549"/>
      <c r="B46" s="2039" t="s">
        <v>6</v>
      </c>
      <c r="C46" s="3850">
        <v>12176493.91</v>
      </c>
      <c r="D46" s="3851">
        <v>1573727.48</v>
      </c>
      <c r="E46" s="3852">
        <v>4539057.84</v>
      </c>
      <c r="F46" s="1970">
        <f>+C46+D46+E46</f>
        <v>18289279.23</v>
      </c>
    </row>
    <row r="47" spans="1:6" ht="15" x14ac:dyDescent="0.2">
      <c r="A47" s="6550"/>
      <c r="B47" s="2040" t="s">
        <v>693</v>
      </c>
      <c r="C47" s="3853">
        <v>440000</v>
      </c>
      <c r="D47" s="3854"/>
      <c r="E47" s="3855">
        <v>10753810.810000001</v>
      </c>
      <c r="F47" s="1973">
        <f>+C47+D47+E47</f>
        <v>11193810.810000001</v>
      </c>
    </row>
    <row r="48" spans="1:6" ht="15" x14ac:dyDescent="0.2">
      <c r="A48" s="6347" t="s">
        <v>411</v>
      </c>
      <c r="B48" s="3809" t="s">
        <v>160</v>
      </c>
      <c r="C48" s="3862">
        <f>C49+C50+C51+C52</f>
        <v>1924698</v>
      </c>
      <c r="D48" s="3862">
        <f t="shared" ref="D48:E48" si="0">D49+D50+D51+D52</f>
        <v>864561</v>
      </c>
      <c r="E48" s="3862">
        <f t="shared" si="0"/>
        <v>0</v>
      </c>
      <c r="F48" s="2877">
        <f>SUM(C48:E48)</f>
        <v>2789259</v>
      </c>
    </row>
    <row r="49" spans="1:6" ht="15" x14ac:dyDescent="0.2">
      <c r="A49" s="6348"/>
      <c r="B49" s="2039" t="s">
        <v>5</v>
      </c>
      <c r="C49" s="3850"/>
      <c r="D49" s="3850">
        <v>80000</v>
      </c>
      <c r="E49" s="3850"/>
      <c r="F49" s="1970">
        <f t="shared" ref="F49:F50" si="1">+C49+D49+E49</f>
        <v>80000</v>
      </c>
    </row>
    <row r="50" spans="1:6" ht="15" x14ac:dyDescent="0.2">
      <c r="A50" s="6348"/>
      <c r="B50" s="2039" t="s">
        <v>11</v>
      </c>
      <c r="C50" s="3850">
        <v>1714698</v>
      </c>
      <c r="D50" s="3850"/>
      <c r="E50" s="3850"/>
      <c r="F50" s="1970">
        <f t="shared" si="1"/>
        <v>1714698</v>
      </c>
    </row>
    <row r="51" spans="1:6" ht="15" x14ac:dyDescent="0.2">
      <c r="A51" s="6348"/>
      <c r="B51" s="2039" t="s">
        <v>6</v>
      </c>
      <c r="C51" s="3850">
        <v>210000</v>
      </c>
      <c r="D51" s="3851">
        <v>784561</v>
      </c>
      <c r="E51" s="3863"/>
      <c r="F51" s="1970">
        <f>+C51+D51+E51</f>
        <v>994561</v>
      </c>
    </row>
    <row r="52" spans="1:6" ht="15" x14ac:dyDescent="0.2">
      <c r="A52" s="6349"/>
      <c r="B52" s="2040" t="s">
        <v>693</v>
      </c>
      <c r="C52" s="3853"/>
      <c r="D52" s="3854"/>
      <c r="E52" s="3864"/>
      <c r="F52" s="1973"/>
    </row>
    <row r="53" spans="1:6" ht="15" x14ac:dyDescent="0.2">
      <c r="A53" s="5661" t="s">
        <v>163</v>
      </c>
      <c r="B53" s="3803" t="s">
        <v>160</v>
      </c>
      <c r="C53" s="3865">
        <f>+C56+C55+C54+C57</f>
        <v>22218023.149999999</v>
      </c>
      <c r="D53" s="3866">
        <f>+D56+D55+D54+D57</f>
        <v>3899169.4299999997</v>
      </c>
      <c r="E53" s="3867">
        <f>+E56+E55+E54+E57</f>
        <v>24853748.830000002</v>
      </c>
      <c r="F53" s="2871">
        <f>SUM(C53:E53)</f>
        <v>50970941.409999996</v>
      </c>
    </row>
    <row r="54" spans="1:6" ht="15" x14ac:dyDescent="0.2">
      <c r="A54" s="5662"/>
      <c r="B54" s="2039" t="s">
        <v>11</v>
      </c>
      <c r="C54" s="3850">
        <v>10993677.58</v>
      </c>
      <c r="D54" s="3851">
        <v>2090787.43</v>
      </c>
      <c r="E54" s="3852">
        <v>494655.17</v>
      </c>
      <c r="F54" s="1970">
        <f>+C54+D54+E54</f>
        <v>13579120.18</v>
      </c>
    </row>
    <row r="55" spans="1:6" ht="15" x14ac:dyDescent="0.2">
      <c r="A55" s="5662"/>
      <c r="B55" s="2039" t="s">
        <v>6</v>
      </c>
      <c r="C55" s="3850">
        <v>10110345.57</v>
      </c>
      <c r="D55" s="3851">
        <v>895821</v>
      </c>
      <c r="E55" s="3852">
        <v>16564083.58</v>
      </c>
      <c r="F55" s="1970">
        <f>+C55+D55+E55</f>
        <v>27570250.149999999</v>
      </c>
    </row>
    <row r="56" spans="1:6" ht="15" x14ac:dyDescent="0.2">
      <c r="A56" s="5662"/>
      <c r="B56" s="2039" t="s">
        <v>7</v>
      </c>
      <c r="C56" s="3850"/>
      <c r="D56" s="3851">
        <v>912561</v>
      </c>
      <c r="E56" s="3852">
        <v>3756317.9</v>
      </c>
      <c r="F56" s="1970">
        <f>+C56+D56+E56</f>
        <v>4668878.9000000004</v>
      </c>
    </row>
    <row r="57" spans="1:6" ht="15" x14ac:dyDescent="0.2">
      <c r="A57" s="5663"/>
      <c r="B57" s="2040" t="s">
        <v>693</v>
      </c>
      <c r="C57" s="3853">
        <v>1114000</v>
      </c>
      <c r="D57" s="3854"/>
      <c r="E57" s="3855">
        <v>4038692.18</v>
      </c>
      <c r="F57" s="1973">
        <f>+C57+D57+E57</f>
        <v>5152692.18</v>
      </c>
    </row>
    <row r="58" spans="1:6" ht="15" x14ac:dyDescent="0.2">
      <c r="A58" s="2880" t="s">
        <v>688</v>
      </c>
      <c r="B58" s="3846" t="s">
        <v>160</v>
      </c>
      <c r="C58" s="3880">
        <v>1366806</v>
      </c>
      <c r="D58" s="3881"/>
      <c r="E58" s="3880">
        <v>18343386.16</v>
      </c>
      <c r="F58" s="3868">
        <f>+C58+D58+E58</f>
        <v>19710192.16</v>
      </c>
    </row>
    <row r="59" spans="1:6" ht="20.100000000000001" customHeight="1" x14ac:dyDescent="0.2">
      <c r="A59" s="6345" t="s">
        <v>586</v>
      </c>
      <c r="B59" s="6346"/>
      <c r="C59" s="1829">
        <f>SUM(C34,C38,C43,C48,C53,C58)</f>
        <v>179510848.91999999</v>
      </c>
      <c r="D59" s="1829">
        <f t="shared" ref="D59:F59" si="2">SUM(D34,D38,D43,D48,D53,D58)</f>
        <v>16369562.879999999</v>
      </c>
      <c r="E59" s="1829">
        <f t="shared" si="2"/>
        <v>70559754.189999998</v>
      </c>
      <c r="F59" s="1829">
        <f t="shared" si="2"/>
        <v>266440165.98999998</v>
      </c>
    </row>
    <row r="60" spans="1:6" ht="15" customHeight="1" x14ac:dyDescent="0.2">
      <c r="A60" s="448" t="s">
        <v>1323</v>
      </c>
      <c r="B60" s="23"/>
      <c r="C60" s="23"/>
      <c r="D60" s="23"/>
      <c r="E60" s="23"/>
      <c r="F60" s="23"/>
    </row>
    <row r="61" spans="1:6" ht="15" customHeight="1" x14ac:dyDescent="0.2">
      <c r="A61" s="2894"/>
      <c r="B61" s="2893"/>
      <c r="C61" s="2893"/>
      <c r="D61" s="2893"/>
      <c r="E61" s="2893"/>
      <c r="F61" s="2893"/>
    </row>
    <row r="62" spans="1:6" ht="15.75" customHeight="1" x14ac:dyDescent="0.2">
      <c r="A62" s="1968"/>
      <c r="B62" s="1968"/>
      <c r="C62" s="1968"/>
      <c r="D62" s="1968"/>
      <c r="E62" s="1968"/>
      <c r="F62" s="1968"/>
    </row>
    <row r="63" spans="1:6" ht="15.75" customHeight="1" x14ac:dyDescent="0.2">
      <c r="A63" s="1476" t="s">
        <v>51</v>
      </c>
      <c r="B63" s="1928" t="s">
        <v>702</v>
      </c>
      <c r="C63" s="1476" t="s">
        <v>812</v>
      </c>
      <c r="D63" s="1476" t="s">
        <v>610</v>
      </c>
      <c r="E63" s="1476" t="s">
        <v>728</v>
      </c>
      <c r="F63" s="3882" t="s">
        <v>823</v>
      </c>
    </row>
    <row r="64" spans="1:6" ht="15.75" customHeight="1" x14ac:dyDescent="0.2">
      <c r="A64" s="6542" t="s">
        <v>161</v>
      </c>
      <c r="B64" s="2844" t="s">
        <v>160</v>
      </c>
      <c r="C64" s="2865">
        <f>C67+C66+C65</f>
        <v>6154939.3399999999</v>
      </c>
      <c r="D64" s="2866">
        <f>D67+D66+D65</f>
        <v>11929784.07</v>
      </c>
      <c r="E64" s="2867">
        <f>E67+E66+E65</f>
        <v>6966310.6500000013</v>
      </c>
      <c r="F64" s="2865">
        <f>F67+F66+F65</f>
        <v>25051034.060000002</v>
      </c>
    </row>
    <row r="65" spans="1:6" ht="15.75" customHeight="1" x14ac:dyDescent="0.2">
      <c r="A65" s="6543"/>
      <c r="B65" s="2039" t="s">
        <v>5</v>
      </c>
      <c r="C65" s="1970">
        <v>4105171</v>
      </c>
      <c r="D65" s="1971">
        <v>4459670.1899999995</v>
      </c>
      <c r="E65" s="1972">
        <v>2923239.3800000008</v>
      </c>
      <c r="F65" s="1970">
        <f>+C65+D65+E65</f>
        <v>11488080.57</v>
      </c>
    </row>
    <row r="66" spans="1:6" ht="15.75" customHeight="1" x14ac:dyDescent="0.2">
      <c r="A66" s="6543"/>
      <c r="B66" s="2039" t="s">
        <v>6</v>
      </c>
      <c r="C66" s="1970">
        <v>2031768.34</v>
      </c>
      <c r="D66" s="1971">
        <v>4530756</v>
      </c>
      <c r="E66" s="1972">
        <v>4025158.1500000004</v>
      </c>
      <c r="F66" s="1970">
        <f>+C66+D66+E66</f>
        <v>10587682.49</v>
      </c>
    </row>
    <row r="67" spans="1:6" ht="15.75" customHeight="1" x14ac:dyDescent="0.2">
      <c r="A67" s="6544"/>
      <c r="B67" s="2039" t="s">
        <v>7</v>
      </c>
      <c r="C67" s="1973">
        <v>18000</v>
      </c>
      <c r="D67" s="1974">
        <v>2939357.88</v>
      </c>
      <c r="E67" s="1975">
        <v>17913.12</v>
      </c>
      <c r="F67" s="1973">
        <f>+C67+D67+E67</f>
        <v>2975271</v>
      </c>
    </row>
    <row r="68" spans="1:6" ht="15.75" customHeight="1" x14ac:dyDescent="0.2">
      <c r="A68" s="6545" t="s">
        <v>410</v>
      </c>
      <c r="B68" s="2846" t="s">
        <v>160</v>
      </c>
      <c r="C68" s="2868">
        <f>+C69+C70+C71+C72</f>
        <v>1422593</v>
      </c>
      <c r="D68" s="2869">
        <f>+D69+D70+D71+D72</f>
        <v>4355759</v>
      </c>
      <c r="E68" s="2870">
        <f>+E72+E71+E70+E69</f>
        <v>3247058.8800000004</v>
      </c>
      <c r="F68" s="2868">
        <f>+F72+F71+F70+F69</f>
        <v>9025410.879999999</v>
      </c>
    </row>
    <row r="69" spans="1:6" ht="15.75" customHeight="1" x14ac:dyDescent="0.2">
      <c r="A69" s="6546"/>
      <c r="B69" s="2039" t="s">
        <v>9</v>
      </c>
      <c r="C69" s="1970"/>
      <c r="D69" s="1971">
        <v>629637</v>
      </c>
      <c r="E69" s="1972"/>
      <c r="F69" s="1970">
        <f>+C69+D69+E69</f>
        <v>629637</v>
      </c>
    </row>
    <row r="70" spans="1:6" ht="15.75" customHeight="1" x14ac:dyDescent="0.2">
      <c r="A70" s="6546"/>
      <c r="B70" s="2039" t="s">
        <v>74</v>
      </c>
      <c r="C70" s="1970">
        <v>435100</v>
      </c>
      <c r="D70" s="1971">
        <v>2671211</v>
      </c>
      <c r="E70" s="1972">
        <v>2405068.6800000002</v>
      </c>
      <c r="F70" s="1970">
        <f>+C70+D70+E70</f>
        <v>5511379.6799999997</v>
      </c>
    </row>
    <row r="71" spans="1:6" ht="15.75" customHeight="1" x14ac:dyDescent="0.2">
      <c r="A71" s="6546"/>
      <c r="B71" s="2039" t="s">
        <v>6</v>
      </c>
      <c r="C71" s="1970">
        <v>115493</v>
      </c>
      <c r="D71" s="1971">
        <v>1054911</v>
      </c>
      <c r="E71" s="1972">
        <v>841990.20000000007</v>
      </c>
      <c r="F71" s="1970">
        <f>+C71+D71+E71</f>
        <v>2012394.2000000002</v>
      </c>
    </row>
    <row r="72" spans="1:6" ht="15.75" customHeight="1" x14ac:dyDescent="0.2">
      <c r="A72" s="6547"/>
      <c r="B72" s="2040" t="s">
        <v>693</v>
      </c>
      <c r="C72" s="1973">
        <v>872000</v>
      </c>
      <c r="D72" s="1974"/>
      <c r="E72" s="1975"/>
      <c r="F72" s="1973">
        <f>+C72+D72+E72</f>
        <v>872000</v>
      </c>
    </row>
    <row r="73" spans="1:6" ht="15.75" customHeight="1" x14ac:dyDescent="0.2">
      <c r="A73" s="6548" t="s">
        <v>162</v>
      </c>
      <c r="B73" s="2845" t="s">
        <v>160</v>
      </c>
      <c r="C73" s="2874">
        <f>+C74+C75+C76+C77</f>
        <v>58222623.220000006</v>
      </c>
      <c r="D73" s="2875">
        <f>+D74+D75+D76+D77</f>
        <v>18607209.43</v>
      </c>
      <c r="E73" s="2876">
        <f>+E77+E76+E75+E74</f>
        <v>34822147.730000004</v>
      </c>
      <c r="F73" s="2874">
        <f>+F77+F76+F75+F74</f>
        <v>111651980.38000001</v>
      </c>
    </row>
    <row r="74" spans="1:6" ht="15.75" customHeight="1" x14ac:dyDescent="0.2">
      <c r="A74" s="6549"/>
      <c r="B74" s="2039" t="s">
        <v>5</v>
      </c>
      <c r="C74" s="1970">
        <v>26820686.170000002</v>
      </c>
      <c r="D74" s="1971">
        <v>4981422.5999999996</v>
      </c>
      <c r="E74" s="1972">
        <v>6936098.370000001</v>
      </c>
      <c r="F74" s="1970">
        <f>+C74+D74+E74</f>
        <v>38738207.140000001</v>
      </c>
    </row>
    <row r="75" spans="1:6" ht="15.75" customHeight="1" x14ac:dyDescent="0.2">
      <c r="A75" s="6549"/>
      <c r="B75" s="2039" t="s">
        <v>11</v>
      </c>
      <c r="C75" s="1970">
        <v>21029427.449999999</v>
      </c>
      <c r="D75" s="1971">
        <v>6409992</v>
      </c>
      <c r="E75" s="1972">
        <v>2666748.02</v>
      </c>
      <c r="F75" s="1970">
        <f>+C75+D75+E75</f>
        <v>30106167.469999999</v>
      </c>
    </row>
    <row r="76" spans="1:6" ht="15.75" customHeight="1" x14ac:dyDescent="0.2">
      <c r="A76" s="6549"/>
      <c r="B76" s="2039" t="s">
        <v>6</v>
      </c>
      <c r="C76" s="1970">
        <v>9995009.5999999996</v>
      </c>
      <c r="D76" s="1971">
        <v>7215794.8300000001</v>
      </c>
      <c r="E76" s="1972">
        <v>19572878.41</v>
      </c>
      <c r="F76" s="1970">
        <f>+C76+D76+E76</f>
        <v>36783682.840000004</v>
      </c>
    </row>
    <row r="77" spans="1:6" ht="15.75" customHeight="1" x14ac:dyDescent="0.2">
      <c r="A77" s="6550"/>
      <c r="B77" s="2040" t="s">
        <v>693</v>
      </c>
      <c r="C77" s="1973">
        <v>377500</v>
      </c>
      <c r="D77" s="1974"/>
      <c r="E77" s="1975">
        <v>5646422.9299999997</v>
      </c>
      <c r="F77" s="1973">
        <f>+C77+D77+E77</f>
        <v>6023922.9299999997</v>
      </c>
    </row>
    <row r="78" spans="1:6" ht="15.75" customHeight="1" x14ac:dyDescent="0.2">
      <c r="A78" s="6347" t="s">
        <v>411</v>
      </c>
      <c r="B78" s="2847" t="s">
        <v>160</v>
      </c>
      <c r="C78" s="2877">
        <f>+C79+C80</f>
        <v>1134919.05</v>
      </c>
      <c r="D78" s="2878"/>
      <c r="E78" s="2879"/>
      <c r="F78" s="2877">
        <f>+F79+F80</f>
        <v>1134919.05</v>
      </c>
    </row>
    <row r="79" spans="1:6" ht="15.75" customHeight="1" x14ac:dyDescent="0.2">
      <c r="A79" s="6348"/>
      <c r="B79" s="2039" t="s">
        <v>11</v>
      </c>
      <c r="C79" s="1970">
        <v>923719.05</v>
      </c>
      <c r="D79" s="1971"/>
      <c r="E79" s="1976"/>
      <c r="F79" s="1970">
        <f>+C79+D79+E79</f>
        <v>923719.05</v>
      </c>
    </row>
    <row r="80" spans="1:6" ht="15.75" customHeight="1" x14ac:dyDescent="0.2">
      <c r="A80" s="6349"/>
      <c r="B80" s="2040" t="s">
        <v>693</v>
      </c>
      <c r="C80" s="1973">
        <v>211200</v>
      </c>
      <c r="D80" s="1974"/>
      <c r="E80" s="1977"/>
      <c r="F80" s="1973">
        <f>+C80+D80+E80</f>
        <v>211200</v>
      </c>
    </row>
    <row r="81" spans="1:6" ht="15.75" customHeight="1" x14ac:dyDescent="0.2">
      <c r="A81" s="5661" t="s">
        <v>163</v>
      </c>
      <c r="B81" s="2843" t="s">
        <v>160</v>
      </c>
      <c r="C81" s="2871">
        <f>+C84+C83+C82+C85</f>
        <v>23502690.960000001</v>
      </c>
      <c r="D81" s="2872">
        <f>+D84+D83+D82+D85</f>
        <v>14510991.82</v>
      </c>
      <c r="E81" s="2873">
        <f>+E84+E83+E82+E85</f>
        <v>26517036.219999999</v>
      </c>
      <c r="F81" s="2871">
        <f>+F84+F83+F82+F85</f>
        <v>64530719</v>
      </c>
    </row>
    <row r="82" spans="1:6" ht="15.75" customHeight="1" x14ac:dyDescent="0.2">
      <c r="A82" s="5662"/>
      <c r="B82" s="2039" t="s">
        <v>11</v>
      </c>
      <c r="C82" s="1970">
        <v>7142617.3099999996</v>
      </c>
      <c r="D82" s="1971">
        <v>3457437.8599999994</v>
      </c>
      <c r="E82" s="1972">
        <v>5502417.5999999996</v>
      </c>
      <c r="F82" s="1970">
        <f>+C82+D82+E82</f>
        <v>16102472.769999998</v>
      </c>
    </row>
    <row r="83" spans="1:6" ht="15.75" customHeight="1" x14ac:dyDescent="0.2">
      <c r="A83" s="5662"/>
      <c r="B83" s="2039" t="s">
        <v>6</v>
      </c>
      <c r="C83" s="1970">
        <v>9400073.6500000004</v>
      </c>
      <c r="D83" s="1971">
        <v>1594740.79</v>
      </c>
      <c r="E83" s="1972">
        <v>13034936.359999999</v>
      </c>
      <c r="F83" s="1970">
        <f>+C83+D83+E83</f>
        <v>24029750.800000001</v>
      </c>
    </row>
    <row r="84" spans="1:6" ht="15.75" customHeight="1" x14ac:dyDescent="0.2">
      <c r="A84" s="5662"/>
      <c r="B84" s="2039" t="s">
        <v>7</v>
      </c>
      <c r="C84" s="1970">
        <v>276000</v>
      </c>
      <c r="D84" s="1971">
        <v>512000</v>
      </c>
      <c r="E84" s="1972">
        <v>5105397.3000000007</v>
      </c>
      <c r="F84" s="1970">
        <f>+C84+D84+E84</f>
        <v>5893397.3000000007</v>
      </c>
    </row>
    <row r="85" spans="1:6" ht="15.75" customHeight="1" x14ac:dyDescent="0.2">
      <c r="A85" s="5663"/>
      <c r="B85" s="2040" t="s">
        <v>693</v>
      </c>
      <c r="C85" s="1973">
        <v>6684000</v>
      </c>
      <c r="D85" s="1974">
        <v>8946813.1699999999</v>
      </c>
      <c r="E85" s="1975">
        <v>2874284.9600000004</v>
      </c>
      <c r="F85" s="1973">
        <f>+C85+D85+E85</f>
        <v>18505098.129999999</v>
      </c>
    </row>
    <row r="86" spans="1:6" ht="15.75" customHeight="1" x14ac:dyDescent="0.2">
      <c r="A86" s="2880" t="s">
        <v>688</v>
      </c>
      <c r="B86" s="2881" t="s">
        <v>160</v>
      </c>
      <c r="C86" s="2882">
        <v>1730989.5</v>
      </c>
      <c r="D86" s="2883"/>
      <c r="E86" s="2882">
        <v>156900</v>
      </c>
      <c r="F86" s="2884">
        <f>+C86+D86+E86</f>
        <v>1887889.5</v>
      </c>
    </row>
    <row r="87" spans="1:6" ht="15.75" customHeight="1" x14ac:dyDescent="0.2">
      <c r="A87" s="6345" t="s">
        <v>586</v>
      </c>
      <c r="B87" s="6346"/>
      <c r="C87" s="1829">
        <f>+C81+C86+C73+C68+C64+C78</f>
        <v>92168755.070000008</v>
      </c>
      <c r="D87" s="1830">
        <f>+D81+D86+D73+D68+D64+D78</f>
        <v>49403744.32</v>
      </c>
      <c r="E87" s="1829">
        <f>+E81+E86+E73+E68+E64+E78</f>
        <v>71709453.480000004</v>
      </c>
      <c r="F87" s="1831">
        <f>+F81+F86+F73+F68+F64+F78</f>
        <v>213281952.87</v>
      </c>
    </row>
    <row r="88" spans="1:6" ht="15.75" customHeight="1" x14ac:dyDescent="0.2">
      <c r="A88" s="262"/>
      <c r="F88" s="262"/>
    </row>
    <row r="89" spans="1:6" ht="30" x14ac:dyDescent="0.2">
      <c r="A89" s="1476" t="s">
        <v>16</v>
      </c>
      <c r="B89" s="1476" t="s">
        <v>4</v>
      </c>
      <c r="C89" s="1476" t="s">
        <v>609</v>
      </c>
      <c r="D89" s="1476" t="s">
        <v>621</v>
      </c>
      <c r="E89" s="1478" t="s">
        <v>622</v>
      </c>
      <c r="F89" s="3882" t="s">
        <v>822</v>
      </c>
    </row>
    <row r="90" spans="1:6" ht="15.75" customHeight="1" x14ac:dyDescent="0.25">
      <c r="A90" s="6537" t="s">
        <v>3</v>
      </c>
      <c r="B90" s="1963" t="s">
        <v>12</v>
      </c>
      <c r="C90" s="1964">
        <f>C93+C92+C91</f>
        <v>27417803.18</v>
      </c>
      <c r="D90" s="1964">
        <f>D93+D92+D91</f>
        <v>21349620</v>
      </c>
      <c r="E90" s="1964">
        <f>E93+E92+E91</f>
        <v>5087018.1599999992</v>
      </c>
      <c r="F90" s="1964">
        <f>F93+F92+F91</f>
        <v>53854441.340000004</v>
      </c>
    </row>
    <row r="91" spans="1:6" ht="15.75" customHeight="1" x14ac:dyDescent="0.2">
      <c r="A91" s="6538"/>
      <c r="B91" s="1978" t="s">
        <v>5</v>
      </c>
      <c r="C91" s="1979">
        <v>19936463.18</v>
      </c>
      <c r="D91" s="1980">
        <v>9838573</v>
      </c>
      <c r="E91" s="1980">
        <v>3842229.919999999</v>
      </c>
      <c r="F91" s="1981">
        <f>+C91+D91+E91</f>
        <v>33617266.100000001</v>
      </c>
    </row>
    <row r="92" spans="1:6" ht="15.75" customHeight="1" x14ac:dyDescent="0.2">
      <c r="A92" s="6538"/>
      <c r="B92" s="1978" t="s">
        <v>6</v>
      </c>
      <c r="C92" s="1979">
        <v>6938340</v>
      </c>
      <c r="D92" s="1980">
        <v>6305976</v>
      </c>
      <c r="E92" s="1980">
        <v>1244788.24</v>
      </c>
      <c r="F92" s="1981">
        <f>+C92+D92+E92</f>
        <v>14489104.24</v>
      </c>
    </row>
    <row r="93" spans="1:6" ht="15.75" customHeight="1" x14ac:dyDescent="0.2">
      <c r="A93" s="6539"/>
      <c r="B93" s="1982" t="s">
        <v>7</v>
      </c>
      <c r="C93" s="1983">
        <v>543000</v>
      </c>
      <c r="D93" s="1984">
        <v>5205071</v>
      </c>
      <c r="E93" s="1984">
        <v>0</v>
      </c>
      <c r="F93" s="1985">
        <f>+C93+D93+E93</f>
        <v>5748071</v>
      </c>
    </row>
    <row r="94" spans="1:6" ht="15.75" customHeight="1" x14ac:dyDescent="0.25">
      <c r="A94" s="6537" t="s">
        <v>8</v>
      </c>
      <c r="B94" s="1963" t="s">
        <v>12</v>
      </c>
      <c r="C94" s="1964">
        <f>+C98+C97+C96+C95</f>
        <v>14643020.629999999</v>
      </c>
      <c r="D94" s="1964">
        <f>+D98+D97+D96+D95</f>
        <v>11228688</v>
      </c>
      <c r="E94" s="1964">
        <f>+E98+E97+E96+E95</f>
        <v>665614.40999999992</v>
      </c>
      <c r="F94" s="1964">
        <f>+F98+F97+F96+F95</f>
        <v>26537323.039999999</v>
      </c>
    </row>
    <row r="95" spans="1:6" ht="15.75" customHeight="1" x14ac:dyDescent="0.2">
      <c r="A95" s="6538"/>
      <c r="B95" s="1978" t="s">
        <v>9</v>
      </c>
      <c r="C95" s="1979">
        <v>904563.19999999995</v>
      </c>
      <c r="D95" s="1980">
        <v>1583686</v>
      </c>
      <c r="E95" s="1980">
        <v>0</v>
      </c>
      <c r="F95" s="1981">
        <f>+C95+D95+E95</f>
        <v>2488249.2000000002</v>
      </c>
    </row>
    <row r="96" spans="1:6" ht="15.75" customHeight="1" x14ac:dyDescent="0.2">
      <c r="A96" s="6538"/>
      <c r="B96" s="1978" t="s">
        <v>74</v>
      </c>
      <c r="C96" s="1979">
        <v>10619229.43</v>
      </c>
      <c r="D96" s="1980">
        <v>6438796</v>
      </c>
      <c r="E96" s="1980">
        <v>665614.40999999992</v>
      </c>
      <c r="F96" s="1981">
        <f>+C96+D96+E96</f>
        <v>17723639.84</v>
      </c>
    </row>
    <row r="97" spans="1:6" ht="15.75" customHeight="1" x14ac:dyDescent="0.2">
      <c r="A97" s="6538"/>
      <c r="B97" s="1978" t="s">
        <v>6</v>
      </c>
      <c r="C97" s="1979">
        <v>2319228</v>
      </c>
      <c r="D97" s="1980">
        <v>3206206</v>
      </c>
      <c r="E97" s="1980">
        <v>0</v>
      </c>
      <c r="F97" s="1981">
        <f>+C97+D97+E97</f>
        <v>5525434</v>
      </c>
    </row>
    <row r="98" spans="1:6" ht="15.75" customHeight="1" x14ac:dyDescent="0.2">
      <c r="A98" s="6539"/>
      <c r="B98" s="1982" t="s">
        <v>624</v>
      </c>
      <c r="C98" s="1983">
        <v>800000</v>
      </c>
      <c r="D98" s="1984"/>
      <c r="E98" s="1984">
        <v>0</v>
      </c>
      <c r="F98" s="1985">
        <f>+C98+D98+E98</f>
        <v>800000</v>
      </c>
    </row>
    <row r="99" spans="1:6" ht="15.75" customHeight="1" x14ac:dyDescent="0.25">
      <c r="A99" s="6537" t="s">
        <v>75</v>
      </c>
      <c r="B99" s="1963" t="s">
        <v>12</v>
      </c>
      <c r="C99" s="1964">
        <f>+C103+C102+C101+C100</f>
        <v>112569799.26000001</v>
      </c>
      <c r="D99" s="1964">
        <f>+D103+D102+D101+D100</f>
        <v>20716545.740000002</v>
      </c>
      <c r="E99" s="1964">
        <f>+E103+E102+E101+E100</f>
        <v>157571363.01999995</v>
      </c>
      <c r="F99" s="1964">
        <f>+F103+F102+F101+F100</f>
        <v>290857708.01999998</v>
      </c>
    </row>
    <row r="100" spans="1:6" ht="15.75" customHeight="1" x14ac:dyDescent="0.2">
      <c r="A100" s="6538"/>
      <c r="B100" s="1978" t="s">
        <v>5</v>
      </c>
      <c r="C100" s="1979">
        <v>66476683.100000001</v>
      </c>
      <c r="D100" s="1980">
        <v>8632768</v>
      </c>
      <c r="E100" s="1980">
        <v>5632841.29</v>
      </c>
      <c r="F100" s="1981">
        <f>+C100+D100+E100</f>
        <v>80742292.390000001</v>
      </c>
    </row>
    <row r="101" spans="1:6" ht="15.75" customHeight="1" x14ac:dyDescent="0.2">
      <c r="A101" s="6538"/>
      <c r="B101" s="1978" t="s">
        <v>11</v>
      </c>
      <c r="C101" s="1979">
        <v>34326278.490000002</v>
      </c>
      <c r="D101" s="1980">
        <v>6370425</v>
      </c>
      <c r="E101" s="1980">
        <v>1868755.57</v>
      </c>
      <c r="F101" s="1981">
        <f>+C101+D101+E101</f>
        <v>42565459.060000002</v>
      </c>
    </row>
    <row r="102" spans="1:6" ht="15.75" customHeight="1" x14ac:dyDescent="0.2">
      <c r="A102" s="6538"/>
      <c r="B102" s="1978" t="s">
        <v>6</v>
      </c>
      <c r="C102" s="1979">
        <v>11257727.67</v>
      </c>
      <c r="D102" s="1980">
        <v>5060514</v>
      </c>
      <c r="E102" s="1980">
        <v>140523475.68999997</v>
      </c>
      <c r="F102" s="1981">
        <f>+C102+D102+E102</f>
        <v>156841717.35999995</v>
      </c>
    </row>
    <row r="103" spans="1:6" ht="15.75" customHeight="1" x14ac:dyDescent="0.2">
      <c r="A103" s="6539"/>
      <c r="B103" s="1982" t="s">
        <v>624</v>
      </c>
      <c r="C103" s="1983">
        <v>509110</v>
      </c>
      <c r="D103" s="1984">
        <v>652838.74</v>
      </c>
      <c r="E103" s="1984">
        <v>9546290.4699999988</v>
      </c>
      <c r="F103" s="1985">
        <f>+C103+D103+E103</f>
        <v>10708239.209999999</v>
      </c>
    </row>
    <row r="104" spans="1:6" ht="15.75" customHeight="1" x14ac:dyDescent="0.25">
      <c r="A104" s="6537" t="s">
        <v>326</v>
      </c>
      <c r="B104" s="1963" t="s">
        <v>12</v>
      </c>
      <c r="C104" s="1964">
        <f>+C105+C106+C107</f>
        <v>308290</v>
      </c>
      <c r="D104" s="1964">
        <f>+D105+D106+D107</f>
        <v>8692250</v>
      </c>
      <c r="E104" s="1964">
        <f>+E105+E106+E107</f>
        <v>300142.86</v>
      </c>
      <c r="F104" s="1964">
        <f>+F105+F106+F107</f>
        <v>9300682.8599999994</v>
      </c>
    </row>
    <row r="105" spans="1:6" ht="15.75" customHeight="1" x14ac:dyDescent="0.2">
      <c r="A105" s="6538"/>
      <c r="B105" s="1978" t="s">
        <v>5</v>
      </c>
      <c r="C105" s="1979">
        <v>0</v>
      </c>
      <c r="D105" s="1980">
        <v>3828750</v>
      </c>
      <c r="E105" s="1986">
        <v>0</v>
      </c>
      <c r="F105" s="1981">
        <f>+C105+D105+E105</f>
        <v>3828750</v>
      </c>
    </row>
    <row r="106" spans="1:6" ht="15.75" customHeight="1" x14ac:dyDescent="0.2">
      <c r="A106" s="6538"/>
      <c r="B106" s="1978" t="s">
        <v>11</v>
      </c>
      <c r="C106" s="1979">
        <v>308290</v>
      </c>
      <c r="D106" s="1980">
        <v>2928750</v>
      </c>
      <c r="E106" s="1986">
        <v>300142.86</v>
      </c>
      <c r="F106" s="1981">
        <f>+C106+D106+E106</f>
        <v>3537182.86</v>
      </c>
    </row>
    <row r="107" spans="1:6" ht="15.75" customHeight="1" x14ac:dyDescent="0.2">
      <c r="A107" s="6539"/>
      <c r="B107" s="1982" t="s">
        <v>6</v>
      </c>
      <c r="C107" s="1983">
        <v>0</v>
      </c>
      <c r="D107" s="1984">
        <v>1934750</v>
      </c>
      <c r="E107" s="1987">
        <v>0</v>
      </c>
      <c r="F107" s="1985">
        <f>+C107+D107+E107</f>
        <v>1934750</v>
      </c>
    </row>
    <row r="108" spans="1:6" ht="15.75" customHeight="1" x14ac:dyDescent="0.25">
      <c r="A108" s="6537" t="s">
        <v>10</v>
      </c>
      <c r="B108" s="1963" t="s">
        <v>12</v>
      </c>
      <c r="C108" s="1964">
        <f>+C111+C110+C109+C112</f>
        <v>30624889.840000004</v>
      </c>
      <c r="D108" s="1964">
        <f>+D111+D110+D109+D112</f>
        <v>15138745.460000001</v>
      </c>
      <c r="E108" s="1964">
        <f>+E111+E110+E109+E112</f>
        <v>54244373.470000006</v>
      </c>
      <c r="F108" s="1964">
        <f>+F111+F110+F109+F112</f>
        <v>100008008.77</v>
      </c>
    </row>
    <row r="109" spans="1:6" ht="15.75" customHeight="1" x14ac:dyDescent="0.2">
      <c r="A109" s="6538"/>
      <c r="B109" s="1978" t="s">
        <v>11</v>
      </c>
      <c r="C109" s="1979">
        <v>13835065.760000002</v>
      </c>
      <c r="D109" s="1980">
        <v>7153005.54</v>
      </c>
      <c r="E109" s="1980">
        <v>23899801.34</v>
      </c>
      <c r="F109" s="1981">
        <f>+C109+D109+E109</f>
        <v>44887872.640000001</v>
      </c>
    </row>
    <row r="110" spans="1:6" ht="15.75" customHeight="1" x14ac:dyDescent="0.2">
      <c r="A110" s="6538"/>
      <c r="B110" s="1978" t="s">
        <v>6</v>
      </c>
      <c r="C110" s="1979">
        <v>10720507.57</v>
      </c>
      <c r="D110" s="1980">
        <v>5494840.9199999999</v>
      </c>
      <c r="E110" s="1980">
        <v>19686251.84</v>
      </c>
      <c r="F110" s="1981">
        <f>+C110+D110+E110</f>
        <v>35901600.329999998</v>
      </c>
    </row>
    <row r="111" spans="1:6" ht="15.75" customHeight="1" x14ac:dyDescent="0.2">
      <c r="A111" s="6538"/>
      <c r="B111" s="1978" t="s">
        <v>7</v>
      </c>
      <c r="C111" s="1979">
        <v>5926316.5099999998</v>
      </c>
      <c r="D111" s="1980">
        <v>2490899</v>
      </c>
      <c r="E111" s="1980">
        <v>8251736.1600000001</v>
      </c>
      <c r="F111" s="1981">
        <f>+C111+D111+E111</f>
        <v>16668951.67</v>
      </c>
    </row>
    <row r="112" spans="1:6" ht="15.75" customHeight="1" x14ac:dyDescent="0.2">
      <c r="A112" s="6539"/>
      <c r="B112" s="1982" t="s">
        <v>624</v>
      </c>
      <c r="C112" s="1983">
        <v>143000</v>
      </c>
      <c r="D112" s="1984"/>
      <c r="E112" s="1984">
        <v>2406584.13</v>
      </c>
      <c r="F112" s="1985">
        <f>+C112+D112+E112</f>
        <v>2549584.13</v>
      </c>
    </row>
    <row r="113" spans="1:6" ht="15.75" customHeight="1" x14ac:dyDescent="0.25">
      <c r="A113" s="1479" t="s">
        <v>623</v>
      </c>
      <c r="B113" s="1963" t="s">
        <v>12</v>
      </c>
      <c r="C113" s="1964">
        <v>1604012</v>
      </c>
      <c r="D113" s="1964">
        <v>2295278</v>
      </c>
      <c r="E113" s="1964">
        <v>0</v>
      </c>
      <c r="F113" s="1964">
        <f>+C113+D113+E113</f>
        <v>3899290</v>
      </c>
    </row>
    <row r="114" spans="1:6" ht="15.75" customHeight="1" x14ac:dyDescent="0.25">
      <c r="A114" s="6540" t="s">
        <v>76</v>
      </c>
      <c r="B114" s="6541"/>
      <c r="C114" s="1477">
        <f>+C108+C113+C99+C94+C90+C104</f>
        <v>187167814.91000003</v>
      </c>
      <c r="D114" s="1477">
        <f>+D108+D113+D99+D94+D90+D104</f>
        <v>79421127.200000003</v>
      </c>
      <c r="E114" s="1477">
        <f>+E108+E113+E99+E94+E90+E104</f>
        <v>217868511.91999996</v>
      </c>
      <c r="F114" s="1477">
        <f>+F108+F113+F99+F94+F90+F104</f>
        <v>484457454.02999997</v>
      </c>
    </row>
    <row r="115" spans="1:6" ht="15.75" customHeight="1" x14ac:dyDescent="0.2">
      <c r="A115" s="1968"/>
      <c r="B115" s="1968"/>
      <c r="C115" s="1968"/>
      <c r="D115" s="1968"/>
      <c r="E115" s="1968"/>
      <c r="F115" s="1968"/>
    </row>
    <row r="116" spans="1:6" ht="15.75" customHeight="1" x14ac:dyDescent="0.25">
      <c r="A116" s="1474" t="s">
        <v>16</v>
      </c>
      <c r="B116" s="1474" t="s">
        <v>4</v>
      </c>
      <c r="C116" s="1474" t="s">
        <v>609</v>
      </c>
      <c r="D116" s="1474" t="s">
        <v>610</v>
      </c>
      <c r="E116" s="1474" t="s">
        <v>617</v>
      </c>
      <c r="F116" s="3883" t="s">
        <v>821</v>
      </c>
    </row>
    <row r="117" spans="1:6" ht="15.75" customHeight="1" x14ac:dyDescent="0.25">
      <c r="A117" s="1550" t="s">
        <v>3</v>
      </c>
      <c r="B117" s="1965" t="s">
        <v>12</v>
      </c>
      <c r="C117" s="1966">
        <v>9872554.8300000001</v>
      </c>
      <c r="D117" s="1967">
        <v>8073775.9500000002</v>
      </c>
      <c r="E117" s="1966">
        <v>39329618.890000001</v>
      </c>
      <c r="F117" s="1967">
        <v>57275949.670000002</v>
      </c>
    </row>
    <row r="118" spans="1:6" ht="15.75" customHeight="1" x14ac:dyDescent="0.2">
      <c r="A118" s="1988"/>
      <c r="B118" s="1978" t="s">
        <v>7</v>
      </c>
      <c r="C118" s="1979">
        <v>202276</v>
      </c>
      <c r="D118" s="1980">
        <v>2170234</v>
      </c>
      <c r="E118" s="1979">
        <v>3002510.21</v>
      </c>
      <c r="F118" s="1980">
        <v>5375020.21</v>
      </c>
    </row>
    <row r="119" spans="1:6" ht="15.75" customHeight="1" x14ac:dyDescent="0.2">
      <c r="A119" s="1988"/>
      <c r="B119" s="1978" t="s">
        <v>5</v>
      </c>
      <c r="C119" s="1979">
        <v>8319909.8300000001</v>
      </c>
      <c r="D119" s="1980">
        <v>4023497.95</v>
      </c>
      <c r="E119" s="1979">
        <v>4318259.3600000003</v>
      </c>
      <c r="F119" s="1980">
        <v>16661667.140000001</v>
      </c>
    </row>
    <row r="120" spans="1:6" ht="15.75" customHeight="1" x14ac:dyDescent="0.2">
      <c r="A120" s="1989"/>
      <c r="B120" s="1982" t="s">
        <v>6</v>
      </c>
      <c r="C120" s="1983">
        <v>1350369</v>
      </c>
      <c r="D120" s="1984">
        <v>1880044</v>
      </c>
      <c r="E120" s="1983">
        <v>32008849.32</v>
      </c>
      <c r="F120" s="1984">
        <v>35239262.32</v>
      </c>
    </row>
    <row r="121" spans="1:6" ht="15.75" customHeight="1" x14ac:dyDescent="0.25">
      <c r="A121" s="1475" t="s">
        <v>8</v>
      </c>
      <c r="B121" s="1965" t="s">
        <v>12</v>
      </c>
      <c r="C121" s="1966">
        <v>6647051.8200000003</v>
      </c>
      <c r="D121" s="1967">
        <v>6062661</v>
      </c>
      <c r="E121" s="1966">
        <v>972736.27</v>
      </c>
      <c r="F121" s="1967">
        <v>13682449.09</v>
      </c>
    </row>
    <row r="122" spans="1:6" ht="15.75" customHeight="1" x14ac:dyDescent="0.2">
      <c r="A122" s="1988"/>
      <c r="B122" s="1978" t="s">
        <v>9</v>
      </c>
      <c r="C122" s="1979">
        <v>69500</v>
      </c>
      <c r="D122" s="1980">
        <v>1306034</v>
      </c>
      <c r="E122" s="1979">
        <v>0</v>
      </c>
      <c r="F122" s="1980">
        <v>1375534</v>
      </c>
    </row>
    <row r="123" spans="1:6" ht="15.75" customHeight="1" x14ac:dyDescent="0.2">
      <c r="A123" s="1988"/>
      <c r="B123" s="1978" t="s">
        <v>74</v>
      </c>
      <c r="C123" s="1979">
        <v>3251378.8200000003</v>
      </c>
      <c r="D123" s="1980">
        <v>1737836</v>
      </c>
      <c r="E123" s="1979">
        <v>972736.27</v>
      </c>
      <c r="F123" s="1980">
        <v>5961951.0899999999</v>
      </c>
    </row>
    <row r="124" spans="1:6" ht="15.75" customHeight="1" x14ac:dyDescent="0.2">
      <c r="A124" s="1988"/>
      <c r="B124" s="1978" t="s">
        <v>6</v>
      </c>
      <c r="C124" s="1979">
        <v>3326173</v>
      </c>
      <c r="D124" s="1980">
        <v>2937401</v>
      </c>
      <c r="E124" s="1979">
        <v>0</v>
      </c>
      <c r="F124" s="1980">
        <v>6263574</v>
      </c>
    </row>
    <row r="125" spans="1:6" ht="15.75" customHeight="1" x14ac:dyDescent="0.2">
      <c r="A125" s="1988"/>
      <c r="B125" s="1978" t="s">
        <v>619</v>
      </c>
      <c r="C125" s="1979">
        <v>0</v>
      </c>
      <c r="D125" s="1980">
        <v>81390</v>
      </c>
      <c r="E125" s="1979">
        <v>0</v>
      </c>
      <c r="F125" s="1980">
        <v>81390</v>
      </c>
    </row>
    <row r="126" spans="1:6" ht="15.75" customHeight="1" x14ac:dyDescent="0.25">
      <c r="A126" s="1550" t="s">
        <v>75</v>
      </c>
      <c r="B126" s="1965" t="s">
        <v>12</v>
      </c>
      <c r="C126" s="1966">
        <v>37093508.290000007</v>
      </c>
      <c r="D126" s="1967">
        <v>4491230.78</v>
      </c>
      <c r="E126" s="1966">
        <v>58931438.5</v>
      </c>
      <c r="F126" s="1967">
        <v>100516177.56999999</v>
      </c>
    </row>
    <row r="127" spans="1:6" ht="15.75" customHeight="1" x14ac:dyDescent="0.2">
      <c r="A127" s="1988"/>
      <c r="B127" s="1978" t="s">
        <v>5</v>
      </c>
      <c r="C127" s="1979">
        <v>20512638.850000001</v>
      </c>
      <c r="D127" s="1980">
        <v>947668</v>
      </c>
      <c r="E127" s="1979">
        <v>6576584.4499999993</v>
      </c>
      <c r="F127" s="1980">
        <v>28036891.300000001</v>
      </c>
    </row>
    <row r="128" spans="1:6" ht="15.75" customHeight="1" x14ac:dyDescent="0.2">
      <c r="A128" s="1988"/>
      <c r="B128" s="1978" t="s">
        <v>11</v>
      </c>
      <c r="C128" s="1979">
        <v>13641842.060000001</v>
      </c>
      <c r="D128" s="1980">
        <v>2580034</v>
      </c>
      <c r="E128" s="1979">
        <v>1546483.01</v>
      </c>
      <c r="F128" s="1980">
        <v>17768359.07</v>
      </c>
    </row>
    <row r="129" spans="1:6" ht="15.75" customHeight="1" x14ac:dyDescent="0.2">
      <c r="A129" s="1988"/>
      <c r="B129" s="1978" t="s">
        <v>6</v>
      </c>
      <c r="C129" s="1979">
        <v>2818851.38</v>
      </c>
      <c r="D129" s="1980">
        <v>963528.78</v>
      </c>
      <c r="E129" s="1979">
        <v>44370307.859999999</v>
      </c>
      <c r="F129" s="1980">
        <v>48152688.019999996</v>
      </c>
    </row>
    <row r="130" spans="1:6" ht="15.75" customHeight="1" x14ac:dyDescent="0.2">
      <c r="A130" s="1989"/>
      <c r="B130" s="1982" t="s">
        <v>619</v>
      </c>
      <c r="C130" s="1983">
        <v>120176</v>
      </c>
      <c r="D130" s="1984">
        <v>0</v>
      </c>
      <c r="E130" s="1983">
        <v>6438063.1800000006</v>
      </c>
      <c r="F130" s="1984">
        <v>6558239.1800000006</v>
      </c>
    </row>
    <row r="131" spans="1:6" ht="15.75" customHeight="1" x14ac:dyDescent="0.25">
      <c r="A131" s="1475" t="s">
        <v>10</v>
      </c>
      <c r="B131" s="1965" t="s">
        <v>12</v>
      </c>
      <c r="C131" s="1966">
        <v>27099225</v>
      </c>
      <c r="D131" s="1967">
        <v>6619238.7300000004</v>
      </c>
      <c r="E131" s="1966">
        <v>43319024.119999997</v>
      </c>
      <c r="F131" s="1967">
        <v>77037487.850000009</v>
      </c>
    </row>
    <row r="132" spans="1:6" ht="15.75" customHeight="1" x14ac:dyDescent="0.2">
      <c r="A132" s="1988"/>
      <c r="B132" s="1978" t="s">
        <v>7</v>
      </c>
      <c r="C132" s="1979">
        <v>3283554.04</v>
      </c>
      <c r="D132" s="1980">
        <v>726175</v>
      </c>
      <c r="E132" s="1979">
        <v>15325840.699999999</v>
      </c>
      <c r="F132" s="1980">
        <v>19335569.739999998</v>
      </c>
    </row>
    <row r="133" spans="1:6" ht="15.75" customHeight="1" x14ac:dyDescent="0.2">
      <c r="A133" s="1988"/>
      <c r="B133" s="1978" t="s">
        <v>11</v>
      </c>
      <c r="C133" s="1979">
        <v>16724133.289999999</v>
      </c>
      <c r="D133" s="1980">
        <v>3131085.73</v>
      </c>
      <c r="E133" s="1979">
        <v>14047176.720000001</v>
      </c>
      <c r="F133" s="1980">
        <v>33902395.740000002</v>
      </c>
    </row>
    <row r="134" spans="1:6" ht="15.75" customHeight="1" x14ac:dyDescent="0.2">
      <c r="A134" s="1988"/>
      <c r="B134" s="1978" t="s">
        <v>6</v>
      </c>
      <c r="C134" s="1979">
        <v>6803537.6699999999</v>
      </c>
      <c r="D134" s="1980">
        <v>2761978</v>
      </c>
      <c r="E134" s="1979">
        <v>9509134.1600000001</v>
      </c>
      <c r="F134" s="1980">
        <v>19074649.829999998</v>
      </c>
    </row>
    <row r="135" spans="1:6" ht="15.75" customHeight="1" x14ac:dyDescent="0.2">
      <c r="A135" s="1988"/>
      <c r="B135" s="1978" t="s">
        <v>619</v>
      </c>
      <c r="C135" s="1979">
        <v>288000</v>
      </c>
      <c r="D135" s="1980">
        <v>0</v>
      </c>
      <c r="E135" s="1979">
        <v>4436872.54</v>
      </c>
      <c r="F135" s="1980">
        <v>4724872.54</v>
      </c>
    </row>
    <row r="136" spans="1:6" ht="15.75" customHeight="1" x14ac:dyDescent="0.25">
      <c r="A136" s="1550" t="s">
        <v>326</v>
      </c>
      <c r="B136" s="1965" t="s">
        <v>12</v>
      </c>
      <c r="C136" s="1966">
        <v>150000</v>
      </c>
      <c r="D136" s="1967">
        <v>0</v>
      </c>
      <c r="E136" s="1966">
        <v>0</v>
      </c>
      <c r="F136" s="1967">
        <v>150000</v>
      </c>
    </row>
    <row r="137" spans="1:6" ht="15.75" customHeight="1" x14ac:dyDescent="0.2">
      <c r="A137" s="1989"/>
      <c r="B137" s="1982" t="s">
        <v>11</v>
      </c>
      <c r="C137" s="1983">
        <v>150000</v>
      </c>
      <c r="D137" s="1984">
        <v>0</v>
      </c>
      <c r="E137" s="1990">
        <v>0</v>
      </c>
      <c r="F137" s="1984">
        <v>150000</v>
      </c>
    </row>
    <row r="138" spans="1:6" ht="15.75" customHeight="1" x14ac:dyDescent="0.25">
      <c r="A138" s="4961" t="s">
        <v>613</v>
      </c>
      <c r="B138" s="4962" t="s">
        <v>12</v>
      </c>
      <c r="C138" s="4963">
        <v>3621700.3100000005</v>
      </c>
      <c r="D138" s="4964">
        <v>0</v>
      </c>
      <c r="E138" s="4963">
        <v>60000</v>
      </c>
      <c r="F138" s="4964">
        <v>3681700.3100000005</v>
      </c>
    </row>
    <row r="139" spans="1:6" ht="15.75" customHeight="1" x14ac:dyDescent="0.25">
      <c r="A139" s="6535" t="s">
        <v>76</v>
      </c>
      <c r="B139" s="6536"/>
      <c r="C139" s="4965">
        <v>84484040.250000015</v>
      </c>
      <c r="D139" s="4965">
        <v>25246906.460000001</v>
      </c>
      <c r="E139" s="4966">
        <v>142612817.78</v>
      </c>
      <c r="F139" s="4965">
        <v>252343764.49000001</v>
      </c>
    </row>
    <row r="140" spans="1:6" ht="15.75" customHeight="1" x14ac:dyDescent="0.2">
      <c r="A140" s="1968"/>
      <c r="B140" s="1968"/>
      <c r="C140" s="1968"/>
      <c r="D140" s="1968"/>
      <c r="E140" s="1968"/>
      <c r="F140" s="1968"/>
    </row>
    <row r="141" spans="1:6" ht="15.75" customHeight="1" x14ac:dyDescent="0.2">
      <c r="A141" s="1969" t="s">
        <v>16</v>
      </c>
      <c r="B141" s="1969" t="s">
        <v>4</v>
      </c>
      <c r="C141" s="1969" t="s">
        <v>609</v>
      </c>
      <c r="D141" s="1969" t="s">
        <v>618</v>
      </c>
      <c r="E141" s="1969" t="s">
        <v>617</v>
      </c>
      <c r="F141" s="3882" t="s">
        <v>820</v>
      </c>
    </row>
    <row r="142" spans="1:6" ht="15.75" customHeight="1" x14ac:dyDescent="0.2">
      <c r="A142" s="6531" t="s">
        <v>3</v>
      </c>
      <c r="B142" s="1991" t="s">
        <v>5</v>
      </c>
      <c r="C142" s="1992">
        <v>11055328.869999999</v>
      </c>
      <c r="D142" s="1993">
        <v>1584329.97</v>
      </c>
      <c r="E142" s="1992">
        <v>2853791.4</v>
      </c>
      <c r="F142" s="1993">
        <v>15493450.24</v>
      </c>
    </row>
    <row r="143" spans="1:6" ht="15.75" customHeight="1" x14ac:dyDescent="0.2">
      <c r="A143" s="6532"/>
      <c r="B143" s="1994" t="s">
        <v>6</v>
      </c>
      <c r="C143" s="1995">
        <v>3053660.8</v>
      </c>
      <c r="D143" s="1996">
        <v>759053.12</v>
      </c>
      <c r="E143" s="1995">
        <v>12667468.51</v>
      </c>
      <c r="F143" s="1996">
        <v>16480182.43</v>
      </c>
    </row>
    <row r="144" spans="1:6" ht="15.75" customHeight="1" x14ac:dyDescent="0.2">
      <c r="A144" s="6532"/>
      <c r="B144" s="1994" t="s">
        <v>7</v>
      </c>
      <c r="C144" s="1995"/>
      <c r="D144" s="1996">
        <v>820373.94</v>
      </c>
      <c r="E144" s="1995">
        <v>192337.66</v>
      </c>
      <c r="F144" s="1996">
        <v>1012711.6</v>
      </c>
    </row>
    <row r="145" spans="1:6" ht="15.75" customHeight="1" x14ac:dyDescent="0.2">
      <c r="A145" s="6532"/>
      <c r="B145" s="1994" t="s">
        <v>619</v>
      </c>
      <c r="C145" s="1995"/>
      <c r="D145" s="1996"/>
      <c r="E145" s="1995">
        <v>42460409.419999994</v>
      </c>
      <c r="F145" s="1996">
        <v>42460409.419999994</v>
      </c>
    </row>
    <row r="146" spans="1:6" ht="15.75" customHeight="1" x14ac:dyDescent="0.2">
      <c r="A146" s="6533"/>
      <c r="B146" s="1997" t="s">
        <v>12</v>
      </c>
      <c r="C146" s="1998">
        <v>14108989.669999998</v>
      </c>
      <c r="D146" s="1999">
        <v>3163757.0300000003</v>
      </c>
      <c r="E146" s="1998">
        <v>58174006.989999987</v>
      </c>
      <c r="F146" s="1999">
        <v>75446753.689999998</v>
      </c>
    </row>
    <row r="147" spans="1:6" ht="15.75" customHeight="1" x14ac:dyDescent="0.2">
      <c r="A147" s="6531" t="s">
        <v>8</v>
      </c>
      <c r="B147" s="1991" t="s">
        <v>9</v>
      </c>
      <c r="C147" s="1992"/>
      <c r="D147" s="1993">
        <v>1699782</v>
      </c>
      <c r="E147" s="1992">
        <v>0</v>
      </c>
      <c r="F147" s="1993">
        <v>1699782</v>
      </c>
    </row>
    <row r="148" spans="1:6" ht="15.75" customHeight="1" x14ac:dyDescent="0.2">
      <c r="A148" s="6532"/>
      <c r="B148" s="1994" t="s">
        <v>74</v>
      </c>
      <c r="C148" s="1995">
        <v>4798600</v>
      </c>
      <c r="D148" s="1996">
        <v>3322544.01</v>
      </c>
      <c r="E148" s="1995">
        <v>0</v>
      </c>
      <c r="F148" s="1996">
        <v>8121144.0099999998</v>
      </c>
    </row>
    <row r="149" spans="1:6" ht="15.75" customHeight="1" x14ac:dyDescent="0.2">
      <c r="A149" s="6532"/>
      <c r="B149" s="1994" t="s">
        <v>6</v>
      </c>
      <c r="C149" s="1995">
        <v>1612000</v>
      </c>
      <c r="D149" s="1996">
        <v>1453649</v>
      </c>
      <c r="E149" s="1995">
        <v>2466009.15</v>
      </c>
      <c r="F149" s="1996">
        <v>5531658.1500000004</v>
      </c>
    </row>
    <row r="150" spans="1:6" ht="15.75" customHeight="1" x14ac:dyDescent="0.2">
      <c r="A150" s="6532"/>
      <c r="B150" s="1994" t="s">
        <v>620</v>
      </c>
      <c r="C150" s="1995"/>
      <c r="D150" s="1996">
        <v>930000</v>
      </c>
      <c r="E150" s="1995">
        <v>0</v>
      </c>
      <c r="F150" s="1996">
        <v>930000</v>
      </c>
    </row>
    <row r="151" spans="1:6" ht="15.75" customHeight="1" x14ac:dyDescent="0.2">
      <c r="A151" s="6533"/>
      <c r="B151" s="1997" t="s">
        <v>12</v>
      </c>
      <c r="C151" s="1998">
        <v>6410600</v>
      </c>
      <c r="D151" s="1999">
        <v>7405975.0099999998</v>
      </c>
      <c r="E151" s="1998">
        <v>2466009.15</v>
      </c>
      <c r="F151" s="1999">
        <v>16282584.16</v>
      </c>
    </row>
    <row r="152" spans="1:6" ht="15.75" customHeight="1" x14ac:dyDescent="0.2">
      <c r="A152" s="6531" t="s">
        <v>75</v>
      </c>
      <c r="B152" s="1991" t="s">
        <v>5</v>
      </c>
      <c r="C152" s="1992">
        <v>32969055.5</v>
      </c>
      <c r="D152" s="1993">
        <v>2915100.9</v>
      </c>
      <c r="E152" s="1992">
        <v>6731856.8399999999</v>
      </c>
      <c r="F152" s="1993">
        <v>42616013.239999995</v>
      </c>
    </row>
    <row r="153" spans="1:6" ht="15.75" customHeight="1" x14ac:dyDescent="0.2">
      <c r="A153" s="6532"/>
      <c r="B153" s="1994" t="s">
        <v>11</v>
      </c>
      <c r="C153" s="1995">
        <v>19051320</v>
      </c>
      <c r="D153" s="1996">
        <v>3137110.92</v>
      </c>
      <c r="E153" s="1995">
        <v>8254541.1900000004</v>
      </c>
      <c r="F153" s="1996">
        <v>30442972.110000003</v>
      </c>
    </row>
    <row r="154" spans="1:6" ht="15.75" customHeight="1" x14ac:dyDescent="0.2">
      <c r="A154" s="6532"/>
      <c r="B154" s="1994" t="s">
        <v>6</v>
      </c>
      <c r="C154" s="1995">
        <v>10277140.540000001</v>
      </c>
      <c r="D154" s="1996">
        <v>1856838.41</v>
      </c>
      <c r="E154" s="1995">
        <v>42021176.009999998</v>
      </c>
      <c r="F154" s="1996">
        <v>54155154.960000001</v>
      </c>
    </row>
    <row r="155" spans="1:6" ht="15.75" customHeight="1" x14ac:dyDescent="0.2">
      <c r="A155" s="6532"/>
      <c r="B155" s="1994" t="s">
        <v>619</v>
      </c>
      <c r="C155" s="1995">
        <v>300000</v>
      </c>
      <c r="D155" s="1996">
        <v>40000</v>
      </c>
      <c r="E155" s="1995">
        <v>1393936.16</v>
      </c>
      <c r="F155" s="1996">
        <v>1733936.16</v>
      </c>
    </row>
    <row r="156" spans="1:6" ht="15.75" customHeight="1" x14ac:dyDescent="0.2">
      <c r="A156" s="6533"/>
      <c r="B156" s="1997" t="s">
        <v>12</v>
      </c>
      <c r="C156" s="1998">
        <v>62597516.039999999</v>
      </c>
      <c r="D156" s="1999">
        <v>7949050.2300000004</v>
      </c>
      <c r="E156" s="1998">
        <v>58401510.199999988</v>
      </c>
      <c r="F156" s="1999">
        <v>128948076.47</v>
      </c>
    </row>
    <row r="157" spans="1:6" ht="15.75" customHeight="1" x14ac:dyDescent="0.2">
      <c r="A157" s="6531" t="s">
        <v>10</v>
      </c>
      <c r="B157" s="1991" t="s">
        <v>11</v>
      </c>
      <c r="C157" s="1992">
        <v>1741489.49</v>
      </c>
      <c r="D157" s="1993">
        <v>1069004</v>
      </c>
      <c r="E157" s="1992">
        <v>13771462.439999998</v>
      </c>
      <c r="F157" s="1993">
        <v>16581955.929999998</v>
      </c>
    </row>
    <row r="158" spans="1:6" ht="15.75" customHeight="1" x14ac:dyDescent="0.2">
      <c r="A158" s="6532"/>
      <c r="B158" s="1994" t="s">
        <v>6</v>
      </c>
      <c r="C158" s="1995">
        <v>3729817.24</v>
      </c>
      <c r="D158" s="1996">
        <v>1438585.43</v>
      </c>
      <c r="E158" s="1995">
        <v>9737869.4500000011</v>
      </c>
      <c r="F158" s="1996">
        <v>14906272.120000001</v>
      </c>
    </row>
    <row r="159" spans="1:6" ht="15.75" customHeight="1" x14ac:dyDescent="0.2">
      <c r="A159" s="6532"/>
      <c r="B159" s="1994" t="s">
        <v>7</v>
      </c>
      <c r="C159" s="1995">
        <v>1689090</v>
      </c>
      <c r="D159" s="1996">
        <v>611473.25</v>
      </c>
      <c r="E159" s="1995">
        <v>13614352.57</v>
      </c>
      <c r="F159" s="1996">
        <v>15914915.82</v>
      </c>
    </row>
    <row r="160" spans="1:6" ht="15.75" customHeight="1" x14ac:dyDescent="0.2">
      <c r="A160" s="6532"/>
      <c r="B160" s="1994" t="s">
        <v>620</v>
      </c>
      <c r="C160" s="1995"/>
      <c r="D160" s="1996"/>
      <c r="E160" s="1995"/>
      <c r="F160" s="1996">
        <v>0</v>
      </c>
    </row>
    <row r="161" spans="1:6" ht="15.75" customHeight="1" x14ac:dyDescent="0.2">
      <c r="A161" s="6533"/>
      <c r="B161" s="1997" t="s">
        <v>12</v>
      </c>
      <c r="C161" s="1998">
        <v>7160396.7300000004</v>
      </c>
      <c r="D161" s="1999">
        <v>3119062.6799999997</v>
      </c>
      <c r="E161" s="1998">
        <v>37123684.460000001</v>
      </c>
      <c r="F161" s="1999">
        <v>47403143.869999997</v>
      </c>
    </row>
    <row r="162" spans="1:6" ht="15.75" customHeight="1" x14ac:dyDescent="0.2">
      <c r="A162" s="2000" t="s">
        <v>326</v>
      </c>
      <c r="B162" s="2001"/>
      <c r="C162" s="2002"/>
      <c r="D162" s="2002"/>
      <c r="E162" s="2002"/>
      <c r="F162" s="2002">
        <v>0</v>
      </c>
    </row>
    <row r="163" spans="1:6" ht="15.75" customHeight="1" x14ac:dyDescent="0.2">
      <c r="A163" s="2000" t="s">
        <v>613</v>
      </c>
      <c r="B163" s="2003" t="s">
        <v>12</v>
      </c>
      <c r="C163" s="2004">
        <v>2234937.08</v>
      </c>
      <c r="D163" s="2004">
        <v>48940000</v>
      </c>
      <c r="E163" s="2004">
        <v>2709513.06</v>
      </c>
      <c r="F163" s="2004">
        <v>53884450.140000001</v>
      </c>
    </row>
    <row r="164" spans="1:6" ht="15.75" customHeight="1" x14ac:dyDescent="0.2">
      <c r="A164" s="6534" t="s">
        <v>76</v>
      </c>
      <c r="B164" s="6534"/>
      <c r="C164" s="2005">
        <v>92512439.519999996</v>
      </c>
      <c r="D164" s="2005">
        <v>70577844.950000003</v>
      </c>
      <c r="E164" s="2005">
        <v>158874723.85999998</v>
      </c>
      <c r="F164" s="2005">
        <v>321965008.32999998</v>
      </c>
    </row>
    <row r="165" spans="1:6" ht="15" customHeight="1" x14ac:dyDescent="0.2">
      <c r="A165" s="262"/>
      <c r="F165" s="262"/>
    </row>
    <row r="166" spans="1:6" ht="25.5" x14ac:dyDescent="0.2">
      <c r="A166" s="2006" t="s">
        <v>16</v>
      </c>
      <c r="B166" s="2007" t="s">
        <v>609</v>
      </c>
      <c r="C166" s="2008" t="s">
        <v>614</v>
      </c>
      <c r="D166" s="2008" t="s">
        <v>611</v>
      </c>
      <c r="E166" s="2009" t="s">
        <v>612</v>
      </c>
      <c r="F166" s="3884" t="s">
        <v>814</v>
      </c>
    </row>
    <row r="167" spans="1:6" ht="15" customHeight="1" x14ac:dyDescent="0.2">
      <c r="A167" s="2011" t="s">
        <v>3</v>
      </c>
      <c r="B167" s="2012"/>
      <c r="C167" s="2012">
        <v>9254426.5</v>
      </c>
      <c r="D167" s="2012">
        <v>5464969</v>
      </c>
      <c r="E167" s="2012"/>
      <c r="F167" s="2013">
        <f>SUM(B167:E167)</f>
        <v>14719395.5</v>
      </c>
    </row>
    <row r="168" spans="1:6" ht="15" customHeight="1" x14ac:dyDescent="0.2">
      <c r="A168" s="2014" t="s">
        <v>8</v>
      </c>
      <c r="B168" s="2015"/>
      <c r="C168" s="2015">
        <v>11133507.5</v>
      </c>
      <c r="D168" s="2015">
        <v>7867523</v>
      </c>
      <c r="E168" s="2015"/>
      <c r="F168" s="2016">
        <f>SUM(B168:E168)</f>
        <v>19001030.5</v>
      </c>
    </row>
    <row r="169" spans="1:6" ht="15" customHeight="1" x14ac:dyDescent="0.2">
      <c r="A169" s="2014" t="s">
        <v>75</v>
      </c>
      <c r="B169" s="2015"/>
      <c r="C169" s="2015">
        <v>11902608.5</v>
      </c>
      <c r="D169" s="2015">
        <v>10264607.279999999</v>
      </c>
      <c r="E169" s="2015"/>
      <c r="F169" s="2016">
        <f>SUM(B169:E169)</f>
        <v>22167215.780000001</v>
      </c>
    </row>
    <row r="170" spans="1:6" ht="15" customHeight="1" x14ac:dyDescent="0.2">
      <c r="A170" s="2014" t="s">
        <v>10</v>
      </c>
      <c r="B170" s="2015"/>
      <c r="C170" s="2015">
        <v>10907726.5</v>
      </c>
      <c r="D170" s="2015">
        <v>7862411.3700000001</v>
      </c>
      <c r="E170" s="2015"/>
      <c r="F170" s="2016">
        <f>SUM(B170:E170)</f>
        <v>18770137.870000001</v>
      </c>
    </row>
    <row r="171" spans="1:6" ht="15" customHeight="1" x14ac:dyDescent="0.2">
      <c r="A171" s="2014" t="s">
        <v>613</v>
      </c>
      <c r="B171" s="2015"/>
      <c r="C171" s="2017">
        <v>6435628</v>
      </c>
      <c r="D171" s="2015"/>
      <c r="E171" s="2015"/>
      <c r="F171" s="2016">
        <f>SUM(B171:E171)</f>
        <v>6435628</v>
      </c>
    </row>
    <row r="172" spans="1:6" ht="15" customHeight="1" x14ac:dyDescent="0.2">
      <c r="A172" s="2018" t="s">
        <v>76</v>
      </c>
      <c r="B172" s="2019">
        <f>SUM(B167:B171)</f>
        <v>0</v>
      </c>
      <c r="C172" s="2020">
        <f>SUM(C167:C171)</f>
        <v>49633897</v>
      </c>
      <c r="D172" s="2020">
        <f>SUM(D167:D171)</f>
        <v>31459510.650000002</v>
      </c>
      <c r="E172" s="2021">
        <f>SUM(E167:E171)</f>
        <v>0</v>
      </c>
      <c r="F172" s="2021">
        <f>SUM(F167:F171)</f>
        <v>81093407.650000006</v>
      </c>
    </row>
    <row r="173" spans="1:6" ht="15" customHeight="1" x14ac:dyDescent="0.2">
      <c r="A173" s="23"/>
      <c r="B173" s="23"/>
      <c r="C173" s="23"/>
      <c r="D173" s="23"/>
      <c r="E173" s="23"/>
      <c r="F173" s="23"/>
    </row>
    <row r="174" spans="1:6" ht="25.5" x14ac:dyDescent="0.2">
      <c r="A174" s="2010" t="s">
        <v>16</v>
      </c>
      <c r="B174" s="2890" t="s">
        <v>609</v>
      </c>
      <c r="C174" s="2891" t="s">
        <v>614</v>
      </c>
      <c r="D174" s="2891" t="s">
        <v>611</v>
      </c>
      <c r="E174" s="2892" t="s">
        <v>612</v>
      </c>
      <c r="F174" s="3884" t="s">
        <v>813</v>
      </c>
    </row>
    <row r="175" spans="1:6" ht="15" customHeight="1" x14ac:dyDescent="0.2">
      <c r="A175" s="2885" t="s">
        <v>3</v>
      </c>
      <c r="B175" s="2886">
        <v>9727056</v>
      </c>
      <c r="C175" s="2887">
        <v>8261586.5</v>
      </c>
      <c r="D175" s="2888">
        <v>6262672.3899999997</v>
      </c>
      <c r="E175" s="2889">
        <v>271144834.35000002</v>
      </c>
      <c r="F175" s="2013">
        <f>SUM(B175:E175)</f>
        <v>295396149.24000001</v>
      </c>
    </row>
    <row r="176" spans="1:6" ht="15" customHeight="1" x14ac:dyDescent="0.2">
      <c r="A176" s="2014" t="s">
        <v>8</v>
      </c>
      <c r="B176" s="2025">
        <v>5932280</v>
      </c>
      <c r="C176" s="2023">
        <v>12613481.49</v>
      </c>
      <c r="D176" s="2023">
        <v>1689340</v>
      </c>
      <c r="E176" s="2026">
        <v>21127838.989999998</v>
      </c>
      <c r="F176" s="2016">
        <f>SUM(B176:E176)</f>
        <v>41362940.480000004</v>
      </c>
    </row>
    <row r="177" spans="1:6" ht="15" customHeight="1" x14ac:dyDescent="0.2">
      <c r="A177" s="2014" t="s">
        <v>75</v>
      </c>
      <c r="B177" s="2025">
        <v>42493904</v>
      </c>
      <c r="C177" s="2023">
        <v>10524274.49</v>
      </c>
      <c r="D177" s="2023">
        <v>1901804</v>
      </c>
      <c r="E177" s="2026">
        <v>42076951.130000003</v>
      </c>
      <c r="F177" s="2016">
        <f>SUM(B177:E177)</f>
        <v>96996933.620000005</v>
      </c>
    </row>
    <row r="178" spans="1:6" ht="15" customHeight="1" x14ac:dyDescent="0.2">
      <c r="A178" s="2014" t="s">
        <v>10</v>
      </c>
      <c r="B178" s="2025">
        <v>9442000</v>
      </c>
      <c r="C178" s="2023">
        <v>9619077</v>
      </c>
      <c r="D178" s="2023">
        <v>3226235</v>
      </c>
      <c r="E178" s="2026">
        <v>63932340.630000003</v>
      </c>
      <c r="F178" s="2016">
        <f>SUM(B178:E178)</f>
        <v>86219652.629999995</v>
      </c>
    </row>
    <row r="179" spans="1:6" ht="15" customHeight="1" x14ac:dyDescent="0.2">
      <c r="A179" s="2014" t="s">
        <v>613</v>
      </c>
      <c r="B179" s="2022"/>
      <c r="C179" s="2015">
        <v>6104073</v>
      </c>
      <c r="D179" s="2023"/>
      <c r="E179" s="2026">
        <v>29753020.530000001</v>
      </c>
      <c r="F179" s="2016">
        <f>SUM(B179:E179)</f>
        <v>35857093.530000001</v>
      </c>
    </row>
    <row r="180" spans="1:6" ht="15" customHeight="1" x14ac:dyDescent="0.2">
      <c r="A180" s="2018" t="s">
        <v>76</v>
      </c>
      <c r="B180" s="2019">
        <f>SUM(B175:B178)</f>
        <v>67595240</v>
      </c>
      <c r="C180" s="2020">
        <f>SUM(C175:C179)</f>
        <v>47122492.480000004</v>
      </c>
      <c r="D180" s="2020">
        <f>SUM(D175:D179)</f>
        <v>13080051.390000001</v>
      </c>
      <c r="E180" s="2021">
        <f>SUM(E175:E179)</f>
        <v>428034985.63</v>
      </c>
      <c r="F180" s="2021">
        <f t="shared" ref="F180:F218" si="3">SUM(B180:E180)</f>
        <v>555832769.5</v>
      </c>
    </row>
    <row r="181" spans="1:6" ht="15" customHeight="1" x14ac:dyDescent="0.2">
      <c r="A181" s="23"/>
      <c r="B181" s="23"/>
      <c r="C181" s="23"/>
      <c r="D181" s="23"/>
      <c r="E181" s="23"/>
      <c r="F181" s="23"/>
    </row>
    <row r="182" spans="1:6" ht="25.5" x14ac:dyDescent="0.2">
      <c r="A182" s="2010" t="s">
        <v>16</v>
      </c>
      <c r="B182" s="2890" t="s">
        <v>609</v>
      </c>
      <c r="C182" s="2891" t="s">
        <v>614</v>
      </c>
      <c r="D182" s="2891" t="s">
        <v>611</v>
      </c>
      <c r="E182" s="2892" t="s">
        <v>612</v>
      </c>
      <c r="F182" s="3884" t="s">
        <v>815</v>
      </c>
    </row>
    <row r="183" spans="1:6" ht="15" customHeight="1" x14ac:dyDescent="0.2">
      <c r="A183" s="2014" t="s">
        <v>3</v>
      </c>
      <c r="B183" s="2022">
        <v>6302501</v>
      </c>
      <c r="C183" s="2015">
        <v>9938520</v>
      </c>
      <c r="D183" s="2015">
        <v>5098179</v>
      </c>
      <c r="E183" s="2024">
        <v>184991467</v>
      </c>
      <c r="F183" s="2016">
        <f t="shared" si="3"/>
        <v>206330667</v>
      </c>
    </row>
    <row r="184" spans="1:6" ht="15" customHeight="1" x14ac:dyDescent="0.2">
      <c r="A184" s="2014" t="s">
        <v>8</v>
      </c>
      <c r="B184" s="2025">
        <v>4410959</v>
      </c>
      <c r="C184" s="2023">
        <v>6227891.5</v>
      </c>
      <c r="D184" s="2023">
        <v>3548227.5</v>
      </c>
      <c r="E184" s="2026">
        <v>1662486</v>
      </c>
      <c r="F184" s="2016">
        <f t="shared" si="3"/>
        <v>15849564</v>
      </c>
    </row>
    <row r="185" spans="1:6" ht="15" customHeight="1" x14ac:dyDescent="0.2">
      <c r="A185" s="2014" t="s">
        <v>75</v>
      </c>
      <c r="B185" s="2025">
        <v>104076015</v>
      </c>
      <c r="C185" s="2023">
        <v>20547239.5</v>
      </c>
      <c r="D185" s="2023">
        <v>4781768.82</v>
      </c>
      <c r="E185" s="2026">
        <v>72916433</v>
      </c>
      <c r="F185" s="2016">
        <f t="shared" si="3"/>
        <v>202321456.31999999</v>
      </c>
    </row>
    <row r="186" spans="1:6" ht="15" customHeight="1" x14ac:dyDescent="0.2">
      <c r="A186" s="2014" t="s">
        <v>10</v>
      </c>
      <c r="B186" s="2025">
        <v>7327765</v>
      </c>
      <c r="C186" s="2023">
        <v>8460064.5</v>
      </c>
      <c r="D186" s="2023">
        <v>3249246.5</v>
      </c>
      <c r="E186" s="2026">
        <v>114111673.52</v>
      </c>
      <c r="F186" s="2016">
        <f t="shared" si="3"/>
        <v>133148749.52</v>
      </c>
    </row>
    <row r="187" spans="1:6" ht="15" customHeight="1" x14ac:dyDescent="0.2">
      <c r="A187" s="2018" t="s">
        <v>76</v>
      </c>
      <c r="B187" s="2019">
        <f>SUM(B183:B186)</f>
        <v>122117240</v>
      </c>
      <c r="C187" s="2020">
        <f>SUM(C183:C186)</f>
        <v>45173715.5</v>
      </c>
      <c r="D187" s="2020">
        <f>SUM(D183:D186)</f>
        <v>16677421.82</v>
      </c>
      <c r="E187" s="2021">
        <f>SUM(E183:E186)</f>
        <v>373682059.51999998</v>
      </c>
      <c r="F187" s="2021">
        <f t="shared" si="3"/>
        <v>557650436.83999991</v>
      </c>
    </row>
    <row r="188" spans="1:6" ht="15" customHeight="1" x14ac:dyDescent="0.2">
      <c r="A188" s="23"/>
      <c r="B188" s="23"/>
      <c r="C188" s="23"/>
      <c r="D188" s="23"/>
      <c r="E188" s="23"/>
      <c r="F188" s="23"/>
    </row>
    <row r="189" spans="1:6" ht="25.5" x14ac:dyDescent="0.2">
      <c r="A189" s="2010" t="s">
        <v>16</v>
      </c>
      <c r="B189" s="2890" t="s">
        <v>609</v>
      </c>
      <c r="C189" s="2891" t="s">
        <v>614</v>
      </c>
      <c r="D189" s="2891" t="s">
        <v>611</v>
      </c>
      <c r="E189" s="2892" t="s">
        <v>612</v>
      </c>
      <c r="F189" s="3884" t="s">
        <v>819</v>
      </c>
    </row>
    <row r="190" spans="1:6" ht="15" customHeight="1" x14ac:dyDescent="0.2">
      <c r="A190" s="2014" t="s">
        <v>3</v>
      </c>
      <c r="B190" s="2023">
        <v>1328274</v>
      </c>
      <c r="C190" s="2023">
        <v>9182741</v>
      </c>
      <c r="D190" s="2027">
        <v>1138406</v>
      </c>
      <c r="E190" s="2023">
        <v>166598735</v>
      </c>
      <c r="F190" s="2016">
        <f t="shared" si="3"/>
        <v>178248156</v>
      </c>
    </row>
    <row r="191" spans="1:6" ht="15" customHeight="1" x14ac:dyDescent="0.2">
      <c r="A191" s="2014" t="s">
        <v>8</v>
      </c>
      <c r="B191" s="2023">
        <v>3213709.75</v>
      </c>
      <c r="C191" s="2023">
        <v>2441999</v>
      </c>
      <c r="D191" s="2027">
        <v>0</v>
      </c>
      <c r="E191" s="2023">
        <v>0</v>
      </c>
      <c r="F191" s="2016">
        <f t="shared" si="3"/>
        <v>5655708.75</v>
      </c>
    </row>
    <row r="192" spans="1:6" ht="15" customHeight="1" x14ac:dyDescent="0.2">
      <c r="A192" s="2014" t="s">
        <v>75</v>
      </c>
      <c r="B192" s="2023">
        <v>14134764.5</v>
      </c>
      <c r="C192" s="2023">
        <v>20303835</v>
      </c>
      <c r="D192" s="2027">
        <v>534536.12000000104</v>
      </c>
      <c r="E192" s="2023">
        <v>87034635.359999999</v>
      </c>
      <c r="F192" s="2016">
        <f t="shared" si="3"/>
        <v>122007770.98</v>
      </c>
    </row>
    <row r="193" spans="1:6" ht="15" customHeight="1" x14ac:dyDescent="0.2">
      <c r="A193" s="2014" t="s">
        <v>10</v>
      </c>
      <c r="B193" s="2023">
        <v>1793539</v>
      </c>
      <c r="C193" s="2023">
        <v>14339635</v>
      </c>
      <c r="D193" s="2027">
        <v>0</v>
      </c>
      <c r="E193" s="2023">
        <v>26044889.030000001</v>
      </c>
      <c r="F193" s="2016">
        <f t="shared" si="3"/>
        <v>42178063.030000001</v>
      </c>
    </row>
    <row r="194" spans="1:6" ht="15" customHeight="1" x14ac:dyDescent="0.2">
      <c r="A194" s="2018" t="s">
        <v>76</v>
      </c>
      <c r="B194" s="2019">
        <f>SUM(B190:B193)</f>
        <v>20470287.25</v>
      </c>
      <c r="C194" s="2020">
        <f>SUM(C190:C193)</f>
        <v>46268210</v>
      </c>
      <c r="D194" s="2020">
        <f>SUM(D190:D193)</f>
        <v>1672942.120000001</v>
      </c>
      <c r="E194" s="2021">
        <f>SUM(E190:E193)</f>
        <v>279678259.38999999</v>
      </c>
      <c r="F194" s="2021">
        <f t="shared" si="3"/>
        <v>348089698.75999999</v>
      </c>
    </row>
    <row r="195" spans="1:6" ht="15" customHeight="1" x14ac:dyDescent="0.2">
      <c r="A195" s="23"/>
      <c r="B195" s="23"/>
      <c r="C195" s="23"/>
      <c r="D195" s="23"/>
      <c r="E195" s="23"/>
      <c r="F195" s="23"/>
    </row>
    <row r="196" spans="1:6" ht="25.5" x14ac:dyDescent="0.2">
      <c r="A196" s="2010" t="s">
        <v>16</v>
      </c>
      <c r="B196" s="2890" t="s">
        <v>609</v>
      </c>
      <c r="C196" s="2891" t="s">
        <v>614</v>
      </c>
      <c r="D196" s="2891" t="s">
        <v>611</v>
      </c>
      <c r="E196" s="2892" t="s">
        <v>612</v>
      </c>
      <c r="F196" s="3884" t="s">
        <v>818</v>
      </c>
    </row>
    <row r="197" spans="1:6" ht="15" customHeight="1" x14ac:dyDescent="0.2">
      <c r="A197" s="2014" t="s">
        <v>3</v>
      </c>
      <c r="B197" s="2025">
        <v>1589645</v>
      </c>
      <c r="C197" s="2023">
        <v>14508470</v>
      </c>
      <c r="D197" s="2023">
        <v>5357922</v>
      </c>
      <c r="E197" s="2026">
        <v>94658674</v>
      </c>
      <c r="F197" s="2016">
        <f t="shared" si="3"/>
        <v>116114711</v>
      </c>
    </row>
    <row r="198" spans="1:6" ht="15" customHeight="1" x14ac:dyDescent="0.2">
      <c r="A198" s="2014" t="s">
        <v>8</v>
      </c>
      <c r="B198" s="2025">
        <v>590057</v>
      </c>
      <c r="C198" s="2023">
        <v>3000000</v>
      </c>
      <c r="D198" s="2027">
        <v>0</v>
      </c>
      <c r="E198" s="2026">
        <v>0</v>
      </c>
      <c r="F198" s="2016">
        <f t="shared" si="3"/>
        <v>3590057</v>
      </c>
    </row>
    <row r="199" spans="1:6" ht="15" customHeight="1" x14ac:dyDescent="0.2">
      <c r="A199" s="2014" t="s">
        <v>75</v>
      </c>
      <c r="B199" s="2025">
        <v>38597941</v>
      </c>
      <c r="C199" s="2023">
        <v>14770800</v>
      </c>
      <c r="D199" s="2023">
        <v>4106781</v>
      </c>
      <c r="E199" s="2026">
        <v>133158463</v>
      </c>
      <c r="F199" s="2016">
        <f t="shared" si="3"/>
        <v>190633985</v>
      </c>
    </row>
    <row r="200" spans="1:6" ht="15" customHeight="1" x14ac:dyDescent="0.2">
      <c r="A200" s="2014" t="s">
        <v>10</v>
      </c>
      <c r="B200" s="2025">
        <v>4233736</v>
      </c>
      <c r="C200" s="2023">
        <v>15642200</v>
      </c>
      <c r="D200" s="2023">
        <v>979538</v>
      </c>
      <c r="E200" s="2026">
        <v>25099467.310000002</v>
      </c>
      <c r="F200" s="2016">
        <f t="shared" si="3"/>
        <v>45954941.310000002</v>
      </c>
    </row>
    <row r="201" spans="1:6" ht="15" customHeight="1" x14ac:dyDescent="0.2">
      <c r="A201" s="2014" t="s">
        <v>613</v>
      </c>
      <c r="B201" s="2025"/>
      <c r="C201" s="2023">
        <v>3282300</v>
      </c>
      <c r="D201" s="2023"/>
      <c r="E201" s="2026"/>
      <c r="F201" s="2016">
        <f t="shared" si="3"/>
        <v>3282300</v>
      </c>
    </row>
    <row r="202" spans="1:6" ht="15" customHeight="1" x14ac:dyDescent="0.2">
      <c r="A202" s="2018" t="s">
        <v>76</v>
      </c>
      <c r="B202" s="2019">
        <f>SUM(B197:B200)</f>
        <v>45011379</v>
      </c>
      <c r="C202" s="2020">
        <f>SUM(C197:C201)</f>
        <v>51203770</v>
      </c>
      <c r="D202" s="2020">
        <f>SUM(D197:D200)</f>
        <v>10444241</v>
      </c>
      <c r="E202" s="2021">
        <f>SUM(E197:E200)</f>
        <v>252916604.31</v>
      </c>
      <c r="F202" s="2021">
        <f t="shared" si="3"/>
        <v>359575994.31</v>
      </c>
    </row>
    <row r="203" spans="1:6" ht="15" customHeight="1" x14ac:dyDescent="0.2">
      <c r="A203" s="23"/>
      <c r="B203" s="23"/>
      <c r="C203" s="23"/>
      <c r="D203" s="23"/>
      <c r="E203" s="23"/>
      <c r="F203" s="23"/>
    </row>
    <row r="204" spans="1:6" ht="25.5" x14ac:dyDescent="0.2">
      <c r="A204" s="2010" t="s">
        <v>16</v>
      </c>
      <c r="B204" s="2890" t="s">
        <v>609</v>
      </c>
      <c r="C204" s="2891" t="s">
        <v>614</v>
      </c>
      <c r="D204" s="2891" t="s">
        <v>611</v>
      </c>
      <c r="E204" s="2892" t="s">
        <v>612</v>
      </c>
      <c r="F204" s="3884" t="s">
        <v>817</v>
      </c>
    </row>
    <row r="205" spans="1:6" ht="15" customHeight="1" x14ac:dyDescent="0.2">
      <c r="A205" s="2014" t="s">
        <v>3</v>
      </c>
      <c r="B205" s="2025">
        <v>7032471</v>
      </c>
      <c r="C205" s="2023">
        <v>21120000</v>
      </c>
      <c r="D205" s="2023">
        <v>13257010</v>
      </c>
      <c r="E205" s="2028">
        <v>60054495</v>
      </c>
      <c r="F205" s="2029">
        <f t="shared" si="3"/>
        <v>101463976</v>
      </c>
    </row>
    <row r="206" spans="1:6" ht="15" hidden="1" customHeight="1" x14ac:dyDescent="0.2">
      <c r="A206" s="2014" t="s">
        <v>8</v>
      </c>
      <c r="B206" s="2025"/>
      <c r="C206" s="2023"/>
      <c r="D206" s="2027">
        <v>0</v>
      </c>
      <c r="E206" s="2028"/>
      <c r="F206" s="2029">
        <f t="shared" si="3"/>
        <v>0</v>
      </c>
    </row>
    <row r="207" spans="1:6" ht="15" customHeight="1" x14ac:dyDescent="0.2">
      <c r="A207" s="2014" t="s">
        <v>75</v>
      </c>
      <c r="B207" s="2025">
        <v>44277028</v>
      </c>
      <c r="C207" s="2023">
        <v>23299500</v>
      </c>
      <c r="D207" s="2023">
        <v>21294567</v>
      </c>
      <c r="E207" s="2026">
        <v>67360925</v>
      </c>
      <c r="F207" s="2016">
        <f t="shared" si="3"/>
        <v>156232020</v>
      </c>
    </row>
    <row r="208" spans="1:6" ht="15" customHeight="1" x14ac:dyDescent="0.2">
      <c r="A208" s="2014" t="s">
        <v>10</v>
      </c>
      <c r="B208" s="2025">
        <v>13399515</v>
      </c>
      <c r="C208" s="2023">
        <v>4827560</v>
      </c>
      <c r="D208" s="2023">
        <v>10975188.600000001</v>
      </c>
      <c r="E208" s="2026">
        <v>24953540.850000001</v>
      </c>
      <c r="F208" s="2016">
        <f t="shared" si="3"/>
        <v>54155804.450000003</v>
      </c>
    </row>
    <row r="209" spans="1:6" ht="15" customHeight="1" x14ac:dyDescent="0.2">
      <c r="A209" s="2014" t="s">
        <v>613</v>
      </c>
      <c r="B209" s="2025"/>
      <c r="C209" s="2023">
        <v>1200000</v>
      </c>
      <c r="D209" s="2023">
        <v>0</v>
      </c>
      <c r="E209" s="2026"/>
      <c r="F209" s="2016">
        <f t="shared" si="3"/>
        <v>1200000</v>
      </c>
    </row>
    <row r="210" spans="1:6" ht="15" customHeight="1" x14ac:dyDescent="0.2">
      <c r="A210" s="2018" t="s">
        <v>76</v>
      </c>
      <c r="B210" s="2019">
        <f>SUM(B205:B208)</f>
        <v>64709014</v>
      </c>
      <c r="C210" s="2020">
        <f>SUM(C205:C209)</f>
        <v>50447060</v>
      </c>
      <c r="D210" s="2020">
        <f>SUM(D205:D208)</f>
        <v>45526765.600000001</v>
      </c>
      <c r="E210" s="2021">
        <f>SUM(E205:E208)</f>
        <v>152368960.84999999</v>
      </c>
      <c r="F210" s="2021">
        <f t="shared" si="3"/>
        <v>313051800.44999999</v>
      </c>
    </row>
    <row r="211" spans="1:6" ht="15" customHeight="1" x14ac:dyDescent="0.2">
      <c r="A211" s="23"/>
      <c r="B211" s="23"/>
      <c r="C211" s="23"/>
      <c r="D211" s="23"/>
      <c r="E211" s="23"/>
      <c r="F211" s="23"/>
    </row>
    <row r="212" spans="1:6" ht="25.5" x14ac:dyDescent="0.2">
      <c r="A212" s="2010" t="s">
        <v>16</v>
      </c>
      <c r="B212" s="2890" t="s">
        <v>609</v>
      </c>
      <c r="C212" s="2891" t="s">
        <v>614</v>
      </c>
      <c r="D212" s="2891" t="s">
        <v>611</v>
      </c>
      <c r="E212" s="2892" t="s">
        <v>612</v>
      </c>
      <c r="F212" s="3884" t="s">
        <v>816</v>
      </c>
    </row>
    <row r="213" spans="1:6" ht="15" customHeight="1" x14ac:dyDescent="0.2">
      <c r="A213" s="2014" t="s">
        <v>3</v>
      </c>
      <c r="B213" s="2025">
        <v>4620779</v>
      </c>
      <c r="C213" s="2023">
        <v>8323780</v>
      </c>
      <c r="D213" s="2027">
        <v>0</v>
      </c>
      <c r="E213" s="2028">
        <v>48075657</v>
      </c>
      <c r="F213" s="2029">
        <f t="shared" si="3"/>
        <v>61020216</v>
      </c>
    </row>
    <row r="214" spans="1:6" ht="15" hidden="1" customHeight="1" x14ac:dyDescent="0.2">
      <c r="A214" s="2014" t="s">
        <v>8</v>
      </c>
      <c r="B214" s="2025"/>
      <c r="C214" s="2023"/>
      <c r="D214" s="2023">
        <v>0</v>
      </c>
      <c r="E214" s="2026"/>
      <c r="F214" s="2016">
        <f t="shared" si="3"/>
        <v>0</v>
      </c>
    </row>
    <row r="215" spans="1:6" ht="15" customHeight="1" x14ac:dyDescent="0.2">
      <c r="A215" s="2014" t="s">
        <v>75</v>
      </c>
      <c r="B215" s="2025">
        <v>53075214</v>
      </c>
      <c r="C215" s="2023">
        <v>22563080</v>
      </c>
      <c r="D215" s="2027">
        <v>0</v>
      </c>
      <c r="E215" s="2026">
        <v>51907185</v>
      </c>
      <c r="F215" s="2016">
        <f t="shared" si="3"/>
        <v>127545479</v>
      </c>
    </row>
    <row r="216" spans="1:6" ht="15" customHeight="1" x14ac:dyDescent="0.2">
      <c r="A216" s="2014" t="s">
        <v>10</v>
      </c>
      <c r="B216" s="2025">
        <v>2539424</v>
      </c>
      <c r="C216" s="2023">
        <v>21162980</v>
      </c>
      <c r="D216" s="2023">
        <v>0</v>
      </c>
      <c r="E216" s="2026">
        <v>21889498</v>
      </c>
      <c r="F216" s="2016">
        <f t="shared" si="3"/>
        <v>45591902</v>
      </c>
    </row>
    <row r="217" spans="1:6" ht="15" customHeight="1" x14ac:dyDescent="0.2">
      <c r="A217" s="2030" t="s">
        <v>613</v>
      </c>
      <c r="B217" s="2031"/>
      <c r="C217" s="2032">
        <v>2200000</v>
      </c>
      <c r="D217" s="2032"/>
      <c r="E217" s="2033"/>
      <c r="F217" s="2034">
        <f t="shared" si="3"/>
        <v>2200000</v>
      </c>
    </row>
    <row r="218" spans="1:6" ht="15" customHeight="1" x14ac:dyDescent="0.2">
      <c r="A218" s="2018" t="s">
        <v>76</v>
      </c>
      <c r="B218" s="2019">
        <f>SUM(B213:B216)</f>
        <v>60235417</v>
      </c>
      <c r="C218" s="2020">
        <f>SUM(C213:C217)</f>
        <v>54249840</v>
      </c>
      <c r="D218" s="2020">
        <f>SUM(D213:D216)</f>
        <v>0</v>
      </c>
      <c r="E218" s="2021">
        <f>SUM(E213:E216)</f>
        <v>121872340</v>
      </c>
      <c r="F218" s="2021">
        <f t="shared" si="3"/>
        <v>236357597</v>
      </c>
    </row>
    <row r="219" spans="1:6" s="1470" customFormat="1" ht="15" customHeight="1" x14ac:dyDescent="0.2">
      <c r="A219" s="2035"/>
      <c r="B219" s="2036"/>
      <c r="C219" s="2036"/>
      <c r="D219" s="2036"/>
      <c r="E219" s="2036"/>
      <c r="F219" s="2036"/>
    </row>
    <row r="220" spans="1:6" x14ac:dyDescent="0.2">
      <c r="A220" s="2035"/>
    </row>
    <row r="221" spans="1:6" x14ac:dyDescent="0.2">
      <c r="A221" s="587"/>
      <c r="B221" s="587"/>
      <c r="C221" s="587"/>
      <c r="D221" s="587"/>
      <c r="E221" s="587"/>
      <c r="F221" s="587"/>
    </row>
    <row r="222" spans="1:6" x14ac:dyDescent="0.2">
      <c r="A222" s="2037"/>
      <c r="B222" s="2037"/>
      <c r="C222" s="2037"/>
      <c r="D222" s="2038"/>
      <c r="E222" s="2037"/>
      <c r="F222" s="2037"/>
    </row>
    <row r="223" spans="1:6" x14ac:dyDescent="0.2">
      <c r="A223" s="1927"/>
      <c r="B223" s="1927"/>
      <c r="C223" s="1927"/>
      <c r="D223" s="1927"/>
      <c r="E223" s="1927"/>
      <c r="F223" s="1927"/>
    </row>
    <row r="224" spans="1:6" x14ac:dyDescent="0.2">
      <c r="A224" s="1927"/>
      <c r="B224" s="1927"/>
      <c r="C224" s="1927"/>
      <c r="D224" s="1927"/>
      <c r="E224" s="1927"/>
      <c r="F224" s="1927"/>
    </row>
    <row r="225" spans="1:6" x14ac:dyDescent="0.2">
      <c r="A225" s="1927"/>
      <c r="B225" s="1927"/>
      <c r="C225" s="1927"/>
      <c r="D225" s="1927"/>
      <c r="E225" s="1927"/>
      <c r="F225" s="1927"/>
    </row>
    <row r="226" spans="1:6" x14ac:dyDescent="0.2">
      <c r="A226" s="262"/>
    </row>
  </sheetData>
  <mergeCells count="30">
    <mergeCell ref="A29:B29"/>
    <mergeCell ref="A4:A7"/>
    <mergeCell ref="A8:A12"/>
    <mergeCell ref="A13:A17"/>
    <mergeCell ref="A18:A22"/>
    <mergeCell ref="A23:A27"/>
    <mergeCell ref="A59:B59"/>
    <mergeCell ref="A34:A37"/>
    <mergeCell ref="A38:A42"/>
    <mergeCell ref="A43:A47"/>
    <mergeCell ref="A48:A52"/>
    <mergeCell ref="A53:A57"/>
    <mergeCell ref="A78:A80"/>
    <mergeCell ref="A81:A85"/>
    <mergeCell ref="A87:B87"/>
    <mergeCell ref="A64:A67"/>
    <mergeCell ref="A68:A72"/>
    <mergeCell ref="A73:A77"/>
    <mergeCell ref="A139:B139"/>
    <mergeCell ref="A90:A93"/>
    <mergeCell ref="A94:A98"/>
    <mergeCell ref="A99:A103"/>
    <mergeCell ref="A104:A107"/>
    <mergeCell ref="A108:A112"/>
    <mergeCell ref="A114:B114"/>
    <mergeCell ref="A147:A151"/>
    <mergeCell ref="A152:A156"/>
    <mergeCell ref="A157:A161"/>
    <mergeCell ref="A142:A146"/>
    <mergeCell ref="A164:B164"/>
  </mergeCells>
  <printOptions horizontalCentered="1" verticalCentered="1"/>
  <pageMargins left="0.39370078740157483" right="0.39370078740157483" top="0.39370078740157483" bottom="0.39370078740157483" header="0" footer="0"/>
  <pageSetup scale="63" orientation="landscape" r:id="rId1"/>
  <headerFooter alignWithMargins="0"/>
  <rowBreaks count="3" manualBreakCount="3">
    <brk id="87" max="5" man="1"/>
    <brk id="139" max="5" man="1"/>
    <brk id="194" max="5" man="1"/>
  </rowBreaks>
  <ignoredErrors>
    <ignoredError sqref="F94:F108 F68:F85 F51 F38:F48 F53" formula="1"/>
  </ignoredErrors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25A8"/>
  </sheetPr>
  <dimension ref="A1:Y89"/>
  <sheetViews>
    <sheetView showGridLines="0" zoomScaleNormal="100" workbookViewId="0">
      <selection activeCell="H94" sqref="H94"/>
    </sheetView>
  </sheetViews>
  <sheetFormatPr baseColWidth="10" defaultRowHeight="12.75" x14ac:dyDescent="0.2"/>
  <cols>
    <col min="1" max="1" width="17" style="192" customWidth="1"/>
    <col min="2" max="2" width="11.42578125" style="192" customWidth="1"/>
    <col min="3" max="3" width="11.7109375" style="192" customWidth="1"/>
    <col min="4" max="4" width="10.7109375" style="192" customWidth="1"/>
    <col min="5" max="5" width="11.42578125" style="192"/>
    <col min="6" max="6" width="11.7109375" style="192" customWidth="1"/>
    <col min="7" max="7" width="10.7109375" style="192" customWidth="1"/>
    <col min="8" max="9" width="11.42578125" style="192"/>
    <col min="10" max="10" width="10.7109375" style="192" customWidth="1"/>
    <col min="11" max="11" width="11.42578125" style="192"/>
    <col min="12" max="12" width="20.85546875" style="192" customWidth="1"/>
    <col min="13" max="16384" width="11.42578125" style="192"/>
  </cols>
  <sheetData>
    <row r="1" spans="1:1" ht="15.75" x14ac:dyDescent="0.2">
      <c r="A1" s="1471" t="s">
        <v>615</v>
      </c>
    </row>
    <row r="2" spans="1:1" ht="18" hidden="1" customHeight="1" x14ac:dyDescent="0.2"/>
    <row r="3" spans="1:1" ht="18" hidden="1" customHeight="1" x14ac:dyDescent="0.2"/>
    <row r="4" spans="1:1" ht="15" hidden="1" customHeight="1" x14ac:dyDescent="0.2"/>
    <row r="5" spans="1:1" hidden="1" x14ac:dyDescent="0.2"/>
    <row r="6" spans="1:1" ht="15" hidden="1" customHeight="1" x14ac:dyDescent="0.2"/>
    <row r="7" spans="1:1" ht="15" hidden="1" customHeight="1" x14ac:dyDescent="0.2"/>
    <row r="8" spans="1:1" s="208" customFormat="1" ht="20.100000000000001" hidden="1" customHeight="1" x14ac:dyDescent="0.2"/>
    <row r="9" spans="1:1" s="208" customFormat="1" ht="20.100000000000001" hidden="1" customHeight="1" x14ac:dyDescent="0.2"/>
    <row r="10" spans="1:1" s="208" customFormat="1" ht="20.100000000000001" hidden="1" customHeight="1" x14ac:dyDescent="0.2"/>
    <row r="11" spans="1:1" s="208" customFormat="1" ht="20.100000000000001" hidden="1" customHeight="1" x14ac:dyDescent="0.2"/>
    <row r="12" spans="1:1" s="208" customFormat="1" ht="20.100000000000001" hidden="1" customHeight="1" x14ac:dyDescent="0.2"/>
    <row r="13" spans="1:1" s="208" customFormat="1" ht="20.100000000000001" hidden="1" customHeight="1" x14ac:dyDescent="0.2"/>
    <row r="14" spans="1:1" ht="20.100000000000001" hidden="1" customHeight="1" x14ac:dyDescent="0.2"/>
    <row r="15" spans="1:1" hidden="1" x14ac:dyDescent="0.2"/>
    <row r="16" spans="1:1" hidden="1" x14ac:dyDescent="0.2"/>
    <row r="17" spans="1:25" hidden="1" x14ac:dyDescent="0.2"/>
    <row r="19" spans="1:25" x14ac:dyDescent="0.2">
      <c r="K19" s="3810"/>
    </row>
    <row r="20" spans="1:25" ht="15" x14ac:dyDescent="0.2">
      <c r="A20" s="6561" t="s">
        <v>51</v>
      </c>
      <c r="B20" s="6563" t="s">
        <v>1303</v>
      </c>
      <c r="C20" s="6564"/>
      <c r="D20" s="6565"/>
      <c r="E20" s="6563" t="s">
        <v>1304</v>
      </c>
      <c r="F20" s="6564"/>
      <c r="G20" s="6565"/>
      <c r="H20" s="6558">
        <v>2015</v>
      </c>
      <c r="I20" s="6559"/>
      <c r="J20" s="6560"/>
      <c r="K20" s="3810"/>
      <c r="L20" s="2976" t="s">
        <v>1305</v>
      </c>
      <c r="M20" s="573">
        <v>2003</v>
      </c>
      <c r="N20" s="573">
        <v>2004</v>
      </c>
      <c r="O20" s="573">
        <v>2005</v>
      </c>
      <c r="P20" s="573">
        <v>2006</v>
      </c>
      <c r="Q20" s="573">
        <v>2007</v>
      </c>
      <c r="R20" s="573">
        <v>2008</v>
      </c>
      <c r="S20" s="573">
        <v>2009</v>
      </c>
      <c r="T20" s="573">
        <v>2010</v>
      </c>
      <c r="U20" s="573">
        <v>2011</v>
      </c>
      <c r="V20" s="573">
        <v>2012</v>
      </c>
      <c r="W20" s="573">
        <v>2013</v>
      </c>
      <c r="X20" s="573">
        <v>2014</v>
      </c>
      <c r="Y20" s="3786">
        <v>2015</v>
      </c>
    </row>
    <row r="21" spans="1:25" ht="15" x14ac:dyDescent="0.2">
      <c r="A21" s="6562"/>
      <c r="B21" s="3812" t="s">
        <v>828</v>
      </c>
      <c r="C21" s="3813" t="s">
        <v>829</v>
      </c>
      <c r="D21" s="3829" t="s">
        <v>160</v>
      </c>
      <c r="E21" s="3813" t="s">
        <v>828</v>
      </c>
      <c r="F21" s="3813" t="s">
        <v>829</v>
      </c>
      <c r="G21" s="3829" t="s">
        <v>160</v>
      </c>
      <c r="H21" s="3813" t="s">
        <v>828</v>
      </c>
      <c r="I21" s="3813" t="s">
        <v>829</v>
      </c>
      <c r="J21" s="3829" t="s">
        <v>160</v>
      </c>
      <c r="K21" s="3810"/>
      <c r="L21" s="1594" t="s">
        <v>161</v>
      </c>
      <c r="M21" s="1593">
        <v>95</v>
      </c>
      <c r="N21" s="1593">
        <v>48</v>
      </c>
      <c r="O21" s="1593">
        <v>50</v>
      </c>
      <c r="P21" s="1593">
        <v>51</v>
      </c>
      <c r="Q21" s="1593">
        <v>135</v>
      </c>
      <c r="R21" s="1593">
        <v>102</v>
      </c>
      <c r="S21" s="1593">
        <v>63</v>
      </c>
      <c r="T21" s="1593">
        <v>90</v>
      </c>
      <c r="U21" s="1593">
        <v>111</v>
      </c>
      <c r="V21" s="1593">
        <v>50</v>
      </c>
      <c r="W21" s="1593">
        <v>23</v>
      </c>
      <c r="X21" s="1593">
        <v>94</v>
      </c>
      <c r="Y21" s="1593">
        <v>122</v>
      </c>
    </row>
    <row r="22" spans="1:25" ht="15" x14ac:dyDescent="0.2">
      <c r="A22" s="3830" t="s">
        <v>161</v>
      </c>
      <c r="B22" s="3815">
        <v>109</v>
      </c>
      <c r="C22" s="3816">
        <v>12</v>
      </c>
      <c r="D22" s="3817">
        <f>SUM(B22:C22)</f>
        <v>121</v>
      </c>
      <c r="E22" s="3815">
        <v>1</v>
      </c>
      <c r="F22" s="3816">
        <v>0</v>
      </c>
      <c r="G22" s="3818">
        <f>SUM(E22:F22)</f>
        <v>1</v>
      </c>
      <c r="H22" s="3815">
        <f>SUM(B22,E22)</f>
        <v>110</v>
      </c>
      <c r="I22" s="3816">
        <f>SUM(C22,F22)</f>
        <v>12</v>
      </c>
      <c r="J22" s="3818">
        <f>SUM(H22:I22)</f>
        <v>122</v>
      </c>
      <c r="K22" s="3810"/>
      <c r="L22" s="1595" t="s">
        <v>410</v>
      </c>
      <c r="M22" s="1593"/>
      <c r="N22" s="1593"/>
      <c r="O22" s="1593">
        <v>1</v>
      </c>
      <c r="P22" s="1593">
        <v>2</v>
      </c>
      <c r="Q22" s="1593">
        <v>1</v>
      </c>
      <c r="R22" s="1593">
        <v>46</v>
      </c>
      <c r="S22" s="1593">
        <v>2</v>
      </c>
      <c r="T22" s="1593">
        <v>2</v>
      </c>
      <c r="U22" s="1593">
        <v>19</v>
      </c>
      <c r="V22" s="1593">
        <v>29</v>
      </c>
      <c r="W22" s="1593">
        <v>38</v>
      </c>
      <c r="X22" s="1593">
        <v>26</v>
      </c>
      <c r="Y22" s="1593">
        <v>55</v>
      </c>
    </row>
    <row r="23" spans="1:25" ht="15" x14ac:dyDescent="0.2">
      <c r="A23" s="3831" t="s">
        <v>410</v>
      </c>
      <c r="B23" s="3819">
        <v>53</v>
      </c>
      <c r="C23" s="3820">
        <v>1</v>
      </c>
      <c r="D23" s="3821">
        <f t="shared" ref="D23:D27" si="0">SUM(B23:C23)</f>
        <v>54</v>
      </c>
      <c r="E23" s="3819">
        <v>1</v>
      </c>
      <c r="F23" s="3820">
        <v>0</v>
      </c>
      <c r="G23" s="3822">
        <f t="shared" ref="G23:G27" si="1">SUM(E23:F23)</f>
        <v>1</v>
      </c>
      <c r="H23" s="3819">
        <f t="shared" ref="H23:H27" si="2">SUM(B23,E23)</f>
        <v>54</v>
      </c>
      <c r="I23" s="3820">
        <f t="shared" ref="I23:I27" si="3">SUM(C23,F23)</f>
        <v>1</v>
      </c>
      <c r="J23" s="3822">
        <f t="shared" ref="J23:J27" si="4">SUM(H23:I23)</f>
        <v>55</v>
      </c>
      <c r="K23" s="3810"/>
      <c r="L23" s="1596" t="s">
        <v>162</v>
      </c>
      <c r="M23" s="1593">
        <v>178</v>
      </c>
      <c r="N23" s="1593">
        <v>147</v>
      </c>
      <c r="O23" s="1593">
        <v>154</v>
      </c>
      <c r="P23" s="1593">
        <v>164</v>
      </c>
      <c r="Q23" s="1593">
        <v>137</v>
      </c>
      <c r="R23" s="1593">
        <v>315</v>
      </c>
      <c r="S23" s="1593">
        <v>117</v>
      </c>
      <c r="T23" s="1593">
        <v>173</v>
      </c>
      <c r="U23" s="1593">
        <v>85</v>
      </c>
      <c r="V23" s="1593">
        <v>366</v>
      </c>
      <c r="W23" s="1593">
        <v>115</v>
      </c>
      <c r="X23" s="1593">
        <v>234</v>
      </c>
      <c r="Y23" s="1593">
        <v>286</v>
      </c>
    </row>
    <row r="24" spans="1:25" ht="15" x14ac:dyDescent="0.2">
      <c r="A24" s="3832" t="s">
        <v>162</v>
      </c>
      <c r="B24" s="3819">
        <v>252</v>
      </c>
      <c r="C24" s="3823">
        <v>31</v>
      </c>
      <c r="D24" s="3821">
        <f t="shared" si="0"/>
        <v>283</v>
      </c>
      <c r="E24" s="3819">
        <v>2</v>
      </c>
      <c r="F24" s="3823">
        <v>1</v>
      </c>
      <c r="G24" s="3822">
        <f t="shared" si="1"/>
        <v>3</v>
      </c>
      <c r="H24" s="3819">
        <f t="shared" si="2"/>
        <v>254</v>
      </c>
      <c r="I24" s="3823">
        <f t="shared" si="3"/>
        <v>32</v>
      </c>
      <c r="J24" s="3822">
        <f t="shared" si="4"/>
        <v>286</v>
      </c>
      <c r="K24" s="3810"/>
      <c r="L24" s="1597" t="s">
        <v>411</v>
      </c>
      <c r="M24" s="1593"/>
      <c r="N24" s="1593"/>
      <c r="O24" s="1593"/>
      <c r="P24" s="1593"/>
      <c r="Q24" s="1593"/>
      <c r="R24" s="1593"/>
      <c r="S24" s="1593"/>
      <c r="T24" s="1593"/>
      <c r="U24" s="1593">
        <v>4</v>
      </c>
      <c r="V24" s="1593"/>
      <c r="W24" s="1593">
        <v>10</v>
      </c>
      <c r="X24" s="1593">
        <v>19</v>
      </c>
      <c r="Y24" s="1593">
        <v>20</v>
      </c>
    </row>
    <row r="25" spans="1:25" ht="15" x14ac:dyDescent="0.2">
      <c r="A25" s="3833" t="s">
        <v>411</v>
      </c>
      <c r="B25" s="3819">
        <v>12</v>
      </c>
      <c r="C25" s="3820">
        <v>7</v>
      </c>
      <c r="D25" s="3821">
        <f t="shared" si="0"/>
        <v>19</v>
      </c>
      <c r="E25" s="3819">
        <v>1</v>
      </c>
      <c r="F25" s="3820">
        <v>0</v>
      </c>
      <c r="G25" s="3822">
        <f t="shared" si="1"/>
        <v>1</v>
      </c>
      <c r="H25" s="3819">
        <f t="shared" si="2"/>
        <v>13</v>
      </c>
      <c r="I25" s="3820">
        <f t="shared" si="3"/>
        <v>7</v>
      </c>
      <c r="J25" s="3822">
        <f t="shared" si="4"/>
        <v>20</v>
      </c>
      <c r="K25" s="1037"/>
      <c r="L25" s="1598" t="s">
        <v>163</v>
      </c>
      <c r="M25" s="1593">
        <v>89</v>
      </c>
      <c r="N25" s="1593">
        <v>113</v>
      </c>
      <c r="O25" s="1593">
        <v>94</v>
      </c>
      <c r="P25" s="1593">
        <v>172</v>
      </c>
      <c r="Q25" s="1593">
        <v>100</v>
      </c>
      <c r="R25" s="1593">
        <v>107</v>
      </c>
      <c r="S25" s="1593">
        <v>123</v>
      </c>
      <c r="T25" s="1593">
        <v>22</v>
      </c>
      <c r="U25" s="1593">
        <v>134</v>
      </c>
      <c r="V25" s="1593">
        <v>166</v>
      </c>
      <c r="W25" s="1593">
        <v>135</v>
      </c>
      <c r="X25" s="1593">
        <v>194</v>
      </c>
      <c r="Y25" s="1593">
        <v>151</v>
      </c>
    </row>
    <row r="26" spans="1:25" ht="15" x14ac:dyDescent="0.2">
      <c r="A26" s="3834" t="s">
        <v>163</v>
      </c>
      <c r="B26" s="3819">
        <v>118</v>
      </c>
      <c r="C26" s="3820">
        <v>27</v>
      </c>
      <c r="D26" s="3821">
        <f t="shared" si="0"/>
        <v>145</v>
      </c>
      <c r="E26" s="3819">
        <v>4</v>
      </c>
      <c r="F26" s="3820">
        <v>2</v>
      </c>
      <c r="G26" s="3822">
        <f t="shared" si="1"/>
        <v>6</v>
      </c>
      <c r="H26" s="3819">
        <f t="shared" si="2"/>
        <v>122</v>
      </c>
      <c r="I26" s="3820">
        <f t="shared" si="3"/>
        <v>29</v>
      </c>
      <c r="J26" s="3822">
        <f t="shared" si="4"/>
        <v>151</v>
      </c>
      <c r="L26" s="1593" t="s">
        <v>688</v>
      </c>
      <c r="M26" s="1593">
        <v>50</v>
      </c>
      <c r="N26" s="1593">
        <v>40</v>
      </c>
      <c r="O26" s="1593">
        <v>59</v>
      </c>
      <c r="P26" s="1593">
        <v>52</v>
      </c>
      <c r="Q26" s="1593">
        <v>60</v>
      </c>
      <c r="R26" s="1593">
        <v>66</v>
      </c>
      <c r="S26" s="1593">
        <v>61</v>
      </c>
      <c r="T26" s="1593">
        <v>54</v>
      </c>
      <c r="U26" s="1593">
        <v>121</v>
      </c>
      <c r="V26" s="1593">
        <v>202</v>
      </c>
      <c r="W26" s="1593">
        <v>76</v>
      </c>
      <c r="X26" s="1593">
        <v>88</v>
      </c>
      <c r="Y26" s="1593">
        <v>145</v>
      </c>
    </row>
    <row r="27" spans="1:25" ht="15" x14ac:dyDescent="0.2">
      <c r="A27" s="1517" t="s">
        <v>688</v>
      </c>
      <c r="B27" s="3824">
        <v>10</v>
      </c>
      <c r="C27" s="3825">
        <v>61</v>
      </c>
      <c r="D27" s="3826">
        <f t="shared" si="0"/>
        <v>71</v>
      </c>
      <c r="E27" s="3824">
        <v>0</v>
      </c>
      <c r="F27" s="3825">
        <v>74</v>
      </c>
      <c r="G27" s="3827">
        <f t="shared" si="1"/>
        <v>74</v>
      </c>
      <c r="H27" s="3824">
        <f t="shared" si="2"/>
        <v>10</v>
      </c>
      <c r="I27" s="3825">
        <f t="shared" si="3"/>
        <v>135</v>
      </c>
      <c r="J27" s="3827">
        <f t="shared" si="4"/>
        <v>145</v>
      </c>
      <c r="L27" s="573" t="s">
        <v>12</v>
      </c>
      <c r="M27" s="573">
        <f>SUM(M21:M26)</f>
        <v>412</v>
      </c>
      <c r="N27" s="573">
        <f t="shared" ref="N27:W27" si="5">SUM(N21:N26)</f>
        <v>348</v>
      </c>
      <c r="O27" s="573">
        <f t="shared" si="5"/>
        <v>358</v>
      </c>
      <c r="P27" s="573">
        <f t="shared" si="5"/>
        <v>441</v>
      </c>
      <c r="Q27" s="573">
        <f t="shared" si="5"/>
        <v>433</v>
      </c>
      <c r="R27" s="573">
        <f t="shared" si="5"/>
        <v>636</v>
      </c>
      <c r="S27" s="573">
        <f t="shared" si="5"/>
        <v>366</v>
      </c>
      <c r="T27" s="573">
        <f t="shared" si="5"/>
        <v>341</v>
      </c>
      <c r="U27" s="573">
        <f t="shared" si="5"/>
        <v>474</v>
      </c>
      <c r="V27" s="573">
        <f t="shared" si="5"/>
        <v>813</v>
      </c>
      <c r="W27" s="573">
        <f t="shared" si="5"/>
        <v>397</v>
      </c>
      <c r="X27" s="3786">
        <f>SUM(X21:X26)</f>
        <v>655</v>
      </c>
      <c r="Y27" s="3786">
        <f>SUM(Y21:Y26)</f>
        <v>779</v>
      </c>
    </row>
    <row r="28" spans="1:25" ht="15" x14ac:dyDescent="0.2">
      <c r="A28" s="3814" t="s">
        <v>586</v>
      </c>
      <c r="B28" s="1060">
        <f>SUM(B22:B27)</f>
        <v>554</v>
      </c>
      <c r="C28" s="1061">
        <f t="shared" ref="C28:G28" si="6">SUM(C22:C27)</f>
        <v>139</v>
      </c>
      <c r="D28" s="3828">
        <f t="shared" si="6"/>
        <v>693</v>
      </c>
      <c r="E28" s="1060">
        <f t="shared" si="6"/>
        <v>9</v>
      </c>
      <c r="F28" s="1061">
        <f t="shared" si="6"/>
        <v>77</v>
      </c>
      <c r="G28" s="3828">
        <f t="shared" si="6"/>
        <v>86</v>
      </c>
      <c r="H28" s="1060">
        <f>SUM(H22:H27)</f>
        <v>563</v>
      </c>
      <c r="I28" s="1061">
        <f>SUM(I22:I27)</f>
        <v>216</v>
      </c>
      <c r="J28" s="3828">
        <f t="shared" ref="J28" si="7">SUM(J22:J27)</f>
        <v>779</v>
      </c>
      <c r="L28" s="1473" t="s">
        <v>616</v>
      </c>
    </row>
    <row r="31" spans="1:25" ht="15" x14ac:dyDescent="0.2">
      <c r="A31" s="6561" t="s">
        <v>51</v>
      </c>
      <c r="B31" s="6563" t="s">
        <v>1303</v>
      </c>
      <c r="C31" s="6564"/>
      <c r="D31" s="6565"/>
      <c r="E31" s="6563" t="s">
        <v>1304</v>
      </c>
      <c r="F31" s="6564"/>
      <c r="G31" s="6565"/>
      <c r="H31" s="6558">
        <v>2014</v>
      </c>
      <c r="I31" s="6559"/>
      <c r="J31" s="6560"/>
    </row>
    <row r="32" spans="1:25" ht="15" x14ac:dyDescent="0.2">
      <c r="A32" s="6562"/>
      <c r="B32" s="3812" t="s">
        <v>828</v>
      </c>
      <c r="C32" s="3813" t="s">
        <v>829</v>
      </c>
      <c r="D32" s="3829" t="s">
        <v>160</v>
      </c>
      <c r="E32" s="3813" t="s">
        <v>828</v>
      </c>
      <c r="F32" s="3813" t="s">
        <v>829</v>
      </c>
      <c r="G32" s="3829" t="s">
        <v>160</v>
      </c>
      <c r="H32" s="3813" t="s">
        <v>828</v>
      </c>
      <c r="I32" s="3813" t="s">
        <v>829</v>
      </c>
      <c r="J32" s="3829" t="s">
        <v>160</v>
      </c>
    </row>
    <row r="33" spans="1:10" ht="15" x14ac:dyDescent="0.2">
      <c r="A33" s="3830" t="s">
        <v>161</v>
      </c>
      <c r="B33" s="3815">
        <v>85</v>
      </c>
      <c r="C33" s="3816">
        <v>8</v>
      </c>
      <c r="D33" s="3817">
        <f>SUM(B33:C33)</f>
        <v>93</v>
      </c>
      <c r="E33" s="3815">
        <v>1</v>
      </c>
      <c r="F33" s="3816"/>
      <c r="G33" s="3818">
        <f>SUM(E33:F33)</f>
        <v>1</v>
      </c>
      <c r="H33" s="3815">
        <f>SUM(B33,E33)</f>
        <v>86</v>
      </c>
      <c r="I33" s="3816">
        <f>SUM(C33,F33)</f>
        <v>8</v>
      </c>
      <c r="J33" s="3818">
        <f>SUM(H33:I33)</f>
        <v>94</v>
      </c>
    </row>
    <row r="34" spans="1:10" ht="15" x14ac:dyDescent="0.2">
      <c r="A34" s="3831" t="s">
        <v>410</v>
      </c>
      <c r="B34" s="3819">
        <v>23</v>
      </c>
      <c r="C34" s="3820">
        <v>2</v>
      </c>
      <c r="D34" s="3821">
        <f t="shared" ref="D34:D38" si="8">SUM(B34:C34)</f>
        <v>25</v>
      </c>
      <c r="E34" s="3819"/>
      <c r="F34" s="3820">
        <v>1</v>
      </c>
      <c r="G34" s="3822">
        <f t="shared" ref="G34:G38" si="9">SUM(E34:F34)</f>
        <v>1</v>
      </c>
      <c r="H34" s="3819">
        <f t="shared" ref="H34:H38" si="10">SUM(B34,E34)</f>
        <v>23</v>
      </c>
      <c r="I34" s="3820">
        <f t="shared" ref="I34:I38" si="11">SUM(C34,F34)</f>
        <v>3</v>
      </c>
      <c r="J34" s="3822">
        <f t="shared" ref="J34:J38" si="12">SUM(H34:I34)</f>
        <v>26</v>
      </c>
    </row>
    <row r="35" spans="1:10" ht="15" x14ac:dyDescent="0.2">
      <c r="A35" s="3832" t="s">
        <v>162</v>
      </c>
      <c r="B35" s="3819">
        <v>209</v>
      </c>
      <c r="C35" s="3823">
        <v>21</v>
      </c>
      <c r="D35" s="3821">
        <f t="shared" si="8"/>
        <v>230</v>
      </c>
      <c r="E35" s="3819"/>
      <c r="F35" s="3823">
        <v>4</v>
      </c>
      <c r="G35" s="3822">
        <f t="shared" ref="G35:G36" si="13">SUM(E35:F35)</f>
        <v>4</v>
      </c>
      <c r="H35" s="3819">
        <f t="shared" si="10"/>
        <v>209</v>
      </c>
      <c r="I35" s="3823">
        <f t="shared" si="11"/>
        <v>25</v>
      </c>
      <c r="J35" s="3822">
        <f t="shared" si="12"/>
        <v>234</v>
      </c>
    </row>
    <row r="36" spans="1:10" ht="15" x14ac:dyDescent="0.2">
      <c r="A36" s="3833" t="s">
        <v>411</v>
      </c>
      <c r="B36" s="3819">
        <v>18</v>
      </c>
      <c r="C36" s="3820">
        <v>1</v>
      </c>
      <c r="D36" s="3821">
        <f t="shared" si="8"/>
        <v>19</v>
      </c>
      <c r="E36" s="3819"/>
      <c r="F36" s="3820"/>
      <c r="G36" s="3822">
        <f t="shared" si="13"/>
        <v>0</v>
      </c>
      <c r="H36" s="3819">
        <f t="shared" si="10"/>
        <v>18</v>
      </c>
      <c r="I36" s="3820">
        <f t="shared" si="11"/>
        <v>1</v>
      </c>
      <c r="J36" s="3822">
        <f t="shared" si="12"/>
        <v>19</v>
      </c>
    </row>
    <row r="37" spans="1:10" ht="15" x14ac:dyDescent="0.2">
      <c r="A37" s="3834" t="s">
        <v>163</v>
      </c>
      <c r="B37" s="3819">
        <v>129</v>
      </c>
      <c r="C37" s="3820">
        <v>51</v>
      </c>
      <c r="D37" s="3821">
        <f t="shared" si="8"/>
        <v>180</v>
      </c>
      <c r="E37" s="3819">
        <v>4</v>
      </c>
      <c r="F37" s="3820">
        <v>10</v>
      </c>
      <c r="G37" s="3822">
        <f t="shared" si="9"/>
        <v>14</v>
      </c>
      <c r="H37" s="3819">
        <f t="shared" si="10"/>
        <v>133</v>
      </c>
      <c r="I37" s="3820">
        <f t="shared" si="11"/>
        <v>61</v>
      </c>
      <c r="J37" s="3822">
        <f t="shared" si="12"/>
        <v>194</v>
      </c>
    </row>
    <row r="38" spans="1:10" ht="15" x14ac:dyDescent="0.2">
      <c r="A38" s="1517" t="s">
        <v>688</v>
      </c>
      <c r="B38" s="3824">
        <v>12</v>
      </c>
      <c r="C38" s="3825">
        <v>35</v>
      </c>
      <c r="D38" s="3826">
        <f t="shared" si="8"/>
        <v>47</v>
      </c>
      <c r="E38" s="3824"/>
      <c r="F38" s="3825">
        <v>41</v>
      </c>
      <c r="G38" s="3827">
        <f t="shared" si="9"/>
        <v>41</v>
      </c>
      <c r="H38" s="3824">
        <f t="shared" si="10"/>
        <v>12</v>
      </c>
      <c r="I38" s="3825">
        <f t="shared" si="11"/>
        <v>76</v>
      </c>
      <c r="J38" s="3827">
        <f t="shared" si="12"/>
        <v>88</v>
      </c>
    </row>
    <row r="39" spans="1:10" ht="15" x14ac:dyDescent="0.2">
      <c r="A39" s="3814" t="s">
        <v>586</v>
      </c>
      <c r="B39" s="1060">
        <f>SUM(B33:B38)</f>
        <v>476</v>
      </c>
      <c r="C39" s="1061">
        <f t="shared" ref="C39:J39" si="14">SUM(C33:C38)</f>
        <v>118</v>
      </c>
      <c r="D39" s="3828">
        <f t="shared" si="14"/>
        <v>594</v>
      </c>
      <c r="E39" s="1060">
        <f t="shared" si="14"/>
        <v>5</v>
      </c>
      <c r="F39" s="1061">
        <f t="shared" si="14"/>
        <v>56</v>
      </c>
      <c r="G39" s="3828">
        <f t="shared" si="14"/>
        <v>61</v>
      </c>
      <c r="H39" s="1060">
        <f>SUM(H33:H38)</f>
        <v>481</v>
      </c>
      <c r="I39" s="1061">
        <f>SUM(I33:I38)</f>
        <v>174</v>
      </c>
      <c r="J39" s="3828">
        <f t="shared" si="14"/>
        <v>655</v>
      </c>
    </row>
    <row r="43" spans="1:10" ht="15" x14ac:dyDescent="0.2">
      <c r="A43" s="6561" t="s">
        <v>51</v>
      </c>
      <c r="B43" s="6563" t="s">
        <v>1303</v>
      </c>
      <c r="C43" s="6564"/>
      <c r="D43" s="6565"/>
      <c r="E43" s="6563" t="s">
        <v>1304</v>
      </c>
      <c r="F43" s="6564"/>
      <c r="G43" s="6565"/>
      <c r="H43" s="6558">
        <v>2013</v>
      </c>
      <c r="I43" s="6559"/>
      <c r="J43" s="6560"/>
    </row>
    <row r="44" spans="1:10" ht="15" x14ac:dyDescent="0.2">
      <c r="A44" s="6562"/>
      <c r="B44" s="3812" t="s">
        <v>828</v>
      </c>
      <c r="C44" s="3813" t="s">
        <v>829</v>
      </c>
      <c r="D44" s="3829" t="s">
        <v>160</v>
      </c>
      <c r="E44" s="3813" t="s">
        <v>828</v>
      </c>
      <c r="F44" s="3813" t="s">
        <v>829</v>
      </c>
      <c r="G44" s="3829" t="s">
        <v>160</v>
      </c>
      <c r="H44" s="3813" t="s">
        <v>828</v>
      </c>
      <c r="I44" s="3813" t="s">
        <v>829</v>
      </c>
      <c r="J44" s="3829" t="s">
        <v>160</v>
      </c>
    </row>
    <row r="45" spans="1:10" ht="15" x14ac:dyDescent="0.2">
      <c r="A45" s="3830" t="s">
        <v>161</v>
      </c>
      <c r="B45" s="3815">
        <v>19</v>
      </c>
      <c r="C45" s="3816">
        <v>4</v>
      </c>
      <c r="D45" s="3817">
        <f>SUM(B45:C45)</f>
        <v>23</v>
      </c>
      <c r="E45" s="3815"/>
      <c r="F45" s="3816"/>
      <c r="G45" s="3818">
        <f>SUM(E45:F45)</f>
        <v>0</v>
      </c>
      <c r="H45" s="3815">
        <f>SUM(B45,E45)</f>
        <v>19</v>
      </c>
      <c r="I45" s="3816">
        <f>SUM(C45,F45)</f>
        <v>4</v>
      </c>
      <c r="J45" s="3818">
        <f>SUM(H45:I45)</f>
        <v>23</v>
      </c>
    </row>
    <row r="46" spans="1:10" ht="15" x14ac:dyDescent="0.2">
      <c r="A46" s="3831" t="s">
        <v>410</v>
      </c>
      <c r="B46" s="3819">
        <v>31</v>
      </c>
      <c r="C46" s="3820">
        <v>7</v>
      </c>
      <c r="D46" s="3821">
        <f t="shared" ref="D46:D50" si="15">SUM(B46:C46)</f>
        <v>38</v>
      </c>
      <c r="E46" s="3819"/>
      <c r="F46" s="3820"/>
      <c r="G46" s="3822">
        <f t="shared" ref="G46" si="16">SUM(E46:F46)</f>
        <v>0</v>
      </c>
      <c r="H46" s="3819">
        <f t="shared" ref="H46:H50" si="17">SUM(B46,E46)</f>
        <v>31</v>
      </c>
      <c r="I46" s="3820">
        <f t="shared" ref="I46:I50" si="18">SUM(C46,F46)</f>
        <v>7</v>
      </c>
      <c r="J46" s="3822">
        <f t="shared" ref="J46:J50" si="19">SUM(H46:I46)</f>
        <v>38</v>
      </c>
    </row>
    <row r="47" spans="1:10" ht="15" x14ac:dyDescent="0.2">
      <c r="A47" s="3832" t="s">
        <v>162</v>
      </c>
      <c r="B47" s="3819">
        <v>76</v>
      </c>
      <c r="C47" s="3823">
        <v>34</v>
      </c>
      <c r="D47" s="3821">
        <f t="shared" si="15"/>
        <v>110</v>
      </c>
      <c r="E47" s="3819">
        <v>0</v>
      </c>
      <c r="F47" s="3823">
        <v>5</v>
      </c>
      <c r="G47" s="3822">
        <f t="shared" ref="G47:G48" si="20">SUM(E47:F47)</f>
        <v>5</v>
      </c>
      <c r="H47" s="3819">
        <f t="shared" si="17"/>
        <v>76</v>
      </c>
      <c r="I47" s="3823">
        <f t="shared" si="18"/>
        <v>39</v>
      </c>
      <c r="J47" s="3822">
        <f t="shared" si="19"/>
        <v>115</v>
      </c>
    </row>
    <row r="48" spans="1:10" ht="15" x14ac:dyDescent="0.2">
      <c r="A48" s="3833" t="s">
        <v>411</v>
      </c>
      <c r="B48" s="3819">
        <v>7</v>
      </c>
      <c r="C48" s="3820">
        <v>3</v>
      </c>
      <c r="D48" s="3821">
        <f t="shared" si="15"/>
        <v>10</v>
      </c>
      <c r="E48" s="3819"/>
      <c r="F48" s="3820"/>
      <c r="G48" s="3822">
        <f t="shared" si="20"/>
        <v>0</v>
      </c>
      <c r="H48" s="3819">
        <f t="shared" si="17"/>
        <v>7</v>
      </c>
      <c r="I48" s="3820">
        <f t="shared" si="18"/>
        <v>3</v>
      </c>
      <c r="J48" s="3822">
        <f t="shared" si="19"/>
        <v>10</v>
      </c>
    </row>
    <row r="49" spans="1:25" ht="15" x14ac:dyDescent="0.2">
      <c r="A49" s="3834" t="s">
        <v>163</v>
      </c>
      <c r="B49" s="3819">
        <v>47</v>
      </c>
      <c r="C49" s="3820">
        <v>70</v>
      </c>
      <c r="D49" s="3821">
        <f t="shared" si="15"/>
        <v>117</v>
      </c>
      <c r="E49" s="3819"/>
      <c r="F49" s="3820">
        <v>18</v>
      </c>
      <c r="G49" s="3822">
        <f t="shared" ref="G49:G50" si="21">SUM(E49:F49)</f>
        <v>18</v>
      </c>
      <c r="H49" s="3819">
        <f t="shared" si="17"/>
        <v>47</v>
      </c>
      <c r="I49" s="3820">
        <f t="shared" si="18"/>
        <v>88</v>
      </c>
      <c r="J49" s="3822">
        <f t="shared" si="19"/>
        <v>135</v>
      </c>
    </row>
    <row r="50" spans="1:25" ht="15" x14ac:dyDescent="0.2">
      <c r="A50" s="1517" t="s">
        <v>688</v>
      </c>
      <c r="B50" s="3824">
        <v>2</v>
      </c>
      <c r="C50" s="3825">
        <v>44</v>
      </c>
      <c r="D50" s="3826">
        <f t="shared" si="15"/>
        <v>46</v>
      </c>
      <c r="E50" s="3824"/>
      <c r="F50" s="3825">
        <v>30</v>
      </c>
      <c r="G50" s="3827">
        <f t="shared" si="21"/>
        <v>30</v>
      </c>
      <c r="H50" s="3824">
        <f t="shared" si="17"/>
        <v>2</v>
      </c>
      <c r="I50" s="3825">
        <f t="shared" si="18"/>
        <v>74</v>
      </c>
      <c r="J50" s="3827">
        <f t="shared" si="19"/>
        <v>76</v>
      </c>
    </row>
    <row r="51" spans="1:25" ht="15" x14ac:dyDescent="0.2">
      <c r="A51" s="3814" t="s">
        <v>586</v>
      </c>
      <c r="B51" s="1060">
        <f>SUM(B45:B50)</f>
        <v>182</v>
      </c>
      <c r="C51" s="1061">
        <f>SUM(C45:C50)</f>
        <v>162</v>
      </c>
      <c r="D51" s="3828">
        <f>SUM(D45:D50)</f>
        <v>344</v>
      </c>
      <c r="E51" s="1060"/>
      <c r="F51" s="1061">
        <f>SUM(F49:F50)</f>
        <v>48</v>
      </c>
      <c r="G51" s="3828">
        <f t="shared" ref="G51" si="22">SUM(G45:G50)</f>
        <v>53</v>
      </c>
      <c r="H51" s="1060">
        <f>SUM(H45:H50)</f>
        <v>182</v>
      </c>
      <c r="I51" s="1061">
        <f>SUM(I45:I50)</f>
        <v>215</v>
      </c>
      <c r="J51" s="3828">
        <f t="shared" ref="J51" si="23">SUM(J45:J50)</f>
        <v>397</v>
      </c>
    </row>
    <row r="53" spans="1:25" ht="15" customHeight="1" x14ac:dyDescent="0.2"/>
    <row r="54" spans="1:25" ht="15" customHeight="1" x14ac:dyDescent="0.2"/>
    <row r="55" spans="1:25" ht="15" customHeight="1" x14ac:dyDescent="0.2">
      <c r="A55" s="6561" t="s">
        <v>51</v>
      </c>
      <c r="B55" s="6563" t="s">
        <v>1303</v>
      </c>
      <c r="C55" s="6564"/>
      <c r="D55" s="6565"/>
      <c r="E55" s="6563" t="s">
        <v>1304</v>
      </c>
      <c r="F55" s="6564"/>
      <c r="G55" s="6565"/>
      <c r="H55" s="6558">
        <v>2012</v>
      </c>
      <c r="I55" s="6559"/>
      <c r="J55" s="6560"/>
    </row>
    <row r="56" spans="1:25" ht="15" customHeight="1" x14ac:dyDescent="0.2">
      <c r="A56" s="6562"/>
      <c r="B56" s="3812" t="s">
        <v>828</v>
      </c>
      <c r="C56" s="3813" t="s">
        <v>829</v>
      </c>
      <c r="D56" s="3829" t="s">
        <v>160</v>
      </c>
      <c r="E56" s="3813" t="s">
        <v>828</v>
      </c>
      <c r="F56" s="3813" t="s">
        <v>829</v>
      </c>
      <c r="G56" s="3829" t="s">
        <v>160</v>
      </c>
      <c r="H56" s="3813" t="s">
        <v>828</v>
      </c>
      <c r="I56" s="3813" t="s">
        <v>829</v>
      </c>
      <c r="J56" s="3829" t="s">
        <v>160</v>
      </c>
    </row>
    <row r="57" spans="1:25" ht="15" customHeight="1" x14ac:dyDescent="0.2">
      <c r="A57" s="3830" t="s">
        <v>161</v>
      </c>
      <c r="B57" s="3815">
        <v>42</v>
      </c>
      <c r="C57" s="3816">
        <v>8</v>
      </c>
      <c r="D57" s="3817">
        <f>SUM(B57:C57)</f>
        <v>50</v>
      </c>
      <c r="E57" s="3815"/>
      <c r="F57" s="3816"/>
      <c r="G57" s="3818">
        <f>SUM(E57:F57)</f>
        <v>0</v>
      </c>
      <c r="H57" s="3815">
        <f>SUM(B57,E57)</f>
        <v>42</v>
      </c>
      <c r="I57" s="3816">
        <f>SUM(C57,F57)</f>
        <v>8</v>
      </c>
      <c r="J57" s="3818">
        <f>SUM(H57:I57)</f>
        <v>50</v>
      </c>
    </row>
    <row r="58" spans="1:25" s="208" customFormat="1" ht="20.100000000000001" customHeight="1" x14ac:dyDescent="0.2">
      <c r="A58" s="3831" t="s">
        <v>410</v>
      </c>
      <c r="B58" s="3819">
        <v>3</v>
      </c>
      <c r="C58" s="3820">
        <v>26</v>
      </c>
      <c r="D58" s="3821">
        <f t="shared" ref="D58:D62" si="24">SUM(B58:C58)</f>
        <v>29</v>
      </c>
      <c r="E58" s="3819"/>
      <c r="F58" s="3820"/>
      <c r="G58" s="3822">
        <f t="shared" ref="G58" si="25">SUM(E58:F58)</f>
        <v>0</v>
      </c>
      <c r="H58" s="3819">
        <f t="shared" ref="H58:H62" si="26">SUM(B58,E58)</f>
        <v>3</v>
      </c>
      <c r="I58" s="3820">
        <f t="shared" ref="I58:I62" si="27">SUM(C58,F58)</f>
        <v>26</v>
      </c>
      <c r="J58" s="3822">
        <f t="shared" ref="J58:J62" si="28">SUM(H58:I58)</f>
        <v>29</v>
      </c>
      <c r="L58" s="2976" t="s">
        <v>830</v>
      </c>
      <c r="M58" s="2975">
        <v>2003</v>
      </c>
      <c r="N58" s="2975">
        <v>2004</v>
      </c>
      <c r="O58" s="2975">
        <v>2005</v>
      </c>
      <c r="P58" s="2975">
        <v>2006</v>
      </c>
      <c r="Q58" s="2975">
        <v>2007</v>
      </c>
      <c r="R58" s="2975">
        <v>2008</v>
      </c>
      <c r="S58" s="2975">
        <v>2009</v>
      </c>
      <c r="T58" s="2975">
        <v>2010</v>
      </c>
      <c r="U58" s="2975">
        <v>2011</v>
      </c>
      <c r="V58" s="2975">
        <v>2012</v>
      </c>
      <c r="W58" s="2975">
        <v>2013</v>
      </c>
      <c r="X58" s="2975">
        <v>2014</v>
      </c>
      <c r="Y58" s="4837">
        <v>2015</v>
      </c>
    </row>
    <row r="59" spans="1:25" s="208" customFormat="1" ht="20.100000000000001" customHeight="1" x14ac:dyDescent="0.2">
      <c r="A59" s="3832" t="s">
        <v>162</v>
      </c>
      <c r="B59" s="3819">
        <v>311</v>
      </c>
      <c r="C59" s="3823">
        <v>44</v>
      </c>
      <c r="D59" s="3821">
        <f t="shared" si="24"/>
        <v>355</v>
      </c>
      <c r="E59" s="3819">
        <v>1</v>
      </c>
      <c r="F59" s="3823">
        <v>10</v>
      </c>
      <c r="G59" s="3822">
        <f t="shared" ref="G59:G60" si="29">SUM(E59:F59)</f>
        <v>11</v>
      </c>
      <c r="H59" s="3819">
        <f t="shared" si="26"/>
        <v>312</v>
      </c>
      <c r="I59" s="3823">
        <f t="shared" si="27"/>
        <v>54</v>
      </c>
      <c r="J59" s="3822">
        <f t="shared" si="28"/>
        <v>366</v>
      </c>
      <c r="L59" s="3869" t="s">
        <v>826</v>
      </c>
      <c r="M59" s="1593">
        <v>367</v>
      </c>
      <c r="N59" s="1593">
        <v>291</v>
      </c>
      <c r="O59" s="1593">
        <v>302</v>
      </c>
      <c r="P59" s="1593">
        <v>395</v>
      </c>
      <c r="Q59" s="1593">
        <v>377</v>
      </c>
      <c r="R59" s="1593">
        <v>606</v>
      </c>
      <c r="S59" s="1593">
        <v>320</v>
      </c>
      <c r="T59" s="1593">
        <v>304</v>
      </c>
      <c r="U59" s="1593">
        <v>405</v>
      </c>
      <c r="V59" s="1593">
        <v>698</v>
      </c>
      <c r="W59" s="1593">
        <v>344</v>
      </c>
      <c r="X59" s="1593">
        <v>594</v>
      </c>
      <c r="Y59" s="1593">
        <v>693</v>
      </c>
    </row>
    <row r="60" spans="1:25" s="208" customFormat="1" ht="20.100000000000001" customHeight="1" x14ac:dyDescent="0.2">
      <c r="A60" s="3833" t="s">
        <v>411</v>
      </c>
      <c r="B60" s="3819">
        <v>76</v>
      </c>
      <c r="C60" s="3820">
        <v>59</v>
      </c>
      <c r="D60" s="3821">
        <f t="shared" si="24"/>
        <v>135</v>
      </c>
      <c r="E60" s="3819">
        <v>2</v>
      </c>
      <c r="F60" s="3820">
        <v>29</v>
      </c>
      <c r="G60" s="3822">
        <f t="shared" si="29"/>
        <v>31</v>
      </c>
      <c r="H60" s="3819">
        <f t="shared" si="26"/>
        <v>78</v>
      </c>
      <c r="I60" s="3820">
        <f t="shared" si="27"/>
        <v>88</v>
      </c>
      <c r="J60" s="3822">
        <f t="shared" si="28"/>
        <v>166</v>
      </c>
      <c r="L60" s="3869" t="s">
        <v>827</v>
      </c>
      <c r="M60" s="1593">
        <v>45</v>
      </c>
      <c r="N60" s="1593">
        <v>57</v>
      </c>
      <c r="O60" s="1593">
        <v>56</v>
      </c>
      <c r="P60" s="1593">
        <v>46</v>
      </c>
      <c r="Q60" s="1593">
        <v>56</v>
      </c>
      <c r="R60" s="1593">
        <v>30</v>
      </c>
      <c r="S60" s="1593">
        <v>46</v>
      </c>
      <c r="T60" s="1593">
        <v>37</v>
      </c>
      <c r="U60" s="1593">
        <v>69</v>
      </c>
      <c r="V60" s="1593">
        <v>115</v>
      </c>
      <c r="W60" s="1593">
        <v>53</v>
      </c>
      <c r="X60" s="1593">
        <v>61</v>
      </c>
      <c r="Y60" s="1593">
        <v>86</v>
      </c>
    </row>
    <row r="61" spans="1:25" s="208" customFormat="1" ht="20.100000000000001" customHeight="1" x14ac:dyDescent="0.2">
      <c r="A61" s="3834" t="s">
        <v>163</v>
      </c>
      <c r="B61" s="3819"/>
      <c r="C61" s="3820"/>
      <c r="D61" s="3821">
        <f t="shared" si="24"/>
        <v>0</v>
      </c>
      <c r="E61" s="3819"/>
      <c r="F61" s="3820"/>
      <c r="G61" s="3822">
        <f t="shared" ref="G61:G62" si="30">SUM(E61:F61)</f>
        <v>0</v>
      </c>
      <c r="H61" s="3819">
        <f t="shared" si="26"/>
        <v>0</v>
      </c>
      <c r="I61" s="3820">
        <f t="shared" si="27"/>
        <v>0</v>
      </c>
      <c r="J61" s="3822">
        <f t="shared" si="28"/>
        <v>0</v>
      </c>
      <c r="L61" s="3845" t="s">
        <v>586</v>
      </c>
      <c r="M61" s="3845">
        <f>SUM(M59:M60)</f>
        <v>412</v>
      </c>
      <c r="N61" s="3845">
        <f t="shared" ref="N61:Y61" si="31">SUM(N59:N60)</f>
        <v>348</v>
      </c>
      <c r="O61" s="3845">
        <f t="shared" si="31"/>
        <v>358</v>
      </c>
      <c r="P61" s="3845">
        <f t="shared" si="31"/>
        <v>441</v>
      </c>
      <c r="Q61" s="3845">
        <f t="shared" si="31"/>
        <v>433</v>
      </c>
      <c r="R61" s="3845">
        <f t="shared" si="31"/>
        <v>636</v>
      </c>
      <c r="S61" s="3845">
        <f t="shared" si="31"/>
        <v>366</v>
      </c>
      <c r="T61" s="3845">
        <f t="shared" si="31"/>
        <v>341</v>
      </c>
      <c r="U61" s="3845">
        <f t="shared" si="31"/>
        <v>474</v>
      </c>
      <c r="V61" s="3845">
        <f t="shared" si="31"/>
        <v>813</v>
      </c>
      <c r="W61" s="3845">
        <f t="shared" si="31"/>
        <v>397</v>
      </c>
      <c r="X61" s="3845">
        <f t="shared" si="31"/>
        <v>655</v>
      </c>
      <c r="Y61" s="4838">
        <f t="shared" si="31"/>
        <v>779</v>
      </c>
    </row>
    <row r="62" spans="1:25" s="208" customFormat="1" ht="20.100000000000001" customHeight="1" x14ac:dyDescent="0.2">
      <c r="A62" s="1517" t="s">
        <v>688</v>
      </c>
      <c r="B62" s="3824">
        <v>4</v>
      </c>
      <c r="C62" s="3825">
        <v>125</v>
      </c>
      <c r="D62" s="3826">
        <f t="shared" si="24"/>
        <v>129</v>
      </c>
      <c r="E62" s="3824">
        <v>2</v>
      </c>
      <c r="F62" s="3825">
        <v>71</v>
      </c>
      <c r="G62" s="3827">
        <f t="shared" si="30"/>
        <v>73</v>
      </c>
      <c r="H62" s="3824">
        <f t="shared" si="26"/>
        <v>6</v>
      </c>
      <c r="I62" s="3825">
        <f t="shared" si="27"/>
        <v>196</v>
      </c>
      <c r="J62" s="3827">
        <f t="shared" si="28"/>
        <v>202</v>
      </c>
    </row>
    <row r="63" spans="1:25" ht="20.100000000000001" customHeight="1" x14ac:dyDescent="0.2">
      <c r="A63" s="3814" t="s">
        <v>586</v>
      </c>
      <c r="B63" s="1060">
        <f>SUM(B57:B62)</f>
        <v>436</v>
      </c>
      <c r="C63" s="1061">
        <f t="shared" ref="C63:G63" si="32">SUM(C57:C62)</f>
        <v>262</v>
      </c>
      <c r="D63" s="3828">
        <f t="shared" si="32"/>
        <v>698</v>
      </c>
      <c r="E63" s="1060">
        <f t="shared" si="32"/>
        <v>5</v>
      </c>
      <c r="F63" s="1061">
        <f t="shared" si="32"/>
        <v>110</v>
      </c>
      <c r="G63" s="3828">
        <f t="shared" si="32"/>
        <v>115</v>
      </c>
      <c r="H63" s="1060">
        <f>SUM(H57:H62)</f>
        <v>441</v>
      </c>
      <c r="I63" s="1061">
        <f>SUM(I57:I62)</f>
        <v>372</v>
      </c>
      <c r="J63" s="3828">
        <f t="shared" ref="J63" si="33">SUM(J57:J62)</f>
        <v>813</v>
      </c>
      <c r="L63" s="208"/>
      <c r="M63" s="208"/>
      <c r="N63" s="208"/>
      <c r="O63" s="208"/>
      <c r="P63" s="208"/>
      <c r="Q63" s="208"/>
      <c r="R63" s="208"/>
      <c r="S63" s="208"/>
      <c r="T63" s="208"/>
      <c r="U63" s="208"/>
      <c r="V63" s="208"/>
      <c r="W63" s="208"/>
      <c r="X63" s="208"/>
      <c r="Y63" s="208"/>
    </row>
    <row r="64" spans="1:25" x14ac:dyDescent="0.2">
      <c r="L64" s="208"/>
      <c r="M64" s="208"/>
      <c r="N64" s="208"/>
      <c r="O64" s="208"/>
      <c r="P64" s="208"/>
      <c r="Q64" s="208"/>
      <c r="R64" s="208"/>
      <c r="S64" s="208"/>
      <c r="T64" s="208"/>
      <c r="U64" s="208"/>
      <c r="V64" s="208"/>
      <c r="W64" s="208"/>
      <c r="X64" s="208"/>
      <c r="Y64" s="208"/>
    </row>
    <row r="68" spans="1:7" x14ac:dyDescent="0.2">
      <c r="A68" s="6566">
        <v>2011</v>
      </c>
      <c r="B68" s="6567"/>
      <c r="C68" s="6567"/>
      <c r="D68" s="6567"/>
      <c r="E68" s="6567"/>
      <c r="F68" s="6567"/>
      <c r="G68" s="6568"/>
    </row>
    <row r="69" spans="1:7" x14ac:dyDescent="0.2">
      <c r="A69" s="3811" t="s">
        <v>1306</v>
      </c>
      <c r="B69" s="3844" t="s">
        <v>1307</v>
      </c>
      <c r="C69" s="3844" t="s">
        <v>1308</v>
      </c>
      <c r="D69" s="4849" t="s">
        <v>160</v>
      </c>
      <c r="E69" s="3812" t="s">
        <v>828</v>
      </c>
      <c r="F69" s="3813" t="s">
        <v>829</v>
      </c>
      <c r="G69" s="4849" t="s">
        <v>160</v>
      </c>
    </row>
    <row r="70" spans="1:7" x14ac:dyDescent="0.2">
      <c r="A70" s="3839" t="s">
        <v>1310</v>
      </c>
      <c r="B70" s="3835">
        <v>102</v>
      </c>
      <c r="C70" s="3836">
        <v>9</v>
      </c>
      <c r="D70" s="3837">
        <f t="shared" ref="D70:D75" si="34">SUM(B70:C70)</f>
        <v>111</v>
      </c>
      <c r="E70" s="3835">
        <v>75</v>
      </c>
      <c r="F70" s="3835">
        <v>36</v>
      </c>
      <c r="G70" s="3838">
        <f t="shared" ref="G70:G75" si="35">SUM(E70:F70)</f>
        <v>111</v>
      </c>
    </row>
    <row r="71" spans="1:7" x14ac:dyDescent="0.2">
      <c r="A71" s="3840" t="s">
        <v>1311</v>
      </c>
      <c r="B71" s="3835">
        <v>16</v>
      </c>
      <c r="C71" s="3836">
        <v>3</v>
      </c>
      <c r="D71" s="3837">
        <f t="shared" si="34"/>
        <v>19</v>
      </c>
      <c r="E71" s="3835">
        <v>5</v>
      </c>
      <c r="F71" s="3835">
        <v>14</v>
      </c>
      <c r="G71" s="3838">
        <f t="shared" si="35"/>
        <v>19</v>
      </c>
    </row>
    <row r="72" spans="1:7" x14ac:dyDescent="0.2">
      <c r="A72" s="3841" t="s">
        <v>162</v>
      </c>
      <c r="B72" s="3835">
        <v>80</v>
      </c>
      <c r="C72" s="3835">
        <v>5</v>
      </c>
      <c r="D72" s="3837">
        <f t="shared" si="34"/>
        <v>85</v>
      </c>
      <c r="E72" s="3835">
        <v>73</v>
      </c>
      <c r="F72" s="3835">
        <v>12</v>
      </c>
      <c r="G72" s="3838">
        <f t="shared" si="35"/>
        <v>85</v>
      </c>
    </row>
    <row r="73" spans="1:7" x14ac:dyDescent="0.2">
      <c r="A73" s="3842" t="s">
        <v>163</v>
      </c>
      <c r="B73" s="3835">
        <v>126</v>
      </c>
      <c r="C73" s="3835">
        <v>8</v>
      </c>
      <c r="D73" s="3837">
        <f t="shared" si="34"/>
        <v>134</v>
      </c>
      <c r="E73" s="3835">
        <v>56</v>
      </c>
      <c r="F73" s="3835">
        <v>78</v>
      </c>
      <c r="G73" s="3838">
        <f t="shared" si="35"/>
        <v>134</v>
      </c>
    </row>
    <row r="74" spans="1:7" x14ac:dyDescent="0.2">
      <c r="A74" s="3843" t="s">
        <v>411</v>
      </c>
      <c r="B74" s="3835">
        <v>4</v>
      </c>
      <c r="C74" s="3835"/>
      <c r="D74" s="3837">
        <f t="shared" si="34"/>
        <v>4</v>
      </c>
      <c r="E74" s="3835">
        <v>1</v>
      </c>
      <c r="F74" s="3835">
        <v>3</v>
      </c>
      <c r="G74" s="3838">
        <f t="shared" si="35"/>
        <v>4</v>
      </c>
    </row>
    <row r="75" spans="1:7" x14ac:dyDescent="0.2">
      <c r="A75" s="3835" t="s">
        <v>688</v>
      </c>
      <c r="B75" s="3835">
        <v>77</v>
      </c>
      <c r="C75" s="3835">
        <v>44</v>
      </c>
      <c r="D75" s="3837">
        <f t="shared" si="34"/>
        <v>121</v>
      </c>
      <c r="E75" s="3835">
        <v>8</v>
      </c>
      <c r="F75" s="3835">
        <v>113</v>
      </c>
      <c r="G75" s="3838">
        <f t="shared" si="35"/>
        <v>121</v>
      </c>
    </row>
    <row r="76" spans="1:7" x14ac:dyDescent="0.2">
      <c r="A76" s="3811" t="s">
        <v>1309</v>
      </c>
      <c r="B76" s="3811">
        <f t="shared" ref="B76:G76" si="36">SUM(B70:B75)</f>
        <v>405</v>
      </c>
      <c r="C76" s="3811">
        <f t="shared" si="36"/>
        <v>69</v>
      </c>
      <c r="D76" s="3811">
        <f t="shared" si="36"/>
        <v>474</v>
      </c>
      <c r="E76" s="3811">
        <f t="shared" si="36"/>
        <v>218</v>
      </c>
      <c r="F76" s="3811">
        <f t="shared" si="36"/>
        <v>256</v>
      </c>
      <c r="G76" s="3811">
        <f t="shared" si="36"/>
        <v>474</v>
      </c>
    </row>
    <row r="83" spans="12:25" ht="20.100000000000001" customHeight="1" x14ac:dyDescent="0.2"/>
    <row r="84" spans="12:25" ht="20.100000000000001" customHeight="1" x14ac:dyDescent="0.2"/>
    <row r="85" spans="12:25" ht="20.100000000000001" customHeight="1" x14ac:dyDescent="0.2"/>
    <row r="86" spans="12:25" ht="20.100000000000001" customHeight="1" x14ac:dyDescent="0.2">
      <c r="L86" s="2976" t="s">
        <v>831</v>
      </c>
      <c r="M86" s="2975">
        <v>2003</v>
      </c>
      <c r="N86" s="2975">
        <v>2004</v>
      </c>
      <c r="O86" s="2975">
        <v>2005</v>
      </c>
      <c r="P86" s="2975">
        <v>2006</v>
      </c>
      <c r="Q86" s="2975">
        <v>2007</v>
      </c>
      <c r="R86" s="2975">
        <v>2008</v>
      </c>
      <c r="S86" s="2975">
        <v>2009</v>
      </c>
      <c r="T86" s="2975">
        <v>2010</v>
      </c>
      <c r="U86" s="2975">
        <v>2011</v>
      </c>
      <c r="V86" s="2975">
        <v>2012</v>
      </c>
      <c r="W86" s="2975">
        <v>2013</v>
      </c>
      <c r="X86" s="2975">
        <v>2014</v>
      </c>
      <c r="Y86" s="4837">
        <v>2015</v>
      </c>
    </row>
    <row r="87" spans="12:25" ht="15" x14ac:dyDescent="0.2">
      <c r="L87" s="3869" t="s">
        <v>828</v>
      </c>
      <c r="M87" s="1593">
        <v>125</v>
      </c>
      <c r="N87" s="1593">
        <v>107</v>
      </c>
      <c r="O87" s="1593">
        <v>129</v>
      </c>
      <c r="P87" s="1593">
        <v>166</v>
      </c>
      <c r="Q87" s="1593">
        <v>212</v>
      </c>
      <c r="R87" s="1593">
        <v>301</v>
      </c>
      <c r="S87" s="1593">
        <v>181</v>
      </c>
      <c r="T87" s="1593">
        <v>75</v>
      </c>
      <c r="U87" s="1593">
        <v>218</v>
      </c>
      <c r="V87" s="1593">
        <v>441</v>
      </c>
      <c r="W87" s="1593">
        <v>182</v>
      </c>
      <c r="X87" s="1593">
        <v>481</v>
      </c>
      <c r="Y87" s="1593">
        <v>563</v>
      </c>
    </row>
    <row r="88" spans="12:25" ht="15" x14ac:dyDescent="0.2">
      <c r="L88" s="3869" t="s">
        <v>829</v>
      </c>
      <c r="M88" s="1593">
        <v>287</v>
      </c>
      <c r="N88" s="1593">
        <v>241</v>
      </c>
      <c r="O88" s="1593">
        <v>229</v>
      </c>
      <c r="P88" s="1593">
        <v>275</v>
      </c>
      <c r="Q88" s="1593">
        <v>221</v>
      </c>
      <c r="R88" s="1593">
        <v>335</v>
      </c>
      <c r="S88" s="1593">
        <v>185</v>
      </c>
      <c r="T88" s="1593">
        <v>266</v>
      </c>
      <c r="U88" s="1593">
        <v>256</v>
      </c>
      <c r="V88" s="1593">
        <v>372</v>
      </c>
      <c r="W88" s="1593">
        <v>215</v>
      </c>
      <c r="X88" s="1593">
        <v>174</v>
      </c>
      <c r="Y88" s="1593">
        <v>216</v>
      </c>
    </row>
    <row r="89" spans="12:25" ht="15" x14ac:dyDescent="0.2">
      <c r="L89" s="3845" t="s">
        <v>586</v>
      </c>
      <c r="M89" s="3845">
        <f>SUM(M87:M88)</f>
        <v>412</v>
      </c>
      <c r="N89" s="3845">
        <f t="shared" ref="N89:Y89" si="37">SUM(N87:N88)</f>
        <v>348</v>
      </c>
      <c r="O89" s="3845">
        <f t="shared" si="37"/>
        <v>358</v>
      </c>
      <c r="P89" s="3845">
        <f t="shared" si="37"/>
        <v>441</v>
      </c>
      <c r="Q89" s="3845">
        <f t="shared" si="37"/>
        <v>433</v>
      </c>
      <c r="R89" s="3845">
        <f t="shared" si="37"/>
        <v>636</v>
      </c>
      <c r="S89" s="3845">
        <f t="shared" si="37"/>
        <v>366</v>
      </c>
      <c r="T89" s="3845">
        <f t="shared" si="37"/>
        <v>341</v>
      </c>
      <c r="U89" s="3845">
        <f t="shared" si="37"/>
        <v>474</v>
      </c>
      <c r="V89" s="3845">
        <f t="shared" si="37"/>
        <v>813</v>
      </c>
      <c r="W89" s="3845">
        <f t="shared" si="37"/>
        <v>397</v>
      </c>
      <c r="X89" s="3845">
        <f t="shared" si="37"/>
        <v>655</v>
      </c>
      <c r="Y89" s="4838">
        <f t="shared" si="37"/>
        <v>779</v>
      </c>
    </row>
  </sheetData>
  <mergeCells count="17">
    <mergeCell ref="A68:G68"/>
    <mergeCell ref="A20:A21"/>
    <mergeCell ref="B20:D20"/>
    <mergeCell ref="E20:G20"/>
    <mergeCell ref="H20:J20"/>
    <mergeCell ref="A55:A56"/>
    <mergeCell ref="B55:D55"/>
    <mergeCell ref="E55:G55"/>
    <mergeCell ref="H55:J55"/>
    <mergeCell ref="E31:G31"/>
    <mergeCell ref="H31:J31"/>
    <mergeCell ref="A43:A44"/>
    <mergeCell ref="B43:D43"/>
    <mergeCell ref="E43:G43"/>
    <mergeCell ref="H43:J43"/>
    <mergeCell ref="A31:A32"/>
    <mergeCell ref="B31:D31"/>
  </mergeCells>
  <printOptions horizontalCentered="1" verticalCentered="1"/>
  <pageMargins left="0.74803149606299213" right="0.74803149606299213" top="0.39370078740157483" bottom="0.39370078740157483" header="0" footer="0"/>
  <pageSetup scale="75" orientation="landscape" r:id="rId1"/>
  <headerFooter alignWithMargins="0"/>
  <rowBreaks count="1" manualBreakCount="1">
    <brk id="56" max="16383" man="1"/>
  </rowBreaks>
  <ignoredErrors>
    <ignoredError sqref="M27:Y27 M61:Y61 M89:Y89" formulaRange="1"/>
  </ignoredErrors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25A8"/>
  </sheetPr>
  <dimension ref="B2:Z30"/>
  <sheetViews>
    <sheetView workbookViewId="0">
      <pane xSplit="3" topLeftCell="R1" activePane="topRight" state="frozen"/>
      <selection pane="topRight" activeCell="AB20" sqref="AB20"/>
    </sheetView>
  </sheetViews>
  <sheetFormatPr baseColWidth="10" defaultRowHeight="15" x14ac:dyDescent="0.25"/>
  <cols>
    <col min="1" max="1" width="3.140625" style="4872" customWidth="1"/>
    <col min="2" max="2" width="4.140625" style="4872" customWidth="1"/>
    <col min="3" max="3" width="69.140625" style="4872" customWidth="1"/>
    <col min="4" max="4" width="11.7109375" style="4872" customWidth="1"/>
    <col min="5" max="5" width="5.7109375" style="4872" customWidth="1"/>
    <col min="6" max="6" width="11.7109375" style="4872" customWidth="1"/>
    <col min="7" max="7" width="5.7109375" style="4872" customWidth="1"/>
    <col min="8" max="9" width="11.7109375" style="4872" customWidth="1"/>
    <col min="10" max="10" width="5.7109375" style="4872" customWidth="1"/>
    <col min="11" max="11" width="11.7109375" style="4872" customWidth="1"/>
    <col min="12" max="12" width="11.42578125" style="4872" customWidth="1"/>
    <col min="13" max="13" width="5.7109375" style="4872" customWidth="1"/>
    <col min="14" max="14" width="11.7109375" style="4872" customWidth="1"/>
    <col min="15" max="15" width="11.42578125" style="4872"/>
    <col min="16" max="16" width="5.7109375" style="4872" customWidth="1"/>
    <col min="17" max="17" width="11.7109375" style="4872" customWidth="1"/>
    <col min="18" max="18" width="11.42578125" style="4872"/>
    <col min="19" max="19" width="5.7109375" style="4872" customWidth="1"/>
    <col min="20" max="20" width="11.7109375" style="4872" customWidth="1"/>
    <col min="21" max="21" width="11.42578125" style="4872"/>
    <col min="22" max="22" width="5.7109375" style="4872" customWidth="1"/>
    <col min="23" max="16384" width="11.42578125" style="4872"/>
  </cols>
  <sheetData>
    <row r="2" spans="2:26" x14ac:dyDescent="0.25">
      <c r="C2" s="4873" t="s">
        <v>1530</v>
      </c>
      <c r="D2" s="4873"/>
      <c r="E2" s="4873"/>
      <c r="F2" s="4873"/>
      <c r="G2" s="4873"/>
      <c r="H2" s="4873"/>
      <c r="I2" s="4873"/>
      <c r="J2" s="4873"/>
      <c r="K2" s="4873"/>
      <c r="L2" s="4873"/>
      <c r="M2" s="4873"/>
      <c r="N2" s="4874"/>
    </row>
    <row r="3" spans="2:26" x14ac:dyDescent="0.25">
      <c r="L3" s="4875"/>
    </row>
    <row r="4" spans="2:26" x14ac:dyDescent="0.25">
      <c r="B4" s="4876"/>
      <c r="C4" s="4877" t="s">
        <v>1531</v>
      </c>
      <c r="D4" s="6574">
        <v>2008</v>
      </c>
      <c r="E4" s="6575"/>
      <c r="F4" s="6574">
        <v>2009</v>
      </c>
      <c r="G4" s="6576"/>
      <c r="H4" s="6575"/>
      <c r="I4" s="6574">
        <v>2010</v>
      </c>
      <c r="J4" s="6576"/>
      <c r="K4" s="6575"/>
      <c r="L4" s="6569">
        <v>2011</v>
      </c>
      <c r="M4" s="6570"/>
      <c r="N4" s="6571"/>
      <c r="O4" s="6569">
        <v>2012</v>
      </c>
      <c r="P4" s="6570"/>
      <c r="Q4" s="6571"/>
      <c r="R4" s="6569">
        <v>2013</v>
      </c>
      <c r="S4" s="6570"/>
      <c r="T4" s="6571"/>
      <c r="U4" s="6569">
        <v>2014</v>
      </c>
      <c r="V4" s="6570"/>
      <c r="W4" s="6571"/>
      <c r="X4" s="6569">
        <v>2015</v>
      </c>
      <c r="Y4" s="6570"/>
      <c r="Z4" s="6571"/>
    </row>
    <row r="5" spans="2:26" ht="45" x14ac:dyDescent="0.25">
      <c r="B5" s="4878" t="s">
        <v>1279</v>
      </c>
      <c r="C5" s="4878" t="s">
        <v>1532</v>
      </c>
      <c r="D5" s="4879" t="s">
        <v>1533</v>
      </c>
      <c r="E5" s="4880" t="s">
        <v>1129</v>
      </c>
      <c r="F5" s="4879" t="s">
        <v>1533</v>
      </c>
      <c r="G5" s="4880" t="s">
        <v>1129</v>
      </c>
      <c r="H5" s="4881" t="s">
        <v>1534</v>
      </c>
      <c r="I5" s="4879" t="s">
        <v>1533</v>
      </c>
      <c r="J5" s="4880" t="s">
        <v>1129</v>
      </c>
      <c r="K5" s="4881" t="s">
        <v>1534</v>
      </c>
      <c r="L5" s="4882" t="s">
        <v>1533</v>
      </c>
      <c r="M5" s="4883" t="s">
        <v>1129</v>
      </c>
      <c r="N5" s="4881" t="s">
        <v>1534</v>
      </c>
      <c r="O5" s="4881" t="s">
        <v>1533</v>
      </c>
      <c r="P5" s="4883" t="s">
        <v>1129</v>
      </c>
      <c r="Q5" s="4881" t="s">
        <v>1534</v>
      </c>
      <c r="R5" s="4881" t="s">
        <v>1533</v>
      </c>
      <c r="S5" s="4883" t="s">
        <v>1129</v>
      </c>
      <c r="T5" s="4881" t="s">
        <v>1534</v>
      </c>
      <c r="U5" s="4881" t="s">
        <v>1533</v>
      </c>
      <c r="V5" s="4883" t="s">
        <v>1129</v>
      </c>
      <c r="W5" s="4881" t="s">
        <v>1534</v>
      </c>
      <c r="X5" s="4881" t="s">
        <v>1533</v>
      </c>
      <c r="Y5" s="4883" t="s">
        <v>1129</v>
      </c>
      <c r="Z5" s="4881" t="s">
        <v>1534</v>
      </c>
    </row>
    <row r="6" spans="2:26" x14ac:dyDescent="0.25">
      <c r="B6" s="4884">
        <v>1</v>
      </c>
      <c r="C6" s="4885" t="s">
        <v>1535</v>
      </c>
      <c r="D6" s="4886">
        <v>141335</v>
      </c>
      <c r="E6" s="4887">
        <v>0.39586198397338046</v>
      </c>
      <c r="F6" s="4888">
        <v>186400</v>
      </c>
      <c r="G6" s="4889">
        <v>48.81</v>
      </c>
      <c r="H6" s="4890">
        <f>F6/D6-1</f>
        <v>0.31885237202391492</v>
      </c>
      <c r="I6" s="4891">
        <v>251362</v>
      </c>
      <c r="J6" s="4892">
        <f>(I6/I28)*100</f>
        <v>49.867278231646104</v>
      </c>
      <c r="K6" s="4890">
        <f>I6/F6-1</f>
        <v>0.34850858369098714</v>
      </c>
      <c r="L6" s="4891">
        <v>417719</v>
      </c>
      <c r="M6" s="4892">
        <f>L6/$L$28*100</f>
        <v>61.610290235132048</v>
      </c>
      <c r="N6" s="4890">
        <f>L6/I6-1</f>
        <v>0.66182239161050593</v>
      </c>
      <c r="O6" s="4891">
        <v>314421</v>
      </c>
      <c r="P6" s="4892">
        <f t="shared" ref="P6:P26" si="0">O6/$O$28*100</f>
        <v>76.021837893774801</v>
      </c>
      <c r="Q6" s="4890">
        <f>O6/L6-1</f>
        <v>-0.24729064275266388</v>
      </c>
      <c r="R6" s="4891">
        <v>382020</v>
      </c>
      <c r="S6" s="4892">
        <f>R6/$R$28*100</f>
        <v>45.367690632299869</v>
      </c>
      <c r="T6" s="4890">
        <f>R6/O6-1</f>
        <v>0.21499518161954834</v>
      </c>
      <c r="U6" s="4891">
        <v>445896</v>
      </c>
      <c r="V6" s="4892">
        <f>U6/$R$28*100</f>
        <v>52.953436422647982</v>
      </c>
      <c r="W6" s="4890">
        <f>U6/R6-1</f>
        <v>0.16720590544997638</v>
      </c>
      <c r="X6" s="4891">
        <v>372734</v>
      </c>
      <c r="Y6" s="4892">
        <f>X6/$R$28*100</f>
        <v>44.264909690957694</v>
      </c>
      <c r="Z6" s="4890">
        <f>X6/U6-1</f>
        <v>-0.1640786192295961</v>
      </c>
    </row>
    <row r="7" spans="2:26" x14ac:dyDescent="0.25">
      <c r="B7" s="4884">
        <v>2</v>
      </c>
      <c r="C7" s="4885" t="s">
        <v>1536</v>
      </c>
      <c r="D7" s="4886">
        <v>33416</v>
      </c>
      <c r="E7" s="4887">
        <v>9.3594113676403454E-2</v>
      </c>
      <c r="F7" s="4888">
        <v>43192</v>
      </c>
      <c r="G7" s="4889">
        <v>11.31</v>
      </c>
      <c r="H7" s="4890">
        <f t="shared" ref="H7:H28" si="1">F7/D7-1</f>
        <v>0.29255446492698112</v>
      </c>
      <c r="I7" s="4891">
        <v>59571</v>
      </c>
      <c r="J7" s="4892">
        <f>(I7/I28)*100</f>
        <v>11.818189032301582</v>
      </c>
      <c r="K7" s="4890">
        <f t="shared" ref="K7:K28" si="2">I7/F7-1</f>
        <v>0.3792137432857936</v>
      </c>
      <c r="L7" s="4891">
        <v>73937</v>
      </c>
      <c r="M7" s="4892">
        <f>L7/$L$28*100</f>
        <v>10.905130073362615</v>
      </c>
      <c r="N7" s="4890">
        <f t="shared" ref="N7:N28" si="3">L7/I7-1</f>
        <v>0.24115761024659643</v>
      </c>
      <c r="O7" s="4891">
        <v>30888</v>
      </c>
      <c r="P7" s="4892">
        <f t="shared" si="0"/>
        <v>7.4682115026124718</v>
      </c>
      <c r="Q7" s="4890">
        <f t="shared" ref="Q7:Q26" si="4">O7/L7-1</f>
        <v>-0.58223893314578623</v>
      </c>
      <c r="R7" s="4891">
        <v>61997</v>
      </c>
      <c r="S7" s="4892">
        <f t="shared" ref="S7:S27" si="5">R7/$R$28*100</f>
        <v>7.3626006914054107</v>
      </c>
      <c r="T7" s="4890">
        <f t="shared" ref="T7:T12" si="6">R7/O7-1</f>
        <v>1.0071548821548824</v>
      </c>
      <c r="U7" s="4891">
        <v>68309</v>
      </c>
      <c r="V7" s="4892">
        <f t="shared" ref="V7:V27" si="7">U7/$R$28*100</f>
        <v>8.112197213239547</v>
      </c>
      <c r="W7" s="4890">
        <f t="shared" ref="W7" si="8">U7/R7-1</f>
        <v>0.1018113779699017</v>
      </c>
      <c r="X7" s="4891">
        <v>52398</v>
      </c>
      <c r="Y7" s="4892">
        <f t="shared" ref="Y7:Y27" si="9">X7/$R$28*100</f>
        <v>6.2226486931345182</v>
      </c>
      <c r="Z7" s="4890">
        <f t="shared" ref="Z7" si="10">X7/U7-1</f>
        <v>-0.23292684712116996</v>
      </c>
    </row>
    <row r="8" spans="2:26" ht="30" x14ac:dyDescent="0.25">
      <c r="B8" s="4884">
        <v>3</v>
      </c>
      <c r="C8" s="4885" t="s">
        <v>1537</v>
      </c>
      <c r="D8" s="4886">
        <v>20880</v>
      </c>
      <c r="E8" s="4887">
        <v>5.848231666157841E-2</v>
      </c>
      <c r="F8" s="4888">
        <v>15020</v>
      </c>
      <c r="G8" s="4889">
        <v>3.93</v>
      </c>
      <c r="H8" s="4890">
        <f>F8/D8-1</f>
        <v>-0.28065134099616862</v>
      </c>
      <c r="I8" s="4891">
        <v>16997</v>
      </c>
      <c r="J8" s="4892">
        <f>(I8/I28)*100</f>
        <v>3.3720058246802971</v>
      </c>
      <c r="K8" s="4890">
        <f>I8/F8-1</f>
        <v>0.13162450066577902</v>
      </c>
      <c r="L8" s="4891">
        <v>65478</v>
      </c>
      <c r="M8" s="4892">
        <f>L8/$L$28*100</f>
        <v>9.6574936357119885</v>
      </c>
      <c r="N8" s="4890">
        <f>L8/I8-1</f>
        <v>2.8523268812143319</v>
      </c>
      <c r="O8" s="4891">
        <v>12816</v>
      </c>
      <c r="P8" s="4892">
        <f t="shared" si="0"/>
        <v>3.0986984789394407</v>
      </c>
      <c r="Q8" s="4890">
        <f>O8/L8-1</f>
        <v>-0.80427013653440849</v>
      </c>
      <c r="R8" s="4891">
        <v>115153</v>
      </c>
      <c r="S8" s="4892">
        <f t="shared" si="5"/>
        <v>13.675267471287436</v>
      </c>
      <c r="T8" s="4890">
        <f>R8/O8-1</f>
        <v>7.9850967540574285</v>
      </c>
      <c r="U8" s="4891">
        <v>83690</v>
      </c>
      <c r="V8" s="4892">
        <f t="shared" si="7"/>
        <v>9.9388043270435471</v>
      </c>
      <c r="W8" s="4890">
        <f>U8/R8-1</f>
        <v>-0.27322779258899033</v>
      </c>
      <c r="X8" s="4891">
        <v>68235</v>
      </c>
      <c r="Y8" s="4892">
        <f t="shared" si="9"/>
        <v>8.1034091678314777</v>
      </c>
      <c r="Z8" s="4890">
        <f>X8/U8-1</f>
        <v>-0.184669614051858</v>
      </c>
    </row>
    <row r="9" spans="2:26" x14ac:dyDescent="0.25">
      <c r="B9" s="4884"/>
      <c r="C9" s="4893" t="s">
        <v>1558</v>
      </c>
      <c r="D9" s="4894"/>
      <c r="E9" s="4895"/>
      <c r="F9" s="4888">
        <v>4749</v>
      </c>
      <c r="G9" s="4889">
        <v>1.24</v>
      </c>
      <c r="H9" s="4890"/>
      <c r="I9" s="4891">
        <v>12349</v>
      </c>
      <c r="J9" s="4892">
        <f>(I9/I28)*100</f>
        <v>2.4498970364756718</v>
      </c>
      <c r="K9" s="4890">
        <f>I9/F9-1</f>
        <v>1.6003369130343228</v>
      </c>
      <c r="L9" s="4891"/>
      <c r="M9" s="4892"/>
      <c r="N9" s="4890">
        <f>L9/I9-1</f>
        <v>-1</v>
      </c>
      <c r="O9" s="4891"/>
      <c r="P9" s="4892">
        <f t="shared" si="0"/>
        <v>0</v>
      </c>
      <c r="Q9" s="4890"/>
      <c r="R9" s="4891"/>
      <c r="S9" s="4892">
        <f t="shared" si="5"/>
        <v>0</v>
      </c>
      <c r="T9" s="4890"/>
      <c r="U9" s="4891"/>
      <c r="V9" s="4892">
        <f t="shared" si="7"/>
        <v>0</v>
      </c>
      <c r="W9" s="4890"/>
      <c r="X9" s="4891"/>
      <c r="Y9" s="4892">
        <f t="shared" si="9"/>
        <v>0</v>
      </c>
      <c r="Z9" s="4890"/>
    </row>
    <row r="10" spans="2:26" x14ac:dyDescent="0.25">
      <c r="B10" s="4884">
        <v>4</v>
      </c>
      <c r="C10" s="4885" t="s">
        <v>1538</v>
      </c>
      <c r="D10" s="4886">
        <v>27220</v>
      </c>
      <c r="E10" s="4887">
        <v>7.6239878329892916E-2</v>
      </c>
      <c r="F10" s="4888">
        <v>28820</v>
      </c>
      <c r="G10" s="4889">
        <v>7.55</v>
      </c>
      <c r="H10" s="4890">
        <f t="shared" si="1"/>
        <v>5.878030859662009E-2</v>
      </c>
      <c r="I10" s="4891">
        <v>46252</v>
      </c>
      <c r="J10" s="4892">
        <f>(I10/I28)*100</f>
        <v>9.1758553511274403</v>
      </c>
      <c r="K10" s="4890">
        <f t="shared" si="2"/>
        <v>0.60485773768216511</v>
      </c>
      <c r="L10" s="4891">
        <v>30824</v>
      </c>
      <c r="M10" s="4892">
        <f t="shared" ref="M10:M26" si="11">L10/$L$28*100</f>
        <v>4.5462992734534708</v>
      </c>
      <c r="N10" s="4890">
        <f t="shared" si="3"/>
        <v>-0.33356395399117877</v>
      </c>
      <c r="O10" s="4891">
        <v>20776</v>
      </c>
      <c r="P10" s="4892">
        <f t="shared" si="0"/>
        <v>5.0232958488175568</v>
      </c>
      <c r="Q10" s="4890">
        <f t="shared" si="4"/>
        <v>-0.32597975603425899</v>
      </c>
      <c r="R10" s="4891">
        <v>166030</v>
      </c>
      <c r="S10" s="4892">
        <f t="shared" si="5"/>
        <v>19.717286204075041</v>
      </c>
      <c r="T10" s="4890">
        <f t="shared" si="6"/>
        <v>6.9914324220254143</v>
      </c>
      <c r="U10" s="4891">
        <v>328614</v>
      </c>
      <c r="V10" s="4892">
        <f t="shared" si="7"/>
        <v>39.025334509823018</v>
      </c>
      <c r="W10" s="4890">
        <f t="shared" ref="W10:W12" si="12">U10/R10-1</f>
        <v>0.97924471481057651</v>
      </c>
      <c r="X10" s="4891">
        <v>186308</v>
      </c>
      <c r="Y10" s="4892">
        <f t="shared" si="9"/>
        <v>22.125448160626469</v>
      </c>
      <c r="Z10" s="4890">
        <f t="shared" ref="Z10:Z12" si="13">X10/U10-1</f>
        <v>-0.43304910928931817</v>
      </c>
    </row>
    <row r="11" spans="2:26" x14ac:dyDescent="0.25">
      <c r="B11" s="4884">
        <v>5</v>
      </c>
      <c r="C11" s="4885" t="s">
        <v>1539</v>
      </c>
      <c r="D11" s="4894"/>
      <c r="E11" s="4895"/>
      <c r="F11" s="4888">
        <v>20565</v>
      </c>
      <c r="G11" s="4889">
        <v>5.39</v>
      </c>
      <c r="H11" s="4890"/>
      <c r="I11" s="4891">
        <v>24319</v>
      </c>
      <c r="J11" s="4892">
        <f>(I11/I28)*100</f>
        <v>4.8246049097134875</v>
      </c>
      <c r="K11" s="4890">
        <f t="shared" si="2"/>
        <v>0.1825431558473134</v>
      </c>
      <c r="L11" s="4891">
        <v>20982</v>
      </c>
      <c r="M11" s="4892">
        <f t="shared" si="11"/>
        <v>3.0946811366338154</v>
      </c>
      <c r="N11" s="4890">
        <f t="shared" si="3"/>
        <v>-0.13721781323245197</v>
      </c>
      <c r="O11" s="4891">
        <v>9805</v>
      </c>
      <c r="P11" s="4892">
        <f t="shared" si="0"/>
        <v>2.3706880919164495</v>
      </c>
      <c r="Q11" s="4890">
        <f t="shared" si="4"/>
        <v>-0.53269469068725572</v>
      </c>
      <c r="R11" s="4891">
        <v>34045</v>
      </c>
      <c r="S11" s="4892">
        <f t="shared" si="5"/>
        <v>4.0430946745632399</v>
      </c>
      <c r="T11" s="4890">
        <f t="shared" si="6"/>
        <v>2.4722080571137175</v>
      </c>
      <c r="U11" s="4891">
        <v>27193</v>
      </c>
      <c r="V11" s="4892">
        <f t="shared" si="7"/>
        <v>3.2293691727242821</v>
      </c>
      <c r="W11" s="4890">
        <f t="shared" si="12"/>
        <v>-0.20126303421941549</v>
      </c>
      <c r="X11" s="4891">
        <v>29308</v>
      </c>
      <c r="Y11" s="4892">
        <f t="shared" si="9"/>
        <v>3.4805410110764998</v>
      </c>
      <c r="Z11" s="4890">
        <f t="shared" si="13"/>
        <v>7.7777369175890954E-2</v>
      </c>
    </row>
    <row r="12" spans="2:26" x14ac:dyDescent="0.25">
      <c r="B12" s="4884">
        <v>6</v>
      </c>
      <c r="C12" s="4885" t="s">
        <v>1540</v>
      </c>
      <c r="D12" s="4886">
        <v>18995</v>
      </c>
      <c r="E12" s="4887">
        <v>5.3202663074074799E-2</v>
      </c>
      <c r="F12" s="4888">
        <v>17255</v>
      </c>
      <c r="G12" s="4889">
        <v>4.5199999999999996</v>
      </c>
      <c r="H12" s="4890">
        <f t="shared" si="1"/>
        <v>-9.1603053435114545E-2</v>
      </c>
      <c r="I12" s="4891">
        <v>22165</v>
      </c>
      <c r="J12" s="4892">
        <f>(I12/I28)*100</f>
        <v>4.3972765255067836</v>
      </c>
      <c r="K12" s="4890">
        <f t="shared" si="2"/>
        <v>0.28455520139090118</v>
      </c>
      <c r="L12" s="4891">
        <v>19876</v>
      </c>
      <c r="M12" s="4892">
        <f t="shared" si="11"/>
        <v>2.9315547741747072</v>
      </c>
      <c r="N12" s="4890">
        <f t="shared" si="3"/>
        <v>-0.10327092262576132</v>
      </c>
      <c r="O12" s="4891">
        <v>3670</v>
      </c>
      <c r="P12" s="4892">
        <f t="shared" si="0"/>
        <v>0.88734577229305134</v>
      </c>
      <c r="Q12" s="4890">
        <f t="shared" si="4"/>
        <v>-0.81535520225397462</v>
      </c>
      <c r="R12" s="4891">
        <v>18529</v>
      </c>
      <c r="S12" s="4892">
        <f t="shared" si="5"/>
        <v>2.2004553157580342</v>
      </c>
      <c r="T12" s="4890">
        <f t="shared" si="6"/>
        <v>4.0487738419618529</v>
      </c>
      <c r="U12" s="4891">
        <v>8754</v>
      </c>
      <c r="V12" s="4892">
        <f t="shared" si="7"/>
        <v>1.0396020203003848</v>
      </c>
      <c r="W12" s="4890">
        <f t="shared" si="12"/>
        <v>-0.5275514059042582</v>
      </c>
      <c r="X12" s="4891">
        <v>3135</v>
      </c>
      <c r="Y12" s="4892">
        <f t="shared" si="9"/>
        <v>0.3723043561391029</v>
      </c>
      <c r="Z12" s="4890">
        <f t="shared" si="13"/>
        <v>-0.64187799862919803</v>
      </c>
    </row>
    <row r="13" spans="2:26" x14ac:dyDescent="0.25">
      <c r="B13" s="4884">
        <v>7</v>
      </c>
      <c r="C13" s="4885" t="s">
        <v>1541</v>
      </c>
      <c r="D13" s="4886">
        <v>13349</v>
      </c>
      <c r="E13" s="4887">
        <v>3.7388910206676729E-2</v>
      </c>
      <c r="F13" s="4888">
        <v>22023</v>
      </c>
      <c r="G13" s="4889">
        <v>5.77</v>
      </c>
      <c r="H13" s="4890">
        <f>F13/D13-1</f>
        <v>0.64978650086148781</v>
      </c>
      <c r="I13" s="4891">
        <v>27875</v>
      </c>
      <c r="J13" s="4892">
        <f>(I13/I28)*100</f>
        <v>5.5300736814122073</v>
      </c>
      <c r="K13" s="4890">
        <f>I13/F13-1</f>
        <v>0.26572219951868492</v>
      </c>
      <c r="L13" s="4891">
        <v>15677</v>
      </c>
      <c r="M13" s="4892">
        <f t="shared" si="11"/>
        <v>2.3122350671531939</v>
      </c>
      <c r="N13" s="4890">
        <f>L13/I13-1</f>
        <v>-0.43759641255605386</v>
      </c>
      <c r="O13" s="4891">
        <v>3388</v>
      </c>
      <c r="P13" s="4892">
        <f t="shared" si="0"/>
        <v>0.81916280014410303</v>
      </c>
      <c r="Q13" s="4890">
        <f>O13/L13-1</f>
        <v>-0.78388722332078842</v>
      </c>
      <c r="R13" s="4891">
        <v>3337</v>
      </c>
      <c r="S13" s="4892">
        <f t="shared" si="5"/>
        <v>0.39629334495572127</v>
      </c>
      <c r="T13" s="4890">
        <f>R13/O13-1</f>
        <v>-1.5053128689492379E-2</v>
      </c>
      <c r="U13" s="4891">
        <v>3726</v>
      </c>
      <c r="V13" s="4892">
        <f t="shared" si="7"/>
        <v>0.44248996203326868</v>
      </c>
      <c r="W13" s="4890">
        <f>U13/R13-1</f>
        <v>0.11657177105184302</v>
      </c>
      <c r="X13" s="4891">
        <v>2203</v>
      </c>
      <c r="Y13" s="4892">
        <f t="shared" si="9"/>
        <v>0.26162248694559609</v>
      </c>
      <c r="Z13" s="4890">
        <f>X13/U13-1</f>
        <v>-0.40874932903918415</v>
      </c>
    </row>
    <row r="14" spans="2:26" x14ac:dyDescent="0.25">
      <c r="B14" s="4884">
        <v>8</v>
      </c>
      <c r="C14" s="4885" t="s">
        <v>1542</v>
      </c>
      <c r="D14" s="4886">
        <v>24509</v>
      </c>
      <c r="E14" s="4887">
        <v>6.8646700146485884E-2</v>
      </c>
      <c r="F14" s="4888">
        <v>16911</v>
      </c>
      <c r="G14" s="4889">
        <v>4.43</v>
      </c>
      <c r="H14" s="4890">
        <f>F14/D14-1</f>
        <v>-0.31000856828103962</v>
      </c>
      <c r="I14" s="4891">
        <v>19255</v>
      </c>
      <c r="J14" s="4892">
        <f>(I14/I28)*100</f>
        <v>3.8199665914113736</v>
      </c>
      <c r="K14" s="4890">
        <f>I14/F14-1</f>
        <v>0.13860800662290806</v>
      </c>
      <c r="L14" s="4891">
        <v>9533</v>
      </c>
      <c r="M14" s="4892">
        <f t="shared" si="11"/>
        <v>1.4060430500205012</v>
      </c>
      <c r="N14" s="4890">
        <f>L14/I14-1</f>
        <v>-0.50490781615164892</v>
      </c>
      <c r="O14" s="4891">
        <v>5138</v>
      </c>
      <c r="P14" s="4892">
        <f t="shared" si="0"/>
        <v>1.242284081210272</v>
      </c>
      <c r="Q14" s="4890">
        <f>O14/L14-1</f>
        <v>-0.46103010594776039</v>
      </c>
      <c r="R14" s="4891">
        <v>39569</v>
      </c>
      <c r="S14" s="4892">
        <f t="shared" si="5"/>
        <v>4.6991103885384886</v>
      </c>
      <c r="T14" s="4890">
        <f>R14/O14-1</f>
        <v>6.7012456208641495</v>
      </c>
      <c r="U14" s="4891">
        <v>144836</v>
      </c>
      <c r="V14" s="4892">
        <f t="shared" si="7"/>
        <v>17.200342496256173</v>
      </c>
      <c r="W14" s="4890">
        <f>U14/R14-1</f>
        <v>2.6603401652809016</v>
      </c>
      <c r="X14" s="4891">
        <v>29418</v>
      </c>
      <c r="Y14" s="4892">
        <f t="shared" si="9"/>
        <v>3.4936043218182231</v>
      </c>
      <c r="Z14" s="4890">
        <f>X14/U14-1</f>
        <v>-0.79688751415393966</v>
      </c>
    </row>
    <row r="15" spans="2:26" x14ac:dyDescent="0.25">
      <c r="B15" s="4884">
        <v>9</v>
      </c>
      <c r="C15" s="4885" t="s">
        <v>1543</v>
      </c>
      <c r="D15" s="4894"/>
      <c r="E15" s="4895"/>
      <c r="F15" s="4888">
        <v>2247</v>
      </c>
      <c r="G15" s="4889">
        <v>0.59</v>
      </c>
      <c r="H15" s="4890"/>
      <c r="I15" s="4891">
        <v>1967</v>
      </c>
      <c r="J15" s="4892">
        <f>(I15/I28)*100</f>
        <v>0.39022977332153586</v>
      </c>
      <c r="K15" s="4890">
        <f>I15/F15-1</f>
        <v>-0.12461059190031154</v>
      </c>
      <c r="L15" s="4891">
        <v>4379</v>
      </c>
      <c r="M15" s="4892">
        <f t="shared" si="11"/>
        <v>0.64586830127344752</v>
      </c>
      <c r="N15" s="4890">
        <f>L15/I15-1</f>
        <v>1.2262328418912047</v>
      </c>
      <c r="O15" s="4891">
        <v>3658</v>
      </c>
      <c r="P15" s="4892">
        <f t="shared" si="0"/>
        <v>0.88444436922288339</v>
      </c>
      <c r="Q15" s="4890">
        <f>O15/L15-1</f>
        <v>-0.16464946334779629</v>
      </c>
      <c r="R15" s="4891">
        <v>3983</v>
      </c>
      <c r="S15" s="4892">
        <f t="shared" si="5"/>
        <v>0.47301060622074859</v>
      </c>
      <c r="T15" s="4890">
        <f>R15/O15-1</f>
        <v>8.8846364133406297E-2</v>
      </c>
      <c r="U15" s="4891">
        <v>6146</v>
      </c>
      <c r="V15" s="4892">
        <f t="shared" si="7"/>
        <v>0.72988279835117265</v>
      </c>
      <c r="W15" s="4890">
        <f>U15/R15-1</f>
        <v>0.54305799648506148</v>
      </c>
      <c r="X15" s="4891">
        <v>10501</v>
      </c>
      <c r="Y15" s="4892">
        <f t="shared" si="9"/>
        <v>1.2470711463530206</v>
      </c>
      <c r="Z15" s="4890">
        <f>X15/U15-1</f>
        <v>0.70859095346566869</v>
      </c>
    </row>
    <row r="16" spans="2:26" x14ac:dyDescent="0.25">
      <c r="B16" s="4884">
        <v>10</v>
      </c>
      <c r="C16" s="4885" t="s">
        <v>1544</v>
      </c>
      <c r="D16" s="4894"/>
      <c r="E16" s="4895"/>
      <c r="F16" s="4888">
        <v>2691</v>
      </c>
      <c r="G16" s="4889">
        <v>0.7</v>
      </c>
      <c r="H16" s="4890"/>
      <c r="I16" s="4891">
        <v>2552</v>
      </c>
      <c r="J16" s="4892">
        <f>(I16/I28)*100</f>
        <v>0.50628692502112838</v>
      </c>
      <c r="K16" s="4890">
        <f>I16/F16-1</f>
        <v>-5.1653660349312513E-2</v>
      </c>
      <c r="L16" s="4891">
        <v>3355</v>
      </c>
      <c r="M16" s="4892">
        <f t="shared" si="11"/>
        <v>0.49483629841799881</v>
      </c>
      <c r="N16" s="4890">
        <f>L16/I16-1</f>
        <v>0.31465517241379315</v>
      </c>
      <c r="O16" s="4891">
        <v>1078</v>
      </c>
      <c r="P16" s="4892">
        <f t="shared" si="0"/>
        <v>0.26064270913676008</v>
      </c>
      <c r="Q16" s="4890">
        <f>O16/L16-1</f>
        <v>-0.67868852459016393</v>
      </c>
      <c r="R16" s="4891">
        <v>847</v>
      </c>
      <c r="S16" s="4892">
        <f t="shared" si="5"/>
        <v>0.10058749271126639</v>
      </c>
      <c r="T16" s="4890">
        <f>R16/O16-1</f>
        <v>-0.2142857142857143</v>
      </c>
      <c r="U16" s="4891">
        <v>1514</v>
      </c>
      <c r="V16" s="4892">
        <f t="shared" si="7"/>
        <v>0.17979865875425893</v>
      </c>
      <c r="W16" s="4890">
        <f>U16/R16-1</f>
        <v>0.78748524203069659</v>
      </c>
      <c r="X16" s="4891">
        <v>1620</v>
      </c>
      <c r="Y16" s="4892">
        <f t="shared" si="9"/>
        <v>0.19238694001446466</v>
      </c>
      <c r="Z16" s="4890">
        <f>X16/U16-1</f>
        <v>7.0013210039630014E-2</v>
      </c>
    </row>
    <row r="17" spans="2:26" ht="30" x14ac:dyDescent="0.25">
      <c r="B17" s="4884">
        <v>11</v>
      </c>
      <c r="C17" s="4885" t="s">
        <v>1545</v>
      </c>
      <c r="D17" s="4894"/>
      <c r="E17" s="4895"/>
      <c r="F17" s="4888">
        <v>3975</v>
      </c>
      <c r="G17" s="4889">
        <v>1.04</v>
      </c>
      <c r="H17" s="4890"/>
      <c r="I17" s="4891">
        <v>4353</v>
      </c>
      <c r="J17" s="4892">
        <f>(I17/I28)*100</f>
        <v>0.86358424162107039</v>
      </c>
      <c r="K17" s="4890">
        <f t="shared" si="2"/>
        <v>9.5094339622641577E-2</v>
      </c>
      <c r="L17" s="4891">
        <v>3097</v>
      </c>
      <c r="M17" s="4892">
        <f t="shared" si="11"/>
        <v>0.45678331332355948</v>
      </c>
      <c r="N17" s="4890">
        <f t="shared" si="3"/>
        <v>-0.28853664139673785</v>
      </c>
      <c r="O17" s="4891">
        <v>1245</v>
      </c>
      <c r="P17" s="4892">
        <f t="shared" si="0"/>
        <v>0.30102056852993164</v>
      </c>
      <c r="Q17" s="4890">
        <f t="shared" si="4"/>
        <v>-0.59799806264126576</v>
      </c>
      <c r="R17" s="4891">
        <v>7679</v>
      </c>
      <c r="S17" s="4892">
        <f t="shared" si="5"/>
        <v>0.91193784714263837</v>
      </c>
      <c r="T17" s="4890">
        <f t="shared" ref="T17:T28" si="14">R17/O17-1</f>
        <v>5.1678714859437749</v>
      </c>
      <c r="U17" s="4891">
        <v>17816</v>
      </c>
      <c r="V17" s="4892">
        <f t="shared" si="7"/>
        <v>2.115781310677594</v>
      </c>
      <c r="W17" s="4890">
        <f t="shared" ref="W17:W19" si="15">U17/R17-1</f>
        <v>1.3200937622086211</v>
      </c>
      <c r="X17" s="4891">
        <v>29270</v>
      </c>
      <c r="Y17" s="4892">
        <f t="shared" si="9"/>
        <v>3.4760282310020867</v>
      </c>
      <c r="Z17" s="4890">
        <f t="shared" ref="Z17:Z19" si="16">X17/U17-1</f>
        <v>0.64290525370453522</v>
      </c>
    </row>
    <row r="18" spans="2:26" x14ac:dyDescent="0.25">
      <c r="B18" s="4884">
        <v>12</v>
      </c>
      <c r="C18" s="4885" t="s">
        <v>1546</v>
      </c>
      <c r="D18" s="4894"/>
      <c r="E18" s="4895"/>
      <c r="F18" s="4888">
        <v>3523</v>
      </c>
      <c r="G18" s="4889">
        <v>0.92</v>
      </c>
      <c r="H18" s="4890"/>
      <c r="I18" s="4891">
        <v>3640</v>
      </c>
      <c r="J18" s="4892">
        <f>(I18/I28)*100</f>
        <v>0.72213338835301999</v>
      </c>
      <c r="K18" s="4890">
        <f t="shared" si="2"/>
        <v>3.3210332103321027E-2</v>
      </c>
      <c r="L18" s="4891">
        <v>2384</v>
      </c>
      <c r="M18" s="4892">
        <f t="shared" si="11"/>
        <v>0.35162138164784179</v>
      </c>
      <c r="N18" s="4890">
        <f t="shared" si="3"/>
        <v>-0.34505494505494505</v>
      </c>
      <c r="O18" s="4891">
        <v>1047</v>
      </c>
      <c r="P18" s="4892">
        <f t="shared" si="0"/>
        <v>0.25314741787215939</v>
      </c>
      <c r="Q18" s="4890">
        <f t="shared" si="4"/>
        <v>-0.56082214765100669</v>
      </c>
      <c r="R18" s="4891">
        <v>1481</v>
      </c>
      <c r="S18" s="4892">
        <f t="shared" si="5"/>
        <v>0.17587966553174209</v>
      </c>
      <c r="T18" s="4890">
        <f t="shared" si="14"/>
        <v>0.41451766953199609</v>
      </c>
      <c r="U18" s="4891">
        <v>733</v>
      </c>
      <c r="V18" s="4892">
        <f t="shared" si="7"/>
        <v>8.7049152488026291E-2</v>
      </c>
      <c r="W18" s="4890">
        <f t="shared" si="15"/>
        <v>-0.50506414584740034</v>
      </c>
      <c r="X18" s="4891">
        <v>1601</v>
      </c>
      <c r="Y18" s="4892">
        <f t="shared" si="9"/>
        <v>0.19013054997725798</v>
      </c>
      <c r="Z18" s="4890">
        <f t="shared" si="16"/>
        <v>1.1841746248294678</v>
      </c>
    </row>
    <row r="19" spans="2:26" x14ac:dyDescent="0.25">
      <c r="B19" s="4884">
        <v>13</v>
      </c>
      <c r="C19" s="4885" t="s">
        <v>1547</v>
      </c>
      <c r="D19" s="4894"/>
      <c r="E19" s="4895"/>
      <c r="F19" s="4888">
        <v>3419</v>
      </c>
      <c r="G19" s="4889">
        <v>0.9</v>
      </c>
      <c r="H19" s="4890"/>
      <c r="I19" s="4891">
        <v>3313</v>
      </c>
      <c r="J19" s="4892">
        <f>(I19/I28)*100</f>
        <v>0.65726041637735044</v>
      </c>
      <c r="K19" s="4890">
        <f t="shared" si="2"/>
        <v>-3.1003217315004439E-2</v>
      </c>
      <c r="L19" s="4891">
        <v>2323</v>
      </c>
      <c r="M19" s="4892">
        <f t="shared" si="11"/>
        <v>0.34262435804024177</v>
      </c>
      <c r="N19" s="4890">
        <f t="shared" si="3"/>
        <v>-0.2988228191971023</v>
      </c>
      <c r="O19" s="4891">
        <v>759</v>
      </c>
      <c r="P19" s="4892">
        <f t="shared" si="0"/>
        <v>0.18351374418812696</v>
      </c>
      <c r="Q19" s="4890">
        <f t="shared" si="4"/>
        <v>-0.6732673267326732</v>
      </c>
      <c r="R19" s="4891">
        <v>402</v>
      </c>
      <c r="S19" s="4892">
        <f t="shared" si="5"/>
        <v>4.7740462892478262E-2</v>
      </c>
      <c r="T19" s="4890">
        <f t="shared" si="14"/>
        <v>-0.47035573122529639</v>
      </c>
      <c r="U19" s="4891">
        <v>3096</v>
      </c>
      <c r="V19" s="4892">
        <f t="shared" si="7"/>
        <v>0.36767281869431023</v>
      </c>
      <c r="W19" s="4890">
        <f t="shared" si="15"/>
        <v>6.7014925373134329</v>
      </c>
      <c r="X19" s="4891">
        <v>937</v>
      </c>
      <c r="Y19" s="4892">
        <f t="shared" si="9"/>
        <v>0.11127565604540331</v>
      </c>
      <c r="Z19" s="4890">
        <f t="shared" si="16"/>
        <v>-0.69735142118863047</v>
      </c>
    </row>
    <row r="20" spans="2:26" x14ac:dyDescent="0.25">
      <c r="B20" s="4884">
        <v>14</v>
      </c>
      <c r="C20" s="4885" t="s">
        <v>1548</v>
      </c>
      <c r="D20" s="4886">
        <v>71847</v>
      </c>
      <c r="E20" s="4896">
        <v>0.20123462668507777</v>
      </c>
      <c r="F20" s="4888"/>
      <c r="G20" s="4889"/>
      <c r="H20" s="4890">
        <f>F20/D20-1</f>
        <v>-1</v>
      </c>
      <c r="I20" s="4891"/>
      <c r="J20" s="4892"/>
      <c r="K20" s="4890"/>
      <c r="L20" s="4891">
        <v>2411</v>
      </c>
      <c r="M20" s="4892">
        <f t="shared" si="11"/>
        <v>0.35560367078563188</v>
      </c>
      <c r="N20" s="4890"/>
      <c r="O20" s="4891">
        <v>1059</v>
      </c>
      <c r="P20" s="4892">
        <f t="shared" si="0"/>
        <v>0.25604882094232734</v>
      </c>
      <c r="Q20" s="4890">
        <f>O20/L20-1</f>
        <v>-0.56076316880962263</v>
      </c>
      <c r="R20" s="4891">
        <v>737</v>
      </c>
      <c r="S20" s="4892">
        <f t="shared" si="5"/>
        <v>8.752418196954348E-2</v>
      </c>
      <c r="T20" s="4890">
        <f>R20/O20-1</f>
        <v>-0.3040604343720491</v>
      </c>
      <c r="U20" s="4891">
        <v>1105</v>
      </c>
      <c r="V20" s="4892">
        <f t="shared" si="7"/>
        <v>0.13122689426912557</v>
      </c>
      <c r="W20" s="4890">
        <f>U20/R20-1</f>
        <v>0.49932157394843957</v>
      </c>
      <c r="X20" s="4891">
        <v>933</v>
      </c>
      <c r="Y20" s="4892">
        <f t="shared" si="9"/>
        <v>0.11080062656388613</v>
      </c>
      <c r="Z20" s="4890">
        <f>X20/U20-1</f>
        <v>-0.15565610859728507</v>
      </c>
    </row>
    <row r="21" spans="2:26" x14ac:dyDescent="0.25">
      <c r="B21" s="4884">
        <v>15</v>
      </c>
      <c r="C21" s="4885" t="s">
        <v>1549</v>
      </c>
      <c r="D21" s="4886">
        <v>5480</v>
      </c>
      <c r="E21" s="4887">
        <v>1.5348807246429582E-2</v>
      </c>
      <c r="F21" s="4888">
        <v>2446</v>
      </c>
      <c r="G21" s="4889">
        <v>0.64</v>
      </c>
      <c r="H21" s="4890">
        <f t="shared" si="1"/>
        <v>-0.55364963503649633</v>
      </c>
      <c r="I21" s="4891">
        <v>2297</v>
      </c>
      <c r="J21" s="4892">
        <f>(I21/I28)*100</f>
        <v>0.45569791017771621</v>
      </c>
      <c r="K21" s="4890">
        <f t="shared" si="2"/>
        <v>-6.0915780866721225E-2</v>
      </c>
      <c r="L21" s="4891">
        <v>1981</v>
      </c>
      <c r="M21" s="4892">
        <f t="shared" si="11"/>
        <v>0.29218202896156648</v>
      </c>
      <c r="N21" s="4890">
        <f t="shared" si="3"/>
        <v>-0.13757074444928163</v>
      </c>
      <c r="O21" s="4891">
        <v>1009</v>
      </c>
      <c r="P21" s="4892">
        <f t="shared" si="0"/>
        <v>0.24395964148329397</v>
      </c>
      <c r="Q21" s="4890">
        <f t="shared" si="4"/>
        <v>-0.49066128218071681</v>
      </c>
      <c r="R21" s="4891">
        <v>972</v>
      </c>
      <c r="S21" s="4892">
        <f t="shared" si="5"/>
        <v>0.11543216400867878</v>
      </c>
      <c r="T21" s="4890">
        <f t="shared" si="14"/>
        <v>-3.6669970267591667E-2</v>
      </c>
      <c r="U21" s="4891">
        <v>1939</v>
      </c>
      <c r="V21" s="4892">
        <f t="shared" si="7"/>
        <v>0.23027054116546108</v>
      </c>
      <c r="W21" s="4890">
        <f t="shared" ref="W21" si="17">U21/R21-1</f>
        <v>0.99485596707818935</v>
      </c>
      <c r="X21" s="4891">
        <v>2677</v>
      </c>
      <c r="Y21" s="4892">
        <f t="shared" si="9"/>
        <v>0.31791348050538387</v>
      </c>
      <c r="Z21" s="4890">
        <f t="shared" ref="Z21" si="18">X21/U21-1</f>
        <v>0.38060856111397623</v>
      </c>
    </row>
    <row r="22" spans="2:26" x14ac:dyDescent="0.25">
      <c r="B22" s="4884">
        <v>16</v>
      </c>
      <c r="C22" s="4885" t="s">
        <v>1550</v>
      </c>
      <c r="D22" s="4897"/>
      <c r="E22" s="4898"/>
      <c r="F22" s="4888">
        <v>2005</v>
      </c>
      <c r="G22" s="4889">
        <v>0.53</v>
      </c>
      <c r="H22" s="4890"/>
      <c r="I22" s="4891">
        <v>1132</v>
      </c>
      <c r="J22" s="4892">
        <f>(I22/I28)*100</f>
        <v>0.22457554824604911</v>
      </c>
      <c r="K22" s="4890">
        <f>I22/F22-1</f>
        <v>-0.43541147132169578</v>
      </c>
      <c r="L22" s="4891">
        <v>1236</v>
      </c>
      <c r="M22" s="4892">
        <f t="shared" si="11"/>
        <v>0.18230034719661595</v>
      </c>
      <c r="N22" s="4890">
        <f>L22/I22-1</f>
        <v>9.1872791519434616E-2</v>
      </c>
      <c r="O22" s="4891">
        <v>1195</v>
      </c>
      <c r="P22" s="4892">
        <f t="shared" si="0"/>
        <v>0.28893138907089821</v>
      </c>
      <c r="Q22" s="4890">
        <f>O22/L22-1</f>
        <v>-3.3171521035598728E-2</v>
      </c>
      <c r="R22" s="4891">
        <v>1397</v>
      </c>
      <c r="S22" s="4892">
        <f t="shared" si="5"/>
        <v>0.16590404641988094</v>
      </c>
      <c r="T22" s="4890">
        <f>R22/O22-1</f>
        <v>0.16903765690376571</v>
      </c>
      <c r="U22" s="4891">
        <v>1996</v>
      </c>
      <c r="V22" s="4892">
        <f t="shared" si="7"/>
        <v>0.23703971127708112</v>
      </c>
      <c r="W22" s="4890">
        <f>U22/R22-1</f>
        <v>0.42877594846098788</v>
      </c>
      <c r="X22" s="4891">
        <v>2185</v>
      </c>
      <c r="Y22" s="4892">
        <f t="shared" si="9"/>
        <v>0.25948485427876866</v>
      </c>
      <c r="Z22" s="4890">
        <f>X22/U22-1</f>
        <v>9.468937875751493E-2</v>
      </c>
    </row>
    <row r="23" spans="2:26" x14ac:dyDescent="0.25">
      <c r="B23" s="4884">
        <v>17</v>
      </c>
      <c r="C23" s="4885" t="s">
        <v>1551</v>
      </c>
      <c r="D23" s="4894"/>
      <c r="E23" s="4895"/>
      <c r="F23" s="4888">
        <v>2205</v>
      </c>
      <c r="G23" s="4889">
        <v>0.57999999999999996</v>
      </c>
      <c r="H23" s="4890"/>
      <c r="I23" s="4891">
        <v>2486</v>
      </c>
      <c r="J23" s="4892">
        <f>(I23/I28)*100</f>
        <v>0.49319329764989223</v>
      </c>
      <c r="K23" s="4890">
        <f t="shared" si="2"/>
        <v>0.12743764172335603</v>
      </c>
      <c r="L23" s="4891">
        <v>953</v>
      </c>
      <c r="M23" s="4892">
        <f t="shared" si="11"/>
        <v>0.14056005734496357</v>
      </c>
      <c r="N23" s="4890">
        <f t="shared" si="3"/>
        <v>-0.61665325824617856</v>
      </c>
      <c r="O23" s="4891">
        <v>564</v>
      </c>
      <c r="P23" s="4892">
        <f t="shared" si="0"/>
        <v>0.13636594429789672</v>
      </c>
      <c r="Q23" s="4890">
        <f t="shared" si="4"/>
        <v>-0.40818467995802732</v>
      </c>
      <c r="R23" s="4891">
        <v>588</v>
      </c>
      <c r="S23" s="4892">
        <f t="shared" si="5"/>
        <v>6.98293337830279E-2</v>
      </c>
      <c r="T23" s="4890">
        <f t="shared" si="14"/>
        <v>4.2553191489361764E-2</v>
      </c>
      <c r="U23" s="4891">
        <v>1146</v>
      </c>
      <c r="V23" s="4892">
        <f t="shared" si="7"/>
        <v>0.13609594645467685</v>
      </c>
      <c r="W23" s="4890">
        <f t="shared" ref="W23:W28" si="19">U23/R23-1</f>
        <v>0.94897959183673475</v>
      </c>
      <c r="X23" s="4891">
        <v>1152</v>
      </c>
      <c r="Y23" s="4892">
        <f t="shared" si="9"/>
        <v>0.13680849067695264</v>
      </c>
      <c r="Z23" s="4890">
        <f t="shared" ref="Z23:Z28" si="20">X23/U23-1</f>
        <v>5.2356020942407877E-3</v>
      </c>
    </row>
    <row r="24" spans="2:26" x14ac:dyDescent="0.25">
      <c r="B24" s="4884">
        <v>18</v>
      </c>
      <c r="C24" s="4885" t="s">
        <v>1552</v>
      </c>
      <c r="D24" s="4894"/>
      <c r="E24" s="4895"/>
      <c r="F24" s="4888">
        <v>1721</v>
      </c>
      <c r="G24" s="4889">
        <v>0.45</v>
      </c>
      <c r="H24" s="4890"/>
      <c r="I24" s="4891">
        <v>968</v>
      </c>
      <c r="J24" s="4892">
        <f>(I24/I28)*100</f>
        <v>0.19203986811146248</v>
      </c>
      <c r="K24" s="4890">
        <f t="shared" si="2"/>
        <v>-0.43753631609529342</v>
      </c>
      <c r="L24" s="4891">
        <v>777</v>
      </c>
      <c r="M24" s="4892">
        <f t="shared" si="11"/>
        <v>0.11460143185418332</v>
      </c>
      <c r="N24" s="4890">
        <f t="shared" si="3"/>
        <v>-0.1973140495867769</v>
      </c>
      <c r="O24" s="4891">
        <v>353</v>
      </c>
      <c r="P24" s="4892">
        <f t="shared" si="0"/>
        <v>8.5349606980775788E-2</v>
      </c>
      <c r="Q24" s="4890">
        <f t="shared" si="4"/>
        <v>-0.54568854568854563</v>
      </c>
      <c r="R24" s="4891">
        <v>294</v>
      </c>
      <c r="S24" s="4892">
        <f t="shared" si="5"/>
        <v>3.491466689151395E-2</v>
      </c>
      <c r="T24" s="4890">
        <f t="shared" si="14"/>
        <v>-0.16713881019830024</v>
      </c>
      <c r="U24" s="4891">
        <v>522</v>
      </c>
      <c r="V24" s="4892">
        <f t="shared" si="7"/>
        <v>6.1991347337994163E-2</v>
      </c>
      <c r="W24" s="4890">
        <f t="shared" si="19"/>
        <v>0.77551020408163263</v>
      </c>
      <c r="X24" s="4891">
        <v>780</v>
      </c>
      <c r="Y24" s="4892">
        <f t="shared" si="9"/>
        <v>9.2630748895853349E-2</v>
      </c>
      <c r="Z24" s="4890">
        <f t="shared" si="20"/>
        <v>0.49425287356321834</v>
      </c>
    </row>
    <row r="25" spans="2:26" x14ac:dyDescent="0.25">
      <c r="B25" s="4884">
        <v>19</v>
      </c>
      <c r="C25" s="4885" t="s">
        <v>1553</v>
      </c>
      <c r="D25" s="4894"/>
      <c r="E25" s="4895"/>
      <c r="F25" s="4888">
        <v>1582</v>
      </c>
      <c r="G25" s="4889">
        <v>0.41</v>
      </c>
      <c r="H25" s="4890"/>
      <c r="I25" s="4891">
        <v>757</v>
      </c>
      <c r="J25" s="4892">
        <f>(I25/I28)*100</f>
        <v>0.15017993818220776</v>
      </c>
      <c r="K25" s="4890">
        <f t="shared" si="2"/>
        <v>-0.52149178255372952</v>
      </c>
      <c r="L25" s="4891">
        <v>725</v>
      </c>
      <c r="M25" s="4892">
        <f t="shared" si="11"/>
        <v>0.10693183795918006</v>
      </c>
      <c r="N25" s="4890">
        <f t="shared" si="3"/>
        <v>-4.2272126816380484E-2</v>
      </c>
      <c r="O25" s="4891">
        <v>283</v>
      </c>
      <c r="P25" s="4892">
        <f t="shared" si="0"/>
        <v>6.8424755738129034E-2</v>
      </c>
      <c r="Q25" s="4890">
        <f t="shared" si="4"/>
        <v>-0.60965517241379308</v>
      </c>
      <c r="R25" s="4891">
        <v>2048</v>
      </c>
      <c r="S25" s="4892">
        <f t="shared" si="5"/>
        <v>0.2432150945368047</v>
      </c>
      <c r="T25" s="4890">
        <f t="shared" si="14"/>
        <v>6.2367491166077738</v>
      </c>
      <c r="U25" s="4891">
        <v>1379</v>
      </c>
      <c r="V25" s="4892">
        <f t="shared" si="7"/>
        <v>0.16376641375305354</v>
      </c>
      <c r="W25" s="4890">
        <f t="shared" si="19"/>
        <v>-0.32666015625</v>
      </c>
      <c r="X25" s="4891">
        <v>1561</v>
      </c>
      <c r="Y25" s="4892">
        <f t="shared" si="9"/>
        <v>0.18538025516208601</v>
      </c>
      <c r="Z25" s="4890">
        <f t="shared" si="20"/>
        <v>0.13197969543147203</v>
      </c>
    </row>
    <row r="26" spans="2:26" x14ac:dyDescent="0.25">
      <c r="B26" s="4884">
        <v>20</v>
      </c>
      <c r="C26" s="4885" t="s">
        <v>1554</v>
      </c>
      <c r="D26" s="4894"/>
      <c r="E26" s="4895"/>
      <c r="F26" s="4888">
        <v>1141</v>
      </c>
      <c r="G26" s="4889">
        <v>0.3</v>
      </c>
      <c r="H26" s="4890"/>
      <c r="I26" s="4891">
        <v>452</v>
      </c>
      <c r="J26" s="4892">
        <f>(I26/I28)*100</f>
        <v>8.9671508663616784E-2</v>
      </c>
      <c r="K26" s="4890">
        <f t="shared" si="2"/>
        <v>-0.60385626643295354</v>
      </c>
      <c r="L26" s="4891">
        <v>355</v>
      </c>
      <c r="M26" s="4892">
        <f t="shared" si="11"/>
        <v>5.2359727552426093E-2</v>
      </c>
      <c r="N26" s="4890">
        <f t="shared" si="3"/>
        <v>-0.21460176991150437</v>
      </c>
      <c r="O26" s="4891">
        <v>441</v>
      </c>
      <c r="P26" s="4892">
        <f t="shared" si="0"/>
        <v>0.10662656282867455</v>
      </c>
      <c r="Q26" s="4890">
        <f t="shared" si="4"/>
        <v>0.24225352112676046</v>
      </c>
      <c r="R26" s="4891">
        <v>776</v>
      </c>
      <c r="S26" s="4892">
        <f t="shared" si="5"/>
        <v>9.2155719414336146E-2</v>
      </c>
      <c r="T26" s="4890">
        <f t="shared" si="14"/>
        <v>0.75963718820861681</v>
      </c>
      <c r="U26" s="4891">
        <v>1023</v>
      </c>
      <c r="V26" s="4892">
        <f t="shared" si="7"/>
        <v>0.12148878989802306</v>
      </c>
      <c r="W26" s="4890">
        <f t="shared" si="19"/>
        <v>0.31829896907216493</v>
      </c>
      <c r="X26" s="4891">
        <v>1146</v>
      </c>
      <c r="Y26" s="4892">
        <f t="shared" si="9"/>
        <v>0.13609594645467685</v>
      </c>
      <c r="Z26" s="4890">
        <f t="shared" si="20"/>
        <v>0.12023460410557174</v>
      </c>
    </row>
    <row r="27" spans="2:26" x14ac:dyDescent="0.25">
      <c r="B27" s="4884">
        <v>21</v>
      </c>
      <c r="C27" s="4899" t="s">
        <v>1555</v>
      </c>
      <c r="D27" s="4900"/>
      <c r="E27" s="4896"/>
      <c r="F27" s="4888"/>
      <c r="G27" s="4889"/>
      <c r="H27" s="4890"/>
      <c r="I27" s="4891"/>
      <c r="J27" s="4892"/>
      <c r="K27" s="4890"/>
      <c r="L27" s="4891"/>
      <c r="M27" s="4892"/>
      <c r="N27" s="4890"/>
      <c r="O27" s="4891"/>
      <c r="P27" s="4892"/>
      <c r="Q27" s="4890"/>
      <c r="R27" s="4891">
        <v>169</v>
      </c>
      <c r="S27" s="4892">
        <f t="shared" si="5"/>
        <v>2.006999559410156E-2</v>
      </c>
      <c r="T27" s="4890"/>
      <c r="U27" s="4891">
        <v>581</v>
      </c>
      <c r="V27" s="4892">
        <f t="shared" si="7"/>
        <v>6.8998032190372816E-2</v>
      </c>
      <c r="W27" s="4890">
        <f t="shared" si="19"/>
        <v>2.4378698224852071</v>
      </c>
      <c r="X27" s="4891">
        <v>571</v>
      </c>
      <c r="Y27" s="4892">
        <f t="shared" si="9"/>
        <v>6.7810458486579822E-2</v>
      </c>
      <c r="Z27" s="4890">
        <f t="shared" si="20"/>
        <v>-1.7211703958691871E-2</v>
      </c>
    </row>
    <row r="28" spans="2:26" x14ac:dyDescent="0.25">
      <c r="B28" s="6572" t="s">
        <v>160</v>
      </c>
      <c r="C28" s="6573"/>
      <c r="D28" s="4901">
        <f>SUM(D6:D27)</f>
        <v>357031</v>
      </c>
      <c r="E28" s="4902">
        <f>SUM(E6:E27)</f>
        <v>1</v>
      </c>
      <c r="F28" s="4903">
        <f>SUM(F6:F27)</f>
        <v>381890</v>
      </c>
      <c r="G28" s="4904">
        <f>SUM(G6:G27)</f>
        <v>100.01</v>
      </c>
      <c r="H28" s="4905">
        <f t="shared" si="1"/>
        <v>6.9627007178648448E-2</v>
      </c>
      <c r="I28" s="4901">
        <f>SUM(I6:I26)</f>
        <v>504062</v>
      </c>
      <c r="J28" s="4906">
        <f>(I28/I28)*100</f>
        <v>100</v>
      </c>
      <c r="K28" s="4905">
        <f t="shared" si="2"/>
        <v>0.31991411139333326</v>
      </c>
      <c r="L28" s="4901">
        <f>SUM(L6:L27)</f>
        <v>678002</v>
      </c>
      <c r="M28" s="4906">
        <f>L28/$L$28*100</f>
        <v>100</v>
      </c>
      <c r="N28" s="4905">
        <f t="shared" si="3"/>
        <v>0.34507659772012178</v>
      </c>
      <c r="O28" s="4901">
        <f>SUM(O6:O27)</f>
        <v>413593</v>
      </c>
      <c r="P28" s="4901">
        <f>SUM(P6:P26)</f>
        <v>100</v>
      </c>
      <c r="Q28" s="4905">
        <f t="shared" ref="Q28" si="21">O28/L28-1</f>
        <v>-0.38998262541998396</v>
      </c>
      <c r="R28" s="4901">
        <f>SUM(R6:R27)</f>
        <v>842053</v>
      </c>
      <c r="S28" s="4901">
        <f>SUM(S6:S27)</f>
        <v>100</v>
      </c>
      <c r="T28" s="4905">
        <f t="shared" si="14"/>
        <v>1.03594596620349</v>
      </c>
      <c r="U28" s="4901">
        <f>SUM(U6:U27)</f>
        <v>1150014</v>
      </c>
      <c r="V28" s="4901">
        <f>SUM(V6:V27)</f>
        <v>136.57263853937934</v>
      </c>
      <c r="W28" s="4905">
        <f t="shared" si="19"/>
        <v>0.36572638539379354</v>
      </c>
      <c r="X28" s="4901">
        <f>SUM(X6:X27)</f>
        <v>798673</v>
      </c>
      <c r="Y28" s="4901">
        <f>SUM(Y6:Y27)</f>
        <v>94.848305272945993</v>
      </c>
      <c r="Z28" s="4907">
        <f t="shared" si="20"/>
        <v>-0.30551019378894517</v>
      </c>
    </row>
    <row r="29" spans="2:26" x14ac:dyDescent="0.25">
      <c r="B29" s="4876"/>
      <c r="C29" s="4908" t="s">
        <v>1556</v>
      </c>
      <c r="D29" s="4909"/>
      <c r="E29" s="4909"/>
      <c r="F29" s="4909"/>
      <c r="G29" s="4909"/>
      <c r="H29" s="4909"/>
      <c r="I29" s="4910"/>
      <c r="J29" s="4911"/>
      <c r="K29" s="4911"/>
      <c r="L29" s="4876"/>
      <c r="M29" s="4876"/>
      <c r="N29" s="4876"/>
      <c r="O29" s="4876"/>
      <c r="P29" s="4876"/>
      <c r="Q29" s="4876"/>
      <c r="R29" s="4876"/>
      <c r="S29" s="4876"/>
      <c r="T29" s="4876"/>
    </row>
    <row r="30" spans="2:26" x14ac:dyDescent="0.25">
      <c r="B30" s="4876"/>
      <c r="C30" s="4876" t="s">
        <v>1557</v>
      </c>
      <c r="D30" s="4876"/>
      <c r="E30" s="4876"/>
      <c r="F30" s="4876"/>
      <c r="G30" s="4876"/>
      <c r="H30" s="4876"/>
      <c r="I30" s="4876"/>
      <c r="J30" s="4876"/>
      <c r="K30" s="4876"/>
      <c r="L30" s="4876"/>
      <c r="M30" s="4876"/>
      <c r="N30" s="4876"/>
      <c r="O30" s="4876"/>
      <c r="P30" s="4876"/>
      <c r="Q30" s="4876"/>
      <c r="R30" s="4876"/>
      <c r="S30" s="4876"/>
      <c r="T30" s="4876"/>
    </row>
  </sheetData>
  <mergeCells count="9">
    <mergeCell ref="U4:W4"/>
    <mergeCell ref="B28:C28"/>
    <mergeCell ref="X4:Z4"/>
    <mergeCell ref="D4:E4"/>
    <mergeCell ref="F4:H4"/>
    <mergeCell ref="I4:K4"/>
    <mergeCell ref="L4:N4"/>
    <mergeCell ref="O4:Q4"/>
    <mergeCell ref="R4:T4"/>
  </mergeCells>
  <pageMargins left="0.7" right="0.7" top="0.75" bottom="0.75" header="0.3" footer="0.3"/>
  <pageSetup orientation="portrait" r:id="rId1"/>
  <ignoredErrors>
    <ignoredError sqref="T28:W28" 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AO83"/>
  <sheetViews>
    <sheetView showGridLines="0" zoomScaleNormal="100" zoomScaleSheetLayoutView="90" workbookViewId="0">
      <pane xSplit="2" ySplit="5" topLeftCell="AB24" activePane="bottomRight" state="frozen"/>
      <selection pane="topRight" activeCell="D1" sqref="D1"/>
      <selection pane="bottomLeft" activeCell="A8" sqref="A8"/>
      <selection pane="bottomRight" activeCell="AO29" activeCellId="4" sqref="AO9 AO14 AO19 AO24 AO29"/>
    </sheetView>
  </sheetViews>
  <sheetFormatPr baseColWidth="10" defaultRowHeight="15" x14ac:dyDescent="0.2"/>
  <cols>
    <col min="1" max="1" width="15.7109375" style="194" customWidth="1"/>
    <col min="2" max="2" width="10.85546875" style="200" customWidth="1"/>
    <col min="3" max="41" width="8.7109375" style="200" customWidth="1"/>
    <col min="42" max="255" width="11.42578125" style="200"/>
    <col min="256" max="256" width="2" style="200" customWidth="1"/>
    <col min="257" max="257" width="20.5703125" style="200" customWidth="1"/>
    <col min="258" max="258" width="15" style="200" customWidth="1"/>
    <col min="259" max="260" width="9.140625" style="200" bestFit="1" customWidth="1"/>
    <col min="261" max="261" width="10.7109375" style="200" customWidth="1"/>
    <col min="262" max="263" width="9.140625" style="200" bestFit="1" customWidth="1"/>
    <col min="264" max="264" width="10.7109375" style="200" customWidth="1"/>
    <col min="265" max="266" width="8.7109375" style="200" bestFit="1" customWidth="1"/>
    <col min="267" max="267" width="10.7109375" style="200" customWidth="1"/>
    <col min="268" max="269" width="8.7109375" style="200" bestFit="1" customWidth="1"/>
    <col min="270" max="270" width="10.7109375" style="200" customWidth="1"/>
    <col min="271" max="272" width="8.7109375" style="200" bestFit="1" customWidth="1"/>
    <col min="273" max="273" width="10.7109375" style="200" customWidth="1"/>
    <col min="274" max="275" width="9.140625" style="200" bestFit="1" customWidth="1"/>
    <col min="276" max="276" width="10.7109375" style="200" customWidth="1"/>
    <col min="277" max="278" width="7.85546875" style="200" bestFit="1" customWidth="1"/>
    <col min="279" max="279" width="9" style="200" bestFit="1" customWidth="1"/>
    <col min="280" max="280" width="7.85546875" style="200" bestFit="1" customWidth="1"/>
    <col min="281" max="281" width="6.28515625" style="200" bestFit="1" customWidth="1"/>
    <col min="282" max="282" width="10.7109375" style="200" customWidth="1"/>
    <col min="283" max="511" width="11.42578125" style="200"/>
    <col min="512" max="512" width="2" style="200" customWidth="1"/>
    <col min="513" max="513" width="20.5703125" style="200" customWidth="1"/>
    <col min="514" max="514" width="15" style="200" customWidth="1"/>
    <col min="515" max="516" width="9.140625" style="200" bestFit="1" customWidth="1"/>
    <col min="517" max="517" width="10.7109375" style="200" customWidth="1"/>
    <col min="518" max="519" width="9.140625" style="200" bestFit="1" customWidth="1"/>
    <col min="520" max="520" width="10.7109375" style="200" customWidth="1"/>
    <col min="521" max="522" width="8.7109375" style="200" bestFit="1" customWidth="1"/>
    <col min="523" max="523" width="10.7109375" style="200" customWidth="1"/>
    <col min="524" max="525" width="8.7109375" style="200" bestFit="1" customWidth="1"/>
    <col min="526" max="526" width="10.7109375" style="200" customWidth="1"/>
    <col min="527" max="528" width="8.7109375" style="200" bestFit="1" customWidth="1"/>
    <col min="529" max="529" width="10.7109375" style="200" customWidth="1"/>
    <col min="530" max="531" width="9.140625" style="200" bestFit="1" customWidth="1"/>
    <col min="532" max="532" width="10.7109375" style="200" customWidth="1"/>
    <col min="533" max="534" width="7.85546875" style="200" bestFit="1" customWidth="1"/>
    <col min="535" max="535" width="9" style="200" bestFit="1" customWidth="1"/>
    <col min="536" max="536" width="7.85546875" style="200" bestFit="1" customWidth="1"/>
    <col min="537" max="537" width="6.28515625" style="200" bestFit="1" customWidth="1"/>
    <col min="538" max="538" width="10.7109375" style="200" customWidth="1"/>
    <col min="539" max="767" width="11.42578125" style="200"/>
    <col min="768" max="768" width="2" style="200" customWidth="1"/>
    <col min="769" max="769" width="20.5703125" style="200" customWidth="1"/>
    <col min="770" max="770" width="15" style="200" customWidth="1"/>
    <col min="771" max="772" width="9.140625" style="200" bestFit="1" customWidth="1"/>
    <col min="773" max="773" width="10.7109375" style="200" customWidth="1"/>
    <col min="774" max="775" width="9.140625" style="200" bestFit="1" customWidth="1"/>
    <col min="776" max="776" width="10.7109375" style="200" customWidth="1"/>
    <col min="777" max="778" width="8.7109375" style="200" bestFit="1" customWidth="1"/>
    <col min="779" max="779" width="10.7109375" style="200" customWidth="1"/>
    <col min="780" max="781" width="8.7109375" style="200" bestFit="1" customWidth="1"/>
    <col min="782" max="782" width="10.7109375" style="200" customWidth="1"/>
    <col min="783" max="784" width="8.7109375" style="200" bestFit="1" customWidth="1"/>
    <col min="785" max="785" width="10.7109375" style="200" customWidth="1"/>
    <col min="786" max="787" width="9.140625" style="200" bestFit="1" customWidth="1"/>
    <col min="788" max="788" width="10.7109375" style="200" customWidth="1"/>
    <col min="789" max="790" width="7.85546875" style="200" bestFit="1" customWidth="1"/>
    <col min="791" max="791" width="9" style="200" bestFit="1" customWidth="1"/>
    <col min="792" max="792" width="7.85546875" style="200" bestFit="1" customWidth="1"/>
    <col min="793" max="793" width="6.28515625" style="200" bestFit="1" customWidth="1"/>
    <col min="794" max="794" width="10.7109375" style="200" customWidth="1"/>
    <col min="795" max="1023" width="11.42578125" style="200"/>
    <col min="1024" max="1024" width="2" style="200" customWidth="1"/>
    <col min="1025" max="1025" width="20.5703125" style="200" customWidth="1"/>
    <col min="1026" max="1026" width="15" style="200" customWidth="1"/>
    <col min="1027" max="1028" width="9.140625" style="200" bestFit="1" customWidth="1"/>
    <col min="1029" max="1029" width="10.7109375" style="200" customWidth="1"/>
    <col min="1030" max="1031" width="9.140625" style="200" bestFit="1" customWidth="1"/>
    <col min="1032" max="1032" width="10.7109375" style="200" customWidth="1"/>
    <col min="1033" max="1034" width="8.7109375" style="200" bestFit="1" customWidth="1"/>
    <col min="1035" max="1035" width="10.7109375" style="200" customWidth="1"/>
    <col min="1036" max="1037" width="8.7109375" style="200" bestFit="1" customWidth="1"/>
    <col min="1038" max="1038" width="10.7109375" style="200" customWidth="1"/>
    <col min="1039" max="1040" width="8.7109375" style="200" bestFit="1" customWidth="1"/>
    <col min="1041" max="1041" width="10.7109375" style="200" customWidth="1"/>
    <col min="1042" max="1043" width="9.140625" style="200" bestFit="1" customWidth="1"/>
    <col min="1044" max="1044" width="10.7109375" style="200" customWidth="1"/>
    <col min="1045" max="1046" width="7.85546875" style="200" bestFit="1" customWidth="1"/>
    <col min="1047" max="1047" width="9" style="200" bestFit="1" customWidth="1"/>
    <col min="1048" max="1048" width="7.85546875" style="200" bestFit="1" customWidth="1"/>
    <col min="1049" max="1049" width="6.28515625" style="200" bestFit="1" customWidth="1"/>
    <col min="1050" max="1050" width="10.7109375" style="200" customWidth="1"/>
    <col min="1051" max="1279" width="11.42578125" style="200"/>
    <col min="1280" max="1280" width="2" style="200" customWidth="1"/>
    <col min="1281" max="1281" width="20.5703125" style="200" customWidth="1"/>
    <col min="1282" max="1282" width="15" style="200" customWidth="1"/>
    <col min="1283" max="1284" width="9.140625" style="200" bestFit="1" customWidth="1"/>
    <col min="1285" max="1285" width="10.7109375" style="200" customWidth="1"/>
    <col min="1286" max="1287" width="9.140625" style="200" bestFit="1" customWidth="1"/>
    <col min="1288" max="1288" width="10.7109375" style="200" customWidth="1"/>
    <col min="1289" max="1290" width="8.7109375" style="200" bestFit="1" customWidth="1"/>
    <col min="1291" max="1291" width="10.7109375" style="200" customWidth="1"/>
    <col min="1292" max="1293" width="8.7109375" style="200" bestFit="1" customWidth="1"/>
    <col min="1294" max="1294" width="10.7109375" style="200" customWidth="1"/>
    <col min="1295" max="1296" width="8.7109375" style="200" bestFit="1" customWidth="1"/>
    <col min="1297" max="1297" width="10.7109375" style="200" customWidth="1"/>
    <col min="1298" max="1299" width="9.140625" style="200" bestFit="1" customWidth="1"/>
    <col min="1300" max="1300" width="10.7109375" style="200" customWidth="1"/>
    <col min="1301" max="1302" width="7.85546875" style="200" bestFit="1" customWidth="1"/>
    <col min="1303" max="1303" width="9" style="200" bestFit="1" customWidth="1"/>
    <col min="1304" max="1304" width="7.85546875" style="200" bestFit="1" customWidth="1"/>
    <col min="1305" max="1305" width="6.28515625" style="200" bestFit="1" customWidth="1"/>
    <col min="1306" max="1306" width="10.7109375" style="200" customWidth="1"/>
    <col min="1307" max="1535" width="11.42578125" style="200"/>
    <col min="1536" max="1536" width="2" style="200" customWidth="1"/>
    <col min="1537" max="1537" width="20.5703125" style="200" customWidth="1"/>
    <col min="1538" max="1538" width="15" style="200" customWidth="1"/>
    <col min="1539" max="1540" width="9.140625" style="200" bestFit="1" customWidth="1"/>
    <col min="1541" max="1541" width="10.7109375" style="200" customWidth="1"/>
    <col min="1542" max="1543" width="9.140625" style="200" bestFit="1" customWidth="1"/>
    <col min="1544" max="1544" width="10.7109375" style="200" customWidth="1"/>
    <col min="1545" max="1546" width="8.7109375" style="200" bestFit="1" customWidth="1"/>
    <col min="1547" max="1547" width="10.7109375" style="200" customWidth="1"/>
    <col min="1548" max="1549" width="8.7109375" style="200" bestFit="1" customWidth="1"/>
    <col min="1550" max="1550" width="10.7109375" style="200" customWidth="1"/>
    <col min="1551" max="1552" width="8.7109375" style="200" bestFit="1" customWidth="1"/>
    <col min="1553" max="1553" width="10.7109375" style="200" customWidth="1"/>
    <col min="1554" max="1555" width="9.140625" style="200" bestFit="1" customWidth="1"/>
    <col min="1556" max="1556" width="10.7109375" style="200" customWidth="1"/>
    <col min="1557" max="1558" width="7.85546875" style="200" bestFit="1" customWidth="1"/>
    <col min="1559" max="1559" width="9" style="200" bestFit="1" customWidth="1"/>
    <col min="1560" max="1560" width="7.85546875" style="200" bestFit="1" customWidth="1"/>
    <col min="1561" max="1561" width="6.28515625" style="200" bestFit="1" customWidth="1"/>
    <col min="1562" max="1562" width="10.7109375" style="200" customWidth="1"/>
    <col min="1563" max="1791" width="11.42578125" style="200"/>
    <col min="1792" max="1792" width="2" style="200" customWidth="1"/>
    <col min="1793" max="1793" width="20.5703125" style="200" customWidth="1"/>
    <col min="1794" max="1794" width="15" style="200" customWidth="1"/>
    <col min="1795" max="1796" width="9.140625" style="200" bestFit="1" customWidth="1"/>
    <col min="1797" max="1797" width="10.7109375" style="200" customWidth="1"/>
    <col min="1798" max="1799" width="9.140625" style="200" bestFit="1" customWidth="1"/>
    <col min="1800" max="1800" width="10.7109375" style="200" customWidth="1"/>
    <col min="1801" max="1802" width="8.7109375" style="200" bestFit="1" customWidth="1"/>
    <col min="1803" max="1803" width="10.7109375" style="200" customWidth="1"/>
    <col min="1804" max="1805" width="8.7109375" style="200" bestFit="1" customWidth="1"/>
    <col min="1806" max="1806" width="10.7109375" style="200" customWidth="1"/>
    <col min="1807" max="1808" width="8.7109375" style="200" bestFit="1" customWidth="1"/>
    <col min="1809" max="1809" width="10.7109375" style="200" customWidth="1"/>
    <col min="1810" max="1811" width="9.140625" style="200" bestFit="1" customWidth="1"/>
    <col min="1812" max="1812" width="10.7109375" style="200" customWidth="1"/>
    <col min="1813" max="1814" width="7.85546875" style="200" bestFit="1" customWidth="1"/>
    <col min="1815" max="1815" width="9" style="200" bestFit="1" customWidth="1"/>
    <col min="1816" max="1816" width="7.85546875" style="200" bestFit="1" customWidth="1"/>
    <col min="1817" max="1817" width="6.28515625" style="200" bestFit="1" customWidth="1"/>
    <col min="1818" max="1818" width="10.7109375" style="200" customWidth="1"/>
    <col min="1819" max="2047" width="11.42578125" style="200"/>
    <col min="2048" max="2048" width="2" style="200" customWidth="1"/>
    <col min="2049" max="2049" width="20.5703125" style="200" customWidth="1"/>
    <col min="2050" max="2050" width="15" style="200" customWidth="1"/>
    <col min="2051" max="2052" width="9.140625" style="200" bestFit="1" customWidth="1"/>
    <col min="2053" max="2053" width="10.7109375" style="200" customWidth="1"/>
    <col min="2054" max="2055" width="9.140625" style="200" bestFit="1" customWidth="1"/>
    <col min="2056" max="2056" width="10.7109375" style="200" customWidth="1"/>
    <col min="2057" max="2058" width="8.7109375" style="200" bestFit="1" customWidth="1"/>
    <col min="2059" max="2059" width="10.7109375" style="200" customWidth="1"/>
    <col min="2060" max="2061" width="8.7109375" style="200" bestFit="1" customWidth="1"/>
    <col min="2062" max="2062" width="10.7109375" style="200" customWidth="1"/>
    <col min="2063" max="2064" width="8.7109375" style="200" bestFit="1" customWidth="1"/>
    <col min="2065" max="2065" width="10.7109375" style="200" customWidth="1"/>
    <col min="2066" max="2067" width="9.140625" style="200" bestFit="1" customWidth="1"/>
    <col min="2068" max="2068" width="10.7109375" style="200" customWidth="1"/>
    <col min="2069" max="2070" width="7.85546875" style="200" bestFit="1" customWidth="1"/>
    <col min="2071" max="2071" width="9" style="200" bestFit="1" customWidth="1"/>
    <col min="2072" max="2072" width="7.85546875" style="200" bestFit="1" customWidth="1"/>
    <col min="2073" max="2073" width="6.28515625" style="200" bestFit="1" customWidth="1"/>
    <col min="2074" max="2074" width="10.7109375" style="200" customWidth="1"/>
    <col min="2075" max="2303" width="11.42578125" style="200"/>
    <col min="2304" max="2304" width="2" style="200" customWidth="1"/>
    <col min="2305" max="2305" width="20.5703125" style="200" customWidth="1"/>
    <col min="2306" max="2306" width="15" style="200" customWidth="1"/>
    <col min="2307" max="2308" width="9.140625" style="200" bestFit="1" customWidth="1"/>
    <col min="2309" max="2309" width="10.7109375" style="200" customWidth="1"/>
    <col min="2310" max="2311" width="9.140625" style="200" bestFit="1" customWidth="1"/>
    <col min="2312" max="2312" width="10.7109375" style="200" customWidth="1"/>
    <col min="2313" max="2314" width="8.7109375" style="200" bestFit="1" customWidth="1"/>
    <col min="2315" max="2315" width="10.7109375" style="200" customWidth="1"/>
    <col min="2316" max="2317" width="8.7109375" style="200" bestFit="1" customWidth="1"/>
    <col min="2318" max="2318" width="10.7109375" style="200" customWidth="1"/>
    <col min="2319" max="2320" width="8.7109375" style="200" bestFit="1" customWidth="1"/>
    <col min="2321" max="2321" width="10.7109375" style="200" customWidth="1"/>
    <col min="2322" max="2323" width="9.140625" style="200" bestFit="1" customWidth="1"/>
    <col min="2324" max="2324" width="10.7109375" style="200" customWidth="1"/>
    <col min="2325" max="2326" width="7.85546875" style="200" bestFit="1" customWidth="1"/>
    <col min="2327" max="2327" width="9" style="200" bestFit="1" customWidth="1"/>
    <col min="2328" max="2328" width="7.85546875" style="200" bestFit="1" customWidth="1"/>
    <col min="2329" max="2329" width="6.28515625" style="200" bestFit="1" customWidth="1"/>
    <col min="2330" max="2330" width="10.7109375" style="200" customWidth="1"/>
    <col min="2331" max="2559" width="11.42578125" style="200"/>
    <col min="2560" max="2560" width="2" style="200" customWidth="1"/>
    <col min="2561" max="2561" width="20.5703125" style="200" customWidth="1"/>
    <col min="2562" max="2562" width="15" style="200" customWidth="1"/>
    <col min="2563" max="2564" width="9.140625" style="200" bestFit="1" customWidth="1"/>
    <col min="2565" max="2565" width="10.7109375" style="200" customWidth="1"/>
    <col min="2566" max="2567" width="9.140625" style="200" bestFit="1" customWidth="1"/>
    <col min="2568" max="2568" width="10.7109375" style="200" customWidth="1"/>
    <col min="2569" max="2570" width="8.7109375" style="200" bestFit="1" customWidth="1"/>
    <col min="2571" max="2571" width="10.7109375" style="200" customWidth="1"/>
    <col min="2572" max="2573" width="8.7109375" style="200" bestFit="1" customWidth="1"/>
    <col min="2574" max="2574" width="10.7109375" style="200" customWidth="1"/>
    <col min="2575" max="2576" width="8.7109375" style="200" bestFit="1" customWidth="1"/>
    <col min="2577" max="2577" width="10.7109375" style="200" customWidth="1"/>
    <col min="2578" max="2579" width="9.140625" style="200" bestFit="1" customWidth="1"/>
    <col min="2580" max="2580" width="10.7109375" style="200" customWidth="1"/>
    <col min="2581" max="2582" width="7.85546875" style="200" bestFit="1" customWidth="1"/>
    <col min="2583" max="2583" width="9" style="200" bestFit="1" customWidth="1"/>
    <col min="2584" max="2584" width="7.85546875" style="200" bestFit="1" customWidth="1"/>
    <col min="2585" max="2585" width="6.28515625" style="200" bestFit="1" customWidth="1"/>
    <col min="2586" max="2586" width="10.7109375" style="200" customWidth="1"/>
    <col min="2587" max="2815" width="11.42578125" style="200"/>
    <col min="2816" max="2816" width="2" style="200" customWidth="1"/>
    <col min="2817" max="2817" width="20.5703125" style="200" customWidth="1"/>
    <col min="2818" max="2818" width="15" style="200" customWidth="1"/>
    <col min="2819" max="2820" width="9.140625" style="200" bestFit="1" customWidth="1"/>
    <col min="2821" max="2821" width="10.7109375" style="200" customWidth="1"/>
    <col min="2822" max="2823" width="9.140625" style="200" bestFit="1" customWidth="1"/>
    <col min="2824" max="2824" width="10.7109375" style="200" customWidth="1"/>
    <col min="2825" max="2826" width="8.7109375" style="200" bestFit="1" customWidth="1"/>
    <col min="2827" max="2827" width="10.7109375" style="200" customWidth="1"/>
    <col min="2828" max="2829" width="8.7109375" style="200" bestFit="1" customWidth="1"/>
    <col min="2830" max="2830" width="10.7109375" style="200" customWidth="1"/>
    <col min="2831" max="2832" width="8.7109375" style="200" bestFit="1" customWidth="1"/>
    <col min="2833" max="2833" width="10.7109375" style="200" customWidth="1"/>
    <col min="2834" max="2835" width="9.140625" style="200" bestFit="1" customWidth="1"/>
    <col min="2836" max="2836" width="10.7109375" style="200" customWidth="1"/>
    <col min="2837" max="2838" width="7.85546875" style="200" bestFit="1" customWidth="1"/>
    <col min="2839" max="2839" width="9" style="200" bestFit="1" customWidth="1"/>
    <col min="2840" max="2840" width="7.85546875" style="200" bestFit="1" customWidth="1"/>
    <col min="2841" max="2841" width="6.28515625" style="200" bestFit="1" customWidth="1"/>
    <col min="2842" max="2842" width="10.7109375" style="200" customWidth="1"/>
    <col min="2843" max="3071" width="11.42578125" style="200"/>
    <col min="3072" max="3072" width="2" style="200" customWidth="1"/>
    <col min="3073" max="3073" width="20.5703125" style="200" customWidth="1"/>
    <col min="3074" max="3074" width="15" style="200" customWidth="1"/>
    <col min="3075" max="3076" width="9.140625" style="200" bestFit="1" customWidth="1"/>
    <col min="3077" max="3077" width="10.7109375" style="200" customWidth="1"/>
    <col min="3078" max="3079" width="9.140625" style="200" bestFit="1" customWidth="1"/>
    <col min="3080" max="3080" width="10.7109375" style="200" customWidth="1"/>
    <col min="3081" max="3082" width="8.7109375" style="200" bestFit="1" customWidth="1"/>
    <col min="3083" max="3083" width="10.7109375" style="200" customWidth="1"/>
    <col min="3084" max="3085" width="8.7109375" style="200" bestFit="1" customWidth="1"/>
    <col min="3086" max="3086" width="10.7109375" style="200" customWidth="1"/>
    <col min="3087" max="3088" width="8.7109375" style="200" bestFit="1" customWidth="1"/>
    <col min="3089" max="3089" width="10.7109375" style="200" customWidth="1"/>
    <col min="3090" max="3091" width="9.140625" style="200" bestFit="1" customWidth="1"/>
    <col min="3092" max="3092" width="10.7109375" style="200" customWidth="1"/>
    <col min="3093" max="3094" width="7.85546875" style="200" bestFit="1" customWidth="1"/>
    <col min="3095" max="3095" width="9" style="200" bestFit="1" customWidth="1"/>
    <col min="3096" max="3096" width="7.85546875" style="200" bestFit="1" customWidth="1"/>
    <col min="3097" max="3097" width="6.28515625" style="200" bestFit="1" customWidth="1"/>
    <col min="3098" max="3098" width="10.7109375" style="200" customWidth="1"/>
    <col min="3099" max="3327" width="11.42578125" style="200"/>
    <col min="3328" max="3328" width="2" style="200" customWidth="1"/>
    <col min="3329" max="3329" width="20.5703125" style="200" customWidth="1"/>
    <col min="3330" max="3330" width="15" style="200" customWidth="1"/>
    <col min="3331" max="3332" width="9.140625" style="200" bestFit="1" customWidth="1"/>
    <col min="3333" max="3333" width="10.7109375" style="200" customWidth="1"/>
    <col min="3334" max="3335" width="9.140625" style="200" bestFit="1" customWidth="1"/>
    <col min="3336" max="3336" width="10.7109375" style="200" customWidth="1"/>
    <col min="3337" max="3338" width="8.7109375" style="200" bestFit="1" customWidth="1"/>
    <col min="3339" max="3339" width="10.7109375" style="200" customWidth="1"/>
    <col min="3340" max="3341" width="8.7109375" style="200" bestFit="1" customWidth="1"/>
    <col min="3342" max="3342" width="10.7109375" style="200" customWidth="1"/>
    <col min="3343" max="3344" width="8.7109375" style="200" bestFit="1" customWidth="1"/>
    <col min="3345" max="3345" width="10.7109375" style="200" customWidth="1"/>
    <col min="3346" max="3347" width="9.140625" style="200" bestFit="1" customWidth="1"/>
    <col min="3348" max="3348" width="10.7109375" style="200" customWidth="1"/>
    <col min="3349" max="3350" width="7.85546875" style="200" bestFit="1" customWidth="1"/>
    <col min="3351" max="3351" width="9" style="200" bestFit="1" customWidth="1"/>
    <col min="3352" max="3352" width="7.85546875" style="200" bestFit="1" customWidth="1"/>
    <col min="3353" max="3353" width="6.28515625" style="200" bestFit="1" customWidth="1"/>
    <col min="3354" max="3354" width="10.7109375" style="200" customWidth="1"/>
    <col min="3355" max="3583" width="11.42578125" style="200"/>
    <col min="3584" max="3584" width="2" style="200" customWidth="1"/>
    <col min="3585" max="3585" width="20.5703125" style="200" customWidth="1"/>
    <col min="3586" max="3586" width="15" style="200" customWidth="1"/>
    <col min="3587" max="3588" width="9.140625" style="200" bestFit="1" customWidth="1"/>
    <col min="3589" max="3589" width="10.7109375" style="200" customWidth="1"/>
    <col min="3590" max="3591" width="9.140625" style="200" bestFit="1" customWidth="1"/>
    <col min="3592" max="3592" width="10.7109375" style="200" customWidth="1"/>
    <col min="3593" max="3594" width="8.7109375" style="200" bestFit="1" customWidth="1"/>
    <col min="3595" max="3595" width="10.7109375" style="200" customWidth="1"/>
    <col min="3596" max="3597" width="8.7109375" style="200" bestFit="1" customWidth="1"/>
    <col min="3598" max="3598" width="10.7109375" style="200" customWidth="1"/>
    <col min="3599" max="3600" width="8.7109375" style="200" bestFit="1" customWidth="1"/>
    <col min="3601" max="3601" width="10.7109375" style="200" customWidth="1"/>
    <col min="3602" max="3603" width="9.140625" style="200" bestFit="1" customWidth="1"/>
    <col min="3604" max="3604" width="10.7109375" style="200" customWidth="1"/>
    <col min="3605" max="3606" width="7.85546875" style="200" bestFit="1" customWidth="1"/>
    <col min="3607" max="3607" width="9" style="200" bestFit="1" customWidth="1"/>
    <col min="3608" max="3608" width="7.85546875" style="200" bestFit="1" customWidth="1"/>
    <col min="3609" max="3609" width="6.28515625" style="200" bestFit="1" customWidth="1"/>
    <col min="3610" max="3610" width="10.7109375" style="200" customWidth="1"/>
    <col min="3611" max="3839" width="11.42578125" style="200"/>
    <col min="3840" max="3840" width="2" style="200" customWidth="1"/>
    <col min="3841" max="3841" width="20.5703125" style="200" customWidth="1"/>
    <col min="3842" max="3842" width="15" style="200" customWidth="1"/>
    <col min="3843" max="3844" width="9.140625" style="200" bestFit="1" customWidth="1"/>
    <col min="3845" max="3845" width="10.7109375" style="200" customWidth="1"/>
    <col min="3846" max="3847" width="9.140625" style="200" bestFit="1" customWidth="1"/>
    <col min="3848" max="3848" width="10.7109375" style="200" customWidth="1"/>
    <col min="3849" max="3850" width="8.7109375" style="200" bestFit="1" customWidth="1"/>
    <col min="3851" max="3851" width="10.7109375" style="200" customWidth="1"/>
    <col min="3852" max="3853" width="8.7109375" style="200" bestFit="1" customWidth="1"/>
    <col min="3854" max="3854" width="10.7109375" style="200" customWidth="1"/>
    <col min="3855" max="3856" width="8.7109375" style="200" bestFit="1" customWidth="1"/>
    <col min="3857" max="3857" width="10.7109375" style="200" customWidth="1"/>
    <col min="3858" max="3859" width="9.140625" style="200" bestFit="1" customWidth="1"/>
    <col min="3860" max="3860" width="10.7109375" style="200" customWidth="1"/>
    <col min="3861" max="3862" width="7.85546875" style="200" bestFit="1" customWidth="1"/>
    <col min="3863" max="3863" width="9" style="200" bestFit="1" customWidth="1"/>
    <col min="3864" max="3864" width="7.85546875" style="200" bestFit="1" customWidth="1"/>
    <col min="3865" max="3865" width="6.28515625" style="200" bestFit="1" customWidth="1"/>
    <col min="3866" max="3866" width="10.7109375" style="200" customWidth="1"/>
    <col min="3867" max="4095" width="11.42578125" style="200"/>
    <col min="4096" max="4096" width="2" style="200" customWidth="1"/>
    <col min="4097" max="4097" width="20.5703125" style="200" customWidth="1"/>
    <col min="4098" max="4098" width="15" style="200" customWidth="1"/>
    <col min="4099" max="4100" width="9.140625" style="200" bestFit="1" customWidth="1"/>
    <col min="4101" max="4101" width="10.7109375" style="200" customWidth="1"/>
    <col min="4102" max="4103" width="9.140625" style="200" bestFit="1" customWidth="1"/>
    <col min="4104" max="4104" width="10.7109375" style="200" customWidth="1"/>
    <col min="4105" max="4106" width="8.7109375" style="200" bestFit="1" customWidth="1"/>
    <col min="4107" max="4107" width="10.7109375" style="200" customWidth="1"/>
    <col min="4108" max="4109" width="8.7109375" style="200" bestFit="1" customWidth="1"/>
    <col min="4110" max="4110" width="10.7109375" style="200" customWidth="1"/>
    <col min="4111" max="4112" width="8.7109375" style="200" bestFit="1" customWidth="1"/>
    <col min="4113" max="4113" width="10.7109375" style="200" customWidth="1"/>
    <col min="4114" max="4115" width="9.140625" style="200" bestFit="1" customWidth="1"/>
    <col min="4116" max="4116" width="10.7109375" style="200" customWidth="1"/>
    <col min="4117" max="4118" width="7.85546875" style="200" bestFit="1" customWidth="1"/>
    <col min="4119" max="4119" width="9" style="200" bestFit="1" customWidth="1"/>
    <col min="4120" max="4120" width="7.85546875" style="200" bestFit="1" customWidth="1"/>
    <col min="4121" max="4121" width="6.28515625" style="200" bestFit="1" customWidth="1"/>
    <col min="4122" max="4122" width="10.7109375" style="200" customWidth="1"/>
    <col min="4123" max="4351" width="11.42578125" style="200"/>
    <col min="4352" max="4352" width="2" style="200" customWidth="1"/>
    <col min="4353" max="4353" width="20.5703125" style="200" customWidth="1"/>
    <col min="4354" max="4354" width="15" style="200" customWidth="1"/>
    <col min="4355" max="4356" width="9.140625" style="200" bestFit="1" customWidth="1"/>
    <col min="4357" max="4357" width="10.7109375" style="200" customWidth="1"/>
    <col min="4358" max="4359" width="9.140625" style="200" bestFit="1" customWidth="1"/>
    <col min="4360" max="4360" width="10.7109375" style="200" customWidth="1"/>
    <col min="4361" max="4362" width="8.7109375" style="200" bestFit="1" customWidth="1"/>
    <col min="4363" max="4363" width="10.7109375" style="200" customWidth="1"/>
    <col min="4364" max="4365" width="8.7109375" style="200" bestFit="1" customWidth="1"/>
    <col min="4366" max="4366" width="10.7109375" style="200" customWidth="1"/>
    <col min="4367" max="4368" width="8.7109375" style="200" bestFit="1" customWidth="1"/>
    <col min="4369" max="4369" width="10.7109375" style="200" customWidth="1"/>
    <col min="4370" max="4371" width="9.140625" style="200" bestFit="1" customWidth="1"/>
    <col min="4372" max="4372" width="10.7109375" style="200" customWidth="1"/>
    <col min="4373" max="4374" width="7.85546875" style="200" bestFit="1" customWidth="1"/>
    <col min="4375" max="4375" width="9" style="200" bestFit="1" customWidth="1"/>
    <col min="4376" max="4376" width="7.85546875" style="200" bestFit="1" customWidth="1"/>
    <col min="4377" max="4377" width="6.28515625" style="200" bestFit="1" customWidth="1"/>
    <col min="4378" max="4378" width="10.7109375" style="200" customWidth="1"/>
    <col min="4379" max="4607" width="11.42578125" style="200"/>
    <col min="4608" max="4608" width="2" style="200" customWidth="1"/>
    <col min="4609" max="4609" width="20.5703125" style="200" customWidth="1"/>
    <col min="4610" max="4610" width="15" style="200" customWidth="1"/>
    <col min="4611" max="4612" width="9.140625" style="200" bestFit="1" customWidth="1"/>
    <col min="4613" max="4613" width="10.7109375" style="200" customWidth="1"/>
    <col min="4614" max="4615" width="9.140625" style="200" bestFit="1" customWidth="1"/>
    <col min="4616" max="4616" width="10.7109375" style="200" customWidth="1"/>
    <col min="4617" max="4618" width="8.7109375" style="200" bestFit="1" customWidth="1"/>
    <col min="4619" max="4619" width="10.7109375" style="200" customWidth="1"/>
    <col min="4620" max="4621" width="8.7109375" style="200" bestFit="1" customWidth="1"/>
    <col min="4622" max="4622" width="10.7109375" style="200" customWidth="1"/>
    <col min="4623" max="4624" width="8.7109375" style="200" bestFit="1" customWidth="1"/>
    <col min="4625" max="4625" width="10.7109375" style="200" customWidth="1"/>
    <col min="4626" max="4627" width="9.140625" style="200" bestFit="1" customWidth="1"/>
    <col min="4628" max="4628" width="10.7109375" style="200" customWidth="1"/>
    <col min="4629" max="4630" width="7.85546875" style="200" bestFit="1" customWidth="1"/>
    <col min="4631" max="4631" width="9" style="200" bestFit="1" customWidth="1"/>
    <col min="4632" max="4632" width="7.85546875" style="200" bestFit="1" customWidth="1"/>
    <col min="4633" max="4633" width="6.28515625" style="200" bestFit="1" customWidth="1"/>
    <col min="4634" max="4634" width="10.7109375" style="200" customWidth="1"/>
    <col min="4635" max="4863" width="11.42578125" style="200"/>
    <col min="4864" max="4864" width="2" style="200" customWidth="1"/>
    <col min="4865" max="4865" width="20.5703125" style="200" customWidth="1"/>
    <col min="4866" max="4866" width="15" style="200" customWidth="1"/>
    <col min="4867" max="4868" width="9.140625" style="200" bestFit="1" customWidth="1"/>
    <col min="4869" max="4869" width="10.7109375" style="200" customWidth="1"/>
    <col min="4870" max="4871" width="9.140625" style="200" bestFit="1" customWidth="1"/>
    <col min="4872" max="4872" width="10.7109375" style="200" customWidth="1"/>
    <col min="4873" max="4874" width="8.7109375" style="200" bestFit="1" customWidth="1"/>
    <col min="4875" max="4875" width="10.7109375" style="200" customWidth="1"/>
    <col min="4876" max="4877" width="8.7109375" style="200" bestFit="1" customWidth="1"/>
    <col min="4878" max="4878" width="10.7109375" style="200" customWidth="1"/>
    <col min="4879" max="4880" width="8.7109375" style="200" bestFit="1" customWidth="1"/>
    <col min="4881" max="4881" width="10.7109375" style="200" customWidth="1"/>
    <col min="4882" max="4883" width="9.140625" style="200" bestFit="1" customWidth="1"/>
    <col min="4884" max="4884" width="10.7109375" style="200" customWidth="1"/>
    <col min="4885" max="4886" width="7.85546875" style="200" bestFit="1" customWidth="1"/>
    <col min="4887" max="4887" width="9" style="200" bestFit="1" customWidth="1"/>
    <col min="4888" max="4888" width="7.85546875" style="200" bestFit="1" customWidth="1"/>
    <col min="4889" max="4889" width="6.28515625" style="200" bestFit="1" customWidth="1"/>
    <col min="4890" max="4890" width="10.7109375" style="200" customWidth="1"/>
    <col min="4891" max="5119" width="11.42578125" style="200"/>
    <col min="5120" max="5120" width="2" style="200" customWidth="1"/>
    <col min="5121" max="5121" width="20.5703125" style="200" customWidth="1"/>
    <col min="5122" max="5122" width="15" style="200" customWidth="1"/>
    <col min="5123" max="5124" width="9.140625" style="200" bestFit="1" customWidth="1"/>
    <col min="5125" max="5125" width="10.7109375" style="200" customWidth="1"/>
    <col min="5126" max="5127" width="9.140625" style="200" bestFit="1" customWidth="1"/>
    <col min="5128" max="5128" width="10.7109375" style="200" customWidth="1"/>
    <col min="5129" max="5130" width="8.7109375" style="200" bestFit="1" customWidth="1"/>
    <col min="5131" max="5131" width="10.7109375" style="200" customWidth="1"/>
    <col min="5132" max="5133" width="8.7109375" style="200" bestFit="1" customWidth="1"/>
    <col min="5134" max="5134" width="10.7109375" style="200" customWidth="1"/>
    <col min="5135" max="5136" width="8.7109375" style="200" bestFit="1" customWidth="1"/>
    <col min="5137" max="5137" width="10.7109375" style="200" customWidth="1"/>
    <col min="5138" max="5139" width="9.140625" style="200" bestFit="1" customWidth="1"/>
    <col min="5140" max="5140" width="10.7109375" style="200" customWidth="1"/>
    <col min="5141" max="5142" width="7.85546875" style="200" bestFit="1" customWidth="1"/>
    <col min="5143" max="5143" width="9" style="200" bestFit="1" customWidth="1"/>
    <col min="5144" max="5144" width="7.85546875" style="200" bestFit="1" customWidth="1"/>
    <col min="5145" max="5145" width="6.28515625" style="200" bestFit="1" customWidth="1"/>
    <col min="5146" max="5146" width="10.7109375" style="200" customWidth="1"/>
    <col min="5147" max="5375" width="11.42578125" style="200"/>
    <col min="5376" max="5376" width="2" style="200" customWidth="1"/>
    <col min="5377" max="5377" width="20.5703125" style="200" customWidth="1"/>
    <col min="5378" max="5378" width="15" style="200" customWidth="1"/>
    <col min="5379" max="5380" width="9.140625" style="200" bestFit="1" customWidth="1"/>
    <col min="5381" max="5381" width="10.7109375" style="200" customWidth="1"/>
    <col min="5382" max="5383" width="9.140625" style="200" bestFit="1" customWidth="1"/>
    <col min="5384" max="5384" width="10.7109375" style="200" customWidth="1"/>
    <col min="5385" max="5386" width="8.7109375" style="200" bestFit="1" customWidth="1"/>
    <col min="5387" max="5387" width="10.7109375" style="200" customWidth="1"/>
    <col min="5388" max="5389" width="8.7109375" style="200" bestFit="1" customWidth="1"/>
    <col min="5390" max="5390" width="10.7109375" style="200" customWidth="1"/>
    <col min="5391" max="5392" width="8.7109375" style="200" bestFit="1" customWidth="1"/>
    <col min="5393" max="5393" width="10.7109375" style="200" customWidth="1"/>
    <col min="5394" max="5395" width="9.140625" style="200" bestFit="1" customWidth="1"/>
    <col min="5396" max="5396" width="10.7109375" style="200" customWidth="1"/>
    <col min="5397" max="5398" width="7.85546875" style="200" bestFit="1" customWidth="1"/>
    <col min="5399" max="5399" width="9" style="200" bestFit="1" customWidth="1"/>
    <col min="5400" max="5400" width="7.85546875" style="200" bestFit="1" customWidth="1"/>
    <col min="5401" max="5401" width="6.28515625" style="200" bestFit="1" customWidth="1"/>
    <col min="5402" max="5402" width="10.7109375" style="200" customWidth="1"/>
    <col min="5403" max="5631" width="11.42578125" style="200"/>
    <col min="5632" max="5632" width="2" style="200" customWidth="1"/>
    <col min="5633" max="5633" width="20.5703125" style="200" customWidth="1"/>
    <col min="5634" max="5634" width="15" style="200" customWidth="1"/>
    <col min="5635" max="5636" width="9.140625" style="200" bestFit="1" customWidth="1"/>
    <col min="5637" max="5637" width="10.7109375" style="200" customWidth="1"/>
    <col min="5638" max="5639" width="9.140625" style="200" bestFit="1" customWidth="1"/>
    <col min="5640" max="5640" width="10.7109375" style="200" customWidth="1"/>
    <col min="5641" max="5642" width="8.7109375" style="200" bestFit="1" customWidth="1"/>
    <col min="5643" max="5643" width="10.7109375" style="200" customWidth="1"/>
    <col min="5644" max="5645" width="8.7109375" style="200" bestFit="1" customWidth="1"/>
    <col min="5646" max="5646" width="10.7109375" style="200" customWidth="1"/>
    <col min="5647" max="5648" width="8.7109375" style="200" bestFit="1" customWidth="1"/>
    <col min="5649" max="5649" width="10.7109375" style="200" customWidth="1"/>
    <col min="5650" max="5651" width="9.140625" style="200" bestFit="1" customWidth="1"/>
    <col min="5652" max="5652" width="10.7109375" style="200" customWidth="1"/>
    <col min="5653" max="5654" width="7.85546875" style="200" bestFit="1" customWidth="1"/>
    <col min="5655" max="5655" width="9" style="200" bestFit="1" customWidth="1"/>
    <col min="5656" max="5656" width="7.85546875" style="200" bestFit="1" customWidth="1"/>
    <col min="5657" max="5657" width="6.28515625" style="200" bestFit="1" customWidth="1"/>
    <col min="5658" max="5658" width="10.7109375" style="200" customWidth="1"/>
    <col min="5659" max="5887" width="11.42578125" style="200"/>
    <col min="5888" max="5888" width="2" style="200" customWidth="1"/>
    <col min="5889" max="5889" width="20.5703125" style="200" customWidth="1"/>
    <col min="5890" max="5890" width="15" style="200" customWidth="1"/>
    <col min="5891" max="5892" width="9.140625" style="200" bestFit="1" customWidth="1"/>
    <col min="5893" max="5893" width="10.7109375" style="200" customWidth="1"/>
    <col min="5894" max="5895" width="9.140625" style="200" bestFit="1" customWidth="1"/>
    <col min="5896" max="5896" width="10.7109375" style="200" customWidth="1"/>
    <col min="5897" max="5898" width="8.7109375" style="200" bestFit="1" customWidth="1"/>
    <col min="5899" max="5899" width="10.7109375" style="200" customWidth="1"/>
    <col min="5900" max="5901" width="8.7109375" style="200" bestFit="1" customWidth="1"/>
    <col min="5902" max="5902" width="10.7109375" style="200" customWidth="1"/>
    <col min="5903" max="5904" width="8.7109375" style="200" bestFit="1" customWidth="1"/>
    <col min="5905" max="5905" width="10.7109375" style="200" customWidth="1"/>
    <col min="5906" max="5907" width="9.140625" style="200" bestFit="1" customWidth="1"/>
    <col min="5908" max="5908" width="10.7109375" style="200" customWidth="1"/>
    <col min="5909" max="5910" width="7.85546875" style="200" bestFit="1" customWidth="1"/>
    <col min="5911" max="5911" width="9" style="200" bestFit="1" customWidth="1"/>
    <col min="5912" max="5912" width="7.85546875" style="200" bestFit="1" customWidth="1"/>
    <col min="5913" max="5913" width="6.28515625" style="200" bestFit="1" customWidth="1"/>
    <col min="5914" max="5914" width="10.7109375" style="200" customWidth="1"/>
    <col min="5915" max="6143" width="11.42578125" style="200"/>
    <col min="6144" max="6144" width="2" style="200" customWidth="1"/>
    <col min="6145" max="6145" width="20.5703125" style="200" customWidth="1"/>
    <col min="6146" max="6146" width="15" style="200" customWidth="1"/>
    <col min="6147" max="6148" width="9.140625" style="200" bestFit="1" customWidth="1"/>
    <col min="6149" max="6149" width="10.7109375" style="200" customWidth="1"/>
    <col min="6150" max="6151" width="9.140625" style="200" bestFit="1" customWidth="1"/>
    <col min="6152" max="6152" width="10.7109375" style="200" customWidth="1"/>
    <col min="6153" max="6154" width="8.7109375" style="200" bestFit="1" customWidth="1"/>
    <col min="6155" max="6155" width="10.7109375" style="200" customWidth="1"/>
    <col min="6156" max="6157" width="8.7109375" style="200" bestFit="1" customWidth="1"/>
    <col min="6158" max="6158" width="10.7109375" style="200" customWidth="1"/>
    <col min="6159" max="6160" width="8.7109375" style="200" bestFit="1" customWidth="1"/>
    <col min="6161" max="6161" width="10.7109375" style="200" customWidth="1"/>
    <col min="6162" max="6163" width="9.140625" style="200" bestFit="1" customWidth="1"/>
    <col min="6164" max="6164" width="10.7109375" style="200" customWidth="1"/>
    <col min="6165" max="6166" width="7.85546875" style="200" bestFit="1" customWidth="1"/>
    <col min="6167" max="6167" width="9" style="200" bestFit="1" customWidth="1"/>
    <col min="6168" max="6168" width="7.85546875" style="200" bestFit="1" customWidth="1"/>
    <col min="6169" max="6169" width="6.28515625" style="200" bestFit="1" customWidth="1"/>
    <col min="6170" max="6170" width="10.7109375" style="200" customWidth="1"/>
    <col min="6171" max="6399" width="11.42578125" style="200"/>
    <col min="6400" max="6400" width="2" style="200" customWidth="1"/>
    <col min="6401" max="6401" width="20.5703125" style="200" customWidth="1"/>
    <col min="6402" max="6402" width="15" style="200" customWidth="1"/>
    <col min="6403" max="6404" width="9.140625" style="200" bestFit="1" customWidth="1"/>
    <col min="6405" max="6405" width="10.7109375" style="200" customWidth="1"/>
    <col min="6406" max="6407" width="9.140625" style="200" bestFit="1" customWidth="1"/>
    <col min="6408" max="6408" width="10.7109375" style="200" customWidth="1"/>
    <col min="6409" max="6410" width="8.7109375" style="200" bestFit="1" customWidth="1"/>
    <col min="6411" max="6411" width="10.7109375" style="200" customWidth="1"/>
    <col min="6412" max="6413" width="8.7109375" style="200" bestFit="1" customWidth="1"/>
    <col min="6414" max="6414" width="10.7109375" style="200" customWidth="1"/>
    <col min="6415" max="6416" width="8.7109375" style="200" bestFit="1" customWidth="1"/>
    <col min="6417" max="6417" width="10.7109375" style="200" customWidth="1"/>
    <col min="6418" max="6419" width="9.140625" style="200" bestFit="1" customWidth="1"/>
    <col min="6420" max="6420" width="10.7109375" style="200" customWidth="1"/>
    <col min="6421" max="6422" width="7.85546875" style="200" bestFit="1" customWidth="1"/>
    <col min="6423" max="6423" width="9" style="200" bestFit="1" customWidth="1"/>
    <col min="6424" max="6424" width="7.85546875" style="200" bestFit="1" customWidth="1"/>
    <col min="6425" max="6425" width="6.28515625" style="200" bestFit="1" customWidth="1"/>
    <col min="6426" max="6426" width="10.7109375" style="200" customWidth="1"/>
    <col min="6427" max="6655" width="11.42578125" style="200"/>
    <col min="6656" max="6656" width="2" style="200" customWidth="1"/>
    <col min="6657" max="6657" width="20.5703125" style="200" customWidth="1"/>
    <col min="6658" max="6658" width="15" style="200" customWidth="1"/>
    <col min="6659" max="6660" width="9.140625" style="200" bestFit="1" customWidth="1"/>
    <col min="6661" max="6661" width="10.7109375" style="200" customWidth="1"/>
    <col min="6662" max="6663" width="9.140625" style="200" bestFit="1" customWidth="1"/>
    <col min="6664" max="6664" width="10.7109375" style="200" customWidth="1"/>
    <col min="6665" max="6666" width="8.7109375" style="200" bestFit="1" customWidth="1"/>
    <col min="6667" max="6667" width="10.7109375" style="200" customWidth="1"/>
    <col min="6668" max="6669" width="8.7109375" style="200" bestFit="1" customWidth="1"/>
    <col min="6670" max="6670" width="10.7109375" style="200" customWidth="1"/>
    <col min="6671" max="6672" width="8.7109375" style="200" bestFit="1" customWidth="1"/>
    <col min="6673" max="6673" width="10.7109375" style="200" customWidth="1"/>
    <col min="6674" max="6675" width="9.140625" style="200" bestFit="1" customWidth="1"/>
    <col min="6676" max="6676" width="10.7109375" style="200" customWidth="1"/>
    <col min="6677" max="6678" width="7.85546875" style="200" bestFit="1" customWidth="1"/>
    <col min="6679" max="6679" width="9" style="200" bestFit="1" customWidth="1"/>
    <col min="6680" max="6680" width="7.85546875" style="200" bestFit="1" customWidth="1"/>
    <col min="6681" max="6681" width="6.28515625" style="200" bestFit="1" customWidth="1"/>
    <col min="6682" max="6682" width="10.7109375" style="200" customWidth="1"/>
    <col min="6683" max="6911" width="11.42578125" style="200"/>
    <col min="6912" max="6912" width="2" style="200" customWidth="1"/>
    <col min="6913" max="6913" width="20.5703125" style="200" customWidth="1"/>
    <col min="6914" max="6914" width="15" style="200" customWidth="1"/>
    <col min="6915" max="6916" width="9.140625" style="200" bestFit="1" customWidth="1"/>
    <col min="6917" max="6917" width="10.7109375" style="200" customWidth="1"/>
    <col min="6918" max="6919" width="9.140625" style="200" bestFit="1" customWidth="1"/>
    <col min="6920" max="6920" width="10.7109375" style="200" customWidth="1"/>
    <col min="6921" max="6922" width="8.7109375" style="200" bestFit="1" customWidth="1"/>
    <col min="6923" max="6923" width="10.7109375" style="200" customWidth="1"/>
    <col min="6924" max="6925" width="8.7109375" style="200" bestFit="1" customWidth="1"/>
    <col min="6926" max="6926" width="10.7109375" style="200" customWidth="1"/>
    <col min="6927" max="6928" width="8.7109375" style="200" bestFit="1" customWidth="1"/>
    <col min="6929" max="6929" width="10.7109375" style="200" customWidth="1"/>
    <col min="6930" max="6931" width="9.140625" style="200" bestFit="1" customWidth="1"/>
    <col min="6932" max="6932" width="10.7109375" style="200" customWidth="1"/>
    <col min="6933" max="6934" width="7.85546875" style="200" bestFit="1" customWidth="1"/>
    <col min="6935" max="6935" width="9" style="200" bestFit="1" customWidth="1"/>
    <col min="6936" max="6936" width="7.85546875" style="200" bestFit="1" customWidth="1"/>
    <col min="6937" max="6937" width="6.28515625" style="200" bestFit="1" customWidth="1"/>
    <col min="6938" max="6938" width="10.7109375" style="200" customWidth="1"/>
    <col min="6939" max="7167" width="11.42578125" style="200"/>
    <col min="7168" max="7168" width="2" style="200" customWidth="1"/>
    <col min="7169" max="7169" width="20.5703125" style="200" customWidth="1"/>
    <col min="7170" max="7170" width="15" style="200" customWidth="1"/>
    <col min="7171" max="7172" width="9.140625" style="200" bestFit="1" customWidth="1"/>
    <col min="7173" max="7173" width="10.7109375" style="200" customWidth="1"/>
    <col min="7174" max="7175" width="9.140625" style="200" bestFit="1" customWidth="1"/>
    <col min="7176" max="7176" width="10.7109375" style="200" customWidth="1"/>
    <col min="7177" max="7178" width="8.7109375" style="200" bestFit="1" customWidth="1"/>
    <col min="7179" max="7179" width="10.7109375" style="200" customWidth="1"/>
    <col min="7180" max="7181" width="8.7109375" style="200" bestFit="1" customWidth="1"/>
    <col min="7182" max="7182" width="10.7109375" style="200" customWidth="1"/>
    <col min="7183" max="7184" width="8.7109375" style="200" bestFit="1" customWidth="1"/>
    <col min="7185" max="7185" width="10.7109375" style="200" customWidth="1"/>
    <col min="7186" max="7187" width="9.140625" style="200" bestFit="1" customWidth="1"/>
    <col min="7188" max="7188" width="10.7109375" style="200" customWidth="1"/>
    <col min="7189" max="7190" width="7.85546875" style="200" bestFit="1" customWidth="1"/>
    <col min="7191" max="7191" width="9" style="200" bestFit="1" customWidth="1"/>
    <col min="7192" max="7192" width="7.85546875" style="200" bestFit="1" customWidth="1"/>
    <col min="7193" max="7193" width="6.28515625" style="200" bestFit="1" customWidth="1"/>
    <col min="7194" max="7194" width="10.7109375" style="200" customWidth="1"/>
    <col min="7195" max="7423" width="11.42578125" style="200"/>
    <col min="7424" max="7424" width="2" style="200" customWidth="1"/>
    <col min="7425" max="7425" width="20.5703125" style="200" customWidth="1"/>
    <col min="7426" max="7426" width="15" style="200" customWidth="1"/>
    <col min="7427" max="7428" width="9.140625" style="200" bestFit="1" customWidth="1"/>
    <col min="7429" max="7429" width="10.7109375" style="200" customWidth="1"/>
    <col min="7430" max="7431" width="9.140625" style="200" bestFit="1" customWidth="1"/>
    <col min="7432" max="7432" width="10.7109375" style="200" customWidth="1"/>
    <col min="7433" max="7434" width="8.7109375" style="200" bestFit="1" customWidth="1"/>
    <col min="7435" max="7435" width="10.7109375" style="200" customWidth="1"/>
    <col min="7436" max="7437" width="8.7109375" style="200" bestFit="1" customWidth="1"/>
    <col min="7438" max="7438" width="10.7109375" style="200" customWidth="1"/>
    <col min="7439" max="7440" width="8.7109375" style="200" bestFit="1" customWidth="1"/>
    <col min="7441" max="7441" width="10.7109375" style="200" customWidth="1"/>
    <col min="7442" max="7443" width="9.140625" style="200" bestFit="1" customWidth="1"/>
    <col min="7444" max="7444" width="10.7109375" style="200" customWidth="1"/>
    <col min="7445" max="7446" width="7.85546875" style="200" bestFit="1" customWidth="1"/>
    <col min="7447" max="7447" width="9" style="200" bestFit="1" customWidth="1"/>
    <col min="7448" max="7448" width="7.85546875" style="200" bestFit="1" customWidth="1"/>
    <col min="7449" max="7449" width="6.28515625" style="200" bestFit="1" customWidth="1"/>
    <col min="7450" max="7450" width="10.7109375" style="200" customWidth="1"/>
    <col min="7451" max="7679" width="11.42578125" style="200"/>
    <col min="7680" max="7680" width="2" style="200" customWidth="1"/>
    <col min="7681" max="7681" width="20.5703125" style="200" customWidth="1"/>
    <col min="7682" max="7682" width="15" style="200" customWidth="1"/>
    <col min="7683" max="7684" width="9.140625" style="200" bestFit="1" customWidth="1"/>
    <col min="7685" max="7685" width="10.7109375" style="200" customWidth="1"/>
    <col min="7686" max="7687" width="9.140625" style="200" bestFit="1" customWidth="1"/>
    <col min="7688" max="7688" width="10.7109375" style="200" customWidth="1"/>
    <col min="7689" max="7690" width="8.7109375" style="200" bestFit="1" customWidth="1"/>
    <col min="7691" max="7691" width="10.7109375" style="200" customWidth="1"/>
    <col min="7692" max="7693" width="8.7109375" style="200" bestFit="1" customWidth="1"/>
    <col min="7694" max="7694" width="10.7109375" style="200" customWidth="1"/>
    <col min="7695" max="7696" width="8.7109375" style="200" bestFit="1" customWidth="1"/>
    <col min="7697" max="7697" width="10.7109375" style="200" customWidth="1"/>
    <col min="7698" max="7699" width="9.140625" style="200" bestFit="1" customWidth="1"/>
    <col min="7700" max="7700" width="10.7109375" style="200" customWidth="1"/>
    <col min="7701" max="7702" width="7.85546875" style="200" bestFit="1" customWidth="1"/>
    <col min="7703" max="7703" width="9" style="200" bestFit="1" customWidth="1"/>
    <col min="7704" max="7704" width="7.85546875" style="200" bestFit="1" customWidth="1"/>
    <col min="7705" max="7705" width="6.28515625" style="200" bestFit="1" customWidth="1"/>
    <col min="7706" max="7706" width="10.7109375" style="200" customWidth="1"/>
    <col min="7707" max="7935" width="11.42578125" style="200"/>
    <col min="7936" max="7936" width="2" style="200" customWidth="1"/>
    <col min="7937" max="7937" width="20.5703125" style="200" customWidth="1"/>
    <col min="7938" max="7938" width="15" style="200" customWidth="1"/>
    <col min="7939" max="7940" width="9.140625" style="200" bestFit="1" customWidth="1"/>
    <col min="7941" max="7941" width="10.7109375" style="200" customWidth="1"/>
    <col min="7942" max="7943" width="9.140625" style="200" bestFit="1" customWidth="1"/>
    <col min="7944" max="7944" width="10.7109375" style="200" customWidth="1"/>
    <col min="7945" max="7946" width="8.7109375" style="200" bestFit="1" customWidth="1"/>
    <col min="7947" max="7947" width="10.7109375" style="200" customWidth="1"/>
    <col min="7948" max="7949" width="8.7109375" style="200" bestFit="1" customWidth="1"/>
    <col min="7950" max="7950" width="10.7109375" style="200" customWidth="1"/>
    <col min="7951" max="7952" width="8.7109375" style="200" bestFit="1" customWidth="1"/>
    <col min="7953" max="7953" width="10.7109375" style="200" customWidth="1"/>
    <col min="7954" max="7955" width="9.140625" style="200" bestFit="1" customWidth="1"/>
    <col min="7956" max="7956" width="10.7109375" style="200" customWidth="1"/>
    <col min="7957" max="7958" width="7.85546875" style="200" bestFit="1" customWidth="1"/>
    <col min="7959" max="7959" width="9" style="200" bestFit="1" customWidth="1"/>
    <col min="7960" max="7960" width="7.85546875" style="200" bestFit="1" customWidth="1"/>
    <col min="7961" max="7961" width="6.28515625" style="200" bestFit="1" customWidth="1"/>
    <col min="7962" max="7962" width="10.7109375" style="200" customWidth="1"/>
    <col min="7963" max="8191" width="11.42578125" style="200"/>
    <col min="8192" max="8192" width="2" style="200" customWidth="1"/>
    <col min="8193" max="8193" width="20.5703125" style="200" customWidth="1"/>
    <col min="8194" max="8194" width="15" style="200" customWidth="1"/>
    <col min="8195" max="8196" width="9.140625" style="200" bestFit="1" customWidth="1"/>
    <col min="8197" max="8197" width="10.7109375" style="200" customWidth="1"/>
    <col min="8198" max="8199" width="9.140625" style="200" bestFit="1" customWidth="1"/>
    <col min="8200" max="8200" width="10.7109375" style="200" customWidth="1"/>
    <col min="8201" max="8202" width="8.7109375" style="200" bestFit="1" customWidth="1"/>
    <col min="8203" max="8203" width="10.7109375" style="200" customWidth="1"/>
    <col min="8204" max="8205" width="8.7109375" style="200" bestFit="1" customWidth="1"/>
    <col min="8206" max="8206" width="10.7109375" style="200" customWidth="1"/>
    <col min="8207" max="8208" width="8.7109375" style="200" bestFit="1" customWidth="1"/>
    <col min="8209" max="8209" width="10.7109375" style="200" customWidth="1"/>
    <col min="8210" max="8211" width="9.140625" style="200" bestFit="1" customWidth="1"/>
    <col min="8212" max="8212" width="10.7109375" style="200" customWidth="1"/>
    <col min="8213" max="8214" width="7.85546875" style="200" bestFit="1" customWidth="1"/>
    <col min="8215" max="8215" width="9" style="200" bestFit="1" customWidth="1"/>
    <col min="8216" max="8216" width="7.85546875" style="200" bestFit="1" customWidth="1"/>
    <col min="8217" max="8217" width="6.28515625" style="200" bestFit="1" customWidth="1"/>
    <col min="8218" max="8218" width="10.7109375" style="200" customWidth="1"/>
    <col min="8219" max="8447" width="11.42578125" style="200"/>
    <col min="8448" max="8448" width="2" style="200" customWidth="1"/>
    <col min="8449" max="8449" width="20.5703125" style="200" customWidth="1"/>
    <col min="8450" max="8450" width="15" style="200" customWidth="1"/>
    <col min="8451" max="8452" width="9.140625" style="200" bestFit="1" customWidth="1"/>
    <col min="8453" max="8453" width="10.7109375" style="200" customWidth="1"/>
    <col min="8454" max="8455" width="9.140625" style="200" bestFit="1" customWidth="1"/>
    <col min="8456" max="8456" width="10.7109375" style="200" customWidth="1"/>
    <col min="8457" max="8458" width="8.7109375" style="200" bestFit="1" customWidth="1"/>
    <col min="8459" max="8459" width="10.7109375" style="200" customWidth="1"/>
    <col min="8460" max="8461" width="8.7109375" style="200" bestFit="1" customWidth="1"/>
    <col min="8462" max="8462" width="10.7109375" style="200" customWidth="1"/>
    <col min="8463" max="8464" width="8.7109375" style="200" bestFit="1" customWidth="1"/>
    <col min="8465" max="8465" width="10.7109375" style="200" customWidth="1"/>
    <col min="8466" max="8467" width="9.140625" style="200" bestFit="1" customWidth="1"/>
    <col min="8468" max="8468" width="10.7109375" style="200" customWidth="1"/>
    <col min="8469" max="8470" width="7.85546875" style="200" bestFit="1" customWidth="1"/>
    <col min="8471" max="8471" width="9" style="200" bestFit="1" customWidth="1"/>
    <col min="8472" max="8472" width="7.85546875" style="200" bestFit="1" customWidth="1"/>
    <col min="8473" max="8473" width="6.28515625" style="200" bestFit="1" customWidth="1"/>
    <col min="8474" max="8474" width="10.7109375" style="200" customWidth="1"/>
    <col min="8475" max="8703" width="11.42578125" style="200"/>
    <col min="8704" max="8704" width="2" style="200" customWidth="1"/>
    <col min="8705" max="8705" width="20.5703125" style="200" customWidth="1"/>
    <col min="8706" max="8706" width="15" style="200" customWidth="1"/>
    <col min="8707" max="8708" width="9.140625" style="200" bestFit="1" customWidth="1"/>
    <col min="8709" max="8709" width="10.7109375" style="200" customWidth="1"/>
    <col min="8710" max="8711" width="9.140625" style="200" bestFit="1" customWidth="1"/>
    <col min="8712" max="8712" width="10.7109375" style="200" customWidth="1"/>
    <col min="8713" max="8714" width="8.7109375" style="200" bestFit="1" customWidth="1"/>
    <col min="8715" max="8715" width="10.7109375" style="200" customWidth="1"/>
    <col min="8716" max="8717" width="8.7109375" style="200" bestFit="1" customWidth="1"/>
    <col min="8718" max="8718" width="10.7109375" style="200" customWidth="1"/>
    <col min="8719" max="8720" width="8.7109375" style="200" bestFit="1" customWidth="1"/>
    <col min="8721" max="8721" width="10.7109375" style="200" customWidth="1"/>
    <col min="8722" max="8723" width="9.140625" style="200" bestFit="1" customWidth="1"/>
    <col min="8724" max="8724" width="10.7109375" style="200" customWidth="1"/>
    <col min="8725" max="8726" width="7.85546875" style="200" bestFit="1" customWidth="1"/>
    <col min="8727" max="8727" width="9" style="200" bestFit="1" customWidth="1"/>
    <col min="8728" max="8728" width="7.85546875" style="200" bestFit="1" customWidth="1"/>
    <col min="8729" max="8729" width="6.28515625" style="200" bestFit="1" customWidth="1"/>
    <col min="8730" max="8730" width="10.7109375" style="200" customWidth="1"/>
    <col min="8731" max="8959" width="11.42578125" style="200"/>
    <col min="8960" max="8960" width="2" style="200" customWidth="1"/>
    <col min="8961" max="8961" width="20.5703125" style="200" customWidth="1"/>
    <col min="8962" max="8962" width="15" style="200" customWidth="1"/>
    <col min="8963" max="8964" width="9.140625" style="200" bestFit="1" customWidth="1"/>
    <col min="8965" max="8965" width="10.7109375" style="200" customWidth="1"/>
    <col min="8966" max="8967" width="9.140625" style="200" bestFit="1" customWidth="1"/>
    <col min="8968" max="8968" width="10.7109375" style="200" customWidth="1"/>
    <col min="8969" max="8970" width="8.7109375" style="200" bestFit="1" customWidth="1"/>
    <col min="8971" max="8971" width="10.7109375" style="200" customWidth="1"/>
    <col min="8972" max="8973" width="8.7109375" style="200" bestFit="1" customWidth="1"/>
    <col min="8974" max="8974" width="10.7109375" style="200" customWidth="1"/>
    <col min="8975" max="8976" width="8.7109375" style="200" bestFit="1" customWidth="1"/>
    <col min="8977" max="8977" width="10.7109375" style="200" customWidth="1"/>
    <col min="8978" max="8979" width="9.140625" style="200" bestFit="1" customWidth="1"/>
    <col min="8980" max="8980" width="10.7109375" style="200" customWidth="1"/>
    <col min="8981" max="8982" width="7.85546875" style="200" bestFit="1" customWidth="1"/>
    <col min="8983" max="8983" width="9" style="200" bestFit="1" customWidth="1"/>
    <col min="8984" max="8984" width="7.85546875" style="200" bestFit="1" customWidth="1"/>
    <col min="8985" max="8985" width="6.28515625" style="200" bestFit="1" customWidth="1"/>
    <col min="8986" max="8986" width="10.7109375" style="200" customWidth="1"/>
    <col min="8987" max="9215" width="11.42578125" style="200"/>
    <col min="9216" max="9216" width="2" style="200" customWidth="1"/>
    <col min="9217" max="9217" width="20.5703125" style="200" customWidth="1"/>
    <col min="9218" max="9218" width="15" style="200" customWidth="1"/>
    <col min="9219" max="9220" width="9.140625" style="200" bestFit="1" customWidth="1"/>
    <col min="9221" max="9221" width="10.7109375" style="200" customWidth="1"/>
    <col min="9222" max="9223" width="9.140625" style="200" bestFit="1" customWidth="1"/>
    <col min="9224" max="9224" width="10.7109375" style="200" customWidth="1"/>
    <col min="9225" max="9226" width="8.7109375" style="200" bestFit="1" customWidth="1"/>
    <col min="9227" max="9227" width="10.7109375" style="200" customWidth="1"/>
    <col min="9228" max="9229" width="8.7109375" style="200" bestFit="1" customWidth="1"/>
    <col min="9230" max="9230" width="10.7109375" style="200" customWidth="1"/>
    <col min="9231" max="9232" width="8.7109375" style="200" bestFit="1" customWidth="1"/>
    <col min="9233" max="9233" width="10.7109375" style="200" customWidth="1"/>
    <col min="9234" max="9235" width="9.140625" style="200" bestFit="1" customWidth="1"/>
    <col min="9236" max="9236" width="10.7109375" style="200" customWidth="1"/>
    <col min="9237" max="9238" width="7.85546875" style="200" bestFit="1" customWidth="1"/>
    <col min="9239" max="9239" width="9" style="200" bestFit="1" customWidth="1"/>
    <col min="9240" max="9240" width="7.85546875" style="200" bestFit="1" customWidth="1"/>
    <col min="9241" max="9241" width="6.28515625" style="200" bestFit="1" customWidth="1"/>
    <col min="9242" max="9242" width="10.7109375" style="200" customWidth="1"/>
    <col min="9243" max="9471" width="11.42578125" style="200"/>
    <col min="9472" max="9472" width="2" style="200" customWidth="1"/>
    <col min="9473" max="9473" width="20.5703125" style="200" customWidth="1"/>
    <col min="9474" max="9474" width="15" style="200" customWidth="1"/>
    <col min="9475" max="9476" width="9.140625" style="200" bestFit="1" customWidth="1"/>
    <col min="9477" max="9477" width="10.7109375" style="200" customWidth="1"/>
    <col min="9478" max="9479" width="9.140625" style="200" bestFit="1" customWidth="1"/>
    <col min="9480" max="9480" width="10.7109375" style="200" customWidth="1"/>
    <col min="9481" max="9482" width="8.7109375" style="200" bestFit="1" customWidth="1"/>
    <col min="9483" max="9483" width="10.7109375" style="200" customWidth="1"/>
    <col min="9484" max="9485" width="8.7109375" style="200" bestFit="1" customWidth="1"/>
    <col min="9486" max="9486" width="10.7109375" style="200" customWidth="1"/>
    <col min="9487" max="9488" width="8.7109375" style="200" bestFit="1" customWidth="1"/>
    <col min="9489" max="9489" width="10.7109375" style="200" customWidth="1"/>
    <col min="9490" max="9491" width="9.140625" style="200" bestFit="1" customWidth="1"/>
    <col min="9492" max="9492" width="10.7109375" style="200" customWidth="1"/>
    <col min="9493" max="9494" width="7.85546875" style="200" bestFit="1" customWidth="1"/>
    <col min="9495" max="9495" width="9" style="200" bestFit="1" customWidth="1"/>
    <col min="9496" max="9496" width="7.85546875" style="200" bestFit="1" customWidth="1"/>
    <col min="9497" max="9497" width="6.28515625" style="200" bestFit="1" customWidth="1"/>
    <col min="9498" max="9498" width="10.7109375" style="200" customWidth="1"/>
    <col min="9499" max="9727" width="11.42578125" style="200"/>
    <col min="9728" max="9728" width="2" style="200" customWidth="1"/>
    <col min="9729" max="9729" width="20.5703125" style="200" customWidth="1"/>
    <col min="9730" max="9730" width="15" style="200" customWidth="1"/>
    <col min="9731" max="9732" width="9.140625" style="200" bestFit="1" customWidth="1"/>
    <col min="9733" max="9733" width="10.7109375" style="200" customWidth="1"/>
    <col min="9734" max="9735" width="9.140625" style="200" bestFit="1" customWidth="1"/>
    <col min="9736" max="9736" width="10.7109375" style="200" customWidth="1"/>
    <col min="9737" max="9738" width="8.7109375" style="200" bestFit="1" customWidth="1"/>
    <col min="9739" max="9739" width="10.7109375" style="200" customWidth="1"/>
    <col min="9740" max="9741" width="8.7109375" style="200" bestFit="1" customWidth="1"/>
    <col min="9742" max="9742" width="10.7109375" style="200" customWidth="1"/>
    <col min="9743" max="9744" width="8.7109375" style="200" bestFit="1" customWidth="1"/>
    <col min="9745" max="9745" width="10.7109375" style="200" customWidth="1"/>
    <col min="9746" max="9747" width="9.140625" style="200" bestFit="1" customWidth="1"/>
    <col min="9748" max="9748" width="10.7109375" style="200" customWidth="1"/>
    <col min="9749" max="9750" width="7.85546875" style="200" bestFit="1" customWidth="1"/>
    <col min="9751" max="9751" width="9" style="200" bestFit="1" customWidth="1"/>
    <col min="9752" max="9752" width="7.85546875" style="200" bestFit="1" customWidth="1"/>
    <col min="9753" max="9753" width="6.28515625" style="200" bestFit="1" customWidth="1"/>
    <col min="9754" max="9754" width="10.7109375" style="200" customWidth="1"/>
    <col min="9755" max="9983" width="11.42578125" style="200"/>
    <col min="9984" max="9984" width="2" style="200" customWidth="1"/>
    <col min="9985" max="9985" width="20.5703125" style="200" customWidth="1"/>
    <col min="9986" max="9986" width="15" style="200" customWidth="1"/>
    <col min="9987" max="9988" width="9.140625" style="200" bestFit="1" customWidth="1"/>
    <col min="9989" max="9989" width="10.7109375" style="200" customWidth="1"/>
    <col min="9990" max="9991" width="9.140625" style="200" bestFit="1" customWidth="1"/>
    <col min="9992" max="9992" width="10.7109375" style="200" customWidth="1"/>
    <col min="9993" max="9994" width="8.7109375" style="200" bestFit="1" customWidth="1"/>
    <col min="9995" max="9995" width="10.7109375" style="200" customWidth="1"/>
    <col min="9996" max="9997" width="8.7109375" style="200" bestFit="1" customWidth="1"/>
    <col min="9998" max="9998" width="10.7109375" style="200" customWidth="1"/>
    <col min="9999" max="10000" width="8.7109375" style="200" bestFit="1" customWidth="1"/>
    <col min="10001" max="10001" width="10.7109375" style="200" customWidth="1"/>
    <col min="10002" max="10003" width="9.140625" style="200" bestFit="1" customWidth="1"/>
    <col min="10004" max="10004" width="10.7109375" style="200" customWidth="1"/>
    <col min="10005" max="10006" width="7.85546875" style="200" bestFit="1" customWidth="1"/>
    <col min="10007" max="10007" width="9" style="200" bestFit="1" customWidth="1"/>
    <col min="10008" max="10008" width="7.85546875" style="200" bestFit="1" customWidth="1"/>
    <col min="10009" max="10009" width="6.28515625" style="200" bestFit="1" customWidth="1"/>
    <col min="10010" max="10010" width="10.7109375" style="200" customWidth="1"/>
    <col min="10011" max="10239" width="11.42578125" style="200"/>
    <col min="10240" max="10240" width="2" style="200" customWidth="1"/>
    <col min="10241" max="10241" width="20.5703125" style="200" customWidth="1"/>
    <col min="10242" max="10242" width="15" style="200" customWidth="1"/>
    <col min="10243" max="10244" width="9.140625" style="200" bestFit="1" customWidth="1"/>
    <col min="10245" max="10245" width="10.7109375" style="200" customWidth="1"/>
    <col min="10246" max="10247" width="9.140625" style="200" bestFit="1" customWidth="1"/>
    <col min="10248" max="10248" width="10.7109375" style="200" customWidth="1"/>
    <col min="10249" max="10250" width="8.7109375" style="200" bestFit="1" customWidth="1"/>
    <col min="10251" max="10251" width="10.7109375" style="200" customWidth="1"/>
    <col min="10252" max="10253" width="8.7109375" style="200" bestFit="1" customWidth="1"/>
    <col min="10254" max="10254" width="10.7109375" style="200" customWidth="1"/>
    <col min="10255" max="10256" width="8.7109375" style="200" bestFit="1" customWidth="1"/>
    <col min="10257" max="10257" width="10.7109375" style="200" customWidth="1"/>
    <col min="10258" max="10259" width="9.140625" style="200" bestFit="1" customWidth="1"/>
    <col min="10260" max="10260" width="10.7109375" style="200" customWidth="1"/>
    <col min="10261" max="10262" width="7.85546875" style="200" bestFit="1" customWidth="1"/>
    <col min="10263" max="10263" width="9" style="200" bestFit="1" customWidth="1"/>
    <col min="10264" max="10264" width="7.85546875" style="200" bestFit="1" customWidth="1"/>
    <col min="10265" max="10265" width="6.28515625" style="200" bestFit="1" customWidth="1"/>
    <col min="10266" max="10266" width="10.7109375" style="200" customWidth="1"/>
    <col min="10267" max="10495" width="11.42578125" style="200"/>
    <col min="10496" max="10496" width="2" style="200" customWidth="1"/>
    <col min="10497" max="10497" width="20.5703125" style="200" customWidth="1"/>
    <col min="10498" max="10498" width="15" style="200" customWidth="1"/>
    <col min="10499" max="10500" width="9.140625" style="200" bestFit="1" customWidth="1"/>
    <col min="10501" max="10501" width="10.7109375" style="200" customWidth="1"/>
    <col min="10502" max="10503" width="9.140625" style="200" bestFit="1" customWidth="1"/>
    <col min="10504" max="10504" width="10.7109375" style="200" customWidth="1"/>
    <col min="10505" max="10506" width="8.7109375" style="200" bestFit="1" customWidth="1"/>
    <col min="10507" max="10507" width="10.7109375" style="200" customWidth="1"/>
    <col min="10508" max="10509" width="8.7109375" style="200" bestFit="1" customWidth="1"/>
    <col min="10510" max="10510" width="10.7109375" style="200" customWidth="1"/>
    <col min="10511" max="10512" width="8.7109375" style="200" bestFit="1" customWidth="1"/>
    <col min="10513" max="10513" width="10.7109375" style="200" customWidth="1"/>
    <col min="10514" max="10515" width="9.140625" style="200" bestFit="1" customWidth="1"/>
    <col min="10516" max="10516" width="10.7109375" style="200" customWidth="1"/>
    <col min="10517" max="10518" width="7.85546875" style="200" bestFit="1" customWidth="1"/>
    <col min="10519" max="10519" width="9" style="200" bestFit="1" customWidth="1"/>
    <col min="10520" max="10520" width="7.85546875" style="200" bestFit="1" customWidth="1"/>
    <col min="10521" max="10521" width="6.28515625" style="200" bestFit="1" customWidth="1"/>
    <col min="10522" max="10522" width="10.7109375" style="200" customWidth="1"/>
    <col min="10523" max="10751" width="11.42578125" style="200"/>
    <col min="10752" max="10752" width="2" style="200" customWidth="1"/>
    <col min="10753" max="10753" width="20.5703125" style="200" customWidth="1"/>
    <col min="10754" max="10754" width="15" style="200" customWidth="1"/>
    <col min="10755" max="10756" width="9.140625" style="200" bestFit="1" customWidth="1"/>
    <col min="10757" max="10757" width="10.7109375" style="200" customWidth="1"/>
    <col min="10758" max="10759" width="9.140625" style="200" bestFit="1" customWidth="1"/>
    <col min="10760" max="10760" width="10.7109375" style="200" customWidth="1"/>
    <col min="10761" max="10762" width="8.7109375" style="200" bestFit="1" customWidth="1"/>
    <col min="10763" max="10763" width="10.7109375" style="200" customWidth="1"/>
    <col min="10764" max="10765" width="8.7109375" style="200" bestFit="1" customWidth="1"/>
    <col min="10766" max="10766" width="10.7109375" style="200" customWidth="1"/>
    <col min="10767" max="10768" width="8.7109375" style="200" bestFit="1" customWidth="1"/>
    <col min="10769" max="10769" width="10.7109375" style="200" customWidth="1"/>
    <col min="10770" max="10771" width="9.140625" style="200" bestFit="1" customWidth="1"/>
    <col min="10772" max="10772" width="10.7109375" style="200" customWidth="1"/>
    <col min="10773" max="10774" width="7.85546875" style="200" bestFit="1" customWidth="1"/>
    <col min="10775" max="10775" width="9" style="200" bestFit="1" customWidth="1"/>
    <col min="10776" max="10776" width="7.85546875" style="200" bestFit="1" customWidth="1"/>
    <col min="10777" max="10777" width="6.28515625" style="200" bestFit="1" customWidth="1"/>
    <col min="10778" max="10778" width="10.7109375" style="200" customWidth="1"/>
    <col min="10779" max="11007" width="11.42578125" style="200"/>
    <col min="11008" max="11008" width="2" style="200" customWidth="1"/>
    <col min="11009" max="11009" width="20.5703125" style="200" customWidth="1"/>
    <col min="11010" max="11010" width="15" style="200" customWidth="1"/>
    <col min="11011" max="11012" width="9.140625" style="200" bestFit="1" customWidth="1"/>
    <col min="11013" max="11013" width="10.7109375" style="200" customWidth="1"/>
    <col min="11014" max="11015" width="9.140625" style="200" bestFit="1" customWidth="1"/>
    <col min="11016" max="11016" width="10.7109375" style="200" customWidth="1"/>
    <col min="11017" max="11018" width="8.7109375" style="200" bestFit="1" customWidth="1"/>
    <col min="11019" max="11019" width="10.7109375" style="200" customWidth="1"/>
    <col min="11020" max="11021" width="8.7109375" style="200" bestFit="1" customWidth="1"/>
    <col min="11022" max="11022" width="10.7109375" style="200" customWidth="1"/>
    <col min="11023" max="11024" width="8.7109375" style="200" bestFit="1" customWidth="1"/>
    <col min="11025" max="11025" width="10.7109375" style="200" customWidth="1"/>
    <col min="11026" max="11027" width="9.140625" style="200" bestFit="1" customWidth="1"/>
    <col min="11028" max="11028" width="10.7109375" style="200" customWidth="1"/>
    <col min="11029" max="11030" width="7.85546875" style="200" bestFit="1" customWidth="1"/>
    <col min="11031" max="11031" width="9" style="200" bestFit="1" customWidth="1"/>
    <col min="11032" max="11032" width="7.85546875" style="200" bestFit="1" customWidth="1"/>
    <col min="11033" max="11033" width="6.28515625" style="200" bestFit="1" customWidth="1"/>
    <col min="11034" max="11034" width="10.7109375" style="200" customWidth="1"/>
    <col min="11035" max="11263" width="11.42578125" style="200"/>
    <col min="11264" max="11264" width="2" style="200" customWidth="1"/>
    <col min="11265" max="11265" width="20.5703125" style="200" customWidth="1"/>
    <col min="11266" max="11266" width="15" style="200" customWidth="1"/>
    <col min="11267" max="11268" width="9.140625" style="200" bestFit="1" customWidth="1"/>
    <col min="11269" max="11269" width="10.7109375" style="200" customWidth="1"/>
    <col min="11270" max="11271" width="9.140625" style="200" bestFit="1" customWidth="1"/>
    <col min="11272" max="11272" width="10.7109375" style="200" customWidth="1"/>
    <col min="11273" max="11274" width="8.7109375" style="200" bestFit="1" customWidth="1"/>
    <col min="11275" max="11275" width="10.7109375" style="200" customWidth="1"/>
    <col min="11276" max="11277" width="8.7109375" style="200" bestFit="1" customWidth="1"/>
    <col min="11278" max="11278" width="10.7109375" style="200" customWidth="1"/>
    <col min="11279" max="11280" width="8.7109375" style="200" bestFit="1" customWidth="1"/>
    <col min="11281" max="11281" width="10.7109375" style="200" customWidth="1"/>
    <col min="11282" max="11283" width="9.140625" style="200" bestFit="1" customWidth="1"/>
    <col min="11284" max="11284" width="10.7109375" style="200" customWidth="1"/>
    <col min="11285" max="11286" width="7.85546875" style="200" bestFit="1" customWidth="1"/>
    <col min="11287" max="11287" width="9" style="200" bestFit="1" customWidth="1"/>
    <col min="11288" max="11288" width="7.85546875" style="200" bestFit="1" customWidth="1"/>
    <col min="11289" max="11289" width="6.28515625" style="200" bestFit="1" customWidth="1"/>
    <col min="11290" max="11290" width="10.7109375" style="200" customWidth="1"/>
    <col min="11291" max="11519" width="11.42578125" style="200"/>
    <col min="11520" max="11520" width="2" style="200" customWidth="1"/>
    <col min="11521" max="11521" width="20.5703125" style="200" customWidth="1"/>
    <col min="11522" max="11522" width="15" style="200" customWidth="1"/>
    <col min="11523" max="11524" width="9.140625" style="200" bestFit="1" customWidth="1"/>
    <col min="11525" max="11525" width="10.7109375" style="200" customWidth="1"/>
    <col min="11526" max="11527" width="9.140625" style="200" bestFit="1" customWidth="1"/>
    <col min="11528" max="11528" width="10.7109375" style="200" customWidth="1"/>
    <col min="11529" max="11530" width="8.7109375" style="200" bestFit="1" customWidth="1"/>
    <col min="11531" max="11531" width="10.7109375" style="200" customWidth="1"/>
    <col min="11532" max="11533" width="8.7109375" style="200" bestFit="1" customWidth="1"/>
    <col min="11534" max="11534" width="10.7109375" style="200" customWidth="1"/>
    <col min="11535" max="11536" width="8.7109375" style="200" bestFit="1" customWidth="1"/>
    <col min="11537" max="11537" width="10.7109375" style="200" customWidth="1"/>
    <col min="11538" max="11539" width="9.140625" style="200" bestFit="1" customWidth="1"/>
    <col min="11540" max="11540" width="10.7109375" style="200" customWidth="1"/>
    <col min="11541" max="11542" width="7.85546875" style="200" bestFit="1" customWidth="1"/>
    <col min="11543" max="11543" width="9" style="200" bestFit="1" customWidth="1"/>
    <col min="11544" max="11544" width="7.85546875" style="200" bestFit="1" customWidth="1"/>
    <col min="11545" max="11545" width="6.28515625" style="200" bestFit="1" customWidth="1"/>
    <col min="11546" max="11546" width="10.7109375" style="200" customWidth="1"/>
    <col min="11547" max="11775" width="11.42578125" style="200"/>
    <col min="11776" max="11776" width="2" style="200" customWidth="1"/>
    <col min="11777" max="11777" width="20.5703125" style="200" customWidth="1"/>
    <col min="11778" max="11778" width="15" style="200" customWidth="1"/>
    <col min="11779" max="11780" width="9.140625" style="200" bestFit="1" customWidth="1"/>
    <col min="11781" max="11781" width="10.7109375" style="200" customWidth="1"/>
    <col min="11782" max="11783" width="9.140625" style="200" bestFit="1" customWidth="1"/>
    <col min="11784" max="11784" width="10.7109375" style="200" customWidth="1"/>
    <col min="11785" max="11786" width="8.7109375" style="200" bestFit="1" customWidth="1"/>
    <col min="11787" max="11787" width="10.7109375" style="200" customWidth="1"/>
    <col min="11788" max="11789" width="8.7109375" style="200" bestFit="1" customWidth="1"/>
    <col min="11790" max="11790" width="10.7109375" style="200" customWidth="1"/>
    <col min="11791" max="11792" width="8.7109375" style="200" bestFit="1" customWidth="1"/>
    <col min="11793" max="11793" width="10.7109375" style="200" customWidth="1"/>
    <col min="11794" max="11795" width="9.140625" style="200" bestFit="1" customWidth="1"/>
    <col min="11796" max="11796" width="10.7109375" style="200" customWidth="1"/>
    <col min="11797" max="11798" width="7.85546875" style="200" bestFit="1" customWidth="1"/>
    <col min="11799" max="11799" width="9" style="200" bestFit="1" customWidth="1"/>
    <col min="11800" max="11800" width="7.85546875" style="200" bestFit="1" customWidth="1"/>
    <col min="11801" max="11801" width="6.28515625" style="200" bestFit="1" customWidth="1"/>
    <col min="11802" max="11802" width="10.7109375" style="200" customWidth="1"/>
    <col min="11803" max="12031" width="11.42578125" style="200"/>
    <col min="12032" max="12032" width="2" style="200" customWidth="1"/>
    <col min="12033" max="12033" width="20.5703125" style="200" customWidth="1"/>
    <col min="12034" max="12034" width="15" style="200" customWidth="1"/>
    <col min="12035" max="12036" width="9.140625" style="200" bestFit="1" customWidth="1"/>
    <col min="12037" max="12037" width="10.7109375" style="200" customWidth="1"/>
    <col min="12038" max="12039" width="9.140625" style="200" bestFit="1" customWidth="1"/>
    <col min="12040" max="12040" width="10.7109375" style="200" customWidth="1"/>
    <col min="12041" max="12042" width="8.7109375" style="200" bestFit="1" customWidth="1"/>
    <col min="12043" max="12043" width="10.7109375" style="200" customWidth="1"/>
    <col min="12044" max="12045" width="8.7109375" style="200" bestFit="1" customWidth="1"/>
    <col min="12046" max="12046" width="10.7109375" style="200" customWidth="1"/>
    <col min="12047" max="12048" width="8.7109375" style="200" bestFit="1" customWidth="1"/>
    <col min="12049" max="12049" width="10.7109375" style="200" customWidth="1"/>
    <col min="12050" max="12051" width="9.140625" style="200" bestFit="1" customWidth="1"/>
    <col min="12052" max="12052" width="10.7109375" style="200" customWidth="1"/>
    <col min="12053" max="12054" width="7.85546875" style="200" bestFit="1" customWidth="1"/>
    <col min="12055" max="12055" width="9" style="200" bestFit="1" customWidth="1"/>
    <col min="12056" max="12056" width="7.85546875" style="200" bestFit="1" customWidth="1"/>
    <col min="12057" max="12057" width="6.28515625" style="200" bestFit="1" customWidth="1"/>
    <col min="12058" max="12058" width="10.7109375" style="200" customWidth="1"/>
    <col min="12059" max="12287" width="11.42578125" style="200"/>
    <col min="12288" max="12288" width="2" style="200" customWidth="1"/>
    <col min="12289" max="12289" width="20.5703125" style="200" customWidth="1"/>
    <col min="12290" max="12290" width="15" style="200" customWidth="1"/>
    <col min="12291" max="12292" width="9.140625" style="200" bestFit="1" customWidth="1"/>
    <col min="12293" max="12293" width="10.7109375" style="200" customWidth="1"/>
    <col min="12294" max="12295" width="9.140625" style="200" bestFit="1" customWidth="1"/>
    <col min="12296" max="12296" width="10.7109375" style="200" customWidth="1"/>
    <col min="12297" max="12298" width="8.7109375" style="200" bestFit="1" customWidth="1"/>
    <col min="12299" max="12299" width="10.7109375" style="200" customWidth="1"/>
    <col min="12300" max="12301" width="8.7109375" style="200" bestFit="1" customWidth="1"/>
    <col min="12302" max="12302" width="10.7109375" style="200" customWidth="1"/>
    <col min="12303" max="12304" width="8.7109375" style="200" bestFit="1" customWidth="1"/>
    <col min="12305" max="12305" width="10.7109375" style="200" customWidth="1"/>
    <col min="12306" max="12307" width="9.140625" style="200" bestFit="1" customWidth="1"/>
    <col min="12308" max="12308" width="10.7109375" style="200" customWidth="1"/>
    <col min="12309" max="12310" width="7.85546875" style="200" bestFit="1" customWidth="1"/>
    <col min="12311" max="12311" width="9" style="200" bestFit="1" customWidth="1"/>
    <col min="12312" max="12312" width="7.85546875" style="200" bestFit="1" customWidth="1"/>
    <col min="12313" max="12313" width="6.28515625" style="200" bestFit="1" customWidth="1"/>
    <col min="12314" max="12314" width="10.7109375" style="200" customWidth="1"/>
    <col min="12315" max="12543" width="11.42578125" style="200"/>
    <col min="12544" max="12544" width="2" style="200" customWidth="1"/>
    <col min="12545" max="12545" width="20.5703125" style="200" customWidth="1"/>
    <col min="12546" max="12546" width="15" style="200" customWidth="1"/>
    <col min="12547" max="12548" width="9.140625" style="200" bestFit="1" customWidth="1"/>
    <col min="12549" max="12549" width="10.7109375" style="200" customWidth="1"/>
    <col min="12550" max="12551" width="9.140625" style="200" bestFit="1" customWidth="1"/>
    <col min="12552" max="12552" width="10.7109375" style="200" customWidth="1"/>
    <col min="12553" max="12554" width="8.7109375" style="200" bestFit="1" customWidth="1"/>
    <col min="12555" max="12555" width="10.7109375" style="200" customWidth="1"/>
    <col min="12556" max="12557" width="8.7109375" style="200" bestFit="1" customWidth="1"/>
    <col min="12558" max="12558" width="10.7109375" style="200" customWidth="1"/>
    <col min="12559" max="12560" width="8.7109375" style="200" bestFit="1" customWidth="1"/>
    <col min="12561" max="12561" width="10.7109375" style="200" customWidth="1"/>
    <col min="12562" max="12563" width="9.140625" style="200" bestFit="1" customWidth="1"/>
    <col min="12564" max="12564" width="10.7109375" style="200" customWidth="1"/>
    <col min="12565" max="12566" width="7.85546875" style="200" bestFit="1" customWidth="1"/>
    <col min="12567" max="12567" width="9" style="200" bestFit="1" customWidth="1"/>
    <col min="12568" max="12568" width="7.85546875" style="200" bestFit="1" customWidth="1"/>
    <col min="12569" max="12569" width="6.28515625" style="200" bestFit="1" customWidth="1"/>
    <col min="12570" max="12570" width="10.7109375" style="200" customWidth="1"/>
    <col min="12571" max="12799" width="11.42578125" style="200"/>
    <col min="12800" max="12800" width="2" style="200" customWidth="1"/>
    <col min="12801" max="12801" width="20.5703125" style="200" customWidth="1"/>
    <col min="12802" max="12802" width="15" style="200" customWidth="1"/>
    <col min="12803" max="12804" width="9.140625" style="200" bestFit="1" customWidth="1"/>
    <col min="12805" max="12805" width="10.7109375" style="200" customWidth="1"/>
    <col min="12806" max="12807" width="9.140625" style="200" bestFit="1" customWidth="1"/>
    <col min="12808" max="12808" width="10.7109375" style="200" customWidth="1"/>
    <col min="12809" max="12810" width="8.7109375" style="200" bestFit="1" customWidth="1"/>
    <col min="12811" max="12811" width="10.7109375" style="200" customWidth="1"/>
    <col min="12812" max="12813" width="8.7109375" style="200" bestFit="1" customWidth="1"/>
    <col min="12814" max="12814" width="10.7109375" style="200" customWidth="1"/>
    <col min="12815" max="12816" width="8.7109375" style="200" bestFit="1" customWidth="1"/>
    <col min="12817" max="12817" width="10.7109375" style="200" customWidth="1"/>
    <col min="12818" max="12819" width="9.140625" style="200" bestFit="1" customWidth="1"/>
    <col min="12820" max="12820" width="10.7109375" style="200" customWidth="1"/>
    <col min="12821" max="12822" width="7.85546875" style="200" bestFit="1" customWidth="1"/>
    <col min="12823" max="12823" width="9" style="200" bestFit="1" customWidth="1"/>
    <col min="12824" max="12824" width="7.85546875" style="200" bestFit="1" customWidth="1"/>
    <col min="12825" max="12825" width="6.28515625" style="200" bestFit="1" customWidth="1"/>
    <col min="12826" max="12826" width="10.7109375" style="200" customWidth="1"/>
    <col min="12827" max="13055" width="11.42578125" style="200"/>
    <col min="13056" max="13056" width="2" style="200" customWidth="1"/>
    <col min="13057" max="13057" width="20.5703125" style="200" customWidth="1"/>
    <col min="13058" max="13058" width="15" style="200" customWidth="1"/>
    <col min="13059" max="13060" width="9.140625" style="200" bestFit="1" customWidth="1"/>
    <col min="13061" max="13061" width="10.7109375" style="200" customWidth="1"/>
    <col min="13062" max="13063" width="9.140625" style="200" bestFit="1" customWidth="1"/>
    <col min="13064" max="13064" width="10.7109375" style="200" customWidth="1"/>
    <col min="13065" max="13066" width="8.7109375" style="200" bestFit="1" customWidth="1"/>
    <col min="13067" max="13067" width="10.7109375" style="200" customWidth="1"/>
    <col min="13068" max="13069" width="8.7109375" style="200" bestFit="1" customWidth="1"/>
    <col min="13070" max="13070" width="10.7109375" style="200" customWidth="1"/>
    <col min="13071" max="13072" width="8.7109375" style="200" bestFit="1" customWidth="1"/>
    <col min="13073" max="13073" width="10.7109375" style="200" customWidth="1"/>
    <col min="13074" max="13075" width="9.140625" style="200" bestFit="1" customWidth="1"/>
    <col min="13076" max="13076" width="10.7109375" style="200" customWidth="1"/>
    <col min="13077" max="13078" width="7.85546875" style="200" bestFit="1" customWidth="1"/>
    <col min="13079" max="13079" width="9" style="200" bestFit="1" customWidth="1"/>
    <col min="13080" max="13080" width="7.85546875" style="200" bestFit="1" customWidth="1"/>
    <col min="13081" max="13081" width="6.28515625" style="200" bestFit="1" customWidth="1"/>
    <col min="13082" max="13082" width="10.7109375" style="200" customWidth="1"/>
    <col min="13083" max="13311" width="11.42578125" style="200"/>
    <col min="13312" max="13312" width="2" style="200" customWidth="1"/>
    <col min="13313" max="13313" width="20.5703125" style="200" customWidth="1"/>
    <col min="13314" max="13314" width="15" style="200" customWidth="1"/>
    <col min="13315" max="13316" width="9.140625" style="200" bestFit="1" customWidth="1"/>
    <col min="13317" max="13317" width="10.7109375" style="200" customWidth="1"/>
    <col min="13318" max="13319" width="9.140625" style="200" bestFit="1" customWidth="1"/>
    <col min="13320" max="13320" width="10.7109375" style="200" customWidth="1"/>
    <col min="13321" max="13322" width="8.7109375" style="200" bestFit="1" customWidth="1"/>
    <col min="13323" max="13323" width="10.7109375" style="200" customWidth="1"/>
    <col min="13324" max="13325" width="8.7109375" style="200" bestFit="1" customWidth="1"/>
    <col min="13326" max="13326" width="10.7109375" style="200" customWidth="1"/>
    <col min="13327" max="13328" width="8.7109375" style="200" bestFit="1" customWidth="1"/>
    <col min="13329" max="13329" width="10.7109375" style="200" customWidth="1"/>
    <col min="13330" max="13331" width="9.140625" style="200" bestFit="1" customWidth="1"/>
    <col min="13332" max="13332" width="10.7109375" style="200" customWidth="1"/>
    <col min="13333" max="13334" width="7.85546875" style="200" bestFit="1" customWidth="1"/>
    <col min="13335" max="13335" width="9" style="200" bestFit="1" customWidth="1"/>
    <col min="13336" max="13336" width="7.85546875" style="200" bestFit="1" customWidth="1"/>
    <col min="13337" max="13337" width="6.28515625" style="200" bestFit="1" customWidth="1"/>
    <col min="13338" max="13338" width="10.7109375" style="200" customWidth="1"/>
    <col min="13339" max="13567" width="11.42578125" style="200"/>
    <col min="13568" max="13568" width="2" style="200" customWidth="1"/>
    <col min="13569" max="13569" width="20.5703125" style="200" customWidth="1"/>
    <col min="13570" max="13570" width="15" style="200" customWidth="1"/>
    <col min="13571" max="13572" width="9.140625" style="200" bestFit="1" customWidth="1"/>
    <col min="13573" max="13573" width="10.7109375" style="200" customWidth="1"/>
    <col min="13574" max="13575" width="9.140625" style="200" bestFit="1" customWidth="1"/>
    <col min="13576" max="13576" width="10.7109375" style="200" customWidth="1"/>
    <col min="13577" max="13578" width="8.7109375" style="200" bestFit="1" customWidth="1"/>
    <col min="13579" max="13579" width="10.7109375" style="200" customWidth="1"/>
    <col min="13580" max="13581" width="8.7109375" style="200" bestFit="1" customWidth="1"/>
    <col min="13582" max="13582" width="10.7109375" style="200" customWidth="1"/>
    <col min="13583" max="13584" width="8.7109375" style="200" bestFit="1" customWidth="1"/>
    <col min="13585" max="13585" width="10.7109375" style="200" customWidth="1"/>
    <col min="13586" max="13587" width="9.140625" style="200" bestFit="1" customWidth="1"/>
    <col min="13588" max="13588" width="10.7109375" style="200" customWidth="1"/>
    <col min="13589" max="13590" width="7.85546875" style="200" bestFit="1" customWidth="1"/>
    <col min="13591" max="13591" width="9" style="200" bestFit="1" customWidth="1"/>
    <col min="13592" max="13592" width="7.85546875" style="200" bestFit="1" customWidth="1"/>
    <col min="13593" max="13593" width="6.28515625" style="200" bestFit="1" customWidth="1"/>
    <col min="13594" max="13594" width="10.7109375" style="200" customWidth="1"/>
    <col min="13595" max="13823" width="11.42578125" style="200"/>
    <col min="13824" max="13824" width="2" style="200" customWidth="1"/>
    <col min="13825" max="13825" width="20.5703125" style="200" customWidth="1"/>
    <col min="13826" max="13826" width="15" style="200" customWidth="1"/>
    <col min="13827" max="13828" width="9.140625" style="200" bestFit="1" customWidth="1"/>
    <col min="13829" max="13829" width="10.7109375" style="200" customWidth="1"/>
    <col min="13830" max="13831" width="9.140625" style="200" bestFit="1" customWidth="1"/>
    <col min="13832" max="13832" width="10.7109375" style="200" customWidth="1"/>
    <col min="13833" max="13834" width="8.7109375" style="200" bestFit="1" customWidth="1"/>
    <col min="13835" max="13835" width="10.7109375" style="200" customWidth="1"/>
    <col min="13836" max="13837" width="8.7109375" style="200" bestFit="1" customWidth="1"/>
    <col min="13838" max="13838" width="10.7109375" style="200" customWidth="1"/>
    <col min="13839" max="13840" width="8.7109375" style="200" bestFit="1" customWidth="1"/>
    <col min="13841" max="13841" width="10.7109375" style="200" customWidth="1"/>
    <col min="13842" max="13843" width="9.140625" style="200" bestFit="1" customWidth="1"/>
    <col min="13844" max="13844" width="10.7109375" style="200" customWidth="1"/>
    <col min="13845" max="13846" width="7.85546875" style="200" bestFit="1" customWidth="1"/>
    <col min="13847" max="13847" width="9" style="200" bestFit="1" customWidth="1"/>
    <col min="13848" max="13848" width="7.85546875" style="200" bestFit="1" customWidth="1"/>
    <col min="13849" max="13849" width="6.28515625" style="200" bestFit="1" customWidth="1"/>
    <col min="13850" max="13850" width="10.7109375" style="200" customWidth="1"/>
    <col min="13851" max="14079" width="11.42578125" style="200"/>
    <col min="14080" max="14080" width="2" style="200" customWidth="1"/>
    <col min="14081" max="14081" width="20.5703125" style="200" customWidth="1"/>
    <col min="14082" max="14082" width="15" style="200" customWidth="1"/>
    <col min="14083" max="14084" width="9.140625" style="200" bestFit="1" customWidth="1"/>
    <col min="14085" max="14085" width="10.7109375" style="200" customWidth="1"/>
    <col min="14086" max="14087" width="9.140625" style="200" bestFit="1" customWidth="1"/>
    <col min="14088" max="14088" width="10.7109375" style="200" customWidth="1"/>
    <col min="14089" max="14090" width="8.7109375" style="200" bestFit="1" customWidth="1"/>
    <col min="14091" max="14091" width="10.7109375" style="200" customWidth="1"/>
    <col min="14092" max="14093" width="8.7109375" style="200" bestFit="1" customWidth="1"/>
    <col min="14094" max="14094" width="10.7109375" style="200" customWidth="1"/>
    <col min="14095" max="14096" width="8.7109375" style="200" bestFit="1" customWidth="1"/>
    <col min="14097" max="14097" width="10.7109375" style="200" customWidth="1"/>
    <col min="14098" max="14099" width="9.140625" style="200" bestFit="1" customWidth="1"/>
    <col min="14100" max="14100" width="10.7109375" style="200" customWidth="1"/>
    <col min="14101" max="14102" width="7.85546875" style="200" bestFit="1" customWidth="1"/>
    <col min="14103" max="14103" width="9" style="200" bestFit="1" customWidth="1"/>
    <col min="14104" max="14104" width="7.85546875" style="200" bestFit="1" customWidth="1"/>
    <col min="14105" max="14105" width="6.28515625" style="200" bestFit="1" customWidth="1"/>
    <col min="14106" max="14106" width="10.7109375" style="200" customWidth="1"/>
    <col min="14107" max="14335" width="11.42578125" style="200"/>
    <col min="14336" max="14336" width="2" style="200" customWidth="1"/>
    <col min="14337" max="14337" width="20.5703125" style="200" customWidth="1"/>
    <col min="14338" max="14338" width="15" style="200" customWidth="1"/>
    <col min="14339" max="14340" width="9.140625" style="200" bestFit="1" customWidth="1"/>
    <col min="14341" max="14341" width="10.7109375" style="200" customWidth="1"/>
    <col min="14342" max="14343" width="9.140625" style="200" bestFit="1" customWidth="1"/>
    <col min="14344" max="14344" width="10.7109375" style="200" customWidth="1"/>
    <col min="14345" max="14346" width="8.7109375" style="200" bestFit="1" customWidth="1"/>
    <col min="14347" max="14347" width="10.7109375" style="200" customWidth="1"/>
    <col min="14348" max="14349" width="8.7109375" style="200" bestFit="1" customWidth="1"/>
    <col min="14350" max="14350" width="10.7109375" style="200" customWidth="1"/>
    <col min="14351" max="14352" width="8.7109375" style="200" bestFit="1" customWidth="1"/>
    <col min="14353" max="14353" width="10.7109375" style="200" customWidth="1"/>
    <col min="14354" max="14355" width="9.140625" style="200" bestFit="1" customWidth="1"/>
    <col min="14356" max="14356" width="10.7109375" style="200" customWidth="1"/>
    <col min="14357" max="14358" width="7.85546875" style="200" bestFit="1" customWidth="1"/>
    <col min="14359" max="14359" width="9" style="200" bestFit="1" customWidth="1"/>
    <col min="14360" max="14360" width="7.85546875" style="200" bestFit="1" customWidth="1"/>
    <col min="14361" max="14361" width="6.28515625" style="200" bestFit="1" customWidth="1"/>
    <col min="14362" max="14362" width="10.7109375" style="200" customWidth="1"/>
    <col min="14363" max="14591" width="11.42578125" style="200"/>
    <col min="14592" max="14592" width="2" style="200" customWidth="1"/>
    <col min="14593" max="14593" width="20.5703125" style="200" customWidth="1"/>
    <col min="14594" max="14594" width="15" style="200" customWidth="1"/>
    <col min="14595" max="14596" width="9.140625" style="200" bestFit="1" customWidth="1"/>
    <col min="14597" max="14597" width="10.7109375" style="200" customWidth="1"/>
    <col min="14598" max="14599" width="9.140625" style="200" bestFit="1" customWidth="1"/>
    <col min="14600" max="14600" width="10.7109375" style="200" customWidth="1"/>
    <col min="14601" max="14602" width="8.7109375" style="200" bestFit="1" customWidth="1"/>
    <col min="14603" max="14603" width="10.7109375" style="200" customWidth="1"/>
    <col min="14604" max="14605" width="8.7109375" style="200" bestFit="1" customWidth="1"/>
    <col min="14606" max="14606" width="10.7109375" style="200" customWidth="1"/>
    <col min="14607" max="14608" width="8.7109375" style="200" bestFit="1" customWidth="1"/>
    <col min="14609" max="14609" width="10.7109375" style="200" customWidth="1"/>
    <col min="14610" max="14611" width="9.140625" style="200" bestFit="1" customWidth="1"/>
    <col min="14612" max="14612" width="10.7109375" style="200" customWidth="1"/>
    <col min="14613" max="14614" width="7.85546875" style="200" bestFit="1" customWidth="1"/>
    <col min="14615" max="14615" width="9" style="200" bestFit="1" customWidth="1"/>
    <col min="14616" max="14616" width="7.85546875" style="200" bestFit="1" customWidth="1"/>
    <col min="14617" max="14617" width="6.28515625" style="200" bestFit="1" customWidth="1"/>
    <col min="14618" max="14618" width="10.7109375" style="200" customWidth="1"/>
    <col min="14619" max="14847" width="11.42578125" style="200"/>
    <col min="14848" max="14848" width="2" style="200" customWidth="1"/>
    <col min="14849" max="14849" width="20.5703125" style="200" customWidth="1"/>
    <col min="14850" max="14850" width="15" style="200" customWidth="1"/>
    <col min="14851" max="14852" width="9.140625" style="200" bestFit="1" customWidth="1"/>
    <col min="14853" max="14853" width="10.7109375" style="200" customWidth="1"/>
    <col min="14854" max="14855" width="9.140625" style="200" bestFit="1" customWidth="1"/>
    <col min="14856" max="14856" width="10.7109375" style="200" customWidth="1"/>
    <col min="14857" max="14858" width="8.7109375" style="200" bestFit="1" customWidth="1"/>
    <col min="14859" max="14859" width="10.7109375" style="200" customWidth="1"/>
    <col min="14860" max="14861" width="8.7109375" style="200" bestFit="1" customWidth="1"/>
    <col min="14862" max="14862" width="10.7109375" style="200" customWidth="1"/>
    <col min="14863" max="14864" width="8.7109375" style="200" bestFit="1" customWidth="1"/>
    <col min="14865" max="14865" width="10.7109375" style="200" customWidth="1"/>
    <col min="14866" max="14867" width="9.140625" style="200" bestFit="1" customWidth="1"/>
    <col min="14868" max="14868" width="10.7109375" style="200" customWidth="1"/>
    <col min="14869" max="14870" width="7.85546875" style="200" bestFit="1" customWidth="1"/>
    <col min="14871" max="14871" width="9" style="200" bestFit="1" customWidth="1"/>
    <col min="14872" max="14872" width="7.85546875" style="200" bestFit="1" customWidth="1"/>
    <col min="14873" max="14873" width="6.28515625" style="200" bestFit="1" customWidth="1"/>
    <col min="14874" max="14874" width="10.7109375" style="200" customWidth="1"/>
    <col min="14875" max="15103" width="11.42578125" style="200"/>
    <col min="15104" max="15104" width="2" style="200" customWidth="1"/>
    <col min="15105" max="15105" width="20.5703125" style="200" customWidth="1"/>
    <col min="15106" max="15106" width="15" style="200" customWidth="1"/>
    <col min="15107" max="15108" width="9.140625" style="200" bestFit="1" customWidth="1"/>
    <col min="15109" max="15109" width="10.7109375" style="200" customWidth="1"/>
    <col min="15110" max="15111" width="9.140625" style="200" bestFit="1" customWidth="1"/>
    <col min="15112" max="15112" width="10.7109375" style="200" customWidth="1"/>
    <col min="15113" max="15114" width="8.7109375" style="200" bestFit="1" customWidth="1"/>
    <col min="15115" max="15115" width="10.7109375" style="200" customWidth="1"/>
    <col min="15116" max="15117" width="8.7109375" style="200" bestFit="1" customWidth="1"/>
    <col min="15118" max="15118" width="10.7109375" style="200" customWidth="1"/>
    <col min="15119" max="15120" width="8.7109375" style="200" bestFit="1" customWidth="1"/>
    <col min="15121" max="15121" width="10.7109375" style="200" customWidth="1"/>
    <col min="15122" max="15123" width="9.140625" style="200" bestFit="1" customWidth="1"/>
    <col min="15124" max="15124" width="10.7109375" style="200" customWidth="1"/>
    <col min="15125" max="15126" width="7.85546875" style="200" bestFit="1" customWidth="1"/>
    <col min="15127" max="15127" width="9" style="200" bestFit="1" customWidth="1"/>
    <col min="15128" max="15128" width="7.85546875" style="200" bestFit="1" customWidth="1"/>
    <col min="15129" max="15129" width="6.28515625" style="200" bestFit="1" customWidth="1"/>
    <col min="15130" max="15130" width="10.7109375" style="200" customWidth="1"/>
    <col min="15131" max="15359" width="11.42578125" style="200"/>
    <col min="15360" max="15360" width="2" style="200" customWidth="1"/>
    <col min="15361" max="15361" width="20.5703125" style="200" customWidth="1"/>
    <col min="15362" max="15362" width="15" style="200" customWidth="1"/>
    <col min="15363" max="15364" width="9.140625" style="200" bestFit="1" customWidth="1"/>
    <col min="15365" max="15365" width="10.7109375" style="200" customWidth="1"/>
    <col min="15366" max="15367" width="9.140625" style="200" bestFit="1" customWidth="1"/>
    <col min="15368" max="15368" width="10.7109375" style="200" customWidth="1"/>
    <col min="15369" max="15370" width="8.7109375" style="200" bestFit="1" customWidth="1"/>
    <col min="15371" max="15371" width="10.7109375" style="200" customWidth="1"/>
    <col min="15372" max="15373" width="8.7109375" style="200" bestFit="1" customWidth="1"/>
    <col min="15374" max="15374" width="10.7109375" style="200" customWidth="1"/>
    <col min="15375" max="15376" width="8.7109375" style="200" bestFit="1" customWidth="1"/>
    <col min="15377" max="15377" width="10.7109375" style="200" customWidth="1"/>
    <col min="15378" max="15379" width="9.140625" style="200" bestFit="1" customWidth="1"/>
    <col min="15380" max="15380" width="10.7109375" style="200" customWidth="1"/>
    <col min="15381" max="15382" width="7.85546875" style="200" bestFit="1" customWidth="1"/>
    <col min="15383" max="15383" width="9" style="200" bestFit="1" customWidth="1"/>
    <col min="15384" max="15384" width="7.85546875" style="200" bestFit="1" customWidth="1"/>
    <col min="15385" max="15385" width="6.28515625" style="200" bestFit="1" customWidth="1"/>
    <col min="15386" max="15386" width="10.7109375" style="200" customWidth="1"/>
    <col min="15387" max="15615" width="11.42578125" style="200"/>
    <col min="15616" max="15616" width="2" style="200" customWidth="1"/>
    <col min="15617" max="15617" width="20.5703125" style="200" customWidth="1"/>
    <col min="15618" max="15618" width="15" style="200" customWidth="1"/>
    <col min="15619" max="15620" width="9.140625" style="200" bestFit="1" customWidth="1"/>
    <col min="15621" max="15621" width="10.7109375" style="200" customWidth="1"/>
    <col min="15622" max="15623" width="9.140625" style="200" bestFit="1" customWidth="1"/>
    <col min="15624" max="15624" width="10.7109375" style="200" customWidth="1"/>
    <col min="15625" max="15626" width="8.7109375" style="200" bestFit="1" customWidth="1"/>
    <col min="15627" max="15627" width="10.7109375" style="200" customWidth="1"/>
    <col min="15628" max="15629" width="8.7109375" style="200" bestFit="1" customWidth="1"/>
    <col min="15630" max="15630" width="10.7109375" style="200" customWidth="1"/>
    <col min="15631" max="15632" width="8.7109375" style="200" bestFit="1" customWidth="1"/>
    <col min="15633" max="15633" width="10.7109375" style="200" customWidth="1"/>
    <col min="15634" max="15635" width="9.140625" style="200" bestFit="1" customWidth="1"/>
    <col min="15636" max="15636" width="10.7109375" style="200" customWidth="1"/>
    <col min="15637" max="15638" width="7.85546875" style="200" bestFit="1" customWidth="1"/>
    <col min="15639" max="15639" width="9" style="200" bestFit="1" customWidth="1"/>
    <col min="15640" max="15640" width="7.85546875" style="200" bestFit="1" customWidth="1"/>
    <col min="15641" max="15641" width="6.28515625" style="200" bestFit="1" customWidth="1"/>
    <col min="15642" max="15642" width="10.7109375" style="200" customWidth="1"/>
    <col min="15643" max="15871" width="11.42578125" style="200"/>
    <col min="15872" max="15872" width="2" style="200" customWidth="1"/>
    <col min="15873" max="15873" width="20.5703125" style="200" customWidth="1"/>
    <col min="15874" max="15874" width="15" style="200" customWidth="1"/>
    <col min="15875" max="15876" width="9.140625" style="200" bestFit="1" customWidth="1"/>
    <col min="15877" max="15877" width="10.7109375" style="200" customWidth="1"/>
    <col min="15878" max="15879" width="9.140625" style="200" bestFit="1" customWidth="1"/>
    <col min="15880" max="15880" width="10.7109375" style="200" customWidth="1"/>
    <col min="15881" max="15882" width="8.7109375" style="200" bestFit="1" customWidth="1"/>
    <col min="15883" max="15883" width="10.7109375" style="200" customWidth="1"/>
    <col min="15884" max="15885" width="8.7109375" style="200" bestFit="1" customWidth="1"/>
    <col min="15886" max="15886" width="10.7109375" style="200" customWidth="1"/>
    <col min="15887" max="15888" width="8.7109375" style="200" bestFit="1" customWidth="1"/>
    <col min="15889" max="15889" width="10.7109375" style="200" customWidth="1"/>
    <col min="15890" max="15891" width="9.140625" style="200" bestFit="1" customWidth="1"/>
    <col min="15892" max="15892" width="10.7109375" style="200" customWidth="1"/>
    <col min="15893" max="15894" width="7.85546875" style="200" bestFit="1" customWidth="1"/>
    <col min="15895" max="15895" width="9" style="200" bestFit="1" customWidth="1"/>
    <col min="15896" max="15896" width="7.85546875" style="200" bestFit="1" customWidth="1"/>
    <col min="15897" max="15897" width="6.28515625" style="200" bestFit="1" customWidth="1"/>
    <col min="15898" max="15898" width="10.7109375" style="200" customWidth="1"/>
    <col min="15899" max="16127" width="11.42578125" style="200"/>
    <col min="16128" max="16128" width="2" style="200" customWidth="1"/>
    <col min="16129" max="16129" width="20.5703125" style="200" customWidth="1"/>
    <col min="16130" max="16130" width="15" style="200" customWidth="1"/>
    <col min="16131" max="16132" width="9.140625" style="200" bestFit="1" customWidth="1"/>
    <col min="16133" max="16133" width="10.7109375" style="200" customWidth="1"/>
    <col min="16134" max="16135" width="9.140625" style="200" bestFit="1" customWidth="1"/>
    <col min="16136" max="16136" width="10.7109375" style="200" customWidth="1"/>
    <col min="16137" max="16138" width="8.7109375" style="200" bestFit="1" customWidth="1"/>
    <col min="16139" max="16139" width="10.7109375" style="200" customWidth="1"/>
    <col min="16140" max="16141" width="8.7109375" style="200" bestFit="1" customWidth="1"/>
    <col min="16142" max="16142" width="10.7109375" style="200" customWidth="1"/>
    <col min="16143" max="16144" width="8.7109375" style="200" bestFit="1" customWidth="1"/>
    <col min="16145" max="16145" width="10.7109375" style="200" customWidth="1"/>
    <col min="16146" max="16147" width="9.140625" style="200" bestFit="1" customWidth="1"/>
    <col min="16148" max="16148" width="10.7109375" style="200" customWidth="1"/>
    <col min="16149" max="16150" width="7.85546875" style="200" bestFit="1" customWidth="1"/>
    <col min="16151" max="16151" width="9" style="200" bestFit="1" customWidth="1"/>
    <col min="16152" max="16152" width="7.85546875" style="200" bestFit="1" customWidth="1"/>
    <col min="16153" max="16153" width="6.28515625" style="200" bestFit="1" customWidth="1"/>
    <col min="16154" max="16154" width="10.7109375" style="200" customWidth="1"/>
    <col min="16155" max="16384" width="11.42578125" style="200"/>
  </cols>
  <sheetData>
    <row r="1" spans="1:41" s="186" customFormat="1" ht="82.5" customHeight="1" x14ac:dyDescent="0.2">
      <c r="A1" s="5132" t="s">
        <v>1291</v>
      </c>
      <c r="B1" s="5132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</row>
    <row r="2" spans="1:41" s="186" customFormat="1" ht="15.75" x14ac:dyDescent="0.2">
      <c r="A2" s="201"/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</row>
    <row r="3" spans="1:41" s="186" customFormat="1" x14ac:dyDescent="0.2">
      <c r="A3" s="5106" t="s">
        <v>16</v>
      </c>
      <c r="B3" s="5106" t="s">
        <v>4</v>
      </c>
      <c r="C3" s="5022">
        <v>2003</v>
      </c>
      <c r="D3" s="5023"/>
      <c r="E3" s="5024"/>
      <c r="F3" s="5022">
        <v>2004</v>
      </c>
      <c r="G3" s="5023"/>
      <c r="H3" s="5024"/>
      <c r="I3" s="5022">
        <v>2005</v>
      </c>
      <c r="J3" s="5023"/>
      <c r="K3" s="5024"/>
      <c r="L3" s="5022">
        <v>2006</v>
      </c>
      <c r="M3" s="5023"/>
      <c r="N3" s="5024"/>
      <c r="O3" s="5022">
        <v>2007</v>
      </c>
      <c r="P3" s="5023"/>
      <c r="Q3" s="5024"/>
      <c r="R3" s="5022">
        <v>2008</v>
      </c>
      <c r="S3" s="5023"/>
      <c r="T3" s="5024"/>
      <c r="U3" s="5022">
        <v>2009</v>
      </c>
      <c r="V3" s="5023"/>
      <c r="W3" s="5024"/>
      <c r="X3" s="5022">
        <v>2010</v>
      </c>
      <c r="Y3" s="5023"/>
      <c r="Z3" s="5024"/>
      <c r="AA3" s="5022">
        <v>2011</v>
      </c>
      <c r="AB3" s="5023"/>
      <c r="AC3" s="5024"/>
      <c r="AD3" s="5022">
        <v>2012</v>
      </c>
      <c r="AE3" s="5023"/>
      <c r="AF3" s="5024"/>
      <c r="AG3" s="5022">
        <v>2013</v>
      </c>
      <c r="AH3" s="5023"/>
      <c r="AI3" s="5024"/>
      <c r="AJ3" s="5022">
        <v>2014</v>
      </c>
      <c r="AK3" s="5023"/>
      <c r="AL3" s="5024"/>
      <c r="AM3" s="5022">
        <v>2015</v>
      </c>
      <c r="AN3" s="5023"/>
      <c r="AO3" s="5024"/>
    </row>
    <row r="4" spans="1:41" s="189" customFormat="1" ht="15.75" x14ac:dyDescent="0.2">
      <c r="A4" s="5106"/>
      <c r="B4" s="5106"/>
      <c r="C4" s="566" t="s">
        <v>668</v>
      </c>
      <c r="D4" s="567" t="s">
        <v>669</v>
      </c>
      <c r="E4" s="1031" t="s">
        <v>160</v>
      </c>
      <c r="F4" s="566" t="s">
        <v>668</v>
      </c>
      <c r="G4" s="567" t="s">
        <v>669</v>
      </c>
      <c r="H4" s="1031" t="s">
        <v>160</v>
      </c>
      <c r="I4" s="566" t="s">
        <v>668</v>
      </c>
      <c r="J4" s="567" t="s">
        <v>669</v>
      </c>
      <c r="K4" s="1031" t="s">
        <v>160</v>
      </c>
      <c r="L4" s="566" t="s">
        <v>668</v>
      </c>
      <c r="M4" s="567" t="s">
        <v>669</v>
      </c>
      <c r="N4" s="1031" t="s">
        <v>160</v>
      </c>
      <c r="O4" s="566" t="s">
        <v>668</v>
      </c>
      <c r="P4" s="567" t="s">
        <v>669</v>
      </c>
      <c r="Q4" s="1031" t="s">
        <v>160</v>
      </c>
      <c r="R4" s="566" t="s">
        <v>668</v>
      </c>
      <c r="S4" s="567" t="s">
        <v>669</v>
      </c>
      <c r="T4" s="1031" t="s">
        <v>160</v>
      </c>
      <c r="U4" s="566" t="s">
        <v>668</v>
      </c>
      <c r="V4" s="567" t="s">
        <v>669</v>
      </c>
      <c r="W4" s="1031" t="s">
        <v>160</v>
      </c>
      <c r="X4" s="566" t="s">
        <v>668</v>
      </c>
      <c r="Y4" s="567" t="s">
        <v>669</v>
      </c>
      <c r="Z4" s="1031" t="s">
        <v>160</v>
      </c>
      <c r="AA4" s="566" t="s">
        <v>668</v>
      </c>
      <c r="AB4" s="567" t="s">
        <v>669</v>
      </c>
      <c r="AC4" s="1031" t="s">
        <v>160</v>
      </c>
      <c r="AD4" s="566" t="s">
        <v>668</v>
      </c>
      <c r="AE4" s="567" t="s">
        <v>669</v>
      </c>
      <c r="AF4" s="1031" t="s">
        <v>160</v>
      </c>
      <c r="AG4" s="566" t="s">
        <v>668</v>
      </c>
      <c r="AH4" s="567" t="s">
        <v>669</v>
      </c>
      <c r="AI4" s="1031" t="s">
        <v>160</v>
      </c>
      <c r="AJ4" s="566" t="s">
        <v>668</v>
      </c>
      <c r="AK4" s="567" t="s">
        <v>669</v>
      </c>
      <c r="AL4" s="1031" t="s">
        <v>160</v>
      </c>
      <c r="AM4" s="566" t="s">
        <v>668</v>
      </c>
      <c r="AN4" s="567" t="s">
        <v>669</v>
      </c>
      <c r="AO4" s="1031" t="s">
        <v>160</v>
      </c>
    </row>
    <row r="5" spans="1:41" s="186" customFormat="1" x14ac:dyDescent="0.2">
      <c r="A5" s="498"/>
      <c r="B5" s="498"/>
      <c r="C5" s="498"/>
      <c r="D5" s="498"/>
      <c r="E5" s="498"/>
      <c r="F5" s="498"/>
      <c r="G5" s="498"/>
      <c r="H5" s="498"/>
      <c r="I5" s="498"/>
      <c r="J5" s="498"/>
      <c r="K5" s="498"/>
      <c r="L5" s="498"/>
      <c r="M5" s="498"/>
      <c r="N5" s="498"/>
      <c r="O5" s="498"/>
      <c r="P5" s="498"/>
      <c r="Q5" s="498"/>
      <c r="R5" s="498"/>
      <c r="S5" s="498"/>
      <c r="T5" s="498"/>
      <c r="U5" s="498"/>
      <c r="V5" s="498"/>
      <c r="W5" s="498"/>
      <c r="X5" s="498"/>
      <c r="Y5" s="498"/>
      <c r="Z5" s="498"/>
      <c r="AA5" s="263"/>
      <c r="AB5" s="263"/>
      <c r="AC5" s="263"/>
      <c r="AD5" s="263"/>
      <c r="AE5" s="263"/>
      <c r="AF5" s="263"/>
      <c r="AG5" s="263"/>
      <c r="AH5" s="263"/>
      <c r="AI5" s="263"/>
      <c r="AJ5" s="263"/>
      <c r="AK5" s="263"/>
      <c r="AL5" s="263"/>
      <c r="AM5" s="263"/>
      <c r="AN5" s="263"/>
      <c r="AO5" s="263"/>
    </row>
    <row r="6" spans="1:41" s="186" customFormat="1" x14ac:dyDescent="0.2">
      <c r="A6" s="5037" t="s">
        <v>161</v>
      </c>
      <c r="B6" s="499" t="s">
        <v>5</v>
      </c>
      <c r="C6" s="472">
        <v>397</v>
      </c>
      <c r="D6" s="471">
        <v>706</v>
      </c>
      <c r="E6" s="500">
        <v>1103</v>
      </c>
      <c r="F6" s="472">
        <v>697</v>
      </c>
      <c r="G6" s="471">
        <v>912</v>
      </c>
      <c r="H6" s="500">
        <v>1609</v>
      </c>
      <c r="I6" s="472">
        <v>663</v>
      </c>
      <c r="J6" s="471">
        <v>780</v>
      </c>
      <c r="K6" s="501">
        <v>1443</v>
      </c>
      <c r="L6" s="471">
        <v>721</v>
      </c>
      <c r="M6" s="471">
        <v>822</v>
      </c>
      <c r="N6" s="501">
        <v>1543</v>
      </c>
      <c r="O6" s="471">
        <v>654</v>
      </c>
      <c r="P6" s="471">
        <v>819</v>
      </c>
      <c r="Q6" s="501">
        <v>1473</v>
      </c>
      <c r="R6" s="471">
        <v>652</v>
      </c>
      <c r="S6" s="471">
        <v>908</v>
      </c>
      <c r="T6" s="501">
        <v>1560</v>
      </c>
      <c r="U6" s="502">
        <v>699</v>
      </c>
      <c r="V6" s="503">
        <v>766</v>
      </c>
      <c r="W6" s="504">
        <v>1465</v>
      </c>
      <c r="X6" s="502">
        <v>853</v>
      </c>
      <c r="Y6" s="503">
        <v>904</v>
      </c>
      <c r="Z6" s="501">
        <f>SUM(X6:Y6)</f>
        <v>1757</v>
      </c>
      <c r="AA6" s="472">
        <v>908</v>
      </c>
      <c r="AB6" s="471">
        <v>537</v>
      </c>
      <c r="AC6" s="501">
        <f>SUM(AA6:AB6)</f>
        <v>1445</v>
      </c>
      <c r="AD6" s="472">
        <f>SUM('Inscritos plan'!AE5:AE14)</f>
        <v>453</v>
      </c>
      <c r="AE6" s="471">
        <f>SUM('Inscritos plan'!AF5:AF14)</f>
        <v>507</v>
      </c>
      <c r="AF6" s="501">
        <f>SUM(AD6:AE6)</f>
        <v>960</v>
      </c>
      <c r="AG6" s="472">
        <f>SUM('Inscritos plan'!AH5:AH14)</f>
        <v>546</v>
      </c>
      <c r="AH6" s="471">
        <f>SUM('Inscritos plan'!AI5:AI14)</f>
        <v>531</v>
      </c>
      <c r="AI6" s="501">
        <f>SUM(AG6:AH6)</f>
        <v>1077</v>
      </c>
      <c r="AJ6" s="472">
        <f>SUM('Inscritos plan'!AK5:AK14)</f>
        <v>437</v>
      </c>
      <c r="AK6" s="471">
        <f>SUM('Inscritos plan'!AL5:AL14)</f>
        <v>624</v>
      </c>
      <c r="AL6" s="501">
        <f>SUM(AJ6:AK6)</f>
        <v>1061</v>
      </c>
      <c r="AM6" s="472">
        <f>SUM('Inscritos plan'!AN5:AN14)</f>
        <v>350</v>
      </c>
      <c r="AN6" s="471">
        <f>SUM('Inscritos plan'!AO5:AO14)</f>
        <v>610</v>
      </c>
      <c r="AO6" s="501">
        <f>SUM(AM6:AN6)</f>
        <v>960</v>
      </c>
    </row>
    <row r="7" spans="1:41" s="186" customFormat="1" x14ac:dyDescent="0.2">
      <c r="A7" s="5038"/>
      <c r="B7" s="505" t="s">
        <v>6</v>
      </c>
      <c r="C7" s="475">
        <v>467</v>
      </c>
      <c r="D7" s="474">
        <v>526</v>
      </c>
      <c r="E7" s="506">
        <v>993</v>
      </c>
      <c r="F7" s="475">
        <v>417</v>
      </c>
      <c r="G7" s="474">
        <v>617</v>
      </c>
      <c r="H7" s="506">
        <v>1034</v>
      </c>
      <c r="I7" s="475">
        <v>446</v>
      </c>
      <c r="J7" s="474">
        <v>476</v>
      </c>
      <c r="K7" s="507">
        <v>922</v>
      </c>
      <c r="L7" s="474">
        <v>383</v>
      </c>
      <c r="M7" s="474">
        <v>530</v>
      </c>
      <c r="N7" s="507">
        <v>913</v>
      </c>
      <c r="O7" s="474">
        <v>523</v>
      </c>
      <c r="P7" s="474">
        <v>421</v>
      </c>
      <c r="Q7" s="507">
        <v>944</v>
      </c>
      <c r="R7" s="474">
        <v>654</v>
      </c>
      <c r="S7" s="474">
        <v>556</v>
      </c>
      <c r="T7" s="507">
        <v>1210</v>
      </c>
      <c r="U7" s="508">
        <v>549</v>
      </c>
      <c r="V7" s="509">
        <v>576</v>
      </c>
      <c r="W7" s="510">
        <v>1125</v>
      </c>
      <c r="X7" s="508">
        <v>539</v>
      </c>
      <c r="Y7" s="509">
        <v>500</v>
      </c>
      <c r="Z7" s="507">
        <f>SUM(X7:Y7)</f>
        <v>1039</v>
      </c>
      <c r="AA7" s="475">
        <v>542</v>
      </c>
      <c r="AB7" s="474">
        <v>506</v>
      </c>
      <c r="AC7" s="507">
        <f>SUM(AA7:AB7)</f>
        <v>1048</v>
      </c>
      <c r="AD7" s="475">
        <f>SUM('Inscritos plan'!AE16:AE19)</f>
        <v>605</v>
      </c>
      <c r="AE7" s="474">
        <f>SUM('Inscritos plan'!AF16:AF19)</f>
        <v>600</v>
      </c>
      <c r="AF7" s="507">
        <f>SUM(AD7:AE7)</f>
        <v>1205</v>
      </c>
      <c r="AG7" s="475">
        <f>SUM('Inscritos plan'!AH16:AH19)</f>
        <v>611</v>
      </c>
      <c r="AH7" s="474">
        <f>SUM('Inscritos plan'!AI16:AI19)</f>
        <v>590</v>
      </c>
      <c r="AI7" s="507">
        <f>SUM(AG7:AH7)</f>
        <v>1201</v>
      </c>
      <c r="AJ7" s="475">
        <f>SUM('Inscritos plan'!AK16:AK19)</f>
        <v>611</v>
      </c>
      <c r="AK7" s="474">
        <f>SUM('Inscritos plan'!AL16:AL19)</f>
        <v>608</v>
      </c>
      <c r="AL7" s="507">
        <f>SUM(AJ7:AK7)</f>
        <v>1219</v>
      </c>
      <c r="AM7" s="475">
        <f>SUM('Inscritos plan'!AN16:AN19)</f>
        <v>600</v>
      </c>
      <c r="AN7" s="474">
        <f>SUM('Inscritos plan'!AO16:AO19)</f>
        <v>635</v>
      </c>
      <c r="AO7" s="507">
        <f>SUM(AM7:AN7)</f>
        <v>1235</v>
      </c>
    </row>
    <row r="8" spans="1:41" s="186" customFormat="1" x14ac:dyDescent="0.2">
      <c r="A8" s="5038"/>
      <c r="B8" s="505" t="s">
        <v>7</v>
      </c>
      <c r="C8" s="475">
        <v>329</v>
      </c>
      <c r="D8" s="474">
        <v>356</v>
      </c>
      <c r="E8" s="506">
        <v>685</v>
      </c>
      <c r="F8" s="475">
        <v>312</v>
      </c>
      <c r="G8" s="474">
        <v>324</v>
      </c>
      <c r="H8" s="506">
        <v>636</v>
      </c>
      <c r="I8" s="475">
        <v>298</v>
      </c>
      <c r="J8" s="474">
        <v>269</v>
      </c>
      <c r="K8" s="507">
        <v>567</v>
      </c>
      <c r="L8" s="474">
        <v>253</v>
      </c>
      <c r="M8" s="474">
        <v>247</v>
      </c>
      <c r="N8" s="507">
        <v>500</v>
      </c>
      <c r="O8" s="474">
        <v>267</v>
      </c>
      <c r="P8" s="474">
        <v>246</v>
      </c>
      <c r="Q8" s="507">
        <v>513</v>
      </c>
      <c r="R8" s="474">
        <v>274</v>
      </c>
      <c r="S8" s="474">
        <v>274</v>
      </c>
      <c r="T8" s="507">
        <v>548</v>
      </c>
      <c r="U8" s="508">
        <v>269</v>
      </c>
      <c r="V8" s="509">
        <v>256</v>
      </c>
      <c r="W8" s="510">
        <v>525</v>
      </c>
      <c r="X8" s="508">
        <v>267</v>
      </c>
      <c r="Y8" s="509">
        <v>266</v>
      </c>
      <c r="Z8" s="507">
        <f>SUM(X8:Y8)</f>
        <v>533</v>
      </c>
      <c r="AA8" s="475">
        <v>272</v>
      </c>
      <c r="AB8" s="474">
        <v>261</v>
      </c>
      <c r="AC8" s="507">
        <f>SUM(AA8:AB8)</f>
        <v>533</v>
      </c>
      <c r="AD8" s="475">
        <f>SUM('Inscritos plan'!AE21:AE23)</f>
        <v>273</v>
      </c>
      <c r="AE8" s="474">
        <f>SUM('Inscritos plan'!AF21:AF23)</f>
        <v>274</v>
      </c>
      <c r="AF8" s="507">
        <f>SUM(AD8:AE8)</f>
        <v>547</v>
      </c>
      <c r="AG8" s="475">
        <f>SUM('Inscritos plan'!AH21:AH23)</f>
        <v>300</v>
      </c>
      <c r="AH8" s="474">
        <f>SUM('Inscritos plan'!AI21:AI23)</f>
        <v>287</v>
      </c>
      <c r="AI8" s="507">
        <f>SUM(AG8:AH8)</f>
        <v>587</v>
      </c>
      <c r="AJ8" s="475">
        <f>SUM('Inscritos plan'!AK21:AK23)</f>
        <v>304</v>
      </c>
      <c r="AK8" s="474">
        <f>SUM('Inscritos plan'!AL21:AL23)</f>
        <v>292</v>
      </c>
      <c r="AL8" s="507">
        <f>SUM(AJ8:AK8)</f>
        <v>596</v>
      </c>
      <c r="AM8" s="475">
        <f>SUM('Inscritos plan'!AN21:AN23)</f>
        <v>299</v>
      </c>
      <c r="AN8" s="474">
        <f>SUM('Inscritos plan'!AO21:AO23)</f>
        <v>346</v>
      </c>
      <c r="AO8" s="507">
        <f>SUM(AM8:AN8)</f>
        <v>645</v>
      </c>
    </row>
    <row r="9" spans="1:41" s="188" customFormat="1" x14ac:dyDescent="0.2">
      <c r="A9" s="5108"/>
      <c r="B9" s="2459" t="s">
        <v>12</v>
      </c>
      <c r="C9" s="2460">
        <v>1193</v>
      </c>
      <c r="D9" s="2461">
        <v>1588</v>
      </c>
      <c r="E9" s="2461">
        <v>2781</v>
      </c>
      <c r="F9" s="2460">
        <v>1426</v>
      </c>
      <c r="G9" s="2461">
        <v>1853</v>
      </c>
      <c r="H9" s="2461">
        <v>3279</v>
      </c>
      <c r="I9" s="2460">
        <v>1407</v>
      </c>
      <c r="J9" s="2461">
        <v>1525</v>
      </c>
      <c r="K9" s="2462">
        <v>2932</v>
      </c>
      <c r="L9" s="2461">
        <v>1357</v>
      </c>
      <c r="M9" s="2461">
        <v>1599</v>
      </c>
      <c r="N9" s="2462">
        <v>2956</v>
      </c>
      <c r="O9" s="2461">
        <v>1444</v>
      </c>
      <c r="P9" s="2461">
        <v>1486</v>
      </c>
      <c r="Q9" s="2462">
        <v>2930</v>
      </c>
      <c r="R9" s="2461">
        <v>1580</v>
      </c>
      <c r="S9" s="2461">
        <v>1738</v>
      </c>
      <c r="T9" s="2462">
        <v>3318</v>
      </c>
      <c r="U9" s="2463">
        <v>1517</v>
      </c>
      <c r="V9" s="2464">
        <v>1598</v>
      </c>
      <c r="W9" s="2465">
        <v>3115</v>
      </c>
      <c r="X9" s="2463">
        <f>SUM(X6:X8)</f>
        <v>1659</v>
      </c>
      <c r="Y9" s="2464">
        <v>1670</v>
      </c>
      <c r="Z9" s="2462">
        <f>SUM(X9:Y9)</f>
        <v>3329</v>
      </c>
      <c r="AA9" s="2460">
        <f>SUM(AA6:AA8)</f>
        <v>1722</v>
      </c>
      <c r="AB9" s="2461">
        <f>SUM(AB6:AB8)</f>
        <v>1304</v>
      </c>
      <c r="AC9" s="2462">
        <f>SUM(AA9:AB9)</f>
        <v>3026</v>
      </c>
      <c r="AD9" s="2460">
        <f>SUM(AD6:AD8)</f>
        <v>1331</v>
      </c>
      <c r="AE9" s="2461">
        <f>SUM(AE6:AE8)</f>
        <v>1381</v>
      </c>
      <c r="AF9" s="2462">
        <f>SUM(AD9:AE9)</f>
        <v>2712</v>
      </c>
      <c r="AG9" s="2460">
        <f>SUM(AG6:AG8)</f>
        <v>1457</v>
      </c>
      <c r="AH9" s="2461">
        <f>SUM(AH6:AH8)</f>
        <v>1408</v>
      </c>
      <c r="AI9" s="2462">
        <f>SUM(AG9:AH9)</f>
        <v>2865</v>
      </c>
      <c r="AJ9" s="2460">
        <f>SUM(AJ6:AJ8)</f>
        <v>1352</v>
      </c>
      <c r="AK9" s="2461">
        <f>SUM(AK6:AK8)</f>
        <v>1524</v>
      </c>
      <c r="AL9" s="2462">
        <f>SUM(AJ9:AK9)</f>
        <v>2876</v>
      </c>
      <c r="AM9" s="2460">
        <f>SUM(AM6:AM8)</f>
        <v>1249</v>
      </c>
      <c r="AN9" s="2461">
        <f>SUM(AN6:AN8)</f>
        <v>1591</v>
      </c>
      <c r="AO9" s="2462">
        <f>SUM(AM9:AN9)</f>
        <v>2840</v>
      </c>
    </row>
    <row r="10" spans="1:41" s="188" customFormat="1" ht="15.75" x14ac:dyDescent="0.25">
      <c r="A10" s="1923"/>
      <c r="B10" s="771"/>
      <c r="C10" s="771"/>
      <c r="D10" s="771"/>
      <c r="E10" s="771"/>
      <c r="F10" s="771"/>
      <c r="G10" s="771"/>
      <c r="H10" s="771"/>
      <c r="I10" s="771"/>
      <c r="J10" s="771"/>
      <c r="K10" s="771"/>
      <c r="L10" s="771"/>
      <c r="M10" s="771"/>
      <c r="N10" s="771"/>
      <c r="O10" s="771"/>
      <c r="P10" s="771"/>
      <c r="Q10" s="771"/>
      <c r="R10" s="771"/>
      <c r="S10" s="771"/>
      <c r="T10" s="771"/>
      <c r="U10" s="771"/>
      <c r="V10" s="771"/>
      <c r="W10" s="771"/>
      <c r="X10" s="771"/>
      <c r="Y10" s="771"/>
      <c r="Z10" s="771"/>
      <c r="AA10" s="771"/>
      <c r="AB10" s="771"/>
      <c r="AC10" s="771"/>
      <c r="AD10" s="771"/>
      <c r="AE10" s="771"/>
      <c r="AF10" s="771"/>
      <c r="AG10" s="771"/>
      <c r="AH10" s="771"/>
      <c r="AI10" s="771"/>
      <c r="AJ10" s="771"/>
      <c r="AK10" s="771"/>
      <c r="AL10" s="771"/>
      <c r="AM10" s="771"/>
      <c r="AN10" s="771"/>
      <c r="AO10" s="771"/>
    </row>
    <row r="11" spans="1:41" s="188" customFormat="1" x14ac:dyDescent="0.2">
      <c r="A11" s="5028" t="s">
        <v>410</v>
      </c>
      <c r="B11" s="499" t="s">
        <v>6</v>
      </c>
      <c r="C11" s="472"/>
      <c r="D11" s="471"/>
      <c r="E11" s="500"/>
      <c r="F11" s="472"/>
      <c r="G11" s="471"/>
      <c r="H11" s="500"/>
      <c r="I11" s="472"/>
      <c r="J11" s="471">
        <v>111</v>
      </c>
      <c r="K11" s="501">
        <v>111</v>
      </c>
      <c r="L11" s="471"/>
      <c r="M11" s="471">
        <v>43</v>
      </c>
      <c r="N11" s="501">
        <v>43</v>
      </c>
      <c r="O11" s="471"/>
      <c r="P11" s="471">
        <v>121</v>
      </c>
      <c r="Q11" s="501">
        <v>121</v>
      </c>
      <c r="R11" s="471"/>
      <c r="S11" s="471">
        <v>116</v>
      </c>
      <c r="T11" s="501">
        <v>116</v>
      </c>
      <c r="U11" s="502"/>
      <c r="V11" s="503">
        <v>81</v>
      </c>
      <c r="W11" s="504">
        <v>81</v>
      </c>
      <c r="X11" s="502"/>
      <c r="Y11" s="503">
        <v>94</v>
      </c>
      <c r="Z11" s="501">
        <f>SUM(X11:Y11)</f>
        <v>94</v>
      </c>
      <c r="AA11" s="472"/>
      <c r="AB11" s="471">
        <v>87</v>
      </c>
      <c r="AC11" s="501">
        <f>SUM(AA11:AB11)</f>
        <v>87</v>
      </c>
      <c r="AD11" s="471"/>
      <c r="AE11" s="471">
        <f>SUM('Inscritos plan'!AF78:AF81)</f>
        <v>86</v>
      </c>
      <c r="AF11" s="501">
        <f>SUM(AD11:AE11)</f>
        <v>86</v>
      </c>
      <c r="AG11" s="471"/>
      <c r="AH11" s="471">
        <f>SUM('Inscritos plan'!AI78:AI81)</f>
        <v>94</v>
      </c>
      <c r="AI11" s="501">
        <f>SUM(AG11:AH11)</f>
        <v>94</v>
      </c>
      <c r="AJ11" s="471">
        <f>SUM('Inscritos plan'!AK82)</f>
        <v>97</v>
      </c>
      <c r="AK11" s="471">
        <f>SUM('Inscritos plan'!AL78:AL81)</f>
        <v>99</v>
      </c>
      <c r="AL11" s="501">
        <f>SUM(AJ11:AK11)</f>
        <v>196</v>
      </c>
      <c r="AM11" s="471">
        <f>SUM('Inscritos plan'!AN82)</f>
        <v>97</v>
      </c>
      <c r="AN11" s="471">
        <f>SUM('Inscritos plan'!AO78:AO81)</f>
        <v>129</v>
      </c>
      <c r="AO11" s="501">
        <f>SUM(AM11:AN11)</f>
        <v>226</v>
      </c>
    </row>
    <row r="12" spans="1:41" s="188" customFormat="1" x14ac:dyDescent="0.2">
      <c r="A12" s="5029"/>
      <c r="B12" s="505" t="s">
        <v>9</v>
      </c>
      <c r="C12" s="475"/>
      <c r="D12" s="474"/>
      <c r="E12" s="506"/>
      <c r="F12" s="475"/>
      <c r="G12" s="474"/>
      <c r="H12" s="506"/>
      <c r="I12" s="475"/>
      <c r="J12" s="474">
        <v>34</v>
      </c>
      <c r="K12" s="507">
        <v>34</v>
      </c>
      <c r="L12" s="474"/>
      <c r="M12" s="474">
        <v>30</v>
      </c>
      <c r="N12" s="507">
        <v>30</v>
      </c>
      <c r="O12" s="474"/>
      <c r="P12" s="474">
        <v>131</v>
      </c>
      <c r="Q12" s="507">
        <v>131</v>
      </c>
      <c r="R12" s="474"/>
      <c r="S12" s="474">
        <v>129</v>
      </c>
      <c r="T12" s="507">
        <v>129</v>
      </c>
      <c r="U12" s="508"/>
      <c r="V12" s="509">
        <v>96</v>
      </c>
      <c r="W12" s="510">
        <v>96</v>
      </c>
      <c r="X12" s="508"/>
      <c r="Y12" s="509">
        <v>117</v>
      </c>
      <c r="Z12" s="507">
        <f>SUM(X12:Y12)</f>
        <v>117</v>
      </c>
      <c r="AA12" s="475"/>
      <c r="AB12" s="474">
        <v>125</v>
      </c>
      <c r="AC12" s="507">
        <f>SUM(AA12:AB12)</f>
        <v>125</v>
      </c>
      <c r="AD12" s="474"/>
      <c r="AE12" s="474">
        <f>SUM('Inscritos plan'!AF83:AF85)</f>
        <v>134</v>
      </c>
      <c r="AF12" s="507">
        <f>SUM(AD12:AE12)</f>
        <v>134</v>
      </c>
      <c r="AG12" s="474"/>
      <c r="AH12" s="474">
        <f>SUM('Inscritos plan'!AI83:AI85)</f>
        <v>122</v>
      </c>
      <c r="AI12" s="507">
        <f>SUM(AG12:AH12)</f>
        <v>122</v>
      </c>
      <c r="AJ12" s="474"/>
      <c r="AK12" s="474">
        <f>SUM('Inscritos plan'!AL83:AL85)</f>
        <v>155</v>
      </c>
      <c r="AL12" s="507">
        <f>SUM(AJ12:AK12)</f>
        <v>155</v>
      </c>
      <c r="AM12" s="474"/>
      <c r="AN12" s="474">
        <f>SUM('Inscritos plan'!AO83:AO85)</f>
        <v>189</v>
      </c>
      <c r="AO12" s="507">
        <f>SUM(AM12:AN12)</f>
        <v>189</v>
      </c>
    </row>
    <row r="13" spans="1:41" s="188" customFormat="1" x14ac:dyDescent="0.2">
      <c r="A13" s="5029"/>
      <c r="B13" s="505" t="s">
        <v>74</v>
      </c>
      <c r="C13" s="475"/>
      <c r="D13" s="474"/>
      <c r="E13" s="506"/>
      <c r="F13" s="475"/>
      <c r="G13" s="474"/>
      <c r="H13" s="506"/>
      <c r="I13" s="475"/>
      <c r="J13" s="474">
        <v>58</v>
      </c>
      <c r="K13" s="507">
        <v>58</v>
      </c>
      <c r="L13" s="474"/>
      <c r="M13" s="474">
        <v>28</v>
      </c>
      <c r="N13" s="507">
        <v>28</v>
      </c>
      <c r="O13" s="474"/>
      <c r="P13" s="474">
        <v>64</v>
      </c>
      <c r="Q13" s="507">
        <v>64</v>
      </c>
      <c r="R13" s="474"/>
      <c r="S13" s="474">
        <v>110</v>
      </c>
      <c r="T13" s="507">
        <v>110</v>
      </c>
      <c r="U13" s="508"/>
      <c r="V13" s="509">
        <v>83</v>
      </c>
      <c r="W13" s="510">
        <v>83</v>
      </c>
      <c r="X13" s="508"/>
      <c r="Y13" s="509">
        <v>107</v>
      </c>
      <c r="Z13" s="507">
        <f>SUM(X13:Y13)</f>
        <v>107</v>
      </c>
      <c r="AA13" s="475"/>
      <c r="AB13" s="474">
        <v>110</v>
      </c>
      <c r="AC13" s="507">
        <f>SUM(AA13:AB13)</f>
        <v>110</v>
      </c>
      <c r="AD13" s="474"/>
      <c r="AE13" s="474">
        <f>SUM('Inscritos plan'!AF87:AF90)</f>
        <v>136</v>
      </c>
      <c r="AF13" s="507">
        <f>SUM(AD13:AE13)</f>
        <v>136</v>
      </c>
      <c r="AG13" s="474"/>
      <c r="AH13" s="474">
        <f>SUM('Inscritos plan'!AI87:AI90)</f>
        <v>145</v>
      </c>
      <c r="AI13" s="507">
        <f>SUM(AG13:AH13)</f>
        <v>145</v>
      </c>
      <c r="AJ13" s="474"/>
      <c r="AK13" s="474">
        <f>SUM('Inscritos plan'!AL87:AL90)</f>
        <v>229</v>
      </c>
      <c r="AL13" s="507">
        <f>SUM(AJ13:AK13)</f>
        <v>229</v>
      </c>
      <c r="AM13" s="474"/>
      <c r="AN13" s="474">
        <f>SUM('Inscritos plan'!AO87:AO90)</f>
        <v>193</v>
      </c>
      <c r="AO13" s="507">
        <f>SUM(AM13:AN13)</f>
        <v>193</v>
      </c>
    </row>
    <row r="14" spans="1:41" s="188" customFormat="1" x14ac:dyDescent="0.2">
      <c r="A14" s="5030"/>
      <c r="B14" s="2452" t="s">
        <v>12</v>
      </c>
      <c r="C14" s="2453"/>
      <c r="D14" s="2454"/>
      <c r="E14" s="2454"/>
      <c r="F14" s="2453"/>
      <c r="G14" s="2454"/>
      <c r="H14" s="2454"/>
      <c r="I14" s="2453"/>
      <c r="J14" s="2454">
        <v>203</v>
      </c>
      <c r="K14" s="2455">
        <v>203</v>
      </c>
      <c r="L14" s="2454"/>
      <c r="M14" s="2454">
        <v>101</v>
      </c>
      <c r="N14" s="2455">
        <v>101</v>
      </c>
      <c r="O14" s="2454"/>
      <c r="P14" s="2454">
        <v>316</v>
      </c>
      <c r="Q14" s="2455">
        <v>316</v>
      </c>
      <c r="R14" s="2454"/>
      <c r="S14" s="2454">
        <v>355</v>
      </c>
      <c r="T14" s="2455">
        <v>355</v>
      </c>
      <c r="U14" s="2456"/>
      <c r="V14" s="2457">
        <v>260</v>
      </c>
      <c r="W14" s="2458">
        <v>260</v>
      </c>
      <c r="X14" s="2456"/>
      <c r="Y14" s="2457">
        <f>SUM(Y11:Y13)</f>
        <v>318</v>
      </c>
      <c r="Z14" s="2455">
        <f>SUM(X14:Y14)</f>
        <v>318</v>
      </c>
      <c r="AA14" s="2453"/>
      <c r="AB14" s="2454">
        <f>SUM(AB11:AB13)</f>
        <v>322</v>
      </c>
      <c r="AC14" s="2455">
        <f>SUM(AA14:AB14)</f>
        <v>322</v>
      </c>
      <c r="AD14" s="2453"/>
      <c r="AE14" s="2454">
        <f>SUM(AE11:AE13)</f>
        <v>356</v>
      </c>
      <c r="AF14" s="2455">
        <f>SUM(AD14:AE14)</f>
        <v>356</v>
      </c>
      <c r="AG14" s="2453"/>
      <c r="AH14" s="2454">
        <f>SUM(AH11:AH13)</f>
        <v>361</v>
      </c>
      <c r="AI14" s="2455">
        <f>SUM(AG14:AH14)</f>
        <v>361</v>
      </c>
      <c r="AJ14" s="2453">
        <f>SUM(AJ11:AJ13)</f>
        <v>97</v>
      </c>
      <c r="AK14" s="2454">
        <f>SUM(AK11:AK13)</f>
        <v>483</v>
      </c>
      <c r="AL14" s="2455">
        <f>SUM(AJ14:AK14)</f>
        <v>580</v>
      </c>
      <c r="AM14" s="2453">
        <f>SUM(AM11:AM13)</f>
        <v>97</v>
      </c>
      <c r="AN14" s="2454">
        <f>SUM(AN11:AN13)</f>
        <v>511</v>
      </c>
      <c r="AO14" s="2455">
        <f>SUM(AM14:AN14)</f>
        <v>608</v>
      </c>
    </row>
    <row r="15" spans="1:41" s="186" customFormat="1" ht="15.75" x14ac:dyDescent="0.25">
      <c r="A15" s="1923"/>
      <c r="B15" s="498"/>
      <c r="C15" s="498"/>
      <c r="D15" s="498"/>
      <c r="E15" s="498"/>
      <c r="F15" s="498"/>
      <c r="G15" s="498"/>
      <c r="H15" s="498"/>
      <c r="I15" s="498"/>
      <c r="J15" s="498"/>
      <c r="K15" s="498"/>
      <c r="L15" s="498"/>
      <c r="M15" s="498"/>
      <c r="N15" s="498"/>
      <c r="O15" s="498"/>
      <c r="P15" s="498"/>
      <c r="Q15" s="498"/>
      <c r="R15" s="498"/>
      <c r="S15" s="498"/>
      <c r="T15" s="498"/>
      <c r="U15" s="498"/>
      <c r="V15" s="498"/>
      <c r="W15" s="498"/>
      <c r="X15" s="498"/>
      <c r="Y15" s="498"/>
      <c r="Z15" s="498"/>
      <c r="AA15" s="263"/>
      <c r="AB15" s="263"/>
      <c r="AC15" s="263"/>
      <c r="AD15" s="779"/>
      <c r="AE15" s="779"/>
      <c r="AF15" s="263"/>
      <c r="AG15" s="779"/>
      <c r="AH15" s="779"/>
      <c r="AI15" s="263"/>
      <c r="AJ15" s="779"/>
      <c r="AK15" s="779"/>
      <c r="AL15" s="263"/>
      <c r="AM15" s="779"/>
      <c r="AN15" s="779"/>
      <c r="AO15" s="263"/>
    </row>
    <row r="16" spans="1:41" s="186" customFormat="1" x14ac:dyDescent="0.2">
      <c r="A16" s="5040" t="s">
        <v>162</v>
      </c>
      <c r="B16" s="499" t="s">
        <v>5</v>
      </c>
      <c r="C16" s="472">
        <v>295</v>
      </c>
      <c r="D16" s="471">
        <v>362</v>
      </c>
      <c r="E16" s="500">
        <v>657</v>
      </c>
      <c r="F16" s="472">
        <v>264</v>
      </c>
      <c r="G16" s="471">
        <v>417</v>
      </c>
      <c r="H16" s="500">
        <v>681</v>
      </c>
      <c r="I16" s="472">
        <v>290</v>
      </c>
      <c r="J16" s="471">
        <v>437</v>
      </c>
      <c r="K16" s="501">
        <v>727</v>
      </c>
      <c r="L16" s="471">
        <v>357</v>
      </c>
      <c r="M16" s="471">
        <v>386</v>
      </c>
      <c r="N16" s="501">
        <v>743</v>
      </c>
      <c r="O16" s="471">
        <v>268</v>
      </c>
      <c r="P16" s="471">
        <v>355</v>
      </c>
      <c r="Q16" s="501">
        <v>623</v>
      </c>
      <c r="R16" s="471">
        <v>281</v>
      </c>
      <c r="S16" s="471">
        <v>499</v>
      </c>
      <c r="T16" s="501">
        <v>780</v>
      </c>
      <c r="U16" s="502">
        <v>220</v>
      </c>
      <c r="V16" s="503">
        <v>428</v>
      </c>
      <c r="W16" s="504">
        <v>648</v>
      </c>
      <c r="X16" s="502">
        <v>116</v>
      </c>
      <c r="Y16" s="503">
        <v>654</v>
      </c>
      <c r="Z16" s="501">
        <f>SUM(X16:Y16)</f>
        <v>770</v>
      </c>
      <c r="AA16" s="472">
        <v>186</v>
      </c>
      <c r="AB16" s="471">
        <v>622</v>
      </c>
      <c r="AC16" s="501">
        <f>SUM(AA16:AB16)</f>
        <v>808</v>
      </c>
      <c r="AD16" s="472">
        <f>SUM('Inscritos plan'!AE26:AE34)</f>
        <v>184</v>
      </c>
      <c r="AE16" s="471">
        <f>SUM('Inscritos plan'!AF26:AF34)</f>
        <v>654</v>
      </c>
      <c r="AF16" s="501">
        <f>SUM(AD16:AE16)</f>
        <v>838</v>
      </c>
      <c r="AG16" s="472">
        <f>SUM('Inscritos plan'!AH26:AH34)</f>
        <v>227</v>
      </c>
      <c r="AH16" s="471">
        <f>SUM('Inscritos plan'!AI26:AI34)</f>
        <v>754</v>
      </c>
      <c r="AI16" s="501">
        <f>SUM(AG16:AH16)</f>
        <v>981</v>
      </c>
      <c r="AJ16" s="472">
        <f>SUM('Inscritos plan'!AK26:AK34)</f>
        <v>180</v>
      </c>
      <c r="AK16" s="471">
        <f>SUM('Inscritos plan'!AL26:AL34)</f>
        <v>632</v>
      </c>
      <c r="AL16" s="501">
        <f>SUM(AJ16:AK16)</f>
        <v>812</v>
      </c>
      <c r="AM16" s="472">
        <f>SUM('Inscritos plan'!AN26:AN34)</f>
        <v>176</v>
      </c>
      <c r="AN16" s="471">
        <f>SUM('Inscritos plan'!AO26:AO34)</f>
        <v>626</v>
      </c>
      <c r="AO16" s="501">
        <f>SUM(AM16:AN16)</f>
        <v>802</v>
      </c>
    </row>
    <row r="17" spans="1:41" s="186" customFormat="1" x14ac:dyDescent="0.2">
      <c r="A17" s="5041"/>
      <c r="B17" s="505" t="s">
        <v>6</v>
      </c>
      <c r="C17" s="475">
        <v>159</v>
      </c>
      <c r="D17" s="474">
        <v>708</v>
      </c>
      <c r="E17" s="506">
        <v>867</v>
      </c>
      <c r="F17" s="475">
        <v>185</v>
      </c>
      <c r="G17" s="474">
        <v>805</v>
      </c>
      <c r="H17" s="506">
        <v>990</v>
      </c>
      <c r="I17" s="475">
        <v>161</v>
      </c>
      <c r="J17" s="474">
        <v>861</v>
      </c>
      <c r="K17" s="507">
        <v>1022</v>
      </c>
      <c r="L17" s="474">
        <v>183</v>
      </c>
      <c r="M17" s="474">
        <v>852</v>
      </c>
      <c r="N17" s="507">
        <v>1035</v>
      </c>
      <c r="O17" s="474">
        <v>212</v>
      </c>
      <c r="P17" s="474">
        <v>957</v>
      </c>
      <c r="Q17" s="507">
        <v>1169</v>
      </c>
      <c r="R17" s="474">
        <v>201</v>
      </c>
      <c r="S17" s="474">
        <v>930</v>
      </c>
      <c r="T17" s="507">
        <v>1131</v>
      </c>
      <c r="U17" s="508">
        <v>182</v>
      </c>
      <c r="V17" s="509">
        <v>896</v>
      </c>
      <c r="W17" s="510">
        <v>1078</v>
      </c>
      <c r="X17" s="508">
        <v>163</v>
      </c>
      <c r="Y17" s="509">
        <v>940</v>
      </c>
      <c r="Z17" s="507">
        <f>SUM(X17:Y17)</f>
        <v>1103</v>
      </c>
      <c r="AA17" s="475">
        <v>158</v>
      </c>
      <c r="AB17" s="474">
        <v>917</v>
      </c>
      <c r="AC17" s="507">
        <f>SUM(AA17:AB17)</f>
        <v>1075</v>
      </c>
      <c r="AD17" s="475">
        <f>SUM('Inscritos plan'!AE36:AE46)</f>
        <v>171</v>
      </c>
      <c r="AE17" s="474">
        <f>SUM('Inscritos plan'!AF36:AF46)</f>
        <v>921</v>
      </c>
      <c r="AF17" s="507">
        <f>SUM(AD17:AE17)</f>
        <v>1092</v>
      </c>
      <c r="AG17" s="475">
        <f>SUM('Inscritos plan'!AH36:AH46)</f>
        <v>154</v>
      </c>
      <c r="AH17" s="474">
        <f>SUM('Inscritos plan'!AI36:AI46)</f>
        <v>941</v>
      </c>
      <c r="AI17" s="507">
        <f>SUM(AG17:AH17)</f>
        <v>1095</v>
      </c>
      <c r="AJ17" s="475">
        <f>SUM('Inscritos plan'!AK36:AK46)</f>
        <v>153</v>
      </c>
      <c r="AK17" s="474">
        <f>SUM('Inscritos plan'!AL36:AL46)</f>
        <v>917</v>
      </c>
      <c r="AL17" s="507">
        <f>SUM(AJ17:AK17)</f>
        <v>1070</v>
      </c>
      <c r="AM17" s="475">
        <f>SUM('Inscritos plan'!AN36:AN46)</f>
        <v>134</v>
      </c>
      <c r="AN17" s="474">
        <f>SUM('Inscritos plan'!AO36:AO46)</f>
        <v>932</v>
      </c>
      <c r="AO17" s="507">
        <f>SUM(AM17:AN17)</f>
        <v>1066</v>
      </c>
    </row>
    <row r="18" spans="1:41" s="186" customFormat="1" x14ac:dyDescent="0.2">
      <c r="A18" s="5041"/>
      <c r="B18" s="505" t="s">
        <v>11</v>
      </c>
      <c r="C18" s="475">
        <v>158</v>
      </c>
      <c r="D18" s="474">
        <v>296</v>
      </c>
      <c r="E18" s="506">
        <v>454</v>
      </c>
      <c r="F18" s="475">
        <v>167</v>
      </c>
      <c r="G18" s="474">
        <v>354</v>
      </c>
      <c r="H18" s="506">
        <v>521</v>
      </c>
      <c r="I18" s="475">
        <v>178</v>
      </c>
      <c r="J18" s="474">
        <v>327</v>
      </c>
      <c r="K18" s="507">
        <v>505</v>
      </c>
      <c r="L18" s="474">
        <v>242</v>
      </c>
      <c r="M18" s="474">
        <v>366</v>
      </c>
      <c r="N18" s="507">
        <v>608</v>
      </c>
      <c r="O18" s="474">
        <v>201</v>
      </c>
      <c r="P18" s="474">
        <v>392</v>
      </c>
      <c r="Q18" s="507">
        <v>593</v>
      </c>
      <c r="R18" s="474">
        <v>255</v>
      </c>
      <c r="S18" s="474">
        <v>401</v>
      </c>
      <c r="T18" s="507">
        <v>656</v>
      </c>
      <c r="U18" s="508">
        <v>346</v>
      </c>
      <c r="V18" s="509">
        <v>407</v>
      </c>
      <c r="W18" s="510">
        <v>753</v>
      </c>
      <c r="X18" s="508">
        <v>373</v>
      </c>
      <c r="Y18" s="509">
        <v>430</v>
      </c>
      <c r="Z18" s="507">
        <f>SUM(X18:Y18)</f>
        <v>803</v>
      </c>
      <c r="AA18" s="475">
        <v>391</v>
      </c>
      <c r="AB18" s="474">
        <v>415</v>
      </c>
      <c r="AC18" s="507">
        <f>SUM(AA18:AB18)</f>
        <v>806</v>
      </c>
      <c r="AD18" s="475">
        <f>SUM('Inscritos plan'!AE48:AE53)</f>
        <v>399</v>
      </c>
      <c r="AE18" s="474">
        <f>SUM('Inscritos plan'!AF48:AF53)</f>
        <v>405</v>
      </c>
      <c r="AF18" s="507">
        <f>SUM(AD18:AE18)</f>
        <v>804</v>
      </c>
      <c r="AG18" s="475">
        <f>SUM('Inscritos plan'!AH48:AH53)</f>
        <v>382</v>
      </c>
      <c r="AH18" s="474">
        <f>SUM('Inscritos plan'!AI48:AI53)</f>
        <v>424</v>
      </c>
      <c r="AI18" s="507">
        <f>SUM(AG18:AH18)</f>
        <v>806</v>
      </c>
      <c r="AJ18" s="475">
        <f>SUM('Inscritos plan'!AK48:AK53)</f>
        <v>350</v>
      </c>
      <c r="AK18" s="474">
        <f>SUM('Inscritos plan'!AL48:AL53)</f>
        <v>385</v>
      </c>
      <c r="AL18" s="507">
        <f>SUM(AJ18:AK18)</f>
        <v>735</v>
      </c>
      <c r="AM18" s="475">
        <f>SUM('Inscritos plan'!AN48:AN53)</f>
        <v>298</v>
      </c>
      <c r="AN18" s="474">
        <f>SUM('Inscritos plan'!AO48:AO53)</f>
        <v>377</v>
      </c>
      <c r="AO18" s="507">
        <f>SUM(AM18:AN18)</f>
        <v>675</v>
      </c>
    </row>
    <row r="19" spans="1:41" s="188" customFormat="1" x14ac:dyDescent="0.2">
      <c r="A19" s="5109"/>
      <c r="B19" s="2466" t="s">
        <v>12</v>
      </c>
      <c r="C19" s="2467">
        <v>612</v>
      </c>
      <c r="D19" s="2468">
        <v>1366</v>
      </c>
      <c r="E19" s="2468">
        <v>1978</v>
      </c>
      <c r="F19" s="2467">
        <v>616</v>
      </c>
      <c r="G19" s="2468">
        <v>1576</v>
      </c>
      <c r="H19" s="2468">
        <v>2192</v>
      </c>
      <c r="I19" s="2467">
        <v>629</v>
      </c>
      <c r="J19" s="2468">
        <v>1625</v>
      </c>
      <c r="K19" s="2469">
        <v>2254</v>
      </c>
      <c r="L19" s="2468">
        <v>782</v>
      </c>
      <c r="M19" s="2468">
        <v>1604</v>
      </c>
      <c r="N19" s="2469">
        <v>2386</v>
      </c>
      <c r="O19" s="2468">
        <v>681</v>
      </c>
      <c r="P19" s="2468">
        <v>1704</v>
      </c>
      <c r="Q19" s="2469">
        <v>2385</v>
      </c>
      <c r="R19" s="2468">
        <v>737</v>
      </c>
      <c r="S19" s="2468">
        <v>1830</v>
      </c>
      <c r="T19" s="2469">
        <v>2567</v>
      </c>
      <c r="U19" s="2470">
        <v>748</v>
      </c>
      <c r="V19" s="2471">
        <v>1731</v>
      </c>
      <c r="W19" s="2472">
        <v>2479</v>
      </c>
      <c r="X19" s="2470">
        <f>SUM(X16:X18)</f>
        <v>652</v>
      </c>
      <c r="Y19" s="2471">
        <f>SUM(Y16:Y18)</f>
        <v>2024</v>
      </c>
      <c r="Z19" s="2469">
        <f>SUM(Z16:Z18)</f>
        <v>2676</v>
      </c>
      <c r="AA19" s="2467">
        <f>SUM(AA16:AA18)</f>
        <v>735</v>
      </c>
      <c r="AB19" s="2468">
        <f>SUM(AB16:AB18)</f>
        <v>1954</v>
      </c>
      <c r="AC19" s="2469">
        <f>SUM(AA19:AB19)</f>
        <v>2689</v>
      </c>
      <c r="AD19" s="2467">
        <f>SUM(AD16:AD18)</f>
        <v>754</v>
      </c>
      <c r="AE19" s="2468">
        <f>SUM(AE16:AE18)</f>
        <v>1980</v>
      </c>
      <c r="AF19" s="2469">
        <f>SUM(AD19:AE19)</f>
        <v>2734</v>
      </c>
      <c r="AG19" s="2467">
        <f>SUM(AG16:AG18)</f>
        <v>763</v>
      </c>
      <c r="AH19" s="2468">
        <f>SUM(AH16:AH18)</f>
        <v>2119</v>
      </c>
      <c r="AI19" s="2469">
        <f>SUM(AG19:AH19)</f>
        <v>2882</v>
      </c>
      <c r="AJ19" s="2467">
        <f>SUM(AJ16:AJ18)</f>
        <v>683</v>
      </c>
      <c r="AK19" s="2468">
        <f>SUM(AK16:AK18)</f>
        <v>1934</v>
      </c>
      <c r="AL19" s="2469">
        <f>SUM(AJ19:AK19)</f>
        <v>2617</v>
      </c>
      <c r="AM19" s="2467">
        <f>SUM(AM16:AM18)</f>
        <v>608</v>
      </c>
      <c r="AN19" s="2468">
        <f>SUM(AN16:AN18)</f>
        <v>1935</v>
      </c>
      <c r="AO19" s="2469">
        <f>SUM(AM19:AN19)</f>
        <v>2543</v>
      </c>
    </row>
    <row r="20" spans="1:41" s="186" customFormat="1" x14ac:dyDescent="0.2">
      <c r="A20" s="195"/>
      <c r="B20" s="498"/>
      <c r="C20" s="498"/>
      <c r="D20" s="498"/>
      <c r="E20" s="498"/>
      <c r="F20" s="498"/>
      <c r="G20" s="498"/>
      <c r="H20" s="498"/>
      <c r="I20" s="498"/>
      <c r="J20" s="498"/>
      <c r="K20" s="498"/>
      <c r="L20" s="498"/>
      <c r="M20" s="498"/>
      <c r="N20" s="498"/>
      <c r="O20" s="498"/>
      <c r="P20" s="498"/>
      <c r="Q20" s="498"/>
      <c r="R20" s="498"/>
      <c r="S20" s="498"/>
      <c r="T20" s="498"/>
      <c r="U20" s="498"/>
      <c r="V20" s="498"/>
      <c r="W20" s="498"/>
      <c r="X20" s="498"/>
      <c r="Y20" s="498"/>
      <c r="Z20" s="498"/>
      <c r="AA20" s="263"/>
      <c r="AB20" s="263"/>
      <c r="AC20" s="263"/>
      <c r="AD20" s="779"/>
      <c r="AE20" s="779"/>
      <c r="AF20" s="263"/>
      <c r="AG20" s="779"/>
      <c r="AH20" s="779"/>
      <c r="AI20" s="263"/>
      <c r="AJ20" s="779"/>
      <c r="AK20" s="779"/>
      <c r="AL20" s="263"/>
      <c r="AM20" s="779"/>
      <c r="AN20" s="779"/>
      <c r="AO20" s="263"/>
    </row>
    <row r="21" spans="1:41" s="186" customFormat="1" x14ac:dyDescent="0.2">
      <c r="A21" s="5031" t="s">
        <v>411</v>
      </c>
      <c r="B21" s="499" t="s">
        <v>5</v>
      </c>
      <c r="C21" s="711"/>
      <c r="D21" s="500"/>
      <c r="E21" s="500"/>
      <c r="F21" s="500"/>
      <c r="G21" s="500"/>
      <c r="H21" s="500"/>
      <c r="I21" s="500"/>
      <c r="J21" s="500"/>
      <c r="K21" s="500"/>
      <c r="L21" s="500"/>
      <c r="M21" s="500"/>
      <c r="N21" s="500"/>
      <c r="O21" s="500"/>
      <c r="P21" s="500"/>
      <c r="Q21" s="500"/>
      <c r="R21" s="500"/>
      <c r="S21" s="500"/>
      <c r="T21" s="500"/>
      <c r="U21" s="500"/>
      <c r="V21" s="500"/>
      <c r="W21" s="500"/>
      <c r="X21" s="500"/>
      <c r="Y21" s="500"/>
      <c r="Z21" s="501"/>
      <c r="AA21" s="472">
        <v>26</v>
      </c>
      <c r="AB21" s="471">
        <v>33</v>
      </c>
      <c r="AC21" s="501">
        <f>SUM(AA21:AB21)</f>
        <v>59</v>
      </c>
      <c r="AD21" s="472"/>
      <c r="AE21" s="471">
        <f>SUM('Inscritos plan'!AF93)</f>
        <v>30</v>
      </c>
      <c r="AF21" s="501">
        <f>SUM(AD21:AE21)</f>
        <v>30</v>
      </c>
      <c r="AG21" s="472">
        <f>SUM('Inscritos plan'!AH93)</f>
        <v>26</v>
      </c>
      <c r="AH21" s="471">
        <f>SUM('Inscritos plan'!AI93)</f>
        <v>26</v>
      </c>
      <c r="AI21" s="501">
        <f>SUM(AG21:AH21)</f>
        <v>52</v>
      </c>
      <c r="AJ21" s="472">
        <f>SUM('Inscritos plan'!AK93)</f>
        <v>21</v>
      </c>
      <c r="AK21" s="471">
        <f>SUM('Inscritos plan'!AL93)</f>
        <v>28</v>
      </c>
      <c r="AL21" s="501">
        <f>SUM(AJ21:AK21)</f>
        <v>49</v>
      </c>
      <c r="AM21" s="472">
        <f>SUM('Inscritos plan'!AN93)</f>
        <v>22</v>
      </c>
      <c r="AN21" s="471">
        <f>SUM('Inscritos plan'!AO93)</f>
        <v>46</v>
      </c>
      <c r="AO21" s="501">
        <f>SUM(AM21:AN21)</f>
        <v>68</v>
      </c>
    </row>
    <row r="22" spans="1:41" s="186" customFormat="1" x14ac:dyDescent="0.2">
      <c r="A22" s="5032"/>
      <c r="B22" s="505" t="s">
        <v>6</v>
      </c>
      <c r="C22" s="712"/>
      <c r="D22" s="506"/>
      <c r="E22" s="506"/>
      <c r="F22" s="506"/>
      <c r="G22" s="506"/>
      <c r="H22" s="506"/>
      <c r="I22" s="506"/>
      <c r="J22" s="506"/>
      <c r="K22" s="506"/>
      <c r="L22" s="506"/>
      <c r="M22" s="506"/>
      <c r="N22" s="506"/>
      <c r="O22" s="506"/>
      <c r="P22" s="506"/>
      <c r="Q22" s="506"/>
      <c r="R22" s="506"/>
      <c r="S22" s="506"/>
      <c r="T22" s="506"/>
      <c r="U22" s="506"/>
      <c r="V22" s="506"/>
      <c r="W22" s="506"/>
      <c r="X22" s="506"/>
      <c r="Y22" s="506"/>
      <c r="Z22" s="507"/>
      <c r="AA22" s="475">
        <v>29</v>
      </c>
      <c r="AB22" s="474">
        <v>29</v>
      </c>
      <c r="AC22" s="507">
        <f>SUM(AA22:AB22)</f>
        <v>58</v>
      </c>
      <c r="AD22" s="475"/>
      <c r="AE22" s="474">
        <f>SUM('Inscritos plan'!AF94)</f>
        <v>33</v>
      </c>
      <c r="AF22" s="507">
        <f>SUM(AD22:AE22)</f>
        <v>33</v>
      </c>
      <c r="AG22" s="475">
        <f>SUM('Inscritos plan'!AH94)</f>
        <v>22</v>
      </c>
      <c r="AH22" s="474">
        <f>SUM('Inscritos plan'!AI94:AI95)</f>
        <v>47</v>
      </c>
      <c r="AI22" s="507">
        <f>SUM(AG22:AH22)</f>
        <v>69</v>
      </c>
      <c r="AJ22" s="475">
        <f>SUM('Inscritos plan'!AK94)</f>
        <v>0</v>
      </c>
      <c r="AK22" s="474">
        <f>SUM('Inscritos plan'!AL94:AL95)</f>
        <v>48</v>
      </c>
      <c r="AL22" s="507">
        <f>SUM(AJ22:AK22)</f>
        <v>48</v>
      </c>
      <c r="AM22" s="475">
        <f>SUM('Inscritos plan'!AN94)</f>
        <v>0</v>
      </c>
      <c r="AN22" s="474">
        <f>SUM('Inscritos plan'!AO94:AO95)</f>
        <v>55</v>
      </c>
      <c r="AO22" s="507">
        <f>SUM(AM22:AN22)</f>
        <v>55</v>
      </c>
    </row>
    <row r="23" spans="1:41" s="186" customFormat="1" x14ac:dyDescent="0.2">
      <c r="A23" s="5032"/>
      <c r="B23" s="275" t="s">
        <v>11</v>
      </c>
      <c r="C23" s="712"/>
      <c r="D23" s="506"/>
      <c r="E23" s="506"/>
      <c r="F23" s="506"/>
      <c r="G23" s="506"/>
      <c r="H23" s="506"/>
      <c r="I23" s="506"/>
      <c r="J23" s="506"/>
      <c r="K23" s="506"/>
      <c r="L23" s="506"/>
      <c r="M23" s="506"/>
      <c r="N23" s="506"/>
      <c r="O23" s="506"/>
      <c r="P23" s="506"/>
      <c r="Q23" s="506"/>
      <c r="R23" s="506"/>
      <c r="S23" s="506"/>
      <c r="T23" s="506"/>
      <c r="U23" s="506"/>
      <c r="V23" s="506"/>
      <c r="W23" s="506"/>
      <c r="X23" s="506"/>
      <c r="Y23" s="506"/>
      <c r="Z23" s="507"/>
      <c r="AA23" s="475">
        <v>30</v>
      </c>
      <c r="AB23" s="474">
        <v>26</v>
      </c>
      <c r="AC23" s="507">
        <f>SUM(AA23:AB23)</f>
        <v>56</v>
      </c>
      <c r="AD23" s="475"/>
      <c r="AE23" s="474">
        <f>SUM('Inscritos plan'!AF97)</f>
        <v>26</v>
      </c>
      <c r="AF23" s="507">
        <f>SUM(AD23:AE23)</f>
        <v>26</v>
      </c>
      <c r="AG23" s="475">
        <f>SUM('Inscritos plan'!AH97)</f>
        <v>19</v>
      </c>
      <c r="AH23" s="474">
        <f>SUM('Inscritos plan'!AI97)</f>
        <v>36</v>
      </c>
      <c r="AI23" s="507">
        <f>SUM(AG23:AH23)</f>
        <v>55</v>
      </c>
      <c r="AJ23" s="475">
        <f>SUM('Inscritos plan'!AK97)</f>
        <v>30</v>
      </c>
      <c r="AK23" s="474">
        <f>SUM('Inscritos plan'!AL97)</f>
        <v>17</v>
      </c>
      <c r="AL23" s="507">
        <f>SUM(AJ23:AK23)</f>
        <v>47</v>
      </c>
      <c r="AM23" s="475">
        <f>SUM('Inscritos plan'!AN97)</f>
        <v>37</v>
      </c>
      <c r="AN23" s="474">
        <f>SUM('Inscritos plan'!AO97)</f>
        <v>41</v>
      </c>
      <c r="AO23" s="507">
        <f>SUM(AM23:AN23)</f>
        <v>78</v>
      </c>
    </row>
    <row r="24" spans="1:41" s="188" customFormat="1" x14ac:dyDescent="0.2">
      <c r="A24" s="5113"/>
      <c r="B24" s="2397" t="s">
        <v>12</v>
      </c>
      <c r="C24" s="2476"/>
      <c r="D24" s="2477"/>
      <c r="E24" s="2477"/>
      <c r="F24" s="2477"/>
      <c r="G24" s="2477"/>
      <c r="H24" s="2477"/>
      <c r="I24" s="2477"/>
      <c r="J24" s="2477"/>
      <c r="K24" s="2477"/>
      <c r="L24" s="2477"/>
      <c r="M24" s="2477"/>
      <c r="N24" s="2477"/>
      <c r="O24" s="2477"/>
      <c r="P24" s="2477"/>
      <c r="Q24" s="2477"/>
      <c r="R24" s="2477"/>
      <c r="S24" s="2477"/>
      <c r="T24" s="2477"/>
      <c r="U24" s="2477"/>
      <c r="V24" s="2477"/>
      <c r="W24" s="2477"/>
      <c r="X24" s="2477"/>
      <c r="Y24" s="2477"/>
      <c r="Z24" s="2478"/>
      <c r="AA24" s="2479">
        <f>SUM(AA21:AA23)</f>
        <v>85</v>
      </c>
      <c r="AB24" s="2480">
        <f>SUM(AB21:AB23)</f>
        <v>88</v>
      </c>
      <c r="AC24" s="2481">
        <f>SUM(AA24:AB24)</f>
        <v>173</v>
      </c>
      <c r="AD24" s="2479"/>
      <c r="AE24" s="2480">
        <f>SUM(AE21:AE23)</f>
        <v>89</v>
      </c>
      <c r="AF24" s="2481">
        <f>SUM(AD24:AE24)</f>
        <v>89</v>
      </c>
      <c r="AG24" s="2479">
        <f>SUM(AG21:AG23)</f>
        <v>67</v>
      </c>
      <c r="AH24" s="2480">
        <f>SUM(AH21:AH23)</f>
        <v>109</v>
      </c>
      <c r="AI24" s="2481">
        <f>SUM(AG24:AH24)</f>
        <v>176</v>
      </c>
      <c r="AJ24" s="2479">
        <f>SUM(AJ21:AJ23)</f>
        <v>51</v>
      </c>
      <c r="AK24" s="2480">
        <f>SUM(AK21:AK23)</f>
        <v>93</v>
      </c>
      <c r="AL24" s="2481">
        <f>SUM(AJ24:AK24)</f>
        <v>144</v>
      </c>
      <c r="AM24" s="2479">
        <f>SUM(AM21:AM23)</f>
        <v>59</v>
      </c>
      <c r="AN24" s="2480">
        <f>SUM(AN21:AN23)</f>
        <v>142</v>
      </c>
      <c r="AO24" s="2481">
        <f>SUM(AM24:AN24)</f>
        <v>201</v>
      </c>
    </row>
    <row r="25" spans="1:41" s="188" customFormat="1" ht="15.75" x14ac:dyDescent="0.25">
      <c r="A25" s="1923"/>
    </row>
    <row r="26" spans="1:41" s="188" customFormat="1" x14ac:dyDescent="0.2">
      <c r="A26" s="5043" t="s">
        <v>163</v>
      </c>
      <c r="B26" s="499" t="s">
        <v>6</v>
      </c>
      <c r="C26" s="472">
        <v>631</v>
      </c>
      <c r="D26" s="471">
        <v>675</v>
      </c>
      <c r="E26" s="500">
        <v>1306</v>
      </c>
      <c r="F26" s="472">
        <v>839</v>
      </c>
      <c r="G26" s="471">
        <v>734</v>
      </c>
      <c r="H26" s="500">
        <v>1573</v>
      </c>
      <c r="I26" s="472">
        <v>768</v>
      </c>
      <c r="J26" s="471">
        <v>684</v>
      </c>
      <c r="K26" s="501">
        <v>1452</v>
      </c>
      <c r="L26" s="471">
        <v>631</v>
      </c>
      <c r="M26" s="471">
        <v>647</v>
      </c>
      <c r="N26" s="501">
        <v>1278</v>
      </c>
      <c r="O26" s="471">
        <v>702</v>
      </c>
      <c r="P26" s="471">
        <v>653</v>
      </c>
      <c r="Q26" s="501">
        <v>1355</v>
      </c>
      <c r="R26" s="471">
        <v>695</v>
      </c>
      <c r="S26" s="471">
        <v>655</v>
      </c>
      <c r="T26" s="501">
        <v>1350</v>
      </c>
      <c r="U26" s="502">
        <v>643</v>
      </c>
      <c r="V26" s="503">
        <v>603</v>
      </c>
      <c r="W26" s="504">
        <v>1246</v>
      </c>
      <c r="X26" s="502">
        <v>654</v>
      </c>
      <c r="Y26" s="503">
        <v>652</v>
      </c>
      <c r="Z26" s="501">
        <f>SUM(X26:Y26)</f>
        <v>1306</v>
      </c>
      <c r="AA26" s="472">
        <v>650</v>
      </c>
      <c r="AB26" s="471">
        <v>612</v>
      </c>
      <c r="AC26" s="501">
        <f>SUM(AA26:AB26)</f>
        <v>1262</v>
      </c>
      <c r="AD26" s="472">
        <f>SUM('Inscritos plan'!AE56:AE61)</f>
        <v>646</v>
      </c>
      <c r="AE26" s="471">
        <f>SUM('Inscritos plan'!AF56:AF61)</f>
        <v>659</v>
      </c>
      <c r="AF26" s="501">
        <f>SUM(AD26:AE26)</f>
        <v>1305</v>
      </c>
      <c r="AG26" s="472">
        <f>SUM('Inscritos plan'!AH56:AH61)</f>
        <v>630</v>
      </c>
      <c r="AH26" s="471">
        <f>SUM('Inscritos plan'!AI56:AI61)</f>
        <v>649</v>
      </c>
      <c r="AI26" s="501">
        <f>SUM(AG26:AH26)</f>
        <v>1279</v>
      </c>
      <c r="AJ26" s="472">
        <f>SUM('Inscritos plan'!AK56:AK61)</f>
        <v>708</v>
      </c>
      <c r="AK26" s="471">
        <f>SUM('Inscritos plan'!AL56:AL61)</f>
        <v>649</v>
      </c>
      <c r="AL26" s="501">
        <f>SUM(AJ26:AK26)</f>
        <v>1357</v>
      </c>
      <c r="AM26" s="472">
        <f>SUM('Inscritos plan'!AN56:AN61)</f>
        <v>671</v>
      </c>
      <c r="AN26" s="471">
        <f>SUM('Inscritos plan'!AO56:AO61)</f>
        <v>649</v>
      </c>
      <c r="AO26" s="501">
        <f>SUM(AM26:AN26)</f>
        <v>1320</v>
      </c>
    </row>
    <row r="27" spans="1:41" s="188" customFormat="1" x14ac:dyDescent="0.2">
      <c r="A27" s="5044"/>
      <c r="B27" s="505" t="s">
        <v>11</v>
      </c>
      <c r="C27" s="475">
        <v>769</v>
      </c>
      <c r="D27" s="474">
        <v>776</v>
      </c>
      <c r="E27" s="506">
        <v>1545</v>
      </c>
      <c r="F27" s="475">
        <v>975</v>
      </c>
      <c r="G27" s="474">
        <v>943</v>
      </c>
      <c r="H27" s="506">
        <v>1918</v>
      </c>
      <c r="I27" s="475">
        <v>960</v>
      </c>
      <c r="J27" s="474">
        <v>912</v>
      </c>
      <c r="K27" s="507">
        <v>1872</v>
      </c>
      <c r="L27" s="474">
        <v>915</v>
      </c>
      <c r="M27" s="474">
        <v>880</v>
      </c>
      <c r="N27" s="507">
        <v>1795</v>
      </c>
      <c r="O27" s="474">
        <v>836</v>
      </c>
      <c r="P27" s="474">
        <v>747</v>
      </c>
      <c r="Q27" s="507">
        <v>1583</v>
      </c>
      <c r="R27" s="474">
        <v>859</v>
      </c>
      <c r="S27" s="474">
        <v>783</v>
      </c>
      <c r="T27" s="507">
        <v>1642</v>
      </c>
      <c r="U27" s="508">
        <v>790</v>
      </c>
      <c r="V27" s="509">
        <v>749</v>
      </c>
      <c r="W27" s="510">
        <v>1539</v>
      </c>
      <c r="X27" s="508">
        <v>813</v>
      </c>
      <c r="Y27" s="509">
        <v>823</v>
      </c>
      <c r="Z27" s="507">
        <f>SUM(X27:Y27)</f>
        <v>1636</v>
      </c>
      <c r="AA27" s="475">
        <v>815</v>
      </c>
      <c r="AB27" s="474">
        <v>764</v>
      </c>
      <c r="AC27" s="507">
        <f>SUM(AA27:AB27)</f>
        <v>1579</v>
      </c>
      <c r="AD27" s="475">
        <f>SUM('Inscritos plan'!AE63:AE70)</f>
        <v>795</v>
      </c>
      <c r="AE27" s="474">
        <f>SUM('Inscritos plan'!AF63:AF70)</f>
        <v>781</v>
      </c>
      <c r="AF27" s="507">
        <f>SUM(AD27:AE27)</f>
        <v>1576</v>
      </c>
      <c r="AG27" s="475">
        <f>SUM('Inscritos plan'!AH63:AH70)</f>
        <v>846</v>
      </c>
      <c r="AH27" s="474">
        <f>SUM('Inscritos plan'!AI63:AI70)</f>
        <v>814</v>
      </c>
      <c r="AI27" s="507">
        <f>SUM(AG27:AH27)</f>
        <v>1660</v>
      </c>
      <c r="AJ27" s="475">
        <f>SUM('Inscritos plan'!AK63:AK70)</f>
        <v>864</v>
      </c>
      <c r="AK27" s="474">
        <f>SUM('Inscritos plan'!AL63:AL70)</f>
        <v>810</v>
      </c>
      <c r="AL27" s="507">
        <f>SUM(AJ27:AK27)</f>
        <v>1674</v>
      </c>
      <c r="AM27" s="475">
        <f>SUM('Inscritos plan'!AN63:AN70)</f>
        <v>851</v>
      </c>
      <c r="AN27" s="474">
        <f>SUM('Inscritos plan'!AO63:AO70)</f>
        <v>833</v>
      </c>
      <c r="AO27" s="507">
        <f>SUM(AM27:AN27)</f>
        <v>1684</v>
      </c>
    </row>
    <row r="28" spans="1:41" s="188" customFormat="1" x14ac:dyDescent="0.2">
      <c r="A28" s="5044"/>
      <c r="B28" s="505" t="s">
        <v>7</v>
      </c>
      <c r="C28" s="475">
        <v>350</v>
      </c>
      <c r="D28" s="474">
        <v>357</v>
      </c>
      <c r="E28" s="506">
        <v>707</v>
      </c>
      <c r="F28" s="475">
        <v>366</v>
      </c>
      <c r="G28" s="474">
        <v>384</v>
      </c>
      <c r="H28" s="506">
        <v>750</v>
      </c>
      <c r="I28" s="475">
        <v>373</v>
      </c>
      <c r="J28" s="474">
        <v>367</v>
      </c>
      <c r="K28" s="507">
        <v>740</v>
      </c>
      <c r="L28" s="474">
        <v>334</v>
      </c>
      <c r="M28" s="474">
        <v>332</v>
      </c>
      <c r="N28" s="507">
        <v>666</v>
      </c>
      <c r="O28" s="474">
        <v>350</v>
      </c>
      <c r="P28" s="474">
        <v>345</v>
      </c>
      <c r="Q28" s="507">
        <v>695</v>
      </c>
      <c r="R28" s="474">
        <v>356</v>
      </c>
      <c r="S28" s="474">
        <v>347</v>
      </c>
      <c r="T28" s="507">
        <v>703</v>
      </c>
      <c r="U28" s="508">
        <v>306</v>
      </c>
      <c r="V28" s="509">
        <v>308</v>
      </c>
      <c r="W28" s="510">
        <v>614</v>
      </c>
      <c r="X28" s="508">
        <v>313</v>
      </c>
      <c r="Y28" s="509">
        <v>308</v>
      </c>
      <c r="Z28" s="507">
        <f>SUM(X28:Y28)</f>
        <v>621</v>
      </c>
      <c r="AA28" s="475">
        <v>329</v>
      </c>
      <c r="AB28" s="474">
        <v>312</v>
      </c>
      <c r="AC28" s="507">
        <f>SUM(AA28:AB28)</f>
        <v>641</v>
      </c>
      <c r="AD28" s="475">
        <f>SUM('Inscritos plan'!AE72:AE75)</f>
        <v>313</v>
      </c>
      <c r="AE28" s="474">
        <f>SUM('Inscritos plan'!AF72:AF75)</f>
        <v>318</v>
      </c>
      <c r="AF28" s="507">
        <f>SUM(AD28:AE28)</f>
        <v>631</v>
      </c>
      <c r="AG28" s="475">
        <f>SUM('Inscritos plan'!AH72:AH75)</f>
        <v>316</v>
      </c>
      <c r="AH28" s="474">
        <f>SUM('Inscritos plan'!AI72:AI75)</f>
        <v>319</v>
      </c>
      <c r="AI28" s="507">
        <f>SUM(AG28:AH28)</f>
        <v>635</v>
      </c>
      <c r="AJ28" s="475">
        <f>SUM('Inscritos plan'!AK72:AK75)</f>
        <v>320</v>
      </c>
      <c r="AK28" s="474">
        <f>SUM('Inscritos plan'!AL72:AL75)</f>
        <v>305</v>
      </c>
      <c r="AL28" s="507">
        <f>SUM(AJ28:AK28)</f>
        <v>625</v>
      </c>
      <c r="AM28" s="475">
        <f>SUM('Inscritos plan'!AN72:AN75)</f>
        <v>330</v>
      </c>
      <c r="AN28" s="474">
        <f>SUM('Inscritos plan'!AO72:AO75)</f>
        <v>323</v>
      </c>
      <c r="AO28" s="507">
        <f>SUM(AM28:AN28)</f>
        <v>653</v>
      </c>
    </row>
    <row r="29" spans="1:41" s="188" customFormat="1" x14ac:dyDescent="0.2">
      <c r="A29" s="5110"/>
      <c r="B29" s="2482" t="s">
        <v>12</v>
      </c>
      <c r="C29" s="2473">
        <v>1750</v>
      </c>
      <c r="D29" s="2474">
        <v>1808</v>
      </c>
      <c r="E29" s="2474">
        <v>3558</v>
      </c>
      <c r="F29" s="2473">
        <v>2180</v>
      </c>
      <c r="G29" s="2474">
        <v>2061</v>
      </c>
      <c r="H29" s="2474">
        <v>4241</v>
      </c>
      <c r="I29" s="2473">
        <v>2101</v>
      </c>
      <c r="J29" s="2474">
        <v>1963</v>
      </c>
      <c r="K29" s="2475">
        <v>4064</v>
      </c>
      <c r="L29" s="2474">
        <v>1880</v>
      </c>
      <c r="M29" s="2474">
        <v>1859</v>
      </c>
      <c r="N29" s="2475">
        <v>3739</v>
      </c>
      <c r="O29" s="2474">
        <v>1888</v>
      </c>
      <c r="P29" s="2474">
        <v>1745</v>
      </c>
      <c r="Q29" s="2475">
        <v>3633</v>
      </c>
      <c r="R29" s="2474">
        <v>1910</v>
      </c>
      <c r="S29" s="2474">
        <v>1785</v>
      </c>
      <c r="T29" s="2475">
        <v>3695</v>
      </c>
      <c r="U29" s="2483">
        <v>1739</v>
      </c>
      <c r="V29" s="2484">
        <v>1660</v>
      </c>
      <c r="W29" s="2485">
        <v>3399</v>
      </c>
      <c r="X29" s="2483">
        <f>SUM(X26:X28)</f>
        <v>1780</v>
      </c>
      <c r="Y29" s="2484">
        <v>1783</v>
      </c>
      <c r="Z29" s="2475">
        <f>SUM(X29:Y29)</f>
        <v>3563</v>
      </c>
      <c r="AA29" s="2473">
        <f>SUM(AA26:AA28)</f>
        <v>1794</v>
      </c>
      <c r="AB29" s="2474">
        <f>SUM(AB26:AB28)</f>
        <v>1688</v>
      </c>
      <c r="AC29" s="2475">
        <f>SUM(AA29:AB29)</f>
        <v>3482</v>
      </c>
      <c r="AD29" s="2473">
        <f>SUM(AD26:AD28)</f>
        <v>1754</v>
      </c>
      <c r="AE29" s="2474">
        <f>SUM(AE26:AE28)</f>
        <v>1758</v>
      </c>
      <c r="AF29" s="2475">
        <f>SUM(AD29:AE29)</f>
        <v>3512</v>
      </c>
      <c r="AG29" s="2473">
        <f>SUM(AG26:AG28)</f>
        <v>1792</v>
      </c>
      <c r="AH29" s="2474">
        <f>SUM(AH26:AH28)</f>
        <v>1782</v>
      </c>
      <c r="AI29" s="2475">
        <f>SUM(AG29:AH29)</f>
        <v>3574</v>
      </c>
      <c r="AJ29" s="2473">
        <f>SUM(AJ26:AJ28)</f>
        <v>1892</v>
      </c>
      <c r="AK29" s="2474">
        <f>SUM(AK26:AK28)</f>
        <v>1764</v>
      </c>
      <c r="AL29" s="2475">
        <f>SUM(AJ29:AK29)</f>
        <v>3656</v>
      </c>
      <c r="AM29" s="2473">
        <f>SUM(AM26:AM28)</f>
        <v>1852</v>
      </c>
      <c r="AN29" s="2474">
        <f>SUM(AN26:AN28)</f>
        <v>1805</v>
      </c>
      <c r="AO29" s="2475">
        <f>SUM(AM29:AN29)</f>
        <v>3657</v>
      </c>
    </row>
    <row r="30" spans="1:41" s="186" customFormat="1" x14ac:dyDescent="0.2">
      <c r="A30" s="498"/>
      <c r="B30" s="498"/>
      <c r="C30" s="498"/>
      <c r="D30" s="498"/>
      <c r="E30" s="498"/>
      <c r="F30" s="498"/>
      <c r="G30" s="498"/>
      <c r="H30" s="498"/>
      <c r="I30" s="498"/>
      <c r="J30" s="498"/>
      <c r="K30" s="498"/>
      <c r="L30" s="498"/>
      <c r="M30" s="498"/>
      <c r="N30" s="498"/>
      <c r="O30" s="498"/>
      <c r="P30" s="498"/>
      <c r="Q30" s="498"/>
      <c r="R30" s="498"/>
      <c r="S30" s="498"/>
      <c r="T30" s="498"/>
      <c r="U30" s="498"/>
      <c r="V30" s="498"/>
      <c r="W30" s="498"/>
      <c r="X30" s="498"/>
      <c r="Y30" s="498"/>
      <c r="Z30" s="498"/>
      <c r="AA30" s="263"/>
      <c r="AB30" s="263"/>
      <c r="AC30" s="263"/>
      <c r="AD30" s="779"/>
      <c r="AE30" s="779"/>
      <c r="AF30" s="263"/>
      <c r="AG30" s="779"/>
      <c r="AH30" s="779"/>
      <c r="AI30" s="263"/>
      <c r="AJ30" s="779"/>
      <c r="AK30" s="779"/>
      <c r="AL30" s="263"/>
      <c r="AM30" s="779"/>
      <c r="AN30" s="779"/>
      <c r="AO30" s="263"/>
    </row>
    <row r="31" spans="1:41" s="186" customFormat="1" x14ac:dyDescent="0.2">
      <c r="A31" s="5059" t="s">
        <v>60</v>
      </c>
      <c r="B31" s="499" t="s">
        <v>5</v>
      </c>
      <c r="C31" s="472">
        <v>692</v>
      </c>
      <c r="D31" s="471">
        <v>1068</v>
      </c>
      <c r="E31" s="500">
        <v>1760</v>
      </c>
      <c r="F31" s="472">
        <v>961</v>
      </c>
      <c r="G31" s="471">
        <v>1329</v>
      </c>
      <c r="H31" s="500">
        <v>2290</v>
      </c>
      <c r="I31" s="472">
        <v>953</v>
      </c>
      <c r="J31" s="471">
        <v>1217</v>
      </c>
      <c r="K31" s="501">
        <v>2170</v>
      </c>
      <c r="L31" s="471">
        <v>1078</v>
      </c>
      <c r="M31" s="471">
        <v>1208</v>
      </c>
      <c r="N31" s="501">
        <v>2286</v>
      </c>
      <c r="O31" s="471">
        <v>922</v>
      </c>
      <c r="P31" s="471">
        <v>1174</v>
      </c>
      <c r="Q31" s="501">
        <v>2096</v>
      </c>
      <c r="R31" s="471">
        <v>933</v>
      </c>
      <c r="S31" s="471">
        <v>1407</v>
      </c>
      <c r="T31" s="501">
        <v>2340</v>
      </c>
      <c r="U31" s="502">
        <v>919</v>
      </c>
      <c r="V31" s="503">
        <v>1194</v>
      </c>
      <c r="W31" s="504">
        <v>2113</v>
      </c>
      <c r="X31" s="502">
        <f>X6+X16</f>
        <v>969</v>
      </c>
      <c r="Y31" s="503">
        <v>1557</v>
      </c>
      <c r="Z31" s="501">
        <f t="shared" ref="Z31:Z37" si="0">SUM(X31:Y31)</f>
        <v>2526</v>
      </c>
      <c r="AA31" s="472">
        <f>SUM(AA6,AA16,AA21)</f>
        <v>1120</v>
      </c>
      <c r="AB31" s="471">
        <f>SUM(AB6,AB16,AB21)</f>
        <v>1192</v>
      </c>
      <c r="AC31" s="473">
        <f t="shared" ref="AC31:AC36" si="1">SUM(AA31:AB31)</f>
        <v>2312</v>
      </c>
      <c r="AD31" s="472">
        <f>SUM(AD6,AD16,AD21)</f>
        <v>637</v>
      </c>
      <c r="AE31" s="471">
        <f>SUM(AE6,AE16,AE21)</f>
        <v>1191</v>
      </c>
      <c r="AF31" s="501">
        <f t="shared" ref="AF31:AF36" si="2">SUM(AD31:AE31)</f>
        <v>1828</v>
      </c>
      <c r="AG31" s="472">
        <f>SUM(AG6,AG16,AG21)</f>
        <v>799</v>
      </c>
      <c r="AH31" s="471">
        <f>SUM(AH6,AH16,AH21)</f>
        <v>1311</v>
      </c>
      <c r="AI31" s="501">
        <f t="shared" ref="AI31:AI36" si="3">SUM(AG31:AH31)</f>
        <v>2110</v>
      </c>
      <c r="AJ31" s="472">
        <f>SUM(AJ6,AJ16,AJ21)</f>
        <v>638</v>
      </c>
      <c r="AK31" s="471">
        <f>SUM(AK6,AK16,AK21)</f>
        <v>1284</v>
      </c>
      <c r="AL31" s="501">
        <f t="shared" ref="AL31:AL36" si="4">SUM(AJ31:AK31)</f>
        <v>1922</v>
      </c>
      <c r="AM31" s="472">
        <f>SUM(AM6,AM16,AM21)</f>
        <v>548</v>
      </c>
      <c r="AN31" s="471">
        <f>SUM(AN6,AN16,AN21)</f>
        <v>1282</v>
      </c>
      <c r="AO31" s="501">
        <f t="shared" ref="AO31:AO36" si="5">SUM(AM31:AN31)</f>
        <v>1830</v>
      </c>
    </row>
    <row r="32" spans="1:41" s="186" customFormat="1" x14ac:dyDescent="0.2">
      <c r="A32" s="5060"/>
      <c r="B32" s="505" t="s">
        <v>6</v>
      </c>
      <c r="C32" s="475">
        <v>1257</v>
      </c>
      <c r="D32" s="474">
        <v>1909</v>
      </c>
      <c r="E32" s="506">
        <v>3166</v>
      </c>
      <c r="F32" s="475">
        <v>1441</v>
      </c>
      <c r="G32" s="474">
        <v>2156</v>
      </c>
      <c r="H32" s="506">
        <v>3597</v>
      </c>
      <c r="I32" s="475">
        <v>1375</v>
      </c>
      <c r="J32" s="474">
        <v>2132</v>
      </c>
      <c r="K32" s="507">
        <v>3507</v>
      </c>
      <c r="L32" s="474">
        <v>1197</v>
      </c>
      <c r="M32" s="474">
        <v>2072</v>
      </c>
      <c r="N32" s="507">
        <v>3269</v>
      </c>
      <c r="O32" s="474">
        <v>1437</v>
      </c>
      <c r="P32" s="474">
        <v>2152</v>
      </c>
      <c r="Q32" s="507">
        <v>3589</v>
      </c>
      <c r="R32" s="474">
        <v>1550</v>
      </c>
      <c r="S32" s="474">
        <v>2257</v>
      </c>
      <c r="T32" s="507">
        <v>3807</v>
      </c>
      <c r="U32" s="508">
        <v>1374</v>
      </c>
      <c r="V32" s="509">
        <v>2156</v>
      </c>
      <c r="W32" s="510">
        <v>3530</v>
      </c>
      <c r="X32" s="508">
        <f>X7+X11+X17+X26</f>
        <v>1356</v>
      </c>
      <c r="Y32" s="509">
        <v>2186</v>
      </c>
      <c r="Z32" s="507">
        <f t="shared" si="0"/>
        <v>3542</v>
      </c>
      <c r="AA32" s="475">
        <f>SUM(AA7,AA11,AA17,AA26,AA22)</f>
        <v>1379</v>
      </c>
      <c r="AB32" s="474">
        <f>SUM(AB7,AB11,AB17,AB26,AB22)</f>
        <v>2151</v>
      </c>
      <c r="AC32" s="476">
        <f t="shared" si="1"/>
        <v>3530</v>
      </c>
      <c r="AD32" s="475">
        <f>SUM(AD7,AD11,AD17,AD26,AD22)</f>
        <v>1422</v>
      </c>
      <c r="AE32" s="474">
        <f>SUM(AE7,AE11,AE17,AE26,AE22)</f>
        <v>2299</v>
      </c>
      <c r="AF32" s="507">
        <f t="shared" si="2"/>
        <v>3721</v>
      </c>
      <c r="AG32" s="475">
        <f>SUM(AG7,AG11,AG17,AG26,AG22)</f>
        <v>1417</v>
      </c>
      <c r="AH32" s="474">
        <f>SUM(AH7,AH11,AH17,AH26,AH22)</f>
        <v>2321</v>
      </c>
      <c r="AI32" s="507">
        <f t="shared" si="3"/>
        <v>3738</v>
      </c>
      <c r="AJ32" s="475">
        <f>SUM(AJ7,AJ11,AJ17,AJ26,AJ22)</f>
        <v>1569</v>
      </c>
      <c r="AK32" s="474">
        <f>SUM(AK7,AK11,AK17,AK26,AK22)</f>
        <v>2321</v>
      </c>
      <c r="AL32" s="507">
        <f t="shared" si="4"/>
        <v>3890</v>
      </c>
      <c r="AM32" s="475">
        <f>SUM(AM7,AM11,AM17,AM26,AM22)</f>
        <v>1502</v>
      </c>
      <c r="AN32" s="474">
        <f>SUM(AN7,AN11,AN17,AN26,AN22)</f>
        <v>2400</v>
      </c>
      <c r="AO32" s="507">
        <f t="shared" si="5"/>
        <v>3902</v>
      </c>
    </row>
    <row r="33" spans="1:41" s="186" customFormat="1" x14ac:dyDescent="0.2">
      <c r="A33" s="5060"/>
      <c r="B33" s="505" t="s">
        <v>11</v>
      </c>
      <c r="C33" s="475">
        <v>927</v>
      </c>
      <c r="D33" s="474">
        <v>1072</v>
      </c>
      <c r="E33" s="506">
        <v>1999</v>
      </c>
      <c r="F33" s="475">
        <v>1142</v>
      </c>
      <c r="G33" s="474">
        <v>1297</v>
      </c>
      <c r="H33" s="506">
        <v>2439</v>
      </c>
      <c r="I33" s="475">
        <v>1138</v>
      </c>
      <c r="J33" s="474">
        <v>1239</v>
      </c>
      <c r="K33" s="507">
        <v>2377</v>
      </c>
      <c r="L33" s="474">
        <v>1157</v>
      </c>
      <c r="M33" s="474">
        <v>1246</v>
      </c>
      <c r="N33" s="507">
        <v>2403</v>
      </c>
      <c r="O33" s="474">
        <v>1037</v>
      </c>
      <c r="P33" s="474">
        <v>1139</v>
      </c>
      <c r="Q33" s="507">
        <v>2176</v>
      </c>
      <c r="R33" s="474">
        <v>1114</v>
      </c>
      <c r="S33" s="474">
        <v>1184</v>
      </c>
      <c r="T33" s="507">
        <v>2298</v>
      </c>
      <c r="U33" s="508">
        <v>1136</v>
      </c>
      <c r="V33" s="509">
        <v>1156</v>
      </c>
      <c r="W33" s="510">
        <v>2292</v>
      </c>
      <c r="X33" s="508">
        <f>X18+X27</f>
        <v>1186</v>
      </c>
      <c r="Y33" s="509">
        <v>1253</v>
      </c>
      <c r="Z33" s="507">
        <f t="shared" si="0"/>
        <v>2439</v>
      </c>
      <c r="AA33" s="475">
        <f>SUM(AA18,AA27,AA23)</f>
        <v>1236</v>
      </c>
      <c r="AB33" s="474">
        <f>SUM(AB18,AB27,AB23)</f>
        <v>1205</v>
      </c>
      <c r="AC33" s="476">
        <f t="shared" si="1"/>
        <v>2441</v>
      </c>
      <c r="AD33" s="475">
        <f>SUM(AD18,AD27,AD23)</f>
        <v>1194</v>
      </c>
      <c r="AE33" s="474">
        <f>SUM(AE18,AE27,AE23)</f>
        <v>1212</v>
      </c>
      <c r="AF33" s="507">
        <f t="shared" si="2"/>
        <v>2406</v>
      </c>
      <c r="AG33" s="475">
        <f>SUM(AG18,AG27,AG23)</f>
        <v>1247</v>
      </c>
      <c r="AH33" s="474">
        <f>SUM(AH18,AH27,AH23)</f>
        <v>1274</v>
      </c>
      <c r="AI33" s="507">
        <f t="shared" si="3"/>
        <v>2521</v>
      </c>
      <c r="AJ33" s="475">
        <f>SUM(AJ18,AJ27,AJ23)</f>
        <v>1244</v>
      </c>
      <c r="AK33" s="474">
        <f>SUM(AK18,AK27,AK23)</f>
        <v>1212</v>
      </c>
      <c r="AL33" s="507">
        <f t="shared" si="4"/>
        <v>2456</v>
      </c>
      <c r="AM33" s="475">
        <f>SUM(AM18,AM27,AM23)</f>
        <v>1186</v>
      </c>
      <c r="AN33" s="474">
        <f>SUM(AN18,AN27,AN23)</f>
        <v>1251</v>
      </c>
      <c r="AO33" s="507">
        <f t="shared" si="5"/>
        <v>2437</v>
      </c>
    </row>
    <row r="34" spans="1:41" s="186" customFormat="1" x14ac:dyDescent="0.2">
      <c r="A34" s="5060"/>
      <c r="B34" s="505" t="s">
        <v>7</v>
      </c>
      <c r="C34" s="475">
        <v>679</v>
      </c>
      <c r="D34" s="474">
        <v>713</v>
      </c>
      <c r="E34" s="506">
        <v>1392</v>
      </c>
      <c r="F34" s="475">
        <v>678</v>
      </c>
      <c r="G34" s="474">
        <v>708</v>
      </c>
      <c r="H34" s="506">
        <v>1386</v>
      </c>
      <c r="I34" s="475">
        <v>671</v>
      </c>
      <c r="J34" s="474">
        <v>636</v>
      </c>
      <c r="K34" s="507">
        <v>1307</v>
      </c>
      <c r="L34" s="474">
        <v>587</v>
      </c>
      <c r="M34" s="474">
        <v>579</v>
      </c>
      <c r="N34" s="507">
        <v>1166</v>
      </c>
      <c r="O34" s="474">
        <v>617</v>
      </c>
      <c r="P34" s="474">
        <v>591</v>
      </c>
      <c r="Q34" s="507">
        <v>1208</v>
      </c>
      <c r="R34" s="474">
        <v>630</v>
      </c>
      <c r="S34" s="474">
        <v>621</v>
      </c>
      <c r="T34" s="507">
        <v>1251</v>
      </c>
      <c r="U34" s="508">
        <v>575</v>
      </c>
      <c r="V34" s="509">
        <v>564</v>
      </c>
      <c r="W34" s="510">
        <v>1139</v>
      </c>
      <c r="X34" s="508">
        <f>X8+X28</f>
        <v>580</v>
      </c>
      <c r="Y34" s="509">
        <v>574</v>
      </c>
      <c r="Z34" s="507">
        <f t="shared" si="0"/>
        <v>1154</v>
      </c>
      <c r="AA34" s="475">
        <f>SUM(AA8,AA28)</f>
        <v>601</v>
      </c>
      <c r="AB34" s="474">
        <f>SUM(AB8,AB28)</f>
        <v>573</v>
      </c>
      <c r="AC34" s="476">
        <f t="shared" si="1"/>
        <v>1174</v>
      </c>
      <c r="AD34" s="475">
        <f>SUM(AD8,AD28)</f>
        <v>586</v>
      </c>
      <c r="AE34" s="474">
        <f>SUM(AE8,AE28)</f>
        <v>592</v>
      </c>
      <c r="AF34" s="507">
        <f t="shared" si="2"/>
        <v>1178</v>
      </c>
      <c r="AG34" s="475">
        <f>SUM(AG8,AG28)</f>
        <v>616</v>
      </c>
      <c r="AH34" s="474">
        <f>SUM(AH8,AH28)</f>
        <v>606</v>
      </c>
      <c r="AI34" s="507">
        <f t="shared" si="3"/>
        <v>1222</v>
      </c>
      <c r="AJ34" s="475">
        <f>SUM(AJ8,AJ28)</f>
        <v>624</v>
      </c>
      <c r="AK34" s="474">
        <f>SUM(AK8,AK28)</f>
        <v>597</v>
      </c>
      <c r="AL34" s="507">
        <f t="shared" si="4"/>
        <v>1221</v>
      </c>
      <c r="AM34" s="475">
        <f>SUM(AM8,AM28)</f>
        <v>629</v>
      </c>
      <c r="AN34" s="474">
        <f>SUM(AN8,AN28)</f>
        <v>669</v>
      </c>
      <c r="AO34" s="507">
        <f t="shared" si="5"/>
        <v>1298</v>
      </c>
    </row>
    <row r="35" spans="1:41" s="186" customFormat="1" x14ac:dyDescent="0.2">
      <c r="A35" s="5060"/>
      <c r="B35" s="505" t="s">
        <v>9</v>
      </c>
      <c r="C35" s="475"/>
      <c r="D35" s="474"/>
      <c r="E35" s="506"/>
      <c r="F35" s="475"/>
      <c r="G35" s="474"/>
      <c r="H35" s="506"/>
      <c r="I35" s="475"/>
      <c r="J35" s="474">
        <v>34</v>
      </c>
      <c r="K35" s="507">
        <v>34</v>
      </c>
      <c r="L35" s="474"/>
      <c r="M35" s="474">
        <v>30</v>
      </c>
      <c r="N35" s="507">
        <v>30</v>
      </c>
      <c r="O35" s="474"/>
      <c r="P35" s="474">
        <v>131</v>
      </c>
      <c r="Q35" s="507">
        <v>131</v>
      </c>
      <c r="R35" s="474"/>
      <c r="S35" s="474">
        <v>129</v>
      </c>
      <c r="T35" s="507">
        <v>129</v>
      </c>
      <c r="U35" s="508"/>
      <c r="V35" s="509">
        <v>96</v>
      </c>
      <c r="W35" s="510">
        <v>96</v>
      </c>
      <c r="X35" s="508"/>
      <c r="Y35" s="509">
        <v>118</v>
      </c>
      <c r="Z35" s="507">
        <f t="shared" si="0"/>
        <v>118</v>
      </c>
      <c r="AA35" s="475"/>
      <c r="AB35" s="474">
        <f>SUM(AB12)</f>
        <v>125</v>
      </c>
      <c r="AC35" s="476">
        <f t="shared" si="1"/>
        <v>125</v>
      </c>
      <c r="AD35" s="474"/>
      <c r="AE35" s="474">
        <f>SUM(AE12)</f>
        <v>134</v>
      </c>
      <c r="AF35" s="507">
        <f t="shared" si="2"/>
        <v>134</v>
      </c>
      <c r="AG35" s="474"/>
      <c r="AH35" s="474">
        <f>SUM(AH12)</f>
        <v>122</v>
      </c>
      <c r="AI35" s="507">
        <f t="shared" si="3"/>
        <v>122</v>
      </c>
      <c r="AJ35" s="474"/>
      <c r="AK35" s="474">
        <f>SUM(AK12)</f>
        <v>155</v>
      </c>
      <c r="AL35" s="507">
        <f t="shared" si="4"/>
        <v>155</v>
      </c>
      <c r="AM35" s="474"/>
      <c r="AN35" s="474">
        <f>SUM(AN12)</f>
        <v>189</v>
      </c>
      <c r="AO35" s="507">
        <f t="shared" si="5"/>
        <v>189</v>
      </c>
    </row>
    <row r="36" spans="1:41" s="186" customFormat="1" x14ac:dyDescent="0.2">
      <c r="A36" s="5061"/>
      <c r="B36" s="511" t="s">
        <v>74</v>
      </c>
      <c r="C36" s="478"/>
      <c r="D36" s="477"/>
      <c r="E36" s="512"/>
      <c r="F36" s="478"/>
      <c r="G36" s="477"/>
      <c r="H36" s="512"/>
      <c r="I36" s="478"/>
      <c r="J36" s="477">
        <v>58</v>
      </c>
      <c r="K36" s="513">
        <v>58</v>
      </c>
      <c r="L36" s="477"/>
      <c r="M36" s="477">
        <v>28</v>
      </c>
      <c r="N36" s="513">
        <v>28</v>
      </c>
      <c r="O36" s="477"/>
      <c r="P36" s="477">
        <v>64</v>
      </c>
      <c r="Q36" s="513">
        <v>64</v>
      </c>
      <c r="R36" s="477"/>
      <c r="S36" s="477">
        <v>110</v>
      </c>
      <c r="T36" s="513">
        <v>110</v>
      </c>
      <c r="U36" s="514"/>
      <c r="V36" s="515">
        <v>83</v>
      </c>
      <c r="W36" s="516">
        <v>83</v>
      </c>
      <c r="X36" s="514"/>
      <c r="Y36" s="515">
        <v>107</v>
      </c>
      <c r="Z36" s="513">
        <f t="shared" si="0"/>
        <v>107</v>
      </c>
      <c r="AA36" s="478"/>
      <c r="AB36" s="477">
        <f>SUM(AB13)</f>
        <v>110</v>
      </c>
      <c r="AC36" s="476">
        <f t="shared" si="1"/>
        <v>110</v>
      </c>
      <c r="AD36" s="477"/>
      <c r="AE36" s="477">
        <f>SUM(AE13)</f>
        <v>136</v>
      </c>
      <c r="AF36" s="507">
        <f t="shared" si="2"/>
        <v>136</v>
      </c>
      <c r="AG36" s="477"/>
      <c r="AH36" s="477">
        <f>SUM(AH13)</f>
        <v>145</v>
      </c>
      <c r="AI36" s="507">
        <f t="shared" si="3"/>
        <v>145</v>
      </c>
      <c r="AJ36" s="477"/>
      <c r="AK36" s="477">
        <f>SUM(AK13)</f>
        <v>229</v>
      </c>
      <c r="AL36" s="507">
        <f t="shared" si="4"/>
        <v>229</v>
      </c>
      <c r="AM36" s="477"/>
      <c r="AN36" s="477">
        <f>SUM(AN13)</f>
        <v>193</v>
      </c>
      <c r="AO36" s="507">
        <f t="shared" si="5"/>
        <v>193</v>
      </c>
    </row>
    <row r="37" spans="1:41" s="201" customFormat="1" ht="15.75" x14ac:dyDescent="0.2">
      <c r="A37" s="5025" t="s">
        <v>12</v>
      </c>
      <c r="B37" s="5027"/>
      <c r="C37" s="574">
        <v>3555</v>
      </c>
      <c r="D37" s="575">
        <v>4762</v>
      </c>
      <c r="E37" s="575">
        <v>8317</v>
      </c>
      <c r="F37" s="574">
        <v>4222</v>
      </c>
      <c r="G37" s="575">
        <v>5490</v>
      </c>
      <c r="H37" s="575">
        <v>9712</v>
      </c>
      <c r="I37" s="574">
        <v>4137</v>
      </c>
      <c r="J37" s="575">
        <v>5316</v>
      </c>
      <c r="K37" s="576">
        <v>9453</v>
      </c>
      <c r="L37" s="575">
        <v>4019</v>
      </c>
      <c r="M37" s="575">
        <v>5163</v>
      </c>
      <c r="N37" s="576">
        <v>9182</v>
      </c>
      <c r="O37" s="575">
        <v>4013</v>
      </c>
      <c r="P37" s="575">
        <v>5251</v>
      </c>
      <c r="Q37" s="576">
        <v>9264</v>
      </c>
      <c r="R37" s="575">
        <v>4227</v>
      </c>
      <c r="S37" s="575">
        <v>5708</v>
      </c>
      <c r="T37" s="576">
        <v>9935</v>
      </c>
      <c r="U37" s="591">
        <v>4004</v>
      </c>
      <c r="V37" s="592">
        <v>5249</v>
      </c>
      <c r="W37" s="593">
        <v>9253</v>
      </c>
      <c r="X37" s="591">
        <f>SUM(X31:X36)</f>
        <v>4091</v>
      </c>
      <c r="Y37" s="592">
        <v>5795</v>
      </c>
      <c r="Z37" s="576">
        <f t="shared" si="0"/>
        <v>9886</v>
      </c>
      <c r="AA37" s="574">
        <f t="shared" ref="AA37:AF37" si="6">SUM(AA31:AA36)</f>
        <v>4336</v>
      </c>
      <c r="AB37" s="575">
        <f t="shared" si="6"/>
        <v>5356</v>
      </c>
      <c r="AC37" s="576">
        <f t="shared" si="6"/>
        <v>9692</v>
      </c>
      <c r="AD37" s="574">
        <f t="shared" si="6"/>
        <v>3839</v>
      </c>
      <c r="AE37" s="575">
        <f t="shared" si="6"/>
        <v>5564</v>
      </c>
      <c r="AF37" s="576">
        <f t="shared" si="6"/>
        <v>9403</v>
      </c>
      <c r="AG37" s="574">
        <f t="shared" ref="AG37:AL37" si="7">SUM(AG31:AG36)</f>
        <v>4079</v>
      </c>
      <c r="AH37" s="575">
        <f t="shared" si="7"/>
        <v>5779</v>
      </c>
      <c r="AI37" s="576">
        <f t="shared" si="7"/>
        <v>9858</v>
      </c>
      <c r="AJ37" s="574">
        <f t="shared" si="7"/>
        <v>4075</v>
      </c>
      <c r="AK37" s="575">
        <f t="shared" si="7"/>
        <v>5798</v>
      </c>
      <c r="AL37" s="576">
        <f t="shared" si="7"/>
        <v>9873</v>
      </c>
      <c r="AM37" s="574">
        <f t="shared" ref="AM37:AO37" si="8">SUM(AM31:AM36)</f>
        <v>3865</v>
      </c>
      <c r="AN37" s="575">
        <f t="shared" si="8"/>
        <v>5984</v>
      </c>
      <c r="AO37" s="576">
        <f t="shared" si="8"/>
        <v>9849</v>
      </c>
    </row>
    <row r="38" spans="1:41" x14ac:dyDescent="0.2">
      <c r="A38" s="562"/>
      <c r="B38" s="407"/>
      <c r="C38" s="408"/>
      <c r="D38" s="408"/>
      <c r="E38" s="408"/>
      <c r="X38" s="409"/>
    </row>
    <row r="39" spans="1:41" x14ac:dyDescent="0.2">
      <c r="A39" s="572" t="s">
        <v>0</v>
      </c>
      <c r="B39" s="564"/>
      <c r="C39" s="564"/>
      <c r="D39" s="564"/>
      <c r="E39" s="564"/>
      <c r="T39" s="409"/>
      <c r="W39" s="409"/>
      <c r="X39" s="409"/>
      <c r="AF39" s="409"/>
    </row>
    <row r="40" spans="1:41" x14ac:dyDescent="0.2">
      <c r="A40" s="5133"/>
      <c r="B40" s="5133"/>
      <c r="AE40" s="409"/>
    </row>
    <row r="43" spans="1:41" x14ac:dyDescent="0.2">
      <c r="U43" s="4358">
        <v>2003</v>
      </c>
    </row>
    <row r="44" spans="1:41" x14ac:dyDescent="0.2">
      <c r="U44" s="4358">
        <v>2004</v>
      </c>
    </row>
    <row r="45" spans="1:41" x14ac:dyDescent="0.2">
      <c r="U45" s="4358">
        <v>2005</v>
      </c>
    </row>
    <row r="46" spans="1:41" x14ac:dyDescent="0.2">
      <c r="U46" s="4358">
        <v>2006</v>
      </c>
    </row>
    <row r="47" spans="1:41" x14ac:dyDescent="0.2">
      <c r="U47" s="4358">
        <v>2007</v>
      </c>
    </row>
    <row r="48" spans="1:41" x14ac:dyDescent="0.2">
      <c r="U48" s="4358">
        <v>2008</v>
      </c>
    </row>
    <row r="49" spans="21:31" x14ac:dyDescent="0.2">
      <c r="U49" s="4358">
        <v>2009</v>
      </c>
      <c r="AE49" s="409"/>
    </row>
    <row r="50" spans="21:31" x14ac:dyDescent="0.2">
      <c r="U50" s="4358">
        <v>2010</v>
      </c>
    </row>
    <row r="51" spans="21:31" x14ac:dyDescent="0.2">
      <c r="U51" s="4358">
        <v>2011</v>
      </c>
    </row>
    <row r="52" spans="21:31" x14ac:dyDescent="0.2">
      <c r="U52" s="4358">
        <v>2012</v>
      </c>
    </row>
    <row r="53" spans="21:31" x14ac:dyDescent="0.2">
      <c r="U53" s="4358">
        <v>2013</v>
      </c>
    </row>
    <row r="54" spans="21:31" x14ac:dyDescent="0.2">
      <c r="U54" s="4358">
        <v>2014</v>
      </c>
    </row>
    <row r="55" spans="21:31" x14ac:dyDescent="0.2">
      <c r="U55" s="4358">
        <v>2015</v>
      </c>
    </row>
    <row r="58" spans="21:31" x14ac:dyDescent="0.2">
      <c r="U58" s="4358" t="s">
        <v>161</v>
      </c>
    </row>
    <row r="59" spans="21:31" x14ac:dyDescent="0.2">
      <c r="U59" s="4358" t="s">
        <v>410</v>
      </c>
    </row>
    <row r="60" spans="21:31" x14ac:dyDescent="0.2">
      <c r="U60" s="4358" t="s">
        <v>162</v>
      </c>
    </row>
    <row r="61" spans="21:31" x14ac:dyDescent="0.2">
      <c r="U61" s="4358" t="s">
        <v>411</v>
      </c>
    </row>
    <row r="62" spans="21:31" x14ac:dyDescent="0.2">
      <c r="U62" s="4358" t="s">
        <v>163</v>
      </c>
    </row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</sheetData>
  <mergeCells count="24">
    <mergeCell ref="AM3:AO3"/>
    <mergeCell ref="C3:E3"/>
    <mergeCell ref="F3:H3"/>
    <mergeCell ref="AJ3:AL3"/>
    <mergeCell ref="AG3:AI3"/>
    <mergeCell ref="X3:Z3"/>
    <mergeCell ref="AA3:AC3"/>
    <mergeCell ref="AD3:AF3"/>
    <mergeCell ref="I3:K3"/>
    <mergeCell ref="R3:T3"/>
    <mergeCell ref="U3:W3"/>
    <mergeCell ref="L3:N3"/>
    <mergeCell ref="O3:Q3"/>
    <mergeCell ref="A1:B1"/>
    <mergeCell ref="A40:B40"/>
    <mergeCell ref="A16:A19"/>
    <mergeCell ref="A21:A24"/>
    <mergeCell ref="A6:A9"/>
    <mergeCell ref="A11:A14"/>
    <mergeCell ref="A26:A29"/>
    <mergeCell ref="A31:A36"/>
    <mergeCell ref="A37:B37"/>
    <mergeCell ref="A3:A4"/>
    <mergeCell ref="B3:B4"/>
  </mergeCells>
  <printOptions horizontalCentered="1" verticalCentered="1"/>
  <pageMargins left="0.35433070866141736" right="0.27559055118110237" top="0.31496062992125984" bottom="0.19685039370078741" header="0" footer="0.31496062992125984"/>
  <pageSetup scale="65" pageOrder="overThenDown" orientation="landscape" horizontalDpi="1200" verticalDpi="1200" r:id="rId1"/>
  <headerFooter alignWithMargins="0">
    <oddFooter xml:space="preserve">&amp;R
</oddFooter>
  </headerFooter>
  <colBreaks count="2" manualBreakCount="2">
    <brk id="20" max="38" man="1"/>
    <brk id="38" max="38" man="1"/>
  </colBreaks>
  <ignoredErrors>
    <ignoredError sqref="Z6:Z9 Z31:Z37 Z16:Z18 Z11:Z13 Z26:Z28 AD6:AE10 AD15:AE20 AE12:AE13 AE11 AD25:AE28 AE21:AE24 AH22 AK22" formulaRange="1"/>
    <ignoredError sqref="AC19:AC34 AC35:AC36 AC9 AF19:AF34 AF9 AI9:AI36 AL9:AL36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Z39"/>
  <sheetViews>
    <sheetView zoomScaleNormal="100" workbookViewId="0">
      <selection activeCell="AA13" sqref="AA13"/>
    </sheetView>
  </sheetViews>
  <sheetFormatPr baseColWidth="10" defaultRowHeight="15" x14ac:dyDescent="0.25"/>
  <cols>
    <col min="1" max="1" width="22.7109375" style="2175" customWidth="1"/>
    <col min="2" max="2" width="17.7109375" style="2175" customWidth="1"/>
    <col min="3" max="4" width="10.7109375" style="2175" hidden="1" customWidth="1"/>
    <col min="5" max="15" width="10.7109375" style="2175" customWidth="1"/>
    <col min="16" max="16" width="11.42578125" style="2175"/>
    <col min="17" max="26" width="6.7109375" style="2175" hidden="1" customWidth="1"/>
    <col min="27" max="16384" width="11.42578125" style="2175"/>
  </cols>
  <sheetData>
    <row r="1" spans="1:26" ht="21" x14ac:dyDescent="0.35">
      <c r="A1" s="2231" t="s">
        <v>1356</v>
      </c>
      <c r="B1" s="2231"/>
      <c r="C1" s="2231" t="s">
        <v>1290</v>
      </c>
      <c r="D1" s="2231"/>
      <c r="E1" s="2231"/>
      <c r="F1" s="2231"/>
      <c r="G1" s="2231"/>
      <c r="H1" s="2231"/>
      <c r="I1" s="2231"/>
      <c r="J1" s="2231"/>
      <c r="K1" s="2231"/>
      <c r="L1" s="2231"/>
      <c r="M1" s="2231"/>
      <c r="N1" s="2231"/>
      <c r="O1" s="2231"/>
    </row>
    <row r="2" spans="1:26" x14ac:dyDescent="0.25">
      <c r="B2" s="2229"/>
      <c r="E2" s="2232"/>
      <c r="F2" s="2232"/>
      <c r="G2" s="2232"/>
      <c r="H2" s="2232"/>
      <c r="I2" s="2232"/>
      <c r="J2" s="2232"/>
      <c r="K2" s="2232"/>
      <c r="L2" s="2232"/>
      <c r="M2" s="2232"/>
      <c r="N2" s="2232"/>
      <c r="O2" s="2232"/>
    </row>
    <row r="3" spans="1:26" ht="31.5" x14ac:dyDescent="0.25">
      <c r="A3" s="2233" t="s">
        <v>754</v>
      </c>
      <c r="B3" s="2234" t="s">
        <v>731</v>
      </c>
      <c r="C3" s="2234">
        <v>2002</v>
      </c>
      <c r="D3" s="2234">
        <v>2003</v>
      </c>
      <c r="E3" s="2176">
        <v>2004</v>
      </c>
      <c r="F3" s="2176">
        <v>2005</v>
      </c>
      <c r="G3" s="2176">
        <v>2006</v>
      </c>
      <c r="H3" s="2176">
        <v>2007</v>
      </c>
      <c r="I3" s="2176">
        <v>2008</v>
      </c>
      <c r="J3" s="2176">
        <v>2009</v>
      </c>
      <c r="K3" s="2176">
        <v>2010</v>
      </c>
      <c r="L3" s="2176">
        <v>2011</v>
      </c>
      <c r="M3" s="2176">
        <v>2012</v>
      </c>
      <c r="N3" s="2176">
        <v>2013</v>
      </c>
      <c r="O3" s="2176">
        <v>2014</v>
      </c>
      <c r="P3" s="2176">
        <v>2015</v>
      </c>
      <c r="Q3" s="2235">
        <v>2004</v>
      </c>
      <c r="R3" s="2235">
        <v>2005</v>
      </c>
      <c r="S3" s="2235">
        <v>2006</v>
      </c>
      <c r="T3" s="2235">
        <v>2007</v>
      </c>
      <c r="U3" s="2235">
        <v>2008</v>
      </c>
      <c r="V3" s="2235">
        <v>2009</v>
      </c>
      <c r="W3" s="2235">
        <v>2010</v>
      </c>
      <c r="X3" s="2235">
        <v>2011</v>
      </c>
      <c r="Y3" s="2235">
        <v>2012</v>
      </c>
      <c r="Z3" s="2235">
        <v>2013</v>
      </c>
    </row>
    <row r="4" spans="1:26" x14ac:dyDescent="0.25">
      <c r="A4" s="5118" t="s">
        <v>732</v>
      </c>
      <c r="B4" s="2236" t="s">
        <v>733</v>
      </c>
      <c r="C4" s="2237"/>
      <c r="D4" s="2238"/>
      <c r="E4" s="2238">
        <f t="shared" ref="E4:N4" si="0">Q4/Q6</f>
        <v>0.63124806760795626</v>
      </c>
      <c r="F4" s="2238">
        <f t="shared" si="0"/>
        <v>0.61490420239229382</v>
      </c>
      <c r="G4" s="2238">
        <f t="shared" si="0"/>
        <v>0.62113289760348589</v>
      </c>
      <c r="H4" s="2238">
        <f t="shared" si="0"/>
        <v>0.59876810028095961</v>
      </c>
      <c r="I4" s="2238">
        <f t="shared" si="0"/>
        <v>0.63076278290025145</v>
      </c>
      <c r="J4" s="2238">
        <f t="shared" si="0"/>
        <v>0.64</v>
      </c>
      <c r="K4" s="2238">
        <f t="shared" si="0"/>
        <v>0.64</v>
      </c>
      <c r="L4" s="2238">
        <f t="shared" si="0"/>
        <v>0.64</v>
      </c>
      <c r="M4" s="2238">
        <f t="shared" si="0"/>
        <v>0.64400000000000002</v>
      </c>
      <c r="N4" s="2239">
        <f t="shared" si="0"/>
        <v>0.65800000000000003</v>
      </c>
      <c r="O4" s="2239">
        <v>0.67300000000000004</v>
      </c>
      <c r="P4" s="2239">
        <v>0.67300000000000004</v>
      </c>
      <c r="Q4" s="2240">
        <v>6125</v>
      </c>
      <c r="R4" s="2241">
        <v>5809</v>
      </c>
      <c r="S4" s="2242">
        <v>5702</v>
      </c>
      <c r="T4" s="2242">
        <v>5541</v>
      </c>
      <c r="U4" s="2242">
        <v>6020</v>
      </c>
      <c r="V4" s="2242">
        <v>5921.92</v>
      </c>
      <c r="W4" s="2242">
        <v>6327.04</v>
      </c>
      <c r="X4" s="2242">
        <v>6202.88</v>
      </c>
      <c r="Y4" s="2242">
        <v>6055.5320000000002</v>
      </c>
      <c r="Z4" s="2243">
        <v>6486.5640000000003</v>
      </c>
    </row>
    <row r="5" spans="1:26" x14ac:dyDescent="0.25">
      <c r="A5" s="5119"/>
      <c r="B5" s="2244" t="s">
        <v>734</v>
      </c>
      <c r="C5" s="2245"/>
      <c r="D5" s="2246"/>
      <c r="E5" s="2246">
        <f t="shared" ref="E5:N5" si="1">Q5/Q6</f>
        <v>0.36875193239204368</v>
      </c>
      <c r="F5" s="2246">
        <f t="shared" si="1"/>
        <v>0.38509579760770613</v>
      </c>
      <c r="G5" s="2246">
        <f t="shared" si="1"/>
        <v>0.37886710239651417</v>
      </c>
      <c r="H5" s="2246">
        <f t="shared" si="1"/>
        <v>0.40123189971904044</v>
      </c>
      <c r="I5" s="2246">
        <f t="shared" si="1"/>
        <v>0.36923721709974855</v>
      </c>
      <c r="J5" s="2246">
        <f t="shared" si="1"/>
        <v>0.36</v>
      </c>
      <c r="K5" s="2246">
        <f t="shared" si="1"/>
        <v>0.36</v>
      </c>
      <c r="L5" s="2246">
        <f t="shared" si="1"/>
        <v>0.36</v>
      </c>
      <c r="M5" s="2246">
        <f t="shared" si="1"/>
        <v>0.35599999999999998</v>
      </c>
      <c r="N5" s="2247">
        <f t="shared" si="1"/>
        <v>0.34200000000000003</v>
      </c>
      <c r="O5" s="2247">
        <v>0.32700000000000001</v>
      </c>
      <c r="P5" s="2247">
        <v>0.32700000000000001</v>
      </c>
      <c r="Q5" s="2212">
        <v>3578</v>
      </c>
      <c r="R5" s="2207">
        <v>3638</v>
      </c>
      <c r="S5" s="2207">
        <v>3478</v>
      </c>
      <c r="T5" s="2207">
        <v>3713</v>
      </c>
      <c r="U5" s="2207">
        <v>3524</v>
      </c>
      <c r="V5" s="2207">
        <v>3331.08</v>
      </c>
      <c r="W5" s="2207">
        <v>3558.96</v>
      </c>
      <c r="X5" s="2207">
        <v>3489.12</v>
      </c>
      <c r="Y5" s="2207">
        <v>3347.4679999999998</v>
      </c>
      <c r="Z5" s="2208">
        <v>3371.4360000000001</v>
      </c>
    </row>
    <row r="6" spans="1:26" x14ac:dyDescent="0.25">
      <c r="A6" s="5124"/>
      <c r="B6" s="2248" t="s">
        <v>160</v>
      </c>
      <c r="C6" s="2245"/>
      <c r="D6" s="2249"/>
      <c r="E6" s="2250">
        <f>SUM(E4:E5)</f>
        <v>1</v>
      </c>
      <c r="F6" s="2250">
        <f t="shared" ref="F6:N6" si="2">SUM(F4:F5)</f>
        <v>1</v>
      </c>
      <c r="G6" s="2250">
        <f t="shared" si="2"/>
        <v>1</v>
      </c>
      <c r="H6" s="2250">
        <f t="shared" si="2"/>
        <v>1</v>
      </c>
      <c r="I6" s="2250">
        <f t="shared" si="2"/>
        <v>1</v>
      </c>
      <c r="J6" s="2250">
        <f t="shared" si="2"/>
        <v>1</v>
      </c>
      <c r="K6" s="2250">
        <f t="shared" si="2"/>
        <v>1</v>
      </c>
      <c r="L6" s="2250">
        <f t="shared" si="2"/>
        <v>1</v>
      </c>
      <c r="M6" s="2250">
        <f t="shared" si="2"/>
        <v>1</v>
      </c>
      <c r="N6" s="2251">
        <f t="shared" si="2"/>
        <v>1</v>
      </c>
      <c r="O6" s="2251">
        <f>SUM(O4:O5)</f>
        <v>1</v>
      </c>
      <c r="P6" s="2251">
        <f>SUM(P4:P5)</f>
        <v>1</v>
      </c>
      <c r="Q6" s="2252">
        <f>SUM(Q4:Q5)</f>
        <v>9703</v>
      </c>
      <c r="R6" s="2253">
        <f t="shared" ref="R6:Z6" si="3">SUM(R4:R5)</f>
        <v>9447</v>
      </c>
      <c r="S6" s="2253">
        <f t="shared" si="3"/>
        <v>9180</v>
      </c>
      <c r="T6" s="2253">
        <f t="shared" si="3"/>
        <v>9254</v>
      </c>
      <c r="U6" s="2253">
        <f t="shared" si="3"/>
        <v>9544</v>
      </c>
      <c r="V6" s="2253">
        <f t="shared" si="3"/>
        <v>9253</v>
      </c>
      <c r="W6" s="2253">
        <f t="shared" si="3"/>
        <v>9886</v>
      </c>
      <c r="X6" s="2253">
        <f t="shared" si="3"/>
        <v>9692</v>
      </c>
      <c r="Y6" s="2253">
        <f t="shared" si="3"/>
        <v>9403</v>
      </c>
      <c r="Z6" s="2254">
        <f t="shared" si="3"/>
        <v>9858</v>
      </c>
    </row>
    <row r="7" spans="1:26" x14ac:dyDescent="0.25">
      <c r="A7" s="5123" t="s">
        <v>735</v>
      </c>
      <c r="B7" s="2255" t="s">
        <v>739</v>
      </c>
      <c r="C7" s="2256"/>
      <c r="D7" s="2257"/>
      <c r="E7" s="2257">
        <f t="shared" ref="E7:M7" si="4">Q7/Q5</f>
        <v>0.38680827277808832</v>
      </c>
      <c r="F7" s="2257">
        <f t="shared" si="4"/>
        <v>0.38812534359538209</v>
      </c>
      <c r="G7" s="2257">
        <f t="shared" si="4"/>
        <v>0.36831512363427255</v>
      </c>
      <c r="H7" s="2257">
        <f t="shared" si="4"/>
        <v>0.37678427147858873</v>
      </c>
      <c r="I7" s="2257">
        <f t="shared" si="4"/>
        <v>0.36152099886492622</v>
      </c>
      <c r="J7" s="2257">
        <f t="shared" si="4"/>
        <v>0.33333333333333331</v>
      </c>
      <c r="K7" s="2257">
        <f t="shared" si="4"/>
        <v>0.33333333333333331</v>
      </c>
      <c r="L7" s="2257">
        <f t="shared" si="4"/>
        <v>0.33333333333333331</v>
      </c>
      <c r="M7" s="2257">
        <f t="shared" si="4"/>
        <v>0.32303370786516855</v>
      </c>
      <c r="N7" s="2258">
        <f>Z7/Z5</f>
        <v>0.30701754385964908</v>
      </c>
      <c r="O7" s="2258">
        <v>0.31</v>
      </c>
      <c r="P7" s="2258">
        <v>0.28999999999999998</v>
      </c>
      <c r="Q7" s="2259">
        <v>1384</v>
      </c>
      <c r="R7" s="2260">
        <v>1412</v>
      </c>
      <c r="S7" s="2260">
        <v>1281</v>
      </c>
      <c r="T7" s="2260">
        <v>1399</v>
      </c>
      <c r="U7" s="2260">
        <v>1274</v>
      </c>
      <c r="V7" s="2260">
        <v>1110.3599999999999</v>
      </c>
      <c r="W7" s="2260">
        <v>1186.32</v>
      </c>
      <c r="X7" s="2260">
        <v>1163.04</v>
      </c>
      <c r="Y7" s="2260">
        <v>1081.345</v>
      </c>
      <c r="Z7" s="2261">
        <v>1035.0899999999999</v>
      </c>
    </row>
    <row r="8" spans="1:26" x14ac:dyDescent="0.25">
      <c r="A8" s="5119"/>
      <c r="B8" s="2262" t="s">
        <v>736</v>
      </c>
      <c r="C8" s="2245"/>
      <c r="D8" s="2246"/>
      <c r="E8" s="2246">
        <f t="shared" ref="E8:N8" si="5">Q8/Q7</f>
        <v>0.18280346820809248</v>
      </c>
      <c r="F8" s="2246">
        <f t="shared" si="5"/>
        <v>0.20538243626062322</v>
      </c>
      <c r="G8" s="2246">
        <f t="shared" si="5"/>
        <v>0.20374707259953162</v>
      </c>
      <c r="H8" s="2246">
        <f t="shared" si="5"/>
        <v>0.2008577555396712</v>
      </c>
      <c r="I8" s="2246">
        <f t="shared" si="5"/>
        <v>0.18</v>
      </c>
      <c r="J8" s="2246">
        <f t="shared" si="5"/>
        <v>0.17</v>
      </c>
      <c r="K8" s="2246">
        <f t="shared" si="5"/>
        <v>0.2</v>
      </c>
      <c r="L8" s="2246">
        <f t="shared" si="5"/>
        <v>0.19</v>
      </c>
      <c r="M8" s="2246">
        <f t="shared" si="5"/>
        <v>0.19600000000000001</v>
      </c>
      <c r="N8" s="2247">
        <f t="shared" si="5"/>
        <v>0.19</v>
      </c>
      <c r="O8" s="2247">
        <v>0.2</v>
      </c>
      <c r="P8" s="2247">
        <v>0.19</v>
      </c>
      <c r="Q8" s="2212">
        <v>253</v>
      </c>
      <c r="R8" s="2207">
        <v>290</v>
      </c>
      <c r="S8" s="2207">
        <v>261</v>
      </c>
      <c r="T8" s="2207">
        <v>281</v>
      </c>
      <c r="U8" s="2207">
        <v>229.32</v>
      </c>
      <c r="V8" s="2207">
        <v>188.7612</v>
      </c>
      <c r="W8" s="2207">
        <v>237.26400000000001</v>
      </c>
      <c r="X8" s="2207">
        <v>220.9776</v>
      </c>
      <c r="Y8" s="2207">
        <v>211.94362000000001</v>
      </c>
      <c r="Z8" s="2208">
        <v>196.66709999999998</v>
      </c>
    </row>
    <row r="9" spans="1:26" x14ac:dyDescent="0.25">
      <c r="A9" s="5119"/>
      <c r="B9" s="2262" t="s">
        <v>737</v>
      </c>
      <c r="C9" s="2245"/>
      <c r="D9" s="2246"/>
      <c r="E9" s="2246">
        <f t="shared" ref="E9:N9" si="6">Q9/Q7</f>
        <v>0.5802023121387283</v>
      </c>
      <c r="F9" s="2246">
        <f t="shared" si="6"/>
        <v>0.57436260623229463</v>
      </c>
      <c r="G9" s="2246">
        <f t="shared" si="6"/>
        <v>0.53395784543325531</v>
      </c>
      <c r="H9" s="2246">
        <f t="shared" si="6"/>
        <v>0.5282344531808435</v>
      </c>
      <c r="I9" s="2246">
        <f t="shared" si="6"/>
        <v>0.54</v>
      </c>
      <c r="J9" s="2246">
        <f t="shared" si="6"/>
        <v>0.55000000000000004</v>
      </c>
      <c r="K9" s="2246">
        <f t="shared" si="6"/>
        <v>0.52</v>
      </c>
      <c r="L9" s="2246">
        <f t="shared" si="6"/>
        <v>0.5</v>
      </c>
      <c r="M9" s="2246">
        <f t="shared" si="6"/>
        <v>0.51800000000000002</v>
      </c>
      <c r="N9" s="2247">
        <f t="shared" si="6"/>
        <v>0.53</v>
      </c>
      <c r="O9" s="2247">
        <v>0.49</v>
      </c>
      <c r="P9" s="2247">
        <v>0.52</v>
      </c>
      <c r="Q9" s="2212">
        <v>803</v>
      </c>
      <c r="R9" s="2207">
        <v>811</v>
      </c>
      <c r="S9" s="2207">
        <v>684</v>
      </c>
      <c r="T9" s="2207">
        <v>739</v>
      </c>
      <c r="U9" s="2207">
        <v>687.96</v>
      </c>
      <c r="V9" s="2207">
        <v>610.69799999999998</v>
      </c>
      <c r="W9" s="2207">
        <v>616.88639999999998</v>
      </c>
      <c r="X9" s="2207">
        <v>581.52</v>
      </c>
      <c r="Y9" s="2207">
        <v>560.13670999999999</v>
      </c>
      <c r="Z9" s="2208">
        <v>548.59770000000003</v>
      </c>
    </row>
    <row r="10" spans="1:26" x14ac:dyDescent="0.25">
      <c r="A10" s="5124"/>
      <c r="B10" s="2262" t="s">
        <v>738</v>
      </c>
      <c r="C10" s="2245"/>
      <c r="D10" s="2246"/>
      <c r="E10" s="2246">
        <f t="shared" ref="E10:N10" si="7">Q10/Q7</f>
        <v>0.23699421965317918</v>
      </c>
      <c r="F10" s="2246">
        <f t="shared" si="7"/>
        <v>0.22025495750708216</v>
      </c>
      <c r="G10" s="2246">
        <f t="shared" si="7"/>
        <v>0.26229508196721313</v>
      </c>
      <c r="H10" s="2246">
        <f t="shared" si="7"/>
        <v>0.27090779127948533</v>
      </c>
      <c r="I10" s="2246">
        <f t="shared" si="7"/>
        <v>0.28000000000000003</v>
      </c>
      <c r="J10" s="2246">
        <f t="shared" si="7"/>
        <v>0.28000000000000003</v>
      </c>
      <c r="K10" s="2246">
        <f t="shared" si="7"/>
        <v>0.28000000000000003</v>
      </c>
      <c r="L10" s="2246">
        <f t="shared" si="7"/>
        <v>0.31</v>
      </c>
      <c r="M10" s="2246">
        <f t="shared" si="7"/>
        <v>0.28599999999999998</v>
      </c>
      <c r="N10" s="2247">
        <f t="shared" si="7"/>
        <v>0.28000000000000003</v>
      </c>
      <c r="O10" s="2247">
        <v>0.31</v>
      </c>
      <c r="P10" s="2247">
        <v>0.28999999999999998</v>
      </c>
      <c r="Q10" s="2212">
        <v>328</v>
      </c>
      <c r="R10" s="2207">
        <v>311</v>
      </c>
      <c r="S10" s="2207">
        <v>336</v>
      </c>
      <c r="T10" s="2207">
        <v>379</v>
      </c>
      <c r="U10" s="2207">
        <v>356.72</v>
      </c>
      <c r="V10" s="2207">
        <v>310.9008</v>
      </c>
      <c r="W10" s="2207">
        <v>332.1696</v>
      </c>
      <c r="X10" s="2207">
        <v>360.54239999999999</v>
      </c>
      <c r="Y10" s="2207">
        <v>309.26466999999997</v>
      </c>
      <c r="Z10" s="2208">
        <v>289.8252</v>
      </c>
    </row>
    <row r="11" spans="1:26" x14ac:dyDescent="0.25">
      <c r="A11" s="5123" t="s">
        <v>735</v>
      </c>
      <c r="B11" s="2263" t="s">
        <v>740</v>
      </c>
      <c r="C11" s="2264"/>
      <c r="D11" s="2257"/>
      <c r="E11" s="2257">
        <f t="shared" ref="E11:M11" si="8">Q11/Q5</f>
        <v>0.61319172722191173</v>
      </c>
      <c r="F11" s="2257">
        <f t="shared" si="8"/>
        <v>0.61187465640461791</v>
      </c>
      <c r="G11" s="2257">
        <f t="shared" si="8"/>
        <v>0.63168487636572745</v>
      </c>
      <c r="H11" s="2257">
        <f t="shared" si="8"/>
        <v>0.62321572852141127</v>
      </c>
      <c r="I11" s="2257">
        <f t="shared" si="8"/>
        <v>0.63847900113507383</v>
      </c>
      <c r="J11" s="2257">
        <f t="shared" si="8"/>
        <v>0.66666666666666663</v>
      </c>
      <c r="K11" s="2257">
        <f t="shared" si="8"/>
        <v>0.66666666666666663</v>
      </c>
      <c r="L11" s="2257">
        <f t="shared" si="8"/>
        <v>0.66666666666666663</v>
      </c>
      <c r="M11" s="2257">
        <f t="shared" si="8"/>
        <v>0.6769662921348315</v>
      </c>
      <c r="N11" s="2258">
        <f>Z11/Z5</f>
        <v>0.69298245614035081</v>
      </c>
      <c r="O11" s="2258">
        <v>0.69</v>
      </c>
      <c r="P11" s="2258">
        <v>0.71</v>
      </c>
      <c r="Q11" s="2265">
        <v>2194</v>
      </c>
      <c r="R11" s="2266">
        <v>2226</v>
      </c>
      <c r="S11" s="2266">
        <v>2197</v>
      </c>
      <c r="T11" s="2266">
        <v>2314</v>
      </c>
      <c r="U11" s="2266">
        <v>2250</v>
      </c>
      <c r="V11" s="2266">
        <v>2220.7199999999998</v>
      </c>
      <c r="W11" s="2266">
        <v>2372.64</v>
      </c>
      <c r="X11" s="2266">
        <v>2326.08</v>
      </c>
      <c r="Y11" s="2266">
        <v>2266.123</v>
      </c>
      <c r="Z11" s="2267">
        <v>2336.346</v>
      </c>
    </row>
    <row r="12" spans="1:26" x14ac:dyDescent="0.25">
      <c r="A12" s="5119"/>
      <c r="B12" s="2262" t="s">
        <v>736</v>
      </c>
      <c r="C12" s="2268"/>
      <c r="D12" s="2246"/>
      <c r="E12" s="2246">
        <f t="shared" ref="E12:N12" si="9">Q12/Q11</f>
        <v>0.47857793983591612</v>
      </c>
      <c r="F12" s="2246">
        <f t="shared" si="9"/>
        <v>0.4802336028751123</v>
      </c>
      <c r="G12" s="2246">
        <f t="shared" si="9"/>
        <v>0.47246244879380972</v>
      </c>
      <c r="H12" s="2246">
        <f t="shared" si="9"/>
        <v>0.48444252376836644</v>
      </c>
      <c r="I12" s="2246">
        <f t="shared" si="9"/>
        <v>0.48</v>
      </c>
      <c r="J12" s="2246">
        <f t="shared" si="9"/>
        <v>0.47999999999999993</v>
      </c>
      <c r="K12" s="2246">
        <f t="shared" si="9"/>
        <v>0.5</v>
      </c>
      <c r="L12" s="2246">
        <f t="shared" si="9"/>
        <v>0.48</v>
      </c>
      <c r="M12" s="2246">
        <f t="shared" si="9"/>
        <v>0.50800000000000001</v>
      </c>
      <c r="N12" s="2247">
        <f t="shared" si="9"/>
        <v>0.5</v>
      </c>
      <c r="O12" s="2247">
        <v>0.51</v>
      </c>
      <c r="P12" s="2247">
        <v>0.52</v>
      </c>
      <c r="Q12" s="2212">
        <v>1050</v>
      </c>
      <c r="R12" s="2207">
        <v>1069</v>
      </c>
      <c r="S12" s="2207">
        <v>1038</v>
      </c>
      <c r="T12" s="2207">
        <v>1121</v>
      </c>
      <c r="U12" s="2207">
        <v>1080</v>
      </c>
      <c r="V12" s="2207">
        <v>1065.9455999999998</v>
      </c>
      <c r="W12" s="2207">
        <v>1186.32</v>
      </c>
      <c r="X12" s="2207">
        <v>1116.5183999999999</v>
      </c>
      <c r="Y12" s="2207">
        <v>1151.190484</v>
      </c>
      <c r="Z12" s="2208">
        <v>1168.173</v>
      </c>
    </row>
    <row r="13" spans="1:26" x14ac:dyDescent="0.25">
      <c r="A13" s="5119"/>
      <c r="B13" s="2262" t="s">
        <v>737</v>
      </c>
      <c r="C13" s="2268"/>
      <c r="D13" s="2246"/>
      <c r="E13" s="2246">
        <f t="shared" ref="E13:N13" si="10">Q13/Q11</f>
        <v>0.39653600729261623</v>
      </c>
      <c r="F13" s="2246">
        <f t="shared" si="10"/>
        <v>0.39802336028751123</v>
      </c>
      <c r="G13" s="2246">
        <f t="shared" si="10"/>
        <v>0.39144287664997723</v>
      </c>
      <c r="H13" s="2246">
        <f t="shared" si="10"/>
        <v>0.39498703543647362</v>
      </c>
      <c r="I13" s="2246">
        <f t="shared" si="10"/>
        <v>0.39</v>
      </c>
      <c r="J13" s="2246">
        <f t="shared" si="10"/>
        <v>0.38</v>
      </c>
      <c r="K13" s="2246">
        <f t="shared" si="10"/>
        <v>0.37</v>
      </c>
      <c r="L13" s="2246">
        <f t="shared" si="10"/>
        <v>0.39</v>
      </c>
      <c r="M13" s="2246">
        <f t="shared" si="10"/>
        <v>0.36099999999999999</v>
      </c>
      <c r="N13" s="2247">
        <f t="shared" si="10"/>
        <v>0.36</v>
      </c>
      <c r="O13" s="2247">
        <v>0.35</v>
      </c>
      <c r="P13" s="2247">
        <v>0.35</v>
      </c>
      <c r="Q13" s="2212">
        <v>870</v>
      </c>
      <c r="R13" s="2207">
        <v>886</v>
      </c>
      <c r="S13" s="2207">
        <v>860</v>
      </c>
      <c r="T13" s="2207">
        <v>914</v>
      </c>
      <c r="U13" s="2207">
        <v>877.5</v>
      </c>
      <c r="V13" s="2207">
        <v>843.8735999999999</v>
      </c>
      <c r="W13" s="2207">
        <v>877.87679999999989</v>
      </c>
      <c r="X13" s="2207">
        <v>907.1712</v>
      </c>
      <c r="Y13" s="2207">
        <v>818.07040299999994</v>
      </c>
      <c r="Z13" s="2208">
        <v>841.08456000000001</v>
      </c>
    </row>
    <row r="14" spans="1:26" x14ac:dyDescent="0.25">
      <c r="A14" s="5137"/>
      <c r="B14" s="2269" t="s">
        <v>738</v>
      </c>
      <c r="C14" s="2270"/>
      <c r="D14" s="2271"/>
      <c r="E14" s="2271">
        <f t="shared" ref="E14:N14" si="11">Q14/Q11</f>
        <v>0.12488605287146765</v>
      </c>
      <c r="F14" s="2271">
        <f t="shared" si="11"/>
        <v>0.12174303683737646</v>
      </c>
      <c r="G14" s="2271">
        <f t="shared" si="11"/>
        <v>0.13609467455621302</v>
      </c>
      <c r="H14" s="2271">
        <f t="shared" si="11"/>
        <v>0.1205704407951599</v>
      </c>
      <c r="I14" s="2271">
        <f t="shared" si="11"/>
        <v>0.13</v>
      </c>
      <c r="J14" s="2271">
        <f t="shared" si="11"/>
        <v>0.14000000000000001</v>
      </c>
      <c r="K14" s="2271">
        <f t="shared" si="11"/>
        <v>0.13</v>
      </c>
      <c r="L14" s="2271">
        <f t="shared" si="11"/>
        <v>0.13</v>
      </c>
      <c r="M14" s="2271">
        <f t="shared" si="11"/>
        <v>0.13100000000000001</v>
      </c>
      <c r="N14" s="2272">
        <f t="shared" si="11"/>
        <v>0.14000000000000001</v>
      </c>
      <c r="O14" s="2272">
        <v>0.14000000000000001</v>
      </c>
      <c r="P14" s="2272">
        <v>0.13</v>
      </c>
      <c r="Q14" s="2215">
        <v>274</v>
      </c>
      <c r="R14" s="2216">
        <v>271</v>
      </c>
      <c r="S14" s="2216">
        <v>299</v>
      </c>
      <c r="T14" s="2216">
        <v>279</v>
      </c>
      <c r="U14" s="2216">
        <v>292.5</v>
      </c>
      <c r="V14" s="2216">
        <v>310.9008</v>
      </c>
      <c r="W14" s="2216">
        <v>308.44319999999999</v>
      </c>
      <c r="X14" s="2216">
        <v>302.3904</v>
      </c>
      <c r="Y14" s="2216">
        <v>296.86211300000002</v>
      </c>
      <c r="Z14" s="2217">
        <v>327.08844000000005</v>
      </c>
    </row>
    <row r="15" spans="1:26" x14ac:dyDescent="0.25">
      <c r="A15" s="5138" t="s">
        <v>741</v>
      </c>
      <c r="B15" s="2978" t="s">
        <v>742</v>
      </c>
      <c r="C15" s="2273"/>
      <c r="D15" s="2274"/>
      <c r="E15" s="2274">
        <f t="shared" ref="E15:N15" si="12">Q15/Q6</f>
        <v>1.2676491806657735E-2</v>
      </c>
      <c r="F15" s="2274">
        <f t="shared" si="12"/>
        <v>1.365512861225786E-2</v>
      </c>
      <c r="G15" s="2274">
        <f t="shared" si="12"/>
        <v>1.241830065359477E-2</v>
      </c>
      <c r="H15" s="2274">
        <f t="shared" si="12"/>
        <v>1.0157769613140263E-2</v>
      </c>
      <c r="I15" s="2274">
        <f t="shared" si="12"/>
        <v>1.3411567476948869E-2</v>
      </c>
      <c r="J15" s="2274">
        <f t="shared" si="12"/>
        <v>1.4697935804603912E-2</v>
      </c>
      <c r="K15" s="2274">
        <f t="shared" si="12"/>
        <v>0.01</v>
      </c>
      <c r="L15" s="2274">
        <f t="shared" si="12"/>
        <v>0.01</v>
      </c>
      <c r="M15" s="2274">
        <f t="shared" si="12"/>
        <v>0.01</v>
      </c>
      <c r="N15" s="2275">
        <f t="shared" si="12"/>
        <v>0.01</v>
      </c>
      <c r="O15" s="2275">
        <v>0.01</v>
      </c>
      <c r="P15" s="2275">
        <v>0.01</v>
      </c>
      <c r="Q15" s="2182">
        <v>123</v>
      </c>
      <c r="R15" s="2183">
        <v>129</v>
      </c>
      <c r="S15" s="2183">
        <v>114</v>
      </c>
      <c r="T15" s="2183">
        <v>94</v>
      </c>
      <c r="U15" s="2183">
        <v>128</v>
      </c>
      <c r="V15" s="2183">
        <v>136</v>
      </c>
      <c r="W15" s="2183">
        <v>98.86</v>
      </c>
      <c r="X15" s="2183">
        <v>96.92</v>
      </c>
      <c r="Y15" s="2183">
        <v>94.03</v>
      </c>
      <c r="Z15" s="2184">
        <v>98.58</v>
      </c>
    </row>
    <row r="16" spans="1:26" x14ac:dyDescent="0.25">
      <c r="A16" s="5139"/>
      <c r="B16" s="3783" t="s">
        <v>743</v>
      </c>
      <c r="C16" s="2276"/>
      <c r="D16" s="2246"/>
      <c r="E16" s="2246">
        <f t="shared" ref="E16:N16" si="13">Q16/Q6</f>
        <v>0.17510048438627229</v>
      </c>
      <c r="F16" s="2246">
        <f t="shared" si="13"/>
        <v>0.1760347200169366</v>
      </c>
      <c r="G16" s="2246">
        <f t="shared" si="13"/>
        <v>0.15740740740740741</v>
      </c>
      <c r="H16" s="2246">
        <f t="shared" si="13"/>
        <v>0.12934947049924356</v>
      </c>
      <c r="I16" s="2246">
        <f t="shared" si="13"/>
        <v>0.13181056160938809</v>
      </c>
      <c r="J16" s="2246">
        <f t="shared" si="13"/>
        <v>0.14762779639035989</v>
      </c>
      <c r="K16" s="2246">
        <f t="shared" si="13"/>
        <v>0.15</v>
      </c>
      <c r="L16" s="2246">
        <f t="shared" si="13"/>
        <v>0.14000000000000001</v>
      </c>
      <c r="M16" s="2246">
        <f t="shared" si="13"/>
        <v>0.122</v>
      </c>
      <c r="N16" s="2247">
        <f t="shared" si="13"/>
        <v>0.12000000000000001</v>
      </c>
      <c r="O16" s="2247">
        <v>0.11</v>
      </c>
      <c r="P16" s="2247">
        <v>0.11</v>
      </c>
      <c r="Q16" s="2188">
        <v>1699</v>
      </c>
      <c r="R16" s="2189">
        <v>1663</v>
      </c>
      <c r="S16" s="2189">
        <v>1445</v>
      </c>
      <c r="T16" s="2189">
        <v>1197</v>
      </c>
      <c r="U16" s="2189">
        <v>1258</v>
      </c>
      <c r="V16" s="2189">
        <v>1366</v>
      </c>
      <c r="W16" s="2277">
        <v>1482.8999999999999</v>
      </c>
      <c r="X16" s="2189">
        <v>1356.88</v>
      </c>
      <c r="Y16" s="2189">
        <v>1147.1659999999999</v>
      </c>
      <c r="Z16" s="2190">
        <v>1182.96</v>
      </c>
    </row>
    <row r="17" spans="1:26" x14ac:dyDescent="0.25">
      <c r="A17" s="5139"/>
      <c r="B17" s="3783" t="s">
        <v>744</v>
      </c>
      <c r="C17" s="2276"/>
      <c r="D17" s="2246"/>
      <c r="E17" s="2246">
        <f t="shared" ref="E17:N17" si="14">Q17/Q6</f>
        <v>0.36988560239101309</v>
      </c>
      <c r="F17" s="2246">
        <f t="shared" si="14"/>
        <v>0.3612787128188843</v>
      </c>
      <c r="G17" s="2246">
        <f t="shared" si="14"/>
        <v>0.35152505446623095</v>
      </c>
      <c r="H17" s="2246">
        <f t="shared" si="14"/>
        <v>0.30992003457964123</v>
      </c>
      <c r="I17" s="2246">
        <f t="shared" si="14"/>
        <v>0.31779128248113997</v>
      </c>
      <c r="J17" s="2246">
        <f t="shared" si="14"/>
        <v>0.32443531827515398</v>
      </c>
      <c r="K17" s="2246">
        <f t="shared" si="14"/>
        <v>0.31</v>
      </c>
      <c r="L17" s="2246">
        <f t="shared" si="14"/>
        <v>0.31</v>
      </c>
      <c r="M17" s="2246">
        <f t="shared" si="14"/>
        <v>0.318</v>
      </c>
      <c r="N17" s="2247">
        <f t="shared" si="14"/>
        <v>0.32</v>
      </c>
      <c r="O17" s="2247">
        <v>0.31</v>
      </c>
      <c r="P17" s="2247">
        <v>0.32</v>
      </c>
      <c r="Q17" s="2188">
        <v>3589</v>
      </c>
      <c r="R17" s="2189">
        <v>3413</v>
      </c>
      <c r="S17" s="2189">
        <v>3227</v>
      </c>
      <c r="T17" s="2189">
        <v>2868</v>
      </c>
      <c r="U17" s="2189">
        <v>3033</v>
      </c>
      <c r="V17" s="2189">
        <v>3002</v>
      </c>
      <c r="W17" s="2277">
        <v>3064.66</v>
      </c>
      <c r="X17" s="2189">
        <v>3004.52</v>
      </c>
      <c r="Y17" s="2189">
        <v>2990.154</v>
      </c>
      <c r="Z17" s="2190">
        <v>3154.56</v>
      </c>
    </row>
    <row r="18" spans="1:26" x14ac:dyDescent="0.25">
      <c r="A18" s="5139"/>
      <c r="B18" s="3794" t="s">
        <v>755</v>
      </c>
      <c r="C18" s="2276"/>
      <c r="D18" s="2246"/>
      <c r="E18" s="2246">
        <f t="shared" ref="E18:N18" si="15">Q18/Q6</f>
        <v>0.20838915799237348</v>
      </c>
      <c r="F18" s="2246">
        <f t="shared" si="15"/>
        <v>0.21668254472319254</v>
      </c>
      <c r="G18" s="2246">
        <f t="shared" si="15"/>
        <v>0.20980392156862746</v>
      </c>
      <c r="H18" s="2246">
        <f t="shared" si="15"/>
        <v>0.16944024205748864</v>
      </c>
      <c r="I18" s="2246">
        <f t="shared" si="15"/>
        <v>0.15360435875943002</v>
      </c>
      <c r="J18" s="2246">
        <f t="shared" si="15"/>
        <v>0.15757051766994487</v>
      </c>
      <c r="K18" s="2246">
        <f t="shared" si="15"/>
        <v>0.16</v>
      </c>
      <c r="L18" s="2246">
        <f t="shared" si="15"/>
        <v>0.16</v>
      </c>
      <c r="M18" s="2246">
        <f t="shared" si="15"/>
        <v>0.16</v>
      </c>
      <c r="N18" s="2247">
        <f t="shared" si="15"/>
        <v>0.15</v>
      </c>
      <c r="O18" s="2247">
        <v>0.16</v>
      </c>
      <c r="P18" s="2247">
        <v>0.15</v>
      </c>
      <c r="Q18" s="2188">
        <v>2022</v>
      </c>
      <c r="R18" s="2189">
        <v>2047</v>
      </c>
      <c r="S18" s="2189">
        <v>1926</v>
      </c>
      <c r="T18" s="2189">
        <v>1568</v>
      </c>
      <c r="U18" s="2189">
        <v>1466</v>
      </c>
      <c r="V18" s="2189">
        <v>1458</v>
      </c>
      <c r="W18" s="2277">
        <v>1581.76</v>
      </c>
      <c r="X18" s="2189">
        <v>1550.72</v>
      </c>
      <c r="Y18" s="2189">
        <v>1504.48</v>
      </c>
      <c r="Z18" s="2190">
        <v>1478.7</v>
      </c>
    </row>
    <row r="19" spans="1:26" x14ac:dyDescent="0.25">
      <c r="A19" s="5139"/>
      <c r="B19" s="3791" t="s">
        <v>1301</v>
      </c>
      <c r="C19" s="2278"/>
      <c r="D19" s="2246"/>
      <c r="E19" s="2246">
        <f t="shared" ref="E19:N19" si="16">Q19/Q6</f>
        <v>0.23394826342368338</v>
      </c>
      <c r="F19" s="2246">
        <f t="shared" si="16"/>
        <v>0.23245474753890125</v>
      </c>
      <c r="G19" s="2246">
        <f t="shared" si="16"/>
        <v>0.26884531590413946</v>
      </c>
      <c r="H19" s="2246">
        <f t="shared" si="16"/>
        <v>0.38113248325048626</v>
      </c>
      <c r="I19" s="2246">
        <f t="shared" si="16"/>
        <v>0.38338222967309304</v>
      </c>
      <c r="J19" s="2246">
        <f t="shared" si="16"/>
        <v>0.3556684318599373</v>
      </c>
      <c r="K19" s="2246">
        <f t="shared" si="16"/>
        <v>0.37</v>
      </c>
      <c r="L19" s="2246">
        <f t="shared" si="16"/>
        <v>0.38</v>
      </c>
      <c r="M19" s="2246">
        <f t="shared" si="16"/>
        <v>0.39</v>
      </c>
      <c r="N19" s="2247">
        <f t="shared" si="16"/>
        <v>0.19</v>
      </c>
      <c r="O19" s="2247">
        <v>0.19</v>
      </c>
      <c r="P19" s="2247">
        <v>0.19</v>
      </c>
      <c r="Q19" s="2279">
        <v>2270</v>
      </c>
      <c r="R19" s="2280">
        <v>2196</v>
      </c>
      <c r="S19" s="2280">
        <v>2468</v>
      </c>
      <c r="T19" s="2280">
        <v>3527</v>
      </c>
      <c r="U19" s="2280">
        <v>3659</v>
      </c>
      <c r="V19" s="2280">
        <v>3291</v>
      </c>
      <c r="W19" s="2277">
        <v>3657.82</v>
      </c>
      <c r="X19" s="2280">
        <v>3682.96</v>
      </c>
      <c r="Y19" s="2280">
        <v>3667.17</v>
      </c>
      <c r="Z19" s="2281">
        <v>1873.02</v>
      </c>
    </row>
    <row r="20" spans="1:26" x14ac:dyDescent="0.25">
      <c r="A20" s="5139"/>
      <c r="B20" s="3874" t="s">
        <v>1317</v>
      </c>
      <c r="C20" s="2278"/>
      <c r="D20" s="2246"/>
      <c r="E20" s="2246"/>
      <c r="F20" s="2246"/>
      <c r="G20" s="2246"/>
      <c r="H20" s="2246"/>
      <c r="I20" s="2246"/>
      <c r="J20" s="2246"/>
      <c r="K20" s="2246"/>
      <c r="L20" s="2246"/>
      <c r="M20" s="2246"/>
      <c r="N20" s="2247">
        <f>Z20/Z6</f>
        <v>0.13</v>
      </c>
      <c r="O20" s="2247">
        <v>0.14000000000000001</v>
      </c>
      <c r="P20" s="2247">
        <v>0.14000000000000001</v>
      </c>
      <c r="Q20" s="2282"/>
      <c r="R20" s="2283"/>
      <c r="S20" s="2280"/>
      <c r="T20" s="2280"/>
      <c r="U20" s="2280"/>
      <c r="V20" s="2280"/>
      <c r="W20" s="2277"/>
      <c r="X20" s="2280"/>
      <c r="Y20" s="2280"/>
      <c r="Z20" s="2281">
        <v>1281.54</v>
      </c>
    </row>
    <row r="21" spans="1:26" x14ac:dyDescent="0.25">
      <c r="A21" s="5140"/>
      <c r="B21" s="3875" t="s">
        <v>1318</v>
      </c>
      <c r="C21" s="2284"/>
      <c r="D21" s="2271"/>
      <c r="E21" s="2271"/>
      <c r="F21" s="2271"/>
      <c r="G21" s="2271"/>
      <c r="H21" s="2271"/>
      <c r="I21" s="2271"/>
      <c r="J21" s="2271"/>
      <c r="K21" s="2271"/>
      <c r="L21" s="2271"/>
      <c r="M21" s="2271"/>
      <c r="N21" s="2272">
        <f>Z21/Z6</f>
        <v>0.08</v>
      </c>
      <c r="O21" s="2272">
        <v>0.08</v>
      </c>
      <c r="P21" s="2272">
        <v>0.08</v>
      </c>
      <c r="Q21" s="2285"/>
      <c r="R21" s="2286"/>
      <c r="S21" s="2287"/>
      <c r="T21" s="2287"/>
      <c r="U21" s="2287"/>
      <c r="V21" s="2287"/>
      <c r="W21" s="2288"/>
      <c r="X21" s="2287"/>
      <c r="Y21" s="2287"/>
      <c r="Z21" s="2289">
        <v>788.64</v>
      </c>
    </row>
    <row r="22" spans="1:26" x14ac:dyDescent="0.25">
      <c r="A22" s="5134" t="s">
        <v>745</v>
      </c>
      <c r="B22" s="2290" t="s">
        <v>746</v>
      </c>
      <c r="C22" s="2291"/>
      <c r="D22" s="2224"/>
      <c r="E22" s="2224">
        <v>2.1999999999999999E-2</v>
      </c>
      <c r="F22" s="2224">
        <v>2.4E-2</v>
      </c>
      <c r="G22" s="2224">
        <v>2.4E-2</v>
      </c>
      <c r="H22" s="2224">
        <v>0.03</v>
      </c>
      <c r="I22" s="2224">
        <v>0.03</v>
      </c>
      <c r="J22" s="2224">
        <v>0.03</v>
      </c>
      <c r="K22" s="2224">
        <v>0.03</v>
      </c>
      <c r="L22" s="2224">
        <v>0.03</v>
      </c>
      <c r="M22" s="2224">
        <v>3.7999999999999999E-2</v>
      </c>
      <c r="N22" s="2225">
        <v>0.03</v>
      </c>
      <c r="O22" s="2225">
        <v>0.03</v>
      </c>
      <c r="P22" s="2225">
        <v>0.03</v>
      </c>
    </row>
    <row r="23" spans="1:26" x14ac:dyDescent="0.25">
      <c r="A23" s="5135"/>
      <c r="B23" s="2292" t="s">
        <v>747</v>
      </c>
      <c r="C23" s="2293"/>
      <c r="D23" s="2204"/>
      <c r="E23" s="2204">
        <v>0.20499999999999999</v>
      </c>
      <c r="F23" s="2204">
        <v>0.20300000000000001</v>
      </c>
      <c r="G23" s="2204">
        <v>0.19500000000000001</v>
      </c>
      <c r="H23" s="2204">
        <v>0.18</v>
      </c>
      <c r="I23" s="2204">
        <v>0.17</v>
      </c>
      <c r="J23" s="2204">
        <v>0.17</v>
      </c>
      <c r="K23" s="2204">
        <v>0.16</v>
      </c>
      <c r="L23" s="2204">
        <v>0.15</v>
      </c>
      <c r="M23" s="2204">
        <v>0.13600000000000001</v>
      </c>
      <c r="N23" s="2205">
        <v>0.13</v>
      </c>
      <c r="O23" s="2205">
        <v>0.12</v>
      </c>
      <c r="P23" s="2205">
        <v>0.11</v>
      </c>
    </row>
    <row r="24" spans="1:26" x14ac:dyDescent="0.25">
      <c r="A24" s="5135"/>
      <c r="B24" s="2292" t="s">
        <v>748</v>
      </c>
      <c r="C24" s="2293"/>
      <c r="D24" s="2204"/>
      <c r="E24" s="2204">
        <v>0.20100000000000001</v>
      </c>
      <c r="F24" s="2204">
        <v>0.19500000000000001</v>
      </c>
      <c r="G24" s="2204">
        <v>0.2</v>
      </c>
      <c r="H24" s="2204">
        <v>0.21</v>
      </c>
      <c r="I24" s="2204">
        <v>0.21</v>
      </c>
      <c r="J24" s="2204">
        <v>0.22</v>
      </c>
      <c r="K24" s="2204">
        <v>0.22</v>
      </c>
      <c r="L24" s="2204">
        <v>0.24</v>
      </c>
      <c r="M24" s="2204">
        <v>0.222</v>
      </c>
      <c r="N24" s="2205">
        <v>0.23</v>
      </c>
      <c r="O24" s="2205">
        <v>0.23</v>
      </c>
      <c r="P24" s="2205">
        <v>0.23</v>
      </c>
    </row>
    <row r="25" spans="1:26" x14ac:dyDescent="0.25">
      <c r="A25" s="5135"/>
      <c r="B25" s="2292" t="s">
        <v>749</v>
      </c>
      <c r="C25" s="2293"/>
      <c r="D25" s="2204"/>
      <c r="E25" s="2204">
        <v>0.1</v>
      </c>
      <c r="F25" s="2204">
        <v>0.10199999999999999</v>
      </c>
      <c r="G25" s="2204">
        <v>9.7000000000000003E-2</v>
      </c>
      <c r="H25" s="2204">
        <v>0.09</v>
      </c>
      <c r="I25" s="2204">
        <v>0.09</v>
      </c>
      <c r="J25" s="2204">
        <v>0.1</v>
      </c>
      <c r="K25" s="2204">
        <v>0.09</v>
      </c>
      <c r="L25" s="2204">
        <v>0.09</v>
      </c>
      <c r="M25" s="2204">
        <v>9.1999999999999998E-2</v>
      </c>
      <c r="N25" s="2205">
        <v>0.09</v>
      </c>
      <c r="O25" s="2205">
        <v>0.08</v>
      </c>
      <c r="P25" s="2205">
        <v>0.1</v>
      </c>
    </row>
    <row r="26" spans="1:26" x14ac:dyDescent="0.25">
      <c r="A26" s="5135"/>
      <c r="B26" s="2292" t="s">
        <v>750</v>
      </c>
      <c r="C26" s="2293"/>
      <c r="D26" s="2204"/>
      <c r="E26" s="2204">
        <v>0.14799999999999999</v>
      </c>
      <c r="F26" s="2204">
        <v>0.152</v>
      </c>
      <c r="G26" s="2204">
        <v>0.159</v>
      </c>
      <c r="H26" s="2204">
        <v>0.16</v>
      </c>
      <c r="I26" s="2204">
        <v>0.17</v>
      </c>
      <c r="J26" s="2204">
        <v>0.17</v>
      </c>
      <c r="K26" s="2204">
        <v>0.18</v>
      </c>
      <c r="L26" s="2204">
        <v>0.18</v>
      </c>
      <c r="M26" s="2204">
        <v>0.189</v>
      </c>
      <c r="N26" s="2205">
        <v>0.2</v>
      </c>
      <c r="O26" s="2205">
        <v>0.2</v>
      </c>
      <c r="P26" s="2205">
        <v>0.2</v>
      </c>
    </row>
    <row r="27" spans="1:26" x14ac:dyDescent="0.25">
      <c r="A27" s="5135"/>
      <c r="B27" s="2292" t="s">
        <v>751</v>
      </c>
      <c r="C27" s="2293"/>
      <c r="D27" s="2204"/>
      <c r="E27" s="2204">
        <v>0.28299999999999997</v>
      </c>
      <c r="F27" s="2204">
        <v>0.28000000000000003</v>
      </c>
      <c r="G27" s="2204">
        <v>0.28000000000000003</v>
      </c>
      <c r="H27" s="2204">
        <v>0.28000000000000003</v>
      </c>
      <c r="I27" s="2204">
        <v>0.28999999999999998</v>
      </c>
      <c r="J27" s="2204">
        <v>0.27</v>
      </c>
      <c r="K27" s="2204">
        <v>0.28000000000000003</v>
      </c>
      <c r="L27" s="2204">
        <v>0.27</v>
      </c>
      <c r="M27" s="2204">
        <v>0.28499999999999998</v>
      </c>
      <c r="N27" s="2205">
        <v>0.28000000000000003</v>
      </c>
      <c r="O27" s="2205">
        <v>0.28999999999999998</v>
      </c>
      <c r="P27" s="2205">
        <v>0.28999999999999998</v>
      </c>
    </row>
    <row r="28" spans="1:26" x14ac:dyDescent="0.25">
      <c r="A28" s="5136"/>
      <c r="B28" s="2294" t="s">
        <v>752</v>
      </c>
      <c r="C28" s="2295"/>
      <c r="D28" s="2213"/>
      <c r="E28" s="2213">
        <v>4.2000000000000003E-2</v>
      </c>
      <c r="F28" s="2213">
        <v>4.3999999999999997E-2</v>
      </c>
      <c r="G28" s="2213">
        <v>4.5999999999999999E-2</v>
      </c>
      <c r="H28" s="2213">
        <v>0.05</v>
      </c>
      <c r="I28" s="2213">
        <v>0.04</v>
      </c>
      <c r="J28" s="2213">
        <v>0.04</v>
      </c>
      <c r="K28" s="2213">
        <v>0.04</v>
      </c>
      <c r="L28" s="2213">
        <v>0.04</v>
      </c>
      <c r="M28" s="2213">
        <v>3.9E-2</v>
      </c>
      <c r="N28" s="2214">
        <v>0.04</v>
      </c>
      <c r="O28" s="2214">
        <v>0.05</v>
      </c>
      <c r="P28" s="2214">
        <v>0.04</v>
      </c>
    </row>
    <row r="29" spans="1:26" x14ac:dyDescent="0.25">
      <c r="A29" s="5134" t="s">
        <v>753</v>
      </c>
      <c r="B29" s="2290" t="s">
        <v>746</v>
      </c>
      <c r="C29" s="2291"/>
      <c r="D29" s="2224"/>
      <c r="E29" s="2224">
        <v>1.7000000000000001E-2</v>
      </c>
      <c r="F29" s="2224">
        <v>1.4999999999999999E-2</v>
      </c>
      <c r="G29" s="2224">
        <v>1.6E-2</v>
      </c>
      <c r="H29" s="2224">
        <v>0.02</v>
      </c>
      <c r="I29" s="2224">
        <v>0.02</v>
      </c>
      <c r="J29" s="2224">
        <v>0.02</v>
      </c>
      <c r="K29" s="2224">
        <v>0.02</v>
      </c>
      <c r="L29" s="2224">
        <v>0.01</v>
      </c>
      <c r="M29" s="2224">
        <v>1.2999999999999999E-2</v>
      </c>
      <c r="N29" s="2225">
        <v>0.01</v>
      </c>
      <c r="O29" s="2225">
        <v>0.01</v>
      </c>
      <c r="P29" s="2225">
        <v>0.01</v>
      </c>
    </row>
    <row r="30" spans="1:26" x14ac:dyDescent="0.25">
      <c r="A30" s="5135"/>
      <c r="B30" s="2292" t="s">
        <v>747</v>
      </c>
      <c r="C30" s="2293"/>
      <c r="D30" s="2204"/>
      <c r="E30" s="2204">
        <v>0.29199999999999998</v>
      </c>
      <c r="F30" s="2204">
        <v>0.25900000000000001</v>
      </c>
      <c r="G30" s="2204">
        <v>0.26100000000000001</v>
      </c>
      <c r="H30" s="2204">
        <v>0.25</v>
      </c>
      <c r="I30" s="2204">
        <v>0.23</v>
      </c>
      <c r="J30" s="2204">
        <v>0.23</v>
      </c>
      <c r="K30" s="2204">
        <v>0.22</v>
      </c>
      <c r="L30" s="2204">
        <v>0.21</v>
      </c>
      <c r="M30" s="2204">
        <v>0.192</v>
      </c>
      <c r="N30" s="2205">
        <v>0.17</v>
      </c>
      <c r="O30" s="2205">
        <v>0.16</v>
      </c>
      <c r="P30" s="2205">
        <v>0.15</v>
      </c>
    </row>
    <row r="31" spans="1:26" x14ac:dyDescent="0.25">
      <c r="A31" s="5135"/>
      <c r="B31" s="2292" t="s">
        <v>748</v>
      </c>
      <c r="C31" s="2293"/>
      <c r="D31" s="2204"/>
      <c r="E31" s="2204">
        <v>0.21299999999999999</v>
      </c>
      <c r="F31" s="2204">
        <v>0.20699999999999999</v>
      </c>
      <c r="G31" s="2204">
        <v>0.22</v>
      </c>
      <c r="H31" s="2204">
        <v>0.23</v>
      </c>
      <c r="I31" s="2204">
        <v>0.23</v>
      </c>
      <c r="J31" s="2204">
        <v>0.24</v>
      </c>
      <c r="K31" s="2204">
        <v>0.24</v>
      </c>
      <c r="L31" s="2204">
        <v>0.25</v>
      </c>
      <c r="M31" s="2204">
        <v>0.23699999999999999</v>
      </c>
      <c r="N31" s="2205">
        <v>0.24</v>
      </c>
      <c r="O31" s="2205">
        <v>0.25</v>
      </c>
      <c r="P31" s="2205">
        <v>0.25</v>
      </c>
    </row>
    <row r="32" spans="1:26" x14ac:dyDescent="0.25">
      <c r="A32" s="5135"/>
      <c r="B32" s="2292" t="s">
        <v>749</v>
      </c>
      <c r="C32" s="2293"/>
      <c r="D32" s="2204"/>
      <c r="E32" s="2204">
        <v>0.192</v>
      </c>
      <c r="F32" s="2204">
        <v>0.187</v>
      </c>
      <c r="G32" s="2204">
        <v>0.188</v>
      </c>
      <c r="H32" s="2204">
        <v>0.18</v>
      </c>
      <c r="I32" s="2204">
        <v>0.19</v>
      </c>
      <c r="J32" s="2204">
        <v>0.18</v>
      </c>
      <c r="K32" s="2204">
        <v>0.18</v>
      </c>
      <c r="L32" s="2204">
        <v>0.18</v>
      </c>
      <c r="M32" s="2204">
        <v>0.183</v>
      </c>
      <c r="N32" s="2205">
        <v>0.18</v>
      </c>
      <c r="O32" s="2205">
        <v>0.17</v>
      </c>
      <c r="P32" s="2205">
        <v>0.17</v>
      </c>
    </row>
    <row r="33" spans="1:16" x14ac:dyDescent="0.25">
      <c r="A33" s="5135"/>
      <c r="B33" s="2292" t="s">
        <v>750</v>
      </c>
      <c r="C33" s="2293"/>
      <c r="D33" s="2204"/>
      <c r="E33" s="2204">
        <v>0.112</v>
      </c>
      <c r="F33" s="2204">
        <v>0.121</v>
      </c>
      <c r="G33" s="2204">
        <v>0.125</v>
      </c>
      <c r="H33" s="2204">
        <v>0.13</v>
      </c>
      <c r="I33" s="2204">
        <v>0.13</v>
      </c>
      <c r="J33" s="2204">
        <v>0.13</v>
      </c>
      <c r="K33" s="2204">
        <v>0.14000000000000001</v>
      </c>
      <c r="L33" s="2204">
        <v>0.15</v>
      </c>
      <c r="M33" s="2204">
        <v>0.154</v>
      </c>
      <c r="N33" s="2205">
        <v>0.17</v>
      </c>
      <c r="O33" s="2205">
        <v>0.17</v>
      </c>
      <c r="P33" s="2205">
        <v>0.17</v>
      </c>
    </row>
    <row r="34" spans="1:16" x14ac:dyDescent="0.25">
      <c r="A34" s="5135"/>
      <c r="B34" s="2292" t="s">
        <v>751</v>
      </c>
      <c r="C34" s="2293"/>
      <c r="D34" s="2204"/>
      <c r="E34" s="2204">
        <v>0.155</v>
      </c>
      <c r="F34" s="2204">
        <v>0.185</v>
      </c>
      <c r="G34" s="2204">
        <v>0.16700000000000001</v>
      </c>
      <c r="H34" s="2204">
        <v>0.17</v>
      </c>
      <c r="I34" s="2204">
        <v>0.18</v>
      </c>
      <c r="J34" s="2204">
        <v>0.18</v>
      </c>
      <c r="K34" s="2204">
        <v>0.18</v>
      </c>
      <c r="L34" s="2204">
        <v>0.18</v>
      </c>
      <c r="M34" s="2204">
        <v>0.19400000000000001</v>
      </c>
      <c r="N34" s="2205">
        <v>0.2</v>
      </c>
      <c r="O34" s="2205">
        <v>0.21</v>
      </c>
      <c r="P34" s="2205">
        <v>0.22</v>
      </c>
    </row>
    <row r="35" spans="1:16" x14ac:dyDescent="0.25">
      <c r="A35" s="5136"/>
      <c r="B35" s="2294" t="s">
        <v>752</v>
      </c>
      <c r="C35" s="2295"/>
      <c r="D35" s="2213"/>
      <c r="E35" s="2213">
        <v>1.9E-2</v>
      </c>
      <c r="F35" s="2213">
        <v>2.7E-2</v>
      </c>
      <c r="G35" s="2213">
        <v>2.4E-2</v>
      </c>
      <c r="H35" s="2213">
        <v>0.02</v>
      </c>
      <c r="I35" s="2213">
        <v>0.02</v>
      </c>
      <c r="J35" s="2213">
        <v>0.02</v>
      </c>
      <c r="K35" s="2213">
        <v>0.02</v>
      </c>
      <c r="L35" s="2213">
        <v>0.02</v>
      </c>
      <c r="M35" s="2213">
        <v>2.7E-2</v>
      </c>
      <c r="N35" s="2214">
        <v>0.03</v>
      </c>
      <c r="O35" s="2214">
        <v>0.03</v>
      </c>
      <c r="P35" s="2214">
        <v>0.03</v>
      </c>
    </row>
    <row r="36" spans="1:16" x14ac:dyDescent="0.25">
      <c r="A36" s="2228"/>
      <c r="B36" s="2229"/>
      <c r="C36" s="2230"/>
      <c r="D36" s="2230"/>
      <c r="E36" s="2230"/>
      <c r="F36" s="2230"/>
      <c r="G36" s="2230"/>
      <c r="H36" s="2230"/>
      <c r="I36" s="2230"/>
      <c r="J36" s="2230"/>
      <c r="K36" s="2230"/>
      <c r="L36" s="2230"/>
      <c r="M36" s="2230"/>
      <c r="N36" s="2230"/>
      <c r="O36" s="2230"/>
    </row>
    <row r="39" spans="1:16" x14ac:dyDescent="0.25">
      <c r="K39" s="2296"/>
    </row>
  </sheetData>
  <mergeCells count="6">
    <mergeCell ref="A29:A35"/>
    <mergeCell ref="A4:A6"/>
    <mergeCell ref="A7:A10"/>
    <mergeCell ref="A11:A14"/>
    <mergeCell ref="A15:A21"/>
    <mergeCell ref="A22:A2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73" pageOrder="overThenDown" orientation="landscape" r:id="rId1"/>
  <rowBreaks count="2" manualBreakCount="2">
    <brk id="36" max="37" man="1"/>
    <brk id="65" max="37" man="1"/>
  </rowBreaks>
  <colBreaks count="1" manualBreakCount="1">
    <brk id="16" max="94" man="1"/>
  </colBreaks>
  <ignoredErrors>
    <ignoredError sqref="E8:N8" formula="1"/>
    <ignoredError sqref="O6:P6" formulaRange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AP105"/>
  <sheetViews>
    <sheetView showGridLines="0" zoomScaleNormal="100" zoomScaleSheetLayoutView="100" workbookViewId="0">
      <pane xSplit="3" ySplit="4" topLeftCell="AC5" activePane="bottomRight" state="frozen"/>
      <selection pane="topRight" activeCell="E1" sqref="E1"/>
      <selection pane="bottomLeft" activeCell="A6" sqref="A6"/>
      <selection pane="bottomRight" activeCell="C71" sqref="C71"/>
    </sheetView>
  </sheetViews>
  <sheetFormatPr baseColWidth="10" defaultRowHeight="12.75" x14ac:dyDescent="0.2"/>
  <cols>
    <col min="1" max="1" width="9.42578125" customWidth="1"/>
    <col min="2" max="2" width="9.7109375" customWidth="1"/>
    <col min="3" max="3" width="36.42578125" customWidth="1"/>
    <col min="4" max="5" width="8.7109375" customWidth="1"/>
    <col min="6" max="6" width="8.7109375" style="144" customWidth="1"/>
    <col min="7" max="8" width="8.7109375" customWidth="1"/>
    <col min="9" max="9" width="8.7109375" style="144" customWidth="1"/>
    <col min="10" max="11" width="8.7109375" customWidth="1"/>
    <col min="12" max="12" width="8.7109375" style="144" customWidth="1"/>
    <col min="13" max="14" width="8.7109375" customWidth="1"/>
    <col min="15" max="15" width="8.7109375" style="144" customWidth="1"/>
    <col min="16" max="17" width="8.7109375" customWidth="1"/>
    <col min="18" max="18" width="8.7109375" style="144" customWidth="1"/>
    <col min="19" max="42" width="8.7109375" customWidth="1"/>
    <col min="256" max="256" width="1.7109375" customWidth="1"/>
    <col min="257" max="257" width="17.7109375" bestFit="1" customWidth="1"/>
    <col min="258" max="258" width="5.7109375" bestFit="1" customWidth="1"/>
    <col min="259" max="259" width="36.7109375" bestFit="1" customWidth="1"/>
    <col min="260" max="274" width="9.7109375" customWidth="1"/>
    <col min="275" max="280" width="11.42578125" customWidth="1"/>
    <col min="512" max="512" width="1.7109375" customWidth="1"/>
    <col min="513" max="513" width="17.7109375" bestFit="1" customWidth="1"/>
    <col min="514" max="514" width="5.7109375" bestFit="1" customWidth="1"/>
    <col min="515" max="515" width="36.7109375" bestFit="1" customWidth="1"/>
    <col min="516" max="530" width="9.7109375" customWidth="1"/>
    <col min="531" max="536" width="11.42578125" customWidth="1"/>
    <col min="768" max="768" width="1.7109375" customWidth="1"/>
    <col min="769" max="769" width="17.7109375" bestFit="1" customWidth="1"/>
    <col min="770" max="770" width="5.7109375" bestFit="1" customWidth="1"/>
    <col min="771" max="771" width="36.7109375" bestFit="1" customWidth="1"/>
    <col min="772" max="786" width="9.7109375" customWidth="1"/>
    <col min="787" max="792" width="11.42578125" customWidth="1"/>
    <col min="1024" max="1024" width="1.7109375" customWidth="1"/>
    <col min="1025" max="1025" width="17.7109375" bestFit="1" customWidth="1"/>
    <col min="1026" max="1026" width="5.7109375" bestFit="1" customWidth="1"/>
    <col min="1027" max="1027" width="36.7109375" bestFit="1" customWidth="1"/>
    <col min="1028" max="1042" width="9.7109375" customWidth="1"/>
    <col min="1043" max="1048" width="11.42578125" customWidth="1"/>
    <col min="1280" max="1280" width="1.7109375" customWidth="1"/>
    <col min="1281" max="1281" width="17.7109375" bestFit="1" customWidth="1"/>
    <col min="1282" max="1282" width="5.7109375" bestFit="1" customWidth="1"/>
    <col min="1283" max="1283" width="36.7109375" bestFit="1" customWidth="1"/>
    <col min="1284" max="1298" width="9.7109375" customWidth="1"/>
    <col min="1299" max="1304" width="11.42578125" customWidth="1"/>
    <col min="1536" max="1536" width="1.7109375" customWidth="1"/>
    <col min="1537" max="1537" width="17.7109375" bestFit="1" customWidth="1"/>
    <col min="1538" max="1538" width="5.7109375" bestFit="1" customWidth="1"/>
    <col min="1539" max="1539" width="36.7109375" bestFit="1" customWidth="1"/>
    <col min="1540" max="1554" width="9.7109375" customWidth="1"/>
    <col min="1555" max="1560" width="11.42578125" customWidth="1"/>
    <col min="1792" max="1792" width="1.7109375" customWidth="1"/>
    <col min="1793" max="1793" width="17.7109375" bestFit="1" customWidth="1"/>
    <col min="1794" max="1794" width="5.7109375" bestFit="1" customWidth="1"/>
    <col min="1795" max="1795" width="36.7109375" bestFit="1" customWidth="1"/>
    <col min="1796" max="1810" width="9.7109375" customWidth="1"/>
    <col min="1811" max="1816" width="11.42578125" customWidth="1"/>
    <col min="2048" max="2048" width="1.7109375" customWidth="1"/>
    <col min="2049" max="2049" width="17.7109375" bestFit="1" customWidth="1"/>
    <col min="2050" max="2050" width="5.7109375" bestFit="1" customWidth="1"/>
    <col min="2051" max="2051" width="36.7109375" bestFit="1" customWidth="1"/>
    <col min="2052" max="2066" width="9.7109375" customWidth="1"/>
    <col min="2067" max="2072" width="11.42578125" customWidth="1"/>
    <col min="2304" max="2304" width="1.7109375" customWidth="1"/>
    <col min="2305" max="2305" width="17.7109375" bestFit="1" customWidth="1"/>
    <col min="2306" max="2306" width="5.7109375" bestFit="1" customWidth="1"/>
    <col min="2307" max="2307" width="36.7109375" bestFit="1" customWidth="1"/>
    <col min="2308" max="2322" width="9.7109375" customWidth="1"/>
    <col min="2323" max="2328" width="11.42578125" customWidth="1"/>
    <col min="2560" max="2560" width="1.7109375" customWidth="1"/>
    <col min="2561" max="2561" width="17.7109375" bestFit="1" customWidth="1"/>
    <col min="2562" max="2562" width="5.7109375" bestFit="1" customWidth="1"/>
    <col min="2563" max="2563" width="36.7109375" bestFit="1" customWidth="1"/>
    <col min="2564" max="2578" width="9.7109375" customWidth="1"/>
    <col min="2579" max="2584" width="11.42578125" customWidth="1"/>
    <col min="2816" max="2816" width="1.7109375" customWidth="1"/>
    <col min="2817" max="2817" width="17.7109375" bestFit="1" customWidth="1"/>
    <col min="2818" max="2818" width="5.7109375" bestFit="1" customWidth="1"/>
    <col min="2819" max="2819" width="36.7109375" bestFit="1" customWidth="1"/>
    <col min="2820" max="2834" width="9.7109375" customWidth="1"/>
    <col min="2835" max="2840" width="11.42578125" customWidth="1"/>
    <col min="3072" max="3072" width="1.7109375" customWidth="1"/>
    <col min="3073" max="3073" width="17.7109375" bestFit="1" customWidth="1"/>
    <col min="3074" max="3074" width="5.7109375" bestFit="1" customWidth="1"/>
    <col min="3075" max="3075" width="36.7109375" bestFit="1" customWidth="1"/>
    <col min="3076" max="3090" width="9.7109375" customWidth="1"/>
    <col min="3091" max="3096" width="11.42578125" customWidth="1"/>
    <col min="3328" max="3328" width="1.7109375" customWidth="1"/>
    <col min="3329" max="3329" width="17.7109375" bestFit="1" customWidth="1"/>
    <col min="3330" max="3330" width="5.7109375" bestFit="1" customWidth="1"/>
    <col min="3331" max="3331" width="36.7109375" bestFit="1" customWidth="1"/>
    <col min="3332" max="3346" width="9.7109375" customWidth="1"/>
    <col min="3347" max="3352" width="11.42578125" customWidth="1"/>
    <col min="3584" max="3584" width="1.7109375" customWidth="1"/>
    <col min="3585" max="3585" width="17.7109375" bestFit="1" customWidth="1"/>
    <col min="3586" max="3586" width="5.7109375" bestFit="1" customWidth="1"/>
    <col min="3587" max="3587" width="36.7109375" bestFit="1" customWidth="1"/>
    <col min="3588" max="3602" width="9.7109375" customWidth="1"/>
    <col min="3603" max="3608" width="11.42578125" customWidth="1"/>
    <col min="3840" max="3840" width="1.7109375" customWidth="1"/>
    <col min="3841" max="3841" width="17.7109375" bestFit="1" customWidth="1"/>
    <col min="3842" max="3842" width="5.7109375" bestFit="1" customWidth="1"/>
    <col min="3843" max="3843" width="36.7109375" bestFit="1" customWidth="1"/>
    <col min="3844" max="3858" width="9.7109375" customWidth="1"/>
    <col min="3859" max="3864" width="11.42578125" customWidth="1"/>
    <col min="4096" max="4096" width="1.7109375" customWidth="1"/>
    <col min="4097" max="4097" width="17.7109375" bestFit="1" customWidth="1"/>
    <col min="4098" max="4098" width="5.7109375" bestFit="1" customWidth="1"/>
    <col min="4099" max="4099" width="36.7109375" bestFit="1" customWidth="1"/>
    <col min="4100" max="4114" width="9.7109375" customWidth="1"/>
    <col min="4115" max="4120" width="11.42578125" customWidth="1"/>
    <col min="4352" max="4352" width="1.7109375" customWidth="1"/>
    <col min="4353" max="4353" width="17.7109375" bestFit="1" customWidth="1"/>
    <col min="4354" max="4354" width="5.7109375" bestFit="1" customWidth="1"/>
    <col min="4355" max="4355" width="36.7109375" bestFit="1" customWidth="1"/>
    <col min="4356" max="4370" width="9.7109375" customWidth="1"/>
    <col min="4371" max="4376" width="11.42578125" customWidth="1"/>
    <col min="4608" max="4608" width="1.7109375" customWidth="1"/>
    <col min="4609" max="4609" width="17.7109375" bestFit="1" customWidth="1"/>
    <col min="4610" max="4610" width="5.7109375" bestFit="1" customWidth="1"/>
    <col min="4611" max="4611" width="36.7109375" bestFit="1" customWidth="1"/>
    <col min="4612" max="4626" width="9.7109375" customWidth="1"/>
    <col min="4627" max="4632" width="11.42578125" customWidth="1"/>
    <col min="4864" max="4864" width="1.7109375" customWidth="1"/>
    <col min="4865" max="4865" width="17.7109375" bestFit="1" customWidth="1"/>
    <col min="4866" max="4866" width="5.7109375" bestFit="1" customWidth="1"/>
    <col min="4867" max="4867" width="36.7109375" bestFit="1" customWidth="1"/>
    <col min="4868" max="4882" width="9.7109375" customWidth="1"/>
    <col min="4883" max="4888" width="11.42578125" customWidth="1"/>
    <col min="5120" max="5120" width="1.7109375" customWidth="1"/>
    <col min="5121" max="5121" width="17.7109375" bestFit="1" customWidth="1"/>
    <col min="5122" max="5122" width="5.7109375" bestFit="1" customWidth="1"/>
    <col min="5123" max="5123" width="36.7109375" bestFit="1" customWidth="1"/>
    <col min="5124" max="5138" width="9.7109375" customWidth="1"/>
    <col min="5139" max="5144" width="11.42578125" customWidth="1"/>
    <col min="5376" max="5376" width="1.7109375" customWidth="1"/>
    <col min="5377" max="5377" width="17.7109375" bestFit="1" customWidth="1"/>
    <col min="5378" max="5378" width="5.7109375" bestFit="1" customWidth="1"/>
    <col min="5379" max="5379" width="36.7109375" bestFit="1" customWidth="1"/>
    <col min="5380" max="5394" width="9.7109375" customWidth="1"/>
    <col min="5395" max="5400" width="11.42578125" customWidth="1"/>
    <col min="5632" max="5632" width="1.7109375" customWidth="1"/>
    <col min="5633" max="5633" width="17.7109375" bestFit="1" customWidth="1"/>
    <col min="5634" max="5634" width="5.7109375" bestFit="1" customWidth="1"/>
    <col min="5635" max="5635" width="36.7109375" bestFit="1" customWidth="1"/>
    <col min="5636" max="5650" width="9.7109375" customWidth="1"/>
    <col min="5651" max="5656" width="11.42578125" customWidth="1"/>
    <col min="5888" max="5888" width="1.7109375" customWidth="1"/>
    <col min="5889" max="5889" width="17.7109375" bestFit="1" customWidth="1"/>
    <col min="5890" max="5890" width="5.7109375" bestFit="1" customWidth="1"/>
    <col min="5891" max="5891" width="36.7109375" bestFit="1" customWidth="1"/>
    <col min="5892" max="5906" width="9.7109375" customWidth="1"/>
    <col min="5907" max="5912" width="11.42578125" customWidth="1"/>
    <col min="6144" max="6144" width="1.7109375" customWidth="1"/>
    <col min="6145" max="6145" width="17.7109375" bestFit="1" customWidth="1"/>
    <col min="6146" max="6146" width="5.7109375" bestFit="1" customWidth="1"/>
    <col min="6147" max="6147" width="36.7109375" bestFit="1" customWidth="1"/>
    <col min="6148" max="6162" width="9.7109375" customWidth="1"/>
    <col min="6163" max="6168" width="11.42578125" customWidth="1"/>
    <col min="6400" max="6400" width="1.7109375" customWidth="1"/>
    <col min="6401" max="6401" width="17.7109375" bestFit="1" customWidth="1"/>
    <col min="6402" max="6402" width="5.7109375" bestFit="1" customWidth="1"/>
    <col min="6403" max="6403" width="36.7109375" bestFit="1" customWidth="1"/>
    <col min="6404" max="6418" width="9.7109375" customWidth="1"/>
    <col min="6419" max="6424" width="11.42578125" customWidth="1"/>
    <col min="6656" max="6656" width="1.7109375" customWidth="1"/>
    <col min="6657" max="6657" width="17.7109375" bestFit="1" customWidth="1"/>
    <col min="6658" max="6658" width="5.7109375" bestFit="1" customWidth="1"/>
    <col min="6659" max="6659" width="36.7109375" bestFit="1" customWidth="1"/>
    <col min="6660" max="6674" width="9.7109375" customWidth="1"/>
    <col min="6675" max="6680" width="11.42578125" customWidth="1"/>
    <col min="6912" max="6912" width="1.7109375" customWidth="1"/>
    <col min="6913" max="6913" width="17.7109375" bestFit="1" customWidth="1"/>
    <col min="6914" max="6914" width="5.7109375" bestFit="1" customWidth="1"/>
    <col min="6915" max="6915" width="36.7109375" bestFit="1" customWidth="1"/>
    <col min="6916" max="6930" width="9.7109375" customWidth="1"/>
    <col min="6931" max="6936" width="11.42578125" customWidth="1"/>
    <col min="7168" max="7168" width="1.7109375" customWidth="1"/>
    <col min="7169" max="7169" width="17.7109375" bestFit="1" customWidth="1"/>
    <col min="7170" max="7170" width="5.7109375" bestFit="1" customWidth="1"/>
    <col min="7171" max="7171" width="36.7109375" bestFit="1" customWidth="1"/>
    <col min="7172" max="7186" width="9.7109375" customWidth="1"/>
    <col min="7187" max="7192" width="11.42578125" customWidth="1"/>
    <col min="7424" max="7424" width="1.7109375" customWidth="1"/>
    <col min="7425" max="7425" width="17.7109375" bestFit="1" customWidth="1"/>
    <col min="7426" max="7426" width="5.7109375" bestFit="1" customWidth="1"/>
    <col min="7427" max="7427" width="36.7109375" bestFit="1" customWidth="1"/>
    <col min="7428" max="7442" width="9.7109375" customWidth="1"/>
    <col min="7443" max="7448" width="11.42578125" customWidth="1"/>
    <col min="7680" max="7680" width="1.7109375" customWidth="1"/>
    <col min="7681" max="7681" width="17.7109375" bestFit="1" customWidth="1"/>
    <col min="7682" max="7682" width="5.7109375" bestFit="1" customWidth="1"/>
    <col min="7683" max="7683" width="36.7109375" bestFit="1" customWidth="1"/>
    <col min="7684" max="7698" width="9.7109375" customWidth="1"/>
    <col min="7699" max="7704" width="11.42578125" customWidth="1"/>
    <col min="7936" max="7936" width="1.7109375" customWidth="1"/>
    <col min="7937" max="7937" width="17.7109375" bestFit="1" customWidth="1"/>
    <col min="7938" max="7938" width="5.7109375" bestFit="1" customWidth="1"/>
    <col min="7939" max="7939" width="36.7109375" bestFit="1" customWidth="1"/>
    <col min="7940" max="7954" width="9.7109375" customWidth="1"/>
    <col min="7955" max="7960" width="11.42578125" customWidth="1"/>
    <col min="8192" max="8192" width="1.7109375" customWidth="1"/>
    <col min="8193" max="8193" width="17.7109375" bestFit="1" customWidth="1"/>
    <col min="8194" max="8194" width="5.7109375" bestFit="1" customWidth="1"/>
    <col min="8195" max="8195" width="36.7109375" bestFit="1" customWidth="1"/>
    <col min="8196" max="8210" width="9.7109375" customWidth="1"/>
    <col min="8211" max="8216" width="11.42578125" customWidth="1"/>
    <col min="8448" max="8448" width="1.7109375" customWidth="1"/>
    <col min="8449" max="8449" width="17.7109375" bestFit="1" customWidth="1"/>
    <col min="8450" max="8450" width="5.7109375" bestFit="1" customWidth="1"/>
    <col min="8451" max="8451" width="36.7109375" bestFit="1" customWidth="1"/>
    <col min="8452" max="8466" width="9.7109375" customWidth="1"/>
    <col min="8467" max="8472" width="11.42578125" customWidth="1"/>
    <col min="8704" max="8704" width="1.7109375" customWidth="1"/>
    <col min="8705" max="8705" width="17.7109375" bestFit="1" customWidth="1"/>
    <col min="8706" max="8706" width="5.7109375" bestFit="1" customWidth="1"/>
    <col min="8707" max="8707" width="36.7109375" bestFit="1" customWidth="1"/>
    <col min="8708" max="8722" width="9.7109375" customWidth="1"/>
    <col min="8723" max="8728" width="11.42578125" customWidth="1"/>
    <col min="8960" max="8960" width="1.7109375" customWidth="1"/>
    <col min="8961" max="8961" width="17.7109375" bestFit="1" customWidth="1"/>
    <col min="8962" max="8962" width="5.7109375" bestFit="1" customWidth="1"/>
    <col min="8963" max="8963" width="36.7109375" bestFit="1" customWidth="1"/>
    <col min="8964" max="8978" width="9.7109375" customWidth="1"/>
    <col min="8979" max="8984" width="11.42578125" customWidth="1"/>
    <col min="9216" max="9216" width="1.7109375" customWidth="1"/>
    <col min="9217" max="9217" width="17.7109375" bestFit="1" customWidth="1"/>
    <col min="9218" max="9218" width="5.7109375" bestFit="1" customWidth="1"/>
    <col min="9219" max="9219" width="36.7109375" bestFit="1" customWidth="1"/>
    <col min="9220" max="9234" width="9.7109375" customWidth="1"/>
    <col min="9235" max="9240" width="11.42578125" customWidth="1"/>
    <col min="9472" max="9472" width="1.7109375" customWidth="1"/>
    <col min="9473" max="9473" width="17.7109375" bestFit="1" customWidth="1"/>
    <col min="9474" max="9474" width="5.7109375" bestFit="1" customWidth="1"/>
    <col min="9475" max="9475" width="36.7109375" bestFit="1" customWidth="1"/>
    <col min="9476" max="9490" width="9.7109375" customWidth="1"/>
    <col min="9491" max="9496" width="11.42578125" customWidth="1"/>
    <col min="9728" max="9728" width="1.7109375" customWidth="1"/>
    <col min="9729" max="9729" width="17.7109375" bestFit="1" customWidth="1"/>
    <col min="9730" max="9730" width="5.7109375" bestFit="1" customWidth="1"/>
    <col min="9731" max="9731" width="36.7109375" bestFit="1" customWidth="1"/>
    <col min="9732" max="9746" width="9.7109375" customWidth="1"/>
    <col min="9747" max="9752" width="11.42578125" customWidth="1"/>
    <col min="9984" max="9984" width="1.7109375" customWidth="1"/>
    <col min="9985" max="9985" width="17.7109375" bestFit="1" customWidth="1"/>
    <col min="9986" max="9986" width="5.7109375" bestFit="1" customWidth="1"/>
    <col min="9987" max="9987" width="36.7109375" bestFit="1" customWidth="1"/>
    <col min="9988" max="10002" width="9.7109375" customWidth="1"/>
    <col min="10003" max="10008" width="11.42578125" customWidth="1"/>
    <col min="10240" max="10240" width="1.7109375" customWidth="1"/>
    <col min="10241" max="10241" width="17.7109375" bestFit="1" customWidth="1"/>
    <col min="10242" max="10242" width="5.7109375" bestFit="1" customWidth="1"/>
    <col min="10243" max="10243" width="36.7109375" bestFit="1" customWidth="1"/>
    <col min="10244" max="10258" width="9.7109375" customWidth="1"/>
    <col min="10259" max="10264" width="11.42578125" customWidth="1"/>
    <col min="10496" max="10496" width="1.7109375" customWidth="1"/>
    <col min="10497" max="10497" width="17.7109375" bestFit="1" customWidth="1"/>
    <col min="10498" max="10498" width="5.7109375" bestFit="1" customWidth="1"/>
    <col min="10499" max="10499" width="36.7109375" bestFit="1" customWidth="1"/>
    <col min="10500" max="10514" width="9.7109375" customWidth="1"/>
    <col min="10515" max="10520" width="11.42578125" customWidth="1"/>
    <col min="10752" max="10752" width="1.7109375" customWidth="1"/>
    <col min="10753" max="10753" width="17.7109375" bestFit="1" customWidth="1"/>
    <col min="10754" max="10754" width="5.7109375" bestFit="1" customWidth="1"/>
    <col min="10755" max="10755" width="36.7109375" bestFit="1" customWidth="1"/>
    <col min="10756" max="10770" width="9.7109375" customWidth="1"/>
    <col min="10771" max="10776" width="11.42578125" customWidth="1"/>
    <col min="11008" max="11008" width="1.7109375" customWidth="1"/>
    <col min="11009" max="11009" width="17.7109375" bestFit="1" customWidth="1"/>
    <col min="11010" max="11010" width="5.7109375" bestFit="1" customWidth="1"/>
    <col min="11011" max="11011" width="36.7109375" bestFit="1" customWidth="1"/>
    <col min="11012" max="11026" width="9.7109375" customWidth="1"/>
    <col min="11027" max="11032" width="11.42578125" customWidth="1"/>
    <col min="11264" max="11264" width="1.7109375" customWidth="1"/>
    <col min="11265" max="11265" width="17.7109375" bestFit="1" customWidth="1"/>
    <col min="11266" max="11266" width="5.7109375" bestFit="1" customWidth="1"/>
    <col min="11267" max="11267" width="36.7109375" bestFit="1" customWidth="1"/>
    <col min="11268" max="11282" width="9.7109375" customWidth="1"/>
    <col min="11283" max="11288" width="11.42578125" customWidth="1"/>
    <col min="11520" max="11520" width="1.7109375" customWidth="1"/>
    <col min="11521" max="11521" width="17.7109375" bestFit="1" customWidth="1"/>
    <col min="11522" max="11522" width="5.7109375" bestFit="1" customWidth="1"/>
    <col min="11523" max="11523" width="36.7109375" bestFit="1" customWidth="1"/>
    <col min="11524" max="11538" width="9.7109375" customWidth="1"/>
    <col min="11539" max="11544" width="11.42578125" customWidth="1"/>
    <col min="11776" max="11776" width="1.7109375" customWidth="1"/>
    <col min="11777" max="11777" width="17.7109375" bestFit="1" customWidth="1"/>
    <col min="11778" max="11778" width="5.7109375" bestFit="1" customWidth="1"/>
    <col min="11779" max="11779" width="36.7109375" bestFit="1" customWidth="1"/>
    <col min="11780" max="11794" width="9.7109375" customWidth="1"/>
    <col min="11795" max="11800" width="11.42578125" customWidth="1"/>
    <col min="12032" max="12032" width="1.7109375" customWidth="1"/>
    <col min="12033" max="12033" width="17.7109375" bestFit="1" customWidth="1"/>
    <col min="12034" max="12034" width="5.7109375" bestFit="1" customWidth="1"/>
    <col min="12035" max="12035" width="36.7109375" bestFit="1" customWidth="1"/>
    <col min="12036" max="12050" width="9.7109375" customWidth="1"/>
    <col min="12051" max="12056" width="11.42578125" customWidth="1"/>
    <col min="12288" max="12288" width="1.7109375" customWidth="1"/>
    <col min="12289" max="12289" width="17.7109375" bestFit="1" customWidth="1"/>
    <col min="12290" max="12290" width="5.7109375" bestFit="1" customWidth="1"/>
    <col min="12291" max="12291" width="36.7109375" bestFit="1" customWidth="1"/>
    <col min="12292" max="12306" width="9.7109375" customWidth="1"/>
    <col min="12307" max="12312" width="11.42578125" customWidth="1"/>
    <col min="12544" max="12544" width="1.7109375" customWidth="1"/>
    <col min="12545" max="12545" width="17.7109375" bestFit="1" customWidth="1"/>
    <col min="12546" max="12546" width="5.7109375" bestFit="1" customWidth="1"/>
    <col min="12547" max="12547" width="36.7109375" bestFit="1" customWidth="1"/>
    <col min="12548" max="12562" width="9.7109375" customWidth="1"/>
    <col min="12563" max="12568" width="11.42578125" customWidth="1"/>
    <col min="12800" max="12800" width="1.7109375" customWidth="1"/>
    <col min="12801" max="12801" width="17.7109375" bestFit="1" customWidth="1"/>
    <col min="12802" max="12802" width="5.7109375" bestFit="1" customWidth="1"/>
    <col min="12803" max="12803" width="36.7109375" bestFit="1" customWidth="1"/>
    <col min="12804" max="12818" width="9.7109375" customWidth="1"/>
    <col min="12819" max="12824" width="11.42578125" customWidth="1"/>
    <col min="13056" max="13056" width="1.7109375" customWidth="1"/>
    <col min="13057" max="13057" width="17.7109375" bestFit="1" customWidth="1"/>
    <col min="13058" max="13058" width="5.7109375" bestFit="1" customWidth="1"/>
    <col min="13059" max="13059" width="36.7109375" bestFit="1" customWidth="1"/>
    <col min="13060" max="13074" width="9.7109375" customWidth="1"/>
    <col min="13075" max="13080" width="11.42578125" customWidth="1"/>
    <col min="13312" max="13312" width="1.7109375" customWidth="1"/>
    <col min="13313" max="13313" width="17.7109375" bestFit="1" customWidth="1"/>
    <col min="13314" max="13314" width="5.7109375" bestFit="1" customWidth="1"/>
    <col min="13315" max="13315" width="36.7109375" bestFit="1" customWidth="1"/>
    <col min="13316" max="13330" width="9.7109375" customWidth="1"/>
    <col min="13331" max="13336" width="11.42578125" customWidth="1"/>
    <col min="13568" max="13568" width="1.7109375" customWidth="1"/>
    <col min="13569" max="13569" width="17.7109375" bestFit="1" customWidth="1"/>
    <col min="13570" max="13570" width="5.7109375" bestFit="1" customWidth="1"/>
    <col min="13571" max="13571" width="36.7109375" bestFit="1" customWidth="1"/>
    <col min="13572" max="13586" width="9.7109375" customWidth="1"/>
    <col min="13587" max="13592" width="11.42578125" customWidth="1"/>
    <col min="13824" max="13824" width="1.7109375" customWidth="1"/>
    <col min="13825" max="13825" width="17.7109375" bestFit="1" customWidth="1"/>
    <col min="13826" max="13826" width="5.7109375" bestFit="1" customWidth="1"/>
    <col min="13827" max="13827" width="36.7109375" bestFit="1" customWidth="1"/>
    <col min="13828" max="13842" width="9.7109375" customWidth="1"/>
    <col min="13843" max="13848" width="11.42578125" customWidth="1"/>
    <col min="14080" max="14080" width="1.7109375" customWidth="1"/>
    <col min="14081" max="14081" width="17.7109375" bestFit="1" customWidth="1"/>
    <col min="14082" max="14082" width="5.7109375" bestFit="1" customWidth="1"/>
    <col min="14083" max="14083" width="36.7109375" bestFit="1" customWidth="1"/>
    <col min="14084" max="14098" width="9.7109375" customWidth="1"/>
    <col min="14099" max="14104" width="11.42578125" customWidth="1"/>
    <col min="14336" max="14336" width="1.7109375" customWidth="1"/>
    <col min="14337" max="14337" width="17.7109375" bestFit="1" customWidth="1"/>
    <col min="14338" max="14338" width="5.7109375" bestFit="1" customWidth="1"/>
    <col min="14339" max="14339" width="36.7109375" bestFit="1" customWidth="1"/>
    <col min="14340" max="14354" width="9.7109375" customWidth="1"/>
    <col min="14355" max="14360" width="11.42578125" customWidth="1"/>
    <col min="14592" max="14592" width="1.7109375" customWidth="1"/>
    <col min="14593" max="14593" width="17.7109375" bestFit="1" customWidth="1"/>
    <col min="14594" max="14594" width="5.7109375" bestFit="1" customWidth="1"/>
    <col min="14595" max="14595" width="36.7109375" bestFit="1" customWidth="1"/>
    <col min="14596" max="14610" width="9.7109375" customWidth="1"/>
    <col min="14611" max="14616" width="11.42578125" customWidth="1"/>
    <col min="14848" max="14848" width="1.7109375" customWidth="1"/>
    <col min="14849" max="14849" width="17.7109375" bestFit="1" customWidth="1"/>
    <col min="14850" max="14850" width="5.7109375" bestFit="1" customWidth="1"/>
    <col min="14851" max="14851" width="36.7109375" bestFit="1" customWidth="1"/>
    <col min="14852" max="14866" width="9.7109375" customWidth="1"/>
    <col min="14867" max="14872" width="11.42578125" customWidth="1"/>
    <col min="15104" max="15104" width="1.7109375" customWidth="1"/>
    <col min="15105" max="15105" width="17.7109375" bestFit="1" customWidth="1"/>
    <col min="15106" max="15106" width="5.7109375" bestFit="1" customWidth="1"/>
    <col min="15107" max="15107" width="36.7109375" bestFit="1" customWidth="1"/>
    <col min="15108" max="15122" width="9.7109375" customWidth="1"/>
    <col min="15123" max="15128" width="11.42578125" customWidth="1"/>
    <col min="15360" max="15360" width="1.7109375" customWidth="1"/>
    <col min="15361" max="15361" width="17.7109375" bestFit="1" customWidth="1"/>
    <col min="15362" max="15362" width="5.7109375" bestFit="1" customWidth="1"/>
    <col min="15363" max="15363" width="36.7109375" bestFit="1" customWidth="1"/>
    <col min="15364" max="15378" width="9.7109375" customWidth="1"/>
    <col min="15379" max="15384" width="11.42578125" customWidth="1"/>
    <col min="15616" max="15616" width="1.7109375" customWidth="1"/>
    <col min="15617" max="15617" width="17.7109375" bestFit="1" customWidth="1"/>
    <col min="15618" max="15618" width="5.7109375" bestFit="1" customWidth="1"/>
    <col min="15619" max="15619" width="36.7109375" bestFit="1" customWidth="1"/>
    <col min="15620" max="15634" width="9.7109375" customWidth="1"/>
    <col min="15635" max="15640" width="11.42578125" customWidth="1"/>
    <col min="15872" max="15872" width="1.7109375" customWidth="1"/>
    <col min="15873" max="15873" width="17.7109375" bestFit="1" customWidth="1"/>
    <col min="15874" max="15874" width="5.7109375" bestFit="1" customWidth="1"/>
    <col min="15875" max="15875" width="36.7109375" bestFit="1" customWidth="1"/>
    <col min="15876" max="15890" width="9.7109375" customWidth="1"/>
    <col min="15891" max="15896" width="11.42578125" customWidth="1"/>
    <col min="16128" max="16128" width="1.7109375" customWidth="1"/>
    <col min="16129" max="16129" width="17.7109375" bestFit="1" customWidth="1"/>
    <col min="16130" max="16130" width="5.7109375" bestFit="1" customWidth="1"/>
    <col min="16131" max="16131" width="36.7109375" bestFit="1" customWidth="1"/>
    <col min="16132" max="16146" width="9.7109375" customWidth="1"/>
    <col min="16147" max="16152" width="11.42578125" customWidth="1"/>
  </cols>
  <sheetData>
    <row r="1" spans="1:42" s="9" customFormat="1" ht="31.5" customHeight="1" x14ac:dyDescent="0.25">
      <c r="A1" s="5142" t="s">
        <v>1292</v>
      </c>
      <c r="B1" s="5142"/>
      <c r="C1" s="5142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</row>
    <row r="2" spans="1:42" s="9" customFormat="1" ht="15" customHeight="1" x14ac:dyDescent="0.25">
      <c r="A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</row>
    <row r="3" spans="1:42" s="9" customFormat="1" ht="15" customHeight="1" x14ac:dyDescent="0.2">
      <c r="A3" s="5106" t="s">
        <v>16</v>
      </c>
      <c r="B3" s="5106" t="s">
        <v>4</v>
      </c>
      <c r="C3" s="5106" t="s">
        <v>351</v>
      </c>
      <c r="D3" s="5141">
        <v>2003</v>
      </c>
      <c r="E3" s="5141"/>
      <c r="F3" s="5141"/>
      <c r="G3" s="5141">
        <v>2004</v>
      </c>
      <c r="H3" s="5141"/>
      <c r="I3" s="5141"/>
      <c r="J3" s="5141">
        <v>2005</v>
      </c>
      <c r="K3" s="5141"/>
      <c r="L3" s="5141"/>
      <c r="M3" s="5141">
        <v>2006</v>
      </c>
      <c r="N3" s="5141"/>
      <c r="O3" s="5141"/>
      <c r="P3" s="5141">
        <v>2007</v>
      </c>
      <c r="Q3" s="5141"/>
      <c r="R3" s="5141"/>
      <c r="S3" s="5141">
        <v>2008</v>
      </c>
      <c r="T3" s="5141"/>
      <c r="U3" s="5141"/>
      <c r="V3" s="5141">
        <v>2009</v>
      </c>
      <c r="W3" s="5141"/>
      <c r="X3" s="5141"/>
      <c r="Y3" s="5141">
        <v>2010</v>
      </c>
      <c r="Z3" s="5141"/>
      <c r="AA3" s="5141"/>
      <c r="AB3" s="5141">
        <v>2011</v>
      </c>
      <c r="AC3" s="5141"/>
      <c r="AD3" s="5141"/>
      <c r="AE3" s="5141">
        <v>2012</v>
      </c>
      <c r="AF3" s="5141"/>
      <c r="AG3" s="5141"/>
      <c r="AH3" s="5141">
        <v>2013</v>
      </c>
      <c r="AI3" s="5141"/>
      <c r="AJ3" s="5141"/>
      <c r="AK3" s="5141">
        <v>2014</v>
      </c>
      <c r="AL3" s="5141"/>
      <c r="AM3" s="5141"/>
      <c r="AN3" s="5141">
        <v>2015</v>
      </c>
      <c r="AO3" s="5141"/>
      <c r="AP3" s="5141"/>
    </row>
    <row r="4" spans="1:42" s="5" customFormat="1" ht="15.75" x14ac:dyDescent="0.25">
      <c r="A4" s="5106"/>
      <c r="B4" s="5106"/>
      <c r="C4" s="5106"/>
      <c r="D4" s="667" t="s">
        <v>670</v>
      </c>
      <c r="E4" s="1029" t="s">
        <v>668</v>
      </c>
      <c r="F4" s="1029" t="s">
        <v>669</v>
      </c>
      <c r="G4" s="667" t="s">
        <v>670</v>
      </c>
      <c r="H4" s="1029" t="s">
        <v>668</v>
      </c>
      <c r="I4" s="1029" t="s">
        <v>669</v>
      </c>
      <c r="J4" s="667" t="s">
        <v>670</v>
      </c>
      <c r="K4" s="1029" t="s">
        <v>668</v>
      </c>
      <c r="L4" s="1029" t="s">
        <v>669</v>
      </c>
      <c r="M4" s="667" t="s">
        <v>670</v>
      </c>
      <c r="N4" s="1029" t="s">
        <v>668</v>
      </c>
      <c r="O4" s="1029" t="s">
        <v>669</v>
      </c>
      <c r="P4" s="667" t="s">
        <v>670</v>
      </c>
      <c r="Q4" s="1029" t="s">
        <v>668</v>
      </c>
      <c r="R4" s="1029" t="s">
        <v>669</v>
      </c>
      <c r="S4" s="667" t="s">
        <v>670</v>
      </c>
      <c r="T4" s="1029" t="s">
        <v>668</v>
      </c>
      <c r="U4" s="1029" t="s">
        <v>669</v>
      </c>
      <c r="V4" s="667" t="s">
        <v>670</v>
      </c>
      <c r="W4" s="1029" t="s">
        <v>668</v>
      </c>
      <c r="X4" s="1029" t="s">
        <v>669</v>
      </c>
      <c r="Y4" s="667" t="s">
        <v>670</v>
      </c>
      <c r="Z4" s="1029" t="s">
        <v>668</v>
      </c>
      <c r="AA4" s="1029" t="s">
        <v>669</v>
      </c>
      <c r="AB4" s="667" t="s">
        <v>670</v>
      </c>
      <c r="AC4" s="1029" t="s">
        <v>668</v>
      </c>
      <c r="AD4" s="1029" t="s">
        <v>669</v>
      </c>
      <c r="AE4" s="667" t="s">
        <v>670</v>
      </c>
      <c r="AF4" s="1029" t="s">
        <v>668</v>
      </c>
      <c r="AG4" s="1029" t="s">
        <v>669</v>
      </c>
      <c r="AH4" s="667" t="s">
        <v>670</v>
      </c>
      <c r="AI4" s="1029" t="s">
        <v>668</v>
      </c>
      <c r="AJ4" s="1029" t="s">
        <v>669</v>
      </c>
      <c r="AK4" s="2060" t="s">
        <v>670</v>
      </c>
      <c r="AL4" s="2063" t="s">
        <v>668</v>
      </c>
      <c r="AM4" s="2061" t="s">
        <v>669</v>
      </c>
      <c r="AN4" s="2060" t="s">
        <v>670</v>
      </c>
      <c r="AO4" s="2063" t="s">
        <v>668</v>
      </c>
      <c r="AP4" s="2061" t="s">
        <v>669</v>
      </c>
    </row>
    <row r="5" spans="1:42" s="6" customFormat="1" ht="15" customHeight="1" x14ac:dyDescent="0.25">
      <c r="A5" s="5146" t="s">
        <v>446</v>
      </c>
      <c r="B5" s="5046" t="s">
        <v>5</v>
      </c>
      <c r="C5" s="845" t="s">
        <v>452</v>
      </c>
      <c r="D5" s="890">
        <v>264</v>
      </c>
      <c r="E5" s="891">
        <v>283</v>
      </c>
      <c r="F5" s="892">
        <v>307</v>
      </c>
      <c r="G5" s="890">
        <v>279</v>
      </c>
      <c r="H5" s="891">
        <v>285</v>
      </c>
      <c r="I5" s="893">
        <v>327</v>
      </c>
      <c r="J5" s="894">
        <v>299</v>
      </c>
      <c r="K5" s="895">
        <v>293</v>
      </c>
      <c r="L5" s="893">
        <v>317</v>
      </c>
      <c r="M5" s="894">
        <v>292</v>
      </c>
      <c r="N5" s="891">
        <v>314</v>
      </c>
      <c r="O5" s="892">
        <v>339</v>
      </c>
      <c r="P5" s="894">
        <v>315</v>
      </c>
      <c r="Q5" s="896">
        <v>336</v>
      </c>
      <c r="R5" s="892">
        <v>381</v>
      </c>
      <c r="S5" s="894">
        <v>362</v>
      </c>
      <c r="T5" s="896">
        <v>398</v>
      </c>
      <c r="U5" s="892">
        <v>468</v>
      </c>
      <c r="V5" s="894">
        <v>457</v>
      </c>
      <c r="W5" s="896">
        <v>501</v>
      </c>
      <c r="X5" s="892">
        <v>559</v>
      </c>
      <c r="Y5" s="897">
        <v>542</v>
      </c>
      <c r="Z5" s="898">
        <v>602</v>
      </c>
      <c r="AA5" s="899">
        <v>688</v>
      </c>
      <c r="AB5" s="897">
        <v>644</v>
      </c>
      <c r="AC5" s="898">
        <v>724</v>
      </c>
      <c r="AD5" s="899">
        <v>727</v>
      </c>
      <c r="AE5" s="897">
        <v>700</v>
      </c>
      <c r="AF5" s="898">
        <v>732</v>
      </c>
      <c r="AG5" s="899">
        <v>761</v>
      </c>
      <c r="AH5" s="897">
        <v>696</v>
      </c>
      <c r="AI5" s="898">
        <v>718</v>
      </c>
      <c r="AJ5" s="899">
        <v>734</v>
      </c>
      <c r="AK5" s="897">
        <v>670</v>
      </c>
      <c r="AL5" s="898">
        <v>688</v>
      </c>
      <c r="AM5" s="899">
        <v>724</v>
      </c>
      <c r="AN5" s="897">
        <v>683</v>
      </c>
      <c r="AO5" s="898">
        <v>685</v>
      </c>
      <c r="AP5" s="899">
        <v>710</v>
      </c>
    </row>
    <row r="6" spans="1:42" s="6" customFormat="1" ht="15" customHeight="1" x14ac:dyDescent="0.25">
      <c r="A6" s="5147"/>
      <c r="B6" s="5047"/>
      <c r="C6" s="847" t="s">
        <v>453</v>
      </c>
      <c r="D6" s="900">
        <v>485</v>
      </c>
      <c r="E6" s="901">
        <v>475</v>
      </c>
      <c r="F6" s="902">
        <v>508</v>
      </c>
      <c r="G6" s="900">
        <v>450</v>
      </c>
      <c r="H6" s="901">
        <v>447</v>
      </c>
      <c r="I6" s="903">
        <v>479</v>
      </c>
      <c r="J6" s="904">
        <v>440</v>
      </c>
      <c r="K6" s="905">
        <v>458</v>
      </c>
      <c r="L6" s="903">
        <v>466</v>
      </c>
      <c r="M6" s="904">
        <v>432</v>
      </c>
      <c r="N6" s="901">
        <v>449</v>
      </c>
      <c r="O6" s="902">
        <v>480</v>
      </c>
      <c r="P6" s="904">
        <v>440</v>
      </c>
      <c r="Q6" s="906">
        <v>463</v>
      </c>
      <c r="R6" s="902">
        <v>494</v>
      </c>
      <c r="S6" s="904">
        <v>457</v>
      </c>
      <c r="T6" s="906">
        <v>493</v>
      </c>
      <c r="U6" s="902">
        <v>552</v>
      </c>
      <c r="V6" s="904">
        <v>525</v>
      </c>
      <c r="W6" s="906">
        <v>592</v>
      </c>
      <c r="X6" s="902">
        <v>626</v>
      </c>
      <c r="Y6" s="907">
        <v>599</v>
      </c>
      <c r="Z6" s="908">
        <v>677</v>
      </c>
      <c r="AA6" s="909">
        <v>756</v>
      </c>
      <c r="AB6" s="907">
        <v>719</v>
      </c>
      <c r="AC6" s="908">
        <v>800</v>
      </c>
      <c r="AD6" s="909">
        <v>771</v>
      </c>
      <c r="AE6" s="907">
        <v>747</v>
      </c>
      <c r="AF6" s="908">
        <v>785</v>
      </c>
      <c r="AG6" s="909">
        <v>774</v>
      </c>
      <c r="AH6" s="907">
        <v>756</v>
      </c>
      <c r="AI6" s="908">
        <v>786</v>
      </c>
      <c r="AJ6" s="909">
        <v>799</v>
      </c>
      <c r="AK6" s="907">
        <v>745</v>
      </c>
      <c r="AL6" s="908">
        <v>778</v>
      </c>
      <c r="AM6" s="909">
        <v>800</v>
      </c>
      <c r="AN6" s="907">
        <v>725</v>
      </c>
      <c r="AO6" s="908">
        <v>741</v>
      </c>
      <c r="AP6" s="909">
        <v>746</v>
      </c>
    </row>
    <row r="7" spans="1:42" s="6" customFormat="1" ht="15" customHeight="1" x14ac:dyDescent="0.25">
      <c r="A7" s="5147"/>
      <c r="B7" s="5047"/>
      <c r="C7" s="847" t="s">
        <v>454</v>
      </c>
      <c r="D7" s="900">
        <v>320</v>
      </c>
      <c r="E7" s="901">
        <v>312</v>
      </c>
      <c r="F7" s="902">
        <v>334</v>
      </c>
      <c r="G7" s="900">
        <v>305</v>
      </c>
      <c r="H7" s="901">
        <v>317</v>
      </c>
      <c r="I7" s="903">
        <v>332</v>
      </c>
      <c r="J7" s="904">
        <v>304</v>
      </c>
      <c r="K7" s="905">
        <v>301</v>
      </c>
      <c r="L7" s="903">
        <v>300</v>
      </c>
      <c r="M7" s="904">
        <v>275</v>
      </c>
      <c r="N7" s="901">
        <v>269</v>
      </c>
      <c r="O7" s="902">
        <v>281</v>
      </c>
      <c r="P7" s="904">
        <v>265</v>
      </c>
      <c r="Q7" s="906">
        <v>271</v>
      </c>
      <c r="R7" s="902">
        <v>293</v>
      </c>
      <c r="S7" s="904">
        <v>259</v>
      </c>
      <c r="T7" s="906">
        <v>255</v>
      </c>
      <c r="U7" s="902">
        <v>298</v>
      </c>
      <c r="V7" s="904">
        <v>277</v>
      </c>
      <c r="W7" s="906">
        <v>305</v>
      </c>
      <c r="X7" s="902">
        <v>329</v>
      </c>
      <c r="Y7" s="907">
        <v>312</v>
      </c>
      <c r="Z7" s="908">
        <v>321</v>
      </c>
      <c r="AA7" s="909">
        <v>342</v>
      </c>
      <c r="AB7" s="907">
        <v>315</v>
      </c>
      <c r="AC7" s="908">
        <v>393</v>
      </c>
      <c r="AD7" s="909">
        <v>415</v>
      </c>
      <c r="AE7" s="907">
        <v>397</v>
      </c>
      <c r="AF7" s="908">
        <v>436</v>
      </c>
      <c r="AG7" s="909">
        <v>459</v>
      </c>
      <c r="AH7" s="907">
        <v>433</v>
      </c>
      <c r="AI7" s="908">
        <v>464</v>
      </c>
      <c r="AJ7" s="909">
        <v>480</v>
      </c>
      <c r="AK7" s="907">
        <v>445</v>
      </c>
      <c r="AL7" s="908">
        <v>450</v>
      </c>
      <c r="AM7" s="909">
        <v>497</v>
      </c>
      <c r="AN7" s="907">
        <v>448</v>
      </c>
      <c r="AO7" s="908">
        <v>470</v>
      </c>
      <c r="AP7" s="909">
        <v>490</v>
      </c>
    </row>
    <row r="8" spans="1:42" s="6" customFormat="1" ht="15" customHeight="1" x14ac:dyDescent="0.25">
      <c r="A8" s="5147"/>
      <c r="B8" s="5047"/>
      <c r="C8" s="847" t="s">
        <v>455</v>
      </c>
      <c r="D8" s="900">
        <v>198</v>
      </c>
      <c r="E8" s="901">
        <v>206</v>
      </c>
      <c r="F8" s="902">
        <v>224</v>
      </c>
      <c r="G8" s="900">
        <v>204</v>
      </c>
      <c r="H8" s="901">
        <v>199</v>
      </c>
      <c r="I8" s="903">
        <v>221</v>
      </c>
      <c r="J8" s="904">
        <v>205</v>
      </c>
      <c r="K8" s="905">
        <v>219</v>
      </c>
      <c r="L8" s="903">
        <v>239</v>
      </c>
      <c r="M8" s="904">
        <v>216</v>
      </c>
      <c r="N8" s="901">
        <v>213</v>
      </c>
      <c r="O8" s="902">
        <v>224</v>
      </c>
      <c r="P8" s="904">
        <v>213</v>
      </c>
      <c r="Q8" s="906">
        <v>207</v>
      </c>
      <c r="R8" s="902">
        <v>230</v>
      </c>
      <c r="S8" s="904">
        <v>216</v>
      </c>
      <c r="T8" s="906">
        <v>224</v>
      </c>
      <c r="U8" s="902">
        <v>249</v>
      </c>
      <c r="V8" s="904">
        <v>239</v>
      </c>
      <c r="W8" s="906">
        <v>259</v>
      </c>
      <c r="X8" s="902">
        <v>283</v>
      </c>
      <c r="Y8" s="907">
        <v>266</v>
      </c>
      <c r="Z8" s="908">
        <v>284</v>
      </c>
      <c r="AA8" s="909">
        <v>317</v>
      </c>
      <c r="AB8" s="907">
        <v>291</v>
      </c>
      <c r="AC8" s="908">
        <v>367</v>
      </c>
      <c r="AD8" s="909">
        <v>376</v>
      </c>
      <c r="AE8" s="907">
        <v>370</v>
      </c>
      <c r="AF8" s="908">
        <v>401</v>
      </c>
      <c r="AG8" s="909">
        <v>415</v>
      </c>
      <c r="AH8" s="907">
        <v>372</v>
      </c>
      <c r="AI8" s="908">
        <v>434</v>
      </c>
      <c r="AJ8" s="909">
        <v>442</v>
      </c>
      <c r="AK8" s="907">
        <v>407</v>
      </c>
      <c r="AL8" s="908">
        <v>442</v>
      </c>
      <c r="AM8" s="909">
        <v>458</v>
      </c>
      <c r="AN8" s="907">
        <v>417</v>
      </c>
      <c r="AO8" s="908">
        <v>433</v>
      </c>
      <c r="AP8" s="909">
        <v>489</v>
      </c>
    </row>
    <row r="9" spans="1:42" s="6" customFormat="1" ht="15" customHeight="1" x14ac:dyDescent="0.25">
      <c r="A9" s="5147"/>
      <c r="B9" s="5047"/>
      <c r="C9" s="847" t="s">
        <v>456</v>
      </c>
      <c r="D9" s="900">
        <v>920</v>
      </c>
      <c r="E9" s="901">
        <v>917</v>
      </c>
      <c r="F9" s="902">
        <v>978</v>
      </c>
      <c r="G9" s="900">
        <v>898</v>
      </c>
      <c r="H9" s="901">
        <v>942</v>
      </c>
      <c r="I9" s="903">
        <v>1024</v>
      </c>
      <c r="J9" s="904">
        <v>934</v>
      </c>
      <c r="K9" s="905">
        <v>978</v>
      </c>
      <c r="L9" s="903">
        <v>1022</v>
      </c>
      <c r="M9" s="904">
        <v>922</v>
      </c>
      <c r="N9" s="901">
        <v>948</v>
      </c>
      <c r="O9" s="902">
        <v>1048</v>
      </c>
      <c r="P9" s="904">
        <v>975</v>
      </c>
      <c r="Q9" s="906">
        <v>1009</v>
      </c>
      <c r="R9" s="902">
        <v>1060</v>
      </c>
      <c r="S9" s="904">
        <v>1002</v>
      </c>
      <c r="T9" s="906">
        <v>974</v>
      </c>
      <c r="U9" s="902">
        <v>1017</v>
      </c>
      <c r="V9" s="904">
        <v>972</v>
      </c>
      <c r="W9" s="906">
        <v>978</v>
      </c>
      <c r="X9" s="902">
        <v>989</v>
      </c>
      <c r="Y9" s="907">
        <v>924</v>
      </c>
      <c r="Z9" s="908">
        <v>969</v>
      </c>
      <c r="AA9" s="909">
        <v>991</v>
      </c>
      <c r="AB9" s="907">
        <v>911</v>
      </c>
      <c r="AC9" s="908">
        <v>985</v>
      </c>
      <c r="AD9" s="909">
        <v>948</v>
      </c>
      <c r="AE9" s="907">
        <v>887</v>
      </c>
      <c r="AF9" s="908">
        <v>926</v>
      </c>
      <c r="AG9" s="909">
        <v>894</v>
      </c>
      <c r="AH9" s="907">
        <v>840</v>
      </c>
      <c r="AI9" s="908">
        <v>853</v>
      </c>
      <c r="AJ9" s="909">
        <v>826</v>
      </c>
      <c r="AK9" s="907">
        <v>750</v>
      </c>
      <c r="AL9" s="908">
        <v>750</v>
      </c>
      <c r="AM9" s="909">
        <v>776</v>
      </c>
      <c r="AN9" s="907">
        <v>708</v>
      </c>
      <c r="AO9" s="908">
        <v>722</v>
      </c>
      <c r="AP9" s="909">
        <v>721</v>
      </c>
    </row>
    <row r="10" spans="1:42" s="6" customFormat="1" ht="15" customHeight="1" x14ac:dyDescent="0.25">
      <c r="A10" s="5147"/>
      <c r="B10" s="5047"/>
      <c r="C10" s="847" t="s">
        <v>457</v>
      </c>
      <c r="D10" s="900">
        <v>663</v>
      </c>
      <c r="E10" s="901">
        <v>666</v>
      </c>
      <c r="F10" s="902">
        <v>699</v>
      </c>
      <c r="G10" s="900">
        <v>631</v>
      </c>
      <c r="H10" s="901">
        <v>640</v>
      </c>
      <c r="I10" s="903">
        <v>686</v>
      </c>
      <c r="J10" s="904">
        <v>630</v>
      </c>
      <c r="K10" s="905">
        <v>661</v>
      </c>
      <c r="L10" s="903">
        <v>698</v>
      </c>
      <c r="M10" s="904">
        <v>645</v>
      </c>
      <c r="N10" s="901">
        <v>681</v>
      </c>
      <c r="O10" s="902">
        <v>698</v>
      </c>
      <c r="P10" s="904">
        <v>645</v>
      </c>
      <c r="Q10" s="906">
        <v>631</v>
      </c>
      <c r="R10" s="902">
        <v>678</v>
      </c>
      <c r="S10" s="904">
        <v>624</v>
      </c>
      <c r="T10" s="906">
        <v>627</v>
      </c>
      <c r="U10" s="902">
        <v>663</v>
      </c>
      <c r="V10" s="904">
        <v>613</v>
      </c>
      <c r="W10" s="906">
        <v>672</v>
      </c>
      <c r="X10" s="902">
        <v>692</v>
      </c>
      <c r="Y10" s="907">
        <v>636</v>
      </c>
      <c r="Z10" s="908">
        <v>707</v>
      </c>
      <c r="AA10" s="909">
        <v>766</v>
      </c>
      <c r="AB10" s="907">
        <v>709</v>
      </c>
      <c r="AC10" s="908">
        <v>773</v>
      </c>
      <c r="AD10" s="909">
        <v>745</v>
      </c>
      <c r="AE10" s="907">
        <v>731</v>
      </c>
      <c r="AF10" s="908">
        <v>756</v>
      </c>
      <c r="AG10" s="909">
        <v>714</v>
      </c>
      <c r="AH10" s="907">
        <v>685</v>
      </c>
      <c r="AI10" s="908">
        <v>727</v>
      </c>
      <c r="AJ10" s="909">
        <v>722</v>
      </c>
      <c r="AK10" s="907">
        <v>656</v>
      </c>
      <c r="AL10" s="908">
        <v>670</v>
      </c>
      <c r="AM10" s="909">
        <v>704</v>
      </c>
      <c r="AN10" s="907">
        <v>643</v>
      </c>
      <c r="AO10" s="908">
        <v>654</v>
      </c>
      <c r="AP10" s="909">
        <v>675</v>
      </c>
    </row>
    <row r="11" spans="1:42" s="6" customFormat="1" ht="15" customHeight="1" x14ac:dyDescent="0.25">
      <c r="A11" s="5147"/>
      <c r="B11" s="5047"/>
      <c r="C11" s="847" t="s">
        <v>458</v>
      </c>
      <c r="D11" s="900">
        <v>85</v>
      </c>
      <c r="E11" s="901">
        <v>79</v>
      </c>
      <c r="F11" s="902">
        <v>79</v>
      </c>
      <c r="G11" s="900">
        <v>73</v>
      </c>
      <c r="H11" s="901">
        <v>69</v>
      </c>
      <c r="I11" s="903">
        <v>81</v>
      </c>
      <c r="J11" s="904">
        <v>71</v>
      </c>
      <c r="K11" s="905">
        <v>74</v>
      </c>
      <c r="L11" s="903">
        <v>83</v>
      </c>
      <c r="M11" s="904">
        <v>75</v>
      </c>
      <c r="N11" s="901">
        <v>69</v>
      </c>
      <c r="O11" s="902">
        <v>97</v>
      </c>
      <c r="P11" s="904">
        <v>87</v>
      </c>
      <c r="Q11" s="906">
        <v>97</v>
      </c>
      <c r="R11" s="902">
        <v>104</v>
      </c>
      <c r="S11" s="904">
        <v>102</v>
      </c>
      <c r="T11" s="906">
        <v>104</v>
      </c>
      <c r="U11" s="902">
        <v>130</v>
      </c>
      <c r="V11" s="904">
        <v>124</v>
      </c>
      <c r="W11" s="906">
        <v>128</v>
      </c>
      <c r="X11" s="902">
        <v>157</v>
      </c>
      <c r="Y11" s="907">
        <v>147</v>
      </c>
      <c r="Z11" s="908">
        <v>151</v>
      </c>
      <c r="AA11" s="909">
        <v>190</v>
      </c>
      <c r="AB11" s="907">
        <v>180</v>
      </c>
      <c r="AC11" s="908">
        <v>238</v>
      </c>
      <c r="AD11" s="909">
        <v>242</v>
      </c>
      <c r="AE11" s="907">
        <v>237</v>
      </c>
      <c r="AF11" s="908">
        <v>286</v>
      </c>
      <c r="AG11" s="909">
        <v>302</v>
      </c>
      <c r="AH11" s="907">
        <v>303</v>
      </c>
      <c r="AI11" s="908">
        <v>349</v>
      </c>
      <c r="AJ11" s="909">
        <v>367</v>
      </c>
      <c r="AK11" s="907">
        <v>342</v>
      </c>
      <c r="AL11" s="908">
        <v>366</v>
      </c>
      <c r="AM11" s="909">
        <v>414</v>
      </c>
      <c r="AN11" s="907">
        <v>385</v>
      </c>
      <c r="AO11" s="908">
        <v>402</v>
      </c>
      <c r="AP11" s="909">
        <v>456</v>
      </c>
    </row>
    <row r="12" spans="1:42" s="6" customFormat="1" ht="15" customHeight="1" x14ac:dyDescent="0.25">
      <c r="A12" s="5147"/>
      <c r="B12" s="5047"/>
      <c r="C12" s="847" t="s">
        <v>459</v>
      </c>
      <c r="D12" s="900">
        <v>560</v>
      </c>
      <c r="E12" s="901">
        <v>545</v>
      </c>
      <c r="F12" s="902">
        <v>598</v>
      </c>
      <c r="G12" s="900">
        <v>550</v>
      </c>
      <c r="H12" s="901">
        <v>545</v>
      </c>
      <c r="I12" s="903">
        <v>601</v>
      </c>
      <c r="J12" s="904">
        <v>544</v>
      </c>
      <c r="K12" s="905">
        <v>557</v>
      </c>
      <c r="L12" s="903">
        <v>583</v>
      </c>
      <c r="M12" s="904">
        <v>537</v>
      </c>
      <c r="N12" s="901">
        <v>568</v>
      </c>
      <c r="O12" s="902">
        <v>582</v>
      </c>
      <c r="P12" s="904">
        <v>554</v>
      </c>
      <c r="Q12" s="906">
        <v>554</v>
      </c>
      <c r="R12" s="902">
        <v>611</v>
      </c>
      <c r="S12" s="904">
        <v>564</v>
      </c>
      <c r="T12" s="906">
        <v>586</v>
      </c>
      <c r="U12" s="902">
        <v>635</v>
      </c>
      <c r="V12" s="904">
        <v>585</v>
      </c>
      <c r="W12" s="906">
        <v>628</v>
      </c>
      <c r="X12" s="902">
        <v>643</v>
      </c>
      <c r="Y12" s="907">
        <v>614</v>
      </c>
      <c r="Z12" s="908">
        <v>698</v>
      </c>
      <c r="AA12" s="909">
        <v>733</v>
      </c>
      <c r="AB12" s="907">
        <v>671</v>
      </c>
      <c r="AC12" s="908">
        <v>749</v>
      </c>
      <c r="AD12" s="909">
        <v>715</v>
      </c>
      <c r="AE12" s="907">
        <v>706</v>
      </c>
      <c r="AF12" s="908">
        <v>747</v>
      </c>
      <c r="AG12" s="909">
        <v>734</v>
      </c>
      <c r="AH12" s="907">
        <v>708</v>
      </c>
      <c r="AI12" s="908">
        <v>740</v>
      </c>
      <c r="AJ12" s="909">
        <v>760</v>
      </c>
      <c r="AK12" s="907">
        <v>694</v>
      </c>
      <c r="AL12" s="908">
        <v>688</v>
      </c>
      <c r="AM12" s="909">
        <v>693</v>
      </c>
      <c r="AN12" s="907">
        <v>645</v>
      </c>
      <c r="AO12" s="908">
        <v>651</v>
      </c>
      <c r="AP12" s="909">
        <v>654</v>
      </c>
    </row>
    <row r="13" spans="1:42" s="6" customFormat="1" ht="15" customHeight="1" x14ac:dyDescent="0.25">
      <c r="A13" s="5147"/>
      <c r="B13" s="5047"/>
      <c r="C13" s="847" t="s">
        <v>460</v>
      </c>
      <c r="D13" s="900">
        <v>1267</v>
      </c>
      <c r="E13" s="901">
        <v>1290</v>
      </c>
      <c r="F13" s="902">
        <v>1335</v>
      </c>
      <c r="G13" s="900">
        <v>1227</v>
      </c>
      <c r="H13" s="901">
        <v>1259</v>
      </c>
      <c r="I13" s="903">
        <v>1361</v>
      </c>
      <c r="J13" s="904">
        <v>1253</v>
      </c>
      <c r="K13" s="905">
        <v>1314</v>
      </c>
      <c r="L13" s="903">
        <v>1351</v>
      </c>
      <c r="M13" s="904">
        <v>1199</v>
      </c>
      <c r="N13" s="901">
        <v>1271</v>
      </c>
      <c r="O13" s="902">
        <v>1296</v>
      </c>
      <c r="P13" s="904">
        <v>1195</v>
      </c>
      <c r="Q13" s="906">
        <v>1227</v>
      </c>
      <c r="R13" s="902">
        <v>1246</v>
      </c>
      <c r="S13" s="904">
        <v>1172</v>
      </c>
      <c r="T13" s="906">
        <v>1093</v>
      </c>
      <c r="U13" s="902">
        <v>1107</v>
      </c>
      <c r="V13" s="904">
        <v>1044</v>
      </c>
      <c r="W13" s="906">
        <v>1048</v>
      </c>
      <c r="X13" s="902">
        <v>1052</v>
      </c>
      <c r="Y13" s="907">
        <v>1015</v>
      </c>
      <c r="Z13" s="908">
        <v>1060</v>
      </c>
      <c r="AA13" s="909">
        <v>1096</v>
      </c>
      <c r="AB13" s="907">
        <v>1030</v>
      </c>
      <c r="AC13" s="908">
        <v>1114</v>
      </c>
      <c r="AD13" s="909">
        <v>1049</v>
      </c>
      <c r="AE13" s="907">
        <v>1019</v>
      </c>
      <c r="AF13" s="908">
        <v>1018</v>
      </c>
      <c r="AG13" s="909">
        <v>967</v>
      </c>
      <c r="AH13" s="907">
        <v>927</v>
      </c>
      <c r="AI13" s="908">
        <v>945</v>
      </c>
      <c r="AJ13" s="909">
        <v>931</v>
      </c>
      <c r="AK13" s="907">
        <v>863</v>
      </c>
      <c r="AL13" s="908">
        <v>842</v>
      </c>
      <c r="AM13" s="909">
        <v>867</v>
      </c>
      <c r="AN13" s="907">
        <v>781</v>
      </c>
      <c r="AO13" s="908">
        <v>790</v>
      </c>
      <c r="AP13" s="909">
        <v>825</v>
      </c>
    </row>
    <row r="14" spans="1:42" s="6" customFormat="1" ht="15" customHeight="1" x14ac:dyDescent="0.25">
      <c r="A14" s="5147"/>
      <c r="B14" s="5047"/>
      <c r="C14" s="813" t="s">
        <v>512</v>
      </c>
      <c r="D14" s="814"/>
      <c r="E14" s="855"/>
      <c r="F14" s="910">
        <v>98</v>
      </c>
      <c r="G14" s="854">
        <v>86</v>
      </c>
      <c r="H14" s="855">
        <v>296</v>
      </c>
      <c r="I14" s="910">
        <v>466</v>
      </c>
      <c r="J14" s="814">
        <v>429</v>
      </c>
      <c r="K14" s="815">
        <v>605</v>
      </c>
      <c r="L14" s="910">
        <v>744</v>
      </c>
      <c r="M14" s="814">
        <v>701</v>
      </c>
      <c r="N14" s="815">
        <v>873</v>
      </c>
      <c r="O14" s="910">
        <v>1044</v>
      </c>
      <c r="P14" s="814">
        <v>965</v>
      </c>
      <c r="Q14" s="815">
        <v>1073</v>
      </c>
      <c r="R14" s="910">
        <v>1170</v>
      </c>
      <c r="S14" s="814">
        <v>1100</v>
      </c>
      <c r="T14" s="815">
        <v>1178</v>
      </c>
      <c r="U14" s="910">
        <v>1276</v>
      </c>
      <c r="V14" s="814">
        <v>1233</v>
      </c>
      <c r="W14" s="815">
        <v>1321</v>
      </c>
      <c r="X14" s="910">
        <v>1350</v>
      </c>
      <c r="Y14" s="814">
        <v>1265</v>
      </c>
      <c r="Z14" s="815">
        <v>1354</v>
      </c>
      <c r="AA14" s="910">
        <v>1393</v>
      </c>
      <c r="AB14" s="817">
        <v>1281</v>
      </c>
      <c r="AC14" s="815">
        <v>1330</v>
      </c>
      <c r="AD14" s="910">
        <v>1273</v>
      </c>
      <c r="AE14" s="817">
        <v>1205</v>
      </c>
      <c r="AF14" s="815">
        <v>1232</v>
      </c>
      <c r="AG14" s="910">
        <v>1180</v>
      </c>
      <c r="AH14" s="817">
        <v>1101</v>
      </c>
      <c r="AI14" s="815">
        <v>1116</v>
      </c>
      <c r="AJ14" s="910">
        <v>1097</v>
      </c>
      <c r="AK14" s="817">
        <v>1028</v>
      </c>
      <c r="AL14" s="815">
        <v>974</v>
      </c>
      <c r="AM14" s="910">
        <v>985</v>
      </c>
      <c r="AN14" s="817">
        <v>879</v>
      </c>
      <c r="AO14" s="815">
        <v>866</v>
      </c>
      <c r="AP14" s="910">
        <v>877</v>
      </c>
    </row>
    <row r="15" spans="1:42" s="6" customFormat="1" ht="15" customHeight="1" x14ac:dyDescent="0.2">
      <c r="A15" s="5147"/>
      <c r="B15" s="5048"/>
      <c r="C15" s="874" t="s">
        <v>160</v>
      </c>
      <c r="D15" s="925">
        <f>SUM(D5:D14)</f>
        <v>4762</v>
      </c>
      <c r="E15" s="926">
        <f t="shared" ref="E15:AG15" si="0">SUM(E5:E14)</f>
        <v>4773</v>
      </c>
      <c r="F15" s="927">
        <f t="shared" si="0"/>
        <v>5160</v>
      </c>
      <c r="G15" s="925">
        <f t="shared" si="0"/>
        <v>4703</v>
      </c>
      <c r="H15" s="926">
        <f t="shared" si="0"/>
        <v>4999</v>
      </c>
      <c r="I15" s="927">
        <f t="shared" si="0"/>
        <v>5578</v>
      </c>
      <c r="J15" s="925">
        <f t="shared" si="0"/>
        <v>5109</v>
      </c>
      <c r="K15" s="926">
        <f t="shared" si="0"/>
        <v>5460</v>
      </c>
      <c r="L15" s="927">
        <f t="shared" si="0"/>
        <v>5803</v>
      </c>
      <c r="M15" s="925">
        <f t="shared" si="0"/>
        <v>5294</v>
      </c>
      <c r="N15" s="926">
        <f t="shared" si="0"/>
        <v>5655</v>
      </c>
      <c r="O15" s="927">
        <f t="shared" si="0"/>
        <v>6089</v>
      </c>
      <c r="P15" s="925">
        <f t="shared" si="0"/>
        <v>5654</v>
      </c>
      <c r="Q15" s="926">
        <f t="shared" si="0"/>
        <v>5868</v>
      </c>
      <c r="R15" s="927">
        <f t="shared" si="0"/>
        <v>6267</v>
      </c>
      <c r="S15" s="925">
        <f t="shared" si="0"/>
        <v>5858</v>
      </c>
      <c r="T15" s="926">
        <f t="shared" si="0"/>
        <v>5932</v>
      </c>
      <c r="U15" s="927">
        <f t="shared" si="0"/>
        <v>6395</v>
      </c>
      <c r="V15" s="925">
        <f t="shared" si="0"/>
        <v>6069</v>
      </c>
      <c r="W15" s="926">
        <f t="shared" si="0"/>
        <v>6432</v>
      </c>
      <c r="X15" s="927">
        <f t="shared" si="0"/>
        <v>6680</v>
      </c>
      <c r="Y15" s="925">
        <f t="shared" si="0"/>
        <v>6320</v>
      </c>
      <c r="Z15" s="926">
        <f t="shared" si="0"/>
        <v>6823</v>
      </c>
      <c r="AA15" s="927">
        <f t="shared" si="0"/>
        <v>7272</v>
      </c>
      <c r="AB15" s="925">
        <f t="shared" si="0"/>
        <v>6751</v>
      </c>
      <c r="AC15" s="926">
        <f t="shared" si="0"/>
        <v>7473</v>
      </c>
      <c r="AD15" s="927">
        <f t="shared" si="0"/>
        <v>7261</v>
      </c>
      <c r="AE15" s="925">
        <f t="shared" si="0"/>
        <v>6999</v>
      </c>
      <c r="AF15" s="926">
        <f t="shared" si="0"/>
        <v>7319</v>
      </c>
      <c r="AG15" s="927">
        <f t="shared" si="0"/>
        <v>7200</v>
      </c>
      <c r="AH15" s="925">
        <f t="shared" ref="AH15:AM15" si="1">SUM(AH5:AH14)</f>
        <v>6821</v>
      </c>
      <c r="AI15" s="926">
        <f t="shared" si="1"/>
        <v>7132</v>
      </c>
      <c r="AJ15" s="927">
        <f t="shared" si="1"/>
        <v>7158</v>
      </c>
      <c r="AK15" s="925">
        <f t="shared" si="1"/>
        <v>6600</v>
      </c>
      <c r="AL15" s="926">
        <f t="shared" si="1"/>
        <v>6648</v>
      </c>
      <c r="AM15" s="927">
        <f t="shared" si="1"/>
        <v>6918</v>
      </c>
      <c r="AN15" s="925">
        <f t="shared" ref="AN15:AP15" si="2">SUM(AN5:AN14)</f>
        <v>6314</v>
      </c>
      <c r="AO15" s="926">
        <f t="shared" si="2"/>
        <v>6414</v>
      </c>
      <c r="AP15" s="927">
        <f t="shared" si="2"/>
        <v>6643</v>
      </c>
    </row>
    <row r="16" spans="1:42" s="6" customFormat="1" ht="15" customHeight="1" x14ac:dyDescent="0.25">
      <c r="A16" s="5147"/>
      <c r="B16" s="5046" t="s">
        <v>6</v>
      </c>
      <c r="C16" s="914" t="s">
        <v>462</v>
      </c>
      <c r="D16" s="915">
        <v>1064</v>
      </c>
      <c r="E16" s="916">
        <v>1082</v>
      </c>
      <c r="F16" s="917">
        <v>1124</v>
      </c>
      <c r="G16" s="915">
        <v>1038</v>
      </c>
      <c r="H16" s="916">
        <v>1036</v>
      </c>
      <c r="I16" s="918">
        <v>1123</v>
      </c>
      <c r="J16" s="919">
        <v>1035</v>
      </c>
      <c r="K16" s="920">
        <v>1045</v>
      </c>
      <c r="L16" s="918">
        <v>1120</v>
      </c>
      <c r="M16" s="919">
        <v>1025</v>
      </c>
      <c r="N16" s="916">
        <v>1043</v>
      </c>
      <c r="O16" s="917">
        <v>1113</v>
      </c>
      <c r="P16" s="919">
        <v>1052</v>
      </c>
      <c r="Q16" s="921">
        <v>1152</v>
      </c>
      <c r="R16" s="917">
        <v>1145</v>
      </c>
      <c r="S16" s="919">
        <v>1050</v>
      </c>
      <c r="T16" s="921">
        <v>1077</v>
      </c>
      <c r="U16" s="917">
        <v>1119</v>
      </c>
      <c r="V16" s="919">
        <v>1062</v>
      </c>
      <c r="W16" s="921">
        <v>1102</v>
      </c>
      <c r="X16" s="917">
        <v>1146</v>
      </c>
      <c r="Y16" s="922">
        <v>1088</v>
      </c>
      <c r="Z16" s="923">
        <v>1141</v>
      </c>
      <c r="AA16" s="924">
        <v>1178</v>
      </c>
      <c r="AB16" s="922">
        <v>1098</v>
      </c>
      <c r="AC16" s="923">
        <v>1161</v>
      </c>
      <c r="AD16" s="924">
        <v>1161</v>
      </c>
      <c r="AE16" s="922">
        <v>1107</v>
      </c>
      <c r="AF16" s="923">
        <v>1182</v>
      </c>
      <c r="AG16" s="924">
        <v>1202</v>
      </c>
      <c r="AH16" s="922">
        <v>1106</v>
      </c>
      <c r="AI16" s="923">
        <v>1199</v>
      </c>
      <c r="AJ16" s="924">
        <v>1229</v>
      </c>
      <c r="AK16" s="922">
        <v>1110</v>
      </c>
      <c r="AL16" s="923">
        <v>1188</v>
      </c>
      <c r="AM16" s="924">
        <v>1246</v>
      </c>
      <c r="AN16" s="922">
        <v>1135</v>
      </c>
      <c r="AO16" s="923">
        <v>1217</v>
      </c>
      <c r="AP16" s="924">
        <v>1251</v>
      </c>
    </row>
    <row r="17" spans="1:42" s="6" customFormat="1" ht="15" customHeight="1" x14ac:dyDescent="0.25">
      <c r="A17" s="5147"/>
      <c r="B17" s="5047"/>
      <c r="C17" s="847" t="s">
        <v>463</v>
      </c>
      <c r="D17" s="900">
        <v>1581</v>
      </c>
      <c r="E17" s="901">
        <v>1631</v>
      </c>
      <c r="F17" s="902">
        <v>1701</v>
      </c>
      <c r="G17" s="900">
        <v>1572</v>
      </c>
      <c r="H17" s="901">
        <v>1595</v>
      </c>
      <c r="I17" s="903">
        <v>1664</v>
      </c>
      <c r="J17" s="904">
        <v>1554</v>
      </c>
      <c r="K17" s="905">
        <v>1572</v>
      </c>
      <c r="L17" s="903">
        <v>1656</v>
      </c>
      <c r="M17" s="904">
        <v>1505</v>
      </c>
      <c r="N17" s="901">
        <v>1521</v>
      </c>
      <c r="O17" s="902">
        <v>1641</v>
      </c>
      <c r="P17" s="904">
        <v>1530</v>
      </c>
      <c r="Q17" s="906">
        <v>1582</v>
      </c>
      <c r="R17" s="902">
        <v>1624</v>
      </c>
      <c r="S17" s="904">
        <v>1497</v>
      </c>
      <c r="T17" s="906">
        <v>1552</v>
      </c>
      <c r="U17" s="902">
        <v>1635</v>
      </c>
      <c r="V17" s="904">
        <v>1544</v>
      </c>
      <c r="W17" s="906">
        <v>1634</v>
      </c>
      <c r="X17" s="902">
        <v>1664</v>
      </c>
      <c r="Y17" s="907">
        <v>1568</v>
      </c>
      <c r="Z17" s="908">
        <v>1704</v>
      </c>
      <c r="AA17" s="909">
        <v>1753</v>
      </c>
      <c r="AB17" s="907">
        <v>1639</v>
      </c>
      <c r="AC17" s="908">
        <v>1797</v>
      </c>
      <c r="AD17" s="909">
        <v>1835</v>
      </c>
      <c r="AE17" s="907">
        <v>1758</v>
      </c>
      <c r="AF17" s="908">
        <v>1917</v>
      </c>
      <c r="AG17" s="909">
        <v>1995</v>
      </c>
      <c r="AH17" s="907">
        <v>1860</v>
      </c>
      <c r="AI17" s="908">
        <v>1976</v>
      </c>
      <c r="AJ17" s="909">
        <v>2020</v>
      </c>
      <c r="AK17" s="907">
        <v>1851</v>
      </c>
      <c r="AL17" s="908">
        <v>1956</v>
      </c>
      <c r="AM17" s="909">
        <v>2077</v>
      </c>
      <c r="AN17" s="907">
        <v>1905</v>
      </c>
      <c r="AO17" s="908">
        <v>2065</v>
      </c>
      <c r="AP17" s="909">
        <v>2152</v>
      </c>
    </row>
    <row r="18" spans="1:42" s="6" customFormat="1" ht="15" customHeight="1" x14ac:dyDescent="0.25">
      <c r="A18" s="5147"/>
      <c r="B18" s="5047"/>
      <c r="C18" s="847" t="s">
        <v>464</v>
      </c>
      <c r="D18" s="900">
        <v>767</v>
      </c>
      <c r="E18" s="901">
        <v>809</v>
      </c>
      <c r="F18" s="902">
        <v>812</v>
      </c>
      <c r="G18" s="900">
        <v>718</v>
      </c>
      <c r="H18" s="901">
        <v>737</v>
      </c>
      <c r="I18" s="903">
        <v>788</v>
      </c>
      <c r="J18" s="904">
        <v>730</v>
      </c>
      <c r="K18" s="905">
        <v>759</v>
      </c>
      <c r="L18" s="903">
        <v>761</v>
      </c>
      <c r="M18" s="904">
        <v>684</v>
      </c>
      <c r="N18" s="901">
        <v>724</v>
      </c>
      <c r="O18" s="902">
        <v>769</v>
      </c>
      <c r="P18" s="904">
        <v>702</v>
      </c>
      <c r="Q18" s="906">
        <v>718</v>
      </c>
      <c r="R18" s="902">
        <v>751</v>
      </c>
      <c r="S18" s="904">
        <v>694</v>
      </c>
      <c r="T18" s="906">
        <v>756</v>
      </c>
      <c r="U18" s="902">
        <v>791</v>
      </c>
      <c r="V18" s="904">
        <v>768</v>
      </c>
      <c r="W18" s="906">
        <v>822</v>
      </c>
      <c r="X18" s="902">
        <v>842</v>
      </c>
      <c r="Y18" s="907">
        <v>807</v>
      </c>
      <c r="Z18" s="908">
        <v>868</v>
      </c>
      <c r="AA18" s="909">
        <v>892</v>
      </c>
      <c r="AB18" s="907">
        <v>822</v>
      </c>
      <c r="AC18" s="908">
        <v>887</v>
      </c>
      <c r="AD18" s="909">
        <v>917</v>
      </c>
      <c r="AE18" s="907">
        <v>851</v>
      </c>
      <c r="AF18" s="908">
        <v>930</v>
      </c>
      <c r="AG18" s="909">
        <v>965</v>
      </c>
      <c r="AH18" s="907">
        <v>890</v>
      </c>
      <c r="AI18" s="908">
        <v>974</v>
      </c>
      <c r="AJ18" s="909">
        <v>997</v>
      </c>
      <c r="AK18" s="907">
        <v>882</v>
      </c>
      <c r="AL18" s="908">
        <v>954</v>
      </c>
      <c r="AM18" s="909">
        <v>1027</v>
      </c>
      <c r="AN18" s="907">
        <v>926</v>
      </c>
      <c r="AO18" s="908">
        <v>1000</v>
      </c>
      <c r="AP18" s="909">
        <v>1026</v>
      </c>
    </row>
    <row r="19" spans="1:42" s="6" customFormat="1" ht="15" customHeight="1" x14ac:dyDescent="0.25">
      <c r="A19" s="5147"/>
      <c r="B19" s="5047"/>
      <c r="C19" s="813" t="s">
        <v>465</v>
      </c>
      <c r="D19" s="814">
        <v>736</v>
      </c>
      <c r="E19" s="855">
        <v>778</v>
      </c>
      <c r="F19" s="910">
        <v>834</v>
      </c>
      <c r="G19" s="854">
        <v>754</v>
      </c>
      <c r="H19" s="855">
        <v>774</v>
      </c>
      <c r="I19" s="910">
        <v>828</v>
      </c>
      <c r="J19" s="814">
        <v>780</v>
      </c>
      <c r="K19" s="815">
        <v>847</v>
      </c>
      <c r="L19" s="910">
        <v>861</v>
      </c>
      <c r="M19" s="814">
        <v>762</v>
      </c>
      <c r="N19" s="815">
        <v>788</v>
      </c>
      <c r="O19" s="910">
        <v>859</v>
      </c>
      <c r="P19" s="814">
        <v>790</v>
      </c>
      <c r="Q19" s="815">
        <v>805</v>
      </c>
      <c r="R19" s="910">
        <v>842</v>
      </c>
      <c r="S19" s="814">
        <v>809</v>
      </c>
      <c r="T19" s="815">
        <v>845</v>
      </c>
      <c r="U19" s="910">
        <v>898</v>
      </c>
      <c r="V19" s="814">
        <v>851</v>
      </c>
      <c r="W19" s="815">
        <v>876</v>
      </c>
      <c r="X19" s="910">
        <v>917</v>
      </c>
      <c r="Y19" s="814">
        <v>873</v>
      </c>
      <c r="Z19" s="815">
        <v>936</v>
      </c>
      <c r="AA19" s="910">
        <v>962</v>
      </c>
      <c r="AB19" s="817">
        <v>890</v>
      </c>
      <c r="AC19" s="815">
        <v>923</v>
      </c>
      <c r="AD19" s="910">
        <v>927</v>
      </c>
      <c r="AE19" s="817">
        <v>908</v>
      </c>
      <c r="AF19" s="815">
        <v>986</v>
      </c>
      <c r="AG19" s="910">
        <v>1039</v>
      </c>
      <c r="AH19" s="817">
        <v>950</v>
      </c>
      <c r="AI19" s="815">
        <v>1008</v>
      </c>
      <c r="AJ19" s="910">
        <v>1051</v>
      </c>
      <c r="AK19" s="817">
        <v>972</v>
      </c>
      <c r="AL19" s="815">
        <v>1023</v>
      </c>
      <c r="AM19" s="910">
        <v>1102</v>
      </c>
      <c r="AN19" s="817">
        <v>1004</v>
      </c>
      <c r="AO19" s="815">
        <v>1064</v>
      </c>
      <c r="AP19" s="910">
        <v>1117</v>
      </c>
    </row>
    <row r="20" spans="1:42" s="6" customFormat="1" ht="15" customHeight="1" x14ac:dyDescent="0.2">
      <c r="A20" s="5147"/>
      <c r="B20" s="5048"/>
      <c r="C20" s="874" t="s">
        <v>160</v>
      </c>
      <c r="D20" s="925">
        <f>SUM(D16:D19)</f>
        <v>4148</v>
      </c>
      <c r="E20" s="926">
        <f t="shared" ref="E20:AG20" si="3">SUM(E16:E19)</f>
        <v>4300</v>
      </c>
      <c r="F20" s="927">
        <f t="shared" si="3"/>
        <v>4471</v>
      </c>
      <c r="G20" s="925">
        <f t="shared" si="3"/>
        <v>4082</v>
      </c>
      <c r="H20" s="926">
        <f t="shared" si="3"/>
        <v>4142</v>
      </c>
      <c r="I20" s="927">
        <f t="shared" si="3"/>
        <v>4403</v>
      </c>
      <c r="J20" s="925">
        <f t="shared" si="3"/>
        <v>4099</v>
      </c>
      <c r="K20" s="926">
        <f t="shared" si="3"/>
        <v>4223</v>
      </c>
      <c r="L20" s="927">
        <f t="shared" si="3"/>
        <v>4398</v>
      </c>
      <c r="M20" s="925">
        <f t="shared" si="3"/>
        <v>3976</v>
      </c>
      <c r="N20" s="926">
        <f t="shared" si="3"/>
        <v>4076</v>
      </c>
      <c r="O20" s="927">
        <f t="shared" si="3"/>
        <v>4382</v>
      </c>
      <c r="P20" s="925">
        <f t="shared" si="3"/>
        <v>4074</v>
      </c>
      <c r="Q20" s="926">
        <f t="shared" si="3"/>
        <v>4257</v>
      </c>
      <c r="R20" s="927">
        <f t="shared" si="3"/>
        <v>4362</v>
      </c>
      <c r="S20" s="925">
        <f t="shared" si="3"/>
        <v>4050</v>
      </c>
      <c r="T20" s="926">
        <f t="shared" si="3"/>
        <v>4230</v>
      </c>
      <c r="U20" s="927">
        <f t="shared" si="3"/>
        <v>4443</v>
      </c>
      <c r="V20" s="925">
        <f t="shared" si="3"/>
        <v>4225</v>
      </c>
      <c r="W20" s="926">
        <f t="shared" si="3"/>
        <v>4434</v>
      </c>
      <c r="X20" s="927">
        <f t="shared" si="3"/>
        <v>4569</v>
      </c>
      <c r="Y20" s="925">
        <f t="shared" si="3"/>
        <v>4336</v>
      </c>
      <c r="Z20" s="926">
        <f t="shared" si="3"/>
        <v>4649</v>
      </c>
      <c r="AA20" s="927">
        <f t="shared" si="3"/>
        <v>4785</v>
      </c>
      <c r="AB20" s="925">
        <f t="shared" si="3"/>
        <v>4449</v>
      </c>
      <c r="AC20" s="926">
        <f t="shared" si="3"/>
        <v>4768</v>
      </c>
      <c r="AD20" s="927">
        <f t="shared" si="3"/>
        <v>4840</v>
      </c>
      <c r="AE20" s="925">
        <f t="shared" si="3"/>
        <v>4624</v>
      </c>
      <c r="AF20" s="926">
        <f t="shared" si="3"/>
        <v>5015</v>
      </c>
      <c r="AG20" s="927">
        <f t="shared" si="3"/>
        <v>5201</v>
      </c>
      <c r="AH20" s="925">
        <f t="shared" ref="AH20:AM20" si="4">SUM(AH16:AH19)</f>
        <v>4806</v>
      </c>
      <c r="AI20" s="926">
        <f t="shared" si="4"/>
        <v>5157</v>
      </c>
      <c r="AJ20" s="927">
        <f t="shared" si="4"/>
        <v>5297</v>
      </c>
      <c r="AK20" s="925">
        <f t="shared" si="4"/>
        <v>4815</v>
      </c>
      <c r="AL20" s="926">
        <f t="shared" si="4"/>
        <v>5121</v>
      </c>
      <c r="AM20" s="927">
        <f t="shared" si="4"/>
        <v>5452</v>
      </c>
      <c r="AN20" s="925">
        <f t="shared" ref="AN20:AP20" si="5">SUM(AN16:AN19)</f>
        <v>4970</v>
      </c>
      <c r="AO20" s="926">
        <f t="shared" si="5"/>
        <v>5346</v>
      </c>
      <c r="AP20" s="927">
        <f t="shared" si="5"/>
        <v>5546</v>
      </c>
    </row>
    <row r="21" spans="1:42" s="6" customFormat="1" ht="15" customHeight="1" x14ac:dyDescent="0.25">
      <c r="A21" s="5147"/>
      <c r="B21" s="5046" t="s">
        <v>7</v>
      </c>
      <c r="C21" s="847" t="s">
        <v>466</v>
      </c>
      <c r="D21" s="900">
        <v>1014</v>
      </c>
      <c r="E21" s="901">
        <v>1082</v>
      </c>
      <c r="F21" s="902">
        <v>1134</v>
      </c>
      <c r="G21" s="900">
        <v>1023</v>
      </c>
      <c r="H21" s="901">
        <v>1072</v>
      </c>
      <c r="I21" s="903">
        <v>1160</v>
      </c>
      <c r="J21" s="904">
        <v>1074</v>
      </c>
      <c r="K21" s="905">
        <v>1145</v>
      </c>
      <c r="L21" s="903">
        <v>1145</v>
      </c>
      <c r="M21" s="904">
        <v>1074</v>
      </c>
      <c r="N21" s="901">
        <v>1113</v>
      </c>
      <c r="O21" s="902">
        <v>1175</v>
      </c>
      <c r="P21" s="904">
        <v>1077</v>
      </c>
      <c r="Q21" s="906">
        <v>1114</v>
      </c>
      <c r="R21" s="902">
        <v>1155</v>
      </c>
      <c r="S21" s="904">
        <v>1049</v>
      </c>
      <c r="T21" s="906">
        <v>1104</v>
      </c>
      <c r="U21" s="902">
        <v>1136</v>
      </c>
      <c r="V21" s="904">
        <v>1067</v>
      </c>
      <c r="W21" s="906">
        <v>1085</v>
      </c>
      <c r="X21" s="902">
        <v>1074</v>
      </c>
      <c r="Y21" s="907">
        <v>1006</v>
      </c>
      <c r="Z21" s="908">
        <v>1062</v>
      </c>
      <c r="AA21" s="909">
        <v>1119</v>
      </c>
      <c r="AB21" s="907">
        <v>1023</v>
      </c>
      <c r="AC21" s="908">
        <v>1088</v>
      </c>
      <c r="AD21" s="909">
        <v>1051</v>
      </c>
      <c r="AE21" s="907">
        <v>1026</v>
      </c>
      <c r="AF21" s="908">
        <v>1094</v>
      </c>
      <c r="AG21" s="909">
        <v>1076</v>
      </c>
      <c r="AH21" s="907">
        <v>1049</v>
      </c>
      <c r="AI21" s="908">
        <v>1102</v>
      </c>
      <c r="AJ21" s="909">
        <v>1079</v>
      </c>
      <c r="AK21" s="907">
        <v>1013</v>
      </c>
      <c r="AL21" s="908">
        <v>1056</v>
      </c>
      <c r="AM21" s="909">
        <v>1056</v>
      </c>
      <c r="AN21" s="907">
        <v>977</v>
      </c>
      <c r="AO21" s="908">
        <v>1017</v>
      </c>
      <c r="AP21" s="909">
        <v>1045</v>
      </c>
    </row>
    <row r="22" spans="1:42" s="6" customFormat="1" ht="15" customHeight="1" x14ac:dyDescent="0.25">
      <c r="A22" s="5147"/>
      <c r="B22" s="5047"/>
      <c r="C22" s="847" t="s">
        <v>467</v>
      </c>
      <c r="D22" s="900">
        <v>889</v>
      </c>
      <c r="E22" s="901">
        <v>945</v>
      </c>
      <c r="F22" s="902">
        <v>997</v>
      </c>
      <c r="G22" s="900">
        <v>898</v>
      </c>
      <c r="H22" s="901">
        <v>951</v>
      </c>
      <c r="I22" s="903">
        <v>995</v>
      </c>
      <c r="J22" s="904">
        <v>935</v>
      </c>
      <c r="K22" s="905">
        <v>969</v>
      </c>
      <c r="L22" s="903">
        <v>1031</v>
      </c>
      <c r="M22" s="904">
        <v>959</v>
      </c>
      <c r="N22" s="901">
        <v>954</v>
      </c>
      <c r="O22" s="902">
        <v>962</v>
      </c>
      <c r="P22" s="904">
        <v>888</v>
      </c>
      <c r="Q22" s="906">
        <v>878</v>
      </c>
      <c r="R22" s="902">
        <v>866</v>
      </c>
      <c r="S22" s="904">
        <v>813</v>
      </c>
      <c r="T22" s="906">
        <v>813</v>
      </c>
      <c r="U22" s="902">
        <v>835</v>
      </c>
      <c r="V22" s="904">
        <v>802</v>
      </c>
      <c r="W22" s="906">
        <v>800</v>
      </c>
      <c r="X22" s="902">
        <v>786</v>
      </c>
      <c r="Y22" s="907">
        <v>753</v>
      </c>
      <c r="Z22" s="908">
        <v>771</v>
      </c>
      <c r="AA22" s="909">
        <v>807</v>
      </c>
      <c r="AB22" s="907">
        <v>754</v>
      </c>
      <c r="AC22" s="908">
        <v>820</v>
      </c>
      <c r="AD22" s="909">
        <v>824</v>
      </c>
      <c r="AE22" s="907">
        <v>792</v>
      </c>
      <c r="AF22" s="908">
        <v>854</v>
      </c>
      <c r="AG22" s="909">
        <v>861</v>
      </c>
      <c r="AH22" s="907">
        <v>848</v>
      </c>
      <c r="AI22" s="908">
        <v>927</v>
      </c>
      <c r="AJ22" s="909">
        <v>966</v>
      </c>
      <c r="AK22" s="907">
        <v>939</v>
      </c>
      <c r="AL22" s="908">
        <v>973</v>
      </c>
      <c r="AM22" s="909">
        <v>1011</v>
      </c>
      <c r="AN22" s="907">
        <v>934</v>
      </c>
      <c r="AO22" s="908">
        <v>1020</v>
      </c>
      <c r="AP22" s="909">
        <v>1099</v>
      </c>
    </row>
    <row r="23" spans="1:42" s="6" customFormat="1" ht="15" customHeight="1" x14ac:dyDescent="0.25">
      <c r="A23" s="5147"/>
      <c r="B23" s="5047"/>
      <c r="C23" s="813" t="s">
        <v>468</v>
      </c>
      <c r="D23" s="814">
        <v>541</v>
      </c>
      <c r="E23" s="855">
        <v>536</v>
      </c>
      <c r="F23" s="910">
        <v>567</v>
      </c>
      <c r="G23" s="854">
        <v>513</v>
      </c>
      <c r="H23" s="855">
        <v>530</v>
      </c>
      <c r="I23" s="910">
        <v>554</v>
      </c>
      <c r="J23" s="814">
        <v>520</v>
      </c>
      <c r="K23" s="815">
        <v>547</v>
      </c>
      <c r="L23" s="910">
        <v>579</v>
      </c>
      <c r="M23" s="814">
        <v>552</v>
      </c>
      <c r="N23" s="815">
        <v>561</v>
      </c>
      <c r="O23" s="910">
        <v>606</v>
      </c>
      <c r="P23" s="814">
        <v>564</v>
      </c>
      <c r="Q23" s="815">
        <v>596</v>
      </c>
      <c r="R23" s="910">
        <v>621</v>
      </c>
      <c r="S23" s="814">
        <v>595</v>
      </c>
      <c r="T23" s="815">
        <v>619</v>
      </c>
      <c r="U23" s="910">
        <v>617</v>
      </c>
      <c r="V23" s="814">
        <v>589</v>
      </c>
      <c r="W23" s="815">
        <v>626</v>
      </c>
      <c r="X23" s="910">
        <v>656</v>
      </c>
      <c r="Y23" s="814">
        <v>626</v>
      </c>
      <c r="Z23" s="815">
        <v>685</v>
      </c>
      <c r="AA23" s="910">
        <v>721</v>
      </c>
      <c r="AB23" s="817">
        <v>635</v>
      </c>
      <c r="AC23" s="815">
        <v>686</v>
      </c>
      <c r="AD23" s="910">
        <v>672</v>
      </c>
      <c r="AE23" s="817">
        <v>672</v>
      </c>
      <c r="AF23" s="815">
        <v>724</v>
      </c>
      <c r="AG23" s="910">
        <v>737</v>
      </c>
      <c r="AH23" s="817">
        <v>717</v>
      </c>
      <c r="AI23" s="815">
        <v>748</v>
      </c>
      <c r="AJ23" s="910">
        <v>757</v>
      </c>
      <c r="AK23" s="817">
        <v>731</v>
      </c>
      <c r="AL23" s="815">
        <v>756</v>
      </c>
      <c r="AM23" s="910">
        <v>771</v>
      </c>
      <c r="AN23" s="817">
        <v>711</v>
      </c>
      <c r="AO23" s="815">
        <v>756</v>
      </c>
      <c r="AP23" s="910">
        <v>787</v>
      </c>
    </row>
    <row r="24" spans="1:42" s="6" customFormat="1" ht="15" customHeight="1" x14ac:dyDescent="0.2">
      <c r="A24" s="5147"/>
      <c r="B24" s="5048"/>
      <c r="C24" s="874" t="s">
        <v>160</v>
      </c>
      <c r="D24" s="925">
        <f>SUM(D21:D23)</f>
        <v>2444</v>
      </c>
      <c r="E24" s="926">
        <f t="shared" ref="E24:AG24" si="6">SUM(E21:E23)</f>
        <v>2563</v>
      </c>
      <c r="F24" s="927">
        <f t="shared" si="6"/>
        <v>2698</v>
      </c>
      <c r="G24" s="925">
        <f t="shared" si="6"/>
        <v>2434</v>
      </c>
      <c r="H24" s="926">
        <f t="shared" si="6"/>
        <v>2553</v>
      </c>
      <c r="I24" s="927">
        <f t="shared" si="6"/>
        <v>2709</v>
      </c>
      <c r="J24" s="925">
        <f t="shared" si="6"/>
        <v>2529</v>
      </c>
      <c r="K24" s="926">
        <f t="shared" si="6"/>
        <v>2661</v>
      </c>
      <c r="L24" s="927">
        <f t="shared" si="6"/>
        <v>2755</v>
      </c>
      <c r="M24" s="925">
        <f t="shared" si="6"/>
        <v>2585</v>
      </c>
      <c r="N24" s="926">
        <f t="shared" si="6"/>
        <v>2628</v>
      </c>
      <c r="O24" s="927">
        <f t="shared" si="6"/>
        <v>2743</v>
      </c>
      <c r="P24" s="925">
        <f t="shared" si="6"/>
        <v>2529</v>
      </c>
      <c r="Q24" s="926">
        <f t="shared" si="6"/>
        <v>2588</v>
      </c>
      <c r="R24" s="927">
        <f t="shared" si="6"/>
        <v>2642</v>
      </c>
      <c r="S24" s="925">
        <f t="shared" si="6"/>
        <v>2457</v>
      </c>
      <c r="T24" s="926">
        <f t="shared" si="6"/>
        <v>2536</v>
      </c>
      <c r="U24" s="927">
        <f t="shared" si="6"/>
        <v>2588</v>
      </c>
      <c r="V24" s="925">
        <f t="shared" si="6"/>
        <v>2458</v>
      </c>
      <c r="W24" s="926">
        <f t="shared" si="6"/>
        <v>2511</v>
      </c>
      <c r="X24" s="927">
        <f t="shared" si="6"/>
        <v>2516</v>
      </c>
      <c r="Y24" s="925">
        <f t="shared" si="6"/>
        <v>2385</v>
      </c>
      <c r="Z24" s="926">
        <f t="shared" si="6"/>
        <v>2518</v>
      </c>
      <c r="AA24" s="927">
        <f t="shared" si="6"/>
        <v>2647</v>
      </c>
      <c r="AB24" s="925">
        <f t="shared" si="6"/>
        <v>2412</v>
      </c>
      <c r="AC24" s="926">
        <f t="shared" si="6"/>
        <v>2594</v>
      </c>
      <c r="AD24" s="927">
        <f t="shared" si="6"/>
        <v>2547</v>
      </c>
      <c r="AE24" s="925">
        <f t="shared" si="6"/>
        <v>2490</v>
      </c>
      <c r="AF24" s="926">
        <f t="shared" si="6"/>
        <v>2672</v>
      </c>
      <c r="AG24" s="927">
        <f t="shared" si="6"/>
        <v>2674</v>
      </c>
      <c r="AH24" s="925">
        <f t="shared" ref="AH24:AM24" si="7">SUM(AH21:AH23)</f>
        <v>2614</v>
      </c>
      <c r="AI24" s="926">
        <f t="shared" si="7"/>
        <v>2777</v>
      </c>
      <c r="AJ24" s="927">
        <f t="shared" si="7"/>
        <v>2802</v>
      </c>
      <c r="AK24" s="925">
        <f t="shared" si="7"/>
        <v>2683</v>
      </c>
      <c r="AL24" s="926">
        <f t="shared" si="7"/>
        <v>2785</v>
      </c>
      <c r="AM24" s="927">
        <f t="shared" si="7"/>
        <v>2838</v>
      </c>
      <c r="AN24" s="925">
        <f t="shared" ref="AN24:AP24" si="8">SUM(AN21:AN23)</f>
        <v>2622</v>
      </c>
      <c r="AO24" s="926">
        <f t="shared" si="8"/>
        <v>2793</v>
      </c>
      <c r="AP24" s="927">
        <f t="shared" si="8"/>
        <v>2931</v>
      </c>
    </row>
    <row r="25" spans="1:42" s="6" customFormat="1" ht="15" customHeight="1" x14ac:dyDescent="0.25">
      <c r="A25" s="5148"/>
      <c r="B25" s="3991"/>
      <c r="C25" s="3992" t="s">
        <v>450</v>
      </c>
      <c r="D25" s="3993">
        <f>SUM(D24,D20,D15)</f>
        <v>11354</v>
      </c>
      <c r="E25" s="3994">
        <f t="shared" ref="E25:AG25" si="9">SUM(E24,E20,E15)</f>
        <v>11636</v>
      </c>
      <c r="F25" s="3995">
        <f t="shared" si="9"/>
        <v>12329</v>
      </c>
      <c r="G25" s="3993">
        <f t="shared" si="9"/>
        <v>11219</v>
      </c>
      <c r="H25" s="3994">
        <f t="shared" si="9"/>
        <v>11694</v>
      </c>
      <c r="I25" s="3995">
        <f t="shared" si="9"/>
        <v>12690</v>
      </c>
      <c r="J25" s="3993">
        <f t="shared" si="9"/>
        <v>11737</v>
      </c>
      <c r="K25" s="3994">
        <f t="shared" si="9"/>
        <v>12344</v>
      </c>
      <c r="L25" s="3995">
        <f t="shared" si="9"/>
        <v>12956</v>
      </c>
      <c r="M25" s="3993">
        <f t="shared" si="9"/>
        <v>11855</v>
      </c>
      <c r="N25" s="3994">
        <f t="shared" si="9"/>
        <v>12359</v>
      </c>
      <c r="O25" s="3995">
        <f t="shared" si="9"/>
        <v>13214</v>
      </c>
      <c r="P25" s="3993">
        <f t="shared" si="9"/>
        <v>12257</v>
      </c>
      <c r="Q25" s="3994">
        <f t="shared" si="9"/>
        <v>12713</v>
      </c>
      <c r="R25" s="3995">
        <f t="shared" si="9"/>
        <v>13271</v>
      </c>
      <c r="S25" s="3993">
        <f t="shared" si="9"/>
        <v>12365</v>
      </c>
      <c r="T25" s="3994">
        <f t="shared" si="9"/>
        <v>12698</v>
      </c>
      <c r="U25" s="3995">
        <f t="shared" si="9"/>
        <v>13426</v>
      </c>
      <c r="V25" s="3993">
        <f t="shared" si="9"/>
        <v>12752</v>
      </c>
      <c r="W25" s="3994">
        <f t="shared" si="9"/>
        <v>13377</v>
      </c>
      <c r="X25" s="3995">
        <f t="shared" si="9"/>
        <v>13765</v>
      </c>
      <c r="Y25" s="3993">
        <f t="shared" si="9"/>
        <v>13041</v>
      </c>
      <c r="Z25" s="3994">
        <f t="shared" si="9"/>
        <v>13990</v>
      </c>
      <c r="AA25" s="3995">
        <f t="shared" si="9"/>
        <v>14704</v>
      </c>
      <c r="AB25" s="3993">
        <f t="shared" si="9"/>
        <v>13612</v>
      </c>
      <c r="AC25" s="3994">
        <f t="shared" si="9"/>
        <v>14835</v>
      </c>
      <c r="AD25" s="3995">
        <f t="shared" si="9"/>
        <v>14648</v>
      </c>
      <c r="AE25" s="3993">
        <f t="shared" si="9"/>
        <v>14113</v>
      </c>
      <c r="AF25" s="3994">
        <f t="shared" si="9"/>
        <v>15006</v>
      </c>
      <c r="AG25" s="3995">
        <f t="shared" si="9"/>
        <v>15075</v>
      </c>
      <c r="AH25" s="3993">
        <f t="shared" ref="AH25:AM25" si="10">SUM(AH24,AH20,AH15)</f>
        <v>14241</v>
      </c>
      <c r="AI25" s="3994">
        <f t="shared" si="10"/>
        <v>15066</v>
      </c>
      <c r="AJ25" s="3995">
        <f t="shared" si="10"/>
        <v>15257</v>
      </c>
      <c r="AK25" s="3993">
        <f t="shared" si="10"/>
        <v>14098</v>
      </c>
      <c r="AL25" s="3994">
        <f t="shared" si="10"/>
        <v>14554</v>
      </c>
      <c r="AM25" s="3995">
        <f t="shared" si="10"/>
        <v>15208</v>
      </c>
      <c r="AN25" s="3993">
        <f t="shared" ref="AN25:AP25" si="11">SUM(AN24,AN20,AN15)</f>
        <v>13906</v>
      </c>
      <c r="AO25" s="3994">
        <f t="shared" si="11"/>
        <v>14553</v>
      </c>
      <c r="AP25" s="3995">
        <f t="shared" si="11"/>
        <v>15120</v>
      </c>
    </row>
    <row r="26" spans="1:42" s="6" customFormat="1" ht="15" customHeight="1" x14ac:dyDescent="0.25">
      <c r="A26" s="5149" t="s">
        <v>436</v>
      </c>
      <c r="B26" s="5034" t="s">
        <v>6</v>
      </c>
      <c r="C26" s="847" t="s">
        <v>462</v>
      </c>
      <c r="D26" s="817"/>
      <c r="E26" s="911"/>
      <c r="F26" s="849"/>
      <c r="G26" s="817"/>
      <c r="H26" s="818"/>
      <c r="I26" s="849"/>
      <c r="J26" s="817"/>
      <c r="K26" s="818"/>
      <c r="L26" s="903">
        <v>57</v>
      </c>
      <c r="M26" s="904">
        <v>52</v>
      </c>
      <c r="N26" s="901">
        <v>48</v>
      </c>
      <c r="O26" s="902">
        <v>90</v>
      </c>
      <c r="P26" s="904">
        <v>87</v>
      </c>
      <c r="Q26" s="906">
        <v>87</v>
      </c>
      <c r="R26" s="902">
        <v>155</v>
      </c>
      <c r="S26" s="904">
        <v>149</v>
      </c>
      <c r="T26" s="906">
        <v>144</v>
      </c>
      <c r="U26" s="902">
        <v>204</v>
      </c>
      <c r="V26" s="904">
        <v>198</v>
      </c>
      <c r="W26" s="906">
        <v>195</v>
      </c>
      <c r="X26" s="902">
        <v>225</v>
      </c>
      <c r="Y26" s="907">
        <v>186</v>
      </c>
      <c r="Z26" s="908">
        <v>190</v>
      </c>
      <c r="AA26" s="909">
        <v>212</v>
      </c>
      <c r="AB26" s="907">
        <v>183</v>
      </c>
      <c r="AC26" s="908">
        <v>178</v>
      </c>
      <c r="AD26" s="909">
        <v>171</v>
      </c>
      <c r="AE26" s="907">
        <v>163</v>
      </c>
      <c r="AF26" s="908">
        <v>156</v>
      </c>
      <c r="AG26" s="909">
        <v>166</v>
      </c>
      <c r="AH26" s="907">
        <v>155</v>
      </c>
      <c r="AI26" s="908">
        <v>143</v>
      </c>
      <c r="AJ26" s="909">
        <v>156</v>
      </c>
      <c r="AK26" s="907">
        <v>148</v>
      </c>
      <c r="AL26" s="908">
        <v>170</v>
      </c>
      <c r="AM26" s="909">
        <v>175</v>
      </c>
      <c r="AN26" s="907">
        <v>169</v>
      </c>
      <c r="AO26" s="908">
        <v>196</v>
      </c>
      <c r="AP26" s="909">
        <v>210</v>
      </c>
    </row>
    <row r="27" spans="1:42" s="6" customFormat="1" ht="15" customHeight="1" x14ac:dyDescent="0.25">
      <c r="A27" s="5150"/>
      <c r="B27" s="5035"/>
      <c r="C27" s="847" t="s">
        <v>463</v>
      </c>
      <c r="D27" s="817"/>
      <c r="E27" s="911"/>
      <c r="F27" s="849"/>
      <c r="G27" s="817"/>
      <c r="H27" s="818"/>
      <c r="I27" s="849"/>
      <c r="J27" s="817"/>
      <c r="K27" s="818"/>
      <c r="L27" s="903">
        <v>54</v>
      </c>
      <c r="M27" s="904">
        <v>51</v>
      </c>
      <c r="N27" s="901">
        <v>47</v>
      </c>
      <c r="O27" s="902">
        <v>46</v>
      </c>
      <c r="P27" s="904">
        <v>30</v>
      </c>
      <c r="Q27" s="906">
        <v>29</v>
      </c>
      <c r="R27" s="902">
        <v>30</v>
      </c>
      <c r="S27" s="904">
        <v>30</v>
      </c>
      <c r="T27" s="906">
        <v>27</v>
      </c>
      <c r="U27" s="902">
        <v>27</v>
      </c>
      <c r="V27" s="904">
        <v>27</v>
      </c>
      <c r="W27" s="906">
        <v>26</v>
      </c>
      <c r="X27" s="902">
        <v>10</v>
      </c>
      <c r="Y27" s="907">
        <v>5</v>
      </c>
      <c r="Z27" s="908">
        <v>6</v>
      </c>
      <c r="AA27" s="909">
        <v>6</v>
      </c>
      <c r="AB27" s="907">
        <v>3</v>
      </c>
      <c r="AC27" s="908">
        <v>2</v>
      </c>
      <c r="AD27" s="909">
        <v>1</v>
      </c>
      <c r="AE27" s="907"/>
      <c r="AF27" s="908"/>
      <c r="AG27" s="909"/>
      <c r="AH27" s="907"/>
      <c r="AI27" s="908"/>
      <c r="AJ27" s="909"/>
      <c r="AK27" s="907"/>
      <c r="AL27" s="908"/>
      <c r="AM27" s="909"/>
      <c r="AN27" s="907"/>
      <c r="AO27" s="908"/>
      <c r="AP27" s="909">
        <v>36</v>
      </c>
    </row>
    <row r="28" spans="1:42" s="6" customFormat="1" ht="15" customHeight="1" x14ac:dyDescent="0.25">
      <c r="A28" s="5150"/>
      <c r="B28" s="5035"/>
      <c r="C28" s="847" t="s">
        <v>501</v>
      </c>
      <c r="D28" s="912"/>
      <c r="E28" s="911"/>
      <c r="F28" s="849"/>
      <c r="G28" s="912"/>
      <c r="H28" s="911"/>
      <c r="I28" s="913"/>
      <c r="J28" s="912"/>
      <c r="K28" s="911"/>
      <c r="L28" s="903"/>
      <c r="M28" s="904"/>
      <c r="N28" s="901"/>
      <c r="O28" s="902"/>
      <c r="P28" s="904"/>
      <c r="Q28" s="818"/>
      <c r="R28" s="902">
        <v>22</v>
      </c>
      <c r="S28" s="904">
        <v>22</v>
      </c>
      <c r="T28" s="818">
        <v>22</v>
      </c>
      <c r="U28" s="902">
        <v>42</v>
      </c>
      <c r="V28" s="904">
        <v>37</v>
      </c>
      <c r="W28" s="818">
        <v>38</v>
      </c>
      <c r="X28" s="902">
        <v>60</v>
      </c>
      <c r="Y28" s="907">
        <v>52</v>
      </c>
      <c r="Z28" s="908">
        <v>49</v>
      </c>
      <c r="AA28" s="909">
        <v>88</v>
      </c>
      <c r="AB28" s="907">
        <v>74</v>
      </c>
      <c r="AC28" s="908">
        <v>69</v>
      </c>
      <c r="AD28" s="909">
        <v>85</v>
      </c>
      <c r="AE28" s="907">
        <v>79</v>
      </c>
      <c r="AF28" s="908">
        <v>72</v>
      </c>
      <c r="AG28" s="909">
        <v>86</v>
      </c>
      <c r="AH28" s="907">
        <v>80</v>
      </c>
      <c r="AI28" s="908">
        <v>72</v>
      </c>
      <c r="AJ28" s="909">
        <v>100</v>
      </c>
      <c r="AK28" s="907">
        <v>92</v>
      </c>
      <c r="AL28" s="908">
        <v>116</v>
      </c>
      <c r="AM28" s="909">
        <v>141</v>
      </c>
      <c r="AN28" s="907">
        <v>125</v>
      </c>
      <c r="AO28" s="908">
        <v>153</v>
      </c>
      <c r="AP28" s="909">
        <v>181</v>
      </c>
    </row>
    <row r="29" spans="1:42" s="6" customFormat="1" ht="15" customHeight="1" x14ac:dyDescent="0.25">
      <c r="A29" s="5150"/>
      <c r="B29" s="5035"/>
      <c r="C29" s="813" t="s">
        <v>502</v>
      </c>
      <c r="D29" s="814"/>
      <c r="E29" s="855"/>
      <c r="F29" s="816"/>
      <c r="G29" s="854"/>
      <c r="H29" s="855"/>
      <c r="I29" s="816"/>
      <c r="J29" s="814"/>
      <c r="K29" s="815"/>
      <c r="L29" s="816"/>
      <c r="M29" s="814"/>
      <c r="N29" s="815"/>
      <c r="O29" s="816"/>
      <c r="P29" s="814"/>
      <c r="Q29" s="815"/>
      <c r="R29" s="816">
        <v>32</v>
      </c>
      <c r="S29" s="814">
        <v>29</v>
      </c>
      <c r="T29" s="815">
        <v>24</v>
      </c>
      <c r="U29" s="816">
        <v>55</v>
      </c>
      <c r="V29" s="814">
        <v>49</v>
      </c>
      <c r="W29" s="815">
        <v>47</v>
      </c>
      <c r="X29" s="816">
        <v>76</v>
      </c>
      <c r="Y29" s="814">
        <v>70</v>
      </c>
      <c r="Z29" s="815">
        <v>68</v>
      </c>
      <c r="AA29" s="816">
        <v>99</v>
      </c>
      <c r="AB29" s="817">
        <v>95</v>
      </c>
      <c r="AC29" s="815">
        <v>86</v>
      </c>
      <c r="AD29" s="816">
        <v>116</v>
      </c>
      <c r="AE29" s="817">
        <v>108</v>
      </c>
      <c r="AF29" s="815">
        <v>103</v>
      </c>
      <c r="AG29" s="910">
        <v>126</v>
      </c>
      <c r="AH29" s="817">
        <v>118</v>
      </c>
      <c r="AI29" s="815">
        <v>111</v>
      </c>
      <c r="AJ29" s="910">
        <v>133</v>
      </c>
      <c r="AK29" s="817">
        <v>121</v>
      </c>
      <c r="AL29" s="815">
        <v>145</v>
      </c>
      <c r="AM29" s="910">
        <v>172</v>
      </c>
      <c r="AN29" s="817">
        <v>160</v>
      </c>
      <c r="AO29" s="815">
        <v>182</v>
      </c>
      <c r="AP29" s="910">
        <v>198</v>
      </c>
    </row>
    <row r="30" spans="1:42" s="6" customFormat="1" ht="15" customHeight="1" x14ac:dyDescent="0.2">
      <c r="A30" s="5150"/>
      <c r="B30" s="5036"/>
      <c r="C30" s="874" t="s">
        <v>160</v>
      </c>
      <c r="D30" s="925"/>
      <c r="E30" s="926"/>
      <c r="F30" s="927"/>
      <c r="G30" s="925"/>
      <c r="H30" s="926"/>
      <c r="I30" s="927"/>
      <c r="J30" s="925"/>
      <c r="K30" s="926"/>
      <c r="L30" s="927">
        <f>SUM(L26:L29)</f>
        <v>111</v>
      </c>
      <c r="M30" s="925">
        <f t="shared" ref="M30:AG30" si="12">SUM(M26:M29)</f>
        <v>103</v>
      </c>
      <c r="N30" s="926">
        <f t="shared" si="12"/>
        <v>95</v>
      </c>
      <c r="O30" s="927">
        <f t="shared" si="12"/>
        <v>136</v>
      </c>
      <c r="P30" s="925">
        <f t="shared" si="12"/>
        <v>117</v>
      </c>
      <c r="Q30" s="926">
        <f t="shared" si="12"/>
        <v>116</v>
      </c>
      <c r="R30" s="927">
        <f t="shared" si="12"/>
        <v>239</v>
      </c>
      <c r="S30" s="925">
        <f t="shared" si="12"/>
        <v>230</v>
      </c>
      <c r="T30" s="926">
        <f t="shared" si="12"/>
        <v>217</v>
      </c>
      <c r="U30" s="927">
        <f t="shared" si="12"/>
        <v>328</v>
      </c>
      <c r="V30" s="925">
        <f t="shared" si="12"/>
        <v>311</v>
      </c>
      <c r="W30" s="926">
        <f t="shared" si="12"/>
        <v>306</v>
      </c>
      <c r="X30" s="927">
        <f t="shared" si="12"/>
        <v>371</v>
      </c>
      <c r="Y30" s="925">
        <f t="shared" si="12"/>
        <v>313</v>
      </c>
      <c r="Z30" s="926">
        <f t="shared" si="12"/>
        <v>313</v>
      </c>
      <c r="AA30" s="927">
        <f t="shared" si="12"/>
        <v>405</v>
      </c>
      <c r="AB30" s="925">
        <f t="shared" si="12"/>
        <v>355</v>
      </c>
      <c r="AC30" s="926">
        <f t="shared" si="12"/>
        <v>335</v>
      </c>
      <c r="AD30" s="927">
        <f t="shared" si="12"/>
        <v>373</v>
      </c>
      <c r="AE30" s="925">
        <f t="shared" si="12"/>
        <v>350</v>
      </c>
      <c r="AF30" s="926">
        <f t="shared" si="12"/>
        <v>331</v>
      </c>
      <c r="AG30" s="927">
        <f t="shared" si="12"/>
        <v>378</v>
      </c>
      <c r="AH30" s="925">
        <f t="shared" ref="AH30:AM30" si="13">SUM(AH26:AH29)</f>
        <v>353</v>
      </c>
      <c r="AI30" s="926">
        <f t="shared" si="13"/>
        <v>326</v>
      </c>
      <c r="AJ30" s="927">
        <f t="shared" si="13"/>
        <v>389</v>
      </c>
      <c r="AK30" s="925">
        <f t="shared" si="13"/>
        <v>361</v>
      </c>
      <c r="AL30" s="926">
        <f t="shared" si="13"/>
        <v>431</v>
      </c>
      <c r="AM30" s="927">
        <f t="shared" si="13"/>
        <v>488</v>
      </c>
      <c r="AN30" s="925">
        <f t="shared" ref="AN30:AP30" si="14">SUM(AN26:AN29)</f>
        <v>454</v>
      </c>
      <c r="AO30" s="926">
        <f t="shared" si="14"/>
        <v>531</v>
      </c>
      <c r="AP30" s="927">
        <f t="shared" si="14"/>
        <v>625</v>
      </c>
    </row>
    <row r="31" spans="1:42" s="6" customFormat="1" ht="15" customHeight="1" x14ac:dyDescent="0.25">
      <c r="A31" s="5150"/>
      <c r="B31" s="5034" t="s">
        <v>9</v>
      </c>
      <c r="C31" s="847" t="s">
        <v>503</v>
      </c>
      <c r="D31" s="912"/>
      <c r="E31" s="911"/>
      <c r="F31" s="849"/>
      <c r="G31" s="817"/>
      <c r="H31" s="818"/>
      <c r="I31" s="849"/>
      <c r="J31" s="817"/>
      <c r="K31" s="818"/>
      <c r="L31" s="903">
        <v>34</v>
      </c>
      <c r="M31" s="904">
        <v>29</v>
      </c>
      <c r="N31" s="901">
        <v>29</v>
      </c>
      <c r="O31" s="902">
        <v>61</v>
      </c>
      <c r="P31" s="904">
        <v>60</v>
      </c>
      <c r="Q31" s="906">
        <v>59</v>
      </c>
      <c r="R31" s="902">
        <v>113</v>
      </c>
      <c r="S31" s="904">
        <v>108</v>
      </c>
      <c r="T31" s="906">
        <v>100</v>
      </c>
      <c r="U31" s="902">
        <v>154</v>
      </c>
      <c r="V31" s="904">
        <v>149</v>
      </c>
      <c r="W31" s="906">
        <v>146</v>
      </c>
      <c r="X31" s="902">
        <v>175</v>
      </c>
      <c r="Y31" s="907">
        <v>159</v>
      </c>
      <c r="Z31" s="908">
        <v>145</v>
      </c>
      <c r="AA31" s="909">
        <v>180</v>
      </c>
      <c r="AB31" s="907">
        <v>151</v>
      </c>
      <c r="AC31" s="908">
        <v>147</v>
      </c>
      <c r="AD31" s="909">
        <v>182</v>
      </c>
      <c r="AE31" s="907">
        <v>156</v>
      </c>
      <c r="AF31" s="908">
        <v>152</v>
      </c>
      <c r="AG31" s="909">
        <v>183</v>
      </c>
      <c r="AH31" s="907">
        <v>170</v>
      </c>
      <c r="AI31" s="908">
        <v>163</v>
      </c>
      <c r="AJ31" s="909">
        <v>197</v>
      </c>
      <c r="AK31" s="907">
        <v>183</v>
      </c>
      <c r="AL31" s="908">
        <v>178</v>
      </c>
      <c r="AM31" s="909">
        <v>232</v>
      </c>
      <c r="AN31" s="907">
        <v>208</v>
      </c>
      <c r="AO31" s="908">
        <v>201</v>
      </c>
      <c r="AP31" s="909">
        <v>248</v>
      </c>
    </row>
    <row r="32" spans="1:42" s="6" customFormat="1" ht="15" customHeight="1" x14ac:dyDescent="0.25">
      <c r="A32" s="5150"/>
      <c r="B32" s="5035"/>
      <c r="C32" s="847" t="s">
        <v>504</v>
      </c>
      <c r="D32" s="912"/>
      <c r="E32" s="911"/>
      <c r="F32" s="913"/>
      <c r="G32" s="912"/>
      <c r="H32" s="911"/>
      <c r="I32" s="913"/>
      <c r="J32" s="912"/>
      <c r="K32" s="911"/>
      <c r="L32" s="849"/>
      <c r="M32" s="817"/>
      <c r="N32" s="818"/>
      <c r="O32" s="849"/>
      <c r="P32" s="817"/>
      <c r="Q32" s="906"/>
      <c r="R32" s="902">
        <v>25</v>
      </c>
      <c r="S32" s="817">
        <v>21</v>
      </c>
      <c r="T32" s="906">
        <v>20</v>
      </c>
      <c r="U32" s="902">
        <v>46</v>
      </c>
      <c r="V32" s="817">
        <v>35</v>
      </c>
      <c r="W32" s="906">
        <v>33</v>
      </c>
      <c r="X32" s="902">
        <v>75</v>
      </c>
      <c r="Y32" s="907">
        <v>63</v>
      </c>
      <c r="Z32" s="908">
        <v>63</v>
      </c>
      <c r="AA32" s="909">
        <v>101</v>
      </c>
      <c r="AB32" s="907">
        <v>95</v>
      </c>
      <c r="AC32" s="908">
        <v>86</v>
      </c>
      <c r="AD32" s="909">
        <v>128</v>
      </c>
      <c r="AE32" s="907">
        <v>120</v>
      </c>
      <c r="AF32" s="908">
        <v>107</v>
      </c>
      <c r="AG32" s="909">
        <v>143</v>
      </c>
      <c r="AH32" s="907">
        <v>134</v>
      </c>
      <c r="AI32" s="908">
        <v>121</v>
      </c>
      <c r="AJ32" s="909">
        <v>156</v>
      </c>
      <c r="AK32" s="907">
        <v>144</v>
      </c>
      <c r="AL32" s="908">
        <v>137</v>
      </c>
      <c r="AM32" s="909">
        <v>170</v>
      </c>
      <c r="AN32" s="907">
        <v>158</v>
      </c>
      <c r="AO32" s="908">
        <v>145</v>
      </c>
      <c r="AP32" s="909">
        <v>189</v>
      </c>
    </row>
    <row r="33" spans="1:42" s="6" customFormat="1" ht="15" customHeight="1" x14ac:dyDescent="0.25">
      <c r="A33" s="5150"/>
      <c r="B33" s="5035"/>
      <c r="C33" s="813" t="s">
        <v>505</v>
      </c>
      <c r="D33" s="814"/>
      <c r="E33" s="855"/>
      <c r="F33" s="816"/>
      <c r="G33" s="854"/>
      <c r="H33" s="855"/>
      <c r="I33" s="816"/>
      <c r="J33" s="814"/>
      <c r="K33" s="815"/>
      <c r="L33" s="816"/>
      <c r="M33" s="814"/>
      <c r="N33" s="815"/>
      <c r="O33" s="816"/>
      <c r="P33" s="814"/>
      <c r="Q33" s="815"/>
      <c r="R33" s="816">
        <v>49</v>
      </c>
      <c r="S33" s="814">
        <v>45</v>
      </c>
      <c r="T33" s="815">
        <v>47</v>
      </c>
      <c r="U33" s="816">
        <v>92</v>
      </c>
      <c r="V33" s="814">
        <v>88</v>
      </c>
      <c r="W33" s="815">
        <v>84</v>
      </c>
      <c r="X33" s="816">
        <v>110</v>
      </c>
      <c r="Y33" s="814">
        <v>106</v>
      </c>
      <c r="Z33" s="815">
        <v>105</v>
      </c>
      <c r="AA33" s="816">
        <v>142</v>
      </c>
      <c r="AB33" s="817">
        <v>150</v>
      </c>
      <c r="AC33" s="815">
        <v>152</v>
      </c>
      <c r="AD33" s="816">
        <v>188</v>
      </c>
      <c r="AE33" s="817">
        <v>176</v>
      </c>
      <c r="AF33" s="815">
        <v>170</v>
      </c>
      <c r="AG33" s="910">
        <v>194</v>
      </c>
      <c r="AH33" s="817">
        <v>185</v>
      </c>
      <c r="AI33" s="815">
        <v>187</v>
      </c>
      <c r="AJ33" s="910">
        <v>223</v>
      </c>
      <c r="AK33" s="817">
        <v>201</v>
      </c>
      <c r="AL33" s="815">
        <v>200</v>
      </c>
      <c r="AM33" s="910">
        <v>242</v>
      </c>
      <c r="AN33" s="817">
        <v>223</v>
      </c>
      <c r="AO33" s="815">
        <v>219</v>
      </c>
      <c r="AP33" s="910">
        <v>289</v>
      </c>
    </row>
    <row r="34" spans="1:42" s="6" customFormat="1" ht="15" customHeight="1" x14ac:dyDescent="0.2">
      <c r="A34" s="5150"/>
      <c r="B34" s="5036"/>
      <c r="C34" s="874" t="s">
        <v>160</v>
      </c>
      <c r="D34" s="925"/>
      <c r="E34" s="926"/>
      <c r="F34" s="927"/>
      <c r="G34" s="925"/>
      <c r="H34" s="926"/>
      <c r="I34" s="927"/>
      <c r="J34" s="925"/>
      <c r="K34" s="926"/>
      <c r="L34" s="927">
        <f>SUM(L31:L33)</f>
        <v>34</v>
      </c>
      <c r="M34" s="925">
        <f t="shared" ref="M34:AG34" si="15">SUM(M31:M33)</f>
        <v>29</v>
      </c>
      <c r="N34" s="926">
        <f t="shared" si="15"/>
        <v>29</v>
      </c>
      <c r="O34" s="927">
        <f t="shared" si="15"/>
        <v>61</v>
      </c>
      <c r="P34" s="925">
        <f t="shared" si="15"/>
        <v>60</v>
      </c>
      <c r="Q34" s="926">
        <f t="shared" si="15"/>
        <v>59</v>
      </c>
      <c r="R34" s="927">
        <f t="shared" si="15"/>
        <v>187</v>
      </c>
      <c r="S34" s="925">
        <f t="shared" si="15"/>
        <v>174</v>
      </c>
      <c r="T34" s="926">
        <f t="shared" si="15"/>
        <v>167</v>
      </c>
      <c r="U34" s="927">
        <f t="shared" si="15"/>
        <v>292</v>
      </c>
      <c r="V34" s="925">
        <f t="shared" si="15"/>
        <v>272</v>
      </c>
      <c r="W34" s="926">
        <f t="shared" si="15"/>
        <v>263</v>
      </c>
      <c r="X34" s="927">
        <f t="shared" si="15"/>
        <v>360</v>
      </c>
      <c r="Y34" s="925">
        <f t="shared" si="15"/>
        <v>328</v>
      </c>
      <c r="Z34" s="926">
        <f t="shared" si="15"/>
        <v>313</v>
      </c>
      <c r="AA34" s="927">
        <f t="shared" si="15"/>
        <v>423</v>
      </c>
      <c r="AB34" s="925">
        <f t="shared" si="15"/>
        <v>396</v>
      </c>
      <c r="AC34" s="926">
        <f t="shared" si="15"/>
        <v>385</v>
      </c>
      <c r="AD34" s="927">
        <f t="shared" si="15"/>
        <v>498</v>
      </c>
      <c r="AE34" s="925">
        <f t="shared" si="15"/>
        <v>452</v>
      </c>
      <c r="AF34" s="926">
        <f t="shared" si="15"/>
        <v>429</v>
      </c>
      <c r="AG34" s="927">
        <f t="shared" si="15"/>
        <v>520</v>
      </c>
      <c r="AH34" s="925">
        <f t="shared" ref="AH34:AM34" si="16">SUM(AH31:AH33)</f>
        <v>489</v>
      </c>
      <c r="AI34" s="926">
        <f t="shared" si="16"/>
        <v>471</v>
      </c>
      <c r="AJ34" s="927">
        <f t="shared" si="16"/>
        <v>576</v>
      </c>
      <c r="AK34" s="925">
        <f t="shared" si="16"/>
        <v>528</v>
      </c>
      <c r="AL34" s="926">
        <f t="shared" si="16"/>
        <v>515</v>
      </c>
      <c r="AM34" s="927">
        <f t="shared" si="16"/>
        <v>644</v>
      </c>
      <c r="AN34" s="925">
        <f t="shared" ref="AN34:AP34" si="17">SUM(AN31:AN33)</f>
        <v>589</v>
      </c>
      <c r="AO34" s="926">
        <f t="shared" si="17"/>
        <v>565</v>
      </c>
      <c r="AP34" s="927">
        <f t="shared" si="17"/>
        <v>726</v>
      </c>
    </row>
    <row r="35" spans="1:42" s="6" customFormat="1" ht="15" customHeight="1" x14ac:dyDescent="0.25">
      <c r="A35" s="5150"/>
      <c r="B35" s="5034" t="s">
        <v>74</v>
      </c>
      <c r="C35" s="813" t="s">
        <v>461</v>
      </c>
      <c r="D35" s="912"/>
      <c r="E35" s="911"/>
      <c r="F35" s="849"/>
      <c r="G35" s="912"/>
      <c r="H35" s="911"/>
      <c r="I35" s="913"/>
      <c r="J35" s="817"/>
      <c r="K35" s="911"/>
      <c r="L35" s="903">
        <v>46</v>
      </c>
      <c r="M35" s="904">
        <v>40</v>
      </c>
      <c r="N35" s="901">
        <v>36</v>
      </c>
      <c r="O35" s="902">
        <v>58</v>
      </c>
      <c r="P35" s="904">
        <v>53</v>
      </c>
      <c r="Q35" s="906">
        <v>50</v>
      </c>
      <c r="R35" s="902">
        <v>91</v>
      </c>
      <c r="S35" s="904">
        <v>80</v>
      </c>
      <c r="T35" s="906">
        <v>75</v>
      </c>
      <c r="U35" s="902">
        <v>135</v>
      </c>
      <c r="V35" s="904">
        <v>127</v>
      </c>
      <c r="W35" s="906">
        <v>110</v>
      </c>
      <c r="X35" s="902">
        <v>133</v>
      </c>
      <c r="Y35" s="907">
        <v>117</v>
      </c>
      <c r="Z35" s="908">
        <v>113</v>
      </c>
      <c r="AA35" s="909">
        <v>135</v>
      </c>
      <c r="AB35" s="907">
        <v>126</v>
      </c>
      <c r="AC35" s="908">
        <v>114</v>
      </c>
      <c r="AD35" s="909">
        <v>129</v>
      </c>
      <c r="AE35" s="907">
        <v>123</v>
      </c>
      <c r="AF35" s="908">
        <v>120</v>
      </c>
      <c r="AG35" s="909">
        <v>151</v>
      </c>
      <c r="AH35" s="907">
        <v>133</v>
      </c>
      <c r="AI35" s="908">
        <v>124</v>
      </c>
      <c r="AJ35" s="909">
        <v>161</v>
      </c>
      <c r="AK35" s="907">
        <v>145</v>
      </c>
      <c r="AL35" s="908">
        <v>139</v>
      </c>
      <c r="AM35" s="909">
        <v>202</v>
      </c>
      <c r="AN35" s="907">
        <v>172</v>
      </c>
      <c r="AO35" s="908">
        <v>169</v>
      </c>
      <c r="AP35" s="909">
        <v>211</v>
      </c>
    </row>
    <row r="36" spans="1:42" s="6" customFormat="1" ht="15" customHeight="1" x14ac:dyDescent="0.25">
      <c r="A36" s="5150"/>
      <c r="B36" s="5035"/>
      <c r="C36" s="813" t="s">
        <v>506</v>
      </c>
      <c r="D36" s="912"/>
      <c r="E36" s="911"/>
      <c r="F36" s="849"/>
      <c r="G36" s="912"/>
      <c r="H36" s="911"/>
      <c r="I36" s="913"/>
      <c r="J36" s="912"/>
      <c r="K36" s="911"/>
      <c r="L36" s="903">
        <v>12</v>
      </c>
      <c r="M36" s="904">
        <v>10</v>
      </c>
      <c r="N36" s="901">
        <v>8</v>
      </c>
      <c r="O36" s="902">
        <v>10</v>
      </c>
      <c r="P36" s="904">
        <v>10</v>
      </c>
      <c r="Q36" s="906">
        <v>6</v>
      </c>
      <c r="R36" s="902">
        <v>29</v>
      </c>
      <c r="S36" s="904">
        <v>24</v>
      </c>
      <c r="T36" s="906">
        <v>20</v>
      </c>
      <c r="U36" s="902">
        <v>51</v>
      </c>
      <c r="V36" s="904">
        <v>43</v>
      </c>
      <c r="W36" s="906">
        <v>42</v>
      </c>
      <c r="X36" s="902">
        <v>65</v>
      </c>
      <c r="Y36" s="907">
        <v>53</v>
      </c>
      <c r="Z36" s="908">
        <v>49</v>
      </c>
      <c r="AA36" s="909">
        <v>70</v>
      </c>
      <c r="AB36" s="907">
        <v>66</v>
      </c>
      <c r="AC36" s="908">
        <v>63</v>
      </c>
      <c r="AD36" s="909">
        <v>90</v>
      </c>
      <c r="AE36" s="907">
        <v>87</v>
      </c>
      <c r="AF36" s="908">
        <v>81</v>
      </c>
      <c r="AG36" s="909">
        <v>103</v>
      </c>
      <c r="AH36" s="907">
        <v>100</v>
      </c>
      <c r="AI36" s="908">
        <v>86</v>
      </c>
      <c r="AJ36" s="909">
        <v>112</v>
      </c>
      <c r="AK36" s="907">
        <v>104</v>
      </c>
      <c r="AL36" s="908">
        <v>93</v>
      </c>
      <c r="AM36" s="909">
        <v>118</v>
      </c>
      <c r="AN36" s="907">
        <v>109</v>
      </c>
      <c r="AO36" s="908">
        <v>102</v>
      </c>
      <c r="AP36" s="909">
        <v>131</v>
      </c>
    </row>
    <row r="37" spans="1:42" s="6" customFormat="1" ht="15" customHeight="1" x14ac:dyDescent="0.25">
      <c r="A37" s="5150"/>
      <c r="B37" s="5035"/>
      <c r="C37" s="813" t="s">
        <v>507</v>
      </c>
      <c r="D37" s="912"/>
      <c r="E37" s="911"/>
      <c r="F37" s="849"/>
      <c r="G37" s="912"/>
      <c r="H37" s="911"/>
      <c r="I37" s="913"/>
      <c r="J37" s="912"/>
      <c r="K37" s="911"/>
      <c r="L37" s="903"/>
      <c r="M37" s="904"/>
      <c r="N37" s="901"/>
      <c r="O37" s="902"/>
      <c r="P37" s="904"/>
      <c r="Q37" s="906"/>
      <c r="R37" s="902"/>
      <c r="S37" s="904" t="s">
        <v>227</v>
      </c>
      <c r="T37" s="906" t="s">
        <v>227</v>
      </c>
      <c r="U37" s="902">
        <v>19</v>
      </c>
      <c r="V37" s="904">
        <v>19</v>
      </c>
      <c r="W37" s="906">
        <v>17</v>
      </c>
      <c r="X37" s="902">
        <v>40</v>
      </c>
      <c r="Y37" s="907">
        <v>39</v>
      </c>
      <c r="Z37" s="908">
        <v>39</v>
      </c>
      <c r="AA37" s="909">
        <v>64</v>
      </c>
      <c r="AB37" s="907">
        <v>61</v>
      </c>
      <c r="AC37" s="908">
        <v>60</v>
      </c>
      <c r="AD37" s="909">
        <v>70</v>
      </c>
      <c r="AE37" s="907">
        <v>68</v>
      </c>
      <c r="AF37" s="908">
        <v>63</v>
      </c>
      <c r="AG37" s="909">
        <v>79</v>
      </c>
      <c r="AH37" s="907">
        <v>72</v>
      </c>
      <c r="AI37" s="908">
        <v>67</v>
      </c>
      <c r="AJ37" s="909">
        <v>99</v>
      </c>
      <c r="AK37" s="907">
        <v>89</v>
      </c>
      <c r="AL37" s="908">
        <v>80</v>
      </c>
      <c r="AM37" s="909">
        <v>134</v>
      </c>
      <c r="AN37" s="907">
        <v>124</v>
      </c>
      <c r="AO37" s="908">
        <v>117</v>
      </c>
      <c r="AP37" s="909">
        <v>165</v>
      </c>
    </row>
    <row r="38" spans="1:42" s="6" customFormat="1" ht="15" customHeight="1" x14ac:dyDescent="0.25">
      <c r="A38" s="5150"/>
      <c r="B38" s="5035"/>
      <c r="C38" s="813" t="s">
        <v>508</v>
      </c>
      <c r="D38" s="814"/>
      <c r="E38" s="855"/>
      <c r="F38" s="816"/>
      <c r="G38" s="854"/>
      <c r="H38" s="855"/>
      <c r="I38" s="816"/>
      <c r="J38" s="814"/>
      <c r="K38" s="815"/>
      <c r="L38" s="816"/>
      <c r="M38" s="814"/>
      <c r="N38" s="815"/>
      <c r="O38" s="816"/>
      <c r="P38" s="814"/>
      <c r="Q38" s="815"/>
      <c r="R38" s="816"/>
      <c r="S38" s="814"/>
      <c r="T38" s="815"/>
      <c r="U38" s="816"/>
      <c r="V38" s="814"/>
      <c r="W38" s="815"/>
      <c r="X38" s="816"/>
      <c r="Y38" s="814">
        <v>0</v>
      </c>
      <c r="Z38" s="815">
        <v>0</v>
      </c>
      <c r="AA38" s="816">
        <v>27</v>
      </c>
      <c r="AB38" s="817">
        <v>23</v>
      </c>
      <c r="AC38" s="815">
        <v>24</v>
      </c>
      <c r="AD38" s="816">
        <v>67</v>
      </c>
      <c r="AE38" s="817">
        <v>63</v>
      </c>
      <c r="AF38" s="815">
        <v>57</v>
      </c>
      <c r="AG38" s="910">
        <v>116</v>
      </c>
      <c r="AH38" s="817">
        <v>108</v>
      </c>
      <c r="AI38" s="815">
        <v>105</v>
      </c>
      <c r="AJ38" s="910">
        <v>153</v>
      </c>
      <c r="AK38" s="817">
        <v>144</v>
      </c>
      <c r="AL38" s="815">
        <v>138</v>
      </c>
      <c r="AM38" s="910">
        <v>196</v>
      </c>
      <c r="AN38" s="817">
        <v>185</v>
      </c>
      <c r="AO38" s="815">
        <v>172</v>
      </c>
      <c r="AP38" s="910">
        <v>231</v>
      </c>
    </row>
    <row r="39" spans="1:42" s="6" customFormat="1" ht="15" customHeight="1" x14ac:dyDescent="0.2">
      <c r="A39" s="5150"/>
      <c r="B39" s="5036"/>
      <c r="C39" s="874" t="s">
        <v>160</v>
      </c>
      <c r="D39" s="925"/>
      <c r="E39" s="926"/>
      <c r="F39" s="927"/>
      <c r="G39" s="925"/>
      <c r="H39" s="926"/>
      <c r="I39" s="927"/>
      <c r="J39" s="925"/>
      <c r="K39" s="926"/>
      <c r="L39" s="927">
        <f>SUM(L35:L38)</f>
        <v>58</v>
      </c>
      <c r="M39" s="925">
        <f t="shared" ref="M39:AG39" si="18">SUM(M35:M38)</f>
        <v>50</v>
      </c>
      <c r="N39" s="926">
        <f t="shared" si="18"/>
        <v>44</v>
      </c>
      <c r="O39" s="927">
        <f t="shared" si="18"/>
        <v>68</v>
      </c>
      <c r="P39" s="925">
        <f t="shared" si="18"/>
        <v>63</v>
      </c>
      <c r="Q39" s="926">
        <f t="shared" si="18"/>
        <v>56</v>
      </c>
      <c r="R39" s="927">
        <f t="shared" si="18"/>
        <v>120</v>
      </c>
      <c r="S39" s="925">
        <f t="shared" si="18"/>
        <v>104</v>
      </c>
      <c r="T39" s="926">
        <f t="shared" si="18"/>
        <v>95</v>
      </c>
      <c r="U39" s="927">
        <f t="shared" si="18"/>
        <v>205</v>
      </c>
      <c r="V39" s="925">
        <f t="shared" si="18"/>
        <v>189</v>
      </c>
      <c r="W39" s="926">
        <f t="shared" si="18"/>
        <v>169</v>
      </c>
      <c r="X39" s="927">
        <f t="shared" si="18"/>
        <v>238</v>
      </c>
      <c r="Y39" s="925">
        <f t="shared" si="18"/>
        <v>209</v>
      </c>
      <c r="Z39" s="926">
        <f t="shared" si="18"/>
        <v>201</v>
      </c>
      <c r="AA39" s="927">
        <f t="shared" si="18"/>
        <v>296</v>
      </c>
      <c r="AB39" s="925">
        <f t="shared" si="18"/>
        <v>276</v>
      </c>
      <c r="AC39" s="926">
        <f t="shared" si="18"/>
        <v>261</v>
      </c>
      <c r="AD39" s="927">
        <f t="shared" si="18"/>
        <v>356</v>
      </c>
      <c r="AE39" s="925">
        <f t="shared" si="18"/>
        <v>341</v>
      </c>
      <c r="AF39" s="926">
        <f t="shared" si="18"/>
        <v>321</v>
      </c>
      <c r="AG39" s="927">
        <f t="shared" si="18"/>
        <v>449</v>
      </c>
      <c r="AH39" s="925">
        <f t="shared" ref="AH39:AM39" si="19">SUM(AH35:AH38)</f>
        <v>413</v>
      </c>
      <c r="AI39" s="926">
        <f t="shared" si="19"/>
        <v>382</v>
      </c>
      <c r="AJ39" s="927">
        <f t="shared" si="19"/>
        <v>525</v>
      </c>
      <c r="AK39" s="925">
        <f t="shared" si="19"/>
        <v>482</v>
      </c>
      <c r="AL39" s="926">
        <f t="shared" si="19"/>
        <v>450</v>
      </c>
      <c r="AM39" s="927">
        <f t="shared" si="19"/>
        <v>650</v>
      </c>
      <c r="AN39" s="925">
        <f t="shared" ref="AN39:AP39" si="20">SUM(AN35:AN38)</f>
        <v>590</v>
      </c>
      <c r="AO39" s="926">
        <f t="shared" si="20"/>
        <v>560</v>
      </c>
      <c r="AP39" s="927">
        <f t="shared" si="20"/>
        <v>738</v>
      </c>
    </row>
    <row r="40" spans="1:42" s="6" customFormat="1" ht="15" customHeight="1" x14ac:dyDescent="0.25">
      <c r="A40" s="5151"/>
      <c r="B40" s="3996"/>
      <c r="C40" s="3997" t="s">
        <v>450</v>
      </c>
      <c r="D40" s="3998"/>
      <c r="E40" s="3999"/>
      <c r="F40" s="4000"/>
      <c r="G40" s="3998"/>
      <c r="H40" s="3999"/>
      <c r="I40" s="4000"/>
      <c r="J40" s="3998"/>
      <c r="K40" s="3999"/>
      <c r="L40" s="4000">
        <f>SUM(L39,L34,L30)</f>
        <v>203</v>
      </c>
      <c r="M40" s="3998">
        <f t="shared" ref="M40:AG40" si="21">SUM(M39,M34,M30)</f>
        <v>182</v>
      </c>
      <c r="N40" s="3999">
        <f t="shared" si="21"/>
        <v>168</v>
      </c>
      <c r="O40" s="4000">
        <f t="shared" si="21"/>
        <v>265</v>
      </c>
      <c r="P40" s="3998">
        <f t="shared" si="21"/>
        <v>240</v>
      </c>
      <c r="Q40" s="3999">
        <f t="shared" si="21"/>
        <v>231</v>
      </c>
      <c r="R40" s="4000">
        <f t="shared" si="21"/>
        <v>546</v>
      </c>
      <c r="S40" s="3998">
        <f t="shared" si="21"/>
        <v>508</v>
      </c>
      <c r="T40" s="3999">
        <f t="shared" si="21"/>
        <v>479</v>
      </c>
      <c r="U40" s="4000">
        <f t="shared" si="21"/>
        <v>825</v>
      </c>
      <c r="V40" s="3998">
        <f t="shared" si="21"/>
        <v>772</v>
      </c>
      <c r="W40" s="3999">
        <f t="shared" si="21"/>
        <v>738</v>
      </c>
      <c r="X40" s="4000">
        <f t="shared" si="21"/>
        <v>969</v>
      </c>
      <c r="Y40" s="3998">
        <f t="shared" si="21"/>
        <v>850</v>
      </c>
      <c r="Z40" s="3999">
        <f t="shared" si="21"/>
        <v>827</v>
      </c>
      <c r="AA40" s="4000">
        <f t="shared" si="21"/>
        <v>1124</v>
      </c>
      <c r="AB40" s="3998">
        <f t="shared" si="21"/>
        <v>1027</v>
      </c>
      <c r="AC40" s="3999">
        <f t="shared" si="21"/>
        <v>981</v>
      </c>
      <c r="AD40" s="4000">
        <f t="shared" si="21"/>
        <v>1227</v>
      </c>
      <c r="AE40" s="3998">
        <f t="shared" si="21"/>
        <v>1143</v>
      </c>
      <c r="AF40" s="3999">
        <f t="shared" si="21"/>
        <v>1081</v>
      </c>
      <c r="AG40" s="4000">
        <f t="shared" si="21"/>
        <v>1347</v>
      </c>
      <c r="AH40" s="3998">
        <f t="shared" ref="AH40:AM40" si="22">SUM(AH39,AH34,AH30)</f>
        <v>1255</v>
      </c>
      <c r="AI40" s="3999">
        <f t="shared" si="22"/>
        <v>1179</v>
      </c>
      <c r="AJ40" s="4000">
        <f t="shared" si="22"/>
        <v>1490</v>
      </c>
      <c r="AK40" s="3998">
        <f t="shared" si="22"/>
        <v>1371</v>
      </c>
      <c r="AL40" s="3999">
        <f t="shared" si="22"/>
        <v>1396</v>
      </c>
      <c r="AM40" s="4000">
        <f t="shared" si="22"/>
        <v>1782</v>
      </c>
      <c r="AN40" s="3998">
        <f t="shared" ref="AN40:AP40" si="23">SUM(AN39,AN34,AN30)</f>
        <v>1633</v>
      </c>
      <c r="AO40" s="3999">
        <f t="shared" si="23"/>
        <v>1656</v>
      </c>
      <c r="AP40" s="4000">
        <f t="shared" si="23"/>
        <v>2089</v>
      </c>
    </row>
    <row r="41" spans="1:42" s="6" customFormat="1" ht="15" customHeight="1" x14ac:dyDescent="0.25">
      <c r="A41" s="5143" t="s">
        <v>447</v>
      </c>
      <c r="B41" s="5050" t="s">
        <v>5</v>
      </c>
      <c r="C41" s="847" t="s">
        <v>469</v>
      </c>
      <c r="D41" s="900">
        <v>374</v>
      </c>
      <c r="E41" s="901">
        <v>387</v>
      </c>
      <c r="F41" s="902">
        <v>424</v>
      </c>
      <c r="G41" s="900">
        <v>393</v>
      </c>
      <c r="H41" s="901">
        <v>375</v>
      </c>
      <c r="I41" s="903">
        <v>410</v>
      </c>
      <c r="J41" s="904">
        <v>389</v>
      </c>
      <c r="K41" s="905">
        <v>408</v>
      </c>
      <c r="L41" s="903">
        <v>436</v>
      </c>
      <c r="M41" s="904">
        <v>416</v>
      </c>
      <c r="N41" s="901">
        <v>444</v>
      </c>
      <c r="O41" s="902">
        <v>452</v>
      </c>
      <c r="P41" s="904">
        <v>420</v>
      </c>
      <c r="Q41" s="906">
        <v>426</v>
      </c>
      <c r="R41" s="902">
        <v>431</v>
      </c>
      <c r="S41" s="904">
        <v>406</v>
      </c>
      <c r="T41" s="906">
        <v>393</v>
      </c>
      <c r="U41" s="902">
        <v>429</v>
      </c>
      <c r="V41" s="904">
        <v>403</v>
      </c>
      <c r="W41" s="906">
        <v>400</v>
      </c>
      <c r="X41" s="902">
        <v>445</v>
      </c>
      <c r="Y41" s="907">
        <v>431</v>
      </c>
      <c r="Z41" s="908">
        <v>382</v>
      </c>
      <c r="AA41" s="909">
        <v>456</v>
      </c>
      <c r="AB41" s="907">
        <v>402</v>
      </c>
      <c r="AC41" s="908">
        <v>380</v>
      </c>
      <c r="AD41" s="909">
        <v>450</v>
      </c>
      <c r="AE41" s="907">
        <v>407</v>
      </c>
      <c r="AF41" s="908">
        <v>388</v>
      </c>
      <c r="AG41" s="909">
        <v>461</v>
      </c>
      <c r="AH41" s="907">
        <v>444</v>
      </c>
      <c r="AI41" s="908">
        <v>415</v>
      </c>
      <c r="AJ41" s="909">
        <v>535</v>
      </c>
      <c r="AK41" s="907">
        <v>476</v>
      </c>
      <c r="AL41" s="908">
        <v>451</v>
      </c>
      <c r="AM41" s="909">
        <v>542</v>
      </c>
      <c r="AN41" s="907">
        <v>499</v>
      </c>
      <c r="AO41" s="908">
        <v>463</v>
      </c>
      <c r="AP41" s="909">
        <v>585</v>
      </c>
    </row>
    <row r="42" spans="1:42" s="6" customFormat="1" ht="15" customHeight="1" x14ac:dyDescent="0.25">
      <c r="A42" s="5144"/>
      <c r="B42" s="5050"/>
      <c r="C42" s="847" t="s">
        <v>470</v>
      </c>
      <c r="D42" s="900">
        <v>53</v>
      </c>
      <c r="E42" s="901">
        <v>61</v>
      </c>
      <c r="F42" s="902">
        <v>59</v>
      </c>
      <c r="G42" s="900">
        <v>53</v>
      </c>
      <c r="H42" s="901">
        <v>53</v>
      </c>
      <c r="I42" s="903">
        <v>56</v>
      </c>
      <c r="J42" s="904">
        <v>53</v>
      </c>
      <c r="K42" s="905">
        <v>57</v>
      </c>
      <c r="L42" s="903">
        <v>64</v>
      </c>
      <c r="M42" s="904">
        <v>54</v>
      </c>
      <c r="N42" s="901">
        <v>55</v>
      </c>
      <c r="O42" s="902">
        <v>53</v>
      </c>
      <c r="P42" s="904">
        <v>43</v>
      </c>
      <c r="Q42" s="906">
        <v>53</v>
      </c>
      <c r="R42" s="902">
        <v>66</v>
      </c>
      <c r="S42" s="904">
        <v>61</v>
      </c>
      <c r="T42" s="906">
        <v>58</v>
      </c>
      <c r="U42" s="902">
        <v>82</v>
      </c>
      <c r="V42" s="904">
        <v>76</v>
      </c>
      <c r="W42" s="906">
        <v>70</v>
      </c>
      <c r="X42" s="902">
        <v>79</v>
      </c>
      <c r="Y42" s="907">
        <v>74</v>
      </c>
      <c r="Z42" s="908">
        <v>68</v>
      </c>
      <c r="AA42" s="909">
        <v>80</v>
      </c>
      <c r="AB42" s="907">
        <v>71</v>
      </c>
      <c r="AC42" s="908">
        <v>64</v>
      </c>
      <c r="AD42" s="909">
        <v>93</v>
      </c>
      <c r="AE42" s="907">
        <v>85</v>
      </c>
      <c r="AF42" s="908">
        <v>79</v>
      </c>
      <c r="AG42" s="909">
        <v>109</v>
      </c>
      <c r="AH42" s="907">
        <v>99</v>
      </c>
      <c r="AI42" s="908">
        <v>99</v>
      </c>
      <c r="AJ42" s="909">
        <v>133</v>
      </c>
      <c r="AK42" s="907">
        <v>122</v>
      </c>
      <c r="AL42" s="908">
        <v>120</v>
      </c>
      <c r="AM42" s="909">
        <v>133</v>
      </c>
      <c r="AN42" s="907">
        <v>127</v>
      </c>
      <c r="AO42" s="908">
        <v>112</v>
      </c>
      <c r="AP42" s="909">
        <v>137</v>
      </c>
    </row>
    <row r="43" spans="1:42" s="6" customFormat="1" ht="15" customHeight="1" x14ac:dyDescent="0.25">
      <c r="A43" s="5144"/>
      <c r="B43" s="5050"/>
      <c r="C43" s="847" t="s">
        <v>459</v>
      </c>
      <c r="D43" s="900">
        <v>265</v>
      </c>
      <c r="E43" s="901">
        <v>263</v>
      </c>
      <c r="F43" s="902">
        <v>266</v>
      </c>
      <c r="G43" s="900">
        <v>239</v>
      </c>
      <c r="H43" s="901">
        <v>247</v>
      </c>
      <c r="I43" s="903">
        <v>255</v>
      </c>
      <c r="J43" s="904">
        <v>223</v>
      </c>
      <c r="K43" s="905">
        <v>217</v>
      </c>
      <c r="L43" s="903">
        <v>245</v>
      </c>
      <c r="M43" s="904">
        <v>220</v>
      </c>
      <c r="N43" s="901">
        <v>237</v>
      </c>
      <c r="O43" s="902">
        <v>263</v>
      </c>
      <c r="P43" s="904">
        <v>235</v>
      </c>
      <c r="Q43" s="906">
        <v>240</v>
      </c>
      <c r="R43" s="902">
        <v>249</v>
      </c>
      <c r="S43" s="904">
        <v>233</v>
      </c>
      <c r="T43" s="906">
        <v>220</v>
      </c>
      <c r="U43" s="902">
        <v>244</v>
      </c>
      <c r="V43" s="904">
        <v>242</v>
      </c>
      <c r="W43" s="906">
        <v>247</v>
      </c>
      <c r="X43" s="902">
        <v>260</v>
      </c>
      <c r="Y43" s="907">
        <v>241</v>
      </c>
      <c r="Z43" s="908">
        <v>275</v>
      </c>
      <c r="AA43" s="909">
        <v>318</v>
      </c>
      <c r="AB43" s="907">
        <v>302</v>
      </c>
      <c r="AC43" s="908">
        <v>315</v>
      </c>
      <c r="AD43" s="909">
        <v>359</v>
      </c>
      <c r="AE43" s="907">
        <v>329</v>
      </c>
      <c r="AF43" s="908">
        <v>365</v>
      </c>
      <c r="AG43" s="909">
        <v>402</v>
      </c>
      <c r="AH43" s="907">
        <v>366</v>
      </c>
      <c r="AI43" s="908">
        <v>418</v>
      </c>
      <c r="AJ43" s="909">
        <v>480</v>
      </c>
      <c r="AK43" s="907">
        <v>437</v>
      </c>
      <c r="AL43" s="908">
        <v>476</v>
      </c>
      <c r="AM43" s="909">
        <v>508</v>
      </c>
      <c r="AN43" s="907">
        <v>474</v>
      </c>
      <c r="AO43" s="908">
        <v>494</v>
      </c>
      <c r="AP43" s="909">
        <v>522</v>
      </c>
    </row>
    <row r="44" spans="1:42" s="6" customFormat="1" ht="15" customHeight="1" x14ac:dyDescent="0.25">
      <c r="A44" s="5144"/>
      <c r="B44" s="5050"/>
      <c r="C44" s="847" t="s">
        <v>471</v>
      </c>
      <c r="D44" s="900">
        <v>165</v>
      </c>
      <c r="E44" s="901">
        <v>176</v>
      </c>
      <c r="F44" s="902">
        <v>195</v>
      </c>
      <c r="G44" s="900">
        <v>175</v>
      </c>
      <c r="H44" s="901">
        <v>173</v>
      </c>
      <c r="I44" s="903">
        <v>180</v>
      </c>
      <c r="J44" s="904">
        <v>166</v>
      </c>
      <c r="K44" s="905">
        <v>187</v>
      </c>
      <c r="L44" s="903">
        <v>204</v>
      </c>
      <c r="M44" s="904">
        <v>173</v>
      </c>
      <c r="N44" s="901">
        <v>184</v>
      </c>
      <c r="O44" s="902">
        <v>180</v>
      </c>
      <c r="P44" s="904">
        <v>163</v>
      </c>
      <c r="Q44" s="906">
        <v>157</v>
      </c>
      <c r="R44" s="902">
        <v>182</v>
      </c>
      <c r="S44" s="904">
        <v>168</v>
      </c>
      <c r="T44" s="906">
        <v>173</v>
      </c>
      <c r="U44" s="902">
        <v>209</v>
      </c>
      <c r="V44" s="904">
        <v>188</v>
      </c>
      <c r="W44" s="906">
        <v>203</v>
      </c>
      <c r="X44" s="902">
        <v>226</v>
      </c>
      <c r="Y44" s="907">
        <v>213</v>
      </c>
      <c r="Z44" s="908">
        <v>232</v>
      </c>
      <c r="AA44" s="909">
        <v>275</v>
      </c>
      <c r="AB44" s="907">
        <v>244</v>
      </c>
      <c r="AC44" s="908">
        <v>303</v>
      </c>
      <c r="AD44" s="909">
        <v>319</v>
      </c>
      <c r="AE44" s="907">
        <v>290</v>
      </c>
      <c r="AF44" s="908">
        <v>321</v>
      </c>
      <c r="AG44" s="909">
        <v>327</v>
      </c>
      <c r="AH44" s="907">
        <v>321</v>
      </c>
      <c r="AI44" s="908">
        <v>389</v>
      </c>
      <c r="AJ44" s="909">
        <v>414</v>
      </c>
      <c r="AK44" s="907">
        <v>377</v>
      </c>
      <c r="AL44" s="908">
        <v>401</v>
      </c>
      <c r="AM44" s="909">
        <v>454</v>
      </c>
      <c r="AN44" s="907">
        <v>423</v>
      </c>
      <c r="AO44" s="908">
        <v>458</v>
      </c>
      <c r="AP44" s="909">
        <v>470</v>
      </c>
    </row>
    <row r="45" spans="1:42" s="6" customFormat="1" ht="15" customHeight="1" x14ac:dyDescent="0.25">
      <c r="A45" s="5144"/>
      <c r="B45" s="5050"/>
      <c r="C45" s="847" t="s">
        <v>472</v>
      </c>
      <c r="D45" s="900">
        <v>148</v>
      </c>
      <c r="E45" s="901">
        <v>142</v>
      </c>
      <c r="F45" s="902">
        <v>152</v>
      </c>
      <c r="G45" s="900">
        <v>147</v>
      </c>
      <c r="H45" s="901">
        <v>136</v>
      </c>
      <c r="I45" s="903">
        <v>147</v>
      </c>
      <c r="J45" s="904">
        <v>123</v>
      </c>
      <c r="K45" s="905">
        <v>130</v>
      </c>
      <c r="L45" s="903">
        <v>152</v>
      </c>
      <c r="M45" s="904">
        <v>143</v>
      </c>
      <c r="N45" s="901">
        <v>141</v>
      </c>
      <c r="O45" s="902">
        <v>142</v>
      </c>
      <c r="P45" s="904">
        <v>136</v>
      </c>
      <c r="Q45" s="906">
        <v>142</v>
      </c>
      <c r="R45" s="902">
        <v>162</v>
      </c>
      <c r="S45" s="904">
        <v>145</v>
      </c>
      <c r="T45" s="906">
        <v>141</v>
      </c>
      <c r="U45" s="902">
        <v>156</v>
      </c>
      <c r="V45" s="904">
        <v>152</v>
      </c>
      <c r="W45" s="906">
        <v>156</v>
      </c>
      <c r="X45" s="902">
        <v>175</v>
      </c>
      <c r="Y45" s="907">
        <v>167</v>
      </c>
      <c r="Z45" s="908">
        <v>179</v>
      </c>
      <c r="AA45" s="909">
        <v>225</v>
      </c>
      <c r="AB45" s="907">
        <v>201</v>
      </c>
      <c r="AC45" s="908">
        <v>232</v>
      </c>
      <c r="AD45" s="909">
        <v>286</v>
      </c>
      <c r="AE45" s="907">
        <v>259</v>
      </c>
      <c r="AF45" s="908">
        <v>315</v>
      </c>
      <c r="AG45" s="909">
        <v>344</v>
      </c>
      <c r="AH45" s="907">
        <v>335</v>
      </c>
      <c r="AI45" s="908">
        <v>381</v>
      </c>
      <c r="AJ45" s="909">
        <v>420</v>
      </c>
      <c r="AK45" s="907">
        <v>387</v>
      </c>
      <c r="AL45" s="908">
        <v>416</v>
      </c>
      <c r="AM45" s="909">
        <v>449</v>
      </c>
      <c r="AN45" s="907">
        <v>406</v>
      </c>
      <c r="AO45" s="908">
        <v>429</v>
      </c>
      <c r="AP45" s="909">
        <v>467</v>
      </c>
    </row>
    <row r="46" spans="1:42" s="6" customFormat="1" ht="15" customHeight="1" x14ac:dyDescent="0.25">
      <c r="A46" s="5144"/>
      <c r="B46" s="5050"/>
      <c r="C46" s="847" t="s">
        <v>460</v>
      </c>
      <c r="D46" s="900">
        <v>579</v>
      </c>
      <c r="E46" s="901">
        <v>579</v>
      </c>
      <c r="F46" s="902">
        <v>575</v>
      </c>
      <c r="G46" s="900">
        <v>526</v>
      </c>
      <c r="H46" s="901">
        <v>507</v>
      </c>
      <c r="I46" s="903">
        <v>531</v>
      </c>
      <c r="J46" s="904">
        <v>481</v>
      </c>
      <c r="K46" s="905">
        <v>492</v>
      </c>
      <c r="L46" s="903">
        <v>530</v>
      </c>
      <c r="M46" s="904">
        <v>475</v>
      </c>
      <c r="N46" s="901">
        <v>495</v>
      </c>
      <c r="O46" s="902">
        <v>527</v>
      </c>
      <c r="P46" s="904">
        <v>475</v>
      </c>
      <c r="Q46" s="906">
        <v>491</v>
      </c>
      <c r="R46" s="902">
        <v>499</v>
      </c>
      <c r="S46" s="904">
        <v>465</v>
      </c>
      <c r="T46" s="906">
        <v>457</v>
      </c>
      <c r="U46" s="902">
        <v>482</v>
      </c>
      <c r="V46" s="904">
        <v>446</v>
      </c>
      <c r="W46" s="906">
        <v>452</v>
      </c>
      <c r="X46" s="902">
        <v>465</v>
      </c>
      <c r="Y46" s="907">
        <v>434</v>
      </c>
      <c r="Z46" s="908">
        <v>392</v>
      </c>
      <c r="AA46" s="909">
        <v>440</v>
      </c>
      <c r="AB46" s="907">
        <v>396</v>
      </c>
      <c r="AC46" s="908">
        <v>380</v>
      </c>
      <c r="AD46" s="909">
        <v>441</v>
      </c>
      <c r="AE46" s="907">
        <v>394</v>
      </c>
      <c r="AF46" s="908">
        <v>374</v>
      </c>
      <c r="AG46" s="909">
        <v>414</v>
      </c>
      <c r="AH46" s="907">
        <v>389</v>
      </c>
      <c r="AI46" s="908">
        <v>377</v>
      </c>
      <c r="AJ46" s="909">
        <v>470</v>
      </c>
      <c r="AK46" s="907">
        <v>422</v>
      </c>
      <c r="AL46" s="908">
        <v>410</v>
      </c>
      <c r="AM46" s="909">
        <v>473</v>
      </c>
      <c r="AN46" s="907">
        <v>431</v>
      </c>
      <c r="AO46" s="908">
        <v>407</v>
      </c>
      <c r="AP46" s="909">
        <v>446</v>
      </c>
    </row>
    <row r="47" spans="1:42" s="6" customFormat="1" ht="15" customHeight="1" x14ac:dyDescent="0.25">
      <c r="A47" s="5144"/>
      <c r="B47" s="5050"/>
      <c r="C47" s="847" t="s">
        <v>473</v>
      </c>
      <c r="D47" s="900">
        <v>249</v>
      </c>
      <c r="E47" s="901">
        <v>278</v>
      </c>
      <c r="F47" s="902">
        <v>319</v>
      </c>
      <c r="G47" s="900">
        <v>291</v>
      </c>
      <c r="H47" s="901">
        <v>302</v>
      </c>
      <c r="I47" s="903">
        <v>336</v>
      </c>
      <c r="J47" s="904">
        <v>307</v>
      </c>
      <c r="K47" s="905">
        <v>293</v>
      </c>
      <c r="L47" s="903">
        <v>323</v>
      </c>
      <c r="M47" s="904">
        <v>283</v>
      </c>
      <c r="N47" s="901">
        <v>303</v>
      </c>
      <c r="O47" s="902">
        <v>325</v>
      </c>
      <c r="P47" s="904">
        <v>293</v>
      </c>
      <c r="Q47" s="906">
        <v>283</v>
      </c>
      <c r="R47" s="902">
        <v>286</v>
      </c>
      <c r="S47" s="904">
        <v>255</v>
      </c>
      <c r="T47" s="906">
        <v>271</v>
      </c>
      <c r="U47" s="902">
        <v>315</v>
      </c>
      <c r="V47" s="904">
        <v>293</v>
      </c>
      <c r="W47" s="906">
        <v>296</v>
      </c>
      <c r="X47" s="902">
        <v>321</v>
      </c>
      <c r="Y47" s="907">
        <v>297</v>
      </c>
      <c r="Z47" s="908">
        <v>267</v>
      </c>
      <c r="AA47" s="909">
        <v>316</v>
      </c>
      <c r="AB47" s="907">
        <v>291</v>
      </c>
      <c r="AC47" s="908">
        <v>278</v>
      </c>
      <c r="AD47" s="909">
        <v>306</v>
      </c>
      <c r="AE47" s="907">
        <v>275</v>
      </c>
      <c r="AF47" s="908">
        <v>266</v>
      </c>
      <c r="AG47" s="909">
        <v>293</v>
      </c>
      <c r="AH47" s="907">
        <v>270</v>
      </c>
      <c r="AI47" s="908">
        <v>255</v>
      </c>
      <c r="AJ47" s="909">
        <v>313</v>
      </c>
      <c r="AK47" s="907">
        <v>287</v>
      </c>
      <c r="AL47" s="908">
        <v>264</v>
      </c>
      <c r="AM47" s="909">
        <v>331</v>
      </c>
      <c r="AN47" s="907">
        <v>298</v>
      </c>
      <c r="AO47" s="908">
        <v>294</v>
      </c>
      <c r="AP47" s="909">
        <v>371</v>
      </c>
    </row>
    <row r="48" spans="1:42" s="6" customFormat="1" ht="15" customHeight="1" x14ac:dyDescent="0.25">
      <c r="A48" s="5144"/>
      <c r="B48" s="5050"/>
      <c r="C48" s="847" t="s">
        <v>474</v>
      </c>
      <c r="D48" s="900">
        <v>68</v>
      </c>
      <c r="E48" s="901">
        <v>67</v>
      </c>
      <c r="F48" s="902">
        <v>71</v>
      </c>
      <c r="G48" s="900">
        <v>66</v>
      </c>
      <c r="H48" s="901">
        <v>59</v>
      </c>
      <c r="I48" s="903">
        <v>61</v>
      </c>
      <c r="J48" s="904">
        <v>55</v>
      </c>
      <c r="K48" s="905">
        <v>53</v>
      </c>
      <c r="L48" s="903">
        <v>70</v>
      </c>
      <c r="M48" s="904">
        <v>64</v>
      </c>
      <c r="N48" s="901">
        <v>66</v>
      </c>
      <c r="O48" s="902">
        <v>66</v>
      </c>
      <c r="P48" s="904">
        <v>64</v>
      </c>
      <c r="Q48" s="906">
        <v>80</v>
      </c>
      <c r="R48" s="902">
        <v>82</v>
      </c>
      <c r="S48" s="904">
        <v>77</v>
      </c>
      <c r="T48" s="906">
        <v>81</v>
      </c>
      <c r="U48" s="902">
        <v>109</v>
      </c>
      <c r="V48" s="904">
        <v>103</v>
      </c>
      <c r="W48" s="906">
        <v>101</v>
      </c>
      <c r="X48" s="902">
        <v>118</v>
      </c>
      <c r="Y48" s="907">
        <v>110</v>
      </c>
      <c r="Z48" s="908">
        <v>110</v>
      </c>
      <c r="AA48" s="909">
        <v>140</v>
      </c>
      <c r="AB48" s="907">
        <v>133</v>
      </c>
      <c r="AC48" s="908">
        <v>159</v>
      </c>
      <c r="AD48" s="909">
        <v>168</v>
      </c>
      <c r="AE48" s="907">
        <v>159</v>
      </c>
      <c r="AF48" s="908">
        <v>178</v>
      </c>
      <c r="AG48" s="909">
        <v>205</v>
      </c>
      <c r="AH48" s="907">
        <v>184</v>
      </c>
      <c r="AI48" s="908">
        <v>215</v>
      </c>
      <c r="AJ48" s="909">
        <v>254</v>
      </c>
      <c r="AK48" s="907">
        <v>236</v>
      </c>
      <c r="AL48" s="908">
        <v>254</v>
      </c>
      <c r="AM48" s="909">
        <v>278</v>
      </c>
      <c r="AN48" s="907">
        <v>252</v>
      </c>
      <c r="AO48" s="908">
        <v>258</v>
      </c>
      <c r="AP48" s="909">
        <v>289</v>
      </c>
    </row>
    <row r="49" spans="1:42" s="6" customFormat="1" ht="15" customHeight="1" x14ac:dyDescent="0.25">
      <c r="A49" s="5144"/>
      <c r="B49" s="5050"/>
      <c r="C49" s="813" t="s">
        <v>475</v>
      </c>
      <c r="D49" s="814">
        <v>686</v>
      </c>
      <c r="E49" s="855">
        <v>714</v>
      </c>
      <c r="F49" s="910">
        <v>737</v>
      </c>
      <c r="G49" s="854">
        <v>694</v>
      </c>
      <c r="H49" s="855">
        <v>712</v>
      </c>
      <c r="I49" s="910">
        <v>757</v>
      </c>
      <c r="J49" s="814">
        <v>673</v>
      </c>
      <c r="K49" s="815">
        <v>715</v>
      </c>
      <c r="L49" s="910">
        <v>741</v>
      </c>
      <c r="M49" s="814">
        <v>653</v>
      </c>
      <c r="N49" s="815">
        <v>674</v>
      </c>
      <c r="O49" s="910">
        <v>684</v>
      </c>
      <c r="P49" s="814">
        <v>636</v>
      </c>
      <c r="Q49" s="815">
        <v>658</v>
      </c>
      <c r="R49" s="910">
        <v>697</v>
      </c>
      <c r="S49" s="814">
        <v>622</v>
      </c>
      <c r="T49" s="815">
        <v>613</v>
      </c>
      <c r="U49" s="910">
        <v>643</v>
      </c>
      <c r="V49" s="814">
        <v>599</v>
      </c>
      <c r="W49" s="815">
        <v>600</v>
      </c>
      <c r="X49" s="910">
        <v>602</v>
      </c>
      <c r="Y49" s="814">
        <v>574</v>
      </c>
      <c r="Z49" s="815">
        <v>531</v>
      </c>
      <c r="AA49" s="910">
        <v>618</v>
      </c>
      <c r="AB49" s="817">
        <v>547</v>
      </c>
      <c r="AC49" s="815">
        <v>505</v>
      </c>
      <c r="AD49" s="910">
        <v>594</v>
      </c>
      <c r="AE49" s="817">
        <v>546</v>
      </c>
      <c r="AF49" s="815">
        <v>489</v>
      </c>
      <c r="AG49" s="910">
        <v>559</v>
      </c>
      <c r="AH49" s="817">
        <v>520</v>
      </c>
      <c r="AI49" s="815">
        <v>504</v>
      </c>
      <c r="AJ49" s="910">
        <v>604</v>
      </c>
      <c r="AK49" s="817">
        <v>554</v>
      </c>
      <c r="AL49" s="815">
        <v>517</v>
      </c>
      <c r="AM49" s="910">
        <v>582</v>
      </c>
      <c r="AN49" s="817">
        <v>550</v>
      </c>
      <c r="AO49" s="815">
        <v>501</v>
      </c>
      <c r="AP49" s="910">
        <v>558</v>
      </c>
    </row>
    <row r="50" spans="1:42" s="6" customFormat="1" ht="15" customHeight="1" x14ac:dyDescent="0.2">
      <c r="A50" s="5144"/>
      <c r="B50" s="5051"/>
      <c r="C50" s="874" t="s">
        <v>160</v>
      </c>
      <c r="D50" s="925">
        <f>SUM(D41:D49)</f>
        <v>2587</v>
      </c>
      <c r="E50" s="926">
        <f t="shared" ref="E50:AG50" si="24">SUM(E41:E49)</f>
        <v>2667</v>
      </c>
      <c r="F50" s="927">
        <f t="shared" si="24"/>
        <v>2798</v>
      </c>
      <c r="G50" s="925">
        <f t="shared" si="24"/>
        <v>2584</v>
      </c>
      <c r="H50" s="926">
        <f t="shared" si="24"/>
        <v>2564</v>
      </c>
      <c r="I50" s="927">
        <f t="shared" si="24"/>
        <v>2733</v>
      </c>
      <c r="J50" s="925">
        <f t="shared" si="24"/>
        <v>2470</v>
      </c>
      <c r="K50" s="926">
        <f t="shared" si="24"/>
        <v>2552</v>
      </c>
      <c r="L50" s="927">
        <f t="shared" si="24"/>
        <v>2765</v>
      </c>
      <c r="M50" s="925">
        <f t="shared" si="24"/>
        <v>2481</v>
      </c>
      <c r="N50" s="926">
        <f t="shared" si="24"/>
        <v>2599</v>
      </c>
      <c r="O50" s="927">
        <f t="shared" si="24"/>
        <v>2692</v>
      </c>
      <c r="P50" s="925">
        <f t="shared" si="24"/>
        <v>2465</v>
      </c>
      <c r="Q50" s="926">
        <f t="shared" si="24"/>
        <v>2530</v>
      </c>
      <c r="R50" s="927">
        <f t="shared" si="24"/>
        <v>2654</v>
      </c>
      <c r="S50" s="925">
        <f t="shared" si="24"/>
        <v>2432</v>
      </c>
      <c r="T50" s="926">
        <f t="shared" si="24"/>
        <v>2407</v>
      </c>
      <c r="U50" s="927">
        <f t="shared" si="24"/>
        <v>2669</v>
      </c>
      <c r="V50" s="925">
        <f t="shared" si="24"/>
        <v>2502</v>
      </c>
      <c r="W50" s="926">
        <f t="shared" si="24"/>
        <v>2525</v>
      </c>
      <c r="X50" s="927">
        <f t="shared" si="24"/>
        <v>2691</v>
      </c>
      <c r="Y50" s="925">
        <f t="shared" si="24"/>
        <v>2541</v>
      </c>
      <c r="Z50" s="926">
        <f t="shared" si="24"/>
        <v>2436</v>
      </c>
      <c r="AA50" s="927">
        <f t="shared" si="24"/>
        <v>2868</v>
      </c>
      <c r="AB50" s="925">
        <f t="shared" si="24"/>
        <v>2587</v>
      </c>
      <c r="AC50" s="926">
        <f t="shared" si="24"/>
        <v>2616</v>
      </c>
      <c r="AD50" s="927">
        <f t="shared" si="24"/>
        <v>3016</v>
      </c>
      <c r="AE50" s="925">
        <f t="shared" si="24"/>
        <v>2744</v>
      </c>
      <c r="AF50" s="926">
        <f t="shared" si="24"/>
        <v>2775</v>
      </c>
      <c r="AG50" s="927">
        <f t="shared" si="24"/>
        <v>3114</v>
      </c>
      <c r="AH50" s="925">
        <f t="shared" ref="AH50:AM50" si="25">SUM(AH41:AH49)</f>
        <v>2928</v>
      </c>
      <c r="AI50" s="926">
        <f t="shared" si="25"/>
        <v>3053</v>
      </c>
      <c r="AJ50" s="927">
        <f t="shared" si="25"/>
        <v>3623</v>
      </c>
      <c r="AK50" s="925">
        <f t="shared" si="25"/>
        <v>3298</v>
      </c>
      <c r="AL50" s="926">
        <f t="shared" si="25"/>
        <v>3309</v>
      </c>
      <c r="AM50" s="927">
        <f t="shared" si="25"/>
        <v>3750</v>
      </c>
      <c r="AN50" s="925">
        <f t="shared" ref="AN50:AP50" si="26">SUM(AN41:AN49)</f>
        <v>3460</v>
      </c>
      <c r="AO50" s="926">
        <f t="shared" si="26"/>
        <v>3416</v>
      </c>
      <c r="AP50" s="927">
        <f t="shared" si="26"/>
        <v>3845</v>
      </c>
    </row>
    <row r="51" spans="1:42" s="6" customFormat="1" ht="15" customHeight="1" x14ac:dyDescent="0.25">
      <c r="A51" s="5144"/>
      <c r="B51" s="5049" t="s">
        <v>6</v>
      </c>
      <c r="C51" s="847" t="s">
        <v>462</v>
      </c>
      <c r="D51" s="900">
        <v>909</v>
      </c>
      <c r="E51" s="901">
        <v>945</v>
      </c>
      <c r="F51" s="902">
        <v>979</v>
      </c>
      <c r="G51" s="900">
        <v>926</v>
      </c>
      <c r="H51" s="901">
        <v>946</v>
      </c>
      <c r="I51" s="903">
        <v>986</v>
      </c>
      <c r="J51" s="904">
        <v>877</v>
      </c>
      <c r="K51" s="905">
        <v>884</v>
      </c>
      <c r="L51" s="903">
        <v>964</v>
      </c>
      <c r="M51" s="904">
        <v>882</v>
      </c>
      <c r="N51" s="901">
        <v>944</v>
      </c>
      <c r="O51" s="902">
        <v>972</v>
      </c>
      <c r="P51" s="904">
        <v>897</v>
      </c>
      <c r="Q51" s="906">
        <v>948</v>
      </c>
      <c r="R51" s="902">
        <v>1023</v>
      </c>
      <c r="S51" s="904">
        <v>967</v>
      </c>
      <c r="T51" s="906">
        <v>965</v>
      </c>
      <c r="U51" s="902">
        <v>1013</v>
      </c>
      <c r="V51" s="904">
        <v>985</v>
      </c>
      <c r="W51" s="906">
        <v>1019</v>
      </c>
      <c r="X51" s="902">
        <v>1058</v>
      </c>
      <c r="Y51" s="907">
        <v>1015</v>
      </c>
      <c r="Z51" s="908">
        <v>1041</v>
      </c>
      <c r="AA51" s="909">
        <v>1067</v>
      </c>
      <c r="AB51" s="907">
        <v>984</v>
      </c>
      <c r="AC51" s="908">
        <v>1022</v>
      </c>
      <c r="AD51" s="909">
        <v>1078</v>
      </c>
      <c r="AE51" s="907">
        <v>1000</v>
      </c>
      <c r="AF51" s="908">
        <v>1080</v>
      </c>
      <c r="AG51" s="909">
        <v>1080</v>
      </c>
      <c r="AH51" s="907">
        <v>1030</v>
      </c>
      <c r="AI51" s="908">
        <v>1021</v>
      </c>
      <c r="AJ51" s="909">
        <v>1047</v>
      </c>
      <c r="AK51" s="907">
        <v>959</v>
      </c>
      <c r="AL51" s="908">
        <v>985</v>
      </c>
      <c r="AM51" s="909">
        <v>1031</v>
      </c>
      <c r="AN51" s="907">
        <v>958</v>
      </c>
      <c r="AO51" s="908">
        <v>937</v>
      </c>
      <c r="AP51" s="909">
        <v>977</v>
      </c>
    </row>
    <row r="52" spans="1:42" s="6" customFormat="1" ht="15" customHeight="1" x14ac:dyDescent="0.25">
      <c r="A52" s="5144"/>
      <c r="B52" s="5050"/>
      <c r="C52" s="847" t="s">
        <v>476</v>
      </c>
      <c r="D52" s="900">
        <v>244</v>
      </c>
      <c r="E52" s="901">
        <v>223</v>
      </c>
      <c r="F52" s="902">
        <v>256</v>
      </c>
      <c r="G52" s="900">
        <v>222</v>
      </c>
      <c r="H52" s="901">
        <v>183</v>
      </c>
      <c r="I52" s="903">
        <v>237</v>
      </c>
      <c r="J52" s="904">
        <v>205</v>
      </c>
      <c r="K52" s="905">
        <v>188</v>
      </c>
      <c r="L52" s="903">
        <v>246</v>
      </c>
      <c r="M52" s="904">
        <v>228</v>
      </c>
      <c r="N52" s="901">
        <v>205</v>
      </c>
      <c r="O52" s="902">
        <v>259</v>
      </c>
      <c r="P52" s="904">
        <v>248</v>
      </c>
      <c r="Q52" s="906">
        <v>236</v>
      </c>
      <c r="R52" s="902">
        <v>297</v>
      </c>
      <c r="S52" s="904">
        <v>265</v>
      </c>
      <c r="T52" s="906">
        <v>243</v>
      </c>
      <c r="U52" s="902">
        <v>294</v>
      </c>
      <c r="V52" s="904">
        <v>276</v>
      </c>
      <c r="W52" s="906">
        <v>264</v>
      </c>
      <c r="X52" s="902">
        <v>318</v>
      </c>
      <c r="Y52" s="907">
        <v>290</v>
      </c>
      <c r="Z52" s="908">
        <v>270</v>
      </c>
      <c r="AA52" s="909">
        <v>333</v>
      </c>
      <c r="AB52" s="907">
        <v>287</v>
      </c>
      <c r="AC52" s="908">
        <v>274</v>
      </c>
      <c r="AD52" s="909">
        <v>324</v>
      </c>
      <c r="AE52" s="907">
        <v>307</v>
      </c>
      <c r="AF52" s="908">
        <v>297</v>
      </c>
      <c r="AG52" s="909">
        <v>330</v>
      </c>
      <c r="AH52" s="907">
        <v>312</v>
      </c>
      <c r="AI52" s="908">
        <v>283</v>
      </c>
      <c r="AJ52" s="909">
        <v>345</v>
      </c>
      <c r="AK52" s="907">
        <v>309</v>
      </c>
      <c r="AL52" s="908">
        <v>287</v>
      </c>
      <c r="AM52" s="909">
        <v>321</v>
      </c>
      <c r="AN52" s="907">
        <v>299</v>
      </c>
      <c r="AO52" s="908">
        <v>289</v>
      </c>
      <c r="AP52" s="909">
        <v>327</v>
      </c>
    </row>
    <row r="53" spans="1:42" s="6" customFormat="1" ht="15" customHeight="1" x14ac:dyDescent="0.25">
      <c r="A53" s="5144"/>
      <c r="B53" s="5050"/>
      <c r="C53" s="847" t="s">
        <v>477</v>
      </c>
      <c r="D53" s="900">
        <v>272</v>
      </c>
      <c r="E53" s="901">
        <v>258</v>
      </c>
      <c r="F53" s="902">
        <v>294</v>
      </c>
      <c r="G53" s="900">
        <v>278</v>
      </c>
      <c r="H53" s="901">
        <v>261</v>
      </c>
      <c r="I53" s="903">
        <v>300</v>
      </c>
      <c r="J53" s="904">
        <v>275</v>
      </c>
      <c r="K53" s="905">
        <v>264</v>
      </c>
      <c r="L53" s="903">
        <v>305</v>
      </c>
      <c r="M53" s="904">
        <v>270</v>
      </c>
      <c r="N53" s="901">
        <v>256</v>
      </c>
      <c r="O53" s="902">
        <v>305</v>
      </c>
      <c r="P53" s="904">
        <v>278</v>
      </c>
      <c r="Q53" s="906">
        <v>265</v>
      </c>
      <c r="R53" s="902">
        <v>313</v>
      </c>
      <c r="S53" s="904">
        <v>297</v>
      </c>
      <c r="T53" s="906">
        <v>286</v>
      </c>
      <c r="U53" s="902">
        <v>337</v>
      </c>
      <c r="V53" s="904">
        <v>317</v>
      </c>
      <c r="W53" s="906">
        <v>301</v>
      </c>
      <c r="X53" s="902">
        <v>338</v>
      </c>
      <c r="Y53" s="907">
        <v>322</v>
      </c>
      <c r="Z53" s="908">
        <v>295</v>
      </c>
      <c r="AA53" s="909">
        <v>358</v>
      </c>
      <c r="AB53" s="907">
        <v>313</v>
      </c>
      <c r="AC53" s="908">
        <v>304</v>
      </c>
      <c r="AD53" s="909">
        <v>351</v>
      </c>
      <c r="AE53" s="907">
        <v>329</v>
      </c>
      <c r="AF53" s="908">
        <v>307</v>
      </c>
      <c r="AG53" s="909">
        <v>331</v>
      </c>
      <c r="AH53" s="907">
        <v>311</v>
      </c>
      <c r="AI53" s="908">
        <v>299</v>
      </c>
      <c r="AJ53" s="909">
        <v>338</v>
      </c>
      <c r="AK53" s="907">
        <v>308</v>
      </c>
      <c r="AL53" s="908">
        <v>296</v>
      </c>
      <c r="AM53" s="909">
        <v>356</v>
      </c>
      <c r="AN53" s="907">
        <v>327</v>
      </c>
      <c r="AO53" s="908">
        <v>307</v>
      </c>
      <c r="AP53" s="909">
        <v>350</v>
      </c>
    </row>
    <row r="54" spans="1:42" s="6" customFormat="1" ht="15" customHeight="1" x14ac:dyDescent="0.25">
      <c r="A54" s="5144"/>
      <c r="B54" s="5050"/>
      <c r="C54" s="847" t="s">
        <v>478</v>
      </c>
      <c r="D54" s="900">
        <v>240</v>
      </c>
      <c r="E54" s="901">
        <v>225</v>
      </c>
      <c r="F54" s="902">
        <v>260</v>
      </c>
      <c r="G54" s="900">
        <v>240</v>
      </c>
      <c r="H54" s="901">
        <v>212</v>
      </c>
      <c r="I54" s="903">
        <v>263</v>
      </c>
      <c r="J54" s="904">
        <v>250</v>
      </c>
      <c r="K54" s="905">
        <v>236</v>
      </c>
      <c r="L54" s="903">
        <v>311</v>
      </c>
      <c r="M54" s="904">
        <v>292</v>
      </c>
      <c r="N54" s="901">
        <v>279</v>
      </c>
      <c r="O54" s="902">
        <v>330</v>
      </c>
      <c r="P54" s="904">
        <v>300</v>
      </c>
      <c r="Q54" s="906">
        <v>272</v>
      </c>
      <c r="R54" s="902">
        <v>334</v>
      </c>
      <c r="S54" s="904">
        <v>303</v>
      </c>
      <c r="T54" s="906">
        <v>281</v>
      </c>
      <c r="U54" s="902">
        <v>351</v>
      </c>
      <c r="V54" s="904">
        <v>348</v>
      </c>
      <c r="W54" s="906">
        <v>330</v>
      </c>
      <c r="X54" s="902">
        <v>370</v>
      </c>
      <c r="Y54" s="907">
        <v>343</v>
      </c>
      <c r="Z54" s="908">
        <v>322</v>
      </c>
      <c r="AA54" s="909">
        <v>389</v>
      </c>
      <c r="AB54" s="907">
        <v>338</v>
      </c>
      <c r="AC54" s="908">
        <v>342</v>
      </c>
      <c r="AD54" s="909">
        <v>389</v>
      </c>
      <c r="AE54" s="907">
        <v>358</v>
      </c>
      <c r="AF54" s="908">
        <v>342</v>
      </c>
      <c r="AG54" s="909">
        <v>378</v>
      </c>
      <c r="AH54" s="907">
        <v>377</v>
      </c>
      <c r="AI54" s="908">
        <v>355</v>
      </c>
      <c r="AJ54" s="909">
        <v>409</v>
      </c>
      <c r="AK54" s="907">
        <v>379</v>
      </c>
      <c r="AL54" s="908">
        <v>372</v>
      </c>
      <c r="AM54" s="909">
        <v>418</v>
      </c>
      <c r="AN54" s="907">
        <v>382</v>
      </c>
      <c r="AO54" s="908">
        <v>349</v>
      </c>
      <c r="AP54" s="909">
        <v>420</v>
      </c>
    </row>
    <row r="55" spans="1:42" s="6" customFormat="1" ht="15" customHeight="1" x14ac:dyDescent="0.25">
      <c r="A55" s="5144"/>
      <c r="B55" s="5050"/>
      <c r="C55" s="847" t="s">
        <v>464</v>
      </c>
      <c r="D55" s="900">
        <v>408</v>
      </c>
      <c r="E55" s="901">
        <v>377</v>
      </c>
      <c r="F55" s="902">
        <v>414</v>
      </c>
      <c r="G55" s="900">
        <v>379</v>
      </c>
      <c r="H55" s="901">
        <v>344</v>
      </c>
      <c r="I55" s="903">
        <v>392</v>
      </c>
      <c r="J55" s="904">
        <v>364</v>
      </c>
      <c r="K55" s="905">
        <v>339</v>
      </c>
      <c r="L55" s="903">
        <v>405</v>
      </c>
      <c r="M55" s="904">
        <v>386</v>
      </c>
      <c r="N55" s="901">
        <v>346</v>
      </c>
      <c r="O55" s="902">
        <v>412</v>
      </c>
      <c r="P55" s="904">
        <v>373</v>
      </c>
      <c r="Q55" s="906">
        <v>351</v>
      </c>
      <c r="R55" s="902">
        <v>406</v>
      </c>
      <c r="S55" s="904">
        <v>373</v>
      </c>
      <c r="T55" s="906">
        <v>340</v>
      </c>
      <c r="U55" s="902">
        <v>435</v>
      </c>
      <c r="V55" s="904">
        <v>400</v>
      </c>
      <c r="W55" s="906">
        <v>375</v>
      </c>
      <c r="X55" s="902">
        <v>440</v>
      </c>
      <c r="Y55" s="907">
        <v>418</v>
      </c>
      <c r="Z55" s="908">
        <v>398</v>
      </c>
      <c r="AA55" s="909">
        <v>472</v>
      </c>
      <c r="AB55" s="907">
        <v>419</v>
      </c>
      <c r="AC55" s="908">
        <v>407</v>
      </c>
      <c r="AD55" s="909">
        <v>482</v>
      </c>
      <c r="AE55" s="907">
        <v>457</v>
      </c>
      <c r="AF55" s="908">
        <v>451</v>
      </c>
      <c r="AG55" s="909">
        <v>514</v>
      </c>
      <c r="AH55" s="907">
        <v>472</v>
      </c>
      <c r="AI55" s="908">
        <v>467</v>
      </c>
      <c r="AJ55" s="909">
        <v>529</v>
      </c>
      <c r="AK55" s="907">
        <v>482</v>
      </c>
      <c r="AL55" s="908">
        <v>470</v>
      </c>
      <c r="AM55" s="909">
        <v>550</v>
      </c>
      <c r="AN55" s="907">
        <v>500</v>
      </c>
      <c r="AO55" s="908">
        <v>459</v>
      </c>
      <c r="AP55" s="909">
        <v>552</v>
      </c>
    </row>
    <row r="56" spans="1:42" s="6" customFormat="1" ht="15" customHeight="1" x14ac:dyDescent="0.25">
      <c r="A56" s="5144"/>
      <c r="B56" s="5050"/>
      <c r="C56" s="847" t="s">
        <v>465</v>
      </c>
      <c r="D56" s="900">
        <v>396</v>
      </c>
      <c r="E56" s="901">
        <v>371</v>
      </c>
      <c r="F56" s="902">
        <v>407</v>
      </c>
      <c r="G56" s="900">
        <v>385</v>
      </c>
      <c r="H56" s="901">
        <v>344</v>
      </c>
      <c r="I56" s="903">
        <v>399</v>
      </c>
      <c r="J56" s="904">
        <v>368</v>
      </c>
      <c r="K56" s="905">
        <v>327</v>
      </c>
      <c r="L56" s="903">
        <v>402</v>
      </c>
      <c r="M56" s="904">
        <v>357</v>
      </c>
      <c r="N56" s="901">
        <v>344</v>
      </c>
      <c r="O56" s="902">
        <v>405</v>
      </c>
      <c r="P56" s="904">
        <v>373</v>
      </c>
      <c r="Q56" s="906">
        <v>339</v>
      </c>
      <c r="R56" s="902">
        <v>390</v>
      </c>
      <c r="S56" s="904">
        <v>372</v>
      </c>
      <c r="T56" s="906">
        <v>341</v>
      </c>
      <c r="U56" s="902">
        <v>425</v>
      </c>
      <c r="V56" s="904">
        <v>399</v>
      </c>
      <c r="W56" s="906">
        <v>388</v>
      </c>
      <c r="X56" s="902">
        <v>448</v>
      </c>
      <c r="Y56" s="907">
        <v>400</v>
      </c>
      <c r="Z56" s="908">
        <v>387</v>
      </c>
      <c r="AA56" s="909">
        <v>457</v>
      </c>
      <c r="AB56" s="907">
        <v>403</v>
      </c>
      <c r="AC56" s="908">
        <v>398</v>
      </c>
      <c r="AD56" s="909">
        <v>466</v>
      </c>
      <c r="AE56" s="907">
        <v>416</v>
      </c>
      <c r="AF56" s="908">
        <v>416</v>
      </c>
      <c r="AG56" s="909">
        <v>494</v>
      </c>
      <c r="AH56" s="907">
        <v>470</v>
      </c>
      <c r="AI56" s="908">
        <v>439</v>
      </c>
      <c r="AJ56" s="909">
        <v>514</v>
      </c>
      <c r="AK56" s="907">
        <v>468</v>
      </c>
      <c r="AL56" s="908">
        <v>458</v>
      </c>
      <c r="AM56" s="909">
        <v>520</v>
      </c>
      <c r="AN56" s="907">
        <v>477</v>
      </c>
      <c r="AO56" s="908">
        <v>460</v>
      </c>
      <c r="AP56" s="909">
        <v>513</v>
      </c>
    </row>
    <row r="57" spans="1:42" s="6" customFormat="1" ht="15" customHeight="1" x14ac:dyDescent="0.25">
      <c r="A57" s="5144"/>
      <c r="B57" s="5050"/>
      <c r="C57" s="847" t="s">
        <v>479</v>
      </c>
      <c r="D57" s="900">
        <v>355</v>
      </c>
      <c r="E57" s="901">
        <v>322</v>
      </c>
      <c r="F57" s="902">
        <v>379</v>
      </c>
      <c r="G57" s="900">
        <v>358</v>
      </c>
      <c r="H57" s="901">
        <v>339</v>
      </c>
      <c r="I57" s="903">
        <v>397</v>
      </c>
      <c r="J57" s="904">
        <v>350</v>
      </c>
      <c r="K57" s="905">
        <v>330</v>
      </c>
      <c r="L57" s="903">
        <v>394</v>
      </c>
      <c r="M57" s="904">
        <v>363</v>
      </c>
      <c r="N57" s="901">
        <v>340</v>
      </c>
      <c r="O57" s="902">
        <v>401</v>
      </c>
      <c r="P57" s="904">
        <v>387</v>
      </c>
      <c r="Q57" s="906">
        <v>364</v>
      </c>
      <c r="R57" s="902">
        <v>429</v>
      </c>
      <c r="S57" s="904">
        <v>385</v>
      </c>
      <c r="T57" s="906">
        <v>342</v>
      </c>
      <c r="U57" s="902">
        <v>412</v>
      </c>
      <c r="V57" s="904">
        <v>378</v>
      </c>
      <c r="W57" s="906">
        <v>358</v>
      </c>
      <c r="X57" s="902">
        <v>399</v>
      </c>
      <c r="Y57" s="907">
        <v>377</v>
      </c>
      <c r="Z57" s="908">
        <v>355</v>
      </c>
      <c r="AA57" s="909">
        <v>405</v>
      </c>
      <c r="AB57" s="907">
        <v>362</v>
      </c>
      <c r="AC57" s="908">
        <v>365</v>
      </c>
      <c r="AD57" s="909">
        <v>404</v>
      </c>
      <c r="AE57" s="907">
        <v>382</v>
      </c>
      <c r="AF57" s="908">
        <v>366</v>
      </c>
      <c r="AG57" s="909">
        <v>405</v>
      </c>
      <c r="AH57" s="907">
        <v>371</v>
      </c>
      <c r="AI57" s="908">
        <v>367</v>
      </c>
      <c r="AJ57" s="909">
        <v>425</v>
      </c>
      <c r="AK57" s="907">
        <v>395</v>
      </c>
      <c r="AL57" s="908">
        <v>376</v>
      </c>
      <c r="AM57" s="909">
        <v>448</v>
      </c>
      <c r="AN57" s="907">
        <v>405</v>
      </c>
      <c r="AO57" s="908">
        <v>382</v>
      </c>
      <c r="AP57" s="909">
        <v>442</v>
      </c>
    </row>
    <row r="58" spans="1:42" s="6" customFormat="1" ht="15" customHeight="1" x14ac:dyDescent="0.25">
      <c r="A58" s="5144"/>
      <c r="B58" s="5050"/>
      <c r="C58" s="847" t="s">
        <v>480</v>
      </c>
      <c r="D58" s="900">
        <v>97</v>
      </c>
      <c r="E58" s="901">
        <v>89</v>
      </c>
      <c r="F58" s="902">
        <v>116</v>
      </c>
      <c r="G58" s="900">
        <v>101</v>
      </c>
      <c r="H58" s="901">
        <v>97</v>
      </c>
      <c r="I58" s="903">
        <v>123</v>
      </c>
      <c r="J58" s="904">
        <v>103</v>
      </c>
      <c r="K58" s="905">
        <v>102</v>
      </c>
      <c r="L58" s="903">
        <v>123</v>
      </c>
      <c r="M58" s="904">
        <v>119</v>
      </c>
      <c r="N58" s="901">
        <v>116</v>
      </c>
      <c r="O58" s="902">
        <v>141</v>
      </c>
      <c r="P58" s="904">
        <v>125</v>
      </c>
      <c r="Q58" s="906">
        <v>119</v>
      </c>
      <c r="R58" s="902">
        <v>148</v>
      </c>
      <c r="S58" s="904">
        <v>137</v>
      </c>
      <c r="T58" s="906">
        <v>122</v>
      </c>
      <c r="U58" s="902">
        <v>156</v>
      </c>
      <c r="V58" s="904">
        <v>134</v>
      </c>
      <c r="W58" s="906">
        <v>128</v>
      </c>
      <c r="X58" s="902">
        <v>154</v>
      </c>
      <c r="Y58" s="907">
        <v>144</v>
      </c>
      <c r="Z58" s="908">
        <v>134</v>
      </c>
      <c r="AA58" s="909">
        <v>182</v>
      </c>
      <c r="AB58" s="907">
        <v>166</v>
      </c>
      <c r="AC58" s="908">
        <v>157</v>
      </c>
      <c r="AD58" s="909">
        <v>205</v>
      </c>
      <c r="AE58" s="907">
        <v>184</v>
      </c>
      <c r="AF58" s="908">
        <v>182</v>
      </c>
      <c r="AG58" s="909">
        <v>218</v>
      </c>
      <c r="AH58" s="907">
        <v>201</v>
      </c>
      <c r="AI58" s="908">
        <v>191</v>
      </c>
      <c r="AJ58" s="909">
        <v>236</v>
      </c>
      <c r="AK58" s="907">
        <v>210</v>
      </c>
      <c r="AL58" s="908">
        <v>193</v>
      </c>
      <c r="AM58" s="909">
        <v>236</v>
      </c>
      <c r="AN58" s="907">
        <v>206</v>
      </c>
      <c r="AO58" s="908">
        <v>189</v>
      </c>
      <c r="AP58" s="909">
        <v>240</v>
      </c>
    </row>
    <row r="59" spans="1:42" s="6" customFormat="1" ht="15" customHeight="1" x14ac:dyDescent="0.25">
      <c r="A59" s="5144"/>
      <c r="B59" s="5050"/>
      <c r="C59" s="847" t="s">
        <v>481</v>
      </c>
      <c r="D59" s="900">
        <v>462</v>
      </c>
      <c r="E59" s="901">
        <v>397</v>
      </c>
      <c r="F59" s="902">
        <v>466</v>
      </c>
      <c r="G59" s="900">
        <v>422</v>
      </c>
      <c r="H59" s="901">
        <v>371</v>
      </c>
      <c r="I59" s="903">
        <v>423</v>
      </c>
      <c r="J59" s="904">
        <v>377</v>
      </c>
      <c r="K59" s="905">
        <v>354</v>
      </c>
      <c r="L59" s="903">
        <v>421</v>
      </c>
      <c r="M59" s="904">
        <v>382</v>
      </c>
      <c r="N59" s="901">
        <v>340</v>
      </c>
      <c r="O59" s="902">
        <v>429</v>
      </c>
      <c r="P59" s="904">
        <v>424</v>
      </c>
      <c r="Q59" s="906">
        <v>400</v>
      </c>
      <c r="R59" s="902">
        <v>506</v>
      </c>
      <c r="S59" s="904">
        <v>474</v>
      </c>
      <c r="T59" s="906">
        <v>415</v>
      </c>
      <c r="U59" s="902">
        <v>503</v>
      </c>
      <c r="V59" s="904">
        <v>493</v>
      </c>
      <c r="W59" s="906">
        <v>464</v>
      </c>
      <c r="X59" s="902">
        <v>551</v>
      </c>
      <c r="Y59" s="907">
        <v>522</v>
      </c>
      <c r="Z59" s="908">
        <v>494</v>
      </c>
      <c r="AA59" s="909">
        <v>549</v>
      </c>
      <c r="AB59" s="907">
        <v>498</v>
      </c>
      <c r="AC59" s="908">
        <v>496</v>
      </c>
      <c r="AD59" s="909">
        <v>552</v>
      </c>
      <c r="AE59" s="907">
        <v>509</v>
      </c>
      <c r="AF59" s="908">
        <v>514</v>
      </c>
      <c r="AG59" s="909">
        <v>568</v>
      </c>
      <c r="AH59" s="907">
        <v>541</v>
      </c>
      <c r="AI59" s="908">
        <v>512</v>
      </c>
      <c r="AJ59" s="909">
        <v>573</v>
      </c>
      <c r="AK59" s="907">
        <v>522</v>
      </c>
      <c r="AL59" s="908">
        <v>503</v>
      </c>
      <c r="AM59" s="909">
        <v>573</v>
      </c>
      <c r="AN59" s="907">
        <v>521</v>
      </c>
      <c r="AO59" s="908">
        <v>499</v>
      </c>
      <c r="AP59" s="909">
        <v>578</v>
      </c>
    </row>
    <row r="60" spans="1:42" s="6" customFormat="1" ht="15" customHeight="1" x14ac:dyDescent="0.25">
      <c r="A60" s="5144"/>
      <c r="B60" s="5050"/>
      <c r="C60" s="847" t="s">
        <v>482</v>
      </c>
      <c r="D60" s="900">
        <v>649</v>
      </c>
      <c r="E60" s="901">
        <v>661</v>
      </c>
      <c r="F60" s="902">
        <v>705</v>
      </c>
      <c r="G60" s="900">
        <v>666</v>
      </c>
      <c r="H60" s="901">
        <v>674</v>
      </c>
      <c r="I60" s="903">
        <v>732</v>
      </c>
      <c r="J60" s="904">
        <v>696</v>
      </c>
      <c r="K60" s="905">
        <v>692</v>
      </c>
      <c r="L60" s="903">
        <v>758</v>
      </c>
      <c r="M60" s="904">
        <v>715</v>
      </c>
      <c r="N60" s="901">
        <v>727</v>
      </c>
      <c r="O60" s="902">
        <v>789</v>
      </c>
      <c r="P60" s="904">
        <v>747</v>
      </c>
      <c r="Q60" s="906">
        <v>754</v>
      </c>
      <c r="R60" s="902">
        <v>834</v>
      </c>
      <c r="S60" s="904">
        <v>812</v>
      </c>
      <c r="T60" s="906">
        <v>817</v>
      </c>
      <c r="U60" s="902">
        <v>848</v>
      </c>
      <c r="V60" s="904">
        <v>848</v>
      </c>
      <c r="W60" s="906">
        <v>827</v>
      </c>
      <c r="X60" s="902">
        <v>848</v>
      </c>
      <c r="Y60" s="907">
        <v>817</v>
      </c>
      <c r="Z60" s="908">
        <v>815</v>
      </c>
      <c r="AA60" s="909">
        <v>905</v>
      </c>
      <c r="AB60" s="907">
        <v>844</v>
      </c>
      <c r="AC60" s="908">
        <v>841</v>
      </c>
      <c r="AD60" s="909">
        <v>880</v>
      </c>
      <c r="AE60" s="907">
        <v>834</v>
      </c>
      <c r="AF60" s="908">
        <v>820</v>
      </c>
      <c r="AG60" s="909">
        <v>830</v>
      </c>
      <c r="AH60" s="907">
        <v>802</v>
      </c>
      <c r="AI60" s="908">
        <v>803</v>
      </c>
      <c r="AJ60" s="909">
        <v>832</v>
      </c>
      <c r="AK60" s="907">
        <v>780</v>
      </c>
      <c r="AL60" s="908">
        <v>755</v>
      </c>
      <c r="AM60" s="909">
        <v>801</v>
      </c>
      <c r="AN60" s="907">
        <v>770</v>
      </c>
      <c r="AO60" s="908">
        <v>762</v>
      </c>
      <c r="AP60" s="909">
        <v>821</v>
      </c>
    </row>
    <row r="61" spans="1:42" s="6" customFormat="1" ht="15" customHeight="1" x14ac:dyDescent="0.25">
      <c r="A61" s="5144"/>
      <c r="B61" s="5050"/>
      <c r="C61" s="813" t="s">
        <v>483</v>
      </c>
      <c r="D61" s="814">
        <v>33</v>
      </c>
      <c r="E61" s="855">
        <v>32</v>
      </c>
      <c r="F61" s="910">
        <v>69</v>
      </c>
      <c r="G61" s="854">
        <v>57</v>
      </c>
      <c r="H61" s="855">
        <v>57</v>
      </c>
      <c r="I61" s="910">
        <v>95</v>
      </c>
      <c r="J61" s="814">
        <v>91</v>
      </c>
      <c r="K61" s="815">
        <v>88</v>
      </c>
      <c r="L61" s="910">
        <v>116</v>
      </c>
      <c r="M61" s="814">
        <v>104</v>
      </c>
      <c r="N61" s="815">
        <v>102</v>
      </c>
      <c r="O61" s="910">
        <v>134</v>
      </c>
      <c r="P61" s="814">
        <v>120</v>
      </c>
      <c r="Q61" s="815">
        <v>113</v>
      </c>
      <c r="R61" s="910">
        <v>148</v>
      </c>
      <c r="S61" s="814">
        <v>136</v>
      </c>
      <c r="T61" s="815">
        <v>120</v>
      </c>
      <c r="U61" s="910">
        <v>160</v>
      </c>
      <c r="V61" s="814">
        <v>139</v>
      </c>
      <c r="W61" s="815">
        <v>132</v>
      </c>
      <c r="X61" s="910">
        <v>160</v>
      </c>
      <c r="Y61" s="814">
        <v>150</v>
      </c>
      <c r="Z61" s="815">
        <v>133</v>
      </c>
      <c r="AA61" s="910">
        <v>172</v>
      </c>
      <c r="AB61" s="817">
        <v>155</v>
      </c>
      <c r="AC61" s="815">
        <v>142</v>
      </c>
      <c r="AD61" s="910">
        <v>187</v>
      </c>
      <c r="AE61" s="817">
        <v>178</v>
      </c>
      <c r="AF61" s="815">
        <v>178</v>
      </c>
      <c r="AG61" s="910">
        <v>214</v>
      </c>
      <c r="AH61" s="817">
        <v>209</v>
      </c>
      <c r="AI61" s="815">
        <v>213</v>
      </c>
      <c r="AJ61" s="910">
        <v>244</v>
      </c>
      <c r="AK61" s="817">
        <v>229</v>
      </c>
      <c r="AL61" s="815">
        <v>220</v>
      </c>
      <c r="AM61" s="910">
        <v>256</v>
      </c>
      <c r="AN61" s="817">
        <v>235</v>
      </c>
      <c r="AO61" s="815">
        <v>224</v>
      </c>
      <c r="AP61" s="910">
        <v>262</v>
      </c>
    </row>
    <row r="62" spans="1:42" s="6" customFormat="1" ht="15" customHeight="1" x14ac:dyDescent="0.2">
      <c r="A62" s="5144"/>
      <c r="B62" s="5050"/>
      <c r="C62" s="874" t="s">
        <v>160</v>
      </c>
      <c r="D62" s="925">
        <f>SUM(D51:D61)</f>
        <v>4065</v>
      </c>
      <c r="E62" s="926">
        <f t="shared" ref="E62:AG62" si="27">SUM(E51:E61)</f>
        <v>3900</v>
      </c>
      <c r="F62" s="927">
        <f t="shared" si="27"/>
        <v>4345</v>
      </c>
      <c r="G62" s="925">
        <f t="shared" si="27"/>
        <v>4034</v>
      </c>
      <c r="H62" s="926">
        <f t="shared" si="27"/>
        <v>3828</v>
      </c>
      <c r="I62" s="927">
        <f t="shared" si="27"/>
        <v>4347</v>
      </c>
      <c r="J62" s="925">
        <f t="shared" si="27"/>
        <v>3956</v>
      </c>
      <c r="K62" s="926">
        <f t="shared" si="27"/>
        <v>3804</v>
      </c>
      <c r="L62" s="927">
        <f t="shared" si="27"/>
        <v>4445</v>
      </c>
      <c r="M62" s="925">
        <f t="shared" si="27"/>
        <v>4098</v>
      </c>
      <c r="N62" s="926">
        <f t="shared" si="27"/>
        <v>3999</v>
      </c>
      <c r="O62" s="927">
        <f t="shared" si="27"/>
        <v>4577</v>
      </c>
      <c r="P62" s="925">
        <f t="shared" si="27"/>
        <v>4272</v>
      </c>
      <c r="Q62" s="926">
        <f t="shared" si="27"/>
        <v>4161</v>
      </c>
      <c r="R62" s="927">
        <f t="shared" si="27"/>
        <v>4828</v>
      </c>
      <c r="S62" s="925">
        <f t="shared" si="27"/>
        <v>4521</v>
      </c>
      <c r="T62" s="926">
        <f t="shared" si="27"/>
        <v>4272</v>
      </c>
      <c r="U62" s="927">
        <f t="shared" si="27"/>
        <v>4934</v>
      </c>
      <c r="V62" s="925">
        <f t="shared" si="27"/>
        <v>4717</v>
      </c>
      <c r="W62" s="926">
        <f t="shared" si="27"/>
        <v>4586</v>
      </c>
      <c r="X62" s="927">
        <f t="shared" si="27"/>
        <v>5084</v>
      </c>
      <c r="Y62" s="925">
        <f t="shared" si="27"/>
        <v>4798</v>
      </c>
      <c r="Z62" s="926">
        <f t="shared" si="27"/>
        <v>4644</v>
      </c>
      <c r="AA62" s="927">
        <f t="shared" si="27"/>
        <v>5289</v>
      </c>
      <c r="AB62" s="925">
        <f t="shared" si="27"/>
        <v>4769</v>
      </c>
      <c r="AC62" s="926">
        <f t="shared" si="27"/>
        <v>4748</v>
      </c>
      <c r="AD62" s="927">
        <f t="shared" si="27"/>
        <v>5318</v>
      </c>
      <c r="AE62" s="925">
        <f t="shared" si="27"/>
        <v>4954</v>
      </c>
      <c r="AF62" s="926">
        <f t="shared" si="27"/>
        <v>4953</v>
      </c>
      <c r="AG62" s="927">
        <f t="shared" si="27"/>
        <v>5362</v>
      </c>
      <c r="AH62" s="925">
        <f t="shared" ref="AH62:AM62" si="28">SUM(AH51:AH61)</f>
        <v>5096</v>
      </c>
      <c r="AI62" s="926">
        <f t="shared" si="28"/>
        <v>4950</v>
      </c>
      <c r="AJ62" s="927">
        <f t="shared" si="28"/>
        <v>5492</v>
      </c>
      <c r="AK62" s="925">
        <f t="shared" si="28"/>
        <v>5041</v>
      </c>
      <c r="AL62" s="926">
        <f t="shared" si="28"/>
        <v>4915</v>
      </c>
      <c r="AM62" s="927">
        <f t="shared" si="28"/>
        <v>5510</v>
      </c>
      <c r="AN62" s="925">
        <f t="shared" ref="AN62:AP62" si="29">SUM(AN51:AN61)</f>
        <v>5080</v>
      </c>
      <c r="AO62" s="926">
        <f t="shared" si="29"/>
        <v>4857</v>
      </c>
      <c r="AP62" s="927">
        <f t="shared" si="29"/>
        <v>5482</v>
      </c>
    </row>
    <row r="63" spans="1:42" s="6" customFormat="1" ht="15" customHeight="1" x14ac:dyDescent="0.25">
      <c r="A63" s="5144"/>
      <c r="B63" s="5049" t="s">
        <v>11</v>
      </c>
      <c r="C63" s="847" t="s">
        <v>484</v>
      </c>
      <c r="D63" s="900">
        <v>486</v>
      </c>
      <c r="E63" s="901">
        <v>472</v>
      </c>
      <c r="F63" s="902">
        <v>488</v>
      </c>
      <c r="G63" s="900">
        <v>444</v>
      </c>
      <c r="H63" s="901">
        <v>422</v>
      </c>
      <c r="I63" s="903">
        <v>450</v>
      </c>
      <c r="J63" s="904">
        <v>413</v>
      </c>
      <c r="K63" s="905">
        <v>426</v>
      </c>
      <c r="L63" s="903">
        <v>486</v>
      </c>
      <c r="M63" s="904">
        <v>424</v>
      </c>
      <c r="N63" s="901">
        <v>464</v>
      </c>
      <c r="O63" s="902">
        <v>485</v>
      </c>
      <c r="P63" s="904">
        <v>457</v>
      </c>
      <c r="Q63" s="906">
        <v>476</v>
      </c>
      <c r="R63" s="902">
        <v>514</v>
      </c>
      <c r="S63" s="904">
        <v>483</v>
      </c>
      <c r="T63" s="906">
        <v>510</v>
      </c>
      <c r="U63" s="902">
        <v>544</v>
      </c>
      <c r="V63" s="904">
        <v>523</v>
      </c>
      <c r="W63" s="906">
        <v>576</v>
      </c>
      <c r="X63" s="902">
        <v>608</v>
      </c>
      <c r="Y63" s="907">
        <v>570</v>
      </c>
      <c r="Z63" s="908">
        <v>601</v>
      </c>
      <c r="AA63" s="909">
        <v>651</v>
      </c>
      <c r="AB63" s="907">
        <v>609</v>
      </c>
      <c r="AC63" s="908">
        <v>666</v>
      </c>
      <c r="AD63" s="909">
        <v>691</v>
      </c>
      <c r="AE63" s="907">
        <v>663</v>
      </c>
      <c r="AF63" s="908">
        <v>704</v>
      </c>
      <c r="AG63" s="909">
        <v>700</v>
      </c>
      <c r="AH63" s="907">
        <v>693</v>
      </c>
      <c r="AI63" s="908">
        <v>735</v>
      </c>
      <c r="AJ63" s="909">
        <v>765</v>
      </c>
      <c r="AK63" s="907">
        <v>700</v>
      </c>
      <c r="AL63" s="908">
        <v>723</v>
      </c>
      <c r="AM63" s="909">
        <v>760</v>
      </c>
      <c r="AN63" s="907">
        <v>699</v>
      </c>
      <c r="AO63" s="908">
        <v>726</v>
      </c>
      <c r="AP63" s="909">
        <v>734</v>
      </c>
    </row>
    <row r="64" spans="1:42" s="6" customFormat="1" ht="15" customHeight="1" x14ac:dyDescent="0.25">
      <c r="A64" s="5144"/>
      <c r="B64" s="5050"/>
      <c r="C64" s="847" t="s">
        <v>485</v>
      </c>
      <c r="D64" s="900">
        <v>428</v>
      </c>
      <c r="E64" s="901">
        <v>442</v>
      </c>
      <c r="F64" s="902">
        <v>476</v>
      </c>
      <c r="G64" s="900">
        <v>451</v>
      </c>
      <c r="H64" s="901">
        <v>484</v>
      </c>
      <c r="I64" s="903">
        <v>497</v>
      </c>
      <c r="J64" s="904">
        <v>470</v>
      </c>
      <c r="K64" s="905">
        <v>480</v>
      </c>
      <c r="L64" s="903">
        <v>484</v>
      </c>
      <c r="M64" s="904">
        <v>471</v>
      </c>
      <c r="N64" s="901">
        <v>477</v>
      </c>
      <c r="O64" s="902">
        <v>501</v>
      </c>
      <c r="P64" s="904">
        <v>468</v>
      </c>
      <c r="Q64" s="906">
        <v>470</v>
      </c>
      <c r="R64" s="902">
        <v>503</v>
      </c>
      <c r="S64" s="904">
        <v>479</v>
      </c>
      <c r="T64" s="906">
        <v>473</v>
      </c>
      <c r="U64" s="902">
        <v>481</v>
      </c>
      <c r="V64" s="904">
        <v>462</v>
      </c>
      <c r="W64" s="906">
        <v>480</v>
      </c>
      <c r="X64" s="902">
        <v>484</v>
      </c>
      <c r="Y64" s="907">
        <v>456</v>
      </c>
      <c r="Z64" s="908">
        <v>458</v>
      </c>
      <c r="AA64" s="909">
        <v>469</v>
      </c>
      <c r="AB64" s="907">
        <v>429</v>
      </c>
      <c r="AC64" s="908">
        <v>456</v>
      </c>
      <c r="AD64" s="909">
        <v>475</v>
      </c>
      <c r="AE64" s="907">
        <v>453</v>
      </c>
      <c r="AF64" s="908">
        <v>483</v>
      </c>
      <c r="AG64" s="909">
        <v>503</v>
      </c>
      <c r="AH64" s="907">
        <v>507</v>
      </c>
      <c r="AI64" s="908">
        <v>556</v>
      </c>
      <c r="AJ64" s="909">
        <v>579</v>
      </c>
      <c r="AK64" s="907">
        <v>547</v>
      </c>
      <c r="AL64" s="908">
        <v>585</v>
      </c>
      <c r="AM64" s="909">
        <v>611</v>
      </c>
      <c r="AN64" s="907">
        <v>572</v>
      </c>
      <c r="AO64" s="908">
        <v>575</v>
      </c>
      <c r="AP64" s="909">
        <v>606</v>
      </c>
    </row>
    <row r="65" spans="1:42" s="6" customFormat="1" ht="15" customHeight="1" x14ac:dyDescent="0.25">
      <c r="A65" s="5144"/>
      <c r="B65" s="5050"/>
      <c r="C65" s="847" t="s">
        <v>486</v>
      </c>
      <c r="D65" s="900">
        <v>200</v>
      </c>
      <c r="E65" s="901">
        <v>181</v>
      </c>
      <c r="F65" s="902">
        <v>214</v>
      </c>
      <c r="G65" s="900">
        <v>202</v>
      </c>
      <c r="H65" s="901">
        <v>196</v>
      </c>
      <c r="I65" s="903">
        <v>206</v>
      </c>
      <c r="J65" s="904">
        <v>179</v>
      </c>
      <c r="K65" s="905">
        <v>170</v>
      </c>
      <c r="L65" s="903">
        <v>206</v>
      </c>
      <c r="M65" s="904">
        <v>189</v>
      </c>
      <c r="N65" s="901">
        <v>178</v>
      </c>
      <c r="O65" s="902">
        <v>216</v>
      </c>
      <c r="P65" s="904">
        <v>201</v>
      </c>
      <c r="Q65" s="906">
        <v>181</v>
      </c>
      <c r="R65" s="902">
        <v>209</v>
      </c>
      <c r="S65" s="904">
        <v>195</v>
      </c>
      <c r="T65" s="906">
        <v>176</v>
      </c>
      <c r="U65" s="902">
        <v>213</v>
      </c>
      <c r="V65" s="904">
        <v>192</v>
      </c>
      <c r="W65" s="906">
        <v>178</v>
      </c>
      <c r="X65" s="902">
        <v>248</v>
      </c>
      <c r="Y65" s="907">
        <v>240</v>
      </c>
      <c r="Z65" s="908">
        <v>274</v>
      </c>
      <c r="AA65" s="909">
        <v>304</v>
      </c>
      <c r="AB65" s="907">
        <v>286</v>
      </c>
      <c r="AC65" s="908">
        <v>320</v>
      </c>
      <c r="AD65" s="909">
        <v>365</v>
      </c>
      <c r="AE65" s="907">
        <v>350</v>
      </c>
      <c r="AF65" s="908">
        <v>394</v>
      </c>
      <c r="AG65" s="909">
        <v>414</v>
      </c>
      <c r="AH65" s="907">
        <v>407</v>
      </c>
      <c r="AI65" s="908">
        <v>434</v>
      </c>
      <c r="AJ65" s="909">
        <v>466</v>
      </c>
      <c r="AK65" s="907">
        <v>438</v>
      </c>
      <c r="AL65" s="908">
        <v>462</v>
      </c>
      <c r="AM65" s="909">
        <v>480</v>
      </c>
      <c r="AN65" s="907">
        <v>458</v>
      </c>
      <c r="AO65" s="908">
        <v>471</v>
      </c>
      <c r="AP65" s="909">
        <v>498</v>
      </c>
    </row>
    <row r="66" spans="1:42" s="6" customFormat="1" ht="15" customHeight="1" x14ac:dyDescent="0.25">
      <c r="A66" s="5144"/>
      <c r="B66" s="5050"/>
      <c r="C66" s="847" t="s">
        <v>487</v>
      </c>
      <c r="D66" s="900">
        <v>120</v>
      </c>
      <c r="E66" s="901">
        <v>111</v>
      </c>
      <c r="F66" s="902">
        <v>117</v>
      </c>
      <c r="G66" s="900">
        <v>107</v>
      </c>
      <c r="H66" s="901">
        <v>90</v>
      </c>
      <c r="I66" s="903">
        <v>105</v>
      </c>
      <c r="J66" s="904">
        <v>92</v>
      </c>
      <c r="K66" s="905">
        <v>79</v>
      </c>
      <c r="L66" s="903">
        <v>94</v>
      </c>
      <c r="M66" s="904">
        <v>82</v>
      </c>
      <c r="N66" s="901">
        <v>70</v>
      </c>
      <c r="O66" s="902">
        <v>83</v>
      </c>
      <c r="P66" s="904">
        <v>76</v>
      </c>
      <c r="Q66" s="906">
        <v>73</v>
      </c>
      <c r="R66" s="902">
        <v>93</v>
      </c>
      <c r="S66" s="904">
        <v>90</v>
      </c>
      <c r="T66" s="906">
        <v>75</v>
      </c>
      <c r="U66" s="902">
        <v>102</v>
      </c>
      <c r="V66" s="904">
        <v>93</v>
      </c>
      <c r="W66" s="906">
        <v>94</v>
      </c>
      <c r="X66" s="902">
        <v>132</v>
      </c>
      <c r="Y66" s="907">
        <v>116</v>
      </c>
      <c r="Z66" s="908">
        <v>144</v>
      </c>
      <c r="AA66" s="909">
        <v>184</v>
      </c>
      <c r="AB66" s="907">
        <v>168</v>
      </c>
      <c r="AC66" s="908">
        <v>193</v>
      </c>
      <c r="AD66" s="909">
        <v>209</v>
      </c>
      <c r="AE66" s="907">
        <v>193</v>
      </c>
      <c r="AF66" s="908">
        <v>221</v>
      </c>
      <c r="AG66" s="909">
        <v>242</v>
      </c>
      <c r="AH66" s="907">
        <v>226</v>
      </c>
      <c r="AI66" s="908">
        <v>263</v>
      </c>
      <c r="AJ66" s="909">
        <v>294</v>
      </c>
      <c r="AK66" s="907">
        <v>275</v>
      </c>
      <c r="AL66" s="908">
        <v>297</v>
      </c>
      <c r="AM66" s="909">
        <v>316</v>
      </c>
      <c r="AN66" s="907">
        <v>307</v>
      </c>
      <c r="AO66" s="908">
        <v>322</v>
      </c>
      <c r="AP66" s="909">
        <v>314</v>
      </c>
    </row>
    <row r="67" spans="1:42" s="6" customFormat="1" ht="15" customHeight="1" x14ac:dyDescent="0.25">
      <c r="A67" s="5144"/>
      <c r="B67" s="5050"/>
      <c r="C67" s="847" t="s">
        <v>488</v>
      </c>
      <c r="D67" s="900">
        <v>752</v>
      </c>
      <c r="E67" s="901">
        <v>747</v>
      </c>
      <c r="F67" s="902">
        <v>757</v>
      </c>
      <c r="G67" s="900">
        <v>712</v>
      </c>
      <c r="H67" s="901">
        <v>696</v>
      </c>
      <c r="I67" s="903">
        <v>726</v>
      </c>
      <c r="J67" s="904">
        <v>678</v>
      </c>
      <c r="K67" s="905">
        <v>654</v>
      </c>
      <c r="L67" s="903">
        <v>667</v>
      </c>
      <c r="M67" s="904">
        <v>626</v>
      </c>
      <c r="N67" s="901">
        <v>619</v>
      </c>
      <c r="O67" s="902">
        <v>669</v>
      </c>
      <c r="P67" s="904">
        <v>618</v>
      </c>
      <c r="Q67" s="906">
        <v>606</v>
      </c>
      <c r="R67" s="902">
        <v>643</v>
      </c>
      <c r="S67" s="904">
        <v>601</v>
      </c>
      <c r="T67" s="906">
        <v>607</v>
      </c>
      <c r="U67" s="902">
        <v>639</v>
      </c>
      <c r="V67" s="904">
        <v>607</v>
      </c>
      <c r="W67" s="906">
        <v>674</v>
      </c>
      <c r="X67" s="902">
        <v>739</v>
      </c>
      <c r="Y67" s="907">
        <v>714</v>
      </c>
      <c r="Z67" s="908">
        <v>739</v>
      </c>
      <c r="AA67" s="909">
        <v>775</v>
      </c>
      <c r="AB67" s="907">
        <v>709</v>
      </c>
      <c r="AC67" s="908">
        <v>762</v>
      </c>
      <c r="AD67" s="909">
        <v>813</v>
      </c>
      <c r="AE67" s="907">
        <v>775</v>
      </c>
      <c r="AF67" s="908">
        <v>839</v>
      </c>
      <c r="AG67" s="909">
        <v>894</v>
      </c>
      <c r="AH67" s="907">
        <v>878</v>
      </c>
      <c r="AI67" s="908">
        <v>921</v>
      </c>
      <c r="AJ67" s="909">
        <v>968</v>
      </c>
      <c r="AK67" s="907">
        <v>897</v>
      </c>
      <c r="AL67" s="908">
        <v>920</v>
      </c>
      <c r="AM67" s="909">
        <v>938</v>
      </c>
      <c r="AN67" s="907">
        <v>899</v>
      </c>
      <c r="AO67" s="908">
        <v>909</v>
      </c>
      <c r="AP67" s="909">
        <v>967</v>
      </c>
    </row>
    <row r="68" spans="1:42" s="6" customFormat="1" ht="15.75" customHeight="1" x14ac:dyDescent="0.25">
      <c r="A68" s="5144"/>
      <c r="B68" s="5050"/>
      <c r="C68" s="813" t="s">
        <v>489</v>
      </c>
      <c r="D68" s="814">
        <v>945</v>
      </c>
      <c r="E68" s="855">
        <v>917</v>
      </c>
      <c r="F68" s="910">
        <v>926</v>
      </c>
      <c r="G68" s="854">
        <v>851</v>
      </c>
      <c r="H68" s="855">
        <v>864</v>
      </c>
      <c r="I68" s="910">
        <v>897</v>
      </c>
      <c r="J68" s="814">
        <v>820</v>
      </c>
      <c r="K68" s="815">
        <v>801</v>
      </c>
      <c r="L68" s="910">
        <v>827</v>
      </c>
      <c r="M68" s="814">
        <v>768</v>
      </c>
      <c r="N68" s="815">
        <v>766</v>
      </c>
      <c r="O68" s="910">
        <v>816</v>
      </c>
      <c r="P68" s="814">
        <v>738</v>
      </c>
      <c r="Q68" s="815">
        <v>762</v>
      </c>
      <c r="R68" s="910">
        <v>799</v>
      </c>
      <c r="S68" s="814">
        <v>747</v>
      </c>
      <c r="T68" s="815">
        <v>750</v>
      </c>
      <c r="U68" s="910">
        <v>787</v>
      </c>
      <c r="V68" s="814">
        <v>716</v>
      </c>
      <c r="W68" s="815">
        <v>770</v>
      </c>
      <c r="X68" s="910">
        <v>803</v>
      </c>
      <c r="Y68" s="814">
        <v>763</v>
      </c>
      <c r="Z68" s="815">
        <v>814</v>
      </c>
      <c r="AA68" s="910">
        <v>859</v>
      </c>
      <c r="AB68" s="817">
        <v>766</v>
      </c>
      <c r="AC68" s="815">
        <v>805</v>
      </c>
      <c r="AD68" s="910">
        <v>856</v>
      </c>
      <c r="AE68" s="817">
        <v>798</v>
      </c>
      <c r="AF68" s="815">
        <v>873</v>
      </c>
      <c r="AG68" s="910">
        <v>939</v>
      </c>
      <c r="AH68" s="817">
        <v>900</v>
      </c>
      <c r="AI68" s="815">
        <v>951</v>
      </c>
      <c r="AJ68" s="910">
        <v>989</v>
      </c>
      <c r="AK68" s="817">
        <v>907</v>
      </c>
      <c r="AL68" s="815">
        <v>926</v>
      </c>
      <c r="AM68" s="910">
        <v>963</v>
      </c>
      <c r="AN68" s="817">
        <v>902</v>
      </c>
      <c r="AO68" s="815">
        <v>918</v>
      </c>
      <c r="AP68" s="910">
        <v>938</v>
      </c>
    </row>
    <row r="69" spans="1:42" s="6" customFormat="1" ht="15.75" customHeight="1" x14ac:dyDescent="0.2">
      <c r="A69" s="5144"/>
      <c r="B69" s="5051"/>
      <c r="C69" s="874" t="s">
        <v>160</v>
      </c>
      <c r="D69" s="925">
        <f>SUM(D63:D68)</f>
        <v>2931</v>
      </c>
      <c r="E69" s="926">
        <f t="shared" ref="E69:AG69" si="30">SUM(E63:E68)</f>
        <v>2870</v>
      </c>
      <c r="F69" s="927">
        <f t="shared" si="30"/>
        <v>2978</v>
      </c>
      <c r="G69" s="925">
        <f t="shared" si="30"/>
        <v>2767</v>
      </c>
      <c r="H69" s="926">
        <f t="shared" si="30"/>
        <v>2752</v>
      </c>
      <c r="I69" s="927">
        <f t="shared" si="30"/>
        <v>2881</v>
      </c>
      <c r="J69" s="925">
        <f t="shared" si="30"/>
        <v>2652</v>
      </c>
      <c r="K69" s="926">
        <f t="shared" si="30"/>
        <v>2610</v>
      </c>
      <c r="L69" s="927">
        <f t="shared" si="30"/>
        <v>2764</v>
      </c>
      <c r="M69" s="925">
        <f t="shared" si="30"/>
        <v>2560</v>
      </c>
      <c r="N69" s="926">
        <f t="shared" si="30"/>
        <v>2574</v>
      </c>
      <c r="O69" s="927">
        <f t="shared" si="30"/>
        <v>2770</v>
      </c>
      <c r="P69" s="925">
        <f t="shared" si="30"/>
        <v>2558</v>
      </c>
      <c r="Q69" s="926">
        <f t="shared" si="30"/>
        <v>2568</v>
      </c>
      <c r="R69" s="927">
        <f t="shared" si="30"/>
        <v>2761</v>
      </c>
      <c r="S69" s="925">
        <f t="shared" si="30"/>
        <v>2595</v>
      </c>
      <c r="T69" s="926">
        <f t="shared" si="30"/>
        <v>2591</v>
      </c>
      <c r="U69" s="927">
        <f t="shared" si="30"/>
        <v>2766</v>
      </c>
      <c r="V69" s="925">
        <f t="shared" si="30"/>
        <v>2593</v>
      </c>
      <c r="W69" s="926">
        <f t="shared" si="30"/>
        <v>2772</v>
      </c>
      <c r="X69" s="927">
        <f t="shared" si="30"/>
        <v>3014</v>
      </c>
      <c r="Y69" s="925">
        <f t="shared" si="30"/>
        <v>2859</v>
      </c>
      <c r="Z69" s="926">
        <f t="shared" si="30"/>
        <v>3030</v>
      </c>
      <c r="AA69" s="927">
        <f t="shared" si="30"/>
        <v>3242</v>
      </c>
      <c r="AB69" s="925">
        <f t="shared" si="30"/>
        <v>2967</v>
      </c>
      <c r="AC69" s="926">
        <f t="shared" si="30"/>
        <v>3202</v>
      </c>
      <c r="AD69" s="927">
        <f t="shared" si="30"/>
        <v>3409</v>
      </c>
      <c r="AE69" s="925">
        <f t="shared" si="30"/>
        <v>3232</v>
      </c>
      <c r="AF69" s="926">
        <f t="shared" si="30"/>
        <v>3514</v>
      </c>
      <c r="AG69" s="927">
        <f t="shared" si="30"/>
        <v>3692</v>
      </c>
      <c r="AH69" s="925">
        <f t="shared" ref="AH69:AM69" si="31">SUM(AH63:AH68)</f>
        <v>3611</v>
      </c>
      <c r="AI69" s="926">
        <f t="shared" si="31"/>
        <v>3860</v>
      </c>
      <c r="AJ69" s="927">
        <f t="shared" si="31"/>
        <v>4061</v>
      </c>
      <c r="AK69" s="925">
        <f t="shared" si="31"/>
        <v>3764</v>
      </c>
      <c r="AL69" s="926">
        <f t="shared" si="31"/>
        <v>3913</v>
      </c>
      <c r="AM69" s="927">
        <f t="shared" si="31"/>
        <v>4068</v>
      </c>
      <c r="AN69" s="925">
        <f t="shared" ref="AN69:AP69" si="32">SUM(AN63:AN68)</f>
        <v>3837</v>
      </c>
      <c r="AO69" s="926">
        <f t="shared" si="32"/>
        <v>3921</v>
      </c>
      <c r="AP69" s="927">
        <f t="shared" si="32"/>
        <v>4057</v>
      </c>
    </row>
    <row r="70" spans="1:42" s="6" customFormat="1" ht="15.75" customHeight="1" x14ac:dyDescent="0.25">
      <c r="A70" s="5145"/>
      <c r="B70" s="4001"/>
      <c r="C70" s="2386" t="s">
        <v>450</v>
      </c>
      <c r="D70" s="4002">
        <f>SUM(D69,D62,D50)</f>
        <v>9583</v>
      </c>
      <c r="E70" s="4003">
        <f t="shared" ref="E70:AG70" si="33">SUM(E69,E62,E50)</f>
        <v>9437</v>
      </c>
      <c r="F70" s="4004">
        <f t="shared" si="33"/>
        <v>10121</v>
      </c>
      <c r="G70" s="4002">
        <f t="shared" si="33"/>
        <v>9385</v>
      </c>
      <c r="H70" s="4003">
        <f t="shared" si="33"/>
        <v>9144</v>
      </c>
      <c r="I70" s="4004">
        <f t="shared" si="33"/>
        <v>9961</v>
      </c>
      <c r="J70" s="4002">
        <f t="shared" si="33"/>
        <v>9078</v>
      </c>
      <c r="K70" s="4003">
        <f t="shared" si="33"/>
        <v>8966</v>
      </c>
      <c r="L70" s="4004">
        <f t="shared" si="33"/>
        <v>9974</v>
      </c>
      <c r="M70" s="4002">
        <f t="shared" si="33"/>
        <v>9139</v>
      </c>
      <c r="N70" s="4003">
        <f t="shared" si="33"/>
        <v>9172</v>
      </c>
      <c r="O70" s="4004">
        <f t="shared" si="33"/>
        <v>10039</v>
      </c>
      <c r="P70" s="4002">
        <f t="shared" si="33"/>
        <v>9295</v>
      </c>
      <c r="Q70" s="4003">
        <f t="shared" si="33"/>
        <v>9259</v>
      </c>
      <c r="R70" s="4004">
        <f t="shared" si="33"/>
        <v>10243</v>
      </c>
      <c r="S70" s="4002">
        <f t="shared" si="33"/>
        <v>9548</v>
      </c>
      <c r="T70" s="4003">
        <f t="shared" si="33"/>
        <v>9270</v>
      </c>
      <c r="U70" s="4004">
        <f t="shared" si="33"/>
        <v>10369</v>
      </c>
      <c r="V70" s="4002">
        <f t="shared" si="33"/>
        <v>9812</v>
      </c>
      <c r="W70" s="4003">
        <f t="shared" si="33"/>
        <v>9883</v>
      </c>
      <c r="X70" s="4004">
        <f t="shared" si="33"/>
        <v>10789</v>
      </c>
      <c r="Y70" s="4002">
        <f t="shared" si="33"/>
        <v>10198</v>
      </c>
      <c r="Z70" s="4003">
        <f t="shared" si="33"/>
        <v>10110</v>
      </c>
      <c r="AA70" s="4004">
        <f t="shared" si="33"/>
        <v>11399</v>
      </c>
      <c r="AB70" s="4002">
        <f t="shared" si="33"/>
        <v>10323</v>
      </c>
      <c r="AC70" s="4003">
        <f t="shared" si="33"/>
        <v>10566</v>
      </c>
      <c r="AD70" s="4004">
        <f t="shared" si="33"/>
        <v>11743</v>
      </c>
      <c r="AE70" s="4002">
        <f t="shared" si="33"/>
        <v>10930</v>
      </c>
      <c r="AF70" s="4003">
        <f t="shared" si="33"/>
        <v>11242</v>
      </c>
      <c r="AG70" s="4004">
        <f t="shared" si="33"/>
        <v>12168</v>
      </c>
      <c r="AH70" s="4002">
        <f t="shared" ref="AH70:AM70" si="34">SUM(AH69,AH62,AH50)</f>
        <v>11635</v>
      </c>
      <c r="AI70" s="4003">
        <f t="shared" si="34"/>
        <v>11863</v>
      </c>
      <c r="AJ70" s="4004">
        <f t="shared" si="34"/>
        <v>13176</v>
      </c>
      <c r="AK70" s="4002">
        <f t="shared" si="34"/>
        <v>12103</v>
      </c>
      <c r="AL70" s="4003">
        <f t="shared" si="34"/>
        <v>12137</v>
      </c>
      <c r="AM70" s="4004">
        <f t="shared" si="34"/>
        <v>13328</v>
      </c>
      <c r="AN70" s="4002">
        <f t="shared" ref="AN70:AP70" si="35">SUM(AN69,AN62,AN50)</f>
        <v>12377</v>
      </c>
      <c r="AO70" s="4003">
        <f t="shared" si="35"/>
        <v>12194</v>
      </c>
      <c r="AP70" s="4004">
        <f t="shared" si="35"/>
        <v>13384</v>
      </c>
    </row>
    <row r="71" spans="1:42" s="6" customFormat="1" ht="15.75" customHeight="1" x14ac:dyDescent="0.25">
      <c r="A71" s="5155" t="s">
        <v>437</v>
      </c>
      <c r="B71" s="1467" t="s">
        <v>5</v>
      </c>
      <c r="C71" s="1554" t="s">
        <v>509</v>
      </c>
      <c r="D71" s="1555"/>
      <c r="E71" s="1556"/>
      <c r="F71" s="1557"/>
      <c r="G71" s="1556"/>
      <c r="H71" s="1556"/>
      <c r="I71" s="1556"/>
      <c r="J71" s="1556"/>
      <c r="K71" s="1556"/>
      <c r="L71" s="1558"/>
      <c r="M71" s="1558"/>
      <c r="N71" s="1559"/>
      <c r="O71" s="1559"/>
      <c r="P71" s="1558"/>
      <c r="Q71" s="1560"/>
      <c r="R71" s="1559"/>
      <c r="S71" s="1558"/>
      <c r="T71" s="1560"/>
      <c r="U71" s="1559"/>
      <c r="V71" s="1558"/>
      <c r="W71" s="1560"/>
      <c r="X71" s="1559"/>
      <c r="Y71" s="1561"/>
      <c r="Z71" s="1561"/>
      <c r="AA71" s="1562"/>
      <c r="AB71" s="1563"/>
      <c r="AC71" s="1561">
        <v>26</v>
      </c>
      <c r="AD71" s="1562">
        <v>57</v>
      </c>
      <c r="AE71" s="1563">
        <v>50</v>
      </c>
      <c r="AF71" s="1561">
        <v>46</v>
      </c>
      <c r="AG71" s="1562">
        <v>78</v>
      </c>
      <c r="AH71" s="1563">
        <v>72</v>
      </c>
      <c r="AI71" s="1561">
        <v>90</v>
      </c>
      <c r="AJ71" s="1562">
        <v>106</v>
      </c>
      <c r="AK71" s="1563">
        <v>89</v>
      </c>
      <c r="AL71" s="1561">
        <v>100</v>
      </c>
      <c r="AM71" s="1562">
        <v>118</v>
      </c>
      <c r="AN71" s="1563">
        <v>99</v>
      </c>
      <c r="AO71" s="1561">
        <v>113</v>
      </c>
      <c r="AP71" s="1562">
        <v>146</v>
      </c>
    </row>
    <row r="72" spans="1:42" s="6" customFormat="1" ht="15.75" customHeight="1" x14ac:dyDescent="0.25">
      <c r="A72" s="5156"/>
      <c r="B72" s="5164" t="s">
        <v>6</v>
      </c>
      <c r="C72" s="845" t="s">
        <v>510</v>
      </c>
      <c r="D72" s="1565"/>
      <c r="E72" s="1566"/>
      <c r="F72" s="812"/>
      <c r="G72" s="1566"/>
      <c r="H72" s="1566"/>
      <c r="I72" s="1566"/>
      <c r="J72" s="1566"/>
      <c r="K72" s="1566"/>
      <c r="L72" s="895"/>
      <c r="M72" s="895"/>
      <c r="N72" s="891"/>
      <c r="O72" s="891"/>
      <c r="P72" s="895"/>
      <c r="Q72" s="896"/>
      <c r="R72" s="891"/>
      <c r="S72" s="895"/>
      <c r="T72" s="896"/>
      <c r="U72" s="891"/>
      <c r="V72" s="895"/>
      <c r="W72" s="896"/>
      <c r="X72" s="891"/>
      <c r="Y72" s="898"/>
      <c r="Z72" s="898"/>
      <c r="AA72" s="899"/>
      <c r="AB72" s="897"/>
      <c r="AC72" s="898">
        <v>29</v>
      </c>
      <c r="AD72" s="899">
        <v>51</v>
      </c>
      <c r="AE72" s="897">
        <v>45</v>
      </c>
      <c r="AF72" s="898">
        <v>41</v>
      </c>
      <c r="AG72" s="899">
        <v>76</v>
      </c>
      <c r="AH72" s="897">
        <v>69</v>
      </c>
      <c r="AI72" s="898">
        <v>90</v>
      </c>
      <c r="AJ72" s="899">
        <v>114</v>
      </c>
      <c r="AK72" s="897">
        <v>113</v>
      </c>
      <c r="AL72" s="898">
        <v>104</v>
      </c>
      <c r="AM72" s="899">
        <v>132</v>
      </c>
      <c r="AN72" s="897">
        <v>125</v>
      </c>
      <c r="AO72" s="898">
        <v>114</v>
      </c>
      <c r="AP72" s="899">
        <v>128</v>
      </c>
    </row>
    <row r="73" spans="1:42" s="6" customFormat="1" ht="15.75" customHeight="1" x14ac:dyDescent="0.25">
      <c r="A73" s="5156"/>
      <c r="B73" s="5165"/>
      <c r="C73" s="847" t="s">
        <v>625</v>
      </c>
      <c r="D73" s="912"/>
      <c r="E73" s="911"/>
      <c r="F73" s="818"/>
      <c r="G73" s="911"/>
      <c r="H73" s="911"/>
      <c r="I73" s="911"/>
      <c r="J73" s="911"/>
      <c r="K73" s="911"/>
      <c r="L73" s="905"/>
      <c r="M73" s="905"/>
      <c r="N73" s="901"/>
      <c r="O73" s="901"/>
      <c r="P73" s="905"/>
      <c r="Q73" s="906"/>
      <c r="R73" s="901"/>
      <c r="S73" s="905"/>
      <c r="T73" s="906"/>
      <c r="U73" s="901"/>
      <c r="V73" s="905"/>
      <c r="W73" s="906"/>
      <c r="X73" s="901"/>
      <c r="Y73" s="908"/>
      <c r="Z73" s="908"/>
      <c r="AA73" s="909"/>
      <c r="AB73" s="907"/>
      <c r="AC73" s="908"/>
      <c r="AD73" s="909"/>
      <c r="AE73" s="907"/>
      <c r="AF73" s="908"/>
      <c r="AG73" s="909"/>
      <c r="AH73" s="907"/>
      <c r="AI73" s="908"/>
      <c r="AJ73" s="909">
        <v>18</v>
      </c>
      <c r="AK73" s="907">
        <v>15</v>
      </c>
      <c r="AL73" s="908">
        <v>15</v>
      </c>
      <c r="AM73" s="909">
        <v>31</v>
      </c>
      <c r="AN73" s="907">
        <v>29</v>
      </c>
      <c r="AO73" s="908">
        <v>28</v>
      </c>
      <c r="AP73" s="909">
        <v>46</v>
      </c>
    </row>
    <row r="74" spans="1:42" s="6" customFormat="1" ht="15.75" customHeight="1" x14ac:dyDescent="0.2">
      <c r="A74" s="5156"/>
      <c r="B74" s="5166"/>
      <c r="C74" s="874" t="s">
        <v>160</v>
      </c>
      <c r="D74" s="925"/>
      <c r="E74" s="926"/>
      <c r="F74" s="926"/>
      <c r="G74" s="926"/>
      <c r="H74" s="926"/>
      <c r="I74" s="926"/>
      <c r="J74" s="926"/>
      <c r="K74" s="926"/>
      <c r="L74" s="926"/>
      <c r="M74" s="926"/>
      <c r="N74" s="926"/>
      <c r="O74" s="926"/>
      <c r="P74" s="926"/>
      <c r="Q74" s="926"/>
      <c r="R74" s="926"/>
      <c r="S74" s="926"/>
      <c r="T74" s="926"/>
      <c r="U74" s="926"/>
      <c r="V74" s="926"/>
      <c r="W74" s="926"/>
      <c r="X74" s="926"/>
      <c r="Y74" s="926"/>
      <c r="Z74" s="926"/>
      <c r="AA74" s="927"/>
      <c r="AB74" s="925"/>
      <c r="AC74" s="926">
        <f t="shared" ref="AC74:AJ74" si="36">SUM(AC72:AC73)</f>
        <v>29</v>
      </c>
      <c r="AD74" s="927">
        <f t="shared" si="36"/>
        <v>51</v>
      </c>
      <c r="AE74" s="925">
        <f t="shared" si="36"/>
        <v>45</v>
      </c>
      <c r="AF74" s="926">
        <f t="shared" si="36"/>
        <v>41</v>
      </c>
      <c r="AG74" s="927">
        <f t="shared" si="36"/>
        <v>76</v>
      </c>
      <c r="AH74" s="925">
        <f>SUM(AH72:AH73)</f>
        <v>69</v>
      </c>
      <c r="AI74" s="926">
        <f t="shared" si="36"/>
        <v>90</v>
      </c>
      <c r="AJ74" s="927">
        <f t="shared" si="36"/>
        <v>132</v>
      </c>
      <c r="AK74" s="925">
        <f t="shared" ref="AK74:AP74" si="37">SUM(AK72:AK73)</f>
        <v>128</v>
      </c>
      <c r="AL74" s="926">
        <f t="shared" si="37"/>
        <v>119</v>
      </c>
      <c r="AM74" s="927">
        <f t="shared" si="37"/>
        <v>163</v>
      </c>
      <c r="AN74" s="925">
        <f t="shared" si="37"/>
        <v>154</v>
      </c>
      <c r="AO74" s="926">
        <f t="shared" si="37"/>
        <v>142</v>
      </c>
      <c r="AP74" s="927">
        <f t="shared" si="37"/>
        <v>174</v>
      </c>
    </row>
    <row r="75" spans="1:42" s="6" customFormat="1" ht="15.75" customHeight="1" x14ac:dyDescent="0.25">
      <c r="A75" s="5156"/>
      <c r="B75" s="1564" t="s">
        <v>11</v>
      </c>
      <c r="C75" s="914" t="s">
        <v>511</v>
      </c>
      <c r="D75" s="1552"/>
      <c r="E75" s="1553"/>
      <c r="F75" s="832"/>
      <c r="G75" s="1553"/>
      <c r="H75" s="1553"/>
      <c r="I75" s="1553"/>
      <c r="J75" s="1553"/>
      <c r="K75" s="1553"/>
      <c r="L75" s="920"/>
      <c r="M75" s="920"/>
      <c r="N75" s="916"/>
      <c r="O75" s="916"/>
      <c r="P75" s="920"/>
      <c r="Q75" s="921"/>
      <c r="R75" s="916"/>
      <c r="S75" s="920"/>
      <c r="T75" s="921"/>
      <c r="U75" s="916"/>
      <c r="V75" s="920"/>
      <c r="W75" s="921"/>
      <c r="X75" s="916"/>
      <c r="Y75" s="923"/>
      <c r="Z75" s="923"/>
      <c r="AA75" s="924"/>
      <c r="AB75" s="922"/>
      <c r="AC75" s="923">
        <v>30</v>
      </c>
      <c r="AD75" s="924">
        <v>53</v>
      </c>
      <c r="AE75" s="922">
        <v>46</v>
      </c>
      <c r="AF75" s="923">
        <v>39</v>
      </c>
      <c r="AG75" s="924">
        <v>66</v>
      </c>
      <c r="AH75" s="922">
        <v>59</v>
      </c>
      <c r="AI75" s="923">
        <v>76</v>
      </c>
      <c r="AJ75" s="924">
        <v>110</v>
      </c>
      <c r="AK75" s="922">
        <v>98</v>
      </c>
      <c r="AL75" s="923">
        <v>125</v>
      </c>
      <c r="AM75" s="924">
        <v>135</v>
      </c>
      <c r="AN75" s="922">
        <v>127</v>
      </c>
      <c r="AO75" s="923">
        <v>154</v>
      </c>
      <c r="AP75" s="924">
        <v>175</v>
      </c>
    </row>
    <row r="76" spans="1:42" s="6" customFormat="1" ht="15.75" customHeight="1" x14ac:dyDescent="0.25">
      <c r="A76" s="5157"/>
      <c r="B76" s="4005"/>
      <c r="C76" s="2389" t="s">
        <v>450</v>
      </c>
      <c r="D76" s="4006"/>
      <c r="E76" s="4007"/>
      <c r="F76" s="4008"/>
      <c r="G76" s="4006"/>
      <c r="H76" s="4007"/>
      <c r="I76" s="4008"/>
      <c r="J76" s="4006"/>
      <c r="K76" s="4007"/>
      <c r="L76" s="4008"/>
      <c r="M76" s="4006"/>
      <c r="N76" s="4007"/>
      <c r="O76" s="4008"/>
      <c r="P76" s="4006"/>
      <c r="Q76" s="4007"/>
      <c r="R76" s="4008"/>
      <c r="S76" s="4006"/>
      <c r="T76" s="4007"/>
      <c r="U76" s="4008"/>
      <c r="V76" s="4006"/>
      <c r="W76" s="4007"/>
      <c r="X76" s="4008"/>
      <c r="Y76" s="4006"/>
      <c r="Z76" s="4007"/>
      <c r="AA76" s="4008"/>
      <c r="AB76" s="4006"/>
      <c r="AC76" s="4007">
        <f>SUM(AC71,AC74,AC75)</f>
        <v>85</v>
      </c>
      <c r="AD76" s="4008">
        <f t="shared" ref="AD76:AJ76" si="38">SUM(AD71,AD74,AD75)</f>
        <v>161</v>
      </c>
      <c r="AE76" s="4006">
        <f t="shared" si="38"/>
        <v>141</v>
      </c>
      <c r="AF76" s="4007">
        <f t="shared" si="38"/>
        <v>126</v>
      </c>
      <c r="AG76" s="4008">
        <f t="shared" si="38"/>
        <v>220</v>
      </c>
      <c r="AH76" s="4006">
        <f t="shared" si="38"/>
        <v>200</v>
      </c>
      <c r="AI76" s="4007">
        <f t="shared" si="38"/>
        <v>256</v>
      </c>
      <c r="AJ76" s="4008">
        <f t="shared" si="38"/>
        <v>348</v>
      </c>
      <c r="AK76" s="4006">
        <f t="shared" ref="AK76:AP76" si="39">SUM(AK71,AK74,AK75)</f>
        <v>315</v>
      </c>
      <c r="AL76" s="4007">
        <f t="shared" si="39"/>
        <v>344</v>
      </c>
      <c r="AM76" s="4008">
        <f t="shared" si="39"/>
        <v>416</v>
      </c>
      <c r="AN76" s="4006">
        <f t="shared" si="39"/>
        <v>380</v>
      </c>
      <c r="AO76" s="4007">
        <f t="shared" si="39"/>
        <v>409</v>
      </c>
      <c r="AP76" s="4008">
        <f t="shared" si="39"/>
        <v>495</v>
      </c>
    </row>
    <row r="77" spans="1:42" s="6" customFormat="1" ht="15" customHeight="1" x14ac:dyDescent="0.25">
      <c r="A77" s="5161" t="s">
        <v>448</v>
      </c>
      <c r="B77" s="5158" t="s">
        <v>6</v>
      </c>
      <c r="C77" s="847" t="s">
        <v>462</v>
      </c>
      <c r="D77" s="900">
        <v>585</v>
      </c>
      <c r="E77" s="901">
        <v>598</v>
      </c>
      <c r="F77" s="902">
        <v>605</v>
      </c>
      <c r="G77" s="900">
        <v>597</v>
      </c>
      <c r="H77" s="901">
        <v>630</v>
      </c>
      <c r="I77" s="903">
        <v>623</v>
      </c>
      <c r="J77" s="904">
        <v>644</v>
      </c>
      <c r="K77" s="905">
        <v>692</v>
      </c>
      <c r="L77" s="903">
        <v>723</v>
      </c>
      <c r="M77" s="904">
        <v>669</v>
      </c>
      <c r="N77" s="901">
        <v>712</v>
      </c>
      <c r="O77" s="902">
        <v>715</v>
      </c>
      <c r="P77" s="904">
        <v>673</v>
      </c>
      <c r="Q77" s="906">
        <v>749</v>
      </c>
      <c r="R77" s="902">
        <v>747</v>
      </c>
      <c r="S77" s="904">
        <v>719</v>
      </c>
      <c r="T77" s="906">
        <v>721</v>
      </c>
      <c r="U77" s="902">
        <v>710</v>
      </c>
      <c r="V77" s="904">
        <v>687</v>
      </c>
      <c r="W77" s="906">
        <v>723</v>
      </c>
      <c r="X77" s="902">
        <v>732</v>
      </c>
      <c r="Y77" s="907">
        <v>712</v>
      </c>
      <c r="Z77" s="908">
        <v>758</v>
      </c>
      <c r="AA77" s="909">
        <v>772</v>
      </c>
      <c r="AB77" s="907">
        <v>730</v>
      </c>
      <c r="AC77" s="908">
        <v>760</v>
      </c>
      <c r="AD77" s="909">
        <v>770</v>
      </c>
      <c r="AE77" s="907">
        <v>731</v>
      </c>
      <c r="AF77" s="908">
        <v>769</v>
      </c>
      <c r="AG77" s="909">
        <v>777</v>
      </c>
      <c r="AH77" s="907">
        <v>743</v>
      </c>
      <c r="AI77" s="908">
        <v>780</v>
      </c>
      <c r="AJ77" s="909">
        <v>763</v>
      </c>
      <c r="AK77" s="907">
        <v>682</v>
      </c>
      <c r="AL77" s="908">
        <v>783</v>
      </c>
      <c r="AM77" s="909">
        <v>782</v>
      </c>
      <c r="AN77" s="907">
        <v>744</v>
      </c>
      <c r="AO77" s="908">
        <v>761</v>
      </c>
      <c r="AP77" s="909">
        <v>805</v>
      </c>
    </row>
    <row r="78" spans="1:42" s="6" customFormat="1" ht="15" customHeight="1" x14ac:dyDescent="0.25">
      <c r="A78" s="5162"/>
      <c r="B78" s="5159"/>
      <c r="C78" s="847" t="s">
        <v>490</v>
      </c>
      <c r="D78" s="900">
        <v>746</v>
      </c>
      <c r="E78" s="901">
        <v>774</v>
      </c>
      <c r="F78" s="902">
        <v>759</v>
      </c>
      <c r="G78" s="900">
        <v>725</v>
      </c>
      <c r="H78" s="901">
        <v>820</v>
      </c>
      <c r="I78" s="903">
        <v>850</v>
      </c>
      <c r="J78" s="904">
        <v>824</v>
      </c>
      <c r="K78" s="905">
        <v>896</v>
      </c>
      <c r="L78" s="903">
        <v>937</v>
      </c>
      <c r="M78" s="904">
        <v>896</v>
      </c>
      <c r="N78" s="901">
        <v>924</v>
      </c>
      <c r="O78" s="902">
        <v>954</v>
      </c>
      <c r="P78" s="904">
        <v>920</v>
      </c>
      <c r="Q78" s="906">
        <v>945</v>
      </c>
      <c r="R78" s="902">
        <v>927</v>
      </c>
      <c r="S78" s="904">
        <v>893</v>
      </c>
      <c r="T78" s="906">
        <v>884</v>
      </c>
      <c r="U78" s="902">
        <v>881</v>
      </c>
      <c r="V78" s="904">
        <v>839</v>
      </c>
      <c r="W78" s="906">
        <v>887</v>
      </c>
      <c r="X78" s="902">
        <v>859</v>
      </c>
      <c r="Y78" s="907">
        <v>829</v>
      </c>
      <c r="Z78" s="908">
        <v>853</v>
      </c>
      <c r="AA78" s="909">
        <v>876</v>
      </c>
      <c r="AB78" s="907">
        <v>828</v>
      </c>
      <c r="AC78" s="908">
        <v>856</v>
      </c>
      <c r="AD78" s="909">
        <v>837</v>
      </c>
      <c r="AE78" s="907">
        <v>794</v>
      </c>
      <c r="AF78" s="908">
        <v>810</v>
      </c>
      <c r="AG78" s="909">
        <v>851</v>
      </c>
      <c r="AH78" s="907">
        <v>817</v>
      </c>
      <c r="AI78" s="908">
        <v>849</v>
      </c>
      <c r="AJ78" s="909">
        <v>837</v>
      </c>
      <c r="AK78" s="907">
        <v>776</v>
      </c>
      <c r="AL78" s="908">
        <v>827</v>
      </c>
      <c r="AM78" s="909">
        <v>851</v>
      </c>
      <c r="AN78" s="907">
        <v>796</v>
      </c>
      <c r="AO78" s="908">
        <v>848</v>
      </c>
      <c r="AP78" s="909">
        <v>857</v>
      </c>
    </row>
    <row r="79" spans="1:42" s="6" customFormat="1" ht="15" customHeight="1" x14ac:dyDescent="0.25">
      <c r="A79" s="5162"/>
      <c r="B79" s="5159"/>
      <c r="C79" s="847" t="s">
        <v>464</v>
      </c>
      <c r="D79" s="900">
        <v>505</v>
      </c>
      <c r="E79" s="901">
        <v>507</v>
      </c>
      <c r="F79" s="902">
        <v>498</v>
      </c>
      <c r="G79" s="900">
        <v>466</v>
      </c>
      <c r="H79" s="901">
        <v>529</v>
      </c>
      <c r="I79" s="903">
        <v>559</v>
      </c>
      <c r="J79" s="904">
        <v>518</v>
      </c>
      <c r="K79" s="905">
        <v>563</v>
      </c>
      <c r="L79" s="903">
        <v>605</v>
      </c>
      <c r="M79" s="904">
        <v>515</v>
      </c>
      <c r="N79" s="901">
        <v>592</v>
      </c>
      <c r="O79" s="902">
        <v>635</v>
      </c>
      <c r="P79" s="904">
        <v>592</v>
      </c>
      <c r="Q79" s="906">
        <v>619</v>
      </c>
      <c r="R79" s="902">
        <v>699</v>
      </c>
      <c r="S79" s="904">
        <v>623</v>
      </c>
      <c r="T79" s="906">
        <v>702</v>
      </c>
      <c r="U79" s="902">
        <v>722</v>
      </c>
      <c r="V79" s="904">
        <v>664</v>
      </c>
      <c r="W79" s="906">
        <v>716</v>
      </c>
      <c r="X79" s="902">
        <v>733</v>
      </c>
      <c r="Y79" s="907">
        <v>686</v>
      </c>
      <c r="Z79" s="908">
        <v>687</v>
      </c>
      <c r="AA79" s="909">
        <v>699</v>
      </c>
      <c r="AB79" s="907">
        <v>621</v>
      </c>
      <c r="AC79" s="908">
        <v>645</v>
      </c>
      <c r="AD79" s="909">
        <v>708</v>
      </c>
      <c r="AE79" s="907">
        <v>636</v>
      </c>
      <c r="AF79" s="908">
        <v>668</v>
      </c>
      <c r="AG79" s="909">
        <v>742</v>
      </c>
      <c r="AH79" s="907">
        <v>668</v>
      </c>
      <c r="AI79" s="908">
        <v>750</v>
      </c>
      <c r="AJ79" s="909">
        <v>776</v>
      </c>
      <c r="AK79" s="907">
        <v>665</v>
      </c>
      <c r="AL79" s="908">
        <v>756</v>
      </c>
      <c r="AM79" s="909">
        <v>772</v>
      </c>
      <c r="AN79" s="907">
        <v>707</v>
      </c>
      <c r="AO79" s="908">
        <v>742</v>
      </c>
      <c r="AP79" s="909">
        <v>770</v>
      </c>
    </row>
    <row r="80" spans="1:42" s="6" customFormat="1" ht="15" customHeight="1" x14ac:dyDescent="0.25">
      <c r="A80" s="5162"/>
      <c r="B80" s="5159"/>
      <c r="C80" s="847" t="s">
        <v>491</v>
      </c>
      <c r="D80" s="900">
        <v>1364</v>
      </c>
      <c r="E80" s="901">
        <v>1364</v>
      </c>
      <c r="F80" s="902">
        <v>1405</v>
      </c>
      <c r="G80" s="900">
        <v>1350</v>
      </c>
      <c r="H80" s="901">
        <v>1429</v>
      </c>
      <c r="I80" s="903">
        <v>1506</v>
      </c>
      <c r="J80" s="904">
        <v>1447</v>
      </c>
      <c r="K80" s="905">
        <v>1556</v>
      </c>
      <c r="L80" s="903">
        <v>1630</v>
      </c>
      <c r="M80" s="904">
        <v>1585</v>
      </c>
      <c r="N80" s="901">
        <v>1589</v>
      </c>
      <c r="O80" s="902">
        <v>1609</v>
      </c>
      <c r="P80" s="904">
        <v>1556</v>
      </c>
      <c r="Q80" s="906">
        <v>1592</v>
      </c>
      <c r="R80" s="902">
        <v>1607</v>
      </c>
      <c r="S80" s="904">
        <v>1544</v>
      </c>
      <c r="T80" s="906">
        <v>1499</v>
      </c>
      <c r="U80" s="902">
        <v>1489</v>
      </c>
      <c r="V80" s="904">
        <v>1464</v>
      </c>
      <c r="W80" s="906">
        <v>1454</v>
      </c>
      <c r="X80" s="902">
        <v>1403</v>
      </c>
      <c r="Y80" s="907">
        <v>1371</v>
      </c>
      <c r="Z80" s="908">
        <v>1420</v>
      </c>
      <c r="AA80" s="909">
        <v>1426</v>
      </c>
      <c r="AB80" s="907">
        <v>1363</v>
      </c>
      <c r="AC80" s="908">
        <v>1376</v>
      </c>
      <c r="AD80" s="909">
        <v>1427</v>
      </c>
      <c r="AE80" s="907">
        <v>1363</v>
      </c>
      <c r="AF80" s="908">
        <v>1423</v>
      </c>
      <c r="AG80" s="909">
        <v>1472</v>
      </c>
      <c r="AH80" s="907">
        <v>1424</v>
      </c>
      <c r="AI80" s="908">
        <v>1421</v>
      </c>
      <c r="AJ80" s="909">
        <v>1408</v>
      </c>
      <c r="AK80" s="907">
        <v>1303</v>
      </c>
      <c r="AL80" s="908">
        <v>1368</v>
      </c>
      <c r="AM80" s="909">
        <v>1375</v>
      </c>
      <c r="AN80" s="907">
        <v>1325</v>
      </c>
      <c r="AO80" s="908">
        <v>1327</v>
      </c>
      <c r="AP80" s="909">
        <v>1330</v>
      </c>
    </row>
    <row r="81" spans="1:42" s="6" customFormat="1" ht="15" customHeight="1" x14ac:dyDescent="0.25">
      <c r="A81" s="5162"/>
      <c r="B81" s="5159"/>
      <c r="C81" s="847" t="s">
        <v>465</v>
      </c>
      <c r="D81" s="900">
        <v>650</v>
      </c>
      <c r="E81" s="901">
        <v>663</v>
      </c>
      <c r="F81" s="902">
        <v>704</v>
      </c>
      <c r="G81" s="900">
        <v>687</v>
      </c>
      <c r="H81" s="901">
        <v>732</v>
      </c>
      <c r="I81" s="903">
        <v>780</v>
      </c>
      <c r="J81" s="904">
        <v>727</v>
      </c>
      <c r="K81" s="905">
        <v>727</v>
      </c>
      <c r="L81" s="903">
        <v>747</v>
      </c>
      <c r="M81" s="904">
        <v>724</v>
      </c>
      <c r="N81" s="901">
        <v>735</v>
      </c>
      <c r="O81" s="902">
        <v>740</v>
      </c>
      <c r="P81" s="904">
        <v>686</v>
      </c>
      <c r="Q81" s="906">
        <v>745</v>
      </c>
      <c r="R81" s="902">
        <v>744</v>
      </c>
      <c r="S81" s="904">
        <v>715</v>
      </c>
      <c r="T81" s="906">
        <v>721</v>
      </c>
      <c r="U81" s="902">
        <v>707</v>
      </c>
      <c r="V81" s="904">
        <v>681</v>
      </c>
      <c r="W81" s="906">
        <v>707</v>
      </c>
      <c r="X81" s="902">
        <v>687</v>
      </c>
      <c r="Y81" s="907">
        <v>661</v>
      </c>
      <c r="Z81" s="908">
        <v>698</v>
      </c>
      <c r="AA81" s="909">
        <v>698</v>
      </c>
      <c r="AB81" s="907">
        <v>651</v>
      </c>
      <c r="AC81" s="908">
        <v>696</v>
      </c>
      <c r="AD81" s="909">
        <v>724</v>
      </c>
      <c r="AE81" s="907">
        <v>683</v>
      </c>
      <c r="AF81" s="908">
        <v>676</v>
      </c>
      <c r="AG81" s="909">
        <v>729</v>
      </c>
      <c r="AH81" s="907">
        <v>694</v>
      </c>
      <c r="AI81" s="908">
        <v>685</v>
      </c>
      <c r="AJ81" s="909">
        <v>703</v>
      </c>
      <c r="AK81" s="907">
        <v>630</v>
      </c>
      <c r="AL81" s="908">
        <v>693</v>
      </c>
      <c r="AM81" s="909">
        <v>698</v>
      </c>
      <c r="AN81" s="907">
        <v>680</v>
      </c>
      <c r="AO81" s="908">
        <v>676</v>
      </c>
      <c r="AP81" s="909">
        <v>662</v>
      </c>
    </row>
    <row r="82" spans="1:42" s="6" customFormat="1" ht="15" customHeight="1" x14ac:dyDescent="0.25">
      <c r="A82" s="5162"/>
      <c r="B82" s="5159"/>
      <c r="C82" s="813" t="s">
        <v>492</v>
      </c>
      <c r="D82" s="814">
        <v>190</v>
      </c>
      <c r="E82" s="855">
        <v>194</v>
      </c>
      <c r="F82" s="910">
        <v>202</v>
      </c>
      <c r="G82" s="854">
        <v>195</v>
      </c>
      <c r="H82" s="855">
        <v>219</v>
      </c>
      <c r="I82" s="910">
        <v>232</v>
      </c>
      <c r="J82" s="814">
        <v>221</v>
      </c>
      <c r="K82" s="815">
        <v>236</v>
      </c>
      <c r="L82" s="910">
        <v>225</v>
      </c>
      <c r="M82" s="814">
        <v>217</v>
      </c>
      <c r="N82" s="815">
        <v>232</v>
      </c>
      <c r="O82" s="910">
        <v>262</v>
      </c>
      <c r="P82" s="814">
        <v>255</v>
      </c>
      <c r="Q82" s="815">
        <v>268</v>
      </c>
      <c r="R82" s="910">
        <v>282</v>
      </c>
      <c r="S82" s="814">
        <v>253</v>
      </c>
      <c r="T82" s="815">
        <v>274</v>
      </c>
      <c r="U82" s="910">
        <v>284</v>
      </c>
      <c r="V82" s="814">
        <v>258</v>
      </c>
      <c r="W82" s="815">
        <v>271</v>
      </c>
      <c r="X82" s="910">
        <v>276</v>
      </c>
      <c r="Y82" s="814">
        <v>265</v>
      </c>
      <c r="Z82" s="815">
        <v>278</v>
      </c>
      <c r="AA82" s="910">
        <v>275</v>
      </c>
      <c r="AB82" s="817">
        <v>267</v>
      </c>
      <c r="AC82" s="815">
        <v>265</v>
      </c>
      <c r="AD82" s="910">
        <v>267</v>
      </c>
      <c r="AE82" s="817">
        <v>253</v>
      </c>
      <c r="AF82" s="815">
        <v>265</v>
      </c>
      <c r="AG82" s="910">
        <v>270</v>
      </c>
      <c r="AH82" s="817">
        <v>265</v>
      </c>
      <c r="AI82" s="815">
        <v>268</v>
      </c>
      <c r="AJ82" s="910">
        <v>266</v>
      </c>
      <c r="AK82" s="817">
        <v>247</v>
      </c>
      <c r="AL82" s="815">
        <v>276</v>
      </c>
      <c r="AM82" s="910">
        <v>304</v>
      </c>
      <c r="AN82" s="817">
        <v>293</v>
      </c>
      <c r="AO82" s="815">
        <v>324</v>
      </c>
      <c r="AP82" s="910">
        <v>357</v>
      </c>
    </row>
    <row r="83" spans="1:42" s="6" customFormat="1" ht="15" customHeight="1" x14ac:dyDescent="0.2">
      <c r="A83" s="5162"/>
      <c r="B83" s="5160"/>
      <c r="C83" s="874" t="s">
        <v>160</v>
      </c>
      <c r="D83" s="925">
        <f>SUM(D77:D82)</f>
        <v>4040</v>
      </c>
      <c r="E83" s="926">
        <f t="shared" ref="E83:AG83" si="40">SUM(E77:E82)</f>
        <v>4100</v>
      </c>
      <c r="F83" s="927">
        <f t="shared" si="40"/>
        <v>4173</v>
      </c>
      <c r="G83" s="925">
        <f t="shared" si="40"/>
        <v>4020</v>
      </c>
      <c r="H83" s="926">
        <f t="shared" si="40"/>
        <v>4359</v>
      </c>
      <c r="I83" s="927">
        <f t="shared" si="40"/>
        <v>4550</v>
      </c>
      <c r="J83" s="925">
        <f t="shared" si="40"/>
        <v>4381</v>
      </c>
      <c r="K83" s="926">
        <f t="shared" si="40"/>
        <v>4670</v>
      </c>
      <c r="L83" s="927">
        <f t="shared" si="40"/>
        <v>4867</v>
      </c>
      <c r="M83" s="925">
        <f t="shared" si="40"/>
        <v>4606</v>
      </c>
      <c r="N83" s="926">
        <f t="shared" si="40"/>
        <v>4784</v>
      </c>
      <c r="O83" s="927">
        <f t="shared" si="40"/>
        <v>4915</v>
      </c>
      <c r="P83" s="925">
        <f t="shared" si="40"/>
        <v>4682</v>
      </c>
      <c r="Q83" s="926">
        <f t="shared" si="40"/>
        <v>4918</v>
      </c>
      <c r="R83" s="927">
        <f t="shared" si="40"/>
        <v>5006</v>
      </c>
      <c r="S83" s="925">
        <f t="shared" si="40"/>
        <v>4747</v>
      </c>
      <c r="T83" s="926">
        <f t="shared" si="40"/>
        <v>4801</v>
      </c>
      <c r="U83" s="927">
        <f t="shared" si="40"/>
        <v>4793</v>
      </c>
      <c r="V83" s="925">
        <f t="shared" si="40"/>
        <v>4593</v>
      </c>
      <c r="W83" s="926">
        <f t="shared" si="40"/>
        <v>4758</v>
      </c>
      <c r="X83" s="927">
        <f t="shared" si="40"/>
        <v>4690</v>
      </c>
      <c r="Y83" s="925">
        <f t="shared" si="40"/>
        <v>4524</v>
      </c>
      <c r="Z83" s="926">
        <f t="shared" si="40"/>
        <v>4694</v>
      </c>
      <c r="AA83" s="927">
        <f t="shared" si="40"/>
        <v>4746</v>
      </c>
      <c r="AB83" s="925">
        <f t="shared" si="40"/>
        <v>4460</v>
      </c>
      <c r="AC83" s="926">
        <f t="shared" si="40"/>
        <v>4598</v>
      </c>
      <c r="AD83" s="927">
        <f t="shared" si="40"/>
        <v>4733</v>
      </c>
      <c r="AE83" s="925">
        <f t="shared" si="40"/>
        <v>4460</v>
      </c>
      <c r="AF83" s="926">
        <f t="shared" si="40"/>
        <v>4611</v>
      </c>
      <c r="AG83" s="927">
        <f t="shared" si="40"/>
        <v>4841</v>
      </c>
      <c r="AH83" s="925">
        <f t="shared" ref="AH83:AM83" si="41">SUM(AH77:AH82)</f>
        <v>4611</v>
      </c>
      <c r="AI83" s="926">
        <f t="shared" si="41"/>
        <v>4753</v>
      </c>
      <c r="AJ83" s="927">
        <f t="shared" si="41"/>
        <v>4753</v>
      </c>
      <c r="AK83" s="925">
        <f t="shared" si="41"/>
        <v>4303</v>
      </c>
      <c r="AL83" s="926">
        <f t="shared" si="41"/>
        <v>4703</v>
      </c>
      <c r="AM83" s="927">
        <f t="shared" si="41"/>
        <v>4782</v>
      </c>
      <c r="AN83" s="925">
        <f t="shared" ref="AN83:AP83" si="42">SUM(AN77:AN82)</f>
        <v>4545</v>
      </c>
      <c r="AO83" s="926">
        <f t="shared" si="42"/>
        <v>4678</v>
      </c>
      <c r="AP83" s="927">
        <f t="shared" si="42"/>
        <v>4781</v>
      </c>
    </row>
    <row r="84" spans="1:42" s="6" customFormat="1" ht="15" customHeight="1" x14ac:dyDescent="0.25">
      <c r="A84" s="5162"/>
      <c r="B84" s="5158" t="s">
        <v>11</v>
      </c>
      <c r="C84" s="847" t="s">
        <v>484</v>
      </c>
      <c r="D84" s="900">
        <v>542</v>
      </c>
      <c r="E84" s="901">
        <v>576</v>
      </c>
      <c r="F84" s="902">
        <v>596</v>
      </c>
      <c r="G84" s="900">
        <v>544</v>
      </c>
      <c r="H84" s="901">
        <v>571</v>
      </c>
      <c r="I84" s="903">
        <v>630</v>
      </c>
      <c r="J84" s="904">
        <v>558</v>
      </c>
      <c r="K84" s="905">
        <v>645</v>
      </c>
      <c r="L84" s="903">
        <v>733</v>
      </c>
      <c r="M84" s="904">
        <v>670</v>
      </c>
      <c r="N84" s="901">
        <v>727</v>
      </c>
      <c r="O84" s="902">
        <v>793</v>
      </c>
      <c r="P84" s="904">
        <v>713</v>
      </c>
      <c r="Q84" s="906">
        <v>768</v>
      </c>
      <c r="R84" s="902">
        <v>796</v>
      </c>
      <c r="S84" s="904">
        <v>741</v>
      </c>
      <c r="T84" s="906">
        <v>779</v>
      </c>
      <c r="U84" s="902">
        <v>805</v>
      </c>
      <c r="V84" s="904">
        <v>735</v>
      </c>
      <c r="W84" s="906">
        <v>808</v>
      </c>
      <c r="X84" s="902">
        <v>781</v>
      </c>
      <c r="Y84" s="907">
        <v>706</v>
      </c>
      <c r="Z84" s="908">
        <v>743</v>
      </c>
      <c r="AA84" s="909">
        <v>771</v>
      </c>
      <c r="AB84" s="907">
        <v>698</v>
      </c>
      <c r="AC84" s="908">
        <v>725</v>
      </c>
      <c r="AD84" s="909">
        <v>751</v>
      </c>
      <c r="AE84" s="907">
        <v>682</v>
      </c>
      <c r="AF84" s="908">
        <v>725</v>
      </c>
      <c r="AG84" s="909">
        <v>752</v>
      </c>
      <c r="AH84" s="907">
        <v>692</v>
      </c>
      <c r="AI84" s="908">
        <v>728</v>
      </c>
      <c r="AJ84" s="909">
        <v>769</v>
      </c>
      <c r="AK84" s="907">
        <v>655</v>
      </c>
      <c r="AL84" s="908">
        <v>744</v>
      </c>
      <c r="AM84" s="909">
        <v>782</v>
      </c>
      <c r="AN84" s="907">
        <v>693</v>
      </c>
      <c r="AO84" s="908">
        <v>748</v>
      </c>
      <c r="AP84" s="909">
        <v>785</v>
      </c>
    </row>
    <row r="85" spans="1:42" s="6" customFormat="1" ht="15" customHeight="1" x14ac:dyDescent="0.25">
      <c r="A85" s="5162"/>
      <c r="B85" s="5159"/>
      <c r="C85" s="847" t="s">
        <v>493</v>
      </c>
      <c r="D85" s="900">
        <v>310</v>
      </c>
      <c r="E85" s="901">
        <v>343</v>
      </c>
      <c r="F85" s="902">
        <v>359</v>
      </c>
      <c r="G85" s="900">
        <v>323</v>
      </c>
      <c r="H85" s="901">
        <v>382</v>
      </c>
      <c r="I85" s="903">
        <v>421</v>
      </c>
      <c r="J85" s="904">
        <v>385</v>
      </c>
      <c r="K85" s="905">
        <v>446</v>
      </c>
      <c r="L85" s="903">
        <v>491</v>
      </c>
      <c r="M85" s="904">
        <v>459</v>
      </c>
      <c r="N85" s="901">
        <v>497</v>
      </c>
      <c r="O85" s="902">
        <v>539</v>
      </c>
      <c r="P85" s="904">
        <v>500</v>
      </c>
      <c r="Q85" s="906">
        <v>523</v>
      </c>
      <c r="R85" s="902">
        <v>538</v>
      </c>
      <c r="S85" s="904">
        <v>503</v>
      </c>
      <c r="T85" s="906">
        <v>535</v>
      </c>
      <c r="U85" s="902">
        <v>541</v>
      </c>
      <c r="V85" s="904">
        <v>497</v>
      </c>
      <c r="W85" s="906">
        <v>531</v>
      </c>
      <c r="X85" s="902">
        <v>545</v>
      </c>
      <c r="Y85" s="907">
        <v>533</v>
      </c>
      <c r="Z85" s="908">
        <v>564</v>
      </c>
      <c r="AA85" s="909">
        <v>580</v>
      </c>
      <c r="AB85" s="907">
        <v>540</v>
      </c>
      <c r="AC85" s="908">
        <v>553</v>
      </c>
      <c r="AD85" s="909">
        <v>580</v>
      </c>
      <c r="AE85" s="907">
        <v>535</v>
      </c>
      <c r="AF85" s="908">
        <v>544</v>
      </c>
      <c r="AG85" s="909">
        <v>554</v>
      </c>
      <c r="AH85" s="907">
        <v>509</v>
      </c>
      <c r="AI85" s="908">
        <v>527</v>
      </c>
      <c r="AJ85" s="909">
        <v>505</v>
      </c>
      <c r="AK85" s="907">
        <v>450</v>
      </c>
      <c r="AL85" s="908">
        <v>514</v>
      </c>
      <c r="AM85" s="909">
        <v>483</v>
      </c>
      <c r="AN85" s="907">
        <v>446</v>
      </c>
      <c r="AO85" s="908">
        <v>478</v>
      </c>
      <c r="AP85" s="909">
        <v>484</v>
      </c>
    </row>
    <row r="86" spans="1:42" s="6" customFormat="1" ht="15" customHeight="1" x14ac:dyDescent="0.25">
      <c r="A86" s="5162"/>
      <c r="B86" s="5159"/>
      <c r="C86" s="847" t="s">
        <v>494</v>
      </c>
      <c r="D86" s="900">
        <v>681</v>
      </c>
      <c r="E86" s="901">
        <v>697</v>
      </c>
      <c r="F86" s="902">
        <v>726</v>
      </c>
      <c r="G86" s="900">
        <v>666</v>
      </c>
      <c r="H86" s="901">
        <v>770</v>
      </c>
      <c r="I86" s="903">
        <v>844</v>
      </c>
      <c r="J86" s="904">
        <v>816</v>
      </c>
      <c r="K86" s="905">
        <v>922</v>
      </c>
      <c r="L86" s="903">
        <v>955</v>
      </c>
      <c r="M86" s="904">
        <v>930</v>
      </c>
      <c r="N86" s="901">
        <v>992</v>
      </c>
      <c r="O86" s="902">
        <v>1020</v>
      </c>
      <c r="P86" s="904">
        <v>997</v>
      </c>
      <c r="Q86" s="906">
        <v>1026</v>
      </c>
      <c r="R86" s="902">
        <v>1013</v>
      </c>
      <c r="S86" s="904">
        <v>945</v>
      </c>
      <c r="T86" s="906">
        <v>919</v>
      </c>
      <c r="U86" s="902">
        <v>869</v>
      </c>
      <c r="V86" s="904">
        <v>799</v>
      </c>
      <c r="W86" s="906">
        <v>784</v>
      </c>
      <c r="X86" s="902">
        <v>761</v>
      </c>
      <c r="Y86" s="907">
        <v>698</v>
      </c>
      <c r="Z86" s="908">
        <v>706</v>
      </c>
      <c r="AA86" s="909">
        <v>719</v>
      </c>
      <c r="AB86" s="907">
        <v>656</v>
      </c>
      <c r="AC86" s="908">
        <v>674</v>
      </c>
      <c r="AD86" s="909">
        <v>692</v>
      </c>
      <c r="AE86" s="907">
        <v>640</v>
      </c>
      <c r="AF86" s="908">
        <v>668</v>
      </c>
      <c r="AG86" s="909">
        <v>675</v>
      </c>
      <c r="AH86" s="907">
        <v>633</v>
      </c>
      <c r="AI86" s="908">
        <v>680</v>
      </c>
      <c r="AJ86" s="909">
        <v>691</v>
      </c>
      <c r="AK86" s="907">
        <v>627</v>
      </c>
      <c r="AL86" s="908">
        <v>701</v>
      </c>
      <c r="AM86" s="909">
        <v>708</v>
      </c>
      <c r="AN86" s="907">
        <v>674</v>
      </c>
      <c r="AO86" s="908">
        <v>700</v>
      </c>
      <c r="AP86" s="909">
        <v>728</v>
      </c>
    </row>
    <row r="87" spans="1:42" s="6" customFormat="1" ht="15" customHeight="1" x14ac:dyDescent="0.25">
      <c r="A87" s="5162"/>
      <c r="B87" s="5159"/>
      <c r="C87" s="847" t="s">
        <v>495</v>
      </c>
      <c r="D87" s="900">
        <v>866</v>
      </c>
      <c r="E87" s="901">
        <v>943</v>
      </c>
      <c r="F87" s="902">
        <v>1002</v>
      </c>
      <c r="G87" s="900">
        <v>907</v>
      </c>
      <c r="H87" s="901">
        <v>1027</v>
      </c>
      <c r="I87" s="903">
        <v>1088</v>
      </c>
      <c r="J87" s="904">
        <v>977</v>
      </c>
      <c r="K87" s="905">
        <v>1113</v>
      </c>
      <c r="L87" s="903">
        <v>1163</v>
      </c>
      <c r="M87" s="904">
        <v>1051</v>
      </c>
      <c r="N87" s="901">
        <v>1134</v>
      </c>
      <c r="O87" s="902">
        <v>1192</v>
      </c>
      <c r="P87" s="904">
        <v>1058</v>
      </c>
      <c r="Q87" s="906">
        <v>1110</v>
      </c>
      <c r="R87" s="902">
        <v>1140</v>
      </c>
      <c r="S87" s="904">
        <v>999</v>
      </c>
      <c r="T87" s="906">
        <v>1055</v>
      </c>
      <c r="U87" s="902">
        <v>1067</v>
      </c>
      <c r="V87" s="904">
        <v>968</v>
      </c>
      <c r="W87" s="906">
        <v>1031</v>
      </c>
      <c r="X87" s="902">
        <v>1043</v>
      </c>
      <c r="Y87" s="907">
        <v>993</v>
      </c>
      <c r="Z87" s="908">
        <v>1052</v>
      </c>
      <c r="AA87" s="909">
        <v>1090</v>
      </c>
      <c r="AB87" s="907">
        <v>973</v>
      </c>
      <c r="AC87" s="908">
        <v>1035</v>
      </c>
      <c r="AD87" s="909">
        <v>1057</v>
      </c>
      <c r="AE87" s="907">
        <v>952</v>
      </c>
      <c r="AF87" s="908">
        <v>1000</v>
      </c>
      <c r="AG87" s="909">
        <v>1015</v>
      </c>
      <c r="AH87" s="907">
        <v>915</v>
      </c>
      <c r="AI87" s="908">
        <v>959</v>
      </c>
      <c r="AJ87" s="909">
        <v>1009</v>
      </c>
      <c r="AK87" s="907">
        <v>871</v>
      </c>
      <c r="AL87" s="908">
        <v>991</v>
      </c>
      <c r="AM87" s="909">
        <v>1070</v>
      </c>
      <c r="AN87" s="907">
        <v>973</v>
      </c>
      <c r="AO87" s="908">
        <v>1067</v>
      </c>
      <c r="AP87" s="909">
        <v>1139</v>
      </c>
    </row>
    <row r="88" spans="1:42" s="6" customFormat="1" ht="15" customHeight="1" x14ac:dyDescent="0.25">
      <c r="A88" s="5162"/>
      <c r="B88" s="5159"/>
      <c r="C88" s="847" t="s">
        <v>496</v>
      </c>
      <c r="D88" s="900">
        <v>816</v>
      </c>
      <c r="E88" s="901">
        <v>895</v>
      </c>
      <c r="F88" s="902">
        <v>966</v>
      </c>
      <c r="G88" s="900">
        <v>865</v>
      </c>
      <c r="H88" s="901">
        <v>970</v>
      </c>
      <c r="I88" s="903">
        <v>1075</v>
      </c>
      <c r="J88" s="904">
        <v>1014</v>
      </c>
      <c r="K88" s="905">
        <v>1116</v>
      </c>
      <c r="L88" s="903">
        <v>1182</v>
      </c>
      <c r="M88" s="904">
        <v>1063</v>
      </c>
      <c r="N88" s="901">
        <v>1171</v>
      </c>
      <c r="O88" s="902">
        <v>1231</v>
      </c>
      <c r="P88" s="904">
        <v>1117</v>
      </c>
      <c r="Q88" s="906">
        <v>1190</v>
      </c>
      <c r="R88" s="902">
        <v>1221</v>
      </c>
      <c r="S88" s="904">
        <v>1113</v>
      </c>
      <c r="T88" s="906">
        <v>1123</v>
      </c>
      <c r="U88" s="902">
        <v>1110</v>
      </c>
      <c r="V88" s="904">
        <v>993</v>
      </c>
      <c r="W88" s="906">
        <v>1029</v>
      </c>
      <c r="X88" s="902">
        <v>1049</v>
      </c>
      <c r="Y88" s="907">
        <v>934</v>
      </c>
      <c r="Z88" s="908">
        <v>990</v>
      </c>
      <c r="AA88" s="909">
        <v>1018</v>
      </c>
      <c r="AB88" s="907">
        <v>891</v>
      </c>
      <c r="AC88" s="908">
        <v>924</v>
      </c>
      <c r="AD88" s="909">
        <v>962</v>
      </c>
      <c r="AE88" s="907">
        <v>830</v>
      </c>
      <c r="AF88" s="908">
        <v>906</v>
      </c>
      <c r="AG88" s="909">
        <v>950</v>
      </c>
      <c r="AH88" s="907">
        <v>877</v>
      </c>
      <c r="AI88" s="908">
        <v>950</v>
      </c>
      <c r="AJ88" s="909">
        <v>1009</v>
      </c>
      <c r="AK88" s="907">
        <v>885</v>
      </c>
      <c r="AL88" s="908">
        <v>1001</v>
      </c>
      <c r="AM88" s="909">
        <v>1040</v>
      </c>
      <c r="AN88" s="907">
        <v>937</v>
      </c>
      <c r="AO88" s="908">
        <v>975</v>
      </c>
      <c r="AP88" s="909">
        <v>1054</v>
      </c>
    </row>
    <row r="89" spans="1:42" s="6" customFormat="1" ht="15" customHeight="1" x14ac:dyDescent="0.25">
      <c r="A89" s="5162"/>
      <c r="B89" s="5159"/>
      <c r="C89" s="847" t="s">
        <v>497</v>
      </c>
      <c r="D89" s="900">
        <v>358</v>
      </c>
      <c r="E89" s="901">
        <v>386</v>
      </c>
      <c r="F89" s="902">
        <v>416</v>
      </c>
      <c r="G89" s="900">
        <v>354</v>
      </c>
      <c r="H89" s="901">
        <v>382</v>
      </c>
      <c r="I89" s="903">
        <v>394</v>
      </c>
      <c r="J89" s="904">
        <v>338</v>
      </c>
      <c r="K89" s="905">
        <v>352</v>
      </c>
      <c r="L89" s="903">
        <v>379</v>
      </c>
      <c r="M89" s="904">
        <v>331</v>
      </c>
      <c r="N89" s="901">
        <v>399</v>
      </c>
      <c r="O89" s="902">
        <v>387</v>
      </c>
      <c r="P89" s="904">
        <v>347</v>
      </c>
      <c r="Q89" s="906">
        <v>373</v>
      </c>
      <c r="R89" s="902">
        <v>436</v>
      </c>
      <c r="S89" s="904">
        <v>387</v>
      </c>
      <c r="T89" s="906">
        <v>445</v>
      </c>
      <c r="U89" s="902">
        <v>503</v>
      </c>
      <c r="V89" s="904">
        <v>455</v>
      </c>
      <c r="W89" s="906">
        <v>534</v>
      </c>
      <c r="X89" s="902">
        <v>580</v>
      </c>
      <c r="Y89" s="907">
        <v>522</v>
      </c>
      <c r="Z89" s="908">
        <v>597</v>
      </c>
      <c r="AA89" s="909">
        <v>661</v>
      </c>
      <c r="AB89" s="907">
        <v>600</v>
      </c>
      <c r="AC89" s="908">
        <v>663</v>
      </c>
      <c r="AD89" s="909">
        <v>708</v>
      </c>
      <c r="AE89" s="907">
        <v>633</v>
      </c>
      <c r="AF89" s="908">
        <v>682</v>
      </c>
      <c r="AG89" s="909">
        <v>690</v>
      </c>
      <c r="AH89" s="907">
        <v>625</v>
      </c>
      <c r="AI89" s="908">
        <v>673</v>
      </c>
      <c r="AJ89" s="909">
        <v>710</v>
      </c>
      <c r="AK89" s="907">
        <v>604</v>
      </c>
      <c r="AL89" s="908">
        <v>663</v>
      </c>
      <c r="AM89" s="909">
        <v>675</v>
      </c>
      <c r="AN89" s="907">
        <v>613</v>
      </c>
      <c r="AO89" s="908">
        <v>628</v>
      </c>
      <c r="AP89" s="909">
        <v>636</v>
      </c>
    </row>
    <row r="90" spans="1:42" s="6" customFormat="1" ht="15" customHeight="1" x14ac:dyDescent="0.25">
      <c r="A90" s="5162"/>
      <c r="B90" s="5159"/>
      <c r="C90" s="847" t="s">
        <v>498</v>
      </c>
      <c r="D90" s="900">
        <v>815</v>
      </c>
      <c r="E90" s="901">
        <v>797</v>
      </c>
      <c r="F90" s="902">
        <v>816</v>
      </c>
      <c r="G90" s="900">
        <v>803</v>
      </c>
      <c r="H90" s="901">
        <v>896</v>
      </c>
      <c r="I90" s="903">
        <v>966</v>
      </c>
      <c r="J90" s="904">
        <v>827</v>
      </c>
      <c r="K90" s="905">
        <v>950</v>
      </c>
      <c r="L90" s="903">
        <v>988</v>
      </c>
      <c r="M90" s="904">
        <v>882</v>
      </c>
      <c r="N90" s="901">
        <v>982</v>
      </c>
      <c r="O90" s="902">
        <v>995</v>
      </c>
      <c r="P90" s="904">
        <v>916</v>
      </c>
      <c r="Q90" s="906">
        <v>973</v>
      </c>
      <c r="R90" s="902">
        <v>981</v>
      </c>
      <c r="S90" s="904">
        <v>893</v>
      </c>
      <c r="T90" s="906">
        <v>869</v>
      </c>
      <c r="U90" s="902">
        <v>994</v>
      </c>
      <c r="V90" s="904">
        <v>930</v>
      </c>
      <c r="W90" s="906">
        <v>1035</v>
      </c>
      <c r="X90" s="902">
        <v>1007</v>
      </c>
      <c r="Y90" s="907">
        <v>921</v>
      </c>
      <c r="Z90" s="908">
        <v>1021</v>
      </c>
      <c r="AA90" s="909">
        <v>982</v>
      </c>
      <c r="AB90" s="907">
        <v>922</v>
      </c>
      <c r="AC90" s="908">
        <v>999</v>
      </c>
      <c r="AD90" s="909">
        <v>1004</v>
      </c>
      <c r="AE90" s="907">
        <v>872</v>
      </c>
      <c r="AF90" s="908">
        <v>967</v>
      </c>
      <c r="AG90" s="909">
        <v>988</v>
      </c>
      <c r="AH90" s="907">
        <v>900</v>
      </c>
      <c r="AI90" s="908">
        <v>997</v>
      </c>
      <c r="AJ90" s="909">
        <v>1014</v>
      </c>
      <c r="AK90" s="907">
        <v>819</v>
      </c>
      <c r="AL90" s="908">
        <v>955</v>
      </c>
      <c r="AM90" s="909">
        <v>976</v>
      </c>
      <c r="AN90" s="907">
        <v>836</v>
      </c>
      <c r="AO90" s="908">
        <v>930</v>
      </c>
      <c r="AP90" s="909">
        <v>946</v>
      </c>
    </row>
    <row r="91" spans="1:42" s="6" customFormat="1" ht="15" customHeight="1" x14ac:dyDescent="0.25">
      <c r="A91" s="5162"/>
      <c r="B91" s="5159"/>
      <c r="C91" s="813" t="s">
        <v>499</v>
      </c>
      <c r="D91" s="814">
        <v>402</v>
      </c>
      <c r="E91" s="855">
        <v>434</v>
      </c>
      <c r="F91" s="910">
        <v>455</v>
      </c>
      <c r="G91" s="854">
        <v>423</v>
      </c>
      <c r="H91" s="855">
        <v>475</v>
      </c>
      <c r="I91" s="910">
        <v>485</v>
      </c>
      <c r="J91" s="814">
        <v>462</v>
      </c>
      <c r="K91" s="815">
        <v>522</v>
      </c>
      <c r="L91" s="910">
        <v>555</v>
      </c>
      <c r="M91" s="814">
        <v>520</v>
      </c>
      <c r="N91" s="815">
        <v>565</v>
      </c>
      <c r="O91" s="910">
        <v>600</v>
      </c>
      <c r="P91" s="814">
        <v>580</v>
      </c>
      <c r="Q91" s="815">
        <v>580</v>
      </c>
      <c r="R91" s="910">
        <v>588</v>
      </c>
      <c r="S91" s="814">
        <v>559</v>
      </c>
      <c r="T91" s="815">
        <v>549</v>
      </c>
      <c r="U91" s="910">
        <v>555</v>
      </c>
      <c r="V91" s="814">
        <v>546</v>
      </c>
      <c r="W91" s="815">
        <v>532</v>
      </c>
      <c r="X91" s="910">
        <v>504</v>
      </c>
      <c r="Y91" s="814">
        <v>445</v>
      </c>
      <c r="Z91" s="815">
        <v>450</v>
      </c>
      <c r="AA91" s="910">
        <v>518</v>
      </c>
      <c r="AB91" s="817">
        <v>487</v>
      </c>
      <c r="AC91" s="815">
        <v>504</v>
      </c>
      <c r="AD91" s="910">
        <v>540</v>
      </c>
      <c r="AE91" s="817">
        <v>499</v>
      </c>
      <c r="AF91" s="815">
        <v>525</v>
      </c>
      <c r="AG91" s="910">
        <v>537</v>
      </c>
      <c r="AH91" s="817">
        <v>519</v>
      </c>
      <c r="AI91" s="815">
        <v>544</v>
      </c>
      <c r="AJ91" s="910">
        <v>577</v>
      </c>
      <c r="AK91" s="817">
        <v>515</v>
      </c>
      <c r="AL91" s="815">
        <v>585</v>
      </c>
      <c r="AM91" s="910">
        <v>628</v>
      </c>
      <c r="AN91" s="817">
        <v>577</v>
      </c>
      <c r="AO91" s="815">
        <v>602</v>
      </c>
      <c r="AP91" s="910">
        <v>612</v>
      </c>
    </row>
    <row r="92" spans="1:42" s="6" customFormat="1" ht="15" customHeight="1" x14ac:dyDescent="0.2">
      <c r="A92" s="5162"/>
      <c r="B92" s="5160"/>
      <c r="C92" s="874" t="s">
        <v>160</v>
      </c>
      <c r="D92" s="925">
        <f>SUM(D84:D91)</f>
        <v>4790</v>
      </c>
      <c r="E92" s="926">
        <f t="shared" ref="E92:AG92" si="43">SUM(E84:E91)</f>
        <v>5071</v>
      </c>
      <c r="F92" s="927">
        <f t="shared" si="43"/>
        <v>5336</v>
      </c>
      <c r="G92" s="925">
        <f t="shared" si="43"/>
        <v>4885</v>
      </c>
      <c r="H92" s="926">
        <f t="shared" si="43"/>
        <v>5473</v>
      </c>
      <c r="I92" s="927">
        <f t="shared" si="43"/>
        <v>5903</v>
      </c>
      <c r="J92" s="925">
        <f t="shared" si="43"/>
        <v>5377</v>
      </c>
      <c r="K92" s="926">
        <f t="shared" si="43"/>
        <v>6066</v>
      </c>
      <c r="L92" s="927">
        <f t="shared" si="43"/>
        <v>6446</v>
      </c>
      <c r="M92" s="925">
        <f t="shared" si="43"/>
        <v>5906</v>
      </c>
      <c r="N92" s="926">
        <f t="shared" si="43"/>
        <v>6467</v>
      </c>
      <c r="O92" s="927">
        <f t="shared" si="43"/>
        <v>6757</v>
      </c>
      <c r="P92" s="925">
        <f t="shared" si="43"/>
        <v>6228</v>
      </c>
      <c r="Q92" s="926">
        <f t="shared" si="43"/>
        <v>6543</v>
      </c>
      <c r="R92" s="927">
        <f t="shared" si="43"/>
        <v>6713</v>
      </c>
      <c r="S92" s="925">
        <f t="shared" si="43"/>
        <v>6140</v>
      </c>
      <c r="T92" s="926">
        <f t="shared" si="43"/>
        <v>6274</v>
      </c>
      <c r="U92" s="927">
        <f t="shared" si="43"/>
        <v>6444</v>
      </c>
      <c r="V92" s="925">
        <f t="shared" si="43"/>
        <v>5923</v>
      </c>
      <c r="W92" s="926">
        <f t="shared" si="43"/>
        <v>6284</v>
      </c>
      <c r="X92" s="927">
        <f t="shared" si="43"/>
        <v>6270</v>
      </c>
      <c r="Y92" s="925">
        <f t="shared" si="43"/>
        <v>5752</v>
      </c>
      <c r="Z92" s="926">
        <f t="shared" si="43"/>
        <v>6123</v>
      </c>
      <c r="AA92" s="927">
        <f t="shared" si="43"/>
        <v>6339</v>
      </c>
      <c r="AB92" s="925">
        <f t="shared" si="43"/>
        <v>5767</v>
      </c>
      <c r="AC92" s="926">
        <f t="shared" si="43"/>
        <v>6077</v>
      </c>
      <c r="AD92" s="927">
        <f t="shared" si="43"/>
        <v>6294</v>
      </c>
      <c r="AE92" s="925">
        <f t="shared" si="43"/>
        <v>5643</v>
      </c>
      <c r="AF92" s="926">
        <f t="shared" si="43"/>
        <v>6017</v>
      </c>
      <c r="AG92" s="927">
        <f t="shared" si="43"/>
        <v>6161</v>
      </c>
      <c r="AH92" s="925">
        <f t="shared" ref="AH92:AM92" si="44">SUM(AH84:AH91)</f>
        <v>5670</v>
      </c>
      <c r="AI92" s="926">
        <f t="shared" si="44"/>
        <v>6058</v>
      </c>
      <c r="AJ92" s="927">
        <f t="shared" si="44"/>
        <v>6284</v>
      </c>
      <c r="AK92" s="925">
        <f t="shared" si="44"/>
        <v>5426</v>
      </c>
      <c r="AL92" s="926">
        <f t="shared" si="44"/>
        <v>6154</v>
      </c>
      <c r="AM92" s="927">
        <f t="shared" si="44"/>
        <v>6362</v>
      </c>
      <c r="AN92" s="925">
        <f t="shared" ref="AN92:AP92" si="45">SUM(AN84:AN91)</f>
        <v>5749</v>
      </c>
      <c r="AO92" s="926">
        <f t="shared" si="45"/>
        <v>6128</v>
      </c>
      <c r="AP92" s="927">
        <f t="shared" si="45"/>
        <v>6384</v>
      </c>
    </row>
    <row r="93" spans="1:42" s="6" customFormat="1" ht="15" customHeight="1" x14ac:dyDescent="0.25">
      <c r="A93" s="5162"/>
      <c r="B93" s="5158" t="s">
        <v>7</v>
      </c>
      <c r="C93" s="847" t="s">
        <v>466</v>
      </c>
      <c r="D93" s="900">
        <v>874</v>
      </c>
      <c r="E93" s="901">
        <v>926</v>
      </c>
      <c r="F93" s="902">
        <v>1039</v>
      </c>
      <c r="G93" s="900">
        <v>909</v>
      </c>
      <c r="H93" s="901">
        <v>1027</v>
      </c>
      <c r="I93" s="903">
        <v>1067</v>
      </c>
      <c r="J93" s="904">
        <v>1012</v>
      </c>
      <c r="K93" s="905">
        <v>1105</v>
      </c>
      <c r="L93" s="903">
        <v>1126</v>
      </c>
      <c r="M93" s="904">
        <v>1075</v>
      </c>
      <c r="N93" s="901">
        <v>1155</v>
      </c>
      <c r="O93" s="902">
        <v>1110</v>
      </c>
      <c r="P93" s="904">
        <v>1047</v>
      </c>
      <c r="Q93" s="906">
        <v>1148</v>
      </c>
      <c r="R93" s="902">
        <v>1206</v>
      </c>
      <c r="S93" s="904">
        <v>1142</v>
      </c>
      <c r="T93" s="906">
        <v>1178</v>
      </c>
      <c r="U93" s="902">
        <v>1189</v>
      </c>
      <c r="V93" s="904">
        <v>1132</v>
      </c>
      <c r="W93" s="906">
        <v>1213</v>
      </c>
      <c r="X93" s="902">
        <v>1139</v>
      </c>
      <c r="Y93" s="907">
        <v>1111</v>
      </c>
      <c r="Z93" s="908">
        <v>1112</v>
      </c>
      <c r="AA93" s="902">
        <v>1108</v>
      </c>
      <c r="AB93" s="907">
        <v>1000</v>
      </c>
      <c r="AC93" s="908">
        <v>1045</v>
      </c>
      <c r="AD93" s="902">
        <v>1074</v>
      </c>
      <c r="AE93" s="907">
        <v>974</v>
      </c>
      <c r="AF93" s="908">
        <v>1003</v>
      </c>
      <c r="AG93" s="902">
        <v>1048</v>
      </c>
      <c r="AH93" s="907">
        <v>960</v>
      </c>
      <c r="AI93" s="908">
        <v>1012</v>
      </c>
      <c r="AJ93" s="902">
        <v>1055</v>
      </c>
      <c r="AK93" s="907">
        <v>950</v>
      </c>
      <c r="AL93" s="908">
        <v>1006</v>
      </c>
      <c r="AM93" s="902">
        <v>1035</v>
      </c>
      <c r="AN93" s="907">
        <v>970</v>
      </c>
      <c r="AO93" s="908">
        <v>962</v>
      </c>
      <c r="AP93" s="902">
        <v>1041</v>
      </c>
    </row>
    <row r="94" spans="1:42" s="6" customFormat="1" ht="15" customHeight="1" x14ac:dyDescent="0.25">
      <c r="A94" s="5162"/>
      <c r="B94" s="5159"/>
      <c r="C94" s="847" t="s">
        <v>467</v>
      </c>
      <c r="D94" s="900">
        <v>472</v>
      </c>
      <c r="E94" s="901">
        <v>507</v>
      </c>
      <c r="F94" s="902">
        <v>559</v>
      </c>
      <c r="G94" s="900">
        <v>517</v>
      </c>
      <c r="H94" s="901">
        <v>561</v>
      </c>
      <c r="I94" s="903">
        <v>557</v>
      </c>
      <c r="J94" s="904">
        <v>539</v>
      </c>
      <c r="K94" s="905">
        <v>565</v>
      </c>
      <c r="L94" s="903">
        <v>577</v>
      </c>
      <c r="M94" s="904">
        <v>556</v>
      </c>
      <c r="N94" s="901">
        <v>570</v>
      </c>
      <c r="O94" s="902">
        <v>575</v>
      </c>
      <c r="P94" s="904">
        <v>560</v>
      </c>
      <c r="Q94" s="906">
        <v>553</v>
      </c>
      <c r="R94" s="902">
        <v>536</v>
      </c>
      <c r="S94" s="904">
        <v>528</v>
      </c>
      <c r="T94" s="906">
        <v>519</v>
      </c>
      <c r="U94" s="902">
        <v>477</v>
      </c>
      <c r="V94" s="904">
        <v>466</v>
      </c>
      <c r="W94" s="906">
        <v>475</v>
      </c>
      <c r="X94" s="902">
        <v>480</v>
      </c>
      <c r="Y94" s="907">
        <v>467</v>
      </c>
      <c r="Z94" s="908">
        <v>463</v>
      </c>
      <c r="AA94" s="902">
        <v>482</v>
      </c>
      <c r="AB94" s="907">
        <v>447</v>
      </c>
      <c r="AC94" s="908">
        <v>472</v>
      </c>
      <c r="AD94" s="902">
        <v>507</v>
      </c>
      <c r="AE94" s="907">
        <v>491</v>
      </c>
      <c r="AF94" s="908">
        <v>507</v>
      </c>
      <c r="AG94" s="902">
        <v>513</v>
      </c>
      <c r="AH94" s="907">
        <v>497</v>
      </c>
      <c r="AI94" s="908">
        <v>504</v>
      </c>
      <c r="AJ94" s="902">
        <v>514</v>
      </c>
      <c r="AK94" s="907">
        <v>453</v>
      </c>
      <c r="AL94" s="908">
        <v>490</v>
      </c>
      <c r="AM94" s="902">
        <v>496</v>
      </c>
      <c r="AN94" s="907">
        <v>472</v>
      </c>
      <c r="AO94" s="908">
        <v>482</v>
      </c>
      <c r="AP94" s="902">
        <v>492</v>
      </c>
    </row>
    <row r="95" spans="1:42" s="6" customFormat="1" ht="15" customHeight="1" x14ac:dyDescent="0.25">
      <c r="A95" s="5162"/>
      <c r="B95" s="5159"/>
      <c r="C95" s="847" t="s">
        <v>468</v>
      </c>
      <c r="D95" s="900">
        <v>468</v>
      </c>
      <c r="E95" s="901">
        <v>483</v>
      </c>
      <c r="F95" s="902">
        <v>491</v>
      </c>
      <c r="G95" s="900">
        <v>488</v>
      </c>
      <c r="H95" s="901">
        <v>517</v>
      </c>
      <c r="I95" s="903">
        <v>553</v>
      </c>
      <c r="J95" s="904">
        <v>527</v>
      </c>
      <c r="K95" s="905">
        <v>541</v>
      </c>
      <c r="L95" s="903">
        <v>554</v>
      </c>
      <c r="M95" s="904">
        <v>525</v>
      </c>
      <c r="N95" s="901">
        <v>528</v>
      </c>
      <c r="O95" s="902">
        <v>551</v>
      </c>
      <c r="P95" s="904">
        <v>514</v>
      </c>
      <c r="Q95" s="906">
        <v>560</v>
      </c>
      <c r="R95" s="902">
        <v>539</v>
      </c>
      <c r="S95" s="904">
        <v>488</v>
      </c>
      <c r="T95" s="906">
        <v>515</v>
      </c>
      <c r="U95" s="902">
        <v>489</v>
      </c>
      <c r="V95" s="904">
        <v>441</v>
      </c>
      <c r="W95" s="906">
        <v>449</v>
      </c>
      <c r="X95" s="902">
        <v>426</v>
      </c>
      <c r="Y95" s="907">
        <v>409</v>
      </c>
      <c r="Z95" s="908">
        <v>439</v>
      </c>
      <c r="AA95" s="902">
        <v>433</v>
      </c>
      <c r="AB95" s="907">
        <v>392</v>
      </c>
      <c r="AC95" s="908">
        <v>417</v>
      </c>
      <c r="AD95" s="902">
        <v>447</v>
      </c>
      <c r="AE95" s="907">
        <v>386</v>
      </c>
      <c r="AF95" s="908">
        <v>433</v>
      </c>
      <c r="AG95" s="902">
        <v>458</v>
      </c>
      <c r="AH95" s="907">
        <v>433</v>
      </c>
      <c r="AI95" s="908">
        <v>436</v>
      </c>
      <c r="AJ95" s="902">
        <v>483</v>
      </c>
      <c r="AK95" s="907">
        <v>424</v>
      </c>
      <c r="AL95" s="908">
        <v>462</v>
      </c>
      <c r="AM95" s="902">
        <v>495</v>
      </c>
      <c r="AN95" s="907">
        <v>475</v>
      </c>
      <c r="AO95" s="908">
        <v>502</v>
      </c>
      <c r="AP95" s="902">
        <v>528</v>
      </c>
    </row>
    <row r="96" spans="1:42" s="6" customFormat="1" ht="15" customHeight="1" x14ac:dyDescent="0.25">
      <c r="A96" s="5162"/>
      <c r="B96" s="5159"/>
      <c r="C96" s="813" t="s">
        <v>500</v>
      </c>
      <c r="D96" s="814">
        <v>220</v>
      </c>
      <c r="E96" s="855">
        <v>234</v>
      </c>
      <c r="F96" s="910">
        <v>261</v>
      </c>
      <c r="G96" s="854">
        <v>227</v>
      </c>
      <c r="H96" s="855">
        <v>247</v>
      </c>
      <c r="I96" s="910">
        <v>286</v>
      </c>
      <c r="J96" s="814">
        <v>264</v>
      </c>
      <c r="K96" s="815">
        <v>288</v>
      </c>
      <c r="L96" s="910">
        <v>305</v>
      </c>
      <c r="M96" s="814">
        <v>281</v>
      </c>
      <c r="N96" s="815">
        <v>284</v>
      </c>
      <c r="O96" s="910">
        <v>319</v>
      </c>
      <c r="P96" s="814">
        <v>284</v>
      </c>
      <c r="Q96" s="815">
        <v>327</v>
      </c>
      <c r="R96" s="910">
        <v>343</v>
      </c>
      <c r="S96" s="814">
        <v>318</v>
      </c>
      <c r="T96" s="815">
        <v>344</v>
      </c>
      <c r="U96" s="910">
        <v>353</v>
      </c>
      <c r="V96" s="814">
        <v>321</v>
      </c>
      <c r="W96" s="815">
        <v>366</v>
      </c>
      <c r="X96" s="910">
        <v>382</v>
      </c>
      <c r="Y96" s="814">
        <v>357</v>
      </c>
      <c r="Z96" s="815">
        <v>369</v>
      </c>
      <c r="AA96" s="910">
        <v>377</v>
      </c>
      <c r="AB96" s="817">
        <v>353</v>
      </c>
      <c r="AC96" s="815">
        <v>360</v>
      </c>
      <c r="AD96" s="910">
        <v>401</v>
      </c>
      <c r="AE96" s="817">
        <v>371</v>
      </c>
      <c r="AF96" s="815">
        <v>399</v>
      </c>
      <c r="AG96" s="910">
        <v>411</v>
      </c>
      <c r="AH96" s="817">
        <v>384</v>
      </c>
      <c r="AI96" s="815">
        <v>403</v>
      </c>
      <c r="AJ96" s="910">
        <v>402</v>
      </c>
      <c r="AK96" s="817">
        <v>362</v>
      </c>
      <c r="AL96" s="815">
        <v>403</v>
      </c>
      <c r="AM96" s="910">
        <v>397</v>
      </c>
      <c r="AN96" s="817">
        <v>382</v>
      </c>
      <c r="AO96" s="815">
        <v>362</v>
      </c>
      <c r="AP96" s="910">
        <v>398</v>
      </c>
    </row>
    <row r="97" spans="1:42" s="6" customFormat="1" ht="15" customHeight="1" x14ac:dyDescent="0.2">
      <c r="A97" s="5162"/>
      <c r="B97" s="5160"/>
      <c r="C97" s="874" t="s">
        <v>160</v>
      </c>
      <c r="D97" s="925">
        <f>SUM(D93:D96)</f>
        <v>2034</v>
      </c>
      <c r="E97" s="926">
        <f t="shared" ref="E97:AG97" si="46">SUM(E93:E96)</f>
        <v>2150</v>
      </c>
      <c r="F97" s="927">
        <f t="shared" si="46"/>
        <v>2350</v>
      </c>
      <c r="G97" s="925">
        <f t="shared" si="46"/>
        <v>2141</v>
      </c>
      <c r="H97" s="926">
        <f t="shared" si="46"/>
        <v>2352</v>
      </c>
      <c r="I97" s="927">
        <f t="shared" si="46"/>
        <v>2463</v>
      </c>
      <c r="J97" s="925">
        <f t="shared" si="46"/>
        <v>2342</v>
      </c>
      <c r="K97" s="926">
        <f t="shared" si="46"/>
        <v>2499</v>
      </c>
      <c r="L97" s="927">
        <f t="shared" si="46"/>
        <v>2562</v>
      </c>
      <c r="M97" s="925">
        <f t="shared" si="46"/>
        <v>2437</v>
      </c>
      <c r="N97" s="926">
        <f t="shared" si="46"/>
        <v>2537</v>
      </c>
      <c r="O97" s="927">
        <f t="shared" si="46"/>
        <v>2555</v>
      </c>
      <c r="P97" s="925">
        <f t="shared" si="46"/>
        <v>2405</v>
      </c>
      <c r="Q97" s="926">
        <f t="shared" si="46"/>
        <v>2588</v>
      </c>
      <c r="R97" s="927">
        <f t="shared" si="46"/>
        <v>2624</v>
      </c>
      <c r="S97" s="925">
        <f t="shared" si="46"/>
        <v>2476</v>
      </c>
      <c r="T97" s="926">
        <f t="shared" si="46"/>
        <v>2556</v>
      </c>
      <c r="U97" s="927">
        <f t="shared" si="46"/>
        <v>2508</v>
      </c>
      <c r="V97" s="925">
        <f t="shared" si="46"/>
        <v>2360</v>
      </c>
      <c r="W97" s="926">
        <f t="shared" si="46"/>
        <v>2503</v>
      </c>
      <c r="X97" s="927">
        <f t="shared" si="46"/>
        <v>2427</v>
      </c>
      <c r="Y97" s="925">
        <f t="shared" si="46"/>
        <v>2344</v>
      </c>
      <c r="Z97" s="926">
        <f t="shared" si="46"/>
        <v>2383</v>
      </c>
      <c r="AA97" s="927">
        <f t="shared" si="46"/>
        <v>2400</v>
      </c>
      <c r="AB97" s="925">
        <f t="shared" si="46"/>
        <v>2192</v>
      </c>
      <c r="AC97" s="926">
        <f t="shared" si="46"/>
        <v>2294</v>
      </c>
      <c r="AD97" s="927">
        <f t="shared" si="46"/>
        <v>2429</v>
      </c>
      <c r="AE97" s="925">
        <f t="shared" si="46"/>
        <v>2222</v>
      </c>
      <c r="AF97" s="926">
        <f t="shared" si="46"/>
        <v>2342</v>
      </c>
      <c r="AG97" s="927">
        <f t="shared" si="46"/>
        <v>2430</v>
      </c>
      <c r="AH97" s="925">
        <f t="shared" ref="AH97:AM97" si="47">SUM(AH93:AH96)</f>
        <v>2274</v>
      </c>
      <c r="AI97" s="926">
        <f t="shared" si="47"/>
        <v>2355</v>
      </c>
      <c r="AJ97" s="927">
        <f t="shared" si="47"/>
        <v>2454</v>
      </c>
      <c r="AK97" s="925">
        <f t="shared" si="47"/>
        <v>2189</v>
      </c>
      <c r="AL97" s="926">
        <f t="shared" si="47"/>
        <v>2361</v>
      </c>
      <c r="AM97" s="927">
        <f t="shared" si="47"/>
        <v>2423</v>
      </c>
      <c r="AN97" s="925">
        <f t="shared" ref="AN97:AP97" si="48">SUM(AN93:AN96)</f>
        <v>2299</v>
      </c>
      <c r="AO97" s="926">
        <f t="shared" si="48"/>
        <v>2308</v>
      </c>
      <c r="AP97" s="927">
        <f t="shared" si="48"/>
        <v>2459</v>
      </c>
    </row>
    <row r="98" spans="1:42" s="6" customFormat="1" ht="15" customHeight="1" x14ac:dyDescent="0.25">
      <c r="A98" s="5163"/>
      <c r="B98" s="4009"/>
      <c r="C98" s="4010" t="s">
        <v>450</v>
      </c>
      <c r="D98" s="4011">
        <f>SUM(D97,D92,D83)</f>
        <v>10864</v>
      </c>
      <c r="E98" s="4012">
        <f t="shared" ref="E98:AG98" si="49">SUM(E97,E92,E83)</f>
        <v>11321</v>
      </c>
      <c r="F98" s="4013">
        <f t="shared" si="49"/>
        <v>11859</v>
      </c>
      <c r="G98" s="4011">
        <f t="shared" si="49"/>
        <v>11046</v>
      </c>
      <c r="H98" s="4012">
        <f t="shared" si="49"/>
        <v>12184</v>
      </c>
      <c r="I98" s="4013">
        <f t="shared" si="49"/>
        <v>12916</v>
      </c>
      <c r="J98" s="4011">
        <f t="shared" si="49"/>
        <v>12100</v>
      </c>
      <c r="K98" s="4012">
        <f t="shared" si="49"/>
        <v>13235</v>
      </c>
      <c r="L98" s="4013">
        <f t="shared" si="49"/>
        <v>13875</v>
      </c>
      <c r="M98" s="4011">
        <f t="shared" si="49"/>
        <v>12949</v>
      </c>
      <c r="N98" s="4012">
        <f t="shared" si="49"/>
        <v>13788</v>
      </c>
      <c r="O98" s="4013">
        <f t="shared" si="49"/>
        <v>14227</v>
      </c>
      <c r="P98" s="4011">
        <f t="shared" si="49"/>
        <v>13315</v>
      </c>
      <c r="Q98" s="4012">
        <f t="shared" si="49"/>
        <v>14049</v>
      </c>
      <c r="R98" s="4013">
        <f t="shared" si="49"/>
        <v>14343</v>
      </c>
      <c r="S98" s="4011">
        <f t="shared" si="49"/>
        <v>13363</v>
      </c>
      <c r="T98" s="4012">
        <f t="shared" si="49"/>
        <v>13631</v>
      </c>
      <c r="U98" s="4013">
        <f t="shared" si="49"/>
        <v>13745</v>
      </c>
      <c r="V98" s="4011">
        <f t="shared" si="49"/>
        <v>12876</v>
      </c>
      <c r="W98" s="4012">
        <f t="shared" si="49"/>
        <v>13545</v>
      </c>
      <c r="X98" s="4013">
        <f t="shared" si="49"/>
        <v>13387</v>
      </c>
      <c r="Y98" s="4011">
        <f t="shared" si="49"/>
        <v>12620</v>
      </c>
      <c r="Z98" s="4012">
        <f t="shared" si="49"/>
        <v>13200</v>
      </c>
      <c r="AA98" s="4013">
        <f t="shared" si="49"/>
        <v>13485</v>
      </c>
      <c r="AB98" s="4011">
        <f t="shared" si="49"/>
        <v>12419</v>
      </c>
      <c r="AC98" s="4012">
        <f t="shared" si="49"/>
        <v>12969</v>
      </c>
      <c r="AD98" s="4013">
        <f t="shared" si="49"/>
        <v>13456</v>
      </c>
      <c r="AE98" s="4011">
        <f t="shared" si="49"/>
        <v>12325</v>
      </c>
      <c r="AF98" s="4012">
        <f t="shared" si="49"/>
        <v>12970</v>
      </c>
      <c r="AG98" s="4013">
        <f t="shared" si="49"/>
        <v>13432</v>
      </c>
      <c r="AH98" s="4011">
        <f t="shared" ref="AH98:AM98" si="50">SUM(AH97,AH92,AH83)</f>
        <v>12555</v>
      </c>
      <c r="AI98" s="4012">
        <f t="shared" si="50"/>
        <v>13166</v>
      </c>
      <c r="AJ98" s="4013">
        <f t="shared" si="50"/>
        <v>13491</v>
      </c>
      <c r="AK98" s="4011">
        <f t="shared" si="50"/>
        <v>11918</v>
      </c>
      <c r="AL98" s="4012">
        <f t="shared" si="50"/>
        <v>13218</v>
      </c>
      <c r="AM98" s="4013">
        <f t="shared" si="50"/>
        <v>13567</v>
      </c>
      <c r="AN98" s="4011">
        <f t="shared" ref="AN98:AP98" si="51">SUM(AN97,AN92,AN83)</f>
        <v>12593</v>
      </c>
      <c r="AO98" s="4012">
        <f t="shared" si="51"/>
        <v>13114</v>
      </c>
      <c r="AP98" s="4013">
        <f t="shared" si="51"/>
        <v>13624</v>
      </c>
    </row>
    <row r="99" spans="1:42" s="6" customFormat="1" ht="15" customHeight="1" x14ac:dyDescent="0.2"/>
    <row r="100" spans="1:42" s="7" customFormat="1" ht="15" x14ac:dyDescent="0.25">
      <c r="B100" s="5153" t="s">
        <v>76</v>
      </c>
      <c r="C100" s="5154"/>
      <c r="D100" s="597">
        <f>SUM(D25,D40,D70,D76,D98)</f>
        <v>31801</v>
      </c>
      <c r="E100" s="968">
        <f t="shared" ref="E100:AG100" si="52">SUM(E25,E40,E70,E76,E98)</f>
        <v>32394</v>
      </c>
      <c r="F100" s="969">
        <f t="shared" si="52"/>
        <v>34309</v>
      </c>
      <c r="G100" s="597">
        <f t="shared" si="52"/>
        <v>31650</v>
      </c>
      <c r="H100" s="968">
        <f t="shared" si="52"/>
        <v>33022</v>
      </c>
      <c r="I100" s="969">
        <f t="shared" si="52"/>
        <v>35567</v>
      </c>
      <c r="J100" s="597">
        <f t="shared" si="52"/>
        <v>32915</v>
      </c>
      <c r="K100" s="968">
        <f t="shared" si="52"/>
        <v>34545</v>
      </c>
      <c r="L100" s="969">
        <f t="shared" si="52"/>
        <v>37008</v>
      </c>
      <c r="M100" s="597">
        <f t="shared" si="52"/>
        <v>34125</v>
      </c>
      <c r="N100" s="968">
        <f t="shared" si="52"/>
        <v>35487</v>
      </c>
      <c r="O100" s="969">
        <f t="shared" si="52"/>
        <v>37745</v>
      </c>
      <c r="P100" s="597">
        <f t="shared" si="52"/>
        <v>35107</v>
      </c>
      <c r="Q100" s="968">
        <f t="shared" si="52"/>
        <v>36252</v>
      </c>
      <c r="R100" s="969">
        <f t="shared" si="52"/>
        <v>38403</v>
      </c>
      <c r="S100" s="597">
        <f t="shared" si="52"/>
        <v>35784</v>
      </c>
      <c r="T100" s="968">
        <f t="shared" si="52"/>
        <v>36078</v>
      </c>
      <c r="U100" s="969">
        <f t="shared" si="52"/>
        <v>38365</v>
      </c>
      <c r="V100" s="597">
        <f t="shared" si="52"/>
        <v>36212</v>
      </c>
      <c r="W100" s="968">
        <f t="shared" si="52"/>
        <v>37543</v>
      </c>
      <c r="X100" s="969">
        <f t="shared" si="52"/>
        <v>38910</v>
      </c>
      <c r="Y100" s="597">
        <f t="shared" si="52"/>
        <v>36709</v>
      </c>
      <c r="Z100" s="968">
        <f t="shared" si="52"/>
        <v>38127</v>
      </c>
      <c r="AA100" s="969">
        <f t="shared" si="52"/>
        <v>40712</v>
      </c>
      <c r="AB100" s="597">
        <f t="shared" si="52"/>
        <v>37381</v>
      </c>
      <c r="AC100" s="968">
        <f t="shared" si="52"/>
        <v>39436</v>
      </c>
      <c r="AD100" s="969">
        <f t="shared" si="52"/>
        <v>41235</v>
      </c>
      <c r="AE100" s="597">
        <f t="shared" si="52"/>
        <v>38652</v>
      </c>
      <c r="AF100" s="968">
        <f t="shared" si="52"/>
        <v>40425</v>
      </c>
      <c r="AG100" s="969">
        <f t="shared" si="52"/>
        <v>42242</v>
      </c>
      <c r="AH100" s="597">
        <f t="shared" ref="AH100:AM100" si="53">SUM(AH25,AH40,AH70,AH76,AH98)</f>
        <v>39886</v>
      </c>
      <c r="AI100" s="968">
        <f t="shared" si="53"/>
        <v>41530</v>
      </c>
      <c r="AJ100" s="969">
        <f t="shared" si="53"/>
        <v>43762</v>
      </c>
      <c r="AK100" s="597">
        <f t="shared" si="53"/>
        <v>39805</v>
      </c>
      <c r="AL100" s="968">
        <f t="shared" si="53"/>
        <v>41649</v>
      </c>
      <c r="AM100" s="969">
        <f t="shared" si="53"/>
        <v>44301</v>
      </c>
      <c r="AN100" s="597">
        <f t="shared" ref="AN100:AP100" si="54">SUM(AN25,AN40,AN70,AN76,AN98)</f>
        <v>40889</v>
      </c>
      <c r="AO100" s="968">
        <f t="shared" si="54"/>
        <v>41926</v>
      </c>
      <c r="AP100" s="969">
        <f t="shared" si="54"/>
        <v>44712</v>
      </c>
    </row>
    <row r="101" spans="1:42" s="8" customFormat="1" ht="15" x14ac:dyDescent="0.25">
      <c r="B101" s="5152"/>
      <c r="C101" s="5152"/>
      <c r="D101" s="5152"/>
      <c r="E101" s="5152"/>
      <c r="F101" s="7"/>
      <c r="I101" s="7"/>
      <c r="L101" s="7"/>
      <c r="O101" s="7"/>
      <c r="R101" s="7"/>
    </row>
    <row r="102" spans="1:42" s="8" customFormat="1" ht="15" x14ac:dyDescent="0.25">
      <c r="B102" s="318" t="s">
        <v>0</v>
      </c>
      <c r="C102" s="142"/>
      <c r="F102" s="7"/>
      <c r="I102" s="7"/>
      <c r="L102" s="7"/>
      <c r="O102" s="7"/>
      <c r="R102" s="7"/>
    </row>
    <row r="105" spans="1:42" x14ac:dyDescent="0.2">
      <c r="Y105" s="10"/>
      <c r="Z105" s="10"/>
      <c r="AA105" s="10"/>
    </row>
  </sheetData>
  <mergeCells count="37">
    <mergeCell ref="P3:R3"/>
    <mergeCell ref="S3:U3"/>
    <mergeCell ref="V3:X3"/>
    <mergeCell ref="AK3:AM3"/>
    <mergeCell ref="AH3:AJ3"/>
    <mergeCell ref="Y3:AA3"/>
    <mergeCell ref="AB3:AD3"/>
    <mergeCell ref="AE3:AG3"/>
    <mergeCell ref="B3:B4"/>
    <mergeCell ref="C3:C4"/>
    <mergeCell ref="G3:I3"/>
    <mergeCell ref="J3:L3"/>
    <mergeCell ref="M3:O3"/>
    <mergeCell ref="B101:E101"/>
    <mergeCell ref="B100:C100"/>
    <mergeCell ref="A71:A76"/>
    <mergeCell ref="B77:B83"/>
    <mergeCell ref="B84:B92"/>
    <mergeCell ref="B93:B97"/>
    <mergeCell ref="A77:A98"/>
    <mergeCell ref="B72:B74"/>
    <mergeCell ref="AN3:AP3"/>
    <mergeCell ref="A1:C1"/>
    <mergeCell ref="A41:A70"/>
    <mergeCell ref="B41:B50"/>
    <mergeCell ref="B51:B62"/>
    <mergeCell ref="B63:B69"/>
    <mergeCell ref="A5:A25"/>
    <mergeCell ref="B5:B15"/>
    <mergeCell ref="B16:B20"/>
    <mergeCell ref="B21:B24"/>
    <mergeCell ref="A26:A40"/>
    <mergeCell ref="B26:B30"/>
    <mergeCell ref="B31:B34"/>
    <mergeCell ref="B35:B39"/>
    <mergeCell ref="D3:F3"/>
    <mergeCell ref="A3:A4"/>
  </mergeCells>
  <printOptions horizontalCentered="1" verticalCentered="1"/>
  <pageMargins left="0.27559055118110237" right="0.27559055118110237" top="0.19685039370078741" bottom="0.19685039370078741" header="0" footer="0.31496062992125984"/>
  <pageSetup scale="55" pageOrder="overThenDown" orientation="landscape" horizontalDpi="1200" verticalDpi="1200" r:id="rId1"/>
  <headerFooter alignWithMargins="0"/>
  <rowBreaks count="1" manualBreakCount="1">
    <brk id="70" max="38" man="1"/>
  </rowBreaks>
  <colBreaks count="1" manualBreakCount="1">
    <brk id="21" max="101" man="1"/>
  </colBreaks>
  <ignoredErrors>
    <ignoredError sqref="AC74:AG74 AH74:AM74 AN74:AP74" formulaRange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AO90"/>
  <sheetViews>
    <sheetView showGridLines="0" zoomScaleNormal="100" zoomScaleSheetLayoutView="50" workbookViewId="0">
      <pane xSplit="2" ySplit="5" topLeftCell="Y18" activePane="bottomRight" state="frozen"/>
      <selection pane="topRight" activeCell="D1" sqref="D1"/>
      <selection pane="bottomLeft" activeCell="A8" sqref="A8"/>
      <selection pane="bottomRight" activeCell="AO37" activeCellId="5" sqref="AO9 AO14 AO19 AO24 AO29 AO37"/>
    </sheetView>
  </sheetViews>
  <sheetFormatPr baseColWidth="10" defaultRowHeight="12.75" x14ac:dyDescent="0.2"/>
  <cols>
    <col min="1" max="1" width="16.5703125" customWidth="1"/>
    <col min="2" max="2" width="9.7109375" bestFit="1" customWidth="1"/>
    <col min="3" max="41" width="8.7109375" customWidth="1"/>
    <col min="256" max="256" width="1.7109375" customWidth="1"/>
    <col min="257" max="257" width="18.7109375" customWidth="1"/>
    <col min="258" max="258" width="16.140625" customWidth="1"/>
    <col min="259" max="279" width="12.7109375" customWidth="1"/>
    <col min="512" max="512" width="1.7109375" customWidth="1"/>
    <col min="513" max="513" width="18.7109375" customWidth="1"/>
    <col min="514" max="514" width="16.140625" customWidth="1"/>
    <col min="515" max="535" width="12.7109375" customWidth="1"/>
    <col min="768" max="768" width="1.7109375" customWidth="1"/>
    <col min="769" max="769" width="18.7109375" customWidth="1"/>
    <col min="770" max="770" width="16.140625" customWidth="1"/>
    <col min="771" max="791" width="12.7109375" customWidth="1"/>
    <col min="1024" max="1024" width="1.7109375" customWidth="1"/>
    <col min="1025" max="1025" width="18.7109375" customWidth="1"/>
    <col min="1026" max="1026" width="16.140625" customWidth="1"/>
    <col min="1027" max="1047" width="12.7109375" customWidth="1"/>
    <col min="1280" max="1280" width="1.7109375" customWidth="1"/>
    <col min="1281" max="1281" width="18.7109375" customWidth="1"/>
    <col min="1282" max="1282" width="16.140625" customWidth="1"/>
    <col min="1283" max="1303" width="12.7109375" customWidth="1"/>
    <col min="1536" max="1536" width="1.7109375" customWidth="1"/>
    <col min="1537" max="1537" width="18.7109375" customWidth="1"/>
    <col min="1538" max="1538" width="16.140625" customWidth="1"/>
    <col min="1539" max="1559" width="12.7109375" customWidth="1"/>
    <col min="1792" max="1792" width="1.7109375" customWidth="1"/>
    <col min="1793" max="1793" width="18.7109375" customWidth="1"/>
    <col min="1794" max="1794" width="16.140625" customWidth="1"/>
    <col min="1795" max="1815" width="12.7109375" customWidth="1"/>
    <col min="2048" max="2048" width="1.7109375" customWidth="1"/>
    <col min="2049" max="2049" width="18.7109375" customWidth="1"/>
    <col min="2050" max="2050" width="16.140625" customWidth="1"/>
    <col min="2051" max="2071" width="12.7109375" customWidth="1"/>
    <col min="2304" max="2304" width="1.7109375" customWidth="1"/>
    <col min="2305" max="2305" width="18.7109375" customWidth="1"/>
    <col min="2306" max="2306" width="16.140625" customWidth="1"/>
    <col min="2307" max="2327" width="12.7109375" customWidth="1"/>
    <col min="2560" max="2560" width="1.7109375" customWidth="1"/>
    <col min="2561" max="2561" width="18.7109375" customWidth="1"/>
    <col min="2562" max="2562" width="16.140625" customWidth="1"/>
    <col min="2563" max="2583" width="12.7109375" customWidth="1"/>
    <col min="2816" max="2816" width="1.7109375" customWidth="1"/>
    <col min="2817" max="2817" width="18.7109375" customWidth="1"/>
    <col min="2818" max="2818" width="16.140625" customWidth="1"/>
    <col min="2819" max="2839" width="12.7109375" customWidth="1"/>
    <col min="3072" max="3072" width="1.7109375" customWidth="1"/>
    <col min="3073" max="3073" width="18.7109375" customWidth="1"/>
    <col min="3074" max="3074" width="16.140625" customWidth="1"/>
    <col min="3075" max="3095" width="12.7109375" customWidth="1"/>
    <col min="3328" max="3328" width="1.7109375" customWidth="1"/>
    <col min="3329" max="3329" width="18.7109375" customWidth="1"/>
    <col min="3330" max="3330" width="16.140625" customWidth="1"/>
    <col min="3331" max="3351" width="12.7109375" customWidth="1"/>
    <col min="3584" max="3584" width="1.7109375" customWidth="1"/>
    <col min="3585" max="3585" width="18.7109375" customWidth="1"/>
    <col min="3586" max="3586" width="16.140625" customWidth="1"/>
    <col min="3587" max="3607" width="12.7109375" customWidth="1"/>
    <col min="3840" max="3840" width="1.7109375" customWidth="1"/>
    <col min="3841" max="3841" width="18.7109375" customWidth="1"/>
    <col min="3842" max="3842" width="16.140625" customWidth="1"/>
    <col min="3843" max="3863" width="12.7109375" customWidth="1"/>
    <col min="4096" max="4096" width="1.7109375" customWidth="1"/>
    <col min="4097" max="4097" width="18.7109375" customWidth="1"/>
    <col min="4098" max="4098" width="16.140625" customWidth="1"/>
    <col min="4099" max="4119" width="12.7109375" customWidth="1"/>
    <col min="4352" max="4352" width="1.7109375" customWidth="1"/>
    <col min="4353" max="4353" width="18.7109375" customWidth="1"/>
    <col min="4354" max="4354" width="16.140625" customWidth="1"/>
    <col min="4355" max="4375" width="12.7109375" customWidth="1"/>
    <col min="4608" max="4608" width="1.7109375" customWidth="1"/>
    <col min="4609" max="4609" width="18.7109375" customWidth="1"/>
    <col min="4610" max="4610" width="16.140625" customWidth="1"/>
    <col min="4611" max="4631" width="12.7109375" customWidth="1"/>
    <col min="4864" max="4864" width="1.7109375" customWidth="1"/>
    <col min="4865" max="4865" width="18.7109375" customWidth="1"/>
    <col min="4866" max="4866" width="16.140625" customWidth="1"/>
    <col min="4867" max="4887" width="12.7109375" customWidth="1"/>
    <col min="5120" max="5120" width="1.7109375" customWidth="1"/>
    <col min="5121" max="5121" width="18.7109375" customWidth="1"/>
    <col min="5122" max="5122" width="16.140625" customWidth="1"/>
    <col min="5123" max="5143" width="12.7109375" customWidth="1"/>
    <col min="5376" max="5376" width="1.7109375" customWidth="1"/>
    <col min="5377" max="5377" width="18.7109375" customWidth="1"/>
    <col min="5378" max="5378" width="16.140625" customWidth="1"/>
    <col min="5379" max="5399" width="12.7109375" customWidth="1"/>
    <col min="5632" max="5632" width="1.7109375" customWidth="1"/>
    <col min="5633" max="5633" width="18.7109375" customWidth="1"/>
    <col min="5634" max="5634" width="16.140625" customWidth="1"/>
    <col min="5635" max="5655" width="12.7109375" customWidth="1"/>
    <col min="5888" max="5888" width="1.7109375" customWidth="1"/>
    <col min="5889" max="5889" width="18.7109375" customWidth="1"/>
    <col min="5890" max="5890" width="16.140625" customWidth="1"/>
    <col min="5891" max="5911" width="12.7109375" customWidth="1"/>
    <col min="6144" max="6144" width="1.7109375" customWidth="1"/>
    <col min="6145" max="6145" width="18.7109375" customWidth="1"/>
    <col min="6146" max="6146" width="16.140625" customWidth="1"/>
    <col min="6147" max="6167" width="12.7109375" customWidth="1"/>
    <col min="6400" max="6400" width="1.7109375" customWidth="1"/>
    <col min="6401" max="6401" width="18.7109375" customWidth="1"/>
    <col min="6402" max="6402" width="16.140625" customWidth="1"/>
    <col min="6403" max="6423" width="12.7109375" customWidth="1"/>
    <col min="6656" max="6656" width="1.7109375" customWidth="1"/>
    <col min="6657" max="6657" width="18.7109375" customWidth="1"/>
    <col min="6658" max="6658" width="16.140625" customWidth="1"/>
    <col min="6659" max="6679" width="12.7109375" customWidth="1"/>
    <col min="6912" max="6912" width="1.7109375" customWidth="1"/>
    <col min="6913" max="6913" width="18.7109375" customWidth="1"/>
    <col min="6914" max="6914" width="16.140625" customWidth="1"/>
    <col min="6915" max="6935" width="12.7109375" customWidth="1"/>
    <col min="7168" max="7168" width="1.7109375" customWidth="1"/>
    <col min="7169" max="7169" width="18.7109375" customWidth="1"/>
    <col min="7170" max="7170" width="16.140625" customWidth="1"/>
    <col min="7171" max="7191" width="12.7109375" customWidth="1"/>
    <col min="7424" max="7424" width="1.7109375" customWidth="1"/>
    <col min="7425" max="7425" width="18.7109375" customWidth="1"/>
    <col min="7426" max="7426" width="16.140625" customWidth="1"/>
    <col min="7427" max="7447" width="12.7109375" customWidth="1"/>
    <col min="7680" max="7680" width="1.7109375" customWidth="1"/>
    <col min="7681" max="7681" width="18.7109375" customWidth="1"/>
    <col min="7682" max="7682" width="16.140625" customWidth="1"/>
    <col min="7683" max="7703" width="12.7109375" customWidth="1"/>
    <col min="7936" max="7936" width="1.7109375" customWidth="1"/>
    <col min="7937" max="7937" width="18.7109375" customWidth="1"/>
    <col min="7938" max="7938" width="16.140625" customWidth="1"/>
    <col min="7939" max="7959" width="12.7109375" customWidth="1"/>
    <col min="8192" max="8192" width="1.7109375" customWidth="1"/>
    <col min="8193" max="8193" width="18.7109375" customWidth="1"/>
    <col min="8194" max="8194" width="16.140625" customWidth="1"/>
    <col min="8195" max="8215" width="12.7109375" customWidth="1"/>
    <col min="8448" max="8448" width="1.7109375" customWidth="1"/>
    <col min="8449" max="8449" width="18.7109375" customWidth="1"/>
    <col min="8450" max="8450" width="16.140625" customWidth="1"/>
    <col min="8451" max="8471" width="12.7109375" customWidth="1"/>
    <col min="8704" max="8704" width="1.7109375" customWidth="1"/>
    <col min="8705" max="8705" width="18.7109375" customWidth="1"/>
    <col min="8706" max="8706" width="16.140625" customWidth="1"/>
    <col min="8707" max="8727" width="12.7109375" customWidth="1"/>
    <col min="8960" max="8960" width="1.7109375" customWidth="1"/>
    <col min="8961" max="8961" width="18.7109375" customWidth="1"/>
    <col min="8962" max="8962" width="16.140625" customWidth="1"/>
    <col min="8963" max="8983" width="12.7109375" customWidth="1"/>
    <col min="9216" max="9216" width="1.7109375" customWidth="1"/>
    <col min="9217" max="9217" width="18.7109375" customWidth="1"/>
    <col min="9218" max="9218" width="16.140625" customWidth="1"/>
    <col min="9219" max="9239" width="12.7109375" customWidth="1"/>
    <col min="9472" max="9472" width="1.7109375" customWidth="1"/>
    <col min="9473" max="9473" width="18.7109375" customWidth="1"/>
    <col min="9474" max="9474" width="16.140625" customWidth="1"/>
    <col min="9475" max="9495" width="12.7109375" customWidth="1"/>
    <col min="9728" max="9728" width="1.7109375" customWidth="1"/>
    <col min="9729" max="9729" width="18.7109375" customWidth="1"/>
    <col min="9730" max="9730" width="16.140625" customWidth="1"/>
    <col min="9731" max="9751" width="12.7109375" customWidth="1"/>
    <col min="9984" max="9984" width="1.7109375" customWidth="1"/>
    <col min="9985" max="9985" width="18.7109375" customWidth="1"/>
    <col min="9986" max="9986" width="16.140625" customWidth="1"/>
    <col min="9987" max="10007" width="12.7109375" customWidth="1"/>
    <col min="10240" max="10240" width="1.7109375" customWidth="1"/>
    <col min="10241" max="10241" width="18.7109375" customWidth="1"/>
    <col min="10242" max="10242" width="16.140625" customWidth="1"/>
    <col min="10243" max="10263" width="12.7109375" customWidth="1"/>
    <col min="10496" max="10496" width="1.7109375" customWidth="1"/>
    <col min="10497" max="10497" width="18.7109375" customWidth="1"/>
    <col min="10498" max="10498" width="16.140625" customWidth="1"/>
    <col min="10499" max="10519" width="12.7109375" customWidth="1"/>
    <col min="10752" max="10752" width="1.7109375" customWidth="1"/>
    <col min="10753" max="10753" width="18.7109375" customWidth="1"/>
    <col min="10754" max="10754" width="16.140625" customWidth="1"/>
    <col min="10755" max="10775" width="12.7109375" customWidth="1"/>
    <col min="11008" max="11008" width="1.7109375" customWidth="1"/>
    <col min="11009" max="11009" width="18.7109375" customWidth="1"/>
    <col min="11010" max="11010" width="16.140625" customWidth="1"/>
    <col min="11011" max="11031" width="12.7109375" customWidth="1"/>
    <col min="11264" max="11264" width="1.7109375" customWidth="1"/>
    <col min="11265" max="11265" width="18.7109375" customWidth="1"/>
    <col min="11266" max="11266" width="16.140625" customWidth="1"/>
    <col min="11267" max="11287" width="12.7109375" customWidth="1"/>
    <col min="11520" max="11520" width="1.7109375" customWidth="1"/>
    <col min="11521" max="11521" width="18.7109375" customWidth="1"/>
    <col min="11522" max="11522" width="16.140625" customWidth="1"/>
    <col min="11523" max="11543" width="12.7109375" customWidth="1"/>
    <col min="11776" max="11776" width="1.7109375" customWidth="1"/>
    <col min="11777" max="11777" width="18.7109375" customWidth="1"/>
    <col min="11778" max="11778" width="16.140625" customWidth="1"/>
    <col min="11779" max="11799" width="12.7109375" customWidth="1"/>
    <col min="12032" max="12032" width="1.7109375" customWidth="1"/>
    <col min="12033" max="12033" width="18.7109375" customWidth="1"/>
    <col min="12034" max="12034" width="16.140625" customWidth="1"/>
    <col min="12035" max="12055" width="12.7109375" customWidth="1"/>
    <col min="12288" max="12288" width="1.7109375" customWidth="1"/>
    <col min="12289" max="12289" width="18.7109375" customWidth="1"/>
    <col min="12290" max="12290" width="16.140625" customWidth="1"/>
    <col min="12291" max="12311" width="12.7109375" customWidth="1"/>
    <col min="12544" max="12544" width="1.7109375" customWidth="1"/>
    <col min="12545" max="12545" width="18.7109375" customWidth="1"/>
    <col min="12546" max="12546" width="16.140625" customWidth="1"/>
    <col min="12547" max="12567" width="12.7109375" customWidth="1"/>
    <col min="12800" max="12800" width="1.7109375" customWidth="1"/>
    <col min="12801" max="12801" width="18.7109375" customWidth="1"/>
    <col min="12802" max="12802" width="16.140625" customWidth="1"/>
    <col min="12803" max="12823" width="12.7109375" customWidth="1"/>
    <col min="13056" max="13056" width="1.7109375" customWidth="1"/>
    <col min="13057" max="13057" width="18.7109375" customWidth="1"/>
    <col min="13058" max="13058" width="16.140625" customWidth="1"/>
    <col min="13059" max="13079" width="12.7109375" customWidth="1"/>
    <col min="13312" max="13312" width="1.7109375" customWidth="1"/>
    <col min="13313" max="13313" width="18.7109375" customWidth="1"/>
    <col min="13314" max="13314" width="16.140625" customWidth="1"/>
    <col min="13315" max="13335" width="12.7109375" customWidth="1"/>
    <col min="13568" max="13568" width="1.7109375" customWidth="1"/>
    <col min="13569" max="13569" width="18.7109375" customWidth="1"/>
    <col min="13570" max="13570" width="16.140625" customWidth="1"/>
    <col min="13571" max="13591" width="12.7109375" customWidth="1"/>
    <col min="13824" max="13824" width="1.7109375" customWidth="1"/>
    <col min="13825" max="13825" width="18.7109375" customWidth="1"/>
    <col min="13826" max="13826" width="16.140625" customWidth="1"/>
    <col min="13827" max="13847" width="12.7109375" customWidth="1"/>
    <col min="14080" max="14080" width="1.7109375" customWidth="1"/>
    <col min="14081" max="14081" width="18.7109375" customWidth="1"/>
    <col min="14082" max="14082" width="16.140625" customWidth="1"/>
    <col min="14083" max="14103" width="12.7109375" customWidth="1"/>
    <col min="14336" max="14336" width="1.7109375" customWidth="1"/>
    <col min="14337" max="14337" width="18.7109375" customWidth="1"/>
    <col min="14338" max="14338" width="16.140625" customWidth="1"/>
    <col min="14339" max="14359" width="12.7109375" customWidth="1"/>
    <col min="14592" max="14592" width="1.7109375" customWidth="1"/>
    <col min="14593" max="14593" width="18.7109375" customWidth="1"/>
    <col min="14594" max="14594" width="16.140625" customWidth="1"/>
    <col min="14595" max="14615" width="12.7109375" customWidth="1"/>
    <col min="14848" max="14848" width="1.7109375" customWidth="1"/>
    <col min="14849" max="14849" width="18.7109375" customWidth="1"/>
    <col min="14850" max="14850" width="16.140625" customWidth="1"/>
    <col min="14851" max="14871" width="12.7109375" customWidth="1"/>
    <col min="15104" max="15104" width="1.7109375" customWidth="1"/>
    <col min="15105" max="15105" width="18.7109375" customWidth="1"/>
    <col min="15106" max="15106" width="16.140625" customWidth="1"/>
    <col min="15107" max="15127" width="12.7109375" customWidth="1"/>
    <col min="15360" max="15360" width="1.7109375" customWidth="1"/>
    <col min="15361" max="15361" width="18.7109375" customWidth="1"/>
    <col min="15362" max="15362" width="16.140625" customWidth="1"/>
    <col min="15363" max="15383" width="12.7109375" customWidth="1"/>
    <col min="15616" max="15616" width="1.7109375" customWidth="1"/>
    <col min="15617" max="15617" width="18.7109375" customWidth="1"/>
    <col min="15618" max="15618" width="16.140625" customWidth="1"/>
    <col min="15619" max="15639" width="12.7109375" customWidth="1"/>
    <col min="15872" max="15872" width="1.7109375" customWidth="1"/>
    <col min="15873" max="15873" width="18.7109375" customWidth="1"/>
    <col min="15874" max="15874" width="16.140625" customWidth="1"/>
    <col min="15875" max="15895" width="12.7109375" customWidth="1"/>
    <col min="16128" max="16128" width="1.7109375" customWidth="1"/>
    <col min="16129" max="16129" width="18.7109375" customWidth="1"/>
    <col min="16130" max="16130" width="16.140625" customWidth="1"/>
    <col min="16131" max="16151" width="12.7109375" customWidth="1"/>
  </cols>
  <sheetData>
    <row r="1" spans="1:41" s="9" customFormat="1" ht="63" customHeight="1" x14ac:dyDescent="0.25">
      <c r="A1" s="5167" t="s">
        <v>1357</v>
      </c>
      <c r="B1" s="5167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</row>
    <row r="2" spans="1:41" s="9" customFormat="1" ht="15.75" x14ac:dyDescent="0.25">
      <c r="A2" s="2380"/>
      <c r="B2" s="2381"/>
      <c r="C2" s="2381"/>
      <c r="D2" s="2381"/>
      <c r="E2" s="2381"/>
      <c r="F2" s="2381"/>
      <c r="G2" s="2381"/>
      <c r="H2" s="2381"/>
      <c r="I2" s="2381"/>
      <c r="J2" s="2381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</row>
    <row r="3" spans="1:41" s="8" customFormat="1" ht="14.25" x14ac:dyDescent="0.2">
      <c r="A3" s="5106" t="s">
        <v>16</v>
      </c>
      <c r="B3" s="5106" t="s">
        <v>4</v>
      </c>
      <c r="C3" s="5141">
        <v>2003</v>
      </c>
      <c r="D3" s="5141"/>
      <c r="E3" s="5141"/>
      <c r="F3" s="5141">
        <v>2004</v>
      </c>
      <c r="G3" s="5141"/>
      <c r="H3" s="5141"/>
      <c r="I3" s="5141">
        <v>2005</v>
      </c>
      <c r="J3" s="5141"/>
      <c r="K3" s="5141"/>
      <c r="L3" s="5141">
        <v>2006</v>
      </c>
      <c r="M3" s="5141"/>
      <c r="N3" s="5141"/>
      <c r="O3" s="5141">
        <v>2007</v>
      </c>
      <c r="P3" s="5141"/>
      <c r="Q3" s="5141"/>
      <c r="R3" s="5141">
        <v>2008</v>
      </c>
      <c r="S3" s="5141"/>
      <c r="T3" s="5141"/>
      <c r="U3" s="5141">
        <v>2009</v>
      </c>
      <c r="V3" s="5141"/>
      <c r="W3" s="5141"/>
      <c r="X3" s="5141">
        <v>2010</v>
      </c>
      <c r="Y3" s="5141"/>
      <c r="Z3" s="5141"/>
      <c r="AA3" s="5141">
        <v>2011</v>
      </c>
      <c r="AB3" s="5141"/>
      <c r="AC3" s="5141"/>
      <c r="AD3" s="5141">
        <v>2012</v>
      </c>
      <c r="AE3" s="5141"/>
      <c r="AF3" s="5141"/>
      <c r="AG3" s="5141">
        <v>2013</v>
      </c>
      <c r="AH3" s="5141"/>
      <c r="AI3" s="5141"/>
      <c r="AJ3" s="5141">
        <v>2014</v>
      </c>
      <c r="AK3" s="5141"/>
      <c r="AL3" s="5141"/>
      <c r="AM3" s="5141">
        <v>2015</v>
      </c>
      <c r="AN3" s="5141"/>
      <c r="AO3" s="5141"/>
    </row>
    <row r="4" spans="1:41" s="5" customFormat="1" ht="15.75" x14ac:dyDescent="0.25">
      <c r="A4" s="5106"/>
      <c r="B4" s="5106"/>
      <c r="C4" s="667" t="s">
        <v>670</v>
      </c>
      <c r="D4" s="1029" t="s">
        <v>668</v>
      </c>
      <c r="E4" s="1029" t="s">
        <v>669</v>
      </c>
      <c r="F4" s="667" t="s">
        <v>670</v>
      </c>
      <c r="G4" s="1029" t="s">
        <v>668</v>
      </c>
      <c r="H4" s="1029" t="s">
        <v>669</v>
      </c>
      <c r="I4" s="667" t="s">
        <v>670</v>
      </c>
      <c r="J4" s="1029" t="s">
        <v>668</v>
      </c>
      <c r="K4" s="1029" t="s">
        <v>669</v>
      </c>
      <c r="L4" s="667" t="s">
        <v>670</v>
      </c>
      <c r="M4" s="1029" t="s">
        <v>668</v>
      </c>
      <c r="N4" s="1029" t="s">
        <v>669</v>
      </c>
      <c r="O4" s="667" t="s">
        <v>670</v>
      </c>
      <c r="P4" s="1029" t="s">
        <v>668</v>
      </c>
      <c r="Q4" s="1029" t="s">
        <v>669</v>
      </c>
      <c r="R4" s="667" t="s">
        <v>670</v>
      </c>
      <c r="S4" s="1029" t="s">
        <v>668</v>
      </c>
      <c r="T4" s="1029" t="s">
        <v>669</v>
      </c>
      <c r="U4" s="667" t="s">
        <v>670</v>
      </c>
      <c r="V4" s="1029" t="s">
        <v>668</v>
      </c>
      <c r="W4" s="1029" t="s">
        <v>669</v>
      </c>
      <c r="X4" s="667" t="s">
        <v>670</v>
      </c>
      <c r="Y4" s="1029" t="s">
        <v>668</v>
      </c>
      <c r="Z4" s="1029" t="s">
        <v>669</v>
      </c>
      <c r="AA4" s="667" t="s">
        <v>670</v>
      </c>
      <c r="AB4" s="1029" t="s">
        <v>668</v>
      </c>
      <c r="AC4" s="1029" t="s">
        <v>669</v>
      </c>
      <c r="AD4" s="667" t="s">
        <v>670</v>
      </c>
      <c r="AE4" s="1029" t="s">
        <v>668</v>
      </c>
      <c r="AF4" s="1029" t="s">
        <v>669</v>
      </c>
      <c r="AG4" s="1835" t="s">
        <v>670</v>
      </c>
      <c r="AH4" s="1837" t="s">
        <v>668</v>
      </c>
      <c r="AI4" s="1836" t="s">
        <v>669</v>
      </c>
      <c r="AJ4" s="2060" t="s">
        <v>670</v>
      </c>
      <c r="AK4" s="2063" t="s">
        <v>668</v>
      </c>
      <c r="AL4" s="2061" t="s">
        <v>669</v>
      </c>
      <c r="AM4" s="2060" t="s">
        <v>670</v>
      </c>
      <c r="AN4" s="2063" t="s">
        <v>668</v>
      </c>
      <c r="AO4" s="2061" t="s">
        <v>669</v>
      </c>
    </row>
    <row r="5" spans="1:41" s="8" customFormat="1" ht="15" x14ac:dyDescent="0.25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Y5" s="252"/>
      <c r="Z5" s="252"/>
      <c r="AA5" s="252"/>
      <c r="AB5" s="252"/>
      <c r="AC5" s="252"/>
      <c r="AD5" s="252"/>
      <c r="AE5" s="252"/>
      <c r="AF5" s="252"/>
      <c r="AG5" s="252"/>
      <c r="AH5" s="252"/>
      <c r="AI5" s="252"/>
      <c r="AJ5" s="252"/>
      <c r="AK5" s="252"/>
      <c r="AL5" s="252"/>
      <c r="AM5" s="252"/>
      <c r="AN5" s="252"/>
      <c r="AO5" s="252"/>
    </row>
    <row r="6" spans="1:41" s="8" customFormat="1" ht="15" x14ac:dyDescent="0.25">
      <c r="A6" s="5037" t="s">
        <v>161</v>
      </c>
      <c r="B6" s="246" t="s">
        <v>5</v>
      </c>
      <c r="C6" s="309">
        <v>4762</v>
      </c>
      <c r="D6" s="310">
        <v>4773</v>
      </c>
      <c r="E6" s="311">
        <v>5160</v>
      </c>
      <c r="F6" s="309">
        <v>4703</v>
      </c>
      <c r="G6" s="310">
        <v>4999</v>
      </c>
      <c r="H6" s="310">
        <v>5578</v>
      </c>
      <c r="I6" s="309">
        <v>5109</v>
      </c>
      <c r="J6" s="310">
        <v>5460</v>
      </c>
      <c r="K6" s="311">
        <v>5803</v>
      </c>
      <c r="L6" s="309">
        <v>5294</v>
      </c>
      <c r="M6" s="310">
        <v>5655</v>
      </c>
      <c r="N6" s="311">
        <v>6089</v>
      </c>
      <c r="O6" s="310">
        <v>5654</v>
      </c>
      <c r="P6" s="310">
        <v>5868</v>
      </c>
      <c r="Q6" s="311">
        <v>6267</v>
      </c>
      <c r="R6" s="310">
        <v>5858</v>
      </c>
      <c r="S6" s="310">
        <v>5932</v>
      </c>
      <c r="T6" s="311">
        <v>6395</v>
      </c>
      <c r="U6" s="309">
        <v>6069</v>
      </c>
      <c r="V6" s="310">
        <v>6432</v>
      </c>
      <c r="W6" s="311">
        <v>6680</v>
      </c>
      <c r="X6" s="309">
        <v>6320</v>
      </c>
      <c r="Y6" s="310">
        <v>6823</v>
      </c>
      <c r="Z6" s="311">
        <v>7272</v>
      </c>
      <c r="AA6" s="309">
        <f>SUM('Matrícula plan'!AB5:AB14)</f>
        <v>6751</v>
      </c>
      <c r="AB6" s="310">
        <f>SUM('Matrícula plan'!AC5:AC14)</f>
        <v>7473</v>
      </c>
      <c r="AC6" s="311">
        <f>SUM('Matrícula plan'!AD5:AD14)</f>
        <v>7261</v>
      </c>
      <c r="AD6" s="309">
        <f>SUM('Matrícula plan'!AE5:AE14)</f>
        <v>6999</v>
      </c>
      <c r="AE6" s="310">
        <f>SUM('Matrícula plan'!AF5:AF14)</f>
        <v>7319</v>
      </c>
      <c r="AF6" s="311">
        <f>SUM('Matrícula plan'!AG5:AG14)</f>
        <v>7200</v>
      </c>
      <c r="AG6" s="309">
        <f>SUM('Matrícula plan'!AH5:AH14)</f>
        <v>6821</v>
      </c>
      <c r="AH6" s="310">
        <f>SUM('Matrícula plan'!AI5:AI14)</f>
        <v>7132</v>
      </c>
      <c r="AI6" s="311">
        <f>SUM('Matrícula plan'!AJ5:AJ14)</f>
        <v>7158</v>
      </c>
      <c r="AJ6" s="309">
        <f>SUM('Matrícula plan'!AK5:AK14)</f>
        <v>6600</v>
      </c>
      <c r="AK6" s="310">
        <f>SUM('Matrícula plan'!AL5:AL14)</f>
        <v>6648</v>
      </c>
      <c r="AL6" s="311">
        <f>SUM('Matrícula plan'!AM5:AM14)</f>
        <v>6918</v>
      </c>
      <c r="AM6" s="309">
        <f>SUM('Matrícula plan'!AN5:AN14)</f>
        <v>6314</v>
      </c>
      <c r="AN6" s="310">
        <f>SUM('Matrícula plan'!AO5:AO14)</f>
        <v>6414</v>
      </c>
      <c r="AO6" s="311">
        <f>SUM('Matrícula plan'!AP5:AP14)</f>
        <v>6643</v>
      </c>
    </row>
    <row r="7" spans="1:41" s="8" customFormat="1" ht="15" x14ac:dyDescent="0.25">
      <c r="A7" s="5038"/>
      <c r="B7" s="247" t="s">
        <v>6</v>
      </c>
      <c r="C7" s="312">
        <v>4148</v>
      </c>
      <c r="D7" s="313">
        <v>4300</v>
      </c>
      <c r="E7" s="314">
        <v>4471</v>
      </c>
      <c r="F7" s="312">
        <v>4082</v>
      </c>
      <c r="G7" s="313">
        <v>4142</v>
      </c>
      <c r="H7" s="313">
        <v>4403</v>
      </c>
      <c r="I7" s="312">
        <v>4099</v>
      </c>
      <c r="J7" s="313">
        <v>4223</v>
      </c>
      <c r="K7" s="314">
        <v>4398</v>
      </c>
      <c r="L7" s="312">
        <v>3976</v>
      </c>
      <c r="M7" s="313">
        <v>4076</v>
      </c>
      <c r="N7" s="314">
        <v>4382</v>
      </c>
      <c r="O7" s="313">
        <v>4074</v>
      </c>
      <c r="P7" s="313">
        <v>4257</v>
      </c>
      <c r="Q7" s="314">
        <v>4362</v>
      </c>
      <c r="R7" s="313">
        <v>4050</v>
      </c>
      <c r="S7" s="313">
        <v>4230</v>
      </c>
      <c r="T7" s="314">
        <v>4443</v>
      </c>
      <c r="U7" s="312">
        <v>4225</v>
      </c>
      <c r="V7" s="313">
        <v>4434</v>
      </c>
      <c r="W7" s="314">
        <v>4569</v>
      </c>
      <c r="X7" s="312">
        <v>4336</v>
      </c>
      <c r="Y7" s="313">
        <v>4649</v>
      </c>
      <c r="Z7" s="314">
        <v>4785</v>
      </c>
      <c r="AA7" s="312">
        <f>SUM('Matrícula plan'!AB16:AB19)</f>
        <v>4449</v>
      </c>
      <c r="AB7" s="313">
        <f>SUM('Matrícula plan'!AC16:AC19)</f>
        <v>4768</v>
      </c>
      <c r="AC7" s="314">
        <f>SUM('Matrícula plan'!AD16:AD19)</f>
        <v>4840</v>
      </c>
      <c r="AD7" s="312">
        <f>SUM('Matrícula plan'!AE16:AE19)</f>
        <v>4624</v>
      </c>
      <c r="AE7" s="313">
        <f>SUM('Matrícula plan'!AF16:AF19)</f>
        <v>5015</v>
      </c>
      <c r="AF7" s="314">
        <f>SUM('Matrícula plan'!AG16:AG19)</f>
        <v>5201</v>
      </c>
      <c r="AG7" s="312">
        <f>SUM('Matrícula plan'!AH16:AH19)</f>
        <v>4806</v>
      </c>
      <c r="AH7" s="313">
        <f>SUM('Matrícula plan'!AI16:AI19)</f>
        <v>5157</v>
      </c>
      <c r="AI7" s="314">
        <f>SUM('Matrícula plan'!AJ16:AJ19)</f>
        <v>5297</v>
      </c>
      <c r="AJ7" s="312">
        <f>SUM('Matrícula plan'!AK16:AK19)</f>
        <v>4815</v>
      </c>
      <c r="AK7" s="313">
        <f>SUM('Matrícula plan'!AL16:AL19)</f>
        <v>5121</v>
      </c>
      <c r="AL7" s="314">
        <f>SUM('Matrícula plan'!AM16:AM19)</f>
        <v>5452</v>
      </c>
      <c r="AM7" s="312">
        <f>SUM('Matrícula plan'!AN16:AN19)</f>
        <v>4970</v>
      </c>
      <c r="AN7" s="313">
        <f>SUM('Matrícula plan'!AO16:AO19)</f>
        <v>5346</v>
      </c>
      <c r="AO7" s="314">
        <f>SUM('Matrícula plan'!AP16:AP19)</f>
        <v>5546</v>
      </c>
    </row>
    <row r="8" spans="1:41" s="8" customFormat="1" ht="15" x14ac:dyDescent="0.25">
      <c r="A8" s="5038"/>
      <c r="B8" s="247" t="s">
        <v>7</v>
      </c>
      <c r="C8" s="312">
        <v>2444</v>
      </c>
      <c r="D8" s="313">
        <v>2563</v>
      </c>
      <c r="E8" s="314">
        <v>2698</v>
      </c>
      <c r="F8" s="312">
        <v>2434</v>
      </c>
      <c r="G8" s="313">
        <v>2553</v>
      </c>
      <c r="H8" s="313">
        <v>2709</v>
      </c>
      <c r="I8" s="312">
        <v>2529</v>
      </c>
      <c r="J8" s="313">
        <v>2661</v>
      </c>
      <c r="K8" s="314">
        <v>2755</v>
      </c>
      <c r="L8" s="312">
        <v>2585</v>
      </c>
      <c r="M8" s="313">
        <v>2628</v>
      </c>
      <c r="N8" s="314">
        <v>2743</v>
      </c>
      <c r="O8" s="313">
        <v>2529</v>
      </c>
      <c r="P8" s="313">
        <v>2588</v>
      </c>
      <c r="Q8" s="314">
        <v>2642</v>
      </c>
      <c r="R8" s="313">
        <v>2457</v>
      </c>
      <c r="S8" s="313">
        <v>2536</v>
      </c>
      <c r="T8" s="314">
        <v>2588</v>
      </c>
      <c r="U8" s="312">
        <v>2458</v>
      </c>
      <c r="V8" s="313">
        <v>2511</v>
      </c>
      <c r="W8" s="314">
        <v>2516</v>
      </c>
      <c r="X8" s="312">
        <v>2385</v>
      </c>
      <c r="Y8" s="313">
        <v>2518</v>
      </c>
      <c r="Z8" s="314">
        <v>2647</v>
      </c>
      <c r="AA8" s="312">
        <f>SUM('Matrícula plan'!AB21:AB23)</f>
        <v>2412</v>
      </c>
      <c r="AB8" s="313">
        <f>SUM('Matrícula plan'!AC21:AC23)</f>
        <v>2594</v>
      </c>
      <c r="AC8" s="314">
        <f>SUM('Matrícula plan'!AD21:AD23)</f>
        <v>2547</v>
      </c>
      <c r="AD8" s="312">
        <f>SUM('Matrícula plan'!AE21:AE23)</f>
        <v>2490</v>
      </c>
      <c r="AE8" s="313">
        <f>SUM('Matrícula plan'!AF21:AF23)</f>
        <v>2672</v>
      </c>
      <c r="AF8" s="314">
        <f>SUM('Matrícula plan'!AG21:AG23)</f>
        <v>2674</v>
      </c>
      <c r="AG8" s="312">
        <f>SUM('Matrícula plan'!AH21:AH23)</f>
        <v>2614</v>
      </c>
      <c r="AH8" s="313">
        <f>SUM('Matrícula plan'!AI21:AI23)</f>
        <v>2777</v>
      </c>
      <c r="AI8" s="314">
        <f>SUM('Matrícula plan'!AJ21:AJ23)</f>
        <v>2802</v>
      </c>
      <c r="AJ8" s="312">
        <f>SUM('Matrícula plan'!AK21:AK23)</f>
        <v>2683</v>
      </c>
      <c r="AK8" s="313">
        <f>SUM('Matrícula plan'!AL21:AL23)</f>
        <v>2785</v>
      </c>
      <c r="AL8" s="314">
        <f>SUM('Matrícula plan'!AM21:AM23)</f>
        <v>2838</v>
      </c>
      <c r="AM8" s="312">
        <f>SUM('Matrícula plan'!AN21:AN23)</f>
        <v>2622</v>
      </c>
      <c r="AN8" s="313">
        <f>SUM('Matrícula plan'!AO21:AO23)</f>
        <v>2793</v>
      </c>
      <c r="AO8" s="314">
        <f>SUM('Matrícula plan'!AP21:AP23)</f>
        <v>2931</v>
      </c>
    </row>
    <row r="9" spans="1:41" s="7" customFormat="1" ht="15" x14ac:dyDescent="0.25">
      <c r="A9" s="5108"/>
      <c r="B9" s="2359" t="s">
        <v>12</v>
      </c>
      <c r="C9" s="2412">
        <v>11354</v>
      </c>
      <c r="D9" s="2413">
        <v>11636</v>
      </c>
      <c r="E9" s="2414">
        <v>12329</v>
      </c>
      <c r="F9" s="2412">
        <v>11219</v>
      </c>
      <c r="G9" s="2413">
        <v>11694</v>
      </c>
      <c r="H9" s="2413">
        <v>12690</v>
      </c>
      <c r="I9" s="2412">
        <v>11737</v>
      </c>
      <c r="J9" s="2413">
        <v>12344</v>
      </c>
      <c r="K9" s="2414">
        <v>12956</v>
      </c>
      <c r="L9" s="2412">
        <v>11855</v>
      </c>
      <c r="M9" s="2413">
        <v>12359</v>
      </c>
      <c r="N9" s="2414">
        <v>13214</v>
      </c>
      <c r="O9" s="2413">
        <v>12257</v>
      </c>
      <c r="P9" s="2413">
        <v>12713</v>
      </c>
      <c r="Q9" s="2414">
        <v>13271</v>
      </c>
      <c r="R9" s="2413">
        <v>12365</v>
      </c>
      <c r="S9" s="2413">
        <v>12698</v>
      </c>
      <c r="T9" s="2414">
        <v>13426</v>
      </c>
      <c r="U9" s="2412">
        <v>12752</v>
      </c>
      <c r="V9" s="2413">
        <v>13377</v>
      </c>
      <c r="W9" s="2414">
        <v>13765</v>
      </c>
      <c r="X9" s="2412">
        <f t="shared" ref="X9:AC9" si="0">SUM(X6:X8)</f>
        <v>13041</v>
      </c>
      <c r="Y9" s="2413">
        <f t="shared" si="0"/>
        <v>13990</v>
      </c>
      <c r="Z9" s="2414">
        <f t="shared" si="0"/>
        <v>14704</v>
      </c>
      <c r="AA9" s="2412">
        <f t="shared" si="0"/>
        <v>13612</v>
      </c>
      <c r="AB9" s="2413">
        <f t="shared" si="0"/>
        <v>14835</v>
      </c>
      <c r="AC9" s="2414">
        <f t="shared" si="0"/>
        <v>14648</v>
      </c>
      <c r="AD9" s="2412">
        <f t="shared" ref="AD9:AI9" si="1">SUM(AD6:AD8)</f>
        <v>14113</v>
      </c>
      <c r="AE9" s="2413">
        <f t="shared" si="1"/>
        <v>15006</v>
      </c>
      <c r="AF9" s="2414">
        <f t="shared" si="1"/>
        <v>15075</v>
      </c>
      <c r="AG9" s="2412">
        <f>SUM(AG6:AG8)</f>
        <v>14241</v>
      </c>
      <c r="AH9" s="2413">
        <f t="shared" si="1"/>
        <v>15066</v>
      </c>
      <c r="AI9" s="2414">
        <f t="shared" si="1"/>
        <v>15257</v>
      </c>
      <c r="AJ9" s="2412">
        <f t="shared" ref="AJ9:AO9" si="2">SUM(AJ6:AJ8)</f>
        <v>14098</v>
      </c>
      <c r="AK9" s="2413">
        <f t="shared" si="2"/>
        <v>14554</v>
      </c>
      <c r="AL9" s="2414">
        <f t="shared" si="2"/>
        <v>15208</v>
      </c>
      <c r="AM9" s="2412">
        <f t="shared" si="2"/>
        <v>13906</v>
      </c>
      <c r="AN9" s="2413">
        <f t="shared" si="2"/>
        <v>14553</v>
      </c>
      <c r="AO9" s="2414">
        <f t="shared" si="2"/>
        <v>15120</v>
      </c>
    </row>
    <row r="10" spans="1:41" s="7" customFormat="1" ht="15.75" x14ac:dyDescent="0.25">
      <c r="A10" s="1923"/>
      <c r="B10" s="770"/>
      <c r="C10" s="770"/>
      <c r="D10" s="770"/>
      <c r="E10" s="770"/>
      <c r="F10" s="770"/>
      <c r="G10" s="770"/>
      <c r="H10" s="770"/>
      <c r="I10" s="770"/>
      <c r="J10" s="770"/>
      <c r="K10" s="770"/>
      <c r="L10" s="770"/>
      <c r="M10" s="770"/>
      <c r="N10" s="770"/>
      <c r="O10" s="770"/>
      <c r="P10" s="770"/>
      <c r="Q10" s="770"/>
      <c r="R10" s="770"/>
      <c r="S10" s="770"/>
      <c r="T10" s="770"/>
      <c r="U10" s="770"/>
      <c r="V10" s="770"/>
      <c r="W10" s="770"/>
      <c r="X10" s="770"/>
      <c r="Y10" s="770"/>
      <c r="Z10" s="770"/>
      <c r="AA10" s="770"/>
      <c r="AB10" s="770"/>
      <c r="AC10" s="770"/>
      <c r="AD10" s="770"/>
      <c r="AE10" s="770"/>
      <c r="AF10" s="770"/>
      <c r="AG10" s="770"/>
      <c r="AH10" s="770"/>
      <c r="AI10" s="770"/>
      <c r="AJ10" s="770"/>
      <c r="AK10" s="770"/>
      <c r="AL10" s="770"/>
      <c r="AM10" s="770"/>
      <c r="AN10" s="770"/>
      <c r="AO10" s="770"/>
    </row>
    <row r="11" spans="1:41" s="7" customFormat="1" ht="15" x14ac:dyDescent="0.25">
      <c r="A11" s="5028" t="s">
        <v>410</v>
      </c>
      <c r="B11" s="246" t="s">
        <v>6</v>
      </c>
      <c r="C11" s="309"/>
      <c r="D11" s="310"/>
      <c r="E11" s="311"/>
      <c r="F11" s="309"/>
      <c r="G11" s="310"/>
      <c r="H11" s="310"/>
      <c r="I11" s="309"/>
      <c r="J11" s="310"/>
      <c r="K11" s="311">
        <v>111</v>
      </c>
      <c r="L11" s="309">
        <v>103</v>
      </c>
      <c r="M11" s="310">
        <v>95</v>
      </c>
      <c r="N11" s="311">
        <v>136</v>
      </c>
      <c r="O11" s="310">
        <v>117</v>
      </c>
      <c r="P11" s="310">
        <v>116</v>
      </c>
      <c r="Q11" s="311">
        <v>239</v>
      </c>
      <c r="R11" s="310">
        <v>230</v>
      </c>
      <c r="S11" s="310">
        <v>217</v>
      </c>
      <c r="T11" s="311">
        <v>328</v>
      </c>
      <c r="U11" s="309">
        <v>311</v>
      </c>
      <c r="V11" s="310">
        <v>306</v>
      </c>
      <c r="W11" s="311">
        <v>371</v>
      </c>
      <c r="X11" s="309">
        <v>313</v>
      </c>
      <c r="Y11" s="310">
        <v>313</v>
      </c>
      <c r="Z11" s="311">
        <v>405</v>
      </c>
      <c r="AA11" s="309">
        <f>SUM('Matrícula plan'!AB26:AB29)</f>
        <v>355</v>
      </c>
      <c r="AB11" s="310">
        <f>SUM('Matrícula plan'!AC26:AC29)</f>
        <v>335</v>
      </c>
      <c r="AC11" s="311">
        <f>SUM('Matrícula plan'!AD26:AD29)</f>
        <v>373</v>
      </c>
      <c r="AD11" s="309">
        <f>SUM('Matrícula plan'!AE26:AE29)</f>
        <v>350</v>
      </c>
      <c r="AE11" s="310">
        <f>SUM('Matrícula plan'!AF26:AF29)</f>
        <v>331</v>
      </c>
      <c r="AF11" s="311">
        <f>SUM('Matrícula plan'!AG26:AG29)</f>
        <v>378</v>
      </c>
      <c r="AG11" s="309">
        <f>SUM('Matrícula plan'!AH26:AH29)</f>
        <v>353</v>
      </c>
      <c r="AH11" s="310">
        <f>SUM('Matrícula plan'!AI26:AI29)</f>
        <v>326</v>
      </c>
      <c r="AI11" s="311">
        <f>SUM('Matrícula plan'!AJ26:AJ29)</f>
        <v>389</v>
      </c>
      <c r="AJ11" s="309">
        <f>SUM('Matrícula plan'!AK26:AK29)</f>
        <v>361</v>
      </c>
      <c r="AK11" s="310">
        <f>SUM('Matrícula plan'!AL26:AL29)</f>
        <v>431</v>
      </c>
      <c r="AL11" s="311">
        <f>SUM('Matrícula plan'!AM26:AM29)</f>
        <v>488</v>
      </c>
      <c r="AM11" s="309">
        <f>SUM('Matrícula plan'!AN26:AN29)</f>
        <v>454</v>
      </c>
      <c r="AN11" s="310">
        <f>SUM('Matrícula plan'!AO26:AO29)</f>
        <v>531</v>
      </c>
      <c r="AO11" s="311">
        <f>SUM('Matrícula plan'!AP26:AP29)</f>
        <v>625</v>
      </c>
    </row>
    <row r="12" spans="1:41" s="7" customFormat="1" ht="15" x14ac:dyDescent="0.25">
      <c r="A12" s="5029"/>
      <c r="B12" s="247" t="s">
        <v>9</v>
      </c>
      <c r="C12" s="312"/>
      <c r="D12" s="313"/>
      <c r="E12" s="314"/>
      <c r="F12" s="312"/>
      <c r="G12" s="313"/>
      <c r="H12" s="313"/>
      <c r="I12" s="312"/>
      <c r="J12" s="313"/>
      <c r="K12" s="314">
        <v>34</v>
      </c>
      <c r="L12" s="312">
        <v>29</v>
      </c>
      <c r="M12" s="313">
        <v>29</v>
      </c>
      <c r="N12" s="314">
        <v>61</v>
      </c>
      <c r="O12" s="313">
        <v>60</v>
      </c>
      <c r="P12" s="313">
        <v>59</v>
      </c>
      <c r="Q12" s="314">
        <v>187</v>
      </c>
      <c r="R12" s="313">
        <v>174</v>
      </c>
      <c r="S12" s="313">
        <v>167</v>
      </c>
      <c r="T12" s="314">
        <v>292</v>
      </c>
      <c r="U12" s="312">
        <v>272</v>
      </c>
      <c r="V12" s="313">
        <v>263</v>
      </c>
      <c r="W12" s="314">
        <v>360</v>
      </c>
      <c r="X12" s="312">
        <v>328</v>
      </c>
      <c r="Y12" s="313">
        <v>313</v>
      </c>
      <c r="Z12" s="314">
        <v>423</v>
      </c>
      <c r="AA12" s="312">
        <f>SUM('Matrícula plan'!AB31:AB33)</f>
        <v>396</v>
      </c>
      <c r="AB12" s="313">
        <f>SUM('Matrícula plan'!AC31:AC33)</f>
        <v>385</v>
      </c>
      <c r="AC12" s="314">
        <f>SUM('Matrícula plan'!AD31:AD33)</f>
        <v>498</v>
      </c>
      <c r="AD12" s="312">
        <f>SUM('Matrícula plan'!AE31:AE33)</f>
        <v>452</v>
      </c>
      <c r="AE12" s="313">
        <f>SUM('Matrícula plan'!AF31:AF33)</f>
        <v>429</v>
      </c>
      <c r="AF12" s="314">
        <f>SUM('Matrícula plan'!AG31:AG33)</f>
        <v>520</v>
      </c>
      <c r="AG12" s="312">
        <f>SUM('Matrícula plan'!AH31:AH33)</f>
        <v>489</v>
      </c>
      <c r="AH12" s="313">
        <f>SUM('Matrícula plan'!AI31:AI33)</f>
        <v>471</v>
      </c>
      <c r="AI12" s="314">
        <f>SUM('Matrícula plan'!AJ31:AJ33)</f>
        <v>576</v>
      </c>
      <c r="AJ12" s="312">
        <f>SUM('Matrícula plan'!AK31:AK33)</f>
        <v>528</v>
      </c>
      <c r="AK12" s="313">
        <f>SUM('Matrícula plan'!AL31:AL33)</f>
        <v>515</v>
      </c>
      <c r="AL12" s="314">
        <f>SUM('Matrícula plan'!AM31:AM33)</f>
        <v>644</v>
      </c>
      <c r="AM12" s="312">
        <f>SUM('Matrícula plan'!AN31:AN33)</f>
        <v>589</v>
      </c>
      <c r="AN12" s="313">
        <f>SUM('Matrícula plan'!AO31:AO33)</f>
        <v>565</v>
      </c>
      <c r="AO12" s="314">
        <f>SUM('Matrícula plan'!AP31:AP33)</f>
        <v>726</v>
      </c>
    </row>
    <row r="13" spans="1:41" s="7" customFormat="1" ht="15" x14ac:dyDescent="0.25">
      <c r="A13" s="5029"/>
      <c r="B13" s="247" t="s">
        <v>74</v>
      </c>
      <c r="C13" s="312"/>
      <c r="D13" s="313"/>
      <c r="E13" s="314"/>
      <c r="F13" s="312"/>
      <c r="G13" s="313"/>
      <c r="H13" s="313"/>
      <c r="I13" s="312"/>
      <c r="J13" s="313"/>
      <c r="K13" s="314">
        <v>58</v>
      </c>
      <c r="L13" s="312">
        <v>50</v>
      </c>
      <c r="M13" s="313">
        <v>44</v>
      </c>
      <c r="N13" s="314">
        <v>68</v>
      </c>
      <c r="O13" s="313">
        <v>63</v>
      </c>
      <c r="P13" s="313">
        <v>56</v>
      </c>
      <c r="Q13" s="314">
        <v>120</v>
      </c>
      <c r="R13" s="313">
        <v>104</v>
      </c>
      <c r="S13" s="313">
        <v>95</v>
      </c>
      <c r="T13" s="314">
        <v>205</v>
      </c>
      <c r="U13" s="312">
        <v>189</v>
      </c>
      <c r="V13" s="313">
        <v>169</v>
      </c>
      <c r="W13" s="314">
        <v>238</v>
      </c>
      <c r="X13" s="312">
        <v>209</v>
      </c>
      <c r="Y13" s="313">
        <v>201</v>
      </c>
      <c r="Z13" s="314">
        <v>296</v>
      </c>
      <c r="AA13" s="312">
        <f>SUM('Matrícula plan'!AB35:AB38)</f>
        <v>276</v>
      </c>
      <c r="AB13" s="313">
        <f>SUM('Matrícula plan'!AC35:AC38)</f>
        <v>261</v>
      </c>
      <c r="AC13" s="314">
        <f>SUM('Matrícula plan'!AD35:AD38)</f>
        <v>356</v>
      </c>
      <c r="AD13" s="312">
        <f>SUM('Matrícula plan'!AE35:AE38)</f>
        <v>341</v>
      </c>
      <c r="AE13" s="313">
        <f>SUM('Matrícula plan'!AF35:AF38)</f>
        <v>321</v>
      </c>
      <c r="AF13" s="314">
        <f>SUM('Matrícula plan'!AG35:AG38)</f>
        <v>449</v>
      </c>
      <c r="AG13" s="312">
        <f>SUM('Matrícula plan'!AH35:AH38)</f>
        <v>413</v>
      </c>
      <c r="AH13" s="313">
        <f>SUM('Matrícula plan'!AI35:AI38)</f>
        <v>382</v>
      </c>
      <c r="AI13" s="314">
        <f>SUM('Matrícula plan'!AJ35:AJ38)</f>
        <v>525</v>
      </c>
      <c r="AJ13" s="312">
        <f>SUM('Matrícula plan'!AK35:AK38)</f>
        <v>482</v>
      </c>
      <c r="AK13" s="313">
        <f>SUM('Matrícula plan'!AL35:AL38)</f>
        <v>450</v>
      </c>
      <c r="AL13" s="314">
        <f>SUM('Matrícula plan'!AM35:AM38)</f>
        <v>650</v>
      </c>
      <c r="AM13" s="312">
        <f>SUM('Matrícula plan'!AN35:AN38)</f>
        <v>590</v>
      </c>
      <c r="AN13" s="313">
        <f>SUM('Matrícula plan'!AO35:AO38)</f>
        <v>560</v>
      </c>
      <c r="AO13" s="314">
        <f>SUM('Matrícula plan'!AP35:AP38)</f>
        <v>738</v>
      </c>
    </row>
    <row r="14" spans="1:41" s="7" customFormat="1" ht="15" x14ac:dyDescent="0.25">
      <c r="A14" s="5030"/>
      <c r="B14" s="2363" t="s">
        <v>12</v>
      </c>
      <c r="C14" s="2415"/>
      <c r="D14" s="2416"/>
      <c r="E14" s="2417"/>
      <c r="F14" s="2415"/>
      <c r="G14" s="2416"/>
      <c r="H14" s="2416"/>
      <c r="I14" s="2415"/>
      <c r="J14" s="2416"/>
      <c r="K14" s="2417">
        <v>203</v>
      </c>
      <c r="L14" s="2415">
        <v>182</v>
      </c>
      <c r="M14" s="2416">
        <v>168</v>
      </c>
      <c r="N14" s="2417">
        <v>265</v>
      </c>
      <c r="O14" s="2416">
        <v>240</v>
      </c>
      <c r="P14" s="2416">
        <v>231</v>
      </c>
      <c r="Q14" s="2417">
        <v>546</v>
      </c>
      <c r="R14" s="2416">
        <v>508</v>
      </c>
      <c r="S14" s="2416">
        <v>479</v>
      </c>
      <c r="T14" s="2417">
        <v>825</v>
      </c>
      <c r="U14" s="2415">
        <v>772</v>
      </c>
      <c r="V14" s="2416">
        <v>738</v>
      </c>
      <c r="W14" s="2417">
        <v>969</v>
      </c>
      <c r="X14" s="2415">
        <f t="shared" ref="X14:AC14" si="3">SUM(X11:X13)</f>
        <v>850</v>
      </c>
      <c r="Y14" s="2416">
        <f t="shared" si="3"/>
        <v>827</v>
      </c>
      <c r="Z14" s="2417">
        <f t="shared" si="3"/>
        <v>1124</v>
      </c>
      <c r="AA14" s="2415">
        <f t="shared" si="3"/>
        <v>1027</v>
      </c>
      <c r="AB14" s="2416">
        <f t="shared" si="3"/>
        <v>981</v>
      </c>
      <c r="AC14" s="2417">
        <f t="shared" si="3"/>
        <v>1227</v>
      </c>
      <c r="AD14" s="2415">
        <f t="shared" ref="AD14:AI14" si="4">SUM(AD11:AD13)</f>
        <v>1143</v>
      </c>
      <c r="AE14" s="2416">
        <f t="shared" si="4"/>
        <v>1081</v>
      </c>
      <c r="AF14" s="2417">
        <f t="shared" si="4"/>
        <v>1347</v>
      </c>
      <c r="AG14" s="2415">
        <f t="shared" si="4"/>
        <v>1255</v>
      </c>
      <c r="AH14" s="2416">
        <f t="shared" si="4"/>
        <v>1179</v>
      </c>
      <c r="AI14" s="2417">
        <f t="shared" si="4"/>
        <v>1490</v>
      </c>
      <c r="AJ14" s="2415">
        <f t="shared" ref="AJ14:AO14" si="5">SUM(AJ11:AJ13)</f>
        <v>1371</v>
      </c>
      <c r="AK14" s="2416">
        <f t="shared" si="5"/>
        <v>1396</v>
      </c>
      <c r="AL14" s="2417">
        <f t="shared" si="5"/>
        <v>1782</v>
      </c>
      <c r="AM14" s="2415">
        <f t="shared" si="5"/>
        <v>1633</v>
      </c>
      <c r="AN14" s="2416">
        <f t="shared" si="5"/>
        <v>1656</v>
      </c>
      <c r="AO14" s="2417">
        <f t="shared" si="5"/>
        <v>2089</v>
      </c>
    </row>
    <row r="15" spans="1:41" s="8" customFormat="1" ht="15.75" x14ac:dyDescent="0.25">
      <c r="A15" s="1923"/>
      <c r="B15" s="308"/>
      <c r="C15" s="308"/>
      <c r="D15" s="308"/>
      <c r="E15" s="308"/>
      <c r="F15" s="308"/>
      <c r="G15" s="308"/>
      <c r="H15" s="308"/>
      <c r="I15" s="308"/>
      <c r="J15" s="308"/>
      <c r="K15" s="308"/>
      <c r="L15" s="308"/>
      <c r="M15" s="308"/>
      <c r="N15" s="308"/>
      <c r="O15" s="308"/>
      <c r="P15" s="308"/>
      <c r="Q15" s="308"/>
      <c r="R15" s="308"/>
      <c r="S15" s="308"/>
      <c r="T15" s="308"/>
      <c r="U15" s="308"/>
      <c r="V15" s="308"/>
      <c r="W15" s="308"/>
      <c r="X15" s="308"/>
      <c r="Y15" s="308"/>
      <c r="Z15" s="308"/>
      <c r="AA15" s="308"/>
      <c r="AB15" s="308"/>
      <c r="AC15" s="308"/>
      <c r="AD15" s="308"/>
      <c r="AE15" s="308"/>
      <c r="AF15" s="308"/>
      <c r="AG15" s="308"/>
      <c r="AH15" s="308"/>
      <c r="AI15" s="308"/>
      <c r="AJ15" s="308"/>
      <c r="AK15" s="308"/>
      <c r="AL15" s="308"/>
      <c r="AM15" s="308"/>
      <c r="AN15" s="308"/>
      <c r="AO15" s="308"/>
    </row>
    <row r="16" spans="1:41" s="8" customFormat="1" ht="15" x14ac:dyDescent="0.25">
      <c r="A16" s="5040" t="s">
        <v>162</v>
      </c>
      <c r="B16" s="246" t="s">
        <v>5</v>
      </c>
      <c r="C16" s="309">
        <v>2587</v>
      </c>
      <c r="D16" s="310">
        <v>2667</v>
      </c>
      <c r="E16" s="311">
        <v>2798</v>
      </c>
      <c r="F16" s="309">
        <v>2584</v>
      </c>
      <c r="G16" s="310">
        <v>2564</v>
      </c>
      <c r="H16" s="310">
        <v>2733</v>
      </c>
      <c r="I16" s="309">
        <v>2470</v>
      </c>
      <c r="J16" s="310">
        <v>2552</v>
      </c>
      <c r="K16" s="311">
        <v>2765</v>
      </c>
      <c r="L16" s="309">
        <v>2481</v>
      </c>
      <c r="M16" s="310">
        <v>2599</v>
      </c>
      <c r="N16" s="311">
        <v>2692</v>
      </c>
      <c r="O16" s="310">
        <v>2465</v>
      </c>
      <c r="P16" s="310">
        <v>2530</v>
      </c>
      <c r="Q16" s="311">
        <v>2654</v>
      </c>
      <c r="R16" s="310">
        <v>2432</v>
      </c>
      <c r="S16" s="310">
        <v>2407</v>
      </c>
      <c r="T16" s="311">
        <v>2669</v>
      </c>
      <c r="U16" s="309">
        <v>2502</v>
      </c>
      <c r="V16" s="310">
        <v>2525</v>
      </c>
      <c r="W16" s="311">
        <v>2691</v>
      </c>
      <c r="X16" s="309">
        <v>2541</v>
      </c>
      <c r="Y16" s="310">
        <v>2436</v>
      </c>
      <c r="Z16" s="311">
        <v>2868</v>
      </c>
      <c r="AA16" s="309">
        <f>SUM('Matrícula plan'!AB41:AB49)</f>
        <v>2587</v>
      </c>
      <c r="AB16" s="310">
        <f>SUM('Matrícula plan'!AC41:AC49)</f>
        <v>2616</v>
      </c>
      <c r="AC16" s="311">
        <f>SUM('Matrícula plan'!AD41:AD49)</f>
        <v>3016</v>
      </c>
      <c r="AD16" s="309">
        <f>SUM('Matrícula plan'!AE41:AE49)</f>
        <v>2744</v>
      </c>
      <c r="AE16" s="310">
        <f>SUM('Matrícula plan'!AF41:AF49)</f>
        <v>2775</v>
      </c>
      <c r="AF16" s="311">
        <f>SUM('Matrícula plan'!AG41:AG49)</f>
        <v>3114</v>
      </c>
      <c r="AG16" s="309">
        <f>SUM('Matrícula plan'!AH41:AH49)</f>
        <v>2928</v>
      </c>
      <c r="AH16" s="310">
        <f>SUM('Matrícula plan'!AI41:AI49)</f>
        <v>3053</v>
      </c>
      <c r="AI16" s="311">
        <f>SUM('Matrícula plan'!AJ41:AJ49)</f>
        <v>3623</v>
      </c>
      <c r="AJ16" s="309">
        <f>SUM('Matrícula plan'!AK41:AK49)</f>
        <v>3298</v>
      </c>
      <c r="AK16" s="310">
        <f>SUM('Matrícula plan'!AL41:AL49)</f>
        <v>3309</v>
      </c>
      <c r="AL16" s="311">
        <f>SUM('Matrícula plan'!AM41:AM49)</f>
        <v>3750</v>
      </c>
      <c r="AM16" s="309">
        <f>SUM('Matrícula plan'!AN41:AN49)</f>
        <v>3460</v>
      </c>
      <c r="AN16" s="310">
        <f>SUM('Matrícula plan'!AO41:AO49)</f>
        <v>3416</v>
      </c>
      <c r="AO16" s="311">
        <f>SUM('Matrícula plan'!AP41:AP49)</f>
        <v>3845</v>
      </c>
    </row>
    <row r="17" spans="1:41" s="8" customFormat="1" ht="15" x14ac:dyDescent="0.25">
      <c r="A17" s="5041"/>
      <c r="B17" s="247" t="s">
        <v>6</v>
      </c>
      <c r="C17" s="312">
        <v>4065</v>
      </c>
      <c r="D17" s="313">
        <v>3900</v>
      </c>
      <c r="E17" s="314">
        <v>4345</v>
      </c>
      <c r="F17" s="312">
        <v>4034</v>
      </c>
      <c r="G17" s="313">
        <v>3828</v>
      </c>
      <c r="H17" s="313">
        <v>4347</v>
      </c>
      <c r="I17" s="312">
        <v>3956</v>
      </c>
      <c r="J17" s="313">
        <v>3804</v>
      </c>
      <c r="K17" s="314">
        <v>4445</v>
      </c>
      <c r="L17" s="312">
        <v>4098</v>
      </c>
      <c r="M17" s="313">
        <v>3999</v>
      </c>
      <c r="N17" s="314">
        <v>4577</v>
      </c>
      <c r="O17" s="313">
        <v>4272</v>
      </c>
      <c r="P17" s="313">
        <v>4161</v>
      </c>
      <c r="Q17" s="314">
        <v>4828</v>
      </c>
      <c r="R17" s="313">
        <v>4521</v>
      </c>
      <c r="S17" s="313">
        <v>4272</v>
      </c>
      <c r="T17" s="314">
        <v>4934</v>
      </c>
      <c r="U17" s="312">
        <v>4717</v>
      </c>
      <c r="V17" s="313">
        <v>4586</v>
      </c>
      <c r="W17" s="314">
        <v>5084</v>
      </c>
      <c r="X17" s="312">
        <v>4798</v>
      </c>
      <c r="Y17" s="313">
        <v>4644</v>
      </c>
      <c r="Z17" s="314">
        <v>5289</v>
      </c>
      <c r="AA17" s="312">
        <f>SUM('Matrícula plan'!AB51:AB61)</f>
        <v>4769</v>
      </c>
      <c r="AB17" s="313">
        <f>SUM('Matrícula plan'!AC51:AC61)</f>
        <v>4748</v>
      </c>
      <c r="AC17" s="314">
        <f>SUM('Matrícula plan'!AD51:AD61)</f>
        <v>5318</v>
      </c>
      <c r="AD17" s="312">
        <f>SUM('Matrícula plan'!AE51:AE61)</f>
        <v>4954</v>
      </c>
      <c r="AE17" s="313">
        <f>SUM('Matrícula plan'!AF51:AF61)</f>
        <v>4953</v>
      </c>
      <c r="AF17" s="314">
        <f>SUM('Matrícula plan'!AG51:AG61)</f>
        <v>5362</v>
      </c>
      <c r="AG17" s="312">
        <f>SUM('Matrícula plan'!AH51:AH61)</f>
        <v>5096</v>
      </c>
      <c r="AH17" s="313">
        <f>SUM('Matrícula plan'!AI51:AI61)</f>
        <v>4950</v>
      </c>
      <c r="AI17" s="314">
        <f>SUM('Matrícula plan'!AJ51:AJ61)</f>
        <v>5492</v>
      </c>
      <c r="AJ17" s="312">
        <f>SUM('Matrícula plan'!AK51:AK61)</f>
        <v>5041</v>
      </c>
      <c r="AK17" s="313">
        <f>SUM('Matrícula plan'!AL51:AL61)</f>
        <v>4915</v>
      </c>
      <c r="AL17" s="314">
        <f>SUM('Matrícula plan'!AM51:AM61)</f>
        <v>5510</v>
      </c>
      <c r="AM17" s="312">
        <f>SUM('Matrícula plan'!AN51:AN61)</f>
        <v>5080</v>
      </c>
      <c r="AN17" s="313">
        <f>SUM('Matrícula plan'!AO51:AO61)</f>
        <v>4857</v>
      </c>
      <c r="AO17" s="314">
        <f>SUM('Matrícula plan'!AP51:AP61)</f>
        <v>5482</v>
      </c>
    </row>
    <row r="18" spans="1:41" s="8" customFormat="1" ht="15" x14ac:dyDescent="0.25">
      <c r="A18" s="5041"/>
      <c r="B18" s="247" t="s">
        <v>11</v>
      </c>
      <c r="C18" s="312">
        <v>2931</v>
      </c>
      <c r="D18" s="313">
        <v>2870</v>
      </c>
      <c r="E18" s="314">
        <v>2978</v>
      </c>
      <c r="F18" s="312">
        <v>2767</v>
      </c>
      <c r="G18" s="313">
        <v>2752</v>
      </c>
      <c r="H18" s="313">
        <v>2881</v>
      </c>
      <c r="I18" s="312">
        <v>2652</v>
      </c>
      <c r="J18" s="313">
        <v>2610</v>
      </c>
      <c r="K18" s="314">
        <v>2764</v>
      </c>
      <c r="L18" s="312">
        <v>2560</v>
      </c>
      <c r="M18" s="313">
        <v>2574</v>
      </c>
      <c r="N18" s="314">
        <v>2770</v>
      </c>
      <c r="O18" s="313">
        <v>2558</v>
      </c>
      <c r="P18" s="313">
        <v>2568</v>
      </c>
      <c r="Q18" s="314">
        <v>2761</v>
      </c>
      <c r="R18" s="313">
        <v>2595</v>
      </c>
      <c r="S18" s="313">
        <v>2591</v>
      </c>
      <c r="T18" s="314">
        <v>2766</v>
      </c>
      <c r="U18" s="312">
        <v>2593</v>
      </c>
      <c r="V18" s="313">
        <v>2772</v>
      </c>
      <c r="W18" s="314">
        <v>3014</v>
      </c>
      <c r="X18" s="312">
        <v>2859</v>
      </c>
      <c r="Y18" s="313">
        <v>3030</v>
      </c>
      <c r="Z18" s="314">
        <v>3242</v>
      </c>
      <c r="AA18" s="312">
        <f>SUM('Matrícula plan'!AB63:AB68)</f>
        <v>2967</v>
      </c>
      <c r="AB18" s="313">
        <f>SUM('Matrícula plan'!AC63:AC68)</f>
        <v>3202</v>
      </c>
      <c r="AC18" s="314">
        <f>SUM('Matrícula plan'!AD63:AD68)</f>
        <v>3409</v>
      </c>
      <c r="AD18" s="312">
        <f>SUM('Matrícula plan'!AE63:AE68)</f>
        <v>3232</v>
      </c>
      <c r="AE18" s="313">
        <f>SUM('Matrícula plan'!AF63:AF68)</f>
        <v>3514</v>
      </c>
      <c r="AF18" s="314">
        <f>SUM('Matrícula plan'!AG63:AG68)</f>
        <v>3692</v>
      </c>
      <c r="AG18" s="312">
        <f>SUM('Matrícula plan'!AH63:AH68)</f>
        <v>3611</v>
      </c>
      <c r="AH18" s="313">
        <f>SUM('Matrícula plan'!AI63:AI68)</f>
        <v>3860</v>
      </c>
      <c r="AI18" s="314">
        <f>SUM('Matrícula plan'!AJ63:AJ68)</f>
        <v>4061</v>
      </c>
      <c r="AJ18" s="312">
        <f>SUM('Matrícula plan'!AK63:AK68)</f>
        <v>3764</v>
      </c>
      <c r="AK18" s="313">
        <f>SUM('Matrícula plan'!AL63:AL68)</f>
        <v>3913</v>
      </c>
      <c r="AL18" s="314">
        <f>SUM('Matrícula plan'!AM63:AM68)</f>
        <v>4068</v>
      </c>
      <c r="AM18" s="312">
        <f>SUM('Matrícula plan'!AN63:AN68)</f>
        <v>3837</v>
      </c>
      <c r="AN18" s="313">
        <f>SUM('Matrícula plan'!AO63:AO68)</f>
        <v>3921</v>
      </c>
      <c r="AO18" s="314">
        <f>SUM('Matrícula plan'!AP63:AP68)</f>
        <v>4057</v>
      </c>
    </row>
    <row r="19" spans="1:41" s="7" customFormat="1" ht="15" x14ac:dyDescent="0.25">
      <c r="A19" s="5109"/>
      <c r="B19" s="2355" t="s">
        <v>12</v>
      </c>
      <c r="C19" s="2418">
        <v>9583</v>
      </c>
      <c r="D19" s="2419">
        <v>9437</v>
      </c>
      <c r="E19" s="2420">
        <v>10121</v>
      </c>
      <c r="F19" s="2418">
        <v>9385</v>
      </c>
      <c r="G19" s="2419">
        <v>9144</v>
      </c>
      <c r="H19" s="2419">
        <v>9961</v>
      </c>
      <c r="I19" s="2418">
        <v>9078</v>
      </c>
      <c r="J19" s="2419">
        <v>8966</v>
      </c>
      <c r="K19" s="2420">
        <v>9974</v>
      </c>
      <c r="L19" s="2418">
        <v>9139</v>
      </c>
      <c r="M19" s="2419">
        <v>9172</v>
      </c>
      <c r="N19" s="2420">
        <v>10039</v>
      </c>
      <c r="O19" s="2419">
        <v>9295</v>
      </c>
      <c r="P19" s="2419">
        <v>9259</v>
      </c>
      <c r="Q19" s="2420">
        <v>10243</v>
      </c>
      <c r="R19" s="2419">
        <v>9548</v>
      </c>
      <c r="S19" s="2419">
        <v>9270</v>
      </c>
      <c r="T19" s="2420">
        <v>10369</v>
      </c>
      <c r="U19" s="2418">
        <v>9812</v>
      </c>
      <c r="V19" s="2419">
        <v>9883</v>
      </c>
      <c r="W19" s="2420">
        <v>10789</v>
      </c>
      <c r="X19" s="2418">
        <f t="shared" ref="X19:AC19" si="6">SUM(X16:X18)</f>
        <v>10198</v>
      </c>
      <c r="Y19" s="2419">
        <f t="shared" si="6"/>
        <v>10110</v>
      </c>
      <c r="Z19" s="2420">
        <f t="shared" si="6"/>
        <v>11399</v>
      </c>
      <c r="AA19" s="2418">
        <f t="shared" si="6"/>
        <v>10323</v>
      </c>
      <c r="AB19" s="2419">
        <f t="shared" si="6"/>
        <v>10566</v>
      </c>
      <c r="AC19" s="2420">
        <f t="shared" si="6"/>
        <v>11743</v>
      </c>
      <c r="AD19" s="2418">
        <f t="shared" ref="AD19:AI19" si="7">SUM(AD16:AD18)</f>
        <v>10930</v>
      </c>
      <c r="AE19" s="2419">
        <f t="shared" si="7"/>
        <v>11242</v>
      </c>
      <c r="AF19" s="2420">
        <f t="shared" si="7"/>
        <v>12168</v>
      </c>
      <c r="AG19" s="2418">
        <f t="shared" si="7"/>
        <v>11635</v>
      </c>
      <c r="AH19" s="2419">
        <f t="shared" si="7"/>
        <v>11863</v>
      </c>
      <c r="AI19" s="2420">
        <f t="shared" si="7"/>
        <v>13176</v>
      </c>
      <c r="AJ19" s="2418">
        <f t="shared" ref="AJ19:AO19" si="8">SUM(AJ16:AJ18)</f>
        <v>12103</v>
      </c>
      <c r="AK19" s="2419">
        <f t="shared" si="8"/>
        <v>12137</v>
      </c>
      <c r="AL19" s="2420">
        <f t="shared" si="8"/>
        <v>13328</v>
      </c>
      <c r="AM19" s="2418">
        <f t="shared" si="8"/>
        <v>12377</v>
      </c>
      <c r="AN19" s="2419">
        <f t="shared" si="8"/>
        <v>12194</v>
      </c>
      <c r="AO19" s="2420">
        <f t="shared" si="8"/>
        <v>13384</v>
      </c>
    </row>
    <row r="20" spans="1:41" s="8" customFormat="1" ht="15" x14ac:dyDescent="0.2">
      <c r="A20" s="195"/>
      <c r="B20" s="308"/>
      <c r="C20" s="308"/>
      <c r="D20" s="308"/>
      <c r="E20" s="308"/>
      <c r="F20" s="308"/>
      <c r="G20" s="308"/>
      <c r="H20" s="308"/>
      <c r="I20" s="308"/>
      <c r="J20" s="308"/>
      <c r="K20" s="308"/>
      <c r="L20" s="308"/>
      <c r="M20" s="308"/>
      <c r="N20" s="308"/>
      <c r="O20" s="308"/>
      <c r="P20" s="308"/>
      <c r="Q20" s="308"/>
      <c r="R20" s="308"/>
      <c r="S20" s="308"/>
      <c r="T20" s="308"/>
      <c r="U20" s="308"/>
      <c r="V20" s="308"/>
      <c r="W20" s="308"/>
      <c r="X20" s="308"/>
      <c r="Y20" s="308"/>
      <c r="Z20" s="308"/>
      <c r="AA20" s="308"/>
      <c r="AB20" s="308"/>
      <c r="AC20" s="308"/>
      <c r="AD20" s="308"/>
      <c r="AE20" s="308"/>
      <c r="AF20" s="308"/>
      <c r="AG20" s="308"/>
      <c r="AH20" s="308"/>
      <c r="AI20" s="308"/>
      <c r="AJ20" s="308"/>
      <c r="AK20" s="308"/>
      <c r="AL20" s="308"/>
      <c r="AM20" s="308"/>
      <c r="AN20" s="308"/>
      <c r="AO20" s="308"/>
    </row>
    <row r="21" spans="1:41" s="8" customFormat="1" ht="15" x14ac:dyDescent="0.25">
      <c r="A21" s="5031" t="s">
        <v>411</v>
      </c>
      <c r="B21" s="246" t="s">
        <v>5</v>
      </c>
      <c r="C21" s="632"/>
      <c r="D21" s="737"/>
      <c r="E21" s="737"/>
      <c r="F21" s="737"/>
      <c r="G21" s="737"/>
      <c r="H21" s="737"/>
      <c r="I21" s="737"/>
      <c r="J21" s="737"/>
      <c r="K21" s="737"/>
      <c r="L21" s="737"/>
      <c r="M21" s="737"/>
      <c r="N21" s="737"/>
      <c r="O21" s="737"/>
      <c r="P21" s="737"/>
      <c r="Q21" s="737"/>
      <c r="R21" s="737"/>
      <c r="S21" s="737"/>
      <c r="T21" s="737"/>
      <c r="U21" s="737"/>
      <c r="V21" s="737"/>
      <c r="W21" s="737"/>
      <c r="X21" s="737"/>
      <c r="Y21" s="737"/>
      <c r="Z21" s="633"/>
      <c r="AA21" s="309">
        <f>SUM('Matrícula plan'!AB71)</f>
        <v>0</v>
      </c>
      <c r="AB21" s="310">
        <f>SUM('Matrícula plan'!AC71)</f>
        <v>26</v>
      </c>
      <c r="AC21" s="311">
        <f>SUM('Matrícula plan'!AD71)</f>
        <v>57</v>
      </c>
      <c r="AD21" s="309">
        <f>SUM('Matrícula plan'!AE71)</f>
        <v>50</v>
      </c>
      <c r="AE21" s="310">
        <f>SUM('Matrícula plan'!AF71)</f>
        <v>46</v>
      </c>
      <c r="AF21" s="311">
        <f>SUM('Matrícula plan'!AG71)</f>
        <v>78</v>
      </c>
      <c r="AG21" s="309">
        <f>SUM('Matrícula plan'!AH71)</f>
        <v>72</v>
      </c>
      <c r="AH21" s="310">
        <f>SUM('Matrícula plan'!AI71)</f>
        <v>90</v>
      </c>
      <c r="AI21" s="311">
        <f>SUM('Matrícula plan'!AJ71)</f>
        <v>106</v>
      </c>
      <c r="AJ21" s="309">
        <f>SUM('Matrícula plan'!AK71)</f>
        <v>89</v>
      </c>
      <c r="AK21" s="310">
        <f>SUM('Matrícula plan'!AL71)</f>
        <v>100</v>
      </c>
      <c r="AL21" s="311">
        <f>SUM('Matrícula plan'!AM71)</f>
        <v>118</v>
      </c>
      <c r="AM21" s="309">
        <f>SUM('Matrícula plan'!AN71)</f>
        <v>99</v>
      </c>
      <c r="AN21" s="310">
        <f>SUM('Matrícula plan'!AO71)</f>
        <v>113</v>
      </c>
      <c r="AO21" s="311">
        <f>SUM('Matrícula plan'!AP71)</f>
        <v>146</v>
      </c>
    </row>
    <row r="22" spans="1:41" s="8" customFormat="1" ht="15" x14ac:dyDescent="0.25">
      <c r="A22" s="5032"/>
      <c r="B22" s="247" t="s">
        <v>6</v>
      </c>
      <c r="C22" s="634"/>
      <c r="D22" s="736"/>
      <c r="E22" s="736"/>
      <c r="F22" s="736"/>
      <c r="G22" s="736"/>
      <c r="H22" s="736"/>
      <c r="I22" s="736"/>
      <c r="J22" s="736"/>
      <c r="K22" s="736"/>
      <c r="L22" s="736"/>
      <c r="M22" s="736"/>
      <c r="N22" s="736"/>
      <c r="O22" s="736"/>
      <c r="P22" s="736"/>
      <c r="Q22" s="736"/>
      <c r="R22" s="736"/>
      <c r="S22" s="736"/>
      <c r="T22" s="736"/>
      <c r="U22" s="736"/>
      <c r="V22" s="736"/>
      <c r="W22" s="736"/>
      <c r="X22" s="736"/>
      <c r="Y22" s="736"/>
      <c r="Z22" s="635"/>
      <c r="AA22" s="312">
        <f>SUM('Matrícula plan'!AB72)</f>
        <v>0</v>
      </c>
      <c r="AB22" s="313">
        <f>SUM('Matrícula plan'!AC72)</f>
        <v>29</v>
      </c>
      <c r="AC22" s="314">
        <f>SUM('Matrícula plan'!AD72)</f>
        <v>51</v>
      </c>
      <c r="AD22" s="312">
        <f>SUM('Matrícula plan'!AE72)</f>
        <v>45</v>
      </c>
      <c r="AE22" s="313">
        <f>SUM('Matrícula plan'!AF72)</f>
        <v>41</v>
      </c>
      <c r="AF22" s="314">
        <f>SUM('Matrícula plan'!AG72)</f>
        <v>76</v>
      </c>
      <c r="AG22" s="312">
        <f>SUM('Matrícula plan'!AH72)</f>
        <v>69</v>
      </c>
      <c r="AH22" s="313">
        <f>SUM('Matrícula plan'!AI72)</f>
        <v>90</v>
      </c>
      <c r="AI22" s="314">
        <f>SUM('Matrícula plan'!AJ72:AJ73)</f>
        <v>132</v>
      </c>
      <c r="AJ22" s="312">
        <f>SUM('Matrícula plan'!AK72:AK73)</f>
        <v>128</v>
      </c>
      <c r="AK22" s="313">
        <f>SUM('Matrícula plan'!AL72:AL73)</f>
        <v>119</v>
      </c>
      <c r="AL22" s="314">
        <f>SUM('Matrícula plan'!AM72:AM73)</f>
        <v>163</v>
      </c>
      <c r="AM22" s="312">
        <f>SUM('Matrícula plan'!AN72:AN73)</f>
        <v>154</v>
      </c>
      <c r="AN22" s="313">
        <f>SUM('Matrícula plan'!AO72:AO73)</f>
        <v>142</v>
      </c>
      <c r="AO22" s="314">
        <f>SUM('Matrícula plan'!AP72:AP73)</f>
        <v>174</v>
      </c>
    </row>
    <row r="23" spans="1:41" s="8" customFormat="1" ht="15" x14ac:dyDescent="0.25">
      <c r="A23" s="5032"/>
      <c r="B23" s="247" t="s">
        <v>11</v>
      </c>
      <c r="C23" s="634"/>
      <c r="D23" s="736"/>
      <c r="E23" s="736"/>
      <c r="F23" s="736"/>
      <c r="G23" s="736"/>
      <c r="H23" s="736"/>
      <c r="I23" s="736"/>
      <c r="J23" s="736"/>
      <c r="K23" s="736"/>
      <c r="L23" s="736"/>
      <c r="M23" s="736"/>
      <c r="N23" s="736"/>
      <c r="O23" s="736"/>
      <c r="P23" s="736"/>
      <c r="Q23" s="736"/>
      <c r="R23" s="736"/>
      <c r="S23" s="736"/>
      <c r="T23" s="736"/>
      <c r="U23" s="736"/>
      <c r="V23" s="736"/>
      <c r="W23" s="736"/>
      <c r="X23" s="736"/>
      <c r="Y23" s="736"/>
      <c r="Z23" s="635"/>
      <c r="AA23" s="312">
        <f>SUM('Matrícula plan'!AB75)</f>
        <v>0</v>
      </c>
      <c r="AB23" s="313">
        <f>SUM('Matrícula plan'!AC75)</f>
        <v>30</v>
      </c>
      <c r="AC23" s="314">
        <f>SUM('Matrícula plan'!AD75)</f>
        <v>53</v>
      </c>
      <c r="AD23" s="312">
        <f>SUM('Matrícula plan'!AE75)</f>
        <v>46</v>
      </c>
      <c r="AE23" s="313">
        <f>SUM('Matrícula plan'!AF75)</f>
        <v>39</v>
      </c>
      <c r="AF23" s="314">
        <f>SUM('Matrícula plan'!AG75)</f>
        <v>66</v>
      </c>
      <c r="AG23" s="312">
        <f>SUM('Matrícula plan'!AH75)</f>
        <v>59</v>
      </c>
      <c r="AH23" s="313">
        <f>SUM('Matrícula plan'!AI75)</f>
        <v>76</v>
      </c>
      <c r="AI23" s="314">
        <f>SUM('Matrícula plan'!AJ75)</f>
        <v>110</v>
      </c>
      <c r="AJ23" s="312">
        <f>SUM('Matrícula plan'!AK75)</f>
        <v>98</v>
      </c>
      <c r="AK23" s="313">
        <f>SUM('Matrícula plan'!AL75)</f>
        <v>125</v>
      </c>
      <c r="AL23" s="314">
        <f>SUM('Matrícula plan'!AM75)</f>
        <v>135</v>
      </c>
      <c r="AM23" s="312">
        <f>SUM('Matrícula plan'!AN75)</f>
        <v>127</v>
      </c>
      <c r="AN23" s="313">
        <f>SUM('Matrícula plan'!AO75)</f>
        <v>154</v>
      </c>
      <c r="AO23" s="314">
        <f>SUM('Matrícula plan'!AP75)</f>
        <v>175</v>
      </c>
    </row>
    <row r="24" spans="1:41" s="7" customFormat="1" ht="15" x14ac:dyDescent="0.25">
      <c r="A24" s="5113"/>
      <c r="B24" s="2421" t="s">
        <v>12</v>
      </c>
      <c r="C24" s="2422"/>
      <c r="D24" s="2423"/>
      <c r="E24" s="2423"/>
      <c r="F24" s="2423"/>
      <c r="G24" s="2423"/>
      <c r="H24" s="2423"/>
      <c r="I24" s="2423"/>
      <c r="J24" s="2423"/>
      <c r="K24" s="2423"/>
      <c r="L24" s="2423"/>
      <c r="M24" s="2423"/>
      <c r="N24" s="2423"/>
      <c r="O24" s="2423"/>
      <c r="P24" s="2423"/>
      <c r="Q24" s="2423"/>
      <c r="R24" s="2423"/>
      <c r="S24" s="2423"/>
      <c r="T24" s="2423"/>
      <c r="U24" s="2423"/>
      <c r="V24" s="2423"/>
      <c r="W24" s="2423"/>
      <c r="X24" s="2423"/>
      <c r="Y24" s="2423"/>
      <c r="Z24" s="2424"/>
      <c r="AA24" s="2425">
        <f t="shared" ref="AA24:AF24" si="9">SUM(AA21:AA23)</f>
        <v>0</v>
      </c>
      <c r="AB24" s="2426">
        <f t="shared" si="9"/>
        <v>85</v>
      </c>
      <c r="AC24" s="2427">
        <f t="shared" si="9"/>
        <v>161</v>
      </c>
      <c r="AD24" s="2425">
        <f t="shared" si="9"/>
        <v>141</v>
      </c>
      <c r="AE24" s="2426">
        <f t="shared" si="9"/>
        <v>126</v>
      </c>
      <c r="AF24" s="2427">
        <f t="shared" si="9"/>
        <v>220</v>
      </c>
      <c r="AG24" s="2425">
        <f t="shared" ref="AG24:AL24" si="10">SUM(AG21:AG23)</f>
        <v>200</v>
      </c>
      <c r="AH24" s="2426">
        <f t="shared" si="10"/>
        <v>256</v>
      </c>
      <c r="AI24" s="2427">
        <f t="shared" si="10"/>
        <v>348</v>
      </c>
      <c r="AJ24" s="2425">
        <f t="shared" si="10"/>
        <v>315</v>
      </c>
      <c r="AK24" s="2426">
        <f t="shared" si="10"/>
        <v>344</v>
      </c>
      <c r="AL24" s="2427">
        <f t="shared" si="10"/>
        <v>416</v>
      </c>
      <c r="AM24" s="2425">
        <f t="shared" ref="AM24:AO24" si="11">SUM(AM21:AM23)</f>
        <v>380</v>
      </c>
      <c r="AN24" s="2426">
        <f t="shared" si="11"/>
        <v>409</v>
      </c>
      <c r="AO24" s="2427">
        <f t="shared" si="11"/>
        <v>495</v>
      </c>
    </row>
    <row r="25" spans="1:41" s="7" customFormat="1" ht="15.75" x14ac:dyDescent="0.25">
      <c r="A25" s="1923"/>
      <c r="B25" s="722"/>
      <c r="C25" s="722"/>
      <c r="D25" s="722"/>
      <c r="E25" s="722"/>
      <c r="F25" s="722"/>
      <c r="G25" s="722"/>
      <c r="H25" s="722"/>
      <c r="I25" s="722"/>
      <c r="J25" s="722"/>
      <c r="K25" s="722"/>
      <c r="L25" s="722"/>
      <c r="M25" s="722"/>
      <c r="N25" s="722"/>
      <c r="O25" s="722"/>
      <c r="P25" s="722"/>
      <c r="Q25" s="722"/>
      <c r="R25" s="722"/>
      <c r="S25" s="722"/>
      <c r="T25" s="722"/>
      <c r="U25" s="722"/>
      <c r="V25" s="722"/>
      <c r="W25" s="722"/>
      <c r="X25" s="722"/>
      <c r="Y25" s="722"/>
      <c r="Z25" s="722"/>
      <c r="AA25" s="722"/>
      <c r="AB25" s="722"/>
      <c r="AC25" s="722"/>
      <c r="AD25" s="722"/>
      <c r="AE25" s="722"/>
      <c r="AF25" s="722"/>
      <c r="AG25" s="722"/>
      <c r="AH25" s="722"/>
      <c r="AI25" s="722"/>
      <c r="AJ25" s="722"/>
      <c r="AK25" s="722"/>
      <c r="AL25" s="722"/>
      <c r="AM25" s="722"/>
      <c r="AN25" s="722"/>
      <c r="AO25" s="722"/>
    </row>
    <row r="26" spans="1:41" s="7" customFormat="1" ht="15" x14ac:dyDescent="0.25">
      <c r="A26" s="5043" t="s">
        <v>163</v>
      </c>
      <c r="B26" s="246" t="s">
        <v>6</v>
      </c>
      <c r="C26" s="309">
        <v>4040</v>
      </c>
      <c r="D26" s="310">
        <v>4100</v>
      </c>
      <c r="E26" s="311">
        <v>4173</v>
      </c>
      <c r="F26" s="309">
        <v>4020</v>
      </c>
      <c r="G26" s="310">
        <v>4359</v>
      </c>
      <c r="H26" s="310">
        <v>4550</v>
      </c>
      <c r="I26" s="309">
        <v>4381</v>
      </c>
      <c r="J26" s="310">
        <v>4670</v>
      </c>
      <c r="K26" s="311">
        <v>4867</v>
      </c>
      <c r="L26" s="309">
        <v>4606</v>
      </c>
      <c r="M26" s="310">
        <v>4784</v>
      </c>
      <c r="N26" s="311">
        <v>4915</v>
      </c>
      <c r="O26" s="310">
        <v>4682</v>
      </c>
      <c r="P26" s="310">
        <v>4918</v>
      </c>
      <c r="Q26" s="311">
        <v>5006</v>
      </c>
      <c r="R26" s="310">
        <v>4747</v>
      </c>
      <c r="S26" s="310">
        <v>4801</v>
      </c>
      <c r="T26" s="311">
        <v>4793</v>
      </c>
      <c r="U26" s="309">
        <v>4593</v>
      </c>
      <c r="V26" s="310">
        <v>4758</v>
      </c>
      <c r="W26" s="311">
        <v>4690</v>
      </c>
      <c r="X26" s="309">
        <v>4524</v>
      </c>
      <c r="Y26" s="310">
        <v>4694</v>
      </c>
      <c r="Z26" s="311">
        <v>4746</v>
      </c>
      <c r="AA26" s="309">
        <f>SUM('Matrícula plan'!AB77:AB82)</f>
        <v>4460</v>
      </c>
      <c r="AB26" s="310">
        <f>SUM('Matrícula plan'!AC77:AC82)</f>
        <v>4598</v>
      </c>
      <c r="AC26" s="311">
        <f>SUM('Matrícula plan'!AD77:AD82)</f>
        <v>4733</v>
      </c>
      <c r="AD26" s="309">
        <f>SUM('Matrícula plan'!AE77:AE82)</f>
        <v>4460</v>
      </c>
      <c r="AE26" s="310">
        <f>SUM('Matrícula plan'!AF77:AF82)</f>
        <v>4611</v>
      </c>
      <c r="AF26" s="311">
        <f>SUM('Matrícula plan'!AG77:AG82)</f>
        <v>4841</v>
      </c>
      <c r="AG26" s="309">
        <f>SUM('Matrícula plan'!AH77:AH82)</f>
        <v>4611</v>
      </c>
      <c r="AH26" s="310">
        <f>SUM('Matrícula plan'!AI77:AI82)</f>
        <v>4753</v>
      </c>
      <c r="AI26" s="311">
        <f>SUM('Matrícula plan'!AJ77:AJ82)</f>
        <v>4753</v>
      </c>
      <c r="AJ26" s="309">
        <f>SUM('Matrícula plan'!AK77:AK82)</f>
        <v>4303</v>
      </c>
      <c r="AK26" s="310">
        <f>SUM('Matrícula plan'!AL77:AL82)</f>
        <v>4703</v>
      </c>
      <c r="AL26" s="311">
        <f>SUM('Matrícula plan'!AM77:AM82)</f>
        <v>4782</v>
      </c>
      <c r="AM26" s="309">
        <f>SUM('Matrícula plan'!AN77:AN82)</f>
        <v>4545</v>
      </c>
      <c r="AN26" s="310">
        <f>SUM('Matrícula plan'!AO77:AO82)</f>
        <v>4678</v>
      </c>
      <c r="AO26" s="311">
        <f>SUM('Matrícula plan'!AP77:AP82)</f>
        <v>4781</v>
      </c>
    </row>
    <row r="27" spans="1:41" s="7" customFormat="1" ht="15" x14ac:dyDescent="0.25">
      <c r="A27" s="5044"/>
      <c r="B27" s="247" t="s">
        <v>11</v>
      </c>
      <c r="C27" s="312">
        <v>4790</v>
      </c>
      <c r="D27" s="313">
        <v>5071</v>
      </c>
      <c r="E27" s="314">
        <v>5336</v>
      </c>
      <c r="F27" s="312">
        <v>4885</v>
      </c>
      <c r="G27" s="313">
        <v>5473</v>
      </c>
      <c r="H27" s="313">
        <v>5903</v>
      </c>
      <c r="I27" s="312">
        <v>5377</v>
      </c>
      <c r="J27" s="313">
        <v>6066</v>
      </c>
      <c r="K27" s="314">
        <v>6446</v>
      </c>
      <c r="L27" s="312">
        <v>5906</v>
      </c>
      <c r="M27" s="313">
        <v>6467</v>
      </c>
      <c r="N27" s="314">
        <v>6757</v>
      </c>
      <c r="O27" s="313">
        <v>6228</v>
      </c>
      <c r="P27" s="313">
        <v>6543</v>
      </c>
      <c r="Q27" s="314">
        <v>6713</v>
      </c>
      <c r="R27" s="313">
        <v>6140</v>
      </c>
      <c r="S27" s="313">
        <v>6274</v>
      </c>
      <c r="T27" s="314">
        <v>6444</v>
      </c>
      <c r="U27" s="312">
        <v>5923</v>
      </c>
      <c r="V27" s="313">
        <v>6284</v>
      </c>
      <c r="W27" s="314">
        <v>6270</v>
      </c>
      <c r="X27" s="312">
        <v>5752</v>
      </c>
      <c r="Y27" s="313">
        <v>6123</v>
      </c>
      <c r="Z27" s="314">
        <v>6339</v>
      </c>
      <c r="AA27" s="312">
        <f>SUM('Matrícula plan'!AB84:AB91)</f>
        <v>5767</v>
      </c>
      <c r="AB27" s="313">
        <f>SUM('Matrícula plan'!AC84:AC91)</f>
        <v>6077</v>
      </c>
      <c r="AC27" s="314">
        <f>SUM('Matrícula plan'!AD84:AD91)</f>
        <v>6294</v>
      </c>
      <c r="AD27" s="312">
        <f>SUM('Matrícula plan'!AE84:AE91)</f>
        <v>5643</v>
      </c>
      <c r="AE27" s="313">
        <f>SUM('Matrícula plan'!AF84:AF91)</f>
        <v>6017</v>
      </c>
      <c r="AF27" s="314">
        <f>SUM('Matrícula plan'!AG84:AG91)</f>
        <v>6161</v>
      </c>
      <c r="AG27" s="312">
        <f>SUM('Matrícula plan'!AH84:AH91)</f>
        <v>5670</v>
      </c>
      <c r="AH27" s="313">
        <f>SUM('Matrícula plan'!AI84:AI91)</f>
        <v>6058</v>
      </c>
      <c r="AI27" s="314">
        <f>SUM('Matrícula plan'!AJ84:AJ91)</f>
        <v>6284</v>
      </c>
      <c r="AJ27" s="312">
        <f>SUM('Matrícula plan'!AK84:AK91)</f>
        <v>5426</v>
      </c>
      <c r="AK27" s="313">
        <f>SUM('Matrícula plan'!AL84:AL91)</f>
        <v>6154</v>
      </c>
      <c r="AL27" s="314">
        <f>SUM('Matrícula plan'!AM84:AM91)</f>
        <v>6362</v>
      </c>
      <c r="AM27" s="312">
        <f>SUM('Matrícula plan'!AN84:AN91)</f>
        <v>5749</v>
      </c>
      <c r="AN27" s="313">
        <f>SUM('Matrícula plan'!AO84:AO91)</f>
        <v>6128</v>
      </c>
      <c r="AO27" s="314">
        <f>SUM('Matrícula plan'!AP84:AP91)</f>
        <v>6384</v>
      </c>
    </row>
    <row r="28" spans="1:41" s="7" customFormat="1" ht="15" x14ac:dyDescent="0.25">
      <c r="A28" s="5044"/>
      <c r="B28" s="247" t="s">
        <v>7</v>
      </c>
      <c r="C28" s="312">
        <v>2034</v>
      </c>
      <c r="D28" s="313">
        <v>2150</v>
      </c>
      <c r="E28" s="314">
        <v>2350</v>
      </c>
      <c r="F28" s="312">
        <v>2141</v>
      </c>
      <c r="G28" s="313">
        <v>2352</v>
      </c>
      <c r="H28" s="313">
        <v>2463</v>
      </c>
      <c r="I28" s="312">
        <v>2342</v>
      </c>
      <c r="J28" s="313">
        <v>2499</v>
      </c>
      <c r="K28" s="314">
        <v>2562</v>
      </c>
      <c r="L28" s="312">
        <v>2437</v>
      </c>
      <c r="M28" s="313">
        <v>2537</v>
      </c>
      <c r="N28" s="314">
        <v>2555</v>
      </c>
      <c r="O28" s="313">
        <v>2405</v>
      </c>
      <c r="P28" s="313">
        <v>2588</v>
      </c>
      <c r="Q28" s="314">
        <v>2624</v>
      </c>
      <c r="R28" s="313">
        <v>2476</v>
      </c>
      <c r="S28" s="313">
        <v>2556</v>
      </c>
      <c r="T28" s="314">
        <v>2508</v>
      </c>
      <c r="U28" s="312">
        <v>2360</v>
      </c>
      <c r="V28" s="313">
        <v>2503</v>
      </c>
      <c r="W28" s="314">
        <v>2427</v>
      </c>
      <c r="X28" s="312">
        <v>2344</v>
      </c>
      <c r="Y28" s="313">
        <v>2383</v>
      </c>
      <c r="Z28" s="314">
        <v>2400</v>
      </c>
      <c r="AA28" s="312">
        <f>SUM('Matrícula plan'!AB93:AB96)</f>
        <v>2192</v>
      </c>
      <c r="AB28" s="313">
        <f>SUM('Matrícula plan'!AC93:AC96)</f>
        <v>2294</v>
      </c>
      <c r="AC28" s="314">
        <f>SUM('Matrícula plan'!AD93:AD96)</f>
        <v>2429</v>
      </c>
      <c r="AD28" s="312">
        <f>SUM('Matrícula plan'!AE93:AE96)</f>
        <v>2222</v>
      </c>
      <c r="AE28" s="313">
        <f>SUM('Matrícula plan'!AF93:AF96)</f>
        <v>2342</v>
      </c>
      <c r="AF28" s="314">
        <f>SUM('Matrícula plan'!AG93:AG96)</f>
        <v>2430</v>
      </c>
      <c r="AG28" s="312">
        <f>SUM('Matrícula plan'!AH93:AH96)</f>
        <v>2274</v>
      </c>
      <c r="AH28" s="313">
        <f>SUM('Matrícula plan'!AI93:AI96)</f>
        <v>2355</v>
      </c>
      <c r="AI28" s="314">
        <f>SUM('Matrícula plan'!AJ93:AJ96)</f>
        <v>2454</v>
      </c>
      <c r="AJ28" s="312">
        <f>SUM('Matrícula plan'!AK93:AK96)</f>
        <v>2189</v>
      </c>
      <c r="AK28" s="313">
        <f>SUM('Matrícula plan'!AL93:AL96)</f>
        <v>2361</v>
      </c>
      <c r="AL28" s="314">
        <f>SUM('Matrícula plan'!AM93:AM96)</f>
        <v>2423</v>
      </c>
      <c r="AM28" s="312">
        <f>SUM('Matrícula plan'!AN93:AN96)</f>
        <v>2299</v>
      </c>
      <c r="AN28" s="313">
        <f>SUM('Matrícula plan'!AO93:AO96)</f>
        <v>2308</v>
      </c>
      <c r="AO28" s="314">
        <f>SUM('Matrícula plan'!AP93:AP96)</f>
        <v>2459</v>
      </c>
    </row>
    <row r="29" spans="1:41" s="7" customFormat="1" ht="15" x14ac:dyDescent="0.25">
      <c r="A29" s="5110"/>
      <c r="B29" s="2351" t="s">
        <v>12</v>
      </c>
      <c r="C29" s="2428">
        <v>10864</v>
      </c>
      <c r="D29" s="2429">
        <v>11321</v>
      </c>
      <c r="E29" s="2430">
        <v>11859</v>
      </c>
      <c r="F29" s="2428">
        <v>11046</v>
      </c>
      <c r="G29" s="2429">
        <v>12184</v>
      </c>
      <c r="H29" s="2429">
        <v>12916</v>
      </c>
      <c r="I29" s="2428">
        <v>12100</v>
      </c>
      <c r="J29" s="2429">
        <v>13235</v>
      </c>
      <c r="K29" s="2430">
        <v>13875</v>
      </c>
      <c r="L29" s="2428">
        <v>12949</v>
      </c>
      <c r="M29" s="2429">
        <v>13788</v>
      </c>
      <c r="N29" s="2430">
        <v>14227</v>
      </c>
      <c r="O29" s="2429">
        <v>13315</v>
      </c>
      <c r="P29" s="2429">
        <v>14049</v>
      </c>
      <c r="Q29" s="2430">
        <v>14343</v>
      </c>
      <c r="R29" s="2429">
        <v>13363</v>
      </c>
      <c r="S29" s="2429">
        <v>13631</v>
      </c>
      <c r="T29" s="2430">
        <v>13745</v>
      </c>
      <c r="U29" s="2428">
        <v>12876</v>
      </c>
      <c r="V29" s="2429">
        <v>13545</v>
      </c>
      <c r="W29" s="2430">
        <v>13387</v>
      </c>
      <c r="X29" s="2428">
        <f t="shared" ref="X29:AC29" si="12">SUM(X26:X28)</f>
        <v>12620</v>
      </c>
      <c r="Y29" s="2429">
        <f t="shared" si="12"/>
        <v>13200</v>
      </c>
      <c r="Z29" s="2430">
        <f t="shared" si="12"/>
        <v>13485</v>
      </c>
      <c r="AA29" s="2428">
        <f t="shared" si="12"/>
        <v>12419</v>
      </c>
      <c r="AB29" s="2429">
        <f t="shared" si="12"/>
        <v>12969</v>
      </c>
      <c r="AC29" s="2430">
        <f t="shared" si="12"/>
        <v>13456</v>
      </c>
      <c r="AD29" s="2428">
        <f t="shared" ref="AD29:AI29" si="13">SUM(AD26:AD28)</f>
        <v>12325</v>
      </c>
      <c r="AE29" s="2429">
        <f t="shared" si="13"/>
        <v>12970</v>
      </c>
      <c r="AF29" s="2430">
        <f t="shared" si="13"/>
        <v>13432</v>
      </c>
      <c r="AG29" s="2428">
        <f t="shared" si="13"/>
        <v>12555</v>
      </c>
      <c r="AH29" s="2429">
        <f t="shared" si="13"/>
        <v>13166</v>
      </c>
      <c r="AI29" s="2430">
        <f t="shared" si="13"/>
        <v>13491</v>
      </c>
      <c r="AJ29" s="2428">
        <f t="shared" ref="AJ29:AO29" si="14">SUM(AJ26:AJ28)</f>
        <v>11918</v>
      </c>
      <c r="AK29" s="2429">
        <f t="shared" si="14"/>
        <v>13218</v>
      </c>
      <c r="AL29" s="2430">
        <f t="shared" si="14"/>
        <v>13567</v>
      </c>
      <c r="AM29" s="2428">
        <f t="shared" si="14"/>
        <v>12593</v>
      </c>
      <c r="AN29" s="2429">
        <f t="shared" si="14"/>
        <v>13114</v>
      </c>
      <c r="AO29" s="2430">
        <f t="shared" si="14"/>
        <v>13624</v>
      </c>
    </row>
    <row r="30" spans="1:41" s="8" customFormat="1" ht="15" x14ac:dyDescent="0.2">
      <c r="A30" s="308"/>
      <c r="B30" s="308"/>
      <c r="C30" s="308"/>
      <c r="D30" s="308"/>
      <c r="E30" s="308"/>
      <c r="F30" s="308"/>
      <c r="G30" s="308"/>
      <c r="H30" s="308"/>
      <c r="I30" s="308"/>
      <c r="J30" s="308"/>
      <c r="K30" s="308"/>
      <c r="L30" s="308"/>
      <c r="M30" s="308"/>
      <c r="N30" s="308"/>
      <c r="O30" s="308"/>
      <c r="P30" s="308"/>
      <c r="Q30" s="308"/>
      <c r="R30" s="308"/>
      <c r="S30" s="308"/>
      <c r="T30" s="308"/>
      <c r="U30" s="308"/>
      <c r="V30" s="308"/>
      <c r="W30" s="308"/>
      <c r="X30" s="308"/>
      <c r="Y30" s="308"/>
      <c r="Z30" s="308"/>
      <c r="AA30" s="308"/>
      <c r="AB30" s="308"/>
      <c r="AC30" s="308"/>
      <c r="AD30" s="308"/>
      <c r="AE30" s="308"/>
      <c r="AF30" s="308"/>
      <c r="AG30" s="308"/>
      <c r="AH30" s="308"/>
      <c r="AI30" s="308"/>
      <c r="AJ30" s="308"/>
      <c r="AK30" s="308"/>
      <c r="AL30" s="308"/>
      <c r="AM30" s="308"/>
      <c r="AN30" s="308"/>
      <c r="AO30" s="308"/>
    </row>
    <row r="31" spans="1:41" s="8" customFormat="1" ht="15" x14ac:dyDescent="0.25">
      <c r="A31" s="5168" t="s">
        <v>60</v>
      </c>
      <c r="B31" s="246" t="s">
        <v>5</v>
      </c>
      <c r="C31" s="309">
        <v>7349</v>
      </c>
      <c r="D31" s="310">
        <v>7440</v>
      </c>
      <c r="E31" s="311">
        <v>7958</v>
      </c>
      <c r="F31" s="309">
        <v>7287</v>
      </c>
      <c r="G31" s="310">
        <v>7563</v>
      </c>
      <c r="H31" s="310">
        <v>8311</v>
      </c>
      <c r="I31" s="309">
        <v>7579</v>
      </c>
      <c r="J31" s="310">
        <v>8012</v>
      </c>
      <c r="K31" s="311">
        <v>8568</v>
      </c>
      <c r="L31" s="309">
        <v>7775</v>
      </c>
      <c r="M31" s="310">
        <v>8254</v>
      </c>
      <c r="N31" s="311">
        <v>8781</v>
      </c>
      <c r="O31" s="310">
        <v>8119</v>
      </c>
      <c r="P31" s="310">
        <v>8398</v>
      </c>
      <c r="Q31" s="311">
        <v>8921</v>
      </c>
      <c r="R31" s="310">
        <v>8290</v>
      </c>
      <c r="S31" s="310">
        <v>8339</v>
      </c>
      <c r="T31" s="311">
        <v>9064</v>
      </c>
      <c r="U31" s="309">
        <v>8571</v>
      </c>
      <c r="V31" s="310">
        <v>8957</v>
      </c>
      <c r="W31" s="311">
        <v>9371</v>
      </c>
      <c r="X31" s="309">
        <f>SUM(X6,X16)</f>
        <v>8861</v>
      </c>
      <c r="Y31" s="310">
        <f>SUM(Y6,Y16)</f>
        <v>9259</v>
      </c>
      <c r="Z31" s="311">
        <f>SUM(Z6,Z16)</f>
        <v>10140</v>
      </c>
      <c r="AA31" s="309">
        <f t="shared" ref="AA31:AF31" si="15">SUM(AA6,AA16,AA21)</f>
        <v>9338</v>
      </c>
      <c r="AB31" s="310">
        <f t="shared" si="15"/>
        <v>10115</v>
      </c>
      <c r="AC31" s="311">
        <f t="shared" si="15"/>
        <v>10334</v>
      </c>
      <c r="AD31" s="309">
        <f t="shared" si="15"/>
        <v>9793</v>
      </c>
      <c r="AE31" s="310">
        <f t="shared" si="15"/>
        <v>10140</v>
      </c>
      <c r="AF31" s="311">
        <f t="shared" si="15"/>
        <v>10392</v>
      </c>
      <c r="AG31" s="309">
        <f t="shared" ref="AG31:AL31" si="16">SUM(AG6,AG16,AG21)</f>
        <v>9821</v>
      </c>
      <c r="AH31" s="310">
        <f t="shared" si="16"/>
        <v>10275</v>
      </c>
      <c r="AI31" s="311">
        <f t="shared" si="16"/>
        <v>10887</v>
      </c>
      <c r="AJ31" s="309">
        <f t="shared" si="16"/>
        <v>9987</v>
      </c>
      <c r="AK31" s="310">
        <f t="shared" si="16"/>
        <v>10057</v>
      </c>
      <c r="AL31" s="311">
        <f t="shared" si="16"/>
        <v>10786</v>
      </c>
      <c r="AM31" s="309">
        <f t="shared" ref="AM31:AO31" si="17">SUM(AM6,AM16,AM21)</f>
        <v>9873</v>
      </c>
      <c r="AN31" s="310">
        <f t="shared" si="17"/>
        <v>9943</v>
      </c>
      <c r="AO31" s="311">
        <f t="shared" si="17"/>
        <v>10634</v>
      </c>
    </row>
    <row r="32" spans="1:41" s="8" customFormat="1" ht="15" x14ac:dyDescent="0.25">
      <c r="A32" s="5169"/>
      <c r="B32" s="247" t="s">
        <v>6</v>
      </c>
      <c r="C32" s="312">
        <v>12253</v>
      </c>
      <c r="D32" s="313">
        <v>12300</v>
      </c>
      <c r="E32" s="314">
        <v>12989</v>
      </c>
      <c r="F32" s="312">
        <v>12136</v>
      </c>
      <c r="G32" s="313">
        <v>12329</v>
      </c>
      <c r="H32" s="313">
        <v>13300</v>
      </c>
      <c r="I32" s="312">
        <v>12436</v>
      </c>
      <c r="J32" s="313">
        <v>12697</v>
      </c>
      <c r="K32" s="314">
        <v>13821</v>
      </c>
      <c r="L32" s="312">
        <v>12783</v>
      </c>
      <c r="M32" s="313">
        <v>12954</v>
      </c>
      <c r="N32" s="314">
        <v>14010</v>
      </c>
      <c r="O32" s="313">
        <v>13145</v>
      </c>
      <c r="P32" s="313">
        <v>13452</v>
      </c>
      <c r="Q32" s="314">
        <v>14435</v>
      </c>
      <c r="R32" s="313">
        <v>13548</v>
      </c>
      <c r="S32" s="313">
        <v>13520</v>
      </c>
      <c r="T32" s="314">
        <v>14498</v>
      </c>
      <c r="U32" s="312">
        <v>13846</v>
      </c>
      <c r="V32" s="313">
        <v>14084</v>
      </c>
      <c r="W32" s="314">
        <v>14714</v>
      </c>
      <c r="X32" s="312">
        <f>SUM(X7,X11,X17,X26)</f>
        <v>13971</v>
      </c>
      <c r="Y32" s="313">
        <f>SUM(Y7,Y11,Y17,Y26)</f>
        <v>14300</v>
      </c>
      <c r="Z32" s="314">
        <f>SUM(Z7,Z11,Z17,Z26)</f>
        <v>15225</v>
      </c>
      <c r="AA32" s="312">
        <f t="shared" ref="AA32:AF32" si="18">SUM(AA7,AA17,AA26,AA11,AA22)</f>
        <v>14033</v>
      </c>
      <c r="AB32" s="313">
        <f t="shared" si="18"/>
        <v>14478</v>
      </c>
      <c r="AC32" s="314">
        <f t="shared" si="18"/>
        <v>15315</v>
      </c>
      <c r="AD32" s="312">
        <f t="shared" si="18"/>
        <v>14433</v>
      </c>
      <c r="AE32" s="313">
        <f t="shared" si="18"/>
        <v>14951</v>
      </c>
      <c r="AF32" s="314">
        <f t="shared" si="18"/>
        <v>15858</v>
      </c>
      <c r="AG32" s="312">
        <f t="shared" ref="AG32:AL32" si="19">SUM(AG7,AG17,AG26,AG11,AG22)</f>
        <v>14935</v>
      </c>
      <c r="AH32" s="313">
        <f t="shared" si="19"/>
        <v>15276</v>
      </c>
      <c r="AI32" s="314">
        <f t="shared" si="19"/>
        <v>16063</v>
      </c>
      <c r="AJ32" s="312">
        <f t="shared" si="19"/>
        <v>14648</v>
      </c>
      <c r="AK32" s="313">
        <f t="shared" si="19"/>
        <v>15289</v>
      </c>
      <c r="AL32" s="314">
        <f t="shared" si="19"/>
        <v>16395</v>
      </c>
      <c r="AM32" s="312">
        <f t="shared" ref="AM32:AO32" si="20">SUM(AM7,AM17,AM26,AM11,AM22)</f>
        <v>15203</v>
      </c>
      <c r="AN32" s="313">
        <f t="shared" si="20"/>
        <v>15554</v>
      </c>
      <c r="AO32" s="314">
        <f t="shared" si="20"/>
        <v>16608</v>
      </c>
    </row>
    <row r="33" spans="1:41" s="8" customFormat="1" ht="15" x14ac:dyDescent="0.25">
      <c r="A33" s="5169"/>
      <c r="B33" s="247" t="s">
        <v>11</v>
      </c>
      <c r="C33" s="312">
        <v>7721</v>
      </c>
      <c r="D33" s="313">
        <v>7941</v>
      </c>
      <c r="E33" s="314">
        <v>8314</v>
      </c>
      <c r="F33" s="312">
        <v>7652</v>
      </c>
      <c r="G33" s="313">
        <v>8225</v>
      </c>
      <c r="H33" s="313">
        <v>8784</v>
      </c>
      <c r="I33" s="312">
        <v>8029</v>
      </c>
      <c r="J33" s="313">
        <v>8676</v>
      </c>
      <c r="K33" s="314">
        <v>9210</v>
      </c>
      <c r="L33" s="312">
        <v>8466</v>
      </c>
      <c r="M33" s="313">
        <v>9041</v>
      </c>
      <c r="N33" s="314">
        <v>9527</v>
      </c>
      <c r="O33" s="313">
        <v>8786</v>
      </c>
      <c r="P33" s="313">
        <v>9111</v>
      </c>
      <c r="Q33" s="314">
        <v>9474</v>
      </c>
      <c r="R33" s="313">
        <v>8735</v>
      </c>
      <c r="S33" s="313">
        <v>8865</v>
      </c>
      <c r="T33" s="314">
        <v>9210</v>
      </c>
      <c r="U33" s="312">
        <v>8516</v>
      </c>
      <c r="V33" s="313">
        <v>9056</v>
      </c>
      <c r="W33" s="314">
        <v>9284</v>
      </c>
      <c r="X33" s="312">
        <f>SUM(X18,X27)</f>
        <v>8611</v>
      </c>
      <c r="Y33" s="313">
        <f>SUM(Y18,Y27)</f>
        <v>9153</v>
      </c>
      <c r="Z33" s="314">
        <f>SUM(Z18,Z27)</f>
        <v>9581</v>
      </c>
      <c r="AA33" s="312">
        <f t="shared" ref="AA33:AF33" si="21">SUM(AA18,AA27,AA23)</f>
        <v>8734</v>
      </c>
      <c r="AB33" s="313">
        <f t="shared" si="21"/>
        <v>9309</v>
      </c>
      <c r="AC33" s="314">
        <f t="shared" si="21"/>
        <v>9756</v>
      </c>
      <c r="AD33" s="312">
        <f t="shared" si="21"/>
        <v>8921</v>
      </c>
      <c r="AE33" s="313">
        <f t="shared" si="21"/>
        <v>9570</v>
      </c>
      <c r="AF33" s="314">
        <f t="shared" si="21"/>
        <v>9919</v>
      </c>
      <c r="AG33" s="312">
        <f t="shared" ref="AG33:AL33" si="22">SUM(AG18,AG27,AG23)</f>
        <v>9340</v>
      </c>
      <c r="AH33" s="313">
        <f t="shared" si="22"/>
        <v>9994</v>
      </c>
      <c r="AI33" s="314">
        <f t="shared" si="22"/>
        <v>10455</v>
      </c>
      <c r="AJ33" s="312">
        <f t="shared" si="22"/>
        <v>9288</v>
      </c>
      <c r="AK33" s="313">
        <f t="shared" si="22"/>
        <v>10192</v>
      </c>
      <c r="AL33" s="314">
        <f t="shared" si="22"/>
        <v>10565</v>
      </c>
      <c r="AM33" s="312">
        <f t="shared" ref="AM33:AO33" si="23">SUM(AM18,AM27,AM23)</f>
        <v>9713</v>
      </c>
      <c r="AN33" s="313">
        <f t="shared" si="23"/>
        <v>10203</v>
      </c>
      <c r="AO33" s="314">
        <f t="shared" si="23"/>
        <v>10616</v>
      </c>
    </row>
    <row r="34" spans="1:41" s="8" customFormat="1" ht="15" x14ac:dyDescent="0.25">
      <c r="A34" s="5169"/>
      <c r="B34" s="247" t="s">
        <v>7</v>
      </c>
      <c r="C34" s="312">
        <v>4478</v>
      </c>
      <c r="D34" s="313">
        <v>4713</v>
      </c>
      <c r="E34" s="314">
        <v>5048</v>
      </c>
      <c r="F34" s="312">
        <v>4575</v>
      </c>
      <c r="G34" s="313">
        <v>4905</v>
      </c>
      <c r="H34" s="313">
        <v>5172</v>
      </c>
      <c r="I34" s="312">
        <v>4871</v>
      </c>
      <c r="J34" s="313">
        <v>5160</v>
      </c>
      <c r="K34" s="314">
        <v>5317</v>
      </c>
      <c r="L34" s="312">
        <v>5022</v>
      </c>
      <c r="M34" s="313">
        <v>5165</v>
      </c>
      <c r="N34" s="314">
        <v>5298</v>
      </c>
      <c r="O34" s="313">
        <v>4934</v>
      </c>
      <c r="P34" s="313">
        <v>5176</v>
      </c>
      <c r="Q34" s="314">
        <v>5266</v>
      </c>
      <c r="R34" s="313">
        <v>4933</v>
      </c>
      <c r="S34" s="313">
        <v>5092</v>
      </c>
      <c r="T34" s="314">
        <v>5096</v>
      </c>
      <c r="U34" s="312">
        <v>4818</v>
      </c>
      <c r="V34" s="313">
        <v>5014</v>
      </c>
      <c r="W34" s="314">
        <v>4943</v>
      </c>
      <c r="X34" s="312">
        <f t="shared" ref="X34:AC34" si="24">SUM(X8,X28)</f>
        <v>4729</v>
      </c>
      <c r="Y34" s="313">
        <f t="shared" si="24"/>
        <v>4901</v>
      </c>
      <c r="Z34" s="314">
        <f t="shared" si="24"/>
        <v>5047</v>
      </c>
      <c r="AA34" s="312">
        <f t="shared" si="24"/>
        <v>4604</v>
      </c>
      <c r="AB34" s="313">
        <f t="shared" si="24"/>
        <v>4888</v>
      </c>
      <c r="AC34" s="314">
        <f t="shared" si="24"/>
        <v>4976</v>
      </c>
      <c r="AD34" s="312">
        <f t="shared" ref="AD34:AI34" si="25">SUM(AD8,AD28)</f>
        <v>4712</v>
      </c>
      <c r="AE34" s="313">
        <f t="shared" si="25"/>
        <v>5014</v>
      </c>
      <c r="AF34" s="314">
        <f t="shared" si="25"/>
        <v>5104</v>
      </c>
      <c r="AG34" s="312">
        <f t="shared" si="25"/>
        <v>4888</v>
      </c>
      <c r="AH34" s="313">
        <f t="shared" si="25"/>
        <v>5132</v>
      </c>
      <c r="AI34" s="314">
        <f t="shared" si="25"/>
        <v>5256</v>
      </c>
      <c r="AJ34" s="312">
        <f t="shared" ref="AJ34:AO34" si="26">SUM(AJ8,AJ28)</f>
        <v>4872</v>
      </c>
      <c r="AK34" s="313">
        <f t="shared" si="26"/>
        <v>5146</v>
      </c>
      <c r="AL34" s="314">
        <f t="shared" si="26"/>
        <v>5261</v>
      </c>
      <c r="AM34" s="312">
        <f t="shared" si="26"/>
        <v>4921</v>
      </c>
      <c r="AN34" s="313">
        <f t="shared" si="26"/>
        <v>5101</v>
      </c>
      <c r="AO34" s="314">
        <f t="shared" si="26"/>
        <v>5390</v>
      </c>
    </row>
    <row r="35" spans="1:41" s="8" customFormat="1" ht="15" x14ac:dyDescent="0.25">
      <c r="A35" s="5169"/>
      <c r="B35" s="247" t="s">
        <v>9</v>
      </c>
      <c r="C35" s="312"/>
      <c r="D35" s="313"/>
      <c r="E35" s="314"/>
      <c r="F35" s="312"/>
      <c r="G35" s="313"/>
      <c r="H35" s="313"/>
      <c r="I35" s="312"/>
      <c r="J35" s="313"/>
      <c r="K35" s="314">
        <v>34</v>
      </c>
      <c r="L35" s="312">
        <v>29</v>
      </c>
      <c r="M35" s="313">
        <v>29</v>
      </c>
      <c r="N35" s="314">
        <v>61</v>
      </c>
      <c r="O35" s="313">
        <v>60</v>
      </c>
      <c r="P35" s="313">
        <v>59</v>
      </c>
      <c r="Q35" s="314">
        <v>187</v>
      </c>
      <c r="R35" s="313">
        <v>174</v>
      </c>
      <c r="S35" s="313">
        <v>167</v>
      </c>
      <c r="T35" s="314">
        <v>292</v>
      </c>
      <c r="U35" s="312">
        <v>272</v>
      </c>
      <c r="V35" s="313">
        <v>263</v>
      </c>
      <c r="W35" s="314">
        <v>360</v>
      </c>
      <c r="X35" s="312">
        <f t="shared" ref="X35:AC36" si="27">SUM(X12)</f>
        <v>328</v>
      </c>
      <c r="Y35" s="313">
        <f t="shared" si="27"/>
        <v>313</v>
      </c>
      <c r="Z35" s="314">
        <f t="shared" si="27"/>
        <v>423</v>
      </c>
      <c r="AA35" s="312">
        <f t="shared" si="27"/>
        <v>396</v>
      </c>
      <c r="AB35" s="313">
        <f t="shared" si="27"/>
        <v>385</v>
      </c>
      <c r="AC35" s="314">
        <f t="shared" si="27"/>
        <v>498</v>
      </c>
      <c r="AD35" s="312">
        <f t="shared" ref="AD35:AF36" si="28">SUM(AD12)</f>
        <v>452</v>
      </c>
      <c r="AE35" s="313">
        <f t="shared" si="28"/>
        <v>429</v>
      </c>
      <c r="AF35" s="314">
        <f t="shared" si="28"/>
        <v>520</v>
      </c>
      <c r="AG35" s="312">
        <f t="shared" ref="AG35:AI36" si="29">SUM(AG12)</f>
        <v>489</v>
      </c>
      <c r="AH35" s="313">
        <f t="shared" si="29"/>
        <v>471</v>
      </c>
      <c r="AI35" s="314">
        <f t="shared" si="29"/>
        <v>576</v>
      </c>
      <c r="AJ35" s="312">
        <f t="shared" ref="AJ35:AL36" si="30">SUM(AJ12)</f>
        <v>528</v>
      </c>
      <c r="AK35" s="313">
        <f t="shared" si="30"/>
        <v>515</v>
      </c>
      <c r="AL35" s="314">
        <f t="shared" si="30"/>
        <v>644</v>
      </c>
      <c r="AM35" s="312">
        <f t="shared" ref="AM35:AO35" si="31">SUM(AM12)</f>
        <v>589</v>
      </c>
      <c r="AN35" s="313">
        <f t="shared" si="31"/>
        <v>565</v>
      </c>
      <c r="AO35" s="314">
        <f t="shared" si="31"/>
        <v>726</v>
      </c>
    </row>
    <row r="36" spans="1:41" s="8" customFormat="1" ht="15" x14ac:dyDescent="0.25">
      <c r="A36" s="5169"/>
      <c r="B36" s="249" t="s">
        <v>74</v>
      </c>
      <c r="C36" s="315"/>
      <c r="D36" s="316"/>
      <c r="E36" s="317"/>
      <c r="F36" s="315"/>
      <c r="G36" s="316"/>
      <c r="H36" s="316"/>
      <c r="I36" s="315"/>
      <c r="J36" s="316"/>
      <c r="K36" s="317">
        <v>58</v>
      </c>
      <c r="L36" s="315">
        <v>50</v>
      </c>
      <c r="M36" s="316">
        <v>44</v>
      </c>
      <c r="N36" s="317">
        <v>68</v>
      </c>
      <c r="O36" s="316">
        <v>63</v>
      </c>
      <c r="P36" s="316">
        <v>56</v>
      </c>
      <c r="Q36" s="317">
        <v>120</v>
      </c>
      <c r="R36" s="316">
        <v>104</v>
      </c>
      <c r="S36" s="316">
        <v>95</v>
      </c>
      <c r="T36" s="317">
        <v>205</v>
      </c>
      <c r="U36" s="315">
        <v>189</v>
      </c>
      <c r="V36" s="316">
        <v>169</v>
      </c>
      <c r="W36" s="317">
        <v>238</v>
      </c>
      <c r="X36" s="315">
        <f t="shared" si="27"/>
        <v>209</v>
      </c>
      <c r="Y36" s="316">
        <f t="shared" si="27"/>
        <v>201</v>
      </c>
      <c r="Z36" s="317">
        <f t="shared" si="27"/>
        <v>296</v>
      </c>
      <c r="AA36" s="738">
        <f t="shared" si="27"/>
        <v>276</v>
      </c>
      <c r="AB36" s="739">
        <f t="shared" si="27"/>
        <v>261</v>
      </c>
      <c r="AC36" s="740">
        <f t="shared" si="27"/>
        <v>356</v>
      </c>
      <c r="AD36" s="738">
        <f t="shared" si="28"/>
        <v>341</v>
      </c>
      <c r="AE36" s="739">
        <f t="shared" si="28"/>
        <v>321</v>
      </c>
      <c r="AF36" s="740">
        <f t="shared" si="28"/>
        <v>449</v>
      </c>
      <c r="AG36" s="738">
        <f t="shared" si="29"/>
        <v>413</v>
      </c>
      <c r="AH36" s="739">
        <f t="shared" si="29"/>
        <v>382</v>
      </c>
      <c r="AI36" s="740">
        <f t="shared" si="29"/>
        <v>525</v>
      </c>
      <c r="AJ36" s="738">
        <f t="shared" si="30"/>
        <v>482</v>
      </c>
      <c r="AK36" s="739">
        <f t="shared" si="30"/>
        <v>450</v>
      </c>
      <c r="AL36" s="740">
        <f t="shared" si="30"/>
        <v>650</v>
      </c>
      <c r="AM36" s="738">
        <f t="shared" ref="AM36:AO36" si="32">SUM(AM13)</f>
        <v>590</v>
      </c>
      <c r="AN36" s="739">
        <f t="shared" si="32"/>
        <v>560</v>
      </c>
      <c r="AO36" s="740">
        <f t="shared" si="32"/>
        <v>738</v>
      </c>
    </row>
    <row r="37" spans="1:41" s="135" customFormat="1" ht="22.5" customHeight="1" x14ac:dyDescent="0.2">
      <c r="A37" s="5170"/>
      <c r="B37" s="734" t="s">
        <v>12</v>
      </c>
      <c r="C37" s="598">
        <f>SUM(C31:C36)</f>
        <v>31801</v>
      </c>
      <c r="D37" s="599">
        <f>SUM(D31:D36)</f>
        <v>32394</v>
      </c>
      <c r="E37" s="599">
        <f>SUM(E31:E36)</f>
        <v>34309</v>
      </c>
      <c r="F37" s="598">
        <f t="shared" ref="F37:Q37" si="33">SUM(F31:F36)</f>
        <v>31650</v>
      </c>
      <c r="G37" s="599">
        <f t="shared" si="33"/>
        <v>33022</v>
      </c>
      <c r="H37" s="599">
        <f t="shared" si="33"/>
        <v>35567</v>
      </c>
      <c r="I37" s="598">
        <f t="shared" si="33"/>
        <v>32915</v>
      </c>
      <c r="J37" s="599">
        <f t="shared" si="33"/>
        <v>34545</v>
      </c>
      <c r="K37" s="600">
        <f t="shared" si="33"/>
        <v>37008</v>
      </c>
      <c r="L37" s="599">
        <f t="shared" si="33"/>
        <v>34125</v>
      </c>
      <c r="M37" s="599">
        <f t="shared" si="33"/>
        <v>35487</v>
      </c>
      <c r="N37" s="600">
        <f t="shared" si="33"/>
        <v>37745</v>
      </c>
      <c r="O37" s="599">
        <f t="shared" si="33"/>
        <v>35107</v>
      </c>
      <c r="P37" s="599">
        <f t="shared" si="33"/>
        <v>36252</v>
      </c>
      <c r="Q37" s="600">
        <f t="shared" si="33"/>
        <v>38403</v>
      </c>
      <c r="R37" s="599">
        <v>35784</v>
      </c>
      <c r="S37" s="599">
        <v>36078</v>
      </c>
      <c r="T37" s="600">
        <v>38365</v>
      </c>
      <c r="U37" s="598">
        <f t="shared" ref="U37:Z37" si="34">SUM(U31:U36)</f>
        <v>36212</v>
      </c>
      <c r="V37" s="599">
        <f t="shared" si="34"/>
        <v>37543</v>
      </c>
      <c r="W37" s="600">
        <f t="shared" si="34"/>
        <v>38910</v>
      </c>
      <c r="X37" s="598">
        <f t="shared" si="34"/>
        <v>36709</v>
      </c>
      <c r="Y37" s="599">
        <f t="shared" si="34"/>
        <v>38127</v>
      </c>
      <c r="Z37" s="600">
        <f t="shared" si="34"/>
        <v>40712</v>
      </c>
      <c r="AA37" s="598">
        <f t="shared" ref="AA37:AF37" si="35">SUM(AA31:AA36)</f>
        <v>37381</v>
      </c>
      <c r="AB37" s="599">
        <f t="shared" si="35"/>
        <v>39436</v>
      </c>
      <c r="AC37" s="600">
        <f t="shared" si="35"/>
        <v>41235</v>
      </c>
      <c r="AD37" s="598">
        <f t="shared" si="35"/>
        <v>38652</v>
      </c>
      <c r="AE37" s="599">
        <f t="shared" si="35"/>
        <v>40425</v>
      </c>
      <c r="AF37" s="600">
        <f t="shared" si="35"/>
        <v>42242</v>
      </c>
      <c r="AG37" s="598">
        <f t="shared" ref="AG37:AL37" si="36">SUM(AG31:AG36)</f>
        <v>39886</v>
      </c>
      <c r="AH37" s="599">
        <f t="shared" si="36"/>
        <v>41530</v>
      </c>
      <c r="AI37" s="600">
        <f t="shared" si="36"/>
        <v>43762</v>
      </c>
      <c r="AJ37" s="598">
        <f t="shared" si="36"/>
        <v>39805</v>
      </c>
      <c r="AK37" s="599">
        <f t="shared" si="36"/>
        <v>41649</v>
      </c>
      <c r="AL37" s="600">
        <f t="shared" si="36"/>
        <v>44301</v>
      </c>
      <c r="AM37" s="598">
        <f t="shared" ref="AM37:AO37" si="37">SUM(AM31:AM36)</f>
        <v>40889</v>
      </c>
      <c r="AN37" s="599">
        <f t="shared" si="37"/>
        <v>41926</v>
      </c>
      <c r="AO37" s="600">
        <f t="shared" si="37"/>
        <v>44712</v>
      </c>
    </row>
    <row r="38" spans="1:41" s="9" customFormat="1" ht="15" x14ac:dyDescent="0.2">
      <c r="A38" s="5152"/>
      <c r="B38" s="5152"/>
      <c r="C38" s="5152"/>
      <c r="D38" s="5152"/>
      <c r="E38" s="5152"/>
      <c r="U38" s="253"/>
      <c r="V38" s="253"/>
      <c r="W38" s="253"/>
    </row>
    <row r="39" spans="1:41" s="9" customFormat="1" ht="15.75" x14ac:dyDescent="0.25">
      <c r="A39" s="318" t="s">
        <v>334</v>
      </c>
      <c r="B39" s="142"/>
      <c r="C39" s="142"/>
      <c r="D39" s="8"/>
      <c r="E39" s="8"/>
      <c r="AJ39" s="253"/>
    </row>
    <row r="43" spans="1:41" x14ac:dyDescent="0.2">
      <c r="F43" s="10"/>
      <c r="G43" s="10"/>
      <c r="H43" s="10"/>
      <c r="I43" s="10"/>
      <c r="L43" s="10"/>
      <c r="M43" s="10"/>
      <c r="N43" s="10"/>
      <c r="O43" s="10"/>
      <c r="Q43" s="10"/>
    </row>
    <row r="48" spans="1:41" x14ac:dyDescent="0.2">
      <c r="U48" s="4356">
        <v>2003</v>
      </c>
    </row>
    <row r="49" spans="21:21" x14ac:dyDescent="0.2">
      <c r="U49" s="4356">
        <v>2004</v>
      </c>
    </row>
    <row r="50" spans="21:21" x14ac:dyDescent="0.2">
      <c r="U50" s="4356">
        <v>2005</v>
      </c>
    </row>
    <row r="51" spans="21:21" x14ac:dyDescent="0.2">
      <c r="U51" s="4356">
        <v>2006</v>
      </c>
    </row>
    <row r="52" spans="21:21" x14ac:dyDescent="0.2">
      <c r="U52" s="4356">
        <v>2007</v>
      </c>
    </row>
    <row r="53" spans="21:21" x14ac:dyDescent="0.2">
      <c r="U53" s="4356">
        <v>2008</v>
      </c>
    </row>
    <row r="54" spans="21:21" x14ac:dyDescent="0.2">
      <c r="U54" s="4356">
        <v>2009</v>
      </c>
    </row>
    <row r="55" spans="21:21" x14ac:dyDescent="0.2">
      <c r="U55" s="4356">
        <v>2010</v>
      </c>
    </row>
    <row r="56" spans="21:21" x14ac:dyDescent="0.2">
      <c r="U56" s="4356">
        <v>2011</v>
      </c>
    </row>
    <row r="57" spans="21:21" x14ac:dyDescent="0.2">
      <c r="U57" s="4356">
        <v>2012</v>
      </c>
    </row>
    <row r="58" spans="21:21" x14ac:dyDescent="0.2">
      <c r="U58" s="4356">
        <v>2013</v>
      </c>
    </row>
    <row r="59" spans="21:21" x14ac:dyDescent="0.2">
      <c r="U59" s="4356">
        <v>2014</v>
      </c>
    </row>
    <row r="60" spans="21:21" x14ac:dyDescent="0.2">
      <c r="U60" s="4356">
        <v>2015</v>
      </c>
    </row>
    <row r="61" spans="21:21" x14ac:dyDescent="0.2">
      <c r="U61" s="4356"/>
    </row>
    <row r="62" spans="21:21" x14ac:dyDescent="0.2">
      <c r="U62" s="4356"/>
    </row>
    <row r="63" spans="21:21" x14ac:dyDescent="0.2">
      <c r="U63" s="4356"/>
    </row>
    <row r="64" spans="21:21" x14ac:dyDescent="0.2">
      <c r="U64" s="4356" t="s">
        <v>161</v>
      </c>
    </row>
    <row r="65" spans="21:21" x14ac:dyDescent="0.2">
      <c r="U65" s="4356" t="s">
        <v>410</v>
      </c>
    </row>
    <row r="66" spans="21:21" x14ac:dyDescent="0.2">
      <c r="U66" s="4359" t="s">
        <v>162</v>
      </c>
    </row>
    <row r="67" spans="21:21" x14ac:dyDescent="0.2">
      <c r="U67" s="4356" t="s">
        <v>411</v>
      </c>
    </row>
    <row r="68" spans="21:21" x14ac:dyDescent="0.2">
      <c r="U68" s="4356" t="s">
        <v>163</v>
      </c>
    </row>
    <row r="72" spans="21:21" hidden="1" x14ac:dyDescent="0.2"/>
    <row r="73" spans="21:21" hidden="1" x14ac:dyDescent="0.2"/>
    <row r="74" spans="21:21" hidden="1" x14ac:dyDescent="0.2"/>
    <row r="75" spans="21:21" hidden="1" x14ac:dyDescent="0.2"/>
    <row r="76" spans="21:21" hidden="1" x14ac:dyDescent="0.2"/>
    <row r="77" spans="21:21" hidden="1" x14ac:dyDescent="0.2"/>
    <row r="78" spans="21:21" hidden="1" x14ac:dyDescent="0.2"/>
    <row r="79" spans="21:21" hidden="1" x14ac:dyDescent="0.2"/>
    <row r="80" spans="21:21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</sheetData>
  <mergeCells count="23">
    <mergeCell ref="AA3:AC3"/>
    <mergeCell ref="AD3:AF3"/>
    <mergeCell ref="C3:E3"/>
    <mergeCell ref="F3:H3"/>
    <mergeCell ref="I3:K3"/>
    <mergeCell ref="L3:N3"/>
    <mergeCell ref="O3:Q3"/>
    <mergeCell ref="AM3:AO3"/>
    <mergeCell ref="A1:B1"/>
    <mergeCell ref="A38:E38"/>
    <mergeCell ref="A6:A9"/>
    <mergeCell ref="A11:A14"/>
    <mergeCell ref="A16:A19"/>
    <mergeCell ref="A26:A29"/>
    <mergeCell ref="A31:A37"/>
    <mergeCell ref="A21:A24"/>
    <mergeCell ref="AJ3:AL3"/>
    <mergeCell ref="AG3:AI3"/>
    <mergeCell ref="A3:A4"/>
    <mergeCell ref="B3:B4"/>
    <mergeCell ref="R3:T3"/>
    <mergeCell ref="U3:W3"/>
    <mergeCell ref="X3:Z3"/>
  </mergeCells>
  <printOptions horizontalCentered="1" verticalCentered="1"/>
  <pageMargins left="0.27559055118110237" right="0.27559055118110237" top="0.19685039370078741" bottom="0.19685039370078741" header="0" footer="0.31496062992125984"/>
  <pageSetup scale="65" pageOrder="overThenDown" orientation="landscape" horizontalDpi="1200" verticalDpi="1200" r:id="rId1"/>
  <headerFooter alignWithMargins="0"/>
  <colBreaks count="2" manualBreakCount="2">
    <brk id="20" max="38" man="1"/>
    <brk id="38" max="38" man="1"/>
  </colBreaks>
  <ignoredErrors>
    <ignoredError sqref="AA6:AC8 AA16:AC18 AA26:AC28 AA11:AC13 AE6:AE28 AD6:AD28 AI22 AJ22:AL22 AM22:AO22" formulaRange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L79"/>
  <sheetViews>
    <sheetView showGridLines="0" zoomScaleNormal="100" zoomScaleSheetLayoutView="90" workbookViewId="0">
      <selection activeCell="N20" sqref="N20"/>
    </sheetView>
  </sheetViews>
  <sheetFormatPr baseColWidth="10" defaultRowHeight="12.75" x14ac:dyDescent="0.2"/>
  <cols>
    <col min="1" max="1" width="1.7109375" customWidth="1"/>
    <col min="2" max="2" width="17.85546875" customWidth="1"/>
    <col min="3" max="3" width="10.42578125" customWidth="1"/>
    <col min="4" max="4" width="43.42578125" bestFit="1" customWidth="1"/>
    <col min="5" max="12" width="9.7109375" customWidth="1"/>
    <col min="257" max="257" width="1.7109375" customWidth="1"/>
    <col min="258" max="258" width="14.42578125" bestFit="1" customWidth="1"/>
    <col min="259" max="259" width="5.7109375" bestFit="1" customWidth="1"/>
    <col min="260" max="260" width="29.7109375" bestFit="1" customWidth="1"/>
    <col min="261" max="267" width="9.7109375" customWidth="1"/>
    <col min="268" max="268" width="1.7109375" customWidth="1"/>
    <col min="513" max="513" width="1.7109375" customWidth="1"/>
    <col min="514" max="514" width="14.42578125" bestFit="1" customWidth="1"/>
    <col min="515" max="515" width="5.7109375" bestFit="1" customWidth="1"/>
    <col min="516" max="516" width="29.7109375" bestFit="1" customWidth="1"/>
    <col min="517" max="523" width="9.7109375" customWidth="1"/>
    <col min="524" max="524" width="1.7109375" customWidth="1"/>
    <col min="769" max="769" width="1.7109375" customWidth="1"/>
    <col min="770" max="770" width="14.42578125" bestFit="1" customWidth="1"/>
    <col min="771" max="771" width="5.7109375" bestFit="1" customWidth="1"/>
    <col min="772" max="772" width="29.7109375" bestFit="1" customWidth="1"/>
    <col min="773" max="779" width="9.7109375" customWidth="1"/>
    <col min="780" max="780" width="1.7109375" customWidth="1"/>
    <col min="1025" max="1025" width="1.7109375" customWidth="1"/>
    <col min="1026" max="1026" width="14.42578125" bestFit="1" customWidth="1"/>
    <col min="1027" max="1027" width="5.7109375" bestFit="1" customWidth="1"/>
    <col min="1028" max="1028" width="29.7109375" bestFit="1" customWidth="1"/>
    <col min="1029" max="1035" width="9.7109375" customWidth="1"/>
    <col min="1036" max="1036" width="1.7109375" customWidth="1"/>
    <col min="1281" max="1281" width="1.7109375" customWidth="1"/>
    <col min="1282" max="1282" width="14.42578125" bestFit="1" customWidth="1"/>
    <col min="1283" max="1283" width="5.7109375" bestFit="1" customWidth="1"/>
    <col min="1284" max="1284" width="29.7109375" bestFit="1" customWidth="1"/>
    <col min="1285" max="1291" width="9.7109375" customWidth="1"/>
    <col min="1292" max="1292" width="1.7109375" customWidth="1"/>
    <col min="1537" max="1537" width="1.7109375" customWidth="1"/>
    <col min="1538" max="1538" width="14.42578125" bestFit="1" customWidth="1"/>
    <col min="1539" max="1539" width="5.7109375" bestFit="1" customWidth="1"/>
    <col min="1540" max="1540" width="29.7109375" bestFit="1" customWidth="1"/>
    <col min="1541" max="1547" width="9.7109375" customWidth="1"/>
    <col min="1548" max="1548" width="1.7109375" customWidth="1"/>
    <col min="1793" max="1793" width="1.7109375" customWidth="1"/>
    <col min="1794" max="1794" width="14.42578125" bestFit="1" customWidth="1"/>
    <col min="1795" max="1795" width="5.7109375" bestFit="1" customWidth="1"/>
    <col min="1796" max="1796" width="29.7109375" bestFit="1" customWidth="1"/>
    <col min="1797" max="1803" width="9.7109375" customWidth="1"/>
    <col min="1804" max="1804" width="1.7109375" customWidth="1"/>
    <col min="2049" max="2049" width="1.7109375" customWidth="1"/>
    <col min="2050" max="2050" width="14.42578125" bestFit="1" customWidth="1"/>
    <col min="2051" max="2051" width="5.7109375" bestFit="1" customWidth="1"/>
    <col min="2052" max="2052" width="29.7109375" bestFit="1" customWidth="1"/>
    <col min="2053" max="2059" width="9.7109375" customWidth="1"/>
    <col min="2060" max="2060" width="1.7109375" customWidth="1"/>
    <col min="2305" max="2305" width="1.7109375" customWidth="1"/>
    <col min="2306" max="2306" width="14.42578125" bestFit="1" customWidth="1"/>
    <col min="2307" max="2307" width="5.7109375" bestFit="1" customWidth="1"/>
    <col min="2308" max="2308" width="29.7109375" bestFit="1" customWidth="1"/>
    <col min="2309" max="2315" width="9.7109375" customWidth="1"/>
    <col min="2316" max="2316" width="1.7109375" customWidth="1"/>
    <col min="2561" max="2561" width="1.7109375" customWidth="1"/>
    <col min="2562" max="2562" width="14.42578125" bestFit="1" customWidth="1"/>
    <col min="2563" max="2563" width="5.7109375" bestFit="1" customWidth="1"/>
    <col min="2564" max="2564" width="29.7109375" bestFit="1" customWidth="1"/>
    <col min="2565" max="2571" width="9.7109375" customWidth="1"/>
    <col min="2572" max="2572" width="1.7109375" customWidth="1"/>
    <col min="2817" max="2817" width="1.7109375" customWidth="1"/>
    <col min="2818" max="2818" width="14.42578125" bestFit="1" customWidth="1"/>
    <col min="2819" max="2819" width="5.7109375" bestFit="1" customWidth="1"/>
    <col min="2820" max="2820" width="29.7109375" bestFit="1" customWidth="1"/>
    <col min="2821" max="2827" width="9.7109375" customWidth="1"/>
    <col min="2828" max="2828" width="1.7109375" customWidth="1"/>
    <col min="3073" max="3073" width="1.7109375" customWidth="1"/>
    <col min="3074" max="3074" width="14.42578125" bestFit="1" customWidth="1"/>
    <col min="3075" max="3075" width="5.7109375" bestFit="1" customWidth="1"/>
    <col min="3076" max="3076" width="29.7109375" bestFit="1" customWidth="1"/>
    <col min="3077" max="3083" width="9.7109375" customWidth="1"/>
    <col min="3084" max="3084" width="1.7109375" customWidth="1"/>
    <col min="3329" max="3329" width="1.7109375" customWidth="1"/>
    <col min="3330" max="3330" width="14.42578125" bestFit="1" customWidth="1"/>
    <col min="3331" max="3331" width="5.7109375" bestFit="1" customWidth="1"/>
    <col min="3332" max="3332" width="29.7109375" bestFit="1" customWidth="1"/>
    <col min="3333" max="3339" width="9.7109375" customWidth="1"/>
    <col min="3340" max="3340" width="1.7109375" customWidth="1"/>
    <col min="3585" max="3585" width="1.7109375" customWidth="1"/>
    <col min="3586" max="3586" width="14.42578125" bestFit="1" customWidth="1"/>
    <col min="3587" max="3587" width="5.7109375" bestFit="1" customWidth="1"/>
    <col min="3588" max="3588" width="29.7109375" bestFit="1" customWidth="1"/>
    <col min="3589" max="3595" width="9.7109375" customWidth="1"/>
    <col min="3596" max="3596" width="1.7109375" customWidth="1"/>
    <col min="3841" max="3841" width="1.7109375" customWidth="1"/>
    <col min="3842" max="3842" width="14.42578125" bestFit="1" customWidth="1"/>
    <col min="3843" max="3843" width="5.7109375" bestFit="1" customWidth="1"/>
    <col min="3844" max="3844" width="29.7109375" bestFit="1" customWidth="1"/>
    <col min="3845" max="3851" width="9.7109375" customWidth="1"/>
    <col min="3852" max="3852" width="1.7109375" customWidth="1"/>
    <col min="4097" max="4097" width="1.7109375" customWidth="1"/>
    <col min="4098" max="4098" width="14.42578125" bestFit="1" customWidth="1"/>
    <col min="4099" max="4099" width="5.7109375" bestFit="1" customWidth="1"/>
    <col min="4100" max="4100" width="29.7109375" bestFit="1" customWidth="1"/>
    <col min="4101" max="4107" width="9.7109375" customWidth="1"/>
    <col min="4108" max="4108" width="1.7109375" customWidth="1"/>
    <col min="4353" max="4353" width="1.7109375" customWidth="1"/>
    <col min="4354" max="4354" width="14.42578125" bestFit="1" customWidth="1"/>
    <col min="4355" max="4355" width="5.7109375" bestFit="1" customWidth="1"/>
    <col min="4356" max="4356" width="29.7109375" bestFit="1" customWidth="1"/>
    <col min="4357" max="4363" width="9.7109375" customWidth="1"/>
    <col min="4364" max="4364" width="1.7109375" customWidth="1"/>
    <col min="4609" max="4609" width="1.7109375" customWidth="1"/>
    <col min="4610" max="4610" width="14.42578125" bestFit="1" customWidth="1"/>
    <col min="4611" max="4611" width="5.7109375" bestFit="1" customWidth="1"/>
    <col min="4612" max="4612" width="29.7109375" bestFit="1" customWidth="1"/>
    <col min="4613" max="4619" width="9.7109375" customWidth="1"/>
    <col min="4620" max="4620" width="1.7109375" customWidth="1"/>
    <col min="4865" max="4865" width="1.7109375" customWidth="1"/>
    <col min="4866" max="4866" width="14.42578125" bestFit="1" customWidth="1"/>
    <col min="4867" max="4867" width="5.7109375" bestFit="1" customWidth="1"/>
    <col min="4868" max="4868" width="29.7109375" bestFit="1" customWidth="1"/>
    <col min="4869" max="4875" width="9.7109375" customWidth="1"/>
    <col min="4876" max="4876" width="1.7109375" customWidth="1"/>
    <col min="5121" max="5121" width="1.7109375" customWidth="1"/>
    <col min="5122" max="5122" width="14.42578125" bestFit="1" customWidth="1"/>
    <col min="5123" max="5123" width="5.7109375" bestFit="1" customWidth="1"/>
    <col min="5124" max="5124" width="29.7109375" bestFit="1" customWidth="1"/>
    <col min="5125" max="5131" width="9.7109375" customWidth="1"/>
    <col min="5132" max="5132" width="1.7109375" customWidth="1"/>
    <col min="5377" max="5377" width="1.7109375" customWidth="1"/>
    <col min="5378" max="5378" width="14.42578125" bestFit="1" customWidth="1"/>
    <col min="5379" max="5379" width="5.7109375" bestFit="1" customWidth="1"/>
    <col min="5380" max="5380" width="29.7109375" bestFit="1" customWidth="1"/>
    <col min="5381" max="5387" width="9.7109375" customWidth="1"/>
    <col min="5388" max="5388" width="1.7109375" customWidth="1"/>
    <col min="5633" max="5633" width="1.7109375" customWidth="1"/>
    <col min="5634" max="5634" width="14.42578125" bestFit="1" customWidth="1"/>
    <col min="5635" max="5635" width="5.7109375" bestFit="1" customWidth="1"/>
    <col min="5636" max="5636" width="29.7109375" bestFit="1" customWidth="1"/>
    <col min="5637" max="5643" width="9.7109375" customWidth="1"/>
    <col min="5644" max="5644" width="1.7109375" customWidth="1"/>
    <col min="5889" max="5889" width="1.7109375" customWidth="1"/>
    <col min="5890" max="5890" width="14.42578125" bestFit="1" customWidth="1"/>
    <col min="5891" max="5891" width="5.7109375" bestFit="1" customWidth="1"/>
    <col min="5892" max="5892" width="29.7109375" bestFit="1" customWidth="1"/>
    <col min="5893" max="5899" width="9.7109375" customWidth="1"/>
    <col min="5900" max="5900" width="1.7109375" customWidth="1"/>
    <col min="6145" max="6145" width="1.7109375" customWidth="1"/>
    <col min="6146" max="6146" width="14.42578125" bestFit="1" customWidth="1"/>
    <col min="6147" max="6147" width="5.7109375" bestFit="1" customWidth="1"/>
    <col min="6148" max="6148" width="29.7109375" bestFit="1" customWidth="1"/>
    <col min="6149" max="6155" width="9.7109375" customWidth="1"/>
    <col min="6156" max="6156" width="1.7109375" customWidth="1"/>
    <col min="6401" max="6401" width="1.7109375" customWidth="1"/>
    <col min="6402" max="6402" width="14.42578125" bestFit="1" customWidth="1"/>
    <col min="6403" max="6403" width="5.7109375" bestFit="1" customWidth="1"/>
    <col min="6404" max="6404" width="29.7109375" bestFit="1" customWidth="1"/>
    <col min="6405" max="6411" width="9.7109375" customWidth="1"/>
    <col min="6412" max="6412" width="1.7109375" customWidth="1"/>
    <col min="6657" max="6657" width="1.7109375" customWidth="1"/>
    <col min="6658" max="6658" width="14.42578125" bestFit="1" customWidth="1"/>
    <col min="6659" max="6659" width="5.7109375" bestFit="1" customWidth="1"/>
    <col min="6660" max="6660" width="29.7109375" bestFit="1" customWidth="1"/>
    <col min="6661" max="6667" width="9.7109375" customWidth="1"/>
    <col min="6668" max="6668" width="1.7109375" customWidth="1"/>
    <col min="6913" max="6913" width="1.7109375" customWidth="1"/>
    <col min="6914" max="6914" width="14.42578125" bestFit="1" customWidth="1"/>
    <col min="6915" max="6915" width="5.7109375" bestFit="1" customWidth="1"/>
    <col min="6916" max="6916" width="29.7109375" bestFit="1" customWidth="1"/>
    <col min="6917" max="6923" width="9.7109375" customWidth="1"/>
    <col min="6924" max="6924" width="1.7109375" customWidth="1"/>
    <col min="7169" max="7169" width="1.7109375" customWidth="1"/>
    <col min="7170" max="7170" width="14.42578125" bestFit="1" customWidth="1"/>
    <col min="7171" max="7171" width="5.7109375" bestFit="1" customWidth="1"/>
    <col min="7172" max="7172" width="29.7109375" bestFit="1" customWidth="1"/>
    <col min="7173" max="7179" width="9.7109375" customWidth="1"/>
    <col min="7180" max="7180" width="1.7109375" customWidth="1"/>
    <col min="7425" max="7425" width="1.7109375" customWidth="1"/>
    <col min="7426" max="7426" width="14.42578125" bestFit="1" customWidth="1"/>
    <col min="7427" max="7427" width="5.7109375" bestFit="1" customWidth="1"/>
    <col min="7428" max="7428" width="29.7109375" bestFit="1" customWidth="1"/>
    <col min="7429" max="7435" width="9.7109375" customWidth="1"/>
    <col min="7436" max="7436" width="1.7109375" customWidth="1"/>
    <col min="7681" max="7681" width="1.7109375" customWidth="1"/>
    <col min="7682" max="7682" width="14.42578125" bestFit="1" customWidth="1"/>
    <col min="7683" max="7683" width="5.7109375" bestFit="1" customWidth="1"/>
    <col min="7684" max="7684" width="29.7109375" bestFit="1" customWidth="1"/>
    <col min="7685" max="7691" width="9.7109375" customWidth="1"/>
    <col min="7692" max="7692" width="1.7109375" customWidth="1"/>
    <col min="7937" max="7937" width="1.7109375" customWidth="1"/>
    <col min="7938" max="7938" width="14.42578125" bestFit="1" customWidth="1"/>
    <col min="7939" max="7939" width="5.7109375" bestFit="1" customWidth="1"/>
    <col min="7940" max="7940" width="29.7109375" bestFit="1" customWidth="1"/>
    <col min="7941" max="7947" width="9.7109375" customWidth="1"/>
    <col min="7948" max="7948" width="1.7109375" customWidth="1"/>
    <col min="8193" max="8193" width="1.7109375" customWidth="1"/>
    <col min="8194" max="8194" width="14.42578125" bestFit="1" customWidth="1"/>
    <col min="8195" max="8195" width="5.7109375" bestFit="1" customWidth="1"/>
    <col min="8196" max="8196" width="29.7109375" bestFit="1" customWidth="1"/>
    <col min="8197" max="8203" width="9.7109375" customWidth="1"/>
    <col min="8204" max="8204" width="1.7109375" customWidth="1"/>
    <col min="8449" max="8449" width="1.7109375" customWidth="1"/>
    <col min="8450" max="8450" width="14.42578125" bestFit="1" customWidth="1"/>
    <col min="8451" max="8451" width="5.7109375" bestFit="1" customWidth="1"/>
    <col min="8452" max="8452" width="29.7109375" bestFit="1" customWidth="1"/>
    <col min="8453" max="8459" width="9.7109375" customWidth="1"/>
    <col min="8460" max="8460" width="1.7109375" customWidth="1"/>
    <col min="8705" max="8705" width="1.7109375" customWidth="1"/>
    <col min="8706" max="8706" width="14.42578125" bestFit="1" customWidth="1"/>
    <col min="8707" max="8707" width="5.7109375" bestFit="1" customWidth="1"/>
    <col min="8708" max="8708" width="29.7109375" bestFit="1" customWidth="1"/>
    <col min="8709" max="8715" width="9.7109375" customWidth="1"/>
    <col min="8716" max="8716" width="1.7109375" customWidth="1"/>
    <col min="8961" max="8961" width="1.7109375" customWidth="1"/>
    <col min="8962" max="8962" width="14.42578125" bestFit="1" customWidth="1"/>
    <col min="8963" max="8963" width="5.7109375" bestFit="1" customWidth="1"/>
    <col min="8964" max="8964" width="29.7109375" bestFit="1" customWidth="1"/>
    <col min="8965" max="8971" width="9.7109375" customWidth="1"/>
    <col min="8972" max="8972" width="1.7109375" customWidth="1"/>
    <col min="9217" max="9217" width="1.7109375" customWidth="1"/>
    <col min="9218" max="9218" width="14.42578125" bestFit="1" customWidth="1"/>
    <col min="9219" max="9219" width="5.7109375" bestFit="1" customWidth="1"/>
    <col min="9220" max="9220" width="29.7109375" bestFit="1" customWidth="1"/>
    <col min="9221" max="9227" width="9.7109375" customWidth="1"/>
    <col min="9228" max="9228" width="1.7109375" customWidth="1"/>
    <col min="9473" max="9473" width="1.7109375" customWidth="1"/>
    <col min="9474" max="9474" width="14.42578125" bestFit="1" customWidth="1"/>
    <col min="9475" max="9475" width="5.7109375" bestFit="1" customWidth="1"/>
    <col min="9476" max="9476" width="29.7109375" bestFit="1" customWidth="1"/>
    <col min="9477" max="9483" width="9.7109375" customWidth="1"/>
    <col min="9484" max="9484" width="1.7109375" customWidth="1"/>
    <col min="9729" max="9729" width="1.7109375" customWidth="1"/>
    <col min="9730" max="9730" width="14.42578125" bestFit="1" customWidth="1"/>
    <col min="9731" max="9731" width="5.7109375" bestFit="1" customWidth="1"/>
    <col min="9732" max="9732" width="29.7109375" bestFit="1" customWidth="1"/>
    <col min="9733" max="9739" width="9.7109375" customWidth="1"/>
    <col min="9740" max="9740" width="1.7109375" customWidth="1"/>
    <col min="9985" max="9985" width="1.7109375" customWidth="1"/>
    <col min="9986" max="9986" width="14.42578125" bestFit="1" customWidth="1"/>
    <col min="9987" max="9987" width="5.7109375" bestFit="1" customWidth="1"/>
    <col min="9988" max="9988" width="29.7109375" bestFit="1" customWidth="1"/>
    <col min="9989" max="9995" width="9.7109375" customWidth="1"/>
    <col min="9996" max="9996" width="1.7109375" customWidth="1"/>
    <col min="10241" max="10241" width="1.7109375" customWidth="1"/>
    <col min="10242" max="10242" width="14.42578125" bestFit="1" customWidth="1"/>
    <col min="10243" max="10243" width="5.7109375" bestFit="1" customWidth="1"/>
    <col min="10244" max="10244" width="29.7109375" bestFit="1" customWidth="1"/>
    <col min="10245" max="10251" width="9.7109375" customWidth="1"/>
    <col min="10252" max="10252" width="1.7109375" customWidth="1"/>
    <col min="10497" max="10497" width="1.7109375" customWidth="1"/>
    <col min="10498" max="10498" width="14.42578125" bestFit="1" customWidth="1"/>
    <col min="10499" max="10499" width="5.7109375" bestFit="1" customWidth="1"/>
    <col min="10500" max="10500" width="29.7109375" bestFit="1" customWidth="1"/>
    <col min="10501" max="10507" width="9.7109375" customWidth="1"/>
    <col min="10508" max="10508" width="1.7109375" customWidth="1"/>
    <col min="10753" max="10753" width="1.7109375" customWidth="1"/>
    <col min="10754" max="10754" width="14.42578125" bestFit="1" customWidth="1"/>
    <col min="10755" max="10755" width="5.7109375" bestFit="1" customWidth="1"/>
    <col min="10756" max="10756" width="29.7109375" bestFit="1" customWidth="1"/>
    <col min="10757" max="10763" width="9.7109375" customWidth="1"/>
    <col min="10764" max="10764" width="1.7109375" customWidth="1"/>
    <col min="11009" max="11009" width="1.7109375" customWidth="1"/>
    <col min="11010" max="11010" width="14.42578125" bestFit="1" customWidth="1"/>
    <col min="11011" max="11011" width="5.7109375" bestFit="1" customWidth="1"/>
    <col min="11012" max="11012" width="29.7109375" bestFit="1" customWidth="1"/>
    <col min="11013" max="11019" width="9.7109375" customWidth="1"/>
    <col min="11020" max="11020" width="1.7109375" customWidth="1"/>
    <col min="11265" max="11265" width="1.7109375" customWidth="1"/>
    <col min="11266" max="11266" width="14.42578125" bestFit="1" customWidth="1"/>
    <col min="11267" max="11267" width="5.7109375" bestFit="1" customWidth="1"/>
    <col min="11268" max="11268" width="29.7109375" bestFit="1" customWidth="1"/>
    <col min="11269" max="11275" width="9.7109375" customWidth="1"/>
    <col min="11276" max="11276" width="1.7109375" customWidth="1"/>
    <col min="11521" max="11521" width="1.7109375" customWidth="1"/>
    <col min="11522" max="11522" width="14.42578125" bestFit="1" customWidth="1"/>
    <col min="11523" max="11523" width="5.7109375" bestFit="1" customWidth="1"/>
    <col min="11524" max="11524" width="29.7109375" bestFit="1" customWidth="1"/>
    <col min="11525" max="11531" width="9.7109375" customWidth="1"/>
    <col min="11532" max="11532" width="1.7109375" customWidth="1"/>
    <col min="11777" max="11777" width="1.7109375" customWidth="1"/>
    <col min="11778" max="11778" width="14.42578125" bestFit="1" customWidth="1"/>
    <col min="11779" max="11779" width="5.7109375" bestFit="1" customWidth="1"/>
    <col min="11780" max="11780" width="29.7109375" bestFit="1" customWidth="1"/>
    <col min="11781" max="11787" width="9.7109375" customWidth="1"/>
    <col min="11788" max="11788" width="1.7109375" customWidth="1"/>
    <col min="12033" max="12033" width="1.7109375" customWidth="1"/>
    <col min="12034" max="12034" width="14.42578125" bestFit="1" customWidth="1"/>
    <col min="12035" max="12035" width="5.7109375" bestFit="1" customWidth="1"/>
    <col min="12036" max="12036" width="29.7109375" bestFit="1" customWidth="1"/>
    <col min="12037" max="12043" width="9.7109375" customWidth="1"/>
    <col min="12044" max="12044" width="1.7109375" customWidth="1"/>
    <col min="12289" max="12289" width="1.7109375" customWidth="1"/>
    <col min="12290" max="12290" width="14.42578125" bestFit="1" customWidth="1"/>
    <col min="12291" max="12291" width="5.7109375" bestFit="1" customWidth="1"/>
    <col min="12292" max="12292" width="29.7109375" bestFit="1" customWidth="1"/>
    <col min="12293" max="12299" width="9.7109375" customWidth="1"/>
    <col min="12300" max="12300" width="1.7109375" customWidth="1"/>
    <col min="12545" max="12545" width="1.7109375" customWidth="1"/>
    <col min="12546" max="12546" width="14.42578125" bestFit="1" customWidth="1"/>
    <col min="12547" max="12547" width="5.7109375" bestFit="1" customWidth="1"/>
    <col min="12548" max="12548" width="29.7109375" bestFit="1" customWidth="1"/>
    <col min="12549" max="12555" width="9.7109375" customWidth="1"/>
    <col min="12556" max="12556" width="1.7109375" customWidth="1"/>
    <col min="12801" max="12801" width="1.7109375" customWidth="1"/>
    <col min="12802" max="12802" width="14.42578125" bestFit="1" customWidth="1"/>
    <col min="12803" max="12803" width="5.7109375" bestFit="1" customWidth="1"/>
    <col min="12804" max="12804" width="29.7109375" bestFit="1" customWidth="1"/>
    <col min="12805" max="12811" width="9.7109375" customWidth="1"/>
    <col min="12812" max="12812" width="1.7109375" customWidth="1"/>
    <col min="13057" max="13057" width="1.7109375" customWidth="1"/>
    <col min="13058" max="13058" width="14.42578125" bestFit="1" customWidth="1"/>
    <col min="13059" max="13059" width="5.7109375" bestFit="1" customWidth="1"/>
    <col min="13060" max="13060" width="29.7109375" bestFit="1" customWidth="1"/>
    <col min="13061" max="13067" width="9.7109375" customWidth="1"/>
    <col min="13068" max="13068" width="1.7109375" customWidth="1"/>
    <col min="13313" max="13313" width="1.7109375" customWidth="1"/>
    <col min="13314" max="13314" width="14.42578125" bestFit="1" customWidth="1"/>
    <col min="13315" max="13315" width="5.7109375" bestFit="1" customWidth="1"/>
    <col min="13316" max="13316" width="29.7109375" bestFit="1" customWidth="1"/>
    <col min="13317" max="13323" width="9.7109375" customWidth="1"/>
    <col min="13324" max="13324" width="1.7109375" customWidth="1"/>
    <col min="13569" max="13569" width="1.7109375" customWidth="1"/>
    <col min="13570" max="13570" width="14.42578125" bestFit="1" customWidth="1"/>
    <col min="13571" max="13571" width="5.7109375" bestFit="1" customWidth="1"/>
    <col min="13572" max="13572" width="29.7109375" bestFit="1" customWidth="1"/>
    <col min="13573" max="13579" width="9.7109375" customWidth="1"/>
    <col min="13580" max="13580" width="1.7109375" customWidth="1"/>
    <col min="13825" max="13825" width="1.7109375" customWidth="1"/>
    <col min="13826" max="13826" width="14.42578125" bestFit="1" customWidth="1"/>
    <col min="13827" max="13827" width="5.7109375" bestFit="1" customWidth="1"/>
    <col min="13828" max="13828" width="29.7109375" bestFit="1" customWidth="1"/>
    <col min="13829" max="13835" width="9.7109375" customWidth="1"/>
    <col min="13836" max="13836" width="1.7109375" customWidth="1"/>
    <col min="14081" max="14081" width="1.7109375" customWidth="1"/>
    <col min="14082" max="14082" width="14.42578125" bestFit="1" customWidth="1"/>
    <col min="14083" max="14083" width="5.7109375" bestFit="1" customWidth="1"/>
    <col min="14084" max="14084" width="29.7109375" bestFit="1" customWidth="1"/>
    <col min="14085" max="14091" width="9.7109375" customWidth="1"/>
    <col min="14092" max="14092" width="1.7109375" customWidth="1"/>
    <col min="14337" max="14337" width="1.7109375" customWidth="1"/>
    <col min="14338" max="14338" width="14.42578125" bestFit="1" customWidth="1"/>
    <col min="14339" max="14339" width="5.7109375" bestFit="1" customWidth="1"/>
    <col min="14340" max="14340" width="29.7109375" bestFit="1" customWidth="1"/>
    <col min="14341" max="14347" width="9.7109375" customWidth="1"/>
    <col min="14348" max="14348" width="1.7109375" customWidth="1"/>
    <col min="14593" max="14593" width="1.7109375" customWidth="1"/>
    <col min="14594" max="14594" width="14.42578125" bestFit="1" customWidth="1"/>
    <col min="14595" max="14595" width="5.7109375" bestFit="1" customWidth="1"/>
    <col min="14596" max="14596" width="29.7109375" bestFit="1" customWidth="1"/>
    <col min="14597" max="14603" width="9.7109375" customWidth="1"/>
    <col min="14604" max="14604" width="1.7109375" customWidth="1"/>
    <col min="14849" max="14849" width="1.7109375" customWidth="1"/>
    <col min="14850" max="14850" width="14.42578125" bestFit="1" customWidth="1"/>
    <col min="14851" max="14851" width="5.7109375" bestFit="1" customWidth="1"/>
    <col min="14852" max="14852" width="29.7109375" bestFit="1" customWidth="1"/>
    <col min="14853" max="14859" width="9.7109375" customWidth="1"/>
    <col min="14860" max="14860" width="1.7109375" customWidth="1"/>
    <col min="15105" max="15105" width="1.7109375" customWidth="1"/>
    <col min="15106" max="15106" width="14.42578125" bestFit="1" customWidth="1"/>
    <col min="15107" max="15107" width="5.7109375" bestFit="1" customWidth="1"/>
    <col min="15108" max="15108" width="29.7109375" bestFit="1" customWidth="1"/>
    <col min="15109" max="15115" width="9.7109375" customWidth="1"/>
    <col min="15116" max="15116" width="1.7109375" customWidth="1"/>
    <col min="15361" max="15361" width="1.7109375" customWidth="1"/>
    <col min="15362" max="15362" width="14.42578125" bestFit="1" customWidth="1"/>
    <col min="15363" max="15363" width="5.7109375" bestFit="1" customWidth="1"/>
    <col min="15364" max="15364" width="29.7109375" bestFit="1" customWidth="1"/>
    <col min="15365" max="15371" width="9.7109375" customWidth="1"/>
    <col min="15372" max="15372" width="1.7109375" customWidth="1"/>
    <col min="15617" max="15617" width="1.7109375" customWidth="1"/>
    <col min="15618" max="15618" width="14.42578125" bestFit="1" customWidth="1"/>
    <col min="15619" max="15619" width="5.7109375" bestFit="1" customWidth="1"/>
    <col min="15620" max="15620" width="29.7109375" bestFit="1" customWidth="1"/>
    <col min="15621" max="15627" width="9.7109375" customWidth="1"/>
    <col min="15628" max="15628" width="1.7109375" customWidth="1"/>
    <col min="15873" max="15873" width="1.7109375" customWidth="1"/>
    <col min="15874" max="15874" width="14.42578125" bestFit="1" customWidth="1"/>
    <col min="15875" max="15875" width="5.7109375" bestFit="1" customWidth="1"/>
    <col min="15876" max="15876" width="29.7109375" bestFit="1" customWidth="1"/>
    <col min="15877" max="15883" width="9.7109375" customWidth="1"/>
    <col min="15884" max="15884" width="1.7109375" customWidth="1"/>
    <col min="16129" max="16129" width="1.7109375" customWidth="1"/>
    <col min="16130" max="16130" width="14.42578125" bestFit="1" customWidth="1"/>
    <col min="16131" max="16131" width="5.7109375" bestFit="1" customWidth="1"/>
    <col min="16132" max="16132" width="29.7109375" bestFit="1" customWidth="1"/>
    <col min="16133" max="16139" width="9.7109375" customWidth="1"/>
    <col min="16140" max="16140" width="1.7109375" customWidth="1"/>
  </cols>
  <sheetData>
    <row r="1" spans="1:12" s="139" customFormat="1" ht="15.75" x14ac:dyDescent="0.25">
      <c r="C1" s="960"/>
      <c r="D1" s="960"/>
      <c r="E1" s="960"/>
      <c r="F1" s="960"/>
      <c r="G1" s="960"/>
      <c r="H1" s="960"/>
      <c r="I1" s="960"/>
      <c r="J1" s="960"/>
      <c r="K1" s="960"/>
      <c r="L1" s="960"/>
    </row>
    <row r="2" spans="1:12" s="139" customFormat="1" ht="15.75" x14ac:dyDescent="0.25">
      <c r="C2" s="5179" t="s">
        <v>228</v>
      </c>
      <c r="D2" s="5179"/>
      <c r="E2" s="5179"/>
      <c r="F2" s="5179"/>
      <c r="G2" s="5179"/>
      <c r="H2" s="5179"/>
      <c r="I2" s="5179"/>
      <c r="J2" s="5179"/>
      <c r="K2" s="5179"/>
      <c r="L2" s="5179"/>
    </row>
    <row r="3" spans="1:12" s="139" customFormat="1" ht="15.75" x14ac:dyDescent="0.25">
      <c r="C3" s="5179" t="s">
        <v>337</v>
      </c>
      <c r="D3" s="5179"/>
      <c r="E3" s="5179"/>
      <c r="F3" s="5179"/>
      <c r="G3" s="5179"/>
      <c r="H3" s="5179"/>
      <c r="I3" s="5179"/>
      <c r="J3" s="5179"/>
      <c r="K3" s="5179"/>
      <c r="L3" s="5179"/>
    </row>
    <row r="4" spans="1:12" ht="15.75" x14ac:dyDescent="0.2">
      <c r="A4" s="140"/>
      <c r="B4" s="140"/>
      <c r="C4" s="141"/>
    </row>
    <row r="5" spans="1:12" s="5" customFormat="1" ht="25.5" customHeight="1" x14ac:dyDescent="0.25">
      <c r="B5" s="769" t="s">
        <v>16</v>
      </c>
      <c r="C5" s="561" t="s">
        <v>4</v>
      </c>
      <c r="D5" s="561" t="s">
        <v>351</v>
      </c>
      <c r="E5" s="605">
        <v>2003</v>
      </c>
      <c r="F5" s="605">
        <v>2004</v>
      </c>
      <c r="G5" s="605">
        <v>2005</v>
      </c>
      <c r="H5" s="605">
        <v>2006</v>
      </c>
      <c r="I5" s="605">
        <v>2007</v>
      </c>
      <c r="J5" s="605">
        <v>2008</v>
      </c>
      <c r="K5" s="605">
        <v>2009</v>
      </c>
      <c r="L5" s="605">
        <v>2010</v>
      </c>
    </row>
    <row r="6" spans="1:12" s="6" customFormat="1" ht="15" customHeight="1" x14ac:dyDescent="0.2">
      <c r="B6" s="5171" t="s">
        <v>3</v>
      </c>
      <c r="C6" s="5177" t="s">
        <v>5</v>
      </c>
      <c r="D6" s="553" t="s">
        <v>171</v>
      </c>
      <c r="E6" s="606">
        <v>5</v>
      </c>
      <c r="F6" s="606">
        <v>11</v>
      </c>
      <c r="G6" s="607">
        <v>5</v>
      </c>
      <c r="H6" s="608">
        <v>3</v>
      </c>
      <c r="I6" s="608">
        <v>7</v>
      </c>
      <c r="J6" s="608">
        <v>11</v>
      </c>
      <c r="K6" s="608">
        <v>5</v>
      </c>
      <c r="L6" s="608">
        <v>4</v>
      </c>
    </row>
    <row r="7" spans="1:12" s="6" customFormat="1" ht="15" customHeight="1" x14ac:dyDescent="0.2">
      <c r="B7" s="5172"/>
      <c r="C7" s="5176"/>
      <c r="D7" s="553" t="s">
        <v>172</v>
      </c>
      <c r="E7" s="606">
        <v>18</v>
      </c>
      <c r="F7" s="606">
        <v>16</v>
      </c>
      <c r="G7" s="607">
        <v>12</v>
      </c>
      <c r="H7" s="608">
        <v>12</v>
      </c>
      <c r="I7" s="608">
        <v>10</v>
      </c>
      <c r="J7" s="608">
        <v>15</v>
      </c>
      <c r="K7" s="608">
        <v>9</v>
      </c>
      <c r="L7" s="608">
        <v>11</v>
      </c>
    </row>
    <row r="8" spans="1:12" s="6" customFormat="1" ht="15" customHeight="1" x14ac:dyDescent="0.2">
      <c r="B8" s="5172"/>
      <c r="C8" s="5176"/>
      <c r="D8" s="553" t="s">
        <v>173</v>
      </c>
      <c r="E8" s="606">
        <v>17</v>
      </c>
      <c r="F8" s="606">
        <v>12</v>
      </c>
      <c r="G8" s="607">
        <v>11</v>
      </c>
      <c r="H8" s="608">
        <v>10</v>
      </c>
      <c r="I8" s="608">
        <v>6</v>
      </c>
      <c r="J8" s="608">
        <v>14</v>
      </c>
      <c r="K8" s="608">
        <v>7</v>
      </c>
      <c r="L8" s="608">
        <v>7</v>
      </c>
    </row>
    <row r="9" spans="1:12" s="6" customFormat="1" ht="15" customHeight="1" x14ac:dyDescent="0.2">
      <c r="B9" s="5172"/>
      <c r="C9" s="5176"/>
      <c r="D9" s="553" t="s">
        <v>174</v>
      </c>
      <c r="E9" s="606">
        <v>12</v>
      </c>
      <c r="F9" s="606">
        <v>6</v>
      </c>
      <c r="G9" s="607">
        <v>8</v>
      </c>
      <c r="H9" s="608">
        <v>7</v>
      </c>
      <c r="I9" s="608">
        <v>8</v>
      </c>
      <c r="J9" s="608">
        <v>7</v>
      </c>
      <c r="K9" s="608">
        <v>8</v>
      </c>
      <c r="L9" s="608">
        <v>7</v>
      </c>
    </row>
    <row r="10" spans="1:12" s="6" customFormat="1" ht="15" customHeight="1" x14ac:dyDescent="0.2">
      <c r="B10" s="5172"/>
      <c r="C10" s="5176"/>
      <c r="D10" s="553" t="s">
        <v>175</v>
      </c>
      <c r="E10" s="606">
        <v>35</v>
      </c>
      <c r="F10" s="606">
        <v>22</v>
      </c>
      <c r="G10" s="607">
        <v>18</v>
      </c>
      <c r="H10" s="608">
        <v>26</v>
      </c>
      <c r="I10" s="608">
        <v>22</v>
      </c>
      <c r="J10" s="608">
        <v>15</v>
      </c>
      <c r="K10" s="608">
        <v>23</v>
      </c>
      <c r="L10" s="608">
        <v>15</v>
      </c>
    </row>
    <row r="11" spans="1:12" s="6" customFormat="1" ht="15" customHeight="1" x14ac:dyDescent="0.2">
      <c r="B11" s="5172"/>
      <c r="C11" s="5176"/>
      <c r="D11" s="553" t="s">
        <v>176</v>
      </c>
      <c r="E11" s="606">
        <v>21</v>
      </c>
      <c r="F11" s="606">
        <v>16</v>
      </c>
      <c r="G11" s="607">
        <v>14</v>
      </c>
      <c r="H11" s="608">
        <v>23</v>
      </c>
      <c r="I11" s="608">
        <v>17</v>
      </c>
      <c r="J11" s="608">
        <v>15</v>
      </c>
      <c r="K11" s="608">
        <v>10</v>
      </c>
      <c r="L11" s="608">
        <v>13</v>
      </c>
    </row>
    <row r="12" spans="1:12" s="6" customFormat="1" ht="15" customHeight="1" x14ac:dyDescent="0.2">
      <c r="B12" s="5172"/>
      <c r="C12" s="5176"/>
      <c r="D12" s="553" t="s">
        <v>177</v>
      </c>
      <c r="E12" s="606">
        <v>3</v>
      </c>
      <c r="F12" s="606">
        <v>3</v>
      </c>
      <c r="G12" s="607">
        <v>4</v>
      </c>
      <c r="H12" s="608">
        <v>2</v>
      </c>
      <c r="I12" s="608">
        <v>3</v>
      </c>
      <c r="J12" s="608">
        <v>2</v>
      </c>
      <c r="K12" s="608">
        <v>6</v>
      </c>
      <c r="L12" s="608">
        <v>8</v>
      </c>
    </row>
    <row r="13" spans="1:12" s="6" customFormat="1" ht="15" customHeight="1" x14ac:dyDescent="0.2">
      <c r="B13" s="5172"/>
      <c r="C13" s="5176"/>
      <c r="D13" s="553" t="s">
        <v>178</v>
      </c>
      <c r="E13" s="606">
        <v>24</v>
      </c>
      <c r="F13" s="606">
        <v>16</v>
      </c>
      <c r="G13" s="607">
        <v>23</v>
      </c>
      <c r="H13" s="608">
        <v>21</v>
      </c>
      <c r="I13" s="608">
        <v>13</v>
      </c>
      <c r="J13" s="608">
        <v>13</v>
      </c>
      <c r="K13" s="608">
        <v>12</v>
      </c>
      <c r="L13" s="608">
        <v>12</v>
      </c>
    </row>
    <row r="14" spans="1:12" s="6" customFormat="1" ht="15" customHeight="1" x14ac:dyDescent="0.2">
      <c r="B14" s="5172"/>
      <c r="C14" s="5176"/>
      <c r="D14" s="553" t="s">
        <v>179</v>
      </c>
      <c r="E14" s="606">
        <v>40</v>
      </c>
      <c r="F14" s="606">
        <v>36</v>
      </c>
      <c r="G14" s="607">
        <v>34</v>
      </c>
      <c r="H14" s="608">
        <v>38</v>
      </c>
      <c r="I14" s="608">
        <v>33</v>
      </c>
      <c r="J14" s="608">
        <v>29</v>
      </c>
      <c r="K14" s="608">
        <v>31</v>
      </c>
      <c r="L14" s="608">
        <v>28</v>
      </c>
    </row>
    <row r="15" spans="1:12" s="6" customFormat="1" ht="15" customHeight="1" x14ac:dyDescent="0.2">
      <c r="B15" s="5172"/>
      <c r="C15" s="5176"/>
      <c r="D15" s="553" t="s">
        <v>180</v>
      </c>
      <c r="E15" s="606"/>
      <c r="F15" s="606">
        <v>6</v>
      </c>
      <c r="G15" s="607">
        <v>11</v>
      </c>
      <c r="H15" s="608">
        <v>17</v>
      </c>
      <c r="I15" s="608">
        <v>21</v>
      </c>
      <c r="J15" s="608">
        <v>13</v>
      </c>
      <c r="K15" s="608">
        <v>18</v>
      </c>
      <c r="L15" s="608">
        <v>20</v>
      </c>
    </row>
    <row r="16" spans="1:12" s="6" customFormat="1" ht="15" customHeight="1" x14ac:dyDescent="0.2">
      <c r="B16" s="5172"/>
      <c r="C16" s="5177" t="s">
        <v>6</v>
      </c>
      <c r="D16" s="554" t="s">
        <v>181</v>
      </c>
      <c r="E16" s="609">
        <v>14</v>
      </c>
      <c r="F16" s="609">
        <v>9</v>
      </c>
      <c r="G16" s="610">
        <v>7</v>
      </c>
      <c r="H16" s="611">
        <v>6</v>
      </c>
      <c r="I16" s="611">
        <v>9</v>
      </c>
      <c r="J16" s="611">
        <v>12</v>
      </c>
      <c r="K16" s="611">
        <v>12</v>
      </c>
      <c r="L16" s="611">
        <v>13</v>
      </c>
    </row>
    <row r="17" spans="2:12" s="6" customFormat="1" ht="15" customHeight="1" x14ac:dyDescent="0.2">
      <c r="B17" s="5172"/>
      <c r="C17" s="5176"/>
      <c r="D17" s="553" t="s">
        <v>182</v>
      </c>
      <c r="E17" s="606">
        <v>21</v>
      </c>
      <c r="F17" s="606">
        <v>18</v>
      </c>
      <c r="G17" s="607">
        <v>16</v>
      </c>
      <c r="H17" s="608">
        <v>15</v>
      </c>
      <c r="I17" s="608">
        <v>21</v>
      </c>
      <c r="J17" s="608">
        <v>18</v>
      </c>
      <c r="K17" s="608">
        <v>19</v>
      </c>
      <c r="L17" s="608">
        <v>8</v>
      </c>
    </row>
    <row r="18" spans="2:12" s="6" customFormat="1" ht="15" customHeight="1" x14ac:dyDescent="0.2">
      <c r="B18" s="5172"/>
      <c r="C18" s="5176"/>
      <c r="D18" s="553" t="s">
        <v>183</v>
      </c>
      <c r="E18" s="606">
        <v>18</v>
      </c>
      <c r="F18" s="606">
        <v>21</v>
      </c>
      <c r="G18" s="607">
        <v>13</v>
      </c>
      <c r="H18" s="608">
        <v>12</v>
      </c>
      <c r="I18" s="608">
        <v>16</v>
      </c>
      <c r="J18" s="608">
        <v>18</v>
      </c>
      <c r="K18" s="608">
        <v>19</v>
      </c>
      <c r="L18" s="608">
        <v>19</v>
      </c>
    </row>
    <row r="19" spans="2:12" s="6" customFormat="1" ht="15" customHeight="1" x14ac:dyDescent="0.2">
      <c r="B19" s="5172"/>
      <c r="C19" s="5178"/>
      <c r="D19" s="555" t="s">
        <v>184</v>
      </c>
      <c r="E19" s="612">
        <v>17</v>
      </c>
      <c r="F19" s="612">
        <v>14</v>
      </c>
      <c r="G19" s="613">
        <v>12</v>
      </c>
      <c r="H19" s="614">
        <v>14</v>
      </c>
      <c r="I19" s="614">
        <v>20</v>
      </c>
      <c r="J19" s="614">
        <v>8</v>
      </c>
      <c r="K19" s="614">
        <v>16</v>
      </c>
      <c r="L19" s="614">
        <v>11</v>
      </c>
    </row>
    <row r="20" spans="2:12" s="6" customFormat="1" ht="15" customHeight="1" x14ac:dyDescent="0.2">
      <c r="B20" s="5172"/>
      <c r="C20" s="5176" t="s">
        <v>7</v>
      </c>
      <c r="D20" s="553" t="s">
        <v>168</v>
      </c>
      <c r="E20" s="606">
        <v>28</v>
      </c>
      <c r="F20" s="606">
        <v>21</v>
      </c>
      <c r="G20" s="607">
        <v>13</v>
      </c>
      <c r="H20" s="608">
        <v>15</v>
      </c>
      <c r="I20" s="608">
        <v>15</v>
      </c>
      <c r="J20" s="608">
        <v>19</v>
      </c>
      <c r="K20" s="608">
        <v>18</v>
      </c>
      <c r="L20" s="608">
        <v>16</v>
      </c>
    </row>
    <row r="21" spans="2:12" s="6" customFormat="1" ht="15" customHeight="1" x14ac:dyDescent="0.2">
      <c r="B21" s="5172"/>
      <c r="C21" s="5176"/>
      <c r="D21" s="553" t="s">
        <v>169</v>
      </c>
      <c r="E21" s="606">
        <v>13</v>
      </c>
      <c r="F21" s="606">
        <v>17</v>
      </c>
      <c r="G21" s="607">
        <v>11</v>
      </c>
      <c r="H21" s="608">
        <v>4</v>
      </c>
      <c r="I21" s="608">
        <v>7</v>
      </c>
      <c r="J21" s="608">
        <v>7</v>
      </c>
      <c r="K21" s="608">
        <v>5</v>
      </c>
      <c r="L21" s="608">
        <v>7</v>
      </c>
    </row>
    <row r="22" spans="2:12" s="6" customFormat="1" ht="15" customHeight="1" x14ac:dyDescent="0.2">
      <c r="B22" s="5173"/>
      <c r="C22" s="5176"/>
      <c r="D22" s="553" t="s">
        <v>170</v>
      </c>
      <c r="E22" s="606">
        <v>14</v>
      </c>
      <c r="F22" s="606">
        <v>12</v>
      </c>
      <c r="G22" s="607">
        <v>3</v>
      </c>
      <c r="H22" s="608">
        <v>5</v>
      </c>
      <c r="I22" s="608">
        <v>3</v>
      </c>
      <c r="J22" s="608">
        <v>5</v>
      </c>
      <c r="K22" s="608">
        <v>4</v>
      </c>
      <c r="L22" s="608">
        <v>5</v>
      </c>
    </row>
    <row r="23" spans="2:12" s="6" customFormat="1" ht="15" customHeight="1" x14ac:dyDescent="0.2">
      <c r="B23" s="5171" t="s">
        <v>8</v>
      </c>
      <c r="C23" s="5177" t="s">
        <v>6</v>
      </c>
      <c r="D23" s="554" t="s">
        <v>181</v>
      </c>
      <c r="E23" s="615"/>
      <c r="F23" s="615"/>
      <c r="G23" s="610"/>
      <c r="H23" s="616">
        <v>1</v>
      </c>
      <c r="I23" s="616">
        <v>1</v>
      </c>
      <c r="J23" s="616">
        <v>1</v>
      </c>
      <c r="K23" s="616">
        <v>1</v>
      </c>
      <c r="L23" s="616">
        <v>1</v>
      </c>
    </row>
    <row r="24" spans="2:12" s="6" customFormat="1" ht="15" customHeight="1" x14ac:dyDescent="0.2">
      <c r="B24" s="5172"/>
      <c r="C24" s="5176"/>
      <c r="D24" s="553" t="s">
        <v>182</v>
      </c>
      <c r="E24" s="617"/>
      <c r="F24" s="617"/>
      <c r="G24" s="607"/>
      <c r="H24" s="618">
        <v>1</v>
      </c>
      <c r="I24" s="618"/>
      <c r="J24" s="618"/>
      <c r="K24" s="618">
        <v>1</v>
      </c>
      <c r="L24" s="618"/>
    </row>
    <row r="25" spans="2:12" s="6" customFormat="1" ht="15" customHeight="1" x14ac:dyDescent="0.2">
      <c r="B25" s="5172"/>
      <c r="C25" s="5176"/>
      <c r="D25" s="553" t="s">
        <v>191</v>
      </c>
      <c r="E25" s="617"/>
      <c r="F25" s="617"/>
      <c r="G25" s="607"/>
      <c r="H25" s="618"/>
      <c r="I25" s="618"/>
      <c r="J25" s="618">
        <v>1</v>
      </c>
      <c r="K25" s="618">
        <v>1</v>
      </c>
      <c r="L25" s="618">
        <v>1</v>
      </c>
    </row>
    <row r="26" spans="2:12" s="6" customFormat="1" ht="15" customHeight="1" x14ac:dyDescent="0.2">
      <c r="B26" s="5172"/>
      <c r="C26" s="5178"/>
      <c r="D26" s="555" t="s">
        <v>192</v>
      </c>
      <c r="E26" s="619"/>
      <c r="F26" s="619"/>
      <c r="G26" s="613"/>
      <c r="H26" s="620"/>
      <c r="I26" s="620"/>
      <c r="J26" s="620">
        <v>2</v>
      </c>
      <c r="K26" s="620">
        <v>1</v>
      </c>
      <c r="L26" s="620"/>
    </row>
    <row r="27" spans="2:12" s="6" customFormat="1" ht="15" customHeight="1" x14ac:dyDescent="0.2">
      <c r="B27" s="5172"/>
      <c r="C27" s="5176" t="s">
        <v>9</v>
      </c>
      <c r="D27" s="553" t="s">
        <v>185</v>
      </c>
      <c r="E27" s="617"/>
      <c r="F27" s="617"/>
      <c r="G27" s="607"/>
      <c r="H27" s="618"/>
      <c r="I27" s="618">
        <v>2</v>
      </c>
      <c r="J27" s="618">
        <v>1</v>
      </c>
      <c r="K27" s="618">
        <v>2</v>
      </c>
      <c r="L27" s="618">
        <v>1</v>
      </c>
    </row>
    <row r="28" spans="2:12" s="6" customFormat="1" ht="15" customHeight="1" x14ac:dyDescent="0.2">
      <c r="B28" s="5172"/>
      <c r="C28" s="5176"/>
      <c r="D28" s="553" t="s">
        <v>348</v>
      </c>
      <c r="E28" s="617"/>
      <c r="F28" s="617"/>
      <c r="G28" s="607"/>
      <c r="H28" s="618"/>
      <c r="I28" s="618"/>
      <c r="J28" s="618">
        <v>3</v>
      </c>
      <c r="K28" s="618"/>
      <c r="L28" s="618">
        <v>2</v>
      </c>
    </row>
    <row r="29" spans="2:12" s="6" customFormat="1" ht="15" customHeight="1" x14ac:dyDescent="0.2">
      <c r="B29" s="5172"/>
      <c r="C29" s="5176"/>
      <c r="D29" s="553" t="s">
        <v>187</v>
      </c>
      <c r="E29" s="617"/>
      <c r="F29" s="617"/>
      <c r="G29" s="607"/>
      <c r="H29" s="618"/>
      <c r="I29" s="618"/>
      <c r="J29" s="618">
        <v>2</v>
      </c>
      <c r="K29" s="618">
        <v>3</v>
      </c>
      <c r="L29" s="618">
        <v>1</v>
      </c>
    </row>
    <row r="30" spans="2:12" s="6" customFormat="1" ht="15" customHeight="1" x14ac:dyDescent="0.2">
      <c r="B30" s="5172"/>
      <c r="C30" s="5177" t="s">
        <v>74</v>
      </c>
      <c r="D30" s="554" t="s">
        <v>188</v>
      </c>
      <c r="E30" s="615"/>
      <c r="F30" s="615"/>
      <c r="G30" s="610"/>
      <c r="H30" s="616"/>
      <c r="I30" s="616"/>
      <c r="J30" s="616">
        <v>2</v>
      </c>
      <c r="K30" s="616">
        <v>3</v>
      </c>
      <c r="L30" s="616">
        <v>1</v>
      </c>
    </row>
    <row r="31" spans="2:12" s="6" customFormat="1" ht="15" customHeight="1" x14ac:dyDescent="0.2">
      <c r="B31" s="5172"/>
      <c r="C31" s="5176"/>
      <c r="D31" s="553" t="s">
        <v>189</v>
      </c>
      <c r="E31" s="617"/>
      <c r="F31" s="617"/>
      <c r="G31" s="607"/>
      <c r="H31" s="618"/>
      <c r="I31" s="618"/>
      <c r="J31" s="618"/>
      <c r="K31" s="618">
        <v>4</v>
      </c>
      <c r="L31" s="618">
        <v>3</v>
      </c>
    </row>
    <row r="32" spans="2:12" s="6" customFormat="1" ht="15" customHeight="1" x14ac:dyDescent="0.2">
      <c r="B32" s="5173"/>
      <c r="C32" s="5178"/>
      <c r="D32" s="555" t="s">
        <v>190</v>
      </c>
      <c r="E32" s="619"/>
      <c r="F32" s="619"/>
      <c r="G32" s="613"/>
      <c r="H32" s="620"/>
      <c r="I32" s="620"/>
      <c r="J32" s="620"/>
      <c r="K32" s="620">
        <v>1</v>
      </c>
      <c r="L32" s="620">
        <v>2</v>
      </c>
    </row>
    <row r="33" spans="2:12" s="6" customFormat="1" ht="15" customHeight="1" x14ac:dyDescent="0.2">
      <c r="B33" s="5171" t="s">
        <v>75</v>
      </c>
      <c r="C33" s="5176" t="s">
        <v>5</v>
      </c>
      <c r="D33" s="553" t="s">
        <v>193</v>
      </c>
      <c r="E33" s="606">
        <v>31</v>
      </c>
      <c r="F33" s="606">
        <v>23</v>
      </c>
      <c r="G33" s="607">
        <v>21</v>
      </c>
      <c r="H33" s="608">
        <v>14</v>
      </c>
      <c r="I33" s="608">
        <v>17</v>
      </c>
      <c r="J33" s="608">
        <v>28</v>
      </c>
      <c r="K33" s="608">
        <v>22</v>
      </c>
      <c r="L33" s="608">
        <v>11</v>
      </c>
    </row>
    <row r="34" spans="2:12" s="6" customFormat="1" ht="15" customHeight="1" x14ac:dyDescent="0.2">
      <c r="B34" s="5172"/>
      <c r="C34" s="5176"/>
      <c r="D34" s="553" t="s">
        <v>194</v>
      </c>
      <c r="E34" s="606">
        <v>2</v>
      </c>
      <c r="F34" s="606">
        <v>4</v>
      </c>
      <c r="G34" s="607">
        <v>5</v>
      </c>
      <c r="H34" s="608">
        <v>4</v>
      </c>
      <c r="I34" s="608">
        <v>1</v>
      </c>
      <c r="J34" s="608">
        <v>3</v>
      </c>
      <c r="K34" s="608">
        <v>2</v>
      </c>
      <c r="L34" s="608">
        <v>6</v>
      </c>
    </row>
    <row r="35" spans="2:12" s="6" customFormat="1" ht="15" customHeight="1" x14ac:dyDescent="0.2">
      <c r="B35" s="5172"/>
      <c r="C35" s="5176"/>
      <c r="D35" s="553" t="s">
        <v>195</v>
      </c>
      <c r="E35" s="606">
        <v>9</v>
      </c>
      <c r="F35" s="606">
        <v>6</v>
      </c>
      <c r="G35" s="607">
        <v>12</v>
      </c>
      <c r="H35" s="608">
        <v>5</v>
      </c>
      <c r="I35" s="608">
        <v>13</v>
      </c>
      <c r="J35" s="608">
        <v>25</v>
      </c>
      <c r="K35" s="608">
        <v>19</v>
      </c>
      <c r="L35" s="608">
        <v>13</v>
      </c>
    </row>
    <row r="36" spans="2:12" s="6" customFormat="1" ht="15" customHeight="1" x14ac:dyDescent="0.2">
      <c r="B36" s="5172"/>
      <c r="C36" s="5176"/>
      <c r="D36" s="553" t="s">
        <v>196</v>
      </c>
      <c r="E36" s="606">
        <v>14</v>
      </c>
      <c r="F36" s="606">
        <v>22</v>
      </c>
      <c r="G36" s="607">
        <v>12</v>
      </c>
      <c r="H36" s="608">
        <v>14</v>
      </c>
      <c r="I36" s="608">
        <v>10</v>
      </c>
      <c r="J36" s="608">
        <v>7</v>
      </c>
      <c r="K36" s="608">
        <v>10</v>
      </c>
      <c r="L36" s="608">
        <v>7</v>
      </c>
    </row>
    <row r="37" spans="2:12" s="6" customFormat="1" ht="15" customHeight="1" x14ac:dyDescent="0.2">
      <c r="B37" s="5172"/>
      <c r="C37" s="5176"/>
      <c r="D37" s="553" t="s">
        <v>197</v>
      </c>
      <c r="E37" s="606">
        <v>10</v>
      </c>
      <c r="F37" s="606">
        <v>10</v>
      </c>
      <c r="G37" s="607">
        <v>12</v>
      </c>
      <c r="H37" s="608">
        <v>12</v>
      </c>
      <c r="I37" s="608">
        <v>10</v>
      </c>
      <c r="J37" s="608">
        <v>12</v>
      </c>
      <c r="K37" s="608">
        <v>13</v>
      </c>
      <c r="L37" s="608">
        <v>8</v>
      </c>
    </row>
    <row r="38" spans="2:12" s="6" customFormat="1" ht="15" customHeight="1" x14ac:dyDescent="0.2">
      <c r="B38" s="5172"/>
      <c r="C38" s="5176"/>
      <c r="D38" s="553" t="s">
        <v>198</v>
      </c>
      <c r="E38" s="606">
        <v>36</v>
      </c>
      <c r="F38" s="606">
        <v>25</v>
      </c>
      <c r="G38" s="607">
        <v>18</v>
      </c>
      <c r="H38" s="608">
        <v>29</v>
      </c>
      <c r="I38" s="608">
        <v>34</v>
      </c>
      <c r="J38" s="608">
        <v>15</v>
      </c>
      <c r="K38" s="608">
        <v>31</v>
      </c>
      <c r="L38" s="608">
        <v>15</v>
      </c>
    </row>
    <row r="39" spans="2:12" s="6" customFormat="1" ht="15" customHeight="1" x14ac:dyDescent="0.2">
      <c r="B39" s="5172"/>
      <c r="C39" s="5176"/>
      <c r="D39" s="553" t="s">
        <v>199</v>
      </c>
      <c r="E39" s="606">
        <v>17</v>
      </c>
      <c r="F39" s="606">
        <v>21</v>
      </c>
      <c r="G39" s="607">
        <v>20</v>
      </c>
      <c r="H39" s="608">
        <v>21</v>
      </c>
      <c r="I39" s="608">
        <v>15</v>
      </c>
      <c r="J39" s="608">
        <v>14</v>
      </c>
      <c r="K39" s="608">
        <v>23</v>
      </c>
      <c r="L39" s="608">
        <v>18</v>
      </c>
    </row>
    <row r="40" spans="2:12" s="6" customFormat="1" ht="15" customHeight="1" x14ac:dyDescent="0.2">
      <c r="B40" s="5172"/>
      <c r="C40" s="5176"/>
      <c r="D40" s="553" t="s">
        <v>200</v>
      </c>
      <c r="E40" s="606">
        <v>4</v>
      </c>
      <c r="F40" s="606">
        <v>2</v>
      </c>
      <c r="G40" s="607">
        <v>1</v>
      </c>
      <c r="H40" s="608">
        <v>1</v>
      </c>
      <c r="I40" s="608">
        <v>1</v>
      </c>
      <c r="J40" s="608">
        <v>4</v>
      </c>
      <c r="K40" s="608">
        <v>9</v>
      </c>
      <c r="L40" s="608">
        <v>8</v>
      </c>
    </row>
    <row r="41" spans="2:12" s="6" customFormat="1" ht="15" customHeight="1" x14ac:dyDescent="0.2">
      <c r="B41" s="5172"/>
      <c r="C41" s="5176"/>
      <c r="D41" s="553" t="s">
        <v>201</v>
      </c>
      <c r="E41" s="606">
        <v>36</v>
      </c>
      <c r="F41" s="606">
        <v>29</v>
      </c>
      <c r="G41" s="607">
        <v>24</v>
      </c>
      <c r="H41" s="608">
        <v>33</v>
      </c>
      <c r="I41" s="608">
        <v>35</v>
      </c>
      <c r="J41" s="608">
        <v>32</v>
      </c>
      <c r="K41" s="608">
        <v>28</v>
      </c>
      <c r="L41" s="608">
        <v>25</v>
      </c>
    </row>
    <row r="42" spans="2:12" s="6" customFormat="1" ht="15" customHeight="1" x14ac:dyDescent="0.2">
      <c r="B42" s="5172"/>
      <c r="C42" s="5177" t="s">
        <v>6</v>
      </c>
      <c r="D42" s="554" t="s">
        <v>181</v>
      </c>
      <c r="E42" s="609">
        <v>14</v>
      </c>
      <c r="F42" s="609">
        <v>14</v>
      </c>
      <c r="G42" s="610">
        <v>5</v>
      </c>
      <c r="H42" s="611">
        <v>11</v>
      </c>
      <c r="I42" s="611">
        <v>12</v>
      </c>
      <c r="J42" s="611">
        <v>16</v>
      </c>
      <c r="K42" s="611">
        <v>15</v>
      </c>
      <c r="L42" s="611">
        <v>6</v>
      </c>
    </row>
    <row r="43" spans="2:12" s="6" customFormat="1" ht="15" customHeight="1" x14ac:dyDescent="0.2">
      <c r="B43" s="5172"/>
      <c r="C43" s="5176"/>
      <c r="D43" s="553" t="s">
        <v>208</v>
      </c>
      <c r="E43" s="606">
        <v>1</v>
      </c>
      <c r="F43" s="606">
        <v>5</v>
      </c>
      <c r="G43" s="607">
        <v>1</v>
      </c>
      <c r="H43" s="608">
        <v>7</v>
      </c>
      <c r="I43" s="608">
        <v>1</v>
      </c>
      <c r="J43" s="608">
        <v>4</v>
      </c>
      <c r="K43" s="608">
        <v>4</v>
      </c>
      <c r="L43" s="608">
        <v>7</v>
      </c>
    </row>
    <row r="44" spans="2:12" s="6" customFormat="1" ht="15" customHeight="1" x14ac:dyDescent="0.2">
      <c r="B44" s="5172"/>
      <c r="C44" s="5176"/>
      <c r="D44" s="553" t="s">
        <v>209</v>
      </c>
      <c r="E44" s="617">
        <v>10</v>
      </c>
      <c r="F44" s="606">
        <v>5</v>
      </c>
      <c r="G44" s="607">
        <v>6</v>
      </c>
      <c r="H44" s="618">
        <v>6</v>
      </c>
      <c r="I44" s="608">
        <v>15</v>
      </c>
      <c r="J44" s="608">
        <v>4</v>
      </c>
      <c r="K44" s="608">
        <v>5</v>
      </c>
      <c r="L44" s="608">
        <v>5</v>
      </c>
    </row>
    <row r="45" spans="2:12" s="6" customFormat="1" ht="15" customHeight="1" x14ac:dyDescent="0.2">
      <c r="B45" s="5172"/>
      <c r="C45" s="5176"/>
      <c r="D45" s="553" t="s">
        <v>210</v>
      </c>
      <c r="E45" s="617">
        <v>4</v>
      </c>
      <c r="F45" s="606">
        <v>6</v>
      </c>
      <c r="G45" s="607">
        <v>5</v>
      </c>
      <c r="H45" s="618">
        <v>5</v>
      </c>
      <c r="I45" s="608">
        <v>3</v>
      </c>
      <c r="J45" s="608">
        <v>9</v>
      </c>
      <c r="K45" s="608">
        <v>5</v>
      </c>
      <c r="L45" s="608">
        <v>6</v>
      </c>
    </row>
    <row r="46" spans="2:12" s="6" customFormat="1" ht="15" customHeight="1" x14ac:dyDescent="0.2">
      <c r="B46" s="5172"/>
      <c r="C46" s="5176"/>
      <c r="D46" s="553" t="s">
        <v>183</v>
      </c>
      <c r="E46" s="606">
        <v>14</v>
      </c>
      <c r="F46" s="606">
        <v>13</v>
      </c>
      <c r="G46" s="607">
        <v>9</v>
      </c>
      <c r="H46" s="608">
        <v>6</v>
      </c>
      <c r="I46" s="608">
        <v>17</v>
      </c>
      <c r="J46" s="608">
        <v>12</v>
      </c>
      <c r="K46" s="608">
        <v>7</v>
      </c>
      <c r="L46" s="608">
        <v>7</v>
      </c>
    </row>
    <row r="47" spans="2:12" s="6" customFormat="1" ht="15" customHeight="1" x14ac:dyDescent="0.2">
      <c r="B47" s="5172"/>
      <c r="C47" s="5176"/>
      <c r="D47" s="553" t="s">
        <v>184</v>
      </c>
      <c r="E47" s="606">
        <v>10</v>
      </c>
      <c r="F47" s="606">
        <v>7</v>
      </c>
      <c r="G47" s="607">
        <v>5</v>
      </c>
      <c r="H47" s="608">
        <v>9</v>
      </c>
      <c r="I47" s="608">
        <v>4</v>
      </c>
      <c r="J47" s="608">
        <v>6</v>
      </c>
      <c r="K47" s="608">
        <v>3</v>
      </c>
      <c r="L47" s="608">
        <v>3</v>
      </c>
    </row>
    <row r="48" spans="2:12" s="6" customFormat="1" ht="15" customHeight="1" x14ac:dyDescent="0.2">
      <c r="B48" s="5172"/>
      <c r="C48" s="5176"/>
      <c r="D48" s="553" t="s">
        <v>211</v>
      </c>
      <c r="E48" s="606">
        <v>8</v>
      </c>
      <c r="F48" s="606">
        <v>5</v>
      </c>
      <c r="G48" s="607">
        <v>10</v>
      </c>
      <c r="H48" s="608">
        <v>9</v>
      </c>
      <c r="I48" s="608">
        <v>5</v>
      </c>
      <c r="J48" s="608">
        <v>6</v>
      </c>
      <c r="K48" s="608">
        <v>11</v>
      </c>
      <c r="L48" s="608">
        <v>5</v>
      </c>
    </row>
    <row r="49" spans="2:12" s="6" customFormat="1" ht="15" customHeight="1" x14ac:dyDescent="0.2">
      <c r="B49" s="5172"/>
      <c r="C49" s="5176"/>
      <c r="D49" s="553" t="s">
        <v>212</v>
      </c>
      <c r="E49" s="606">
        <v>3</v>
      </c>
      <c r="F49" s="606">
        <v>3</v>
      </c>
      <c r="G49" s="607">
        <v>1</v>
      </c>
      <c r="H49" s="608">
        <v>4</v>
      </c>
      <c r="I49" s="608">
        <v>3</v>
      </c>
      <c r="J49" s="608">
        <v>3</v>
      </c>
      <c r="K49" s="608">
        <v>1</v>
      </c>
      <c r="L49" s="608">
        <v>2</v>
      </c>
    </row>
    <row r="50" spans="2:12" s="6" customFormat="1" ht="15" customHeight="1" x14ac:dyDescent="0.2">
      <c r="B50" s="5172"/>
      <c r="C50" s="5176"/>
      <c r="D50" s="553" t="s">
        <v>213</v>
      </c>
      <c r="E50" s="606">
        <v>9</v>
      </c>
      <c r="F50" s="606">
        <v>8</v>
      </c>
      <c r="G50" s="607">
        <v>8</v>
      </c>
      <c r="H50" s="608">
        <v>9</v>
      </c>
      <c r="I50" s="608">
        <v>4</v>
      </c>
      <c r="J50" s="608">
        <v>9</v>
      </c>
      <c r="K50" s="608">
        <v>6</v>
      </c>
      <c r="L50" s="608">
        <v>3</v>
      </c>
    </row>
    <row r="51" spans="2:12" s="6" customFormat="1" ht="15" customHeight="1" x14ac:dyDescent="0.2">
      <c r="B51" s="5172"/>
      <c r="C51" s="5176"/>
      <c r="D51" s="553" t="s">
        <v>214</v>
      </c>
      <c r="E51" s="606">
        <v>15</v>
      </c>
      <c r="F51" s="606">
        <v>10</v>
      </c>
      <c r="G51" s="607">
        <v>11</v>
      </c>
      <c r="H51" s="608">
        <v>7</v>
      </c>
      <c r="I51" s="608">
        <v>13</v>
      </c>
      <c r="J51" s="608">
        <v>14</v>
      </c>
      <c r="K51" s="608">
        <v>9</v>
      </c>
      <c r="L51" s="608">
        <v>8</v>
      </c>
    </row>
    <row r="52" spans="2:12" s="6" customFormat="1" ht="15" customHeight="1" x14ac:dyDescent="0.2">
      <c r="B52" s="5172"/>
      <c r="C52" s="5178"/>
      <c r="D52" s="555" t="s">
        <v>215</v>
      </c>
      <c r="E52" s="619"/>
      <c r="F52" s="612"/>
      <c r="G52" s="613">
        <v>3</v>
      </c>
      <c r="H52" s="620">
        <v>3</v>
      </c>
      <c r="I52" s="614"/>
      <c r="J52" s="614">
        <v>1</v>
      </c>
      <c r="K52" s="614">
        <v>3</v>
      </c>
      <c r="L52" s="614">
        <v>6</v>
      </c>
    </row>
    <row r="53" spans="2:12" s="6" customFormat="1" ht="15" customHeight="1" x14ac:dyDescent="0.2">
      <c r="B53" s="5172"/>
      <c r="C53" s="5177" t="s">
        <v>11</v>
      </c>
      <c r="D53" s="554" t="s">
        <v>202</v>
      </c>
      <c r="E53" s="609">
        <v>11</v>
      </c>
      <c r="F53" s="609">
        <v>22</v>
      </c>
      <c r="G53" s="610">
        <v>16</v>
      </c>
      <c r="H53" s="611">
        <v>10</v>
      </c>
      <c r="I53" s="611">
        <v>16</v>
      </c>
      <c r="J53" s="611">
        <v>11</v>
      </c>
      <c r="K53" s="611">
        <v>7</v>
      </c>
      <c r="L53" s="611">
        <v>14</v>
      </c>
    </row>
    <row r="54" spans="2:12" s="6" customFormat="1" ht="15" customHeight="1" x14ac:dyDescent="0.2">
      <c r="B54" s="5172"/>
      <c r="C54" s="5176"/>
      <c r="D54" s="553" t="s">
        <v>203</v>
      </c>
      <c r="E54" s="606">
        <v>20</v>
      </c>
      <c r="F54" s="606">
        <v>16</v>
      </c>
      <c r="G54" s="607">
        <v>11</v>
      </c>
      <c r="H54" s="608">
        <v>6</v>
      </c>
      <c r="I54" s="608">
        <v>6</v>
      </c>
      <c r="J54" s="608">
        <v>16</v>
      </c>
      <c r="K54" s="608">
        <v>16</v>
      </c>
      <c r="L54" s="608">
        <v>7</v>
      </c>
    </row>
    <row r="55" spans="2:12" s="6" customFormat="1" ht="15" customHeight="1" x14ac:dyDescent="0.2">
      <c r="B55" s="5172"/>
      <c r="C55" s="5176"/>
      <c r="D55" s="553" t="s">
        <v>204</v>
      </c>
      <c r="E55" s="606">
        <v>5</v>
      </c>
      <c r="F55" s="606">
        <v>1</v>
      </c>
      <c r="G55" s="607">
        <v>4</v>
      </c>
      <c r="H55" s="608">
        <v>9</v>
      </c>
      <c r="I55" s="608">
        <v>8</v>
      </c>
      <c r="J55" s="608">
        <v>6</v>
      </c>
      <c r="K55" s="608">
        <v>5</v>
      </c>
      <c r="L55" s="608">
        <v>5</v>
      </c>
    </row>
    <row r="56" spans="2:12" s="6" customFormat="1" ht="15" customHeight="1" x14ac:dyDescent="0.2">
      <c r="B56" s="5172"/>
      <c r="C56" s="5176"/>
      <c r="D56" s="553" t="s">
        <v>205</v>
      </c>
      <c r="E56" s="606">
        <v>2</v>
      </c>
      <c r="F56" s="606">
        <v>5</v>
      </c>
      <c r="G56" s="607">
        <v>2</v>
      </c>
      <c r="H56" s="608">
        <v>5</v>
      </c>
      <c r="I56" s="608">
        <v>4</v>
      </c>
      <c r="J56" s="608">
        <v>3</v>
      </c>
      <c r="K56" s="608">
        <v>1</v>
      </c>
      <c r="L56" s="608">
        <v>3</v>
      </c>
    </row>
    <row r="57" spans="2:12" s="6" customFormat="1" ht="15" customHeight="1" x14ac:dyDescent="0.2">
      <c r="B57" s="5172"/>
      <c r="C57" s="5176"/>
      <c r="D57" s="553" t="s">
        <v>206</v>
      </c>
      <c r="E57" s="606">
        <v>22</v>
      </c>
      <c r="F57" s="606">
        <v>22</v>
      </c>
      <c r="G57" s="607">
        <v>10</v>
      </c>
      <c r="H57" s="608">
        <v>15</v>
      </c>
      <c r="I57" s="608">
        <v>26</v>
      </c>
      <c r="J57" s="608">
        <v>16</v>
      </c>
      <c r="K57" s="608">
        <v>20</v>
      </c>
      <c r="L57" s="608">
        <v>16</v>
      </c>
    </row>
    <row r="58" spans="2:12" s="6" customFormat="1" ht="15" customHeight="1" x14ac:dyDescent="0.2">
      <c r="B58" s="5173"/>
      <c r="C58" s="5178"/>
      <c r="D58" s="555" t="s">
        <v>207</v>
      </c>
      <c r="E58" s="612">
        <v>30</v>
      </c>
      <c r="F58" s="612">
        <v>26</v>
      </c>
      <c r="G58" s="613">
        <v>26</v>
      </c>
      <c r="H58" s="614">
        <v>19</v>
      </c>
      <c r="I58" s="614">
        <v>20</v>
      </c>
      <c r="J58" s="614">
        <v>19</v>
      </c>
      <c r="K58" s="614">
        <v>10</v>
      </c>
      <c r="L58" s="614">
        <v>15</v>
      </c>
    </row>
    <row r="59" spans="2:12" s="6" customFormat="1" ht="15" customHeight="1" x14ac:dyDescent="0.2">
      <c r="B59" s="5171" t="s">
        <v>10</v>
      </c>
      <c r="C59" s="5176" t="s">
        <v>6</v>
      </c>
      <c r="D59" s="553" t="s">
        <v>181</v>
      </c>
      <c r="E59" s="606">
        <v>10</v>
      </c>
      <c r="F59" s="606">
        <v>7</v>
      </c>
      <c r="G59" s="607">
        <v>14</v>
      </c>
      <c r="H59" s="608">
        <v>10</v>
      </c>
      <c r="I59" s="608">
        <v>15</v>
      </c>
      <c r="J59" s="608">
        <v>11</v>
      </c>
      <c r="K59" s="608">
        <v>16</v>
      </c>
      <c r="L59" s="608">
        <v>10</v>
      </c>
    </row>
    <row r="60" spans="2:12" s="6" customFormat="1" ht="15" customHeight="1" x14ac:dyDescent="0.2">
      <c r="B60" s="5172"/>
      <c r="C60" s="5176"/>
      <c r="D60" s="553" t="s">
        <v>224</v>
      </c>
      <c r="E60" s="606">
        <v>10</v>
      </c>
      <c r="F60" s="606">
        <v>7</v>
      </c>
      <c r="G60" s="607">
        <v>8</v>
      </c>
      <c r="H60" s="608">
        <v>6</v>
      </c>
      <c r="I60" s="608">
        <v>9</v>
      </c>
      <c r="J60" s="608">
        <v>4</v>
      </c>
      <c r="K60" s="608">
        <v>6</v>
      </c>
      <c r="L60" s="608">
        <v>11</v>
      </c>
    </row>
    <row r="61" spans="2:12" s="6" customFormat="1" ht="15" customHeight="1" x14ac:dyDescent="0.2">
      <c r="B61" s="5172"/>
      <c r="C61" s="5176"/>
      <c r="D61" s="553" t="s">
        <v>183</v>
      </c>
      <c r="E61" s="606">
        <v>21</v>
      </c>
      <c r="F61" s="606">
        <v>21</v>
      </c>
      <c r="G61" s="607">
        <v>15</v>
      </c>
      <c r="H61" s="608">
        <v>19</v>
      </c>
      <c r="I61" s="608">
        <v>13</v>
      </c>
      <c r="J61" s="608">
        <v>16</v>
      </c>
      <c r="K61" s="608">
        <v>13</v>
      </c>
      <c r="L61" s="608">
        <v>13</v>
      </c>
    </row>
    <row r="62" spans="2:12" s="6" customFormat="1" ht="15" customHeight="1" x14ac:dyDescent="0.2">
      <c r="B62" s="5172"/>
      <c r="C62" s="5176"/>
      <c r="D62" s="553" t="s">
        <v>225</v>
      </c>
      <c r="E62" s="606">
        <v>18</v>
      </c>
      <c r="F62" s="606">
        <v>22</v>
      </c>
      <c r="G62" s="607">
        <v>13</v>
      </c>
      <c r="H62" s="608">
        <v>19</v>
      </c>
      <c r="I62" s="608">
        <v>20</v>
      </c>
      <c r="J62" s="608">
        <v>14</v>
      </c>
      <c r="K62" s="608">
        <v>14</v>
      </c>
      <c r="L62" s="608">
        <v>15</v>
      </c>
    </row>
    <row r="63" spans="2:12" s="6" customFormat="1" ht="15" customHeight="1" x14ac:dyDescent="0.2">
      <c r="B63" s="5172"/>
      <c r="C63" s="5176"/>
      <c r="D63" s="553" t="s">
        <v>184</v>
      </c>
      <c r="E63" s="606">
        <v>20</v>
      </c>
      <c r="F63" s="606">
        <v>22</v>
      </c>
      <c r="G63" s="607">
        <v>18</v>
      </c>
      <c r="H63" s="608">
        <v>21</v>
      </c>
      <c r="I63" s="608">
        <v>19</v>
      </c>
      <c r="J63" s="608">
        <v>12</v>
      </c>
      <c r="K63" s="608">
        <v>16</v>
      </c>
      <c r="L63" s="608">
        <v>9</v>
      </c>
    </row>
    <row r="64" spans="2:12" s="6" customFormat="1" ht="15" customHeight="1" x14ac:dyDescent="0.2">
      <c r="B64" s="5172"/>
      <c r="C64" s="5178"/>
      <c r="D64" s="555" t="s">
        <v>226</v>
      </c>
      <c r="E64" s="612">
        <v>6</v>
      </c>
      <c r="F64" s="612">
        <v>6</v>
      </c>
      <c r="G64" s="613">
        <v>2</v>
      </c>
      <c r="H64" s="614">
        <v>3</v>
      </c>
      <c r="I64" s="614">
        <v>8</v>
      </c>
      <c r="J64" s="614">
        <v>7</v>
      </c>
      <c r="K64" s="614">
        <v>3</v>
      </c>
      <c r="L64" s="614">
        <v>8</v>
      </c>
    </row>
    <row r="65" spans="2:12" s="6" customFormat="1" ht="15" customHeight="1" x14ac:dyDescent="0.2">
      <c r="B65" s="5172"/>
      <c r="C65" s="5177" t="s">
        <v>11</v>
      </c>
      <c r="D65" s="554" t="s">
        <v>202</v>
      </c>
      <c r="E65" s="609">
        <v>14</v>
      </c>
      <c r="F65" s="609">
        <v>14</v>
      </c>
      <c r="G65" s="610">
        <v>17</v>
      </c>
      <c r="H65" s="611">
        <v>15</v>
      </c>
      <c r="I65" s="611">
        <v>17</v>
      </c>
      <c r="J65" s="611">
        <v>22</v>
      </c>
      <c r="K65" s="611">
        <v>15</v>
      </c>
      <c r="L65" s="611">
        <v>22</v>
      </c>
    </row>
    <row r="66" spans="2:12" s="6" customFormat="1" ht="15" customHeight="1" x14ac:dyDescent="0.2">
      <c r="B66" s="5172"/>
      <c r="C66" s="5176"/>
      <c r="D66" s="553" t="s">
        <v>217</v>
      </c>
      <c r="E66" s="606">
        <v>6</v>
      </c>
      <c r="F66" s="606">
        <v>11</v>
      </c>
      <c r="G66" s="607">
        <v>6</v>
      </c>
      <c r="H66" s="608">
        <v>5</v>
      </c>
      <c r="I66" s="608">
        <v>7</v>
      </c>
      <c r="J66" s="608">
        <v>12</v>
      </c>
      <c r="K66" s="608">
        <v>11</v>
      </c>
      <c r="L66" s="608">
        <v>7</v>
      </c>
    </row>
    <row r="67" spans="2:12" s="6" customFormat="1" ht="15" customHeight="1" x14ac:dyDescent="0.2">
      <c r="B67" s="5172"/>
      <c r="C67" s="5176"/>
      <c r="D67" s="553" t="s">
        <v>218</v>
      </c>
      <c r="E67" s="606">
        <v>8</v>
      </c>
      <c r="F67" s="606">
        <v>10</v>
      </c>
      <c r="G67" s="607">
        <v>2</v>
      </c>
      <c r="H67" s="608">
        <v>7</v>
      </c>
      <c r="I67" s="608">
        <v>8</v>
      </c>
      <c r="J67" s="608">
        <v>3</v>
      </c>
      <c r="K67" s="608">
        <v>3</v>
      </c>
      <c r="L67" s="608">
        <v>2</v>
      </c>
    </row>
    <row r="68" spans="2:12" s="6" customFormat="1" ht="15" customHeight="1" x14ac:dyDescent="0.2">
      <c r="B68" s="5172"/>
      <c r="C68" s="5176"/>
      <c r="D68" s="553" t="s">
        <v>219</v>
      </c>
      <c r="E68" s="606">
        <v>16</v>
      </c>
      <c r="F68" s="606">
        <v>21</v>
      </c>
      <c r="G68" s="607">
        <v>20</v>
      </c>
      <c r="H68" s="608">
        <v>15</v>
      </c>
      <c r="I68" s="608">
        <v>30</v>
      </c>
      <c r="J68" s="608">
        <v>15</v>
      </c>
      <c r="K68" s="608">
        <v>16</v>
      </c>
      <c r="L68" s="608">
        <v>22</v>
      </c>
    </row>
    <row r="69" spans="2:12" s="6" customFormat="1" ht="15" customHeight="1" x14ac:dyDescent="0.2">
      <c r="B69" s="5172"/>
      <c r="C69" s="5176"/>
      <c r="D69" s="553" t="s">
        <v>220</v>
      </c>
      <c r="E69" s="606">
        <v>19</v>
      </c>
      <c r="F69" s="606">
        <v>25</v>
      </c>
      <c r="G69" s="607">
        <v>16</v>
      </c>
      <c r="H69" s="608">
        <v>15</v>
      </c>
      <c r="I69" s="608">
        <v>18</v>
      </c>
      <c r="J69" s="608">
        <v>18</v>
      </c>
      <c r="K69" s="608">
        <v>14</v>
      </c>
      <c r="L69" s="608">
        <v>14</v>
      </c>
    </row>
    <row r="70" spans="2:12" s="6" customFormat="1" ht="15" customHeight="1" x14ac:dyDescent="0.2">
      <c r="B70" s="5172"/>
      <c r="C70" s="5176"/>
      <c r="D70" s="553" t="s">
        <v>221</v>
      </c>
      <c r="E70" s="606">
        <v>15</v>
      </c>
      <c r="F70" s="606">
        <v>11</v>
      </c>
      <c r="G70" s="607">
        <v>17</v>
      </c>
      <c r="H70" s="608">
        <v>13</v>
      </c>
      <c r="I70" s="608">
        <v>18</v>
      </c>
      <c r="J70" s="608">
        <v>18</v>
      </c>
      <c r="K70" s="608">
        <v>20</v>
      </c>
      <c r="L70" s="608">
        <v>20</v>
      </c>
    </row>
    <row r="71" spans="2:12" s="6" customFormat="1" ht="15" customHeight="1" x14ac:dyDescent="0.2">
      <c r="B71" s="5172"/>
      <c r="C71" s="5176"/>
      <c r="D71" s="553" t="s">
        <v>222</v>
      </c>
      <c r="E71" s="606">
        <v>6</v>
      </c>
      <c r="F71" s="606">
        <v>10</v>
      </c>
      <c r="G71" s="607">
        <v>8</v>
      </c>
      <c r="H71" s="608">
        <v>6</v>
      </c>
      <c r="I71" s="608">
        <v>2</v>
      </c>
      <c r="J71" s="608">
        <v>7</v>
      </c>
      <c r="K71" s="608">
        <v>6</v>
      </c>
      <c r="L71" s="608">
        <v>9</v>
      </c>
    </row>
    <row r="72" spans="2:12" s="6" customFormat="1" ht="15" customHeight="1" x14ac:dyDescent="0.2">
      <c r="B72" s="5172"/>
      <c r="C72" s="5178"/>
      <c r="D72" s="555" t="s">
        <v>223</v>
      </c>
      <c r="E72" s="612">
        <v>4</v>
      </c>
      <c r="F72" s="612">
        <v>3</v>
      </c>
      <c r="G72" s="613">
        <v>5</v>
      </c>
      <c r="H72" s="614">
        <v>6</v>
      </c>
      <c r="I72" s="614">
        <v>7</v>
      </c>
      <c r="J72" s="614">
        <v>4</v>
      </c>
      <c r="K72" s="614">
        <v>2</v>
      </c>
      <c r="L72" s="614">
        <v>3</v>
      </c>
    </row>
    <row r="73" spans="2:12" s="6" customFormat="1" ht="15" customHeight="1" x14ac:dyDescent="0.2">
      <c r="B73" s="5172"/>
      <c r="C73" s="5176" t="s">
        <v>7</v>
      </c>
      <c r="D73" s="556" t="s">
        <v>168</v>
      </c>
      <c r="E73" s="609">
        <v>16</v>
      </c>
      <c r="F73" s="609">
        <v>22</v>
      </c>
      <c r="G73" s="610">
        <v>27</v>
      </c>
      <c r="H73" s="611">
        <v>12</v>
      </c>
      <c r="I73" s="611">
        <v>20</v>
      </c>
      <c r="J73" s="611">
        <v>25</v>
      </c>
      <c r="K73" s="611">
        <v>20</v>
      </c>
      <c r="L73" s="611">
        <v>21</v>
      </c>
    </row>
    <row r="74" spans="2:12" s="6" customFormat="1" ht="15" customHeight="1" x14ac:dyDescent="0.2">
      <c r="B74" s="5172"/>
      <c r="C74" s="5176"/>
      <c r="D74" s="557" t="s">
        <v>169</v>
      </c>
      <c r="E74" s="606">
        <v>7</v>
      </c>
      <c r="F74" s="606">
        <v>9</v>
      </c>
      <c r="G74" s="607">
        <v>5</v>
      </c>
      <c r="H74" s="608"/>
      <c r="I74" s="608">
        <v>6</v>
      </c>
      <c r="J74" s="608">
        <v>5</v>
      </c>
      <c r="K74" s="608">
        <v>7</v>
      </c>
      <c r="L74" s="608">
        <v>12</v>
      </c>
    </row>
    <row r="75" spans="2:12" s="6" customFormat="1" ht="15" customHeight="1" x14ac:dyDescent="0.2">
      <c r="B75" s="5172"/>
      <c r="C75" s="5176"/>
      <c r="D75" s="557" t="s">
        <v>170</v>
      </c>
      <c r="E75" s="606">
        <v>4</v>
      </c>
      <c r="F75" s="606">
        <v>10</v>
      </c>
      <c r="G75" s="607">
        <v>11</v>
      </c>
      <c r="H75" s="608">
        <v>7</v>
      </c>
      <c r="I75" s="608">
        <v>11</v>
      </c>
      <c r="J75" s="608">
        <v>7</v>
      </c>
      <c r="K75" s="608">
        <v>6</v>
      </c>
      <c r="L75" s="608">
        <v>13</v>
      </c>
    </row>
    <row r="76" spans="2:12" s="6" customFormat="1" ht="15" customHeight="1" x14ac:dyDescent="0.2">
      <c r="B76" s="5173"/>
      <c r="C76" s="5178"/>
      <c r="D76" s="772" t="s">
        <v>216</v>
      </c>
      <c r="E76" s="612">
        <v>5</v>
      </c>
      <c r="F76" s="612">
        <v>11</v>
      </c>
      <c r="G76" s="613">
        <v>15</v>
      </c>
      <c r="H76" s="614">
        <v>7</v>
      </c>
      <c r="I76" s="614">
        <v>14</v>
      </c>
      <c r="J76" s="614">
        <v>7</v>
      </c>
      <c r="K76" s="614">
        <v>16</v>
      </c>
      <c r="L76" s="614">
        <v>17</v>
      </c>
    </row>
    <row r="77" spans="2:12" s="7" customFormat="1" ht="15" x14ac:dyDescent="0.25">
      <c r="C77" s="5174" t="s">
        <v>76</v>
      </c>
      <c r="D77" s="5175"/>
      <c r="E77" s="621">
        <f>SUM(E6:E76)</f>
        <v>842</v>
      </c>
      <c r="F77" s="621">
        <f t="shared" ref="F77:L77" si="0">SUM(F6:F76)</f>
        <v>808</v>
      </c>
      <c r="G77" s="621">
        <f t="shared" si="0"/>
        <v>692</v>
      </c>
      <c r="H77" s="621">
        <f t="shared" si="0"/>
        <v>691</v>
      </c>
      <c r="I77" s="621">
        <f t="shared" si="0"/>
        <v>769</v>
      </c>
      <c r="J77" s="621">
        <f t="shared" si="0"/>
        <v>735</v>
      </c>
      <c r="K77" s="621">
        <f t="shared" si="0"/>
        <v>728</v>
      </c>
      <c r="L77" s="622">
        <f t="shared" si="0"/>
        <v>673</v>
      </c>
    </row>
    <row r="78" spans="2:12" s="8" customFormat="1" ht="15" x14ac:dyDescent="0.25">
      <c r="C78" s="319" t="s">
        <v>0</v>
      </c>
      <c r="D78" s="193"/>
    </row>
    <row r="79" spans="2:12" s="8" customFormat="1" ht="15" x14ac:dyDescent="0.25">
      <c r="C79" s="142"/>
      <c r="D79" s="193"/>
    </row>
  </sheetData>
  <mergeCells count="19">
    <mergeCell ref="C2:L2"/>
    <mergeCell ref="C3:L3"/>
    <mergeCell ref="B6:B22"/>
    <mergeCell ref="B23:B32"/>
    <mergeCell ref="B33:B58"/>
    <mergeCell ref="B59:B76"/>
    <mergeCell ref="C77:D77"/>
    <mergeCell ref="C20:C22"/>
    <mergeCell ref="C6:C15"/>
    <mergeCell ref="C16:C19"/>
    <mergeCell ref="C27:C29"/>
    <mergeCell ref="C30:C32"/>
    <mergeCell ref="C23:C26"/>
    <mergeCell ref="C33:C41"/>
    <mergeCell ref="C53:C58"/>
    <mergeCell ref="C42:C52"/>
    <mergeCell ref="C73:C76"/>
    <mergeCell ref="C65:C72"/>
    <mergeCell ref="C59:C64"/>
  </mergeCells>
  <printOptions horizontalCentered="1" verticalCentered="1"/>
  <pageMargins left="1.0236220472440944" right="0.27559055118110237" top="0.19685039370078741" bottom="0.19685039370078741" header="0" footer="0.15748031496062992"/>
  <pageSetup scale="55" orientation="portrait" horizontalDpi="1200" verticalDpi="1200" r:id="rId1"/>
  <headerFooter alignWithMargins="0">
    <oddHeader>&amp;LANEXO ESTADÍSTICO 2008&amp;CCOBERTURA EDUCATIVA&amp;R&amp;G</oddHeader>
    <oddFooter xml:space="preserve">&amp;R22
</oddFooter>
  </headerFooter>
  <ignoredErrors>
    <ignoredError sqref="E77:L77" formulaRange="1"/>
  </ignoredErrors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P39"/>
  <sheetViews>
    <sheetView showGridLines="0" topLeftCell="A40" zoomScaleNormal="100" zoomScaleSheetLayoutView="100" workbookViewId="0">
      <selection activeCell="Q56" sqref="Q56"/>
    </sheetView>
  </sheetViews>
  <sheetFormatPr baseColWidth="10" defaultRowHeight="12.75" x14ac:dyDescent="0.2"/>
  <cols>
    <col min="1" max="1" width="17.7109375" customWidth="1"/>
    <col min="2" max="2" width="10.7109375" customWidth="1"/>
    <col min="3" max="16" width="8.7109375" customWidth="1"/>
    <col min="257" max="257" width="1.7109375" customWidth="1"/>
    <col min="258" max="258" width="20.85546875" customWidth="1"/>
    <col min="259" max="264" width="12.7109375" customWidth="1"/>
    <col min="265" max="265" width="11.42578125" customWidth="1"/>
    <col min="267" max="267" width="2.7109375" customWidth="1"/>
    <col min="513" max="513" width="1.7109375" customWidth="1"/>
    <col min="514" max="514" width="20.85546875" customWidth="1"/>
    <col min="515" max="520" width="12.7109375" customWidth="1"/>
    <col min="521" max="521" width="11.42578125" customWidth="1"/>
    <col min="523" max="523" width="2.7109375" customWidth="1"/>
    <col min="769" max="769" width="1.7109375" customWidth="1"/>
    <col min="770" max="770" width="20.85546875" customWidth="1"/>
    <col min="771" max="776" width="12.7109375" customWidth="1"/>
    <col min="777" max="777" width="11.42578125" customWidth="1"/>
    <col min="779" max="779" width="2.7109375" customWidth="1"/>
    <col min="1025" max="1025" width="1.7109375" customWidth="1"/>
    <col min="1026" max="1026" width="20.85546875" customWidth="1"/>
    <col min="1027" max="1032" width="12.7109375" customWidth="1"/>
    <col min="1033" max="1033" width="11.42578125" customWidth="1"/>
    <col min="1035" max="1035" width="2.7109375" customWidth="1"/>
    <col min="1281" max="1281" width="1.7109375" customWidth="1"/>
    <col min="1282" max="1282" width="20.85546875" customWidth="1"/>
    <col min="1283" max="1288" width="12.7109375" customWidth="1"/>
    <col min="1289" max="1289" width="11.42578125" customWidth="1"/>
    <col min="1291" max="1291" width="2.7109375" customWidth="1"/>
    <col min="1537" max="1537" width="1.7109375" customWidth="1"/>
    <col min="1538" max="1538" width="20.85546875" customWidth="1"/>
    <col min="1539" max="1544" width="12.7109375" customWidth="1"/>
    <col min="1545" max="1545" width="11.42578125" customWidth="1"/>
    <col min="1547" max="1547" width="2.7109375" customWidth="1"/>
    <col min="1793" max="1793" width="1.7109375" customWidth="1"/>
    <col min="1794" max="1794" width="20.85546875" customWidth="1"/>
    <col min="1795" max="1800" width="12.7109375" customWidth="1"/>
    <col min="1801" max="1801" width="11.42578125" customWidth="1"/>
    <col min="1803" max="1803" width="2.7109375" customWidth="1"/>
    <col min="2049" max="2049" width="1.7109375" customWidth="1"/>
    <col min="2050" max="2050" width="20.85546875" customWidth="1"/>
    <col min="2051" max="2056" width="12.7109375" customWidth="1"/>
    <col min="2057" max="2057" width="11.42578125" customWidth="1"/>
    <col min="2059" max="2059" width="2.7109375" customWidth="1"/>
    <col min="2305" max="2305" width="1.7109375" customWidth="1"/>
    <col min="2306" max="2306" width="20.85546875" customWidth="1"/>
    <col min="2307" max="2312" width="12.7109375" customWidth="1"/>
    <col min="2313" max="2313" width="11.42578125" customWidth="1"/>
    <col min="2315" max="2315" width="2.7109375" customWidth="1"/>
    <col min="2561" max="2561" width="1.7109375" customWidth="1"/>
    <col min="2562" max="2562" width="20.85546875" customWidth="1"/>
    <col min="2563" max="2568" width="12.7109375" customWidth="1"/>
    <col min="2569" max="2569" width="11.42578125" customWidth="1"/>
    <col min="2571" max="2571" width="2.7109375" customWidth="1"/>
    <col min="2817" max="2817" width="1.7109375" customWidth="1"/>
    <col min="2818" max="2818" width="20.85546875" customWidth="1"/>
    <col min="2819" max="2824" width="12.7109375" customWidth="1"/>
    <col min="2825" max="2825" width="11.42578125" customWidth="1"/>
    <col min="2827" max="2827" width="2.7109375" customWidth="1"/>
    <col min="3073" max="3073" width="1.7109375" customWidth="1"/>
    <col min="3074" max="3074" width="20.85546875" customWidth="1"/>
    <col min="3075" max="3080" width="12.7109375" customWidth="1"/>
    <col min="3081" max="3081" width="11.42578125" customWidth="1"/>
    <col min="3083" max="3083" width="2.7109375" customWidth="1"/>
    <col min="3329" max="3329" width="1.7109375" customWidth="1"/>
    <col min="3330" max="3330" width="20.85546875" customWidth="1"/>
    <col min="3331" max="3336" width="12.7109375" customWidth="1"/>
    <col min="3337" max="3337" width="11.42578125" customWidth="1"/>
    <col min="3339" max="3339" width="2.7109375" customWidth="1"/>
    <col min="3585" max="3585" width="1.7109375" customWidth="1"/>
    <col min="3586" max="3586" width="20.85546875" customWidth="1"/>
    <col min="3587" max="3592" width="12.7109375" customWidth="1"/>
    <col min="3593" max="3593" width="11.42578125" customWidth="1"/>
    <col min="3595" max="3595" width="2.7109375" customWidth="1"/>
    <col min="3841" max="3841" width="1.7109375" customWidth="1"/>
    <col min="3842" max="3842" width="20.85546875" customWidth="1"/>
    <col min="3843" max="3848" width="12.7109375" customWidth="1"/>
    <col min="3849" max="3849" width="11.42578125" customWidth="1"/>
    <col min="3851" max="3851" width="2.7109375" customWidth="1"/>
    <col min="4097" max="4097" width="1.7109375" customWidth="1"/>
    <col min="4098" max="4098" width="20.85546875" customWidth="1"/>
    <col min="4099" max="4104" width="12.7109375" customWidth="1"/>
    <col min="4105" max="4105" width="11.42578125" customWidth="1"/>
    <col min="4107" max="4107" width="2.7109375" customWidth="1"/>
    <col min="4353" max="4353" width="1.7109375" customWidth="1"/>
    <col min="4354" max="4354" width="20.85546875" customWidth="1"/>
    <col min="4355" max="4360" width="12.7109375" customWidth="1"/>
    <col min="4361" max="4361" width="11.42578125" customWidth="1"/>
    <col min="4363" max="4363" width="2.7109375" customWidth="1"/>
    <col min="4609" max="4609" width="1.7109375" customWidth="1"/>
    <col min="4610" max="4610" width="20.85546875" customWidth="1"/>
    <col min="4611" max="4616" width="12.7109375" customWidth="1"/>
    <col min="4617" max="4617" width="11.42578125" customWidth="1"/>
    <col min="4619" max="4619" width="2.7109375" customWidth="1"/>
    <col min="4865" max="4865" width="1.7109375" customWidth="1"/>
    <col min="4866" max="4866" width="20.85546875" customWidth="1"/>
    <col min="4867" max="4872" width="12.7109375" customWidth="1"/>
    <col min="4873" max="4873" width="11.42578125" customWidth="1"/>
    <col min="4875" max="4875" width="2.7109375" customWidth="1"/>
    <col min="5121" max="5121" width="1.7109375" customWidth="1"/>
    <col min="5122" max="5122" width="20.85546875" customWidth="1"/>
    <col min="5123" max="5128" width="12.7109375" customWidth="1"/>
    <col min="5129" max="5129" width="11.42578125" customWidth="1"/>
    <col min="5131" max="5131" width="2.7109375" customWidth="1"/>
    <col min="5377" max="5377" width="1.7109375" customWidth="1"/>
    <col min="5378" max="5378" width="20.85546875" customWidth="1"/>
    <col min="5379" max="5384" width="12.7109375" customWidth="1"/>
    <col min="5385" max="5385" width="11.42578125" customWidth="1"/>
    <col min="5387" max="5387" width="2.7109375" customWidth="1"/>
    <col min="5633" max="5633" width="1.7109375" customWidth="1"/>
    <col min="5634" max="5634" width="20.85546875" customWidth="1"/>
    <col min="5635" max="5640" width="12.7109375" customWidth="1"/>
    <col min="5641" max="5641" width="11.42578125" customWidth="1"/>
    <col min="5643" max="5643" width="2.7109375" customWidth="1"/>
    <col min="5889" max="5889" width="1.7109375" customWidth="1"/>
    <col min="5890" max="5890" width="20.85546875" customWidth="1"/>
    <col min="5891" max="5896" width="12.7109375" customWidth="1"/>
    <col min="5897" max="5897" width="11.42578125" customWidth="1"/>
    <col min="5899" max="5899" width="2.7109375" customWidth="1"/>
    <col min="6145" max="6145" width="1.7109375" customWidth="1"/>
    <col min="6146" max="6146" width="20.85546875" customWidth="1"/>
    <col min="6147" max="6152" width="12.7109375" customWidth="1"/>
    <col min="6153" max="6153" width="11.42578125" customWidth="1"/>
    <col min="6155" max="6155" width="2.7109375" customWidth="1"/>
    <col min="6401" max="6401" width="1.7109375" customWidth="1"/>
    <col min="6402" max="6402" width="20.85546875" customWidth="1"/>
    <col min="6403" max="6408" width="12.7109375" customWidth="1"/>
    <col min="6409" max="6409" width="11.42578125" customWidth="1"/>
    <col min="6411" max="6411" width="2.7109375" customWidth="1"/>
    <col min="6657" max="6657" width="1.7109375" customWidth="1"/>
    <col min="6658" max="6658" width="20.85546875" customWidth="1"/>
    <col min="6659" max="6664" width="12.7109375" customWidth="1"/>
    <col min="6665" max="6665" width="11.42578125" customWidth="1"/>
    <col min="6667" max="6667" width="2.7109375" customWidth="1"/>
    <col min="6913" max="6913" width="1.7109375" customWidth="1"/>
    <col min="6914" max="6914" width="20.85546875" customWidth="1"/>
    <col min="6915" max="6920" width="12.7109375" customWidth="1"/>
    <col min="6921" max="6921" width="11.42578125" customWidth="1"/>
    <col min="6923" max="6923" width="2.7109375" customWidth="1"/>
    <col min="7169" max="7169" width="1.7109375" customWidth="1"/>
    <col min="7170" max="7170" width="20.85546875" customWidth="1"/>
    <col min="7171" max="7176" width="12.7109375" customWidth="1"/>
    <col min="7177" max="7177" width="11.42578125" customWidth="1"/>
    <col min="7179" max="7179" width="2.7109375" customWidth="1"/>
    <col min="7425" max="7425" width="1.7109375" customWidth="1"/>
    <col min="7426" max="7426" width="20.85546875" customWidth="1"/>
    <col min="7427" max="7432" width="12.7109375" customWidth="1"/>
    <col min="7433" max="7433" width="11.42578125" customWidth="1"/>
    <col min="7435" max="7435" width="2.7109375" customWidth="1"/>
    <col min="7681" max="7681" width="1.7109375" customWidth="1"/>
    <col min="7682" max="7682" width="20.85546875" customWidth="1"/>
    <col min="7683" max="7688" width="12.7109375" customWidth="1"/>
    <col min="7689" max="7689" width="11.42578125" customWidth="1"/>
    <col min="7691" max="7691" width="2.7109375" customWidth="1"/>
    <col min="7937" max="7937" width="1.7109375" customWidth="1"/>
    <col min="7938" max="7938" width="20.85546875" customWidth="1"/>
    <col min="7939" max="7944" width="12.7109375" customWidth="1"/>
    <col min="7945" max="7945" width="11.42578125" customWidth="1"/>
    <col min="7947" max="7947" width="2.7109375" customWidth="1"/>
    <col min="8193" max="8193" width="1.7109375" customWidth="1"/>
    <col min="8194" max="8194" width="20.85546875" customWidth="1"/>
    <col min="8195" max="8200" width="12.7109375" customWidth="1"/>
    <col min="8201" max="8201" width="11.42578125" customWidth="1"/>
    <col min="8203" max="8203" width="2.7109375" customWidth="1"/>
    <col min="8449" max="8449" width="1.7109375" customWidth="1"/>
    <col min="8450" max="8450" width="20.85546875" customWidth="1"/>
    <col min="8451" max="8456" width="12.7109375" customWidth="1"/>
    <col min="8457" max="8457" width="11.42578125" customWidth="1"/>
    <col min="8459" max="8459" width="2.7109375" customWidth="1"/>
    <col min="8705" max="8705" width="1.7109375" customWidth="1"/>
    <col min="8706" max="8706" width="20.85546875" customWidth="1"/>
    <col min="8707" max="8712" width="12.7109375" customWidth="1"/>
    <col min="8713" max="8713" width="11.42578125" customWidth="1"/>
    <col min="8715" max="8715" width="2.7109375" customWidth="1"/>
    <col min="8961" max="8961" width="1.7109375" customWidth="1"/>
    <col min="8962" max="8962" width="20.85546875" customWidth="1"/>
    <col min="8963" max="8968" width="12.7109375" customWidth="1"/>
    <col min="8969" max="8969" width="11.42578125" customWidth="1"/>
    <col min="8971" max="8971" width="2.7109375" customWidth="1"/>
    <col min="9217" max="9217" width="1.7109375" customWidth="1"/>
    <col min="9218" max="9218" width="20.85546875" customWidth="1"/>
    <col min="9219" max="9224" width="12.7109375" customWidth="1"/>
    <col min="9225" max="9225" width="11.42578125" customWidth="1"/>
    <col min="9227" max="9227" width="2.7109375" customWidth="1"/>
    <col min="9473" max="9473" width="1.7109375" customWidth="1"/>
    <col min="9474" max="9474" width="20.85546875" customWidth="1"/>
    <col min="9475" max="9480" width="12.7109375" customWidth="1"/>
    <col min="9481" max="9481" width="11.42578125" customWidth="1"/>
    <col min="9483" max="9483" width="2.7109375" customWidth="1"/>
    <col min="9729" max="9729" width="1.7109375" customWidth="1"/>
    <col min="9730" max="9730" width="20.85546875" customWidth="1"/>
    <col min="9731" max="9736" width="12.7109375" customWidth="1"/>
    <col min="9737" max="9737" width="11.42578125" customWidth="1"/>
    <col min="9739" max="9739" width="2.7109375" customWidth="1"/>
    <col min="9985" max="9985" width="1.7109375" customWidth="1"/>
    <col min="9986" max="9986" width="20.85546875" customWidth="1"/>
    <col min="9987" max="9992" width="12.7109375" customWidth="1"/>
    <col min="9993" max="9993" width="11.42578125" customWidth="1"/>
    <col min="9995" max="9995" width="2.7109375" customWidth="1"/>
    <col min="10241" max="10241" width="1.7109375" customWidth="1"/>
    <col min="10242" max="10242" width="20.85546875" customWidth="1"/>
    <col min="10243" max="10248" width="12.7109375" customWidth="1"/>
    <col min="10249" max="10249" width="11.42578125" customWidth="1"/>
    <col min="10251" max="10251" width="2.7109375" customWidth="1"/>
    <col min="10497" max="10497" width="1.7109375" customWidth="1"/>
    <col min="10498" max="10498" width="20.85546875" customWidth="1"/>
    <col min="10499" max="10504" width="12.7109375" customWidth="1"/>
    <col min="10505" max="10505" width="11.42578125" customWidth="1"/>
    <col min="10507" max="10507" width="2.7109375" customWidth="1"/>
    <col min="10753" max="10753" width="1.7109375" customWidth="1"/>
    <col min="10754" max="10754" width="20.85546875" customWidth="1"/>
    <col min="10755" max="10760" width="12.7109375" customWidth="1"/>
    <col min="10761" max="10761" width="11.42578125" customWidth="1"/>
    <col min="10763" max="10763" width="2.7109375" customWidth="1"/>
    <col min="11009" max="11009" width="1.7109375" customWidth="1"/>
    <col min="11010" max="11010" width="20.85546875" customWidth="1"/>
    <col min="11011" max="11016" width="12.7109375" customWidth="1"/>
    <col min="11017" max="11017" width="11.42578125" customWidth="1"/>
    <col min="11019" max="11019" width="2.7109375" customWidth="1"/>
    <col min="11265" max="11265" width="1.7109375" customWidth="1"/>
    <col min="11266" max="11266" width="20.85546875" customWidth="1"/>
    <col min="11267" max="11272" width="12.7109375" customWidth="1"/>
    <col min="11273" max="11273" width="11.42578125" customWidth="1"/>
    <col min="11275" max="11275" width="2.7109375" customWidth="1"/>
    <col min="11521" max="11521" width="1.7109375" customWidth="1"/>
    <col min="11522" max="11522" width="20.85546875" customWidth="1"/>
    <col min="11523" max="11528" width="12.7109375" customWidth="1"/>
    <col min="11529" max="11529" width="11.42578125" customWidth="1"/>
    <col min="11531" max="11531" width="2.7109375" customWidth="1"/>
    <col min="11777" max="11777" width="1.7109375" customWidth="1"/>
    <col min="11778" max="11778" width="20.85546875" customWidth="1"/>
    <col min="11779" max="11784" width="12.7109375" customWidth="1"/>
    <col min="11785" max="11785" width="11.42578125" customWidth="1"/>
    <col min="11787" max="11787" width="2.7109375" customWidth="1"/>
    <col min="12033" max="12033" width="1.7109375" customWidth="1"/>
    <col min="12034" max="12034" width="20.85546875" customWidth="1"/>
    <col min="12035" max="12040" width="12.7109375" customWidth="1"/>
    <col min="12041" max="12041" width="11.42578125" customWidth="1"/>
    <col min="12043" max="12043" width="2.7109375" customWidth="1"/>
    <col min="12289" max="12289" width="1.7109375" customWidth="1"/>
    <col min="12290" max="12290" width="20.85546875" customWidth="1"/>
    <col min="12291" max="12296" width="12.7109375" customWidth="1"/>
    <col min="12297" max="12297" width="11.42578125" customWidth="1"/>
    <col min="12299" max="12299" width="2.7109375" customWidth="1"/>
    <col min="12545" max="12545" width="1.7109375" customWidth="1"/>
    <col min="12546" max="12546" width="20.85546875" customWidth="1"/>
    <col min="12547" max="12552" width="12.7109375" customWidth="1"/>
    <col min="12553" max="12553" width="11.42578125" customWidth="1"/>
    <col min="12555" max="12555" width="2.7109375" customWidth="1"/>
    <col min="12801" max="12801" width="1.7109375" customWidth="1"/>
    <col min="12802" max="12802" width="20.85546875" customWidth="1"/>
    <col min="12803" max="12808" width="12.7109375" customWidth="1"/>
    <col min="12809" max="12809" width="11.42578125" customWidth="1"/>
    <col min="12811" max="12811" width="2.7109375" customWidth="1"/>
    <col min="13057" max="13057" width="1.7109375" customWidth="1"/>
    <col min="13058" max="13058" width="20.85546875" customWidth="1"/>
    <col min="13059" max="13064" width="12.7109375" customWidth="1"/>
    <col min="13065" max="13065" width="11.42578125" customWidth="1"/>
    <col min="13067" max="13067" width="2.7109375" customWidth="1"/>
    <col min="13313" max="13313" width="1.7109375" customWidth="1"/>
    <col min="13314" max="13314" width="20.85546875" customWidth="1"/>
    <col min="13315" max="13320" width="12.7109375" customWidth="1"/>
    <col min="13321" max="13321" width="11.42578125" customWidth="1"/>
    <col min="13323" max="13323" width="2.7109375" customWidth="1"/>
    <col min="13569" max="13569" width="1.7109375" customWidth="1"/>
    <col min="13570" max="13570" width="20.85546875" customWidth="1"/>
    <col min="13571" max="13576" width="12.7109375" customWidth="1"/>
    <col min="13577" max="13577" width="11.42578125" customWidth="1"/>
    <col min="13579" max="13579" width="2.7109375" customWidth="1"/>
    <col min="13825" max="13825" width="1.7109375" customWidth="1"/>
    <col min="13826" max="13826" width="20.85546875" customWidth="1"/>
    <col min="13827" max="13832" width="12.7109375" customWidth="1"/>
    <col min="13833" max="13833" width="11.42578125" customWidth="1"/>
    <col min="13835" max="13835" width="2.7109375" customWidth="1"/>
    <col min="14081" max="14081" width="1.7109375" customWidth="1"/>
    <col min="14082" max="14082" width="20.85546875" customWidth="1"/>
    <col min="14083" max="14088" width="12.7109375" customWidth="1"/>
    <col min="14089" max="14089" width="11.42578125" customWidth="1"/>
    <col min="14091" max="14091" width="2.7109375" customWidth="1"/>
    <col min="14337" max="14337" width="1.7109375" customWidth="1"/>
    <col min="14338" max="14338" width="20.85546875" customWidth="1"/>
    <col min="14339" max="14344" width="12.7109375" customWidth="1"/>
    <col min="14345" max="14345" width="11.42578125" customWidth="1"/>
    <col min="14347" max="14347" width="2.7109375" customWidth="1"/>
    <col min="14593" max="14593" width="1.7109375" customWidth="1"/>
    <col min="14594" max="14594" width="20.85546875" customWidth="1"/>
    <col min="14595" max="14600" width="12.7109375" customWidth="1"/>
    <col min="14601" max="14601" width="11.42578125" customWidth="1"/>
    <col min="14603" max="14603" width="2.7109375" customWidth="1"/>
    <col min="14849" max="14849" width="1.7109375" customWidth="1"/>
    <col min="14850" max="14850" width="20.85546875" customWidth="1"/>
    <col min="14851" max="14856" width="12.7109375" customWidth="1"/>
    <col min="14857" max="14857" width="11.42578125" customWidth="1"/>
    <col min="14859" max="14859" width="2.7109375" customWidth="1"/>
    <col min="15105" max="15105" width="1.7109375" customWidth="1"/>
    <col min="15106" max="15106" width="20.85546875" customWidth="1"/>
    <col min="15107" max="15112" width="12.7109375" customWidth="1"/>
    <col min="15113" max="15113" width="11.42578125" customWidth="1"/>
    <col min="15115" max="15115" width="2.7109375" customWidth="1"/>
    <col min="15361" max="15361" width="1.7109375" customWidth="1"/>
    <col min="15362" max="15362" width="20.85546875" customWidth="1"/>
    <col min="15363" max="15368" width="12.7109375" customWidth="1"/>
    <col min="15369" max="15369" width="11.42578125" customWidth="1"/>
    <col min="15371" max="15371" width="2.7109375" customWidth="1"/>
    <col min="15617" max="15617" width="1.7109375" customWidth="1"/>
    <col min="15618" max="15618" width="20.85546875" customWidth="1"/>
    <col min="15619" max="15624" width="12.7109375" customWidth="1"/>
    <col min="15625" max="15625" width="11.42578125" customWidth="1"/>
    <col min="15627" max="15627" width="2.7109375" customWidth="1"/>
    <col min="15873" max="15873" width="1.7109375" customWidth="1"/>
    <col min="15874" max="15874" width="20.85546875" customWidth="1"/>
    <col min="15875" max="15880" width="12.7109375" customWidth="1"/>
    <col min="15881" max="15881" width="11.42578125" customWidth="1"/>
    <col min="15883" max="15883" width="2.7109375" customWidth="1"/>
    <col min="16129" max="16129" width="1.7109375" customWidth="1"/>
    <col min="16130" max="16130" width="20.85546875" customWidth="1"/>
    <col min="16131" max="16136" width="12.7109375" customWidth="1"/>
    <col min="16137" max="16137" width="11.42578125" customWidth="1"/>
    <col min="16139" max="16139" width="2.7109375" customWidth="1"/>
  </cols>
  <sheetData>
    <row r="1" spans="1:16" ht="15.75" x14ac:dyDescent="0.25">
      <c r="A1" s="1025" t="s">
        <v>1293</v>
      </c>
      <c r="C1" s="1025"/>
      <c r="D1" s="1025"/>
      <c r="E1" s="1025"/>
      <c r="F1" s="1025"/>
      <c r="G1" s="1025"/>
      <c r="H1" s="1025"/>
      <c r="I1" s="1025"/>
      <c r="J1" s="1025"/>
    </row>
    <row r="2" spans="1:16" ht="15.75" customHeight="1" x14ac:dyDescent="0.2">
      <c r="A2" s="86" t="s">
        <v>807</v>
      </c>
      <c r="C2" s="8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</row>
    <row r="3" spans="1:16" ht="15" x14ac:dyDescent="0.2">
      <c r="A3" s="239"/>
      <c r="B3" s="2831"/>
      <c r="C3" s="945"/>
      <c r="D3" s="239"/>
      <c r="E3" s="239"/>
      <c r="F3" s="239"/>
      <c r="G3" s="239"/>
      <c r="H3" s="239"/>
    </row>
    <row r="4" spans="1:16" ht="20.25" customHeight="1" x14ac:dyDescent="0.2">
      <c r="A4" s="2059" t="s">
        <v>16</v>
      </c>
      <c r="B4" s="2059" t="s">
        <v>4</v>
      </c>
      <c r="C4" s="2383">
        <v>2002</v>
      </c>
      <c r="D4" s="2065">
        <v>2003</v>
      </c>
      <c r="E4" s="2065">
        <v>2004</v>
      </c>
      <c r="F4" s="2064">
        <v>2005</v>
      </c>
      <c r="G4" s="2066">
        <v>2006</v>
      </c>
      <c r="H4" s="2066">
        <v>2007</v>
      </c>
      <c r="I4" s="2066">
        <v>2008</v>
      </c>
      <c r="J4" s="2066">
        <v>2009</v>
      </c>
      <c r="K4" s="2066">
        <v>2010</v>
      </c>
      <c r="L4" s="2066">
        <v>2011</v>
      </c>
      <c r="M4" s="2066">
        <v>2012</v>
      </c>
      <c r="N4" s="2066">
        <v>2013</v>
      </c>
      <c r="O4" s="2066">
        <v>2014</v>
      </c>
      <c r="P4" s="4406">
        <v>2015</v>
      </c>
    </row>
    <row r="5" spans="1:16" ht="15" x14ac:dyDescent="0.25">
      <c r="A5" s="251"/>
      <c r="B5" s="251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</row>
    <row r="6" spans="1:16" ht="15" customHeight="1" x14ac:dyDescent="0.2">
      <c r="A6" s="5189" t="s">
        <v>3</v>
      </c>
      <c r="B6" s="2068" t="s">
        <v>5</v>
      </c>
      <c r="C6" s="2069">
        <v>186</v>
      </c>
      <c r="D6" s="2069">
        <v>175</v>
      </c>
      <c r="E6" s="2069">
        <v>140</v>
      </c>
      <c r="F6" s="2069">
        <v>131</v>
      </c>
      <c r="G6" s="2069">
        <v>150</v>
      </c>
      <c r="H6" s="2069">
        <v>140</v>
      </c>
      <c r="I6" s="2069">
        <v>134</v>
      </c>
      <c r="J6" s="2069">
        <v>129</v>
      </c>
      <c r="K6" s="2069">
        <v>125</v>
      </c>
      <c r="L6" s="2069">
        <v>123</v>
      </c>
      <c r="M6" s="2069">
        <v>112</v>
      </c>
      <c r="N6" s="2069">
        <v>128</v>
      </c>
      <c r="O6" s="2069">
        <v>87</v>
      </c>
      <c r="P6" s="2069">
        <v>130</v>
      </c>
    </row>
    <row r="7" spans="1:16" ht="15" customHeight="1" x14ac:dyDescent="0.2">
      <c r="A7" s="5190"/>
      <c r="B7" s="2070" t="s">
        <v>6</v>
      </c>
      <c r="C7" s="2071">
        <v>70</v>
      </c>
      <c r="D7" s="2071">
        <v>70</v>
      </c>
      <c r="E7" s="2071">
        <v>61</v>
      </c>
      <c r="F7" s="2071">
        <v>48</v>
      </c>
      <c r="G7" s="2071">
        <v>44</v>
      </c>
      <c r="H7" s="2071">
        <v>66</v>
      </c>
      <c r="I7" s="2071">
        <v>56</v>
      </c>
      <c r="J7" s="2071">
        <v>66</v>
      </c>
      <c r="K7" s="2071">
        <v>51</v>
      </c>
      <c r="L7" s="2071">
        <v>49</v>
      </c>
      <c r="M7" s="2071">
        <v>57</v>
      </c>
      <c r="N7" s="2071">
        <v>74</v>
      </c>
      <c r="O7" s="2071">
        <v>57</v>
      </c>
      <c r="P7" s="2071">
        <v>76</v>
      </c>
    </row>
    <row r="8" spans="1:16" ht="15" customHeight="1" x14ac:dyDescent="0.2">
      <c r="A8" s="5190"/>
      <c r="B8" s="2070" t="s">
        <v>7</v>
      </c>
      <c r="C8" s="2071">
        <v>41</v>
      </c>
      <c r="D8" s="2071">
        <v>55</v>
      </c>
      <c r="E8" s="2071">
        <v>50</v>
      </c>
      <c r="F8" s="2071">
        <v>26</v>
      </c>
      <c r="G8" s="2071">
        <v>24</v>
      </c>
      <c r="H8" s="2071">
        <v>25</v>
      </c>
      <c r="I8" s="2071">
        <v>31</v>
      </c>
      <c r="J8" s="2071">
        <v>27</v>
      </c>
      <c r="K8" s="2071">
        <v>28</v>
      </c>
      <c r="L8" s="2071">
        <v>25</v>
      </c>
      <c r="M8" s="2071">
        <v>32</v>
      </c>
      <c r="N8" s="2071">
        <v>25</v>
      </c>
      <c r="O8" s="2071">
        <v>24</v>
      </c>
      <c r="P8" s="2071">
        <v>36</v>
      </c>
    </row>
    <row r="9" spans="1:16" ht="15" x14ac:dyDescent="0.2">
      <c r="A9" s="5191"/>
      <c r="B9" s="2072" t="s">
        <v>12</v>
      </c>
      <c r="C9" s="2073">
        <f t="shared" ref="C9:O9" si="0">SUM(C6:C8)</f>
        <v>297</v>
      </c>
      <c r="D9" s="2073">
        <f t="shared" si="0"/>
        <v>300</v>
      </c>
      <c r="E9" s="2073">
        <f t="shared" si="0"/>
        <v>251</v>
      </c>
      <c r="F9" s="2073">
        <f t="shared" si="0"/>
        <v>205</v>
      </c>
      <c r="G9" s="2073">
        <f t="shared" si="0"/>
        <v>218</v>
      </c>
      <c r="H9" s="2073">
        <f t="shared" si="0"/>
        <v>231</v>
      </c>
      <c r="I9" s="2073">
        <f t="shared" si="0"/>
        <v>221</v>
      </c>
      <c r="J9" s="2073">
        <f t="shared" si="0"/>
        <v>222</v>
      </c>
      <c r="K9" s="2073">
        <f t="shared" si="0"/>
        <v>204</v>
      </c>
      <c r="L9" s="2073">
        <f t="shared" si="0"/>
        <v>197</v>
      </c>
      <c r="M9" s="2073">
        <f t="shared" si="0"/>
        <v>201</v>
      </c>
      <c r="N9" s="2073">
        <f t="shared" si="0"/>
        <v>227</v>
      </c>
      <c r="O9" s="2073">
        <f t="shared" si="0"/>
        <v>168</v>
      </c>
      <c r="P9" s="2073">
        <f t="shared" ref="P9" si="1">SUM(P6:P8)</f>
        <v>242</v>
      </c>
    </row>
    <row r="10" spans="1:16" ht="15" x14ac:dyDescent="0.25">
      <c r="A10" s="1036"/>
      <c r="B10" s="2074"/>
      <c r="C10" s="2075"/>
      <c r="D10" s="2075"/>
      <c r="E10" s="2075"/>
      <c r="F10" s="2075"/>
      <c r="G10" s="2075"/>
      <c r="H10" s="2075"/>
      <c r="I10" s="2075"/>
      <c r="J10" s="2075"/>
      <c r="K10" s="2075"/>
      <c r="L10" s="2075"/>
      <c r="M10" s="2075"/>
      <c r="N10" s="2075"/>
      <c r="O10" s="2075"/>
      <c r="P10" s="2075"/>
    </row>
    <row r="11" spans="1:16" ht="15" customHeight="1" x14ac:dyDescent="0.2">
      <c r="A11" s="5180" t="s">
        <v>8</v>
      </c>
      <c r="B11" s="2068" t="s">
        <v>6</v>
      </c>
      <c r="C11" s="2069"/>
      <c r="D11" s="2069"/>
      <c r="E11" s="2069"/>
      <c r="F11" s="2069"/>
      <c r="G11" s="2069">
        <v>1</v>
      </c>
      <c r="H11" s="2069">
        <v>1</v>
      </c>
      <c r="I11" s="2069">
        <v>4</v>
      </c>
      <c r="J11" s="2069">
        <v>4</v>
      </c>
      <c r="K11" s="2069">
        <v>2</v>
      </c>
      <c r="L11" s="2069">
        <v>7</v>
      </c>
      <c r="M11" s="2069">
        <v>8</v>
      </c>
      <c r="N11" s="2069">
        <v>4</v>
      </c>
      <c r="O11" s="2069">
        <v>6</v>
      </c>
      <c r="P11" s="2069">
        <v>7</v>
      </c>
    </row>
    <row r="12" spans="1:16" ht="15" x14ac:dyDescent="0.2">
      <c r="A12" s="5181"/>
      <c r="B12" s="2070" t="s">
        <v>9</v>
      </c>
      <c r="C12" s="2071"/>
      <c r="D12" s="2071"/>
      <c r="E12" s="2071"/>
      <c r="F12" s="2071"/>
      <c r="G12" s="2071">
        <v>0</v>
      </c>
      <c r="H12" s="2071">
        <v>2</v>
      </c>
      <c r="I12" s="2071">
        <v>6</v>
      </c>
      <c r="J12" s="2071">
        <v>5</v>
      </c>
      <c r="K12" s="2071">
        <v>4</v>
      </c>
      <c r="L12" s="2071">
        <v>4</v>
      </c>
      <c r="M12" s="2071">
        <v>9</v>
      </c>
      <c r="N12" s="2071">
        <v>9</v>
      </c>
      <c r="O12" s="2071">
        <v>5</v>
      </c>
      <c r="P12" s="2071">
        <v>5</v>
      </c>
    </row>
    <row r="13" spans="1:16" ht="15" customHeight="1" x14ac:dyDescent="0.2">
      <c r="A13" s="5181"/>
      <c r="B13" s="2070" t="s">
        <v>74</v>
      </c>
      <c r="C13" s="2071"/>
      <c r="D13" s="2071"/>
      <c r="E13" s="2071"/>
      <c r="F13" s="2071"/>
      <c r="G13" s="2071">
        <v>0</v>
      </c>
      <c r="H13" s="2071">
        <v>0</v>
      </c>
      <c r="I13" s="2071">
        <v>2</v>
      </c>
      <c r="J13" s="2071">
        <v>8</v>
      </c>
      <c r="K13" s="2071">
        <v>6</v>
      </c>
      <c r="L13" s="2071">
        <v>5</v>
      </c>
      <c r="M13" s="2071">
        <v>6</v>
      </c>
      <c r="N13" s="2071">
        <v>14</v>
      </c>
      <c r="O13" s="2071">
        <v>8</v>
      </c>
      <c r="P13" s="2071">
        <v>20</v>
      </c>
    </row>
    <row r="14" spans="1:16" ht="15" x14ac:dyDescent="0.2">
      <c r="A14" s="5182"/>
      <c r="B14" s="2072" t="s">
        <v>12</v>
      </c>
      <c r="C14" s="2073"/>
      <c r="D14" s="2073"/>
      <c r="E14" s="2073"/>
      <c r="F14" s="2073"/>
      <c r="G14" s="2073">
        <f t="shared" ref="G14:O14" si="2">SUM(G11:G13)</f>
        <v>1</v>
      </c>
      <c r="H14" s="2073">
        <f t="shared" si="2"/>
        <v>3</v>
      </c>
      <c r="I14" s="2073">
        <f t="shared" si="2"/>
        <v>12</v>
      </c>
      <c r="J14" s="2073">
        <f t="shared" si="2"/>
        <v>17</v>
      </c>
      <c r="K14" s="2073">
        <f t="shared" si="2"/>
        <v>12</v>
      </c>
      <c r="L14" s="2073">
        <f t="shared" si="2"/>
        <v>16</v>
      </c>
      <c r="M14" s="2073">
        <f t="shared" si="2"/>
        <v>23</v>
      </c>
      <c r="N14" s="2073">
        <f t="shared" si="2"/>
        <v>27</v>
      </c>
      <c r="O14" s="2073">
        <f t="shared" si="2"/>
        <v>19</v>
      </c>
      <c r="P14" s="2073">
        <f t="shared" ref="P14" si="3">SUM(P11:P13)</f>
        <v>32</v>
      </c>
    </row>
    <row r="15" spans="1:16" ht="15" x14ac:dyDescent="0.25">
      <c r="A15" s="1036"/>
      <c r="B15" s="2074"/>
      <c r="C15" s="2075"/>
      <c r="D15" s="2075"/>
      <c r="E15" s="2075"/>
      <c r="F15" s="2075"/>
      <c r="G15" s="2075"/>
      <c r="H15" s="2075"/>
      <c r="I15" s="2075"/>
      <c r="J15" s="2075"/>
      <c r="K15" s="2075"/>
      <c r="L15" s="2075"/>
      <c r="M15" s="2075"/>
      <c r="N15" s="2075"/>
      <c r="O15" s="2075"/>
      <c r="P15" s="2075"/>
    </row>
    <row r="16" spans="1:16" ht="15" customHeight="1" x14ac:dyDescent="0.2">
      <c r="A16" s="5183" t="s">
        <v>75</v>
      </c>
      <c r="B16" s="2068" t="s">
        <v>5</v>
      </c>
      <c r="C16" s="2069">
        <v>156</v>
      </c>
      <c r="D16" s="2069">
        <v>159</v>
      </c>
      <c r="E16" s="2069">
        <v>138</v>
      </c>
      <c r="F16" s="2069">
        <v>118</v>
      </c>
      <c r="G16" s="2069">
        <v>131</v>
      </c>
      <c r="H16" s="2069">
        <v>136</v>
      </c>
      <c r="I16" s="2069">
        <v>140</v>
      </c>
      <c r="J16" s="2069">
        <v>157</v>
      </c>
      <c r="K16" s="2069">
        <v>111</v>
      </c>
      <c r="L16" s="2069">
        <v>121</v>
      </c>
      <c r="M16" s="2069">
        <v>131</v>
      </c>
      <c r="N16" s="2069">
        <v>104</v>
      </c>
      <c r="O16" s="2069">
        <v>100</v>
      </c>
      <c r="P16" s="2069">
        <v>132</v>
      </c>
    </row>
    <row r="17" spans="1:16" ht="15" customHeight="1" x14ac:dyDescent="0.2">
      <c r="A17" s="5184"/>
      <c r="B17" s="2070" t="s">
        <v>6</v>
      </c>
      <c r="C17" s="2071">
        <v>65</v>
      </c>
      <c r="D17" s="2071">
        <v>88</v>
      </c>
      <c r="E17" s="2071">
        <v>74</v>
      </c>
      <c r="F17" s="2071">
        <v>61</v>
      </c>
      <c r="G17" s="2071">
        <v>72</v>
      </c>
      <c r="H17" s="2071">
        <v>77</v>
      </c>
      <c r="I17" s="2071">
        <v>84</v>
      </c>
      <c r="J17" s="2071">
        <v>69</v>
      </c>
      <c r="K17" s="2071">
        <v>58</v>
      </c>
      <c r="L17" s="2071">
        <v>66</v>
      </c>
      <c r="M17" s="2071">
        <v>79</v>
      </c>
      <c r="N17" s="2071">
        <v>68</v>
      </c>
      <c r="O17" s="2071">
        <v>49</v>
      </c>
      <c r="P17" s="2071">
        <v>82</v>
      </c>
    </row>
    <row r="18" spans="1:16" ht="15" customHeight="1" x14ac:dyDescent="0.2">
      <c r="A18" s="5184"/>
      <c r="B18" s="2070" t="s">
        <v>11</v>
      </c>
      <c r="C18" s="2071">
        <v>98</v>
      </c>
      <c r="D18" s="2071">
        <v>90</v>
      </c>
      <c r="E18" s="2071">
        <v>90</v>
      </c>
      <c r="F18" s="2071">
        <v>66</v>
      </c>
      <c r="G18" s="2071">
        <v>59</v>
      </c>
      <c r="H18" s="2071">
        <v>80</v>
      </c>
      <c r="I18" s="2071">
        <v>71</v>
      </c>
      <c r="J18" s="2071">
        <v>59</v>
      </c>
      <c r="K18" s="2071">
        <v>60</v>
      </c>
      <c r="L18" s="2071">
        <v>66</v>
      </c>
      <c r="M18" s="2071">
        <v>59</v>
      </c>
      <c r="N18" s="2071">
        <v>62</v>
      </c>
      <c r="O18" s="2071">
        <v>43</v>
      </c>
      <c r="P18" s="2071">
        <v>42</v>
      </c>
    </row>
    <row r="19" spans="1:16" ht="15" x14ac:dyDescent="0.2">
      <c r="A19" s="5185"/>
      <c r="B19" s="2072" t="s">
        <v>12</v>
      </c>
      <c r="C19" s="2073">
        <f t="shared" ref="C19:O19" si="4">SUM(C16:C18)</f>
        <v>319</v>
      </c>
      <c r="D19" s="2073">
        <f t="shared" si="4"/>
        <v>337</v>
      </c>
      <c r="E19" s="2073">
        <f t="shared" si="4"/>
        <v>302</v>
      </c>
      <c r="F19" s="2073">
        <f t="shared" si="4"/>
        <v>245</v>
      </c>
      <c r="G19" s="2073">
        <f t="shared" si="4"/>
        <v>262</v>
      </c>
      <c r="H19" s="2073">
        <f t="shared" si="4"/>
        <v>293</v>
      </c>
      <c r="I19" s="2073">
        <f t="shared" si="4"/>
        <v>295</v>
      </c>
      <c r="J19" s="2073">
        <f t="shared" si="4"/>
        <v>285</v>
      </c>
      <c r="K19" s="2073">
        <f t="shared" si="4"/>
        <v>229</v>
      </c>
      <c r="L19" s="2073">
        <f t="shared" si="4"/>
        <v>253</v>
      </c>
      <c r="M19" s="2073">
        <f t="shared" si="4"/>
        <v>269</v>
      </c>
      <c r="N19" s="2073">
        <f t="shared" si="4"/>
        <v>234</v>
      </c>
      <c r="O19" s="2073">
        <f t="shared" si="4"/>
        <v>192</v>
      </c>
      <c r="P19" s="2073">
        <f t="shared" ref="P19" si="5">SUM(P16:P18)</f>
        <v>256</v>
      </c>
    </row>
    <row r="20" spans="1:16" ht="15" x14ac:dyDescent="0.25">
      <c r="A20" s="1036"/>
      <c r="B20" s="2076"/>
      <c r="C20" s="2077"/>
      <c r="D20" s="2077"/>
      <c r="E20" s="2077"/>
      <c r="F20" s="2077"/>
      <c r="G20" s="2077"/>
      <c r="H20" s="2077"/>
      <c r="I20" s="2077"/>
      <c r="J20" s="2077"/>
      <c r="K20" s="2077"/>
      <c r="L20" s="2077"/>
      <c r="M20" s="2077"/>
      <c r="N20" s="2077"/>
      <c r="O20" s="2077"/>
      <c r="P20" s="2077"/>
    </row>
    <row r="21" spans="1:16" ht="15" x14ac:dyDescent="0.2">
      <c r="A21" s="5192" t="s">
        <v>326</v>
      </c>
      <c r="B21" s="2068" t="s">
        <v>5</v>
      </c>
      <c r="C21" s="2069"/>
      <c r="D21" s="2069"/>
      <c r="E21" s="2069"/>
      <c r="F21" s="2069"/>
      <c r="G21" s="2069"/>
      <c r="H21" s="2069"/>
      <c r="I21" s="2069"/>
      <c r="J21" s="2069"/>
      <c r="K21" s="2069"/>
      <c r="L21" s="2069"/>
      <c r="M21" s="2069"/>
      <c r="N21" s="2069">
        <v>4</v>
      </c>
      <c r="O21" s="2069">
        <v>11</v>
      </c>
      <c r="P21" s="2069">
        <v>11</v>
      </c>
    </row>
    <row r="22" spans="1:16" ht="15" x14ac:dyDescent="0.2">
      <c r="A22" s="5193"/>
      <c r="B22" s="2070" t="s">
        <v>6</v>
      </c>
      <c r="C22" s="2071"/>
      <c r="D22" s="2071"/>
      <c r="E22" s="2071"/>
      <c r="F22" s="2071"/>
      <c r="G22" s="2071"/>
      <c r="H22" s="2071"/>
      <c r="I22" s="2071"/>
      <c r="J22" s="2071"/>
      <c r="K22" s="2071"/>
      <c r="L22" s="2071"/>
      <c r="M22" s="2071"/>
      <c r="N22" s="2071">
        <v>1</v>
      </c>
      <c r="O22" s="2071">
        <v>2</v>
      </c>
      <c r="P22" s="2071">
        <v>5</v>
      </c>
    </row>
    <row r="23" spans="1:16" ht="15" x14ac:dyDescent="0.2">
      <c r="A23" s="5193"/>
      <c r="B23" s="2070" t="s">
        <v>11</v>
      </c>
      <c r="C23" s="2071"/>
      <c r="D23" s="2071"/>
      <c r="E23" s="2071"/>
      <c r="F23" s="2071"/>
      <c r="G23" s="2071"/>
      <c r="H23" s="2071"/>
      <c r="I23" s="2071"/>
      <c r="J23" s="2071"/>
      <c r="K23" s="2071"/>
      <c r="L23" s="2071">
        <v>1</v>
      </c>
      <c r="M23" s="2071">
        <v>2</v>
      </c>
      <c r="N23" s="2071">
        <v>4</v>
      </c>
      <c r="O23" s="2071">
        <v>1</v>
      </c>
      <c r="P23" s="2071"/>
    </row>
    <row r="24" spans="1:16" ht="15" x14ac:dyDescent="0.2">
      <c r="A24" s="5194"/>
      <c r="B24" s="2072" t="s">
        <v>12</v>
      </c>
      <c r="C24" s="2073"/>
      <c r="D24" s="2073"/>
      <c r="E24" s="2073"/>
      <c r="F24" s="2073"/>
      <c r="G24" s="2073"/>
      <c r="H24" s="2073"/>
      <c r="I24" s="2073"/>
      <c r="J24" s="2073"/>
      <c r="K24" s="2073"/>
      <c r="L24" s="2073">
        <f>SUM(L21:L23)</f>
        <v>1</v>
      </c>
      <c r="M24" s="2073">
        <f>SUM(M21:M23)</f>
        <v>2</v>
      </c>
      <c r="N24" s="2073">
        <f>SUM(N21:N23)</f>
        <v>9</v>
      </c>
      <c r="O24" s="2073">
        <f>SUM(O21:O23)</f>
        <v>14</v>
      </c>
      <c r="P24" s="2073">
        <f>SUM(P21:P23)</f>
        <v>16</v>
      </c>
    </row>
    <row r="25" spans="1:16" ht="15" x14ac:dyDescent="0.25">
      <c r="A25" s="1036"/>
      <c r="B25" s="2074"/>
      <c r="C25" s="2075"/>
      <c r="D25" s="2075"/>
      <c r="E25" s="2075"/>
      <c r="F25" s="2075"/>
      <c r="G25" s="2075"/>
      <c r="H25" s="2075"/>
      <c r="I25" s="2075"/>
      <c r="J25" s="2075"/>
      <c r="K25" s="2075"/>
      <c r="L25" s="2075"/>
      <c r="M25" s="2075"/>
      <c r="N25" s="2075"/>
      <c r="O25" s="2075"/>
      <c r="P25" s="2075"/>
    </row>
    <row r="26" spans="1:16" ht="15" customHeight="1" x14ac:dyDescent="0.2">
      <c r="A26" s="5186" t="s">
        <v>10</v>
      </c>
      <c r="B26" s="2068" t="s">
        <v>6</v>
      </c>
      <c r="C26" s="2069">
        <v>70</v>
      </c>
      <c r="D26" s="2069">
        <v>85</v>
      </c>
      <c r="E26" s="2069">
        <v>85</v>
      </c>
      <c r="F26" s="2069">
        <v>70</v>
      </c>
      <c r="G26" s="2069">
        <v>74</v>
      </c>
      <c r="H26" s="2069">
        <v>84</v>
      </c>
      <c r="I26" s="2069">
        <v>64</v>
      </c>
      <c r="J26" s="2069">
        <v>68</v>
      </c>
      <c r="K26" s="2069">
        <v>66</v>
      </c>
      <c r="L26" s="2069">
        <v>71</v>
      </c>
      <c r="M26" s="2069">
        <v>66</v>
      </c>
      <c r="N26" s="2069">
        <v>86</v>
      </c>
      <c r="O26" s="2069">
        <v>52</v>
      </c>
      <c r="P26" s="2069">
        <v>80</v>
      </c>
    </row>
    <row r="27" spans="1:16" ht="15" customHeight="1" x14ac:dyDescent="0.2">
      <c r="A27" s="5187"/>
      <c r="B27" s="2070" t="s">
        <v>11</v>
      </c>
      <c r="C27" s="2071">
        <v>94</v>
      </c>
      <c r="D27" s="2071">
        <v>88</v>
      </c>
      <c r="E27" s="2071">
        <v>103</v>
      </c>
      <c r="F27" s="2071">
        <v>89</v>
      </c>
      <c r="G27" s="2071">
        <v>79</v>
      </c>
      <c r="H27" s="2071">
        <v>107</v>
      </c>
      <c r="I27" s="2071">
        <v>99</v>
      </c>
      <c r="J27" s="2071">
        <v>87</v>
      </c>
      <c r="K27" s="2071">
        <v>99</v>
      </c>
      <c r="L27" s="2071">
        <v>109</v>
      </c>
      <c r="M27" s="2071">
        <v>123</v>
      </c>
      <c r="N27" s="2071">
        <v>110</v>
      </c>
      <c r="O27" s="2071">
        <v>123</v>
      </c>
      <c r="P27" s="2071">
        <v>112</v>
      </c>
    </row>
    <row r="28" spans="1:16" ht="15" customHeight="1" x14ac:dyDescent="0.2">
      <c r="A28" s="5187"/>
      <c r="B28" s="2070" t="s">
        <v>7</v>
      </c>
      <c r="C28" s="2071">
        <v>37</v>
      </c>
      <c r="D28" s="2071">
        <v>32</v>
      </c>
      <c r="E28" s="2071">
        <v>52</v>
      </c>
      <c r="F28" s="2071">
        <v>55</v>
      </c>
      <c r="G28" s="2071">
        <v>24</v>
      </c>
      <c r="H28" s="2071">
        <v>51</v>
      </c>
      <c r="I28" s="2071">
        <v>44</v>
      </c>
      <c r="J28" s="2071">
        <v>49</v>
      </c>
      <c r="K28" s="2071">
        <v>63</v>
      </c>
      <c r="L28" s="2071">
        <v>46</v>
      </c>
      <c r="M28" s="2071">
        <v>48</v>
      </c>
      <c r="N28" s="2071">
        <v>42</v>
      </c>
      <c r="O28" s="2071">
        <v>34</v>
      </c>
      <c r="P28" s="2071">
        <v>27</v>
      </c>
    </row>
    <row r="29" spans="1:16" ht="15" x14ac:dyDescent="0.2">
      <c r="A29" s="5188"/>
      <c r="B29" s="2072" t="s">
        <v>12</v>
      </c>
      <c r="C29" s="2073">
        <f t="shared" ref="C29:O29" si="6">SUM(C26:C28)</f>
        <v>201</v>
      </c>
      <c r="D29" s="2073">
        <f t="shared" si="6"/>
        <v>205</v>
      </c>
      <c r="E29" s="2073">
        <f t="shared" si="6"/>
        <v>240</v>
      </c>
      <c r="F29" s="2073">
        <f t="shared" si="6"/>
        <v>214</v>
      </c>
      <c r="G29" s="2073">
        <f t="shared" si="6"/>
        <v>177</v>
      </c>
      <c r="H29" s="2073">
        <f t="shared" si="6"/>
        <v>242</v>
      </c>
      <c r="I29" s="2073">
        <f t="shared" si="6"/>
        <v>207</v>
      </c>
      <c r="J29" s="2073">
        <f t="shared" si="6"/>
        <v>204</v>
      </c>
      <c r="K29" s="2073">
        <f t="shared" si="6"/>
        <v>228</v>
      </c>
      <c r="L29" s="2073">
        <f t="shared" si="6"/>
        <v>226</v>
      </c>
      <c r="M29" s="2073">
        <f t="shared" si="6"/>
        <v>237</v>
      </c>
      <c r="N29" s="2073">
        <f t="shared" si="6"/>
        <v>238</v>
      </c>
      <c r="O29" s="2073">
        <f t="shared" si="6"/>
        <v>209</v>
      </c>
      <c r="P29" s="2073">
        <f t="shared" ref="P29" si="7">SUM(P26:P28)</f>
        <v>219</v>
      </c>
    </row>
    <row r="30" spans="1:16" ht="15" x14ac:dyDescent="0.25">
      <c r="A30" s="251"/>
      <c r="B30" s="2078"/>
      <c r="C30" s="2079"/>
      <c r="D30" s="2079"/>
      <c r="E30" s="2079"/>
      <c r="F30" s="2079"/>
      <c r="G30" s="2079"/>
      <c r="H30" s="2079"/>
      <c r="I30" s="2079"/>
      <c r="J30" s="2079"/>
      <c r="K30" s="2079"/>
      <c r="L30" s="2079"/>
      <c r="M30" s="2079"/>
      <c r="N30" s="2079"/>
      <c r="O30" s="2079"/>
      <c r="P30" s="2079"/>
    </row>
    <row r="31" spans="1:16" ht="15" customHeight="1" x14ac:dyDescent="0.2">
      <c r="A31" s="5168" t="s">
        <v>60</v>
      </c>
      <c r="B31" s="2080" t="s">
        <v>5</v>
      </c>
      <c r="C31" s="2081">
        <f t="shared" ref="C31:I31" si="8">SUM(C6,C16)</f>
        <v>342</v>
      </c>
      <c r="D31" s="2081">
        <f t="shared" si="8"/>
        <v>334</v>
      </c>
      <c r="E31" s="2081">
        <f t="shared" si="8"/>
        <v>278</v>
      </c>
      <c r="F31" s="2081">
        <f t="shared" si="8"/>
        <v>249</v>
      </c>
      <c r="G31" s="2081">
        <f t="shared" si="8"/>
        <v>281</v>
      </c>
      <c r="H31" s="2081">
        <f t="shared" si="8"/>
        <v>276</v>
      </c>
      <c r="I31" s="2081">
        <f t="shared" si="8"/>
        <v>274</v>
      </c>
      <c r="J31" s="2081">
        <f>SUM(J6,J16)</f>
        <v>286</v>
      </c>
      <c r="K31" s="2081">
        <f>SUM(K6,K16)</f>
        <v>236</v>
      </c>
      <c r="L31" s="2081">
        <f>SUM(L6,L16,L21)</f>
        <v>244</v>
      </c>
      <c r="M31" s="2081">
        <f>SUM(M6,M16,M21)</f>
        <v>243</v>
      </c>
      <c r="N31" s="2081">
        <f>SUM(N6,N16,N21)</f>
        <v>236</v>
      </c>
      <c r="O31" s="2081">
        <f>SUM(O6,O16,O21)</f>
        <v>198</v>
      </c>
      <c r="P31" s="2081">
        <f>SUM(P6,P16,P21)</f>
        <v>273</v>
      </c>
    </row>
    <row r="32" spans="1:16" ht="15" x14ac:dyDescent="0.2">
      <c r="A32" s="5169"/>
      <c r="B32" s="2082" t="s">
        <v>6</v>
      </c>
      <c r="C32" s="2083">
        <f t="shared" ref="C32:I32" si="9">SUM(C7,C11,C17,C26)</f>
        <v>205</v>
      </c>
      <c r="D32" s="2083">
        <f t="shared" si="9"/>
        <v>243</v>
      </c>
      <c r="E32" s="2083">
        <f t="shared" si="9"/>
        <v>220</v>
      </c>
      <c r="F32" s="2083">
        <f t="shared" si="9"/>
        <v>179</v>
      </c>
      <c r="G32" s="2083">
        <f t="shared" si="9"/>
        <v>191</v>
      </c>
      <c r="H32" s="2083">
        <f t="shared" si="9"/>
        <v>228</v>
      </c>
      <c r="I32" s="2083">
        <f t="shared" si="9"/>
        <v>208</v>
      </c>
      <c r="J32" s="2083">
        <f>SUM(J7,J11,J17,J26)</f>
        <v>207</v>
      </c>
      <c r="K32" s="2083">
        <f>SUM(K7,K11,K17,K26)</f>
        <v>177</v>
      </c>
      <c r="L32" s="2083">
        <f>SUM(L7,L11,L17,L22,L26)</f>
        <v>193</v>
      </c>
      <c r="M32" s="2083">
        <f>SUM(M7,M11,M17,M22,M26)</f>
        <v>210</v>
      </c>
      <c r="N32" s="2083">
        <f>SUM(N7,N11,N17,N22,N26)</f>
        <v>233</v>
      </c>
      <c r="O32" s="2083">
        <f>SUM(O7,O11,O17,O22,O26)</f>
        <v>166</v>
      </c>
      <c r="P32" s="2083">
        <f>SUM(P7,P11,P17,P22,P26)</f>
        <v>250</v>
      </c>
    </row>
    <row r="33" spans="1:16" ht="15" x14ac:dyDescent="0.2">
      <c r="A33" s="5169"/>
      <c r="B33" s="2082" t="s">
        <v>11</v>
      </c>
      <c r="C33" s="2083">
        <f t="shared" ref="C33:I33" si="10">SUM(C18,C27)</f>
        <v>192</v>
      </c>
      <c r="D33" s="2083">
        <f t="shared" si="10"/>
        <v>178</v>
      </c>
      <c r="E33" s="2083">
        <f t="shared" si="10"/>
        <v>193</v>
      </c>
      <c r="F33" s="2083">
        <f t="shared" si="10"/>
        <v>155</v>
      </c>
      <c r="G33" s="2083">
        <f t="shared" si="10"/>
        <v>138</v>
      </c>
      <c r="H33" s="2083">
        <f t="shared" si="10"/>
        <v>187</v>
      </c>
      <c r="I33" s="2083">
        <f t="shared" si="10"/>
        <v>170</v>
      </c>
      <c r="J33" s="2083">
        <f>SUM(J18,J27)</f>
        <v>146</v>
      </c>
      <c r="K33" s="2083">
        <f>SUM(K18,K27)</f>
        <v>159</v>
      </c>
      <c r="L33" s="2083">
        <f>SUM(L18,L23,L27)</f>
        <v>176</v>
      </c>
      <c r="M33" s="2083">
        <f>SUM(M18,M23,M27)</f>
        <v>184</v>
      </c>
      <c r="N33" s="2083">
        <f>SUM(N18,N23,N27)</f>
        <v>176</v>
      </c>
      <c r="O33" s="2083">
        <f>SUM(O18,O23,O27)</f>
        <v>167</v>
      </c>
      <c r="P33" s="2083">
        <f>SUM(P18,P23,P27)</f>
        <v>154</v>
      </c>
    </row>
    <row r="34" spans="1:16" ht="15" x14ac:dyDescent="0.2">
      <c r="A34" s="5169"/>
      <c r="B34" s="2082" t="s">
        <v>7</v>
      </c>
      <c r="C34" s="2083">
        <f t="shared" ref="C34:I34" si="11">SUM(C8,C28)</f>
        <v>78</v>
      </c>
      <c r="D34" s="2083">
        <f t="shared" si="11"/>
        <v>87</v>
      </c>
      <c r="E34" s="2083">
        <f t="shared" si="11"/>
        <v>102</v>
      </c>
      <c r="F34" s="2083">
        <f t="shared" si="11"/>
        <v>81</v>
      </c>
      <c r="G34" s="2083">
        <f t="shared" si="11"/>
        <v>48</v>
      </c>
      <c r="H34" s="2083">
        <f t="shared" si="11"/>
        <v>76</v>
      </c>
      <c r="I34" s="2083">
        <f t="shared" si="11"/>
        <v>75</v>
      </c>
      <c r="J34" s="2083">
        <f t="shared" ref="J34:O34" si="12">SUM(J8,J28)</f>
        <v>76</v>
      </c>
      <c r="K34" s="2083">
        <f t="shared" si="12"/>
        <v>91</v>
      </c>
      <c r="L34" s="2083">
        <f t="shared" si="12"/>
        <v>71</v>
      </c>
      <c r="M34" s="2083">
        <f t="shared" si="12"/>
        <v>80</v>
      </c>
      <c r="N34" s="2083">
        <f t="shared" si="12"/>
        <v>67</v>
      </c>
      <c r="O34" s="2083">
        <f t="shared" si="12"/>
        <v>58</v>
      </c>
      <c r="P34" s="2083">
        <f t="shared" ref="P34" si="13">SUM(P8,P28)</f>
        <v>63</v>
      </c>
    </row>
    <row r="35" spans="1:16" ht="15" x14ac:dyDescent="0.2">
      <c r="A35" s="5169"/>
      <c r="B35" s="2082" t="s">
        <v>9</v>
      </c>
      <c r="C35" s="2083"/>
      <c r="D35" s="2083"/>
      <c r="E35" s="2083"/>
      <c r="F35" s="2083"/>
      <c r="G35" s="2083"/>
      <c r="H35" s="2083">
        <f>SUM(H12)</f>
        <v>2</v>
      </c>
      <c r="I35" s="2083">
        <f>SUM(I12)</f>
        <v>6</v>
      </c>
      <c r="J35" s="2083">
        <f t="shared" ref="J35:L36" si="14">SUM(J12)</f>
        <v>5</v>
      </c>
      <c r="K35" s="2083">
        <f t="shared" si="14"/>
        <v>4</v>
      </c>
      <c r="L35" s="2083">
        <f t="shared" si="14"/>
        <v>4</v>
      </c>
      <c r="M35" s="2083">
        <f t="shared" ref="M35:O36" si="15">M12</f>
        <v>9</v>
      </c>
      <c r="N35" s="2083">
        <f t="shared" si="15"/>
        <v>9</v>
      </c>
      <c r="O35" s="2083">
        <f t="shared" si="15"/>
        <v>5</v>
      </c>
      <c r="P35" s="2083">
        <f t="shared" ref="P35" si="16">P12</f>
        <v>5</v>
      </c>
    </row>
    <row r="36" spans="1:16" ht="15" x14ac:dyDescent="0.2">
      <c r="A36" s="5169"/>
      <c r="B36" s="2084" t="s">
        <v>74</v>
      </c>
      <c r="C36" s="2085"/>
      <c r="D36" s="2085"/>
      <c r="E36" s="2085"/>
      <c r="F36" s="2085"/>
      <c r="G36" s="2085"/>
      <c r="H36" s="2085">
        <f>SUM(H13)</f>
        <v>0</v>
      </c>
      <c r="I36" s="2085">
        <f>SUM(I13)</f>
        <v>2</v>
      </c>
      <c r="J36" s="2085">
        <f t="shared" si="14"/>
        <v>8</v>
      </c>
      <c r="K36" s="2085">
        <f t="shared" si="14"/>
        <v>6</v>
      </c>
      <c r="L36" s="2085">
        <f t="shared" si="14"/>
        <v>5</v>
      </c>
      <c r="M36" s="2085">
        <f t="shared" si="15"/>
        <v>6</v>
      </c>
      <c r="N36" s="2085">
        <f t="shared" si="15"/>
        <v>14</v>
      </c>
      <c r="O36" s="2085">
        <f t="shared" si="15"/>
        <v>8</v>
      </c>
      <c r="P36" s="2085">
        <f t="shared" ref="P36" si="17">P13</f>
        <v>20</v>
      </c>
    </row>
    <row r="37" spans="1:16" ht="15" x14ac:dyDescent="0.2">
      <c r="A37" s="5170"/>
      <c r="B37" s="2072" t="s">
        <v>12</v>
      </c>
      <c r="C37" s="2073">
        <f t="shared" ref="C37:I37" si="18">SUM(C31:C36)</f>
        <v>817</v>
      </c>
      <c r="D37" s="2073">
        <f t="shared" si="18"/>
        <v>842</v>
      </c>
      <c r="E37" s="2073">
        <f t="shared" si="18"/>
        <v>793</v>
      </c>
      <c r="F37" s="2073">
        <f t="shared" si="18"/>
        <v>664</v>
      </c>
      <c r="G37" s="2073">
        <f t="shared" si="18"/>
        <v>658</v>
      </c>
      <c r="H37" s="2073">
        <f t="shared" si="18"/>
        <v>769</v>
      </c>
      <c r="I37" s="2073">
        <f t="shared" si="18"/>
        <v>735</v>
      </c>
      <c r="J37" s="2073">
        <f>SUM(J31:J36)</f>
        <v>728</v>
      </c>
      <c r="K37" s="2073">
        <v>673</v>
      </c>
      <c r="L37" s="2073">
        <f>SUM(L31:L36)</f>
        <v>693</v>
      </c>
      <c r="M37" s="2073">
        <f>SUM(M31:M36)</f>
        <v>732</v>
      </c>
      <c r="N37" s="2073">
        <f>SUM(N31:N36)</f>
        <v>735</v>
      </c>
      <c r="O37" s="2073">
        <f>SUM(O31:O36)</f>
        <v>602</v>
      </c>
      <c r="P37" s="2073">
        <f>SUM(P31:P36)</f>
        <v>765</v>
      </c>
    </row>
    <row r="38" spans="1:16" ht="15" x14ac:dyDescent="0.25">
      <c r="B38" s="252"/>
      <c r="C38" s="252"/>
      <c r="D38" s="252"/>
      <c r="E38" s="252"/>
      <c r="F38" s="252"/>
      <c r="G38" s="252"/>
      <c r="H38" s="252"/>
      <c r="I38" s="251"/>
      <c r="J38" s="251"/>
    </row>
    <row r="39" spans="1:16" x14ac:dyDescent="0.2">
      <c r="A39" s="323" t="s">
        <v>334</v>
      </c>
    </row>
  </sheetData>
  <mergeCells count="6">
    <mergeCell ref="A11:A14"/>
    <mergeCell ref="A16:A19"/>
    <mergeCell ref="A26:A29"/>
    <mergeCell ref="A31:A37"/>
    <mergeCell ref="A6:A9"/>
    <mergeCell ref="A21:A24"/>
  </mergeCells>
  <printOptions horizontalCentered="1" verticalCentered="1"/>
  <pageMargins left="0.59055118110236227" right="0.59055118110236227" top="0.31496062992125984" bottom="0.15748031496062992" header="0" footer="0"/>
  <pageSetup scale="66" orientation="landscape" horizontalDpi="1200" verticalDpi="1200" r:id="rId1"/>
  <rowBreaks count="1" manualBreakCount="1">
    <brk id="39" max="1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L79"/>
  <sheetViews>
    <sheetView showGridLines="0" topLeftCell="A52" zoomScaleNormal="100" zoomScaleSheetLayoutView="90" workbookViewId="0">
      <selection activeCell="O6" sqref="O6"/>
    </sheetView>
  </sheetViews>
  <sheetFormatPr baseColWidth="10" defaultRowHeight="12.75" x14ac:dyDescent="0.2"/>
  <cols>
    <col min="1" max="1" width="1.7109375" customWidth="1"/>
    <col min="2" max="2" width="17.42578125" customWidth="1"/>
    <col min="3" max="3" width="10.7109375" customWidth="1"/>
    <col min="4" max="4" width="36.7109375" bestFit="1" customWidth="1"/>
    <col min="5" max="11" width="9.7109375" customWidth="1"/>
    <col min="12" max="12" width="10" customWidth="1"/>
    <col min="255" max="255" width="1.7109375" customWidth="1"/>
    <col min="256" max="256" width="17.85546875" bestFit="1" customWidth="1"/>
    <col min="257" max="257" width="5.7109375" bestFit="1" customWidth="1"/>
    <col min="258" max="258" width="6.140625" bestFit="1" customWidth="1"/>
    <col min="259" max="259" width="36.7109375" bestFit="1" customWidth="1"/>
    <col min="260" max="266" width="9.7109375" customWidth="1"/>
    <col min="267" max="267" width="2.85546875" customWidth="1"/>
    <col min="511" max="511" width="1.7109375" customWidth="1"/>
    <col min="512" max="512" width="17.85546875" bestFit="1" customWidth="1"/>
    <col min="513" max="513" width="5.7109375" bestFit="1" customWidth="1"/>
    <col min="514" max="514" width="6.140625" bestFit="1" customWidth="1"/>
    <col min="515" max="515" width="36.7109375" bestFit="1" customWidth="1"/>
    <col min="516" max="522" width="9.7109375" customWidth="1"/>
    <col min="523" max="523" width="2.85546875" customWidth="1"/>
    <col min="767" max="767" width="1.7109375" customWidth="1"/>
    <col min="768" max="768" width="17.85546875" bestFit="1" customWidth="1"/>
    <col min="769" max="769" width="5.7109375" bestFit="1" customWidth="1"/>
    <col min="770" max="770" width="6.140625" bestFit="1" customWidth="1"/>
    <col min="771" max="771" width="36.7109375" bestFit="1" customWidth="1"/>
    <col min="772" max="778" width="9.7109375" customWidth="1"/>
    <col min="779" max="779" width="2.85546875" customWidth="1"/>
    <col min="1023" max="1023" width="1.7109375" customWidth="1"/>
    <col min="1024" max="1024" width="17.85546875" bestFit="1" customWidth="1"/>
    <col min="1025" max="1025" width="5.7109375" bestFit="1" customWidth="1"/>
    <col min="1026" max="1026" width="6.140625" bestFit="1" customWidth="1"/>
    <col min="1027" max="1027" width="36.7109375" bestFit="1" customWidth="1"/>
    <col min="1028" max="1034" width="9.7109375" customWidth="1"/>
    <col min="1035" max="1035" width="2.85546875" customWidth="1"/>
    <col min="1279" max="1279" width="1.7109375" customWidth="1"/>
    <col min="1280" max="1280" width="17.85546875" bestFit="1" customWidth="1"/>
    <col min="1281" max="1281" width="5.7109375" bestFit="1" customWidth="1"/>
    <col min="1282" max="1282" width="6.140625" bestFit="1" customWidth="1"/>
    <col min="1283" max="1283" width="36.7109375" bestFit="1" customWidth="1"/>
    <col min="1284" max="1290" width="9.7109375" customWidth="1"/>
    <col min="1291" max="1291" width="2.85546875" customWidth="1"/>
    <col min="1535" max="1535" width="1.7109375" customWidth="1"/>
    <col min="1536" max="1536" width="17.85546875" bestFit="1" customWidth="1"/>
    <col min="1537" max="1537" width="5.7109375" bestFit="1" customWidth="1"/>
    <col min="1538" max="1538" width="6.140625" bestFit="1" customWidth="1"/>
    <col min="1539" max="1539" width="36.7109375" bestFit="1" customWidth="1"/>
    <col min="1540" max="1546" width="9.7109375" customWidth="1"/>
    <col min="1547" max="1547" width="2.85546875" customWidth="1"/>
    <col min="1791" max="1791" width="1.7109375" customWidth="1"/>
    <col min="1792" max="1792" width="17.85546875" bestFit="1" customWidth="1"/>
    <col min="1793" max="1793" width="5.7109375" bestFit="1" customWidth="1"/>
    <col min="1794" max="1794" width="6.140625" bestFit="1" customWidth="1"/>
    <col min="1795" max="1795" width="36.7109375" bestFit="1" customWidth="1"/>
    <col min="1796" max="1802" width="9.7109375" customWidth="1"/>
    <col min="1803" max="1803" width="2.85546875" customWidth="1"/>
    <col min="2047" max="2047" width="1.7109375" customWidth="1"/>
    <col min="2048" max="2048" width="17.85546875" bestFit="1" customWidth="1"/>
    <col min="2049" max="2049" width="5.7109375" bestFit="1" customWidth="1"/>
    <col min="2050" max="2050" width="6.140625" bestFit="1" customWidth="1"/>
    <col min="2051" max="2051" width="36.7109375" bestFit="1" customWidth="1"/>
    <col min="2052" max="2058" width="9.7109375" customWidth="1"/>
    <col min="2059" max="2059" width="2.85546875" customWidth="1"/>
    <col min="2303" max="2303" width="1.7109375" customWidth="1"/>
    <col min="2304" max="2304" width="17.85546875" bestFit="1" customWidth="1"/>
    <col min="2305" max="2305" width="5.7109375" bestFit="1" customWidth="1"/>
    <col min="2306" max="2306" width="6.140625" bestFit="1" customWidth="1"/>
    <col min="2307" max="2307" width="36.7109375" bestFit="1" customWidth="1"/>
    <col min="2308" max="2314" width="9.7109375" customWidth="1"/>
    <col min="2315" max="2315" width="2.85546875" customWidth="1"/>
    <col min="2559" max="2559" width="1.7109375" customWidth="1"/>
    <col min="2560" max="2560" width="17.85546875" bestFit="1" customWidth="1"/>
    <col min="2561" max="2561" width="5.7109375" bestFit="1" customWidth="1"/>
    <col min="2562" max="2562" width="6.140625" bestFit="1" customWidth="1"/>
    <col min="2563" max="2563" width="36.7109375" bestFit="1" customWidth="1"/>
    <col min="2564" max="2570" width="9.7109375" customWidth="1"/>
    <col min="2571" max="2571" width="2.85546875" customWidth="1"/>
    <col min="2815" max="2815" width="1.7109375" customWidth="1"/>
    <col min="2816" max="2816" width="17.85546875" bestFit="1" customWidth="1"/>
    <col min="2817" max="2817" width="5.7109375" bestFit="1" customWidth="1"/>
    <col min="2818" max="2818" width="6.140625" bestFit="1" customWidth="1"/>
    <col min="2819" max="2819" width="36.7109375" bestFit="1" customWidth="1"/>
    <col min="2820" max="2826" width="9.7109375" customWidth="1"/>
    <col min="2827" max="2827" width="2.85546875" customWidth="1"/>
    <col min="3071" max="3071" width="1.7109375" customWidth="1"/>
    <col min="3072" max="3072" width="17.85546875" bestFit="1" customWidth="1"/>
    <col min="3073" max="3073" width="5.7109375" bestFit="1" customWidth="1"/>
    <col min="3074" max="3074" width="6.140625" bestFit="1" customWidth="1"/>
    <col min="3075" max="3075" width="36.7109375" bestFit="1" customWidth="1"/>
    <col min="3076" max="3082" width="9.7109375" customWidth="1"/>
    <col min="3083" max="3083" width="2.85546875" customWidth="1"/>
    <col min="3327" max="3327" width="1.7109375" customWidth="1"/>
    <col min="3328" max="3328" width="17.85546875" bestFit="1" customWidth="1"/>
    <col min="3329" max="3329" width="5.7109375" bestFit="1" customWidth="1"/>
    <col min="3330" max="3330" width="6.140625" bestFit="1" customWidth="1"/>
    <col min="3331" max="3331" width="36.7109375" bestFit="1" customWidth="1"/>
    <col min="3332" max="3338" width="9.7109375" customWidth="1"/>
    <col min="3339" max="3339" width="2.85546875" customWidth="1"/>
    <col min="3583" max="3583" width="1.7109375" customWidth="1"/>
    <col min="3584" max="3584" width="17.85546875" bestFit="1" customWidth="1"/>
    <col min="3585" max="3585" width="5.7109375" bestFit="1" customWidth="1"/>
    <col min="3586" max="3586" width="6.140625" bestFit="1" customWidth="1"/>
    <col min="3587" max="3587" width="36.7109375" bestFit="1" customWidth="1"/>
    <col min="3588" max="3594" width="9.7109375" customWidth="1"/>
    <col min="3595" max="3595" width="2.85546875" customWidth="1"/>
    <col min="3839" max="3839" width="1.7109375" customWidth="1"/>
    <col min="3840" max="3840" width="17.85546875" bestFit="1" customWidth="1"/>
    <col min="3841" max="3841" width="5.7109375" bestFit="1" customWidth="1"/>
    <col min="3842" max="3842" width="6.140625" bestFit="1" customWidth="1"/>
    <col min="3843" max="3843" width="36.7109375" bestFit="1" customWidth="1"/>
    <col min="3844" max="3850" width="9.7109375" customWidth="1"/>
    <col min="3851" max="3851" width="2.85546875" customWidth="1"/>
    <col min="4095" max="4095" width="1.7109375" customWidth="1"/>
    <col min="4096" max="4096" width="17.85546875" bestFit="1" customWidth="1"/>
    <col min="4097" max="4097" width="5.7109375" bestFit="1" customWidth="1"/>
    <col min="4098" max="4098" width="6.140625" bestFit="1" customWidth="1"/>
    <col min="4099" max="4099" width="36.7109375" bestFit="1" customWidth="1"/>
    <col min="4100" max="4106" width="9.7109375" customWidth="1"/>
    <col min="4107" max="4107" width="2.85546875" customWidth="1"/>
    <col min="4351" max="4351" width="1.7109375" customWidth="1"/>
    <col min="4352" max="4352" width="17.85546875" bestFit="1" customWidth="1"/>
    <col min="4353" max="4353" width="5.7109375" bestFit="1" customWidth="1"/>
    <col min="4354" max="4354" width="6.140625" bestFit="1" customWidth="1"/>
    <col min="4355" max="4355" width="36.7109375" bestFit="1" customWidth="1"/>
    <col min="4356" max="4362" width="9.7109375" customWidth="1"/>
    <col min="4363" max="4363" width="2.85546875" customWidth="1"/>
    <col min="4607" max="4607" width="1.7109375" customWidth="1"/>
    <col min="4608" max="4608" width="17.85546875" bestFit="1" customWidth="1"/>
    <col min="4609" max="4609" width="5.7109375" bestFit="1" customWidth="1"/>
    <col min="4610" max="4610" width="6.140625" bestFit="1" customWidth="1"/>
    <col min="4611" max="4611" width="36.7109375" bestFit="1" customWidth="1"/>
    <col min="4612" max="4618" width="9.7109375" customWidth="1"/>
    <col min="4619" max="4619" width="2.85546875" customWidth="1"/>
    <col min="4863" max="4863" width="1.7109375" customWidth="1"/>
    <col min="4864" max="4864" width="17.85546875" bestFit="1" customWidth="1"/>
    <col min="4865" max="4865" width="5.7109375" bestFit="1" customWidth="1"/>
    <col min="4866" max="4866" width="6.140625" bestFit="1" customWidth="1"/>
    <col min="4867" max="4867" width="36.7109375" bestFit="1" customWidth="1"/>
    <col min="4868" max="4874" width="9.7109375" customWidth="1"/>
    <col min="4875" max="4875" width="2.85546875" customWidth="1"/>
    <col min="5119" max="5119" width="1.7109375" customWidth="1"/>
    <col min="5120" max="5120" width="17.85546875" bestFit="1" customWidth="1"/>
    <col min="5121" max="5121" width="5.7109375" bestFit="1" customWidth="1"/>
    <col min="5122" max="5122" width="6.140625" bestFit="1" customWidth="1"/>
    <col min="5123" max="5123" width="36.7109375" bestFit="1" customWidth="1"/>
    <col min="5124" max="5130" width="9.7109375" customWidth="1"/>
    <col min="5131" max="5131" width="2.85546875" customWidth="1"/>
    <col min="5375" max="5375" width="1.7109375" customWidth="1"/>
    <col min="5376" max="5376" width="17.85546875" bestFit="1" customWidth="1"/>
    <col min="5377" max="5377" width="5.7109375" bestFit="1" customWidth="1"/>
    <col min="5378" max="5378" width="6.140625" bestFit="1" customWidth="1"/>
    <col min="5379" max="5379" width="36.7109375" bestFit="1" customWidth="1"/>
    <col min="5380" max="5386" width="9.7109375" customWidth="1"/>
    <col min="5387" max="5387" width="2.85546875" customWidth="1"/>
    <col min="5631" max="5631" width="1.7109375" customWidth="1"/>
    <col min="5632" max="5632" width="17.85546875" bestFit="1" customWidth="1"/>
    <col min="5633" max="5633" width="5.7109375" bestFit="1" customWidth="1"/>
    <col min="5634" max="5634" width="6.140625" bestFit="1" customWidth="1"/>
    <col min="5635" max="5635" width="36.7109375" bestFit="1" customWidth="1"/>
    <col min="5636" max="5642" width="9.7109375" customWidth="1"/>
    <col min="5643" max="5643" width="2.85546875" customWidth="1"/>
    <col min="5887" max="5887" width="1.7109375" customWidth="1"/>
    <col min="5888" max="5888" width="17.85546875" bestFit="1" customWidth="1"/>
    <col min="5889" max="5889" width="5.7109375" bestFit="1" customWidth="1"/>
    <col min="5890" max="5890" width="6.140625" bestFit="1" customWidth="1"/>
    <col min="5891" max="5891" width="36.7109375" bestFit="1" customWidth="1"/>
    <col min="5892" max="5898" width="9.7109375" customWidth="1"/>
    <col min="5899" max="5899" width="2.85546875" customWidth="1"/>
    <col min="6143" max="6143" width="1.7109375" customWidth="1"/>
    <col min="6144" max="6144" width="17.85546875" bestFit="1" customWidth="1"/>
    <col min="6145" max="6145" width="5.7109375" bestFit="1" customWidth="1"/>
    <col min="6146" max="6146" width="6.140625" bestFit="1" customWidth="1"/>
    <col min="6147" max="6147" width="36.7109375" bestFit="1" customWidth="1"/>
    <col min="6148" max="6154" width="9.7109375" customWidth="1"/>
    <col min="6155" max="6155" width="2.85546875" customWidth="1"/>
    <col min="6399" max="6399" width="1.7109375" customWidth="1"/>
    <col min="6400" max="6400" width="17.85546875" bestFit="1" customWidth="1"/>
    <col min="6401" max="6401" width="5.7109375" bestFit="1" customWidth="1"/>
    <col min="6402" max="6402" width="6.140625" bestFit="1" customWidth="1"/>
    <col min="6403" max="6403" width="36.7109375" bestFit="1" customWidth="1"/>
    <col min="6404" max="6410" width="9.7109375" customWidth="1"/>
    <col min="6411" max="6411" width="2.85546875" customWidth="1"/>
    <col min="6655" max="6655" width="1.7109375" customWidth="1"/>
    <col min="6656" max="6656" width="17.85546875" bestFit="1" customWidth="1"/>
    <col min="6657" max="6657" width="5.7109375" bestFit="1" customWidth="1"/>
    <col min="6658" max="6658" width="6.140625" bestFit="1" customWidth="1"/>
    <col min="6659" max="6659" width="36.7109375" bestFit="1" customWidth="1"/>
    <col min="6660" max="6666" width="9.7109375" customWidth="1"/>
    <col min="6667" max="6667" width="2.85546875" customWidth="1"/>
    <col min="6911" max="6911" width="1.7109375" customWidth="1"/>
    <col min="6912" max="6912" width="17.85546875" bestFit="1" customWidth="1"/>
    <col min="6913" max="6913" width="5.7109375" bestFit="1" customWidth="1"/>
    <col min="6914" max="6914" width="6.140625" bestFit="1" customWidth="1"/>
    <col min="6915" max="6915" width="36.7109375" bestFit="1" customWidth="1"/>
    <col min="6916" max="6922" width="9.7109375" customWidth="1"/>
    <col min="6923" max="6923" width="2.85546875" customWidth="1"/>
    <col min="7167" max="7167" width="1.7109375" customWidth="1"/>
    <col min="7168" max="7168" width="17.85546875" bestFit="1" customWidth="1"/>
    <col min="7169" max="7169" width="5.7109375" bestFit="1" customWidth="1"/>
    <col min="7170" max="7170" width="6.140625" bestFit="1" customWidth="1"/>
    <col min="7171" max="7171" width="36.7109375" bestFit="1" customWidth="1"/>
    <col min="7172" max="7178" width="9.7109375" customWidth="1"/>
    <col min="7179" max="7179" width="2.85546875" customWidth="1"/>
    <col min="7423" max="7423" width="1.7109375" customWidth="1"/>
    <col min="7424" max="7424" width="17.85546875" bestFit="1" customWidth="1"/>
    <col min="7425" max="7425" width="5.7109375" bestFit="1" customWidth="1"/>
    <col min="7426" max="7426" width="6.140625" bestFit="1" customWidth="1"/>
    <col min="7427" max="7427" width="36.7109375" bestFit="1" customWidth="1"/>
    <col min="7428" max="7434" width="9.7109375" customWidth="1"/>
    <col min="7435" max="7435" width="2.85546875" customWidth="1"/>
    <col min="7679" max="7679" width="1.7109375" customWidth="1"/>
    <col min="7680" max="7680" width="17.85546875" bestFit="1" customWidth="1"/>
    <col min="7681" max="7681" width="5.7109375" bestFit="1" customWidth="1"/>
    <col min="7682" max="7682" width="6.140625" bestFit="1" customWidth="1"/>
    <col min="7683" max="7683" width="36.7109375" bestFit="1" customWidth="1"/>
    <col min="7684" max="7690" width="9.7109375" customWidth="1"/>
    <col min="7691" max="7691" width="2.85546875" customWidth="1"/>
    <col min="7935" max="7935" width="1.7109375" customWidth="1"/>
    <col min="7936" max="7936" width="17.85546875" bestFit="1" customWidth="1"/>
    <col min="7937" max="7937" width="5.7109375" bestFit="1" customWidth="1"/>
    <col min="7938" max="7938" width="6.140625" bestFit="1" customWidth="1"/>
    <col min="7939" max="7939" width="36.7109375" bestFit="1" customWidth="1"/>
    <col min="7940" max="7946" width="9.7109375" customWidth="1"/>
    <col min="7947" max="7947" width="2.85546875" customWidth="1"/>
    <col min="8191" max="8191" width="1.7109375" customWidth="1"/>
    <col min="8192" max="8192" width="17.85546875" bestFit="1" customWidth="1"/>
    <col min="8193" max="8193" width="5.7109375" bestFit="1" customWidth="1"/>
    <col min="8194" max="8194" width="6.140625" bestFit="1" customWidth="1"/>
    <col min="8195" max="8195" width="36.7109375" bestFit="1" customWidth="1"/>
    <col min="8196" max="8202" width="9.7109375" customWidth="1"/>
    <col min="8203" max="8203" width="2.85546875" customWidth="1"/>
    <col min="8447" max="8447" width="1.7109375" customWidth="1"/>
    <col min="8448" max="8448" width="17.85546875" bestFit="1" customWidth="1"/>
    <col min="8449" max="8449" width="5.7109375" bestFit="1" customWidth="1"/>
    <col min="8450" max="8450" width="6.140625" bestFit="1" customWidth="1"/>
    <col min="8451" max="8451" width="36.7109375" bestFit="1" customWidth="1"/>
    <col min="8452" max="8458" width="9.7109375" customWidth="1"/>
    <col min="8459" max="8459" width="2.85546875" customWidth="1"/>
    <col min="8703" max="8703" width="1.7109375" customWidth="1"/>
    <col min="8704" max="8704" width="17.85546875" bestFit="1" customWidth="1"/>
    <col min="8705" max="8705" width="5.7109375" bestFit="1" customWidth="1"/>
    <col min="8706" max="8706" width="6.140625" bestFit="1" customWidth="1"/>
    <col min="8707" max="8707" width="36.7109375" bestFit="1" customWidth="1"/>
    <col min="8708" max="8714" width="9.7109375" customWidth="1"/>
    <col min="8715" max="8715" width="2.85546875" customWidth="1"/>
    <col min="8959" max="8959" width="1.7109375" customWidth="1"/>
    <col min="8960" max="8960" width="17.85546875" bestFit="1" customWidth="1"/>
    <col min="8961" max="8961" width="5.7109375" bestFit="1" customWidth="1"/>
    <col min="8962" max="8962" width="6.140625" bestFit="1" customWidth="1"/>
    <col min="8963" max="8963" width="36.7109375" bestFit="1" customWidth="1"/>
    <col min="8964" max="8970" width="9.7109375" customWidth="1"/>
    <col min="8971" max="8971" width="2.85546875" customWidth="1"/>
    <col min="9215" max="9215" width="1.7109375" customWidth="1"/>
    <col min="9216" max="9216" width="17.85546875" bestFit="1" customWidth="1"/>
    <col min="9217" max="9217" width="5.7109375" bestFit="1" customWidth="1"/>
    <col min="9218" max="9218" width="6.140625" bestFit="1" customWidth="1"/>
    <col min="9219" max="9219" width="36.7109375" bestFit="1" customWidth="1"/>
    <col min="9220" max="9226" width="9.7109375" customWidth="1"/>
    <col min="9227" max="9227" width="2.85546875" customWidth="1"/>
    <col min="9471" max="9471" width="1.7109375" customWidth="1"/>
    <col min="9472" max="9472" width="17.85546875" bestFit="1" customWidth="1"/>
    <col min="9473" max="9473" width="5.7109375" bestFit="1" customWidth="1"/>
    <col min="9474" max="9474" width="6.140625" bestFit="1" customWidth="1"/>
    <col min="9475" max="9475" width="36.7109375" bestFit="1" customWidth="1"/>
    <col min="9476" max="9482" width="9.7109375" customWidth="1"/>
    <col min="9483" max="9483" width="2.85546875" customWidth="1"/>
    <col min="9727" max="9727" width="1.7109375" customWidth="1"/>
    <col min="9728" max="9728" width="17.85546875" bestFit="1" customWidth="1"/>
    <col min="9729" max="9729" width="5.7109375" bestFit="1" customWidth="1"/>
    <col min="9730" max="9730" width="6.140625" bestFit="1" customWidth="1"/>
    <col min="9731" max="9731" width="36.7109375" bestFit="1" customWidth="1"/>
    <col min="9732" max="9738" width="9.7109375" customWidth="1"/>
    <col min="9739" max="9739" width="2.85546875" customWidth="1"/>
    <col min="9983" max="9983" width="1.7109375" customWidth="1"/>
    <col min="9984" max="9984" width="17.85546875" bestFit="1" customWidth="1"/>
    <col min="9985" max="9985" width="5.7109375" bestFit="1" customWidth="1"/>
    <col min="9986" max="9986" width="6.140625" bestFit="1" customWidth="1"/>
    <col min="9987" max="9987" width="36.7109375" bestFit="1" customWidth="1"/>
    <col min="9988" max="9994" width="9.7109375" customWidth="1"/>
    <col min="9995" max="9995" width="2.85546875" customWidth="1"/>
    <col min="10239" max="10239" width="1.7109375" customWidth="1"/>
    <col min="10240" max="10240" width="17.85546875" bestFit="1" customWidth="1"/>
    <col min="10241" max="10241" width="5.7109375" bestFit="1" customWidth="1"/>
    <col min="10242" max="10242" width="6.140625" bestFit="1" customWidth="1"/>
    <col min="10243" max="10243" width="36.7109375" bestFit="1" customWidth="1"/>
    <col min="10244" max="10250" width="9.7109375" customWidth="1"/>
    <col min="10251" max="10251" width="2.85546875" customWidth="1"/>
    <col min="10495" max="10495" width="1.7109375" customWidth="1"/>
    <col min="10496" max="10496" width="17.85546875" bestFit="1" customWidth="1"/>
    <col min="10497" max="10497" width="5.7109375" bestFit="1" customWidth="1"/>
    <col min="10498" max="10498" width="6.140625" bestFit="1" customWidth="1"/>
    <col min="10499" max="10499" width="36.7109375" bestFit="1" customWidth="1"/>
    <col min="10500" max="10506" width="9.7109375" customWidth="1"/>
    <col min="10507" max="10507" width="2.85546875" customWidth="1"/>
    <col min="10751" max="10751" width="1.7109375" customWidth="1"/>
    <col min="10752" max="10752" width="17.85546875" bestFit="1" customWidth="1"/>
    <col min="10753" max="10753" width="5.7109375" bestFit="1" customWidth="1"/>
    <col min="10754" max="10754" width="6.140625" bestFit="1" customWidth="1"/>
    <col min="10755" max="10755" width="36.7109375" bestFit="1" customWidth="1"/>
    <col min="10756" max="10762" width="9.7109375" customWidth="1"/>
    <col min="10763" max="10763" width="2.85546875" customWidth="1"/>
    <col min="11007" max="11007" width="1.7109375" customWidth="1"/>
    <col min="11008" max="11008" width="17.85546875" bestFit="1" customWidth="1"/>
    <col min="11009" max="11009" width="5.7109375" bestFit="1" customWidth="1"/>
    <col min="11010" max="11010" width="6.140625" bestFit="1" customWidth="1"/>
    <col min="11011" max="11011" width="36.7109375" bestFit="1" customWidth="1"/>
    <col min="11012" max="11018" width="9.7109375" customWidth="1"/>
    <col min="11019" max="11019" width="2.85546875" customWidth="1"/>
    <col min="11263" max="11263" width="1.7109375" customWidth="1"/>
    <col min="11264" max="11264" width="17.85546875" bestFit="1" customWidth="1"/>
    <col min="11265" max="11265" width="5.7109375" bestFit="1" customWidth="1"/>
    <col min="11266" max="11266" width="6.140625" bestFit="1" customWidth="1"/>
    <col min="11267" max="11267" width="36.7109375" bestFit="1" customWidth="1"/>
    <col min="11268" max="11274" width="9.7109375" customWidth="1"/>
    <col min="11275" max="11275" width="2.85546875" customWidth="1"/>
    <col min="11519" max="11519" width="1.7109375" customWidth="1"/>
    <col min="11520" max="11520" width="17.85546875" bestFit="1" customWidth="1"/>
    <col min="11521" max="11521" width="5.7109375" bestFit="1" customWidth="1"/>
    <col min="11522" max="11522" width="6.140625" bestFit="1" customWidth="1"/>
    <col min="11523" max="11523" width="36.7109375" bestFit="1" customWidth="1"/>
    <col min="11524" max="11530" width="9.7109375" customWidth="1"/>
    <col min="11531" max="11531" width="2.85546875" customWidth="1"/>
    <col min="11775" max="11775" width="1.7109375" customWidth="1"/>
    <col min="11776" max="11776" width="17.85546875" bestFit="1" customWidth="1"/>
    <col min="11777" max="11777" width="5.7109375" bestFit="1" customWidth="1"/>
    <col min="11778" max="11778" width="6.140625" bestFit="1" customWidth="1"/>
    <col min="11779" max="11779" width="36.7109375" bestFit="1" customWidth="1"/>
    <col min="11780" max="11786" width="9.7109375" customWidth="1"/>
    <col min="11787" max="11787" width="2.85546875" customWidth="1"/>
    <col min="12031" max="12031" width="1.7109375" customWidth="1"/>
    <col min="12032" max="12032" width="17.85546875" bestFit="1" customWidth="1"/>
    <col min="12033" max="12033" width="5.7109375" bestFit="1" customWidth="1"/>
    <col min="12034" max="12034" width="6.140625" bestFit="1" customWidth="1"/>
    <col min="12035" max="12035" width="36.7109375" bestFit="1" customWidth="1"/>
    <col min="12036" max="12042" width="9.7109375" customWidth="1"/>
    <col min="12043" max="12043" width="2.85546875" customWidth="1"/>
    <col min="12287" max="12287" width="1.7109375" customWidth="1"/>
    <col min="12288" max="12288" width="17.85546875" bestFit="1" customWidth="1"/>
    <col min="12289" max="12289" width="5.7109375" bestFit="1" customWidth="1"/>
    <col min="12290" max="12290" width="6.140625" bestFit="1" customWidth="1"/>
    <col min="12291" max="12291" width="36.7109375" bestFit="1" customWidth="1"/>
    <col min="12292" max="12298" width="9.7109375" customWidth="1"/>
    <col min="12299" max="12299" width="2.85546875" customWidth="1"/>
    <col min="12543" max="12543" width="1.7109375" customWidth="1"/>
    <col min="12544" max="12544" width="17.85546875" bestFit="1" customWidth="1"/>
    <col min="12545" max="12545" width="5.7109375" bestFit="1" customWidth="1"/>
    <col min="12546" max="12546" width="6.140625" bestFit="1" customWidth="1"/>
    <col min="12547" max="12547" width="36.7109375" bestFit="1" customWidth="1"/>
    <col min="12548" max="12554" width="9.7109375" customWidth="1"/>
    <col min="12555" max="12555" width="2.85546875" customWidth="1"/>
    <col min="12799" max="12799" width="1.7109375" customWidth="1"/>
    <col min="12800" max="12800" width="17.85546875" bestFit="1" customWidth="1"/>
    <col min="12801" max="12801" width="5.7109375" bestFit="1" customWidth="1"/>
    <col min="12802" max="12802" width="6.140625" bestFit="1" customWidth="1"/>
    <col min="12803" max="12803" width="36.7109375" bestFit="1" customWidth="1"/>
    <col min="12804" max="12810" width="9.7109375" customWidth="1"/>
    <col min="12811" max="12811" width="2.85546875" customWidth="1"/>
    <col min="13055" max="13055" width="1.7109375" customWidth="1"/>
    <col min="13056" max="13056" width="17.85546875" bestFit="1" customWidth="1"/>
    <col min="13057" max="13057" width="5.7109375" bestFit="1" customWidth="1"/>
    <col min="13058" max="13058" width="6.140625" bestFit="1" customWidth="1"/>
    <col min="13059" max="13059" width="36.7109375" bestFit="1" customWidth="1"/>
    <col min="13060" max="13066" width="9.7109375" customWidth="1"/>
    <col min="13067" max="13067" width="2.85546875" customWidth="1"/>
    <col min="13311" max="13311" width="1.7109375" customWidth="1"/>
    <col min="13312" max="13312" width="17.85546875" bestFit="1" customWidth="1"/>
    <col min="13313" max="13313" width="5.7109375" bestFit="1" customWidth="1"/>
    <col min="13314" max="13314" width="6.140625" bestFit="1" customWidth="1"/>
    <col min="13315" max="13315" width="36.7109375" bestFit="1" customWidth="1"/>
    <col min="13316" max="13322" width="9.7109375" customWidth="1"/>
    <col min="13323" max="13323" width="2.85546875" customWidth="1"/>
    <col min="13567" max="13567" width="1.7109375" customWidth="1"/>
    <col min="13568" max="13568" width="17.85546875" bestFit="1" customWidth="1"/>
    <col min="13569" max="13569" width="5.7109375" bestFit="1" customWidth="1"/>
    <col min="13570" max="13570" width="6.140625" bestFit="1" customWidth="1"/>
    <col min="13571" max="13571" width="36.7109375" bestFit="1" customWidth="1"/>
    <col min="13572" max="13578" width="9.7109375" customWidth="1"/>
    <col min="13579" max="13579" width="2.85546875" customWidth="1"/>
    <col min="13823" max="13823" width="1.7109375" customWidth="1"/>
    <col min="13824" max="13824" width="17.85546875" bestFit="1" customWidth="1"/>
    <col min="13825" max="13825" width="5.7109375" bestFit="1" customWidth="1"/>
    <col min="13826" max="13826" width="6.140625" bestFit="1" customWidth="1"/>
    <col min="13827" max="13827" width="36.7109375" bestFit="1" customWidth="1"/>
    <col min="13828" max="13834" width="9.7109375" customWidth="1"/>
    <col min="13835" max="13835" width="2.85546875" customWidth="1"/>
    <col min="14079" max="14079" width="1.7109375" customWidth="1"/>
    <col min="14080" max="14080" width="17.85546875" bestFit="1" customWidth="1"/>
    <col min="14081" max="14081" width="5.7109375" bestFit="1" customWidth="1"/>
    <col min="14082" max="14082" width="6.140625" bestFit="1" customWidth="1"/>
    <col min="14083" max="14083" width="36.7109375" bestFit="1" customWidth="1"/>
    <col min="14084" max="14090" width="9.7109375" customWidth="1"/>
    <col min="14091" max="14091" width="2.85546875" customWidth="1"/>
    <col min="14335" max="14335" width="1.7109375" customWidth="1"/>
    <col min="14336" max="14336" width="17.85546875" bestFit="1" customWidth="1"/>
    <col min="14337" max="14337" width="5.7109375" bestFit="1" customWidth="1"/>
    <col min="14338" max="14338" width="6.140625" bestFit="1" customWidth="1"/>
    <col min="14339" max="14339" width="36.7109375" bestFit="1" customWidth="1"/>
    <col min="14340" max="14346" width="9.7109375" customWidth="1"/>
    <col min="14347" max="14347" width="2.85546875" customWidth="1"/>
    <col min="14591" max="14591" width="1.7109375" customWidth="1"/>
    <col min="14592" max="14592" width="17.85546875" bestFit="1" customWidth="1"/>
    <col min="14593" max="14593" width="5.7109375" bestFit="1" customWidth="1"/>
    <col min="14594" max="14594" width="6.140625" bestFit="1" customWidth="1"/>
    <col min="14595" max="14595" width="36.7109375" bestFit="1" customWidth="1"/>
    <col min="14596" max="14602" width="9.7109375" customWidth="1"/>
    <col min="14603" max="14603" width="2.85546875" customWidth="1"/>
    <col min="14847" max="14847" width="1.7109375" customWidth="1"/>
    <col min="14848" max="14848" width="17.85546875" bestFit="1" customWidth="1"/>
    <col min="14849" max="14849" width="5.7109375" bestFit="1" customWidth="1"/>
    <col min="14850" max="14850" width="6.140625" bestFit="1" customWidth="1"/>
    <col min="14851" max="14851" width="36.7109375" bestFit="1" customWidth="1"/>
    <col min="14852" max="14858" width="9.7109375" customWidth="1"/>
    <col min="14859" max="14859" width="2.85546875" customWidth="1"/>
    <col min="15103" max="15103" width="1.7109375" customWidth="1"/>
    <col min="15104" max="15104" width="17.85546875" bestFit="1" customWidth="1"/>
    <col min="15105" max="15105" width="5.7109375" bestFit="1" customWidth="1"/>
    <col min="15106" max="15106" width="6.140625" bestFit="1" customWidth="1"/>
    <col min="15107" max="15107" width="36.7109375" bestFit="1" customWidth="1"/>
    <col min="15108" max="15114" width="9.7109375" customWidth="1"/>
    <col min="15115" max="15115" width="2.85546875" customWidth="1"/>
    <col min="15359" max="15359" width="1.7109375" customWidth="1"/>
    <col min="15360" max="15360" width="17.85546875" bestFit="1" customWidth="1"/>
    <col min="15361" max="15361" width="5.7109375" bestFit="1" customWidth="1"/>
    <col min="15362" max="15362" width="6.140625" bestFit="1" customWidth="1"/>
    <col min="15363" max="15363" width="36.7109375" bestFit="1" customWidth="1"/>
    <col min="15364" max="15370" width="9.7109375" customWidth="1"/>
    <col min="15371" max="15371" width="2.85546875" customWidth="1"/>
    <col min="15615" max="15615" width="1.7109375" customWidth="1"/>
    <col min="15616" max="15616" width="17.85546875" bestFit="1" customWidth="1"/>
    <col min="15617" max="15617" width="5.7109375" bestFit="1" customWidth="1"/>
    <col min="15618" max="15618" width="6.140625" bestFit="1" customWidth="1"/>
    <col min="15619" max="15619" width="36.7109375" bestFit="1" customWidth="1"/>
    <col min="15620" max="15626" width="9.7109375" customWidth="1"/>
    <col min="15627" max="15627" width="2.85546875" customWidth="1"/>
    <col min="15871" max="15871" width="1.7109375" customWidth="1"/>
    <col min="15872" max="15872" width="17.85546875" bestFit="1" customWidth="1"/>
    <col min="15873" max="15873" width="5.7109375" bestFit="1" customWidth="1"/>
    <col min="15874" max="15874" width="6.140625" bestFit="1" customWidth="1"/>
    <col min="15875" max="15875" width="36.7109375" bestFit="1" customWidth="1"/>
    <col min="15876" max="15882" width="9.7109375" customWidth="1"/>
    <col min="15883" max="15883" width="2.85546875" customWidth="1"/>
    <col min="16127" max="16127" width="1.7109375" customWidth="1"/>
    <col min="16128" max="16128" width="17.85546875" bestFit="1" customWidth="1"/>
    <col min="16129" max="16129" width="5.7109375" bestFit="1" customWidth="1"/>
    <col min="16130" max="16130" width="6.140625" bestFit="1" customWidth="1"/>
    <col min="16131" max="16131" width="36.7109375" bestFit="1" customWidth="1"/>
    <col min="16132" max="16138" width="9.7109375" customWidth="1"/>
    <col min="16139" max="16139" width="2.85546875" customWidth="1"/>
  </cols>
  <sheetData>
    <row r="1" spans="1:12" s="139" customFormat="1" ht="15.75" x14ac:dyDescent="0.25">
      <c r="C1" s="5195"/>
      <c r="D1" s="5195"/>
      <c r="E1" s="5195"/>
      <c r="F1" s="5195"/>
      <c r="G1" s="5195"/>
      <c r="H1" s="5195"/>
      <c r="I1" s="5195"/>
      <c r="J1" s="5195"/>
      <c r="K1" s="5195"/>
      <c r="L1" s="5195"/>
    </row>
    <row r="2" spans="1:12" s="139" customFormat="1" ht="15.75" x14ac:dyDescent="0.25">
      <c r="C2" s="5179" t="s">
        <v>230</v>
      </c>
      <c r="D2" s="5179"/>
      <c r="E2" s="5179"/>
      <c r="F2" s="5179"/>
      <c r="G2" s="5179"/>
      <c r="H2" s="5179"/>
      <c r="I2" s="5179"/>
      <c r="J2" s="5179"/>
      <c r="K2" s="5179"/>
      <c r="L2" s="5179"/>
    </row>
    <row r="3" spans="1:12" s="139" customFormat="1" ht="15.75" x14ac:dyDescent="0.25">
      <c r="C3" s="5179" t="s">
        <v>337</v>
      </c>
      <c r="D3" s="5179"/>
      <c r="E3" s="5179"/>
      <c r="F3" s="5179"/>
      <c r="G3" s="5179"/>
      <c r="H3" s="5179"/>
      <c r="I3" s="5179"/>
      <c r="J3" s="5179"/>
      <c r="K3" s="5179"/>
      <c r="L3" s="5179"/>
    </row>
    <row r="4" spans="1:12" ht="15.75" x14ac:dyDescent="0.2">
      <c r="A4" s="140"/>
      <c r="B4" s="140"/>
      <c r="C4" s="141"/>
    </row>
    <row r="5" spans="1:12" s="5" customFormat="1" ht="23.25" customHeight="1" x14ac:dyDescent="0.25">
      <c r="B5" s="769" t="s">
        <v>16</v>
      </c>
      <c r="C5" s="561" t="s">
        <v>4</v>
      </c>
      <c r="D5" s="561" t="s">
        <v>351</v>
      </c>
      <c r="E5" s="630">
        <v>2003</v>
      </c>
      <c r="F5" s="630">
        <v>2004</v>
      </c>
      <c r="G5" s="605">
        <v>2005</v>
      </c>
      <c r="H5" s="631">
        <v>2006</v>
      </c>
      <c r="I5" s="631">
        <v>2007</v>
      </c>
      <c r="J5" s="631">
        <v>2008</v>
      </c>
      <c r="K5" s="631">
        <v>2009</v>
      </c>
      <c r="L5" s="631">
        <v>2010</v>
      </c>
    </row>
    <row r="6" spans="1:12" s="6" customFormat="1" ht="15" customHeight="1" x14ac:dyDescent="0.2">
      <c r="B6" s="5171" t="s">
        <v>3</v>
      </c>
      <c r="C6" s="5177" t="s">
        <v>5</v>
      </c>
      <c r="D6" s="553" t="s">
        <v>171</v>
      </c>
      <c r="E6" s="606">
        <v>60</v>
      </c>
      <c r="F6" s="606">
        <v>45</v>
      </c>
      <c r="G6" s="607">
        <v>51</v>
      </c>
      <c r="H6" s="608">
        <v>58</v>
      </c>
      <c r="I6" s="608">
        <v>38</v>
      </c>
      <c r="J6" s="608">
        <v>49</v>
      </c>
      <c r="K6" s="608">
        <v>40</v>
      </c>
      <c r="L6" s="608">
        <v>42</v>
      </c>
    </row>
    <row r="7" spans="1:12" s="6" customFormat="1" ht="15" customHeight="1" x14ac:dyDescent="0.2">
      <c r="B7" s="5172"/>
      <c r="C7" s="5176"/>
      <c r="D7" s="553" t="s">
        <v>172</v>
      </c>
      <c r="E7" s="606">
        <v>107</v>
      </c>
      <c r="F7" s="606">
        <v>117</v>
      </c>
      <c r="G7" s="607">
        <v>106</v>
      </c>
      <c r="H7" s="608">
        <v>144</v>
      </c>
      <c r="I7" s="608">
        <v>103</v>
      </c>
      <c r="J7" s="608">
        <v>113</v>
      </c>
      <c r="K7" s="608">
        <v>108</v>
      </c>
      <c r="L7" s="608">
        <v>94</v>
      </c>
    </row>
    <row r="8" spans="1:12" s="6" customFormat="1" ht="15" customHeight="1" x14ac:dyDescent="0.2">
      <c r="B8" s="5172"/>
      <c r="C8" s="5176"/>
      <c r="D8" s="553" t="s">
        <v>173</v>
      </c>
      <c r="E8" s="606">
        <v>94</v>
      </c>
      <c r="F8" s="606">
        <v>105</v>
      </c>
      <c r="G8" s="607">
        <v>102</v>
      </c>
      <c r="H8" s="608">
        <v>112</v>
      </c>
      <c r="I8" s="608">
        <v>72</v>
      </c>
      <c r="J8" s="608">
        <v>94</v>
      </c>
      <c r="K8" s="608">
        <v>58</v>
      </c>
      <c r="L8" s="608">
        <v>49</v>
      </c>
    </row>
    <row r="9" spans="1:12" s="6" customFormat="1" ht="15" customHeight="1" x14ac:dyDescent="0.2">
      <c r="B9" s="5172"/>
      <c r="C9" s="5176"/>
      <c r="D9" s="553" t="s">
        <v>174</v>
      </c>
      <c r="E9" s="606">
        <v>48</v>
      </c>
      <c r="F9" s="606">
        <v>38</v>
      </c>
      <c r="G9" s="607">
        <v>31</v>
      </c>
      <c r="H9" s="608">
        <v>29</v>
      </c>
      <c r="I9" s="608">
        <v>19</v>
      </c>
      <c r="J9" s="608">
        <v>25</v>
      </c>
      <c r="K9" s="608">
        <v>32</v>
      </c>
      <c r="L9" s="608">
        <v>33</v>
      </c>
    </row>
    <row r="10" spans="1:12" s="6" customFormat="1" ht="15" customHeight="1" x14ac:dyDescent="0.2">
      <c r="B10" s="5172"/>
      <c r="C10" s="5176"/>
      <c r="D10" s="553" t="s">
        <v>175</v>
      </c>
      <c r="E10" s="606">
        <v>107</v>
      </c>
      <c r="F10" s="606">
        <v>119</v>
      </c>
      <c r="G10" s="607">
        <v>126</v>
      </c>
      <c r="H10" s="608">
        <v>165</v>
      </c>
      <c r="I10" s="608">
        <v>148</v>
      </c>
      <c r="J10" s="608">
        <v>144</v>
      </c>
      <c r="K10" s="608">
        <v>136</v>
      </c>
      <c r="L10" s="608">
        <v>150</v>
      </c>
    </row>
    <row r="11" spans="1:12" s="6" customFormat="1" ht="15" customHeight="1" x14ac:dyDescent="0.2">
      <c r="B11" s="5172"/>
      <c r="C11" s="5176"/>
      <c r="D11" s="553" t="s">
        <v>176</v>
      </c>
      <c r="E11" s="606">
        <v>94</v>
      </c>
      <c r="F11" s="606">
        <v>127</v>
      </c>
      <c r="G11" s="607">
        <v>113</v>
      </c>
      <c r="H11" s="608">
        <v>155</v>
      </c>
      <c r="I11" s="608">
        <v>132</v>
      </c>
      <c r="J11" s="608">
        <v>119</v>
      </c>
      <c r="K11" s="608">
        <v>147</v>
      </c>
      <c r="L11" s="608">
        <v>104</v>
      </c>
    </row>
    <row r="12" spans="1:12" s="6" customFormat="1" ht="15" customHeight="1" x14ac:dyDescent="0.2">
      <c r="B12" s="5172"/>
      <c r="C12" s="5176"/>
      <c r="D12" s="553" t="s">
        <v>177</v>
      </c>
      <c r="E12" s="606">
        <v>52</v>
      </c>
      <c r="F12" s="606">
        <v>22</v>
      </c>
      <c r="G12" s="607">
        <v>17</v>
      </c>
      <c r="H12" s="608">
        <v>10</v>
      </c>
      <c r="I12" s="608">
        <v>17</v>
      </c>
      <c r="J12" s="608">
        <v>23</v>
      </c>
      <c r="K12" s="608">
        <v>22</v>
      </c>
      <c r="L12" s="608">
        <v>12</v>
      </c>
    </row>
    <row r="13" spans="1:12" s="6" customFormat="1" ht="15" customHeight="1" x14ac:dyDescent="0.2">
      <c r="B13" s="5172"/>
      <c r="C13" s="5176"/>
      <c r="D13" s="553" t="s">
        <v>178</v>
      </c>
      <c r="E13" s="606">
        <v>81</v>
      </c>
      <c r="F13" s="606">
        <v>93</v>
      </c>
      <c r="G13" s="607">
        <v>82</v>
      </c>
      <c r="H13" s="608">
        <v>81</v>
      </c>
      <c r="I13" s="608">
        <v>62</v>
      </c>
      <c r="J13" s="608">
        <v>82</v>
      </c>
      <c r="K13" s="608">
        <v>102</v>
      </c>
      <c r="L13" s="608">
        <v>100</v>
      </c>
    </row>
    <row r="14" spans="1:12" s="6" customFormat="1" ht="15" customHeight="1" x14ac:dyDescent="0.2">
      <c r="B14" s="5172"/>
      <c r="C14" s="5176"/>
      <c r="D14" s="553" t="s">
        <v>179</v>
      </c>
      <c r="E14" s="606">
        <v>126</v>
      </c>
      <c r="F14" s="606">
        <v>164</v>
      </c>
      <c r="G14" s="607">
        <v>166</v>
      </c>
      <c r="H14" s="608">
        <v>188</v>
      </c>
      <c r="I14" s="608">
        <v>139</v>
      </c>
      <c r="J14" s="608">
        <v>169</v>
      </c>
      <c r="K14" s="608">
        <v>179</v>
      </c>
      <c r="L14" s="608">
        <v>171</v>
      </c>
    </row>
    <row r="15" spans="1:12" s="6" customFormat="1" ht="15" customHeight="1" x14ac:dyDescent="0.2">
      <c r="B15" s="5172"/>
      <c r="C15" s="5176"/>
      <c r="D15" s="553" t="s">
        <v>180</v>
      </c>
      <c r="E15" s="606"/>
      <c r="F15" s="606">
        <v>2</v>
      </c>
      <c r="G15" s="607">
        <v>1</v>
      </c>
      <c r="H15" s="608">
        <v>5</v>
      </c>
      <c r="I15" s="608">
        <v>8</v>
      </c>
      <c r="J15" s="608">
        <v>5</v>
      </c>
      <c r="K15" s="608">
        <v>8</v>
      </c>
      <c r="L15" s="608">
        <v>5</v>
      </c>
    </row>
    <row r="16" spans="1:12" s="6" customFormat="1" ht="15" customHeight="1" x14ac:dyDescent="0.2">
      <c r="B16" s="5172"/>
      <c r="C16" s="5177" t="s">
        <v>6</v>
      </c>
      <c r="D16" s="554" t="s">
        <v>181</v>
      </c>
      <c r="E16" s="609">
        <v>117</v>
      </c>
      <c r="F16" s="609">
        <v>105</v>
      </c>
      <c r="G16" s="610">
        <v>80</v>
      </c>
      <c r="H16" s="611">
        <v>99</v>
      </c>
      <c r="I16" s="611">
        <v>94</v>
      </c>
      <c r="J16" s="611">
        <v>111</v>
      </c>
      <c r="K16" s="611">
        <v>106</v>
      </c>
      <c r="L16" s="611">
        <v>112</v>
      </c>
    </row>
    <row r="17" spans="2:12" s="6" customFormat="1" ht="15" customHeight="1" x14ac:dyDescent="0.2">
      <c r="B17" s="5172"/>
      <c r="C17" s="5176"/>
      <c r="D17" s="553" t="s">
        <v>182</v>
      </c>
      <c r="E17" s="606">
        <v>159</v>
      </c>
      <c r="F17" s="606">
        <v>146</v>
      </c>
      <c r="G17" s="607">
        <v>139</v>
      </c>
      <c r="H17" s="608">
        <v>179</v>
      </c>
      <c r="I17" s="608">
        <v>152</v>
      </c>
      <c r="J17" s="608">
        <v>183</v>
      </c>
      <c r="K17" s="608">
        <v>164</v>
      </c>
      <c r="L17" s="608">
        <v>168</v>
      </c>
    </row>
    <row r="18" spans="2:12" s="6" customFormat="1" ht="15" customHeight="1" x14ac:dyDescent="0.2">
      <c r="B18" s="5172"/>
      <c r="C18" s="5176"/>
      <c r="D18" s="553" t="s">
        <v>183</v>
      </c>
      <c r="E18" s="606">
        <v>156</v>
      </c>
      <c r="F18" s="606">
        <v>139</v>
      </c>
      <c r="G18" s="607">
        <v>123</v>
      </c>
      <c r="H18" s="608">
        <v>120</v>
      </c>
      <c r="I18" s="608">
        <v>120</v>
      </c>
      <c r="J18" s="608">
        <v>99</v>
      </c>
      <c r="K18" s="608">
        <v>104</v>
      </c>
      <c r="L18" s="608">
        <v>114</v>
      </c>
    </row>
    <row r="19" spans="2:12" s="6" customFormat="1" ht="15" customHeight="1" x14ac:dyDescent="0.2">
      <c r="B19" s="5172"/>
      <c r="C19" s="5178"/>
      <c r="D19" s="555" t="s">
        <v>184</v>
      </c>
      <c r="E19" s="612">
        <v>107</v>
      </c>
      <c r="F19" s="612">
        <v>93</v>
      </c>
      <c r="G19" s="613">
        <v>93</v>
      </c>
      <c r="H19" s="614">
        <v>101</v>
      </c>
      <c r="I19" s="614">
        <v>126</v>
      </c>
      <c r="J19" s="614">
        <v>90</v>
      </c>
      <c r="K19" s="614">
        <v>103</v>
      </c>
      <c r="L19" s="614">
        <v>125</v>
      </c>
    </row>
    <row r="20" spans="2:12" s="6" customFormat="1" ht="15" customHeight="1" x14ac:dyDescent="0.2">
      <c r="B20" s="5172"/>
      <c r="C20" s="5177" t="s">
        <v>7</v>
      </c>
      <c r="D20" s="554" t="s">
        <v>168</v>
      </c>
      <c r="E20" s="606">
        <v>153</v>
      </c>
      <c r="F20" s="606">
        <v>140</v>
      </c>
      <c r="G20" s="607">
        <v>119</v>
      </c>
      <c r="H20" s="608">
        <v>122</v>
      </c>
      <c r="I20" s="608">
        <v>121</v>
      </c>
      <c r="J20" s="608">
        <v>125</v>
      </c>
      <c r="K20" s="608">
        <v>93</v>
      </c>
      <c r="L20" s="608">
        <v>105</v>
      </c>
    </row>
    <row r="21" spans="2:12" s="6" customFormat="1" ht="15" customHeight="1" x14ac:dyDescent="0.2">
      <c r="B21" s="5172"/>
      <c r="C21" s="5176"/>
      <c r="D21" s="553" t="s">
        <v>169</v>
      </c>
      <c r="E21" s="606">
        <v>72</v>
      </c>
      <c r="F21" s="606">
        <v>66</v>
      </c>
      <c r="G21" s="607">
        <v>55</v>
      </c>
      <c r="H21" s="608">
        <v>88</v>
      </c>
      <c r="I21" s="608">
        <v>72</v>
      </c>
      <c r="J21" s="608">
        <v>73</v>
      </c>
      <c r="K21" s="608">
        <v>80</v>
      </c>
      <c r="L21" s="608">
        <v>69</v>
      </c>
    </row>
    <row r="22" spans="2:12" s="6" customFormat="1" ht="15" customHeight="1" x14ac:dyDescent="0.2">
      <c r="B22" s="5173"/>
      <c r="C22" s="5176"/>
      <c r="D22" s="553" t="s">
        <v>170</v>
      </c>
      <c r="E22" s="606">
        <v>54</v>
      </c>
      <c r="F22" s="606">
        <v>47</v>
      </c>
      <c r="G22" s="607">
        <v>59</v>
      </c>
      <c r="H22" s="608">
        <v>55</v>
      </c>
      <c r="I22" s="608">
        <v>46</v>
      </c>
      <c r="J22" s="608">
        <v>65</v>
      </c>
      <c r="K22" s="608">
        <v>52</v>
      </c>
      <c r="L22" s="608">
        <v>73</v>
      </c>
    </row>
    <row r="23" spans="2:12" s="6" customFormat="1" ht="15" customHeight="1" x14ac:dyDescent="0.2">
      <c r="B23" s="5171" t="s">
        <v>8</v>
      </c>
      <c r="C23" s="5177" t="s">
        <v>6</v>
      </c>
      <c r="D23" s="554" t="s">
        <v>181</v>
      </c>
      <c r="E23" s="615"/>
      <c r="F23" s="615"/>
      <c r="G23" s="610">
        <v>1</v>
      </c>
      <c r="H23" s="616">
        <v>1</v>
      </c>
      <c r="I23" s="616">
        <v>1</v>
      </c>
      <c r="J23" s="616">
        <v>2</v>
      </c>
      <c r="K23" s="616"/>
      <c r="L23" s="616">
        <v>0</v>
      </c>
    </row>
    <row r="24" spans="2:12" s="6" customFormat="1" ht="15" customHeight="1" x14ac:dyDescent="0.2">
      <c r="B24" s="5172"/>
      <c r="C24" s="5176"/>
      <c r="D24" s="553" t="s">
        <v>182</v>
      </c>
      <c r="E24" s="617"/>
      <c r="F24" s="617"/>
      <c r="G24" s="607"/>
      <c r="H24" s="618"/>
      <c r="I24" s="618"/>
      <c r="J24" s="618"/>
      <c r="K24" s="618"/>
      <c r="L24" s="618"/>
    </row>
    <row r="25" spans="2:12" s="6" customFormat="1" ht="15" customHeight="1" x14ac:dyDescent="0.2">
      <c r="B25" s="5172"/>
      <c r="C25" s="5176"/>
      <c r="D25" s="553" t="s">
        <v>191</v>
      </c>
      <c r="E25" s="617"/>
      <c r="F25" s="617"/>
      <c r="G25" s="607"/>
      <c r="H25" s="618"/>
      <c r="I25" s="618"/>
      <c r="J25" s="618"/>
      <c r="K25" s="618">
        <v>1</v>
      </c>
      <c r="L25" s="618">
        <v>1</v>
      </c>
    </row>
    <row r="26" spans="2:12" s="6" customFormat="1" ht="15" customHeight="1" x14ac:dyDescent="0.2">
      <c r="B26" s="5172"/>
      <c r="C26" s="5178"/>
      <c r="D26" s="555" t="s">
        <v>192</v>
      </c>
      <c r="E26" s="619"/>
      <c r="F26" s="619"/>
      <c r="G26" s="613"/>
      <c r="H26" s="620"/>
      <c r="I26" s="620"/>
      <c r="J26" s="620"/>
      <c r="K26" s="620">
        <v>1</v>
      </c>
      <c r="L26" s="620">
        <v>1</v>
      </c>
    </row>
    <row r="27" spans="2:12" s="6" customFormat="1" ht="15" customHeight="1" x14ac:dyDescent="0.2">
      <c r="B27" s="5172"/>
      <c r="C27" s="5177" t="s">
        <v>9</v>
      </c>
      <c r="D27" s="553" t="s">
        <v>185</v>
      </c>
      <c r="E27" s="617"/>
      <c r="F27" s="617"/>
      <c r="G27" s="607">
        <v>1</v>
      </c>
      <c r="H27" s="618"/>
      <c r="I27" s="618">
        <v>1</v>
      </c>
      <c r="J27" s="618"/>
      <c r="K27" s="618"/>
      <c r="L27" s="618">
        <v>1</v>
      </c>
    </row>
    <row r="28" spans="2:12" s="6" customFormat="1" ht="15" customHeight="1" x14ac:dyDescent="0.2">
      <c r="B28" s="5172"/>
      <c r="C28" s="5176"/>
      <c r="D28" s="553" t="s">
        <v>186</v>
      </c>
      <c r="E28" s="617"/>
      <c r="F28" s="617"/>
      <c r="G28" s="607"/>
      <c r="H28" s="618"/>
      <c r="I28" s="618">
        <v>1</v>
      </c>
      <c r="J28" s="618">
        <v>3</v>
      </c>
      <c r="K28" s="618">
        <v>3</v>
      </c>
      <c r="L28" s="618">
        <v>1</v>
      </c>
    </row>
    <row r="29" spans="2:12" s="6" customFormat="1" ht="15" customHeight="1" x14ac:dyDescent="0.2">
      <c r="B29" s="5172"/>
      <c r="C29" s="5176"/>
      <c r="D29" s="553" t="s">
        <v>187</v>
      </c>
      <c r="E29" s="617"/>
      <c r="F29" s="617"/>
      <c r="G29" s="607"/>
      <c r="H29" s="618"/>
      <c r="I29" s="618">
        <v>1</v>
      </c>
      <c r="J29" s="618">
        <v>2</v>
      </c>
      <c r="K29" s="618">
        <v>2</v>
      </c>
      <c r="L29" s="618"/>
    </row>
    <row r="30" spans="2:12" s="6" customFormat="1" ht="15" customHeight="1" x14ac:dyDescent="0.2">
      <c r="B30" s="5172"/>
      <c r="C30" s="5177" t="s">
        <v>74</v>
      </c>
      <c r="D30" s="554" t="s">
        <v>188</v>
      </c>
      <c r="E30" s="615"/>
      <c r="F30" s="615"/>
      <c r="G30" s="610">
        <v>1</v>
      </c>
      <c r="H30" s="616"/>
      <c r="I30" s="616">
        <v>1</v>
      </c>
      <c r="J30" s="616">
        <v>1</v>
      </c>
      <c r="K30" s="616">
        <v>4</v>
      </c>
      <c r="L30" s="616">
        <v>1</v>
      </c>
    </row>
    <row r="31" spans="2:12" s="6" customFormat="1" ht="15" customHeight="1" x14ac:dyDescent="0.2">
      <c r="B31" s="5172"/>
      <c r="C31" s="5176"/>
      <c r="D31" s="553" t="s">
        <v>189</v>
      </c>
      <c r="E31" s="617"/>
      <c r="F31" s="617"/>
      <c r="G31" s="607"/>
      <c r="H31" s="618">
        <v>2</v>
      </c>
      <c r="I31" s="618"/>
      <c r="J31" s="618">
        <v>2</v>
      </c>
      <c r="K31" s="618">
        <v>1</v>
      </c>
      <c r="L31" s="618">
        <v>3</v>
      </c>
    </row>
    <row r="32" spans="2:12" s="6" customFormat="1" ht="15" customHeight="1" x14ac:dyDescent="0.2">
      <c r="B32" s="5173"/>
      <c r="C32" s="5178"/>
      <c r="D32" s="555" t="s">
        <v>190</v>
      </c>
      <c r="E32" s="619"/>
      <c r="F32" s="619"/>
      <c r="G32" s="613"/>
      <c r="H32" s="620"/>
      <c r="I32" s="620"/>
      <c r="J32" s="620"/>
      <c r="K32" s="620"/>
      <c r="L32" s="620"/>
    </row>
    <row r="33" spans="2:12" s="6" customFormat="1" ht="15" customHeight="1" x14ac:dyDescent="0.2">
      <c r="B33" s="5171" t="s">
        <v>75</v>
      </c>
      <c r="C33" s="5176" t="s">
        <v>5</v>
      </c>
      <c r="D33" s="553" t="s">
        <v>193</v>
      </c>
      <c r="E33" s="606">
        <v>77</v>
      </c>
      <c r="F33" s="606">
        <v>66</v>
      </c>
      <c r="G33" s="607">
        <v>54</v>
      </c>
      <c r="H33" s="608">
        <v>83</v>
      </c>
      <c r="I33" s="608">
        <v>91</v>
      </c>
      <c r="J33" s="608">
        <v>54</v>
      </c>
      <c r="K33" s="608">
        <v>74</v>
      </c>
      <c r="L33" s="608">
        <v>54</v>
      </c>
    </row>
    <row r="34" spans="2:12" s="6" customFormat="1" ht="15" customHeight="1" x14ac:dyDescent="0.2">
      <c r="B34" s="5172"/>
      <c r="C34" s="5176"/>
      <c r="D34" s="553" t="s">
        <v>194</v>
      </c>
      <c r="E34" s="606">
        <v>14</v>
      </c>
      <c r="F34" s="606">
        <v>11</v>
      </c>
      <c r="G34" s="607">
        <v>23</v>
      </c>
      <c r="H34" s="608">
        <v>23</v>
      </c>
      <c r="I34" s="608">
        <v>12</v>
      </c>
      <c r="J34" s="608">
        <v>6</v>
      </c>
      <c r="K34" s="608">
        <v>4</v>
      </c>
      <c r="L34" s="608">
        <v>9</v>
      </c>
    </row>
    <row r="35" spans="2:12" s="6" customFormat="1" ht="15" customHeight="1" x14ac:dyDescent="0.2">
      <c r="B35" s="5172"/>
      <c r="C35" s="5176"/>
      <c r="D35" s="553" t="s">
        <v>195</v>
      </c>
      <c r="E35" s="606">
        <v>53</v>
      </c>
      <c r="F35" s="606">
        <v>49</v>
      </c>
      <c r="G35" s="607">
        <v>50</v>
      </c>
      <c r="H35" s="608">
        <v>57</v>
      </c>
      <c r="I35" s="608">
        <v>45</v>
      </c>
      <c r="J35" s="608">
        <v>58</v>
      </c>
      <c r="K35" s="608">
        <v>48</v>
      </c>
      <c r="L35" s="608">
        <v>35</v>
      </c>
    </row>
    <row r="36" spans="2:12" s="6" customFormat="1" ht="15" customHeight="1" x14ac:dyDescent="0.2">
      <c r="B36" s="5172"/>
      <c r="C36" s="5176"/>
      <c r="D36" s="553" t="s">
        <v>196</v>
      </c>
      <c r="E36" s="606">
        <v>43</v>
      </c>
      <c r="F36" s="606">
        <v>46</v>
      </c>
      <c r="G36" s="607">
        <v>63</v>
      </c>
      <c r="H36" s="608">
        <v>66</v>
      </c>
      <c r="I36" s="608">
        <v>44</v>
      </c>
      <c r="J36" s="608">
        <v>54</v>
      </c>
      <c r="K36" s="608">
        <v>33</v>
      </c>
      <c r="L36" s="608">
        <v>35</v>
      </c>
    </row>
    <row r="37" spans="2:12" s="6" customFormat="1" ht="15" customHeight="1" x14ac:dyDescent="0.2">
      <c r="B37" s="5172"/>
      <c r="C37" s="5176"/>
      <c r="D37" s="553" t="s">
        <v>197</v>
      </c>
      <c r="E37" s="606">
        <v>19</v>
      </c>
      <c r="F37" s="606">
        <v>24</v>
      </c>
      <c r="G37" s="607">
        <v>58</v>
      </c>
      <c r="H37" s="608">
        <v>50</v>
      </c>
      <c r="I37" s="608">
        <v>25</v>
      </c>
      <c r="J37" s="608">
        <v>30</v>
      </c>
      <c r="K37" s="608">
        <v>42</v>
      </c>
      <c r="L37" s="608">
        <v>40</v>
      </c>
    </row>
    <row r="38" spans="2:12" s="6" customFormat="1" ht="15" customHeight="1" x14ac:dyDescent="0.2">
      <c r="B38" s="5172"/>
      <c r="C38" s="5176"/>
      <c r="D38" s="553" t="s">
        <v>198</v>
      </c>
      <c r="E38" s="606">
        <v>101</v>
      </c>
      <c r="F38" s="606">
        <v>89</v>
      </c>
      <c r="G38" s="607">
        <v>70</v>
      </c>
      <c r="H38" s="608">
        <v>120</v>
      </c>
      <c r="I38" s="608">
        <v>124</v>
      </c>
      <c r="J38" s="608">
        <v>86</v>
      </c>
      <c r="K38" s="608">
        <v>83</v>
      </c>
      <c r="L38" s="608">
        <v>86</v>
      </c>
    </row>
    <row r="39" spans="2:12" s="6" customFormat="1" ht="15" customHeight="1" x14ac:dyDescent="0.2">
      <c r="B39" s="5172"/>
      <c r="C39" s="5176"/>
      <c r="D39" s="553" t="s">
        <v>199</v>
      </c>
      <c r="E39" s="606">
        <v>48</v>
      </c>
      <c r="F39" s="606">
        <v>59</v>
      </c>
      <c r="G39" s="607">
        <v>94</v>
      </c>
      <c r="H39" s="608">
        <v>88</v>
      </c>
      <c r="I39" s="608">
        <v>67</v>
      </c>
      <c r="J39" s="608">
        <v>61</v>
      </c>
      <c r="K39" s="608">
        <v>53</v>
      </c>
      <c r="L39" s="608">
        <v>62</v>
      </c>
    </row>
    <row r="40" spans="2:12" s="6" customFormat="1" ht="15" customHeight="1" x14ac:dyDescent="0.2">
      <c r="B40" s="5172"/>
      <c r="C40" s="5176"/>
      <c r="D40" s="553" t="s">
        <v>200</v>
      </c>
      <c r="E40" s="606">
        <v>14</v>
      </c>
      <c r="F40" s="606">
        <v>14</v>
      </c>
      <c r="G40" s="607">
        <v>37</v>
      </c>
      <c r="H40" s="608">
        <v>21</v>
      </c>
      <c r="I40" s="608">
        <v>8</v>
      </c>
      <c r="J40" s="608">
        <v>17</v>
      </c>
      <c r="K40" s="608">
        <v>15</v>
      </c>
      <c r="L40" s="608">
        <v>15</v>
      </c>
    </row>
    <row r="41" spans="2:12" s="6" customFormat="1" ht="15" customHeight="1" x14ac:dyDescent="0.2">
      <c r="B41" s="5172"/>
      <c r="C41" s="5176"/>
      <c r="D41" s="553" t="s">
        <v>201</v>
      </c>
      <c r="E41" s="606">
        <v>109</v>
      </c>
      <c r="F41" s="606">
        <v>103</v>
      </c>
      <c r="G41" s="607">
        <v>80</v>
      </c>
      <c r="H41" s="608">
        <v>151</v>
      </c>
      <c r="I41" s="608">
        <v>132</v>
      </c>
      <c r="J41" s="608">
        <v>90</v>
      </c>
      <c r="K41" s="608">
        <v>103</v>
      </c>
      <c r="L41" s="608">
        <v>105</v>
      </c>
    </row>
    <row r="42" spans="2:12" s="6" customFormat="1" ht="15" customHeight="1" x14ac:dyDescent="0.2">
      <c r="B42" s="5172"/>
      <c r="C42" s="5177" t="s">
        <v>6</v>
      </c>
      <c r="D42" s="554" t="s">
        <v>181</v>
      </c>
      <c r="E42" s="609">
        <v>118</v>
      </c>
      <c r="F42" s="609">
        <v>128</v>
      </c>
      <c r="G42" s="610">
        <v>124</v>
      </c>
      <c r="H42" s="611">
        <v>104</v>
      </c>
      <c r="I42" s="611">
        <v>111</v>
      </c>
      <c r="J42" s="611">
        <v>117</v>
      </c>
      <c r="K42" s="611">
        <v>103</v>
      </c>
      <c r="L42" s="611">
        <v>86</v>
      </c>
    </row>
    <row r="43" spans="2:12" s="6" customFormat="1" ht="15" customHeight="1" x14ac:dyDescent="0.2">
      <c r="B43" s="5172"/>
      <c r="C43" s="5176"/>
      <c r="D43" s="553" t="s">
        <v>208</v>
      </c>
      <c r="E43" s="606">
        <v>44</v>
      </c>
      <c r="F43" s="606">
        <v>39</v>
      </c>
      <c r="G43" s="607">
        <v>46</v>
      </c>
      <c r="H43" s="608">
        <v>53</v>
      </c>
      <c r="I43" s="608">
        <v>36</v>
      </c>
      <c r="J43" s="608">
        <v>47</v>
      </c>
      <c r="K43" s="608">
        <v>24</v>
      </c>
      <c r="L43" s="608">
        <v>28</v>
      </c>
    </row>
    <row r="44" spans="2:12" s="6" customFormat="1" ht="15" customHeight="1" x14ac:dyDescent="0.2">
      <c r="B44" s="5172"/>
      <c r="C44" s="5176"/>
      <c r="D44" s="553" t="s">
        <v>209</v>
      </c>
      <c r="E44" s="617">
        <v>22</v>
      </c>
      <c r="F44" s="606">
        <v>33</v>
      </c>
      <c r="G44" s="607">
        <v>49</v>
      </c>
      <c r="H44" s="618">
        <v>47</v>
      </c>
      <c r="I44" s="608">
        <v>38</v>
      </c>
      <c r="J44" s="608">
        <v>58</v>
      </c>
      <c r="K44" s="608">
        <v>48</v>
      </c>
      <c r="L44" s="608">
        <v>46</v>
      </c>
    </row>
    <row r="45" spans="2:12" s="6" customFormat="1" ht="15" customHeight="1" x14ac:dyDescent="0.2">
      <c r="B45" s="5172"/>
      <c r="C45" s="5176"/>
      <c r="D45" s="553" t="s">
        <v>210</v>
      </c>
      <c r="E45" s="617">
        <v>25</v>
      </c>
      <c r="F45" s="606">
        <v>27</v>
      </c>
      <c r="G45" s="607">
        <v>36</v>
      </c>
      <c r="H45" s="618">
        <v>40</v>
      </c>
      <c r="I45" s="608">
        <v>45</v>
      </c>
      <c r="J45" s="608">
        <v>26</v>
      </c>
      <c r="K45" s="608">
        <v>49</v>
      </c>
      <c r="L45" s="608">
        <v>36</v>
      </c>
    </row>
    <row r="46" spans="2:12" s="6" customFormat="1" ht="15" customHeight="1" x14ac:dyDescent="0.2">
      <c r="B46" s="5172"/>
      <c r="C46" s="5176"/>
      <c r="D46" s="553" t="s">
        <v>183</v>
      </c>
      <c r="E46" s="606">
        <v>72</v>
      </c>
      <c r="F46" s="606">
        <v>71</v>
      </c>
      <c r="G46" s="607">
        <v>56</v>
      </c>
      <c r="H46" s="608">
        <v>75</v>
      </c>
      <c r="I46" s="608">
        <v>86</v>
      </c>
      <c r="J46" s="608">
        <v>74</v>
      </c>
      <c r="K46" s="608">
        <v>81</v>
      </c>
      <c r="L46" s="608">
        <v>44</v>
      </c>
    </row>
    <row r="47" spans="2:12" s="6" customFormat="1" ht="15" customHeight="1" x14ac:dyDescent="0.2">
      <c r="B47" s="5172"/>
      <c r="C47" s="5176"/>
      <c r="D47" s="553" t="s">
        <v>184</v>
      </c>
      <c r="E47" s="606">
        <v>57</v>
      </c>
      <c r="F47" s="606">
        <v>46</v>
      </c>
      <c r="G47" s="607">
        <v>59</v>
      </c>
      <c r="H47" s="608">
        <v>77</v>
      </c>
      <c r="I47" s="608">
        <v>60</v>
      </c>
      <c r="J47" s="608">
        <v>68</v>
      </c>
      <c r="K47" s="608">
        <v>36</v>
      </c>
      <c r="L47" s="608">
        <v>46</v>
      </c>
    </row>
    <row r="48" spans="2:12" s="6" customFormat="1" ht="15" customHeight="1" x14ac:dyDescent="0.2">
      <c r="B48" s="5172"/>
      <c r="C48" s="5176"/>
      <c r="D48" s="553" t="s">
        <v>211</v>
      </c>
      <c r="E48" s="606">
        <v>31</v>
      </c>
      <c r="F48" s="606">
        <v>41</v>
      </c>
      <c r="G48" s="607">
        <v>50</v>
      </c>
      <c r="H48" s="608">
        <v>39</v>
      </c>
      <c r="I48" s="608">
        <v>42</v>
      </c>
      <c r="J48" s="608">
        <v>46</v>
      </c>
      <c r="K48" s="608">
        <v>48</v>
      </c>
      <c r="L48" s="608">
        <v>48</v>
      </c>
    </row>
    <row r="49" spans="2:12" s="6" customFormat="1" ht="15" customHeight="1" x14ac:dyDescent="0.2">
      <c r="B49" s="5172"/>
      <c r="C49" s="5176"/>
      <c r="D49" s="553" t="s">
        <v>212</v>
      </c>
      <c r="E49" s="606">
        <v>7</v>
      </c>
      <c r="F49" s="606">
        <v>11</v>
      </c>
      <c r="G49" s="607">
        <v>14</v>
      </c>
      <c r="H49" s="608">
        <v>12</v>
      </c>
      <c r="I49" s="608">
        <v>9</v>
      </c>
      <c r="J49" s="608">
        <v>24</v>
      </c>
      <c r="K49" s="608">
        <v>21</v>
      </c>
      <c r="L49" s="608">
        <v>17</v>
      </c>
    </row>
    <row r="50" spans="2:12" s="6" customFormat="1" ht="15" customHeight="1" x14ac:dyDescent="0.2">
      <c r="B50" s="5172"/>
      <c r="C50" s="5176"/>
      <c r="D50" s="553" t="s">
        <v>213</v>
      </c>
      <c r="E50" s="606">
        <v>55</v>
      </c>
      <c r="F50" s="606">
        <v>66</v>
      </c>
      <c r="G50" s="607">
        <v>55</v>
      </c>
      <c r="H50" s="608">
        <v>72</v>
      </c>
      <c r="I50" s="608">
        <v>72</v>
      </c>
      <c r="J50" s="608">
        <v>85</v>
      </c>
      <c r="K50" s="608">
        <v>57</v>
      </c>
      <c r="L50" s="608">
        <v>72</v>
      </c>
    </row>
    <row r="51" spans="2:12" s="6" customFormat="1" ht="15" customHeight="1" x14ac:dyDescent="0.2">
      <c r="B51" s="5172"/>
      <c r="C51" s="5176"/>
      <c r="D51" s="553" t="s">
        <v>214</v>
      </c>
      <c r="E51" s="606">
        <v>70</v>
      </c>
      <c r="F51" s="606">
        <v>72</v>
      </c>
      <c r="G51" s="607">
        <v>66</v>
      </c>
      <c r="H51" s="608">
        <v>77</v>
      </c>
      <c r="I51" s="608">
        <v>72</v>
      </c>
      <c r="J51" s="608">
        <v>95</v>
      </c>
      <c r="K51" s="608">
        <v>85</v>
      </c>
      <c r="L51" s="608">
        <v>85</v>
      </c>
    </row>
    <row r="52" spans="2:12" s="6" customFormat="1" ht="15" customHeight="1" x14ac:dyDescent="0.2">
      <c r="B52" s="5172"/>
      <c r="C52" s="5178"/>
      <c r="D52" s="555" t="s">
        <v>215</v>
      </c>
      <c r="E52" s="619">
        <v>1</v>
      </c>
      <c r="F52" s="612"/>
      <c r="G52" s="613"/>
      <c r="H52" s="620"/>
      <c r="I52" s="614"/>
      <c r="J52" s="614">
        <v>1</v>
      </c>
      <c r="K52" s="614"/>
      <c r="L52" s="614"/>
    </row>
    <row r="53" spans="2:12" s="6" customFormat="1" ht="15" customHeight="1" x14ac:dyDescent="0.2">
      <c r="B53" s="5172"/>
      <c r="C53" s="5177" t="s">
        <v>11</v>
      </c>
      <c r="D53" s="553" t="s">
        <v>202</v>
      </c>
      <c r="E53" s="606">
        <v>43</v>
      </c>
      <c r="F53" s="606">
        <v>60</v>
      </c>
      <c r="G53" s="607">
        <v>86</v>
      </c>
      <c r="H53" s="608">
        <v>74</v>
      </c>
      <c r="I53" s="608">
        <v>93</v>
      </c>
      <c r="J53" s="608">
        <v>98</v>
      </c>
      <c r="K53" s="608">
        <v>85</v>
      </c>
      <c r="L53" s="608">
        <v>35</v>
      </c>
    </row>
    <row r="54" spans="2:12" s="6" customFormat="1" ht="15" customHeight="1" x14ac:dyDescent="0.2">
      <c r="B54" s="5172"/>
      <c r="C54" s="5176"/>
      <c r="D54" s="553" t="s">
        <v>203</v>
      </c>
      <c r="E54" s="606">
        <v>27</v>
      </c>
      <c r="F54" s="606">
        <v>20</v>
      </c>
      <c r="G54" s="607">
        <v>54</v>
      </c>
      <c r="H54" s="608">
        <v>70</v>
      </c>
      <c r="I54" s="608">
        <v>61</v>
      </c>
      <c r="J54" s="608">
        <v>48</v>
      </c>
      <c r="K54" s="608">
        <v>59</v>
      </c>
      <c r="L54" s="608">
        <v>42</v>
      </c>
    </row>
    <row r="55" spans="2:12" s="6" customFormat="1" ht="15" customHeight="1" x14ac:dyDescent="0.2">
      <c r="B55" s="5172"/>
      <c r="C55" s="5176"/>
      <c r="D55" s="553" t="s">
        <v>204</v>
      </c>
      <c r="E55" s="606">
        <v>22</v>
      </c>
      <c r="F55" s="606">
        <v>18</v>
      </c>
      <c r="G55" s="607">
        <v>24</v>
      </c>
      <c r="H55" s="608">
        <v>30</v>
      </c>
      <c r="I55" s="608">
        <v>28</v>
      </c>
      <c r="J55" s="608">
        <v>29</v>
      </c>
      <c r="K55" s="608">
        <v>37</v>
      </c>
      <c r="L55" s="608">
        <v>14</v>
      </c>
    </row>
    <row r="56" spans="2:12" s="6" customFormat="1" ht="15" customHeight="1" x14ac:dyDescent="0.2">
      <c r="B56" s="5172"/>
      <c r="C56" s="5176"/>
      <c r="D56" s="553" t="s">
        <v>205</v>
      </c>
      <c r="E56" s="606">
        <v>10</v>
      </c>
      <c r="F56" s="606">
        <v>14</v>
      </c>
      <c r="G56" s="607">
        <v>32</v>
      </c>
      <c r="H56" s="608">
        <v>42</v>
      </c>
      <c r="I56" s="608">
        <v>33</v>
      </c>
      <c r="J56" s="608">
        <v>26</v>
      </c>
      <c r="K56" s="608">
        <v>24</v>
      </c>
      <c r="L56" s="608">
        <v>5</v>
      </c>
    </row>
    <row r="57" spans="2:12" s="6" customFormat="1" ht="15" customHeight="1" x14ac:dyDescent="0.2">
      <c r="B57" s="5172"/>
      <c r="C57" s="5176"/>
      <c r="D57" s="553" t="s">
        <v>206</v>
      </c>
      <c r="E57" s="606">
        <v>53</v>
      </c>
      <c r="F57" s="606">
        <v>74</v>
      </c>
      <c r="G57" s="607">
        <v>79</v>
      </c>
      <c r="H57" s="608">
        <v>104</v>
      </c>
      <c r="I57" s="608">
        <v>115</v>
      </c>
      <c r="J57" s="608">
        <v>87</v>
      </c>
      <c r="K57" s="608">
        <v>98</v>
      </c>
      <c r="L57" s="608">
        <v>52</v>
      </c>
    </row>
    <row r="58" spans="2:12" s="6" customFormat="1" ht="15" customHeight="1" x14ac:dyDescent="0.2">
      <c r="B58" s="5173"/>
      <c r="C58" s="5176"/>
      <c r="D58" s="553" t="s">
        <v>207</v>
      </c>
      <c r="E58" s="606">
        <v>68</v>
      </c>
      <c r="F58" s="606">
        <v>101</v>
      </c>
      <c r="G58" s="607">
        <v>146</v>
      </c>
      <c r="H58" s="608">
        <v>131</v>
      </c>
      <c r="I58" s="608">
        <v>190</v>
      </c>
      <c r="J58" s="608">
        <v>182</v>
      </c>
      <c r="K58" s="608">
        <v>125</v>
      </c>
      <c r="L58" s="608">
        <v>67</v>
      </c>
    </row>
    <row r="59" spans="2:12" s="6" customFormat="1" ht="15" customHeight="1" x14ac:dyDescent="0.2">
      <c r="B59" s="5171" t="s">
        <v>10</v>
      </c>
      <c r="C59" s="5177" t="s">
        <v>6</v>
      </c>
      <c r="D59" s="554" t="s">
        <v>181</v>
      </c>
      <c r="E59" s="609">
        <v>98</v>
      </c>
      <c r="F59" s="609">
        <v>71</v>
      </c>
      <c r="G59" s="610">
        <v>96</v>
      </c>
      <c r="H59" s="611">
        <v>79</v>
      </c>
      <c r="I59" s="611">
        <v>92</v>
      </c>
      <c r="J59" s="611">
        <v>102</v>
      </c>
      <c r="K59" s="611">
        <v>76</v>
      </c>
      <c r="L59" s="611">
        <v>88</v>
      </c>
    </row>
    <row r="60" spans="2:12" s="6" customFormat="1" ht="15" customHeight="1" x14ac:dyDescent="0.2">
      <c r="B60" s="5172"/>
      <c r="C60" s="5176"/>
      <c r="D60" s="553" t="s">
        <v>224</v>
      </c>
      <c r="E60" s="606">
        <v>47</v>
      </c>
      <c r="F60" s="606">
        <v>66</v>
      </c>
      <c r="G60" s="607">
        <v>63</v>
      </c>
      <c r="H60" s="608">
        <v>58</v>
      </c>
      <c r="I60" s="608">
        <v>74</v>
      </c>
      <c r="J60" s="608">
        <v>86</v>
      </c>
      <c r="K60" s="608">
        <v>75</v>
      </c>
      <c r="L60" s="608">
        <v>73</v>
      </c>
    </row>
    <row r="61" spans="2:12" s="6" customFormat="1" ht="15" customHeight="1" x14ac:dyDescent="0.2">
      <c r="B61" s="5172"/>
      <c r="C61" s="5176"/>
      <c r="D61" s="553" t="s">
        <v>183</v>
      </c>
      <c r="E61" s="606">
        <v>89</v>
      </c>
      <c r="F61" s="606">
        <v>87</v>
      </c>
      <c r="G61" s="607">
        <v>100</v>
      </c>
      <c r="H61" s="608">
        <v>63</v>
      </c>
      <c r="I61" s="608">
        <v>103</v>
      </c>
      <c r="J61" s="608">
        <v>93</v>
      </c>
      <c r="K61" s="608">
        <v>104</v>
      </c>
      <c r="L61" s="608">
        <v>102</v>
      </c>
    </row>
    <row r="62" spans="2:12" s="6" customFormat="1" ht="15" customHeight="1" x14ac:dyDescent="0.2">
      <c r="B62" s="5172"/>
      <c r="C62" s="5176"/>
      <c r="D62" s="553" t="s">
        <v>225</v>
      </c>
      <c r="E62" s="606">
        <v>130</v>
      </c>
      <c r="F62" s="606">
        <v>119</v>
      </c>
      <c r="G62" s="607">
        <v>118</v>
      </c>
      <c r="H62" s="608">
        <v>109</v>
      </c>
      <c r="I62" s="608">
        <v>138</v>
      </c>
      <c r="J62" s="608">
        <v>140</v>
      </c>
      <c r="K62" s="608">
        <v>139</v>
      </c>
      <c r="L62" s="608">
        <v>143</v>
      </c>
    </row>
    <row r="63" spans="2:12" s="6" customFormat="1" ht="15" customHeight="1" x14ac:dyDescent="0.2">
      <c r="B63" s="5172"/>
      <c r="C63" s="5176"/>
      <c r="D63" s="553" t="s">
        <v>184</v>
      </c>
      <c r="E63" s="606">
        <v>80</v>
      </c>
      <c r="F63" s="606">
        <v>67</v>
      </c>
      <c r="G63" s="607">
        <v>83</v>
      </c>
      <c r="H63" s="608">
        <v>68</v>
      </c>
      <c r="I63" s="608">
        <v>83</v>
      </c>
      <c r="J63" s="608">
        <v>78</v>
      </c>
      <c r="K63" s="608">
        <v>95</v>
      </c>
      <c r="L63" s="608">
        <v>98</v>
      </c>
    </row>
    <row r="64" spans="2:12" s="6" customFormat="1" ht="15" customHeight="1" x14ac:dyDescent="0.2">
      <c r="B64" s="5172"/>
      <c r="C64" s="5178"/>
      <c r="D64" s="555" t="s">
        <v>226</v>
      </c>
      <c r="E64" s="612">
        <v>4</v>
      </c>
      <c r="F64" s="612">
        <v>1</v>
      </c>
      <c r="G64" s="613">
        <v>4</v>
      </c>
      <c r="H64" s="614">
        <v>5</v>
      </c>
      <c r="I64" s="614">
        <v>21</v>
      </c>
      <c r="J64" s="614">
        <v>27</v>
      </c>
      <c r="K64" s="614">
        <v>27</v>
      </c>
      <c r="L64" s="614">
        <v>28</v>
      </c>
    </row>
    <row r="65" spans="2:12" s="6" customFormat="1" ht="15" customHeight="1" x14ac:dyDescent="0.2">
      <c r="B65" s="5172"/>
      <c r="C65" s="5177" t="s">
        <v>11</v>
      </c>
      <c r="D65" s="553" t="s">
        <v>202</v>
      </c>
      <c r="E65" s="606">
        <v>89</v>
      </c>
      <c r="F65" s="606">
        <v>94</v>
      </c>
      <c r="G65" s="607">
        <v>87</v>
      </c>
      <c r="H65" s="608">
        <v>78</v>
      </c>
      <c r="I65" s="608">
        <v>66</v>
      </c>
      <c r="J65" s="608">
        <v>72</v>
      </c>
      <c r="K65" s="608">
        <v>64</v>
      </c>
      <c r="L65" s="608">
        <v>55</v>
      </c>
    </row>
    <row r="66" spans="2:12" s="6" customFormat="1" ht="15" customHeight="1" x14ac:dyDescent="0.2">
      <c r="B66" s="5172"/>
      <c r="C66" s="5176"/>
      <c r="D66" s="553" t="s">
        <v>217</v>
      </c>
      <c r="E66" s="606">
        <v>37</v>
      </c>
      <c r="F66" s="606">
        <v>41</v>
      </c>
      <c r="G66" s="607">
        <v>55</v>
      </c>
      <c r="H66" s="608">
        <v>47</v>
      </c>
      <c r="I66" s="608">
        <v>53</v>
      </c>
      <c r="J66" s="608">
        <v>37</v>
      </c>
      <c r="K66" s="608">
        <v>35</v>
      </c>
      <c r="L66" s="608">
        <v>41</v>
      </c>
    </row>
    <row r="67" spans="2:12" s="6" customFormat="1" ht="15" customHeight="1" x14ac:dyDescent="0.2">
      <c r="B67" s="5172"/>
      <c r="C67" s="5176"/>
      <c r="D67" s="553" t="s">
        <v>218</v>
      </c>
      <c r="E67" s="606">
        <v>69</v>
      </c>
      <c r="F67" s="606">
        <v>70</v>
      </c>
      <c r="G67" s="607">
        <v>57</v>
      </c>
      <c r="H67" s="608">
        <v>63</v>
      </c>
      <c r="I67" s="608">
        <v>45</v>
      </c>
      <c r="J67" s="608">
        <v>54</v>
      </c>
      <c r="K67" s="608">
        <v>47</v>
      </c>
      <c r="L67" s="608">
        <v>53</v>
      </c>
    </row>
    <row r="68" spans="2:12" s="6" customFormat="1" ht="15" customHeight="1" x14ac:dyDescent="0.2">
      <c r="B68" s="5172"/>
      <c r="C68" s="5176"/>
      <c r="D68" s="553" t="s">
        <v>219</v>
      </c>
      <c r="E68" s="606">
        <v>93</v>
      </c>
      <c r="F68" s="606">
        <v>82</v>
      </c>
      <c r="G68" s="607">
        <v>92</v>
      </c>
      <c r="H68" s="608">
        <v>95</v>
      </c>
      <c r="I68" s="608">
        <v>82</v>
      </c>
      <c r="J68" s="608">
        <v>80</v>
      </c>
      <c r="K68" s="608">
        <v>76</v>
      </c>
      <c r="L68" s="608">
        <v>84</v>
      </c>
    </row>
    <row r="69" spans="2:12" s="6" customFormat="1" ht="15" customHeight="1" x14ac:dyDescent="0.2">
      <c r="B69" s="5172"/>
      <c r="C69" s="5176"/>
      <c r="D69" s="553" t="s">
        <v>220</v>
      </c>
      <c r="E69" s="606">
        <v>89</v>
      </c>
      <c r="F69" s="606">
        <v>118</v>
      </c>
      <c r="G69" s="607">
        <v>133</v>
      </c>
      <c r="H69" s="608">
        <v>100</v>
      </c>
      <c r="I69" s="608">
        <v>101</v>
      </c>
      <c r="J69" s="608">
        <v>123</v>
      </c>
      <c r="K69" s="608">
        <v>119</v>
      </c>
      <c r="L69" s="608">
        <v>118</v>
      </c>
    </row>
    <row r="70" spans="2:12" s="6" customFormat="1" ht="15" customHeight="1" x14ac:dyDescent="0.2">
      <c r="B70" s="5172"/>
      <c r="C70" s="5176"/>
      <c r="D70" s="553" t="s">
        <v>221</v>
      </c>
      <c r="E70" s="606">
        <v>55</v>
      </c>
      <c r="F70" s="606">
        <v>59</v>
      </c>
      <c r="G70" s="607">
        <v>68</v>
      </c>
      <c r="H70" s="608">
        <v>65</v>
      </c>
      <c r="I70" s="608">
        <v>45</v>
      </c>
      <c r="J70" s="608">
        <v>50</v>
      </c>
      <c r="K70" s="608">
        <v>61</v>
      </c>
      <c r="L70" s="608">
        <v>49</v>
      </c>
    </row>
    <row r="71" spans="2:12" s="6" customFormat="1" ht="15" customHeight="1" x14ac:dyDescent="0.2">
      <c r="B71" s="5172"/>
      <c r="C71" s="5176"/>
      <c r="D71" s="553" t="s">
        <v>222</v>
      </c>
      <c r="E71" s="606">
        <v>55</v>
      </c>
      <c r="F71" s="606">
        <v>53</v>
      </c>
      <c r="G71" s="607">
        <v>58</v>
      </c>
      <c r="H71" s="608">
        <v>80</v>
      </c>
      <c r="I71" s="608">
        <v>69</v>
      </c>
      <c r="J71" s="608">
        <v>66</v>
      </c>
      <c r="K71" s="608">
        <v>63</v>
      </c>
      <c r="L71" s="608">
        <v>60</v>
      </c>
    </row>
    <row r="72" spans="2:12" s="6" customFormat="1" ht="15" customHeight="1" x14ac:dyDescent="0.2">
      <c r="B72" s="5172"/>
      <c r="C72" s="5176"/>
      <c r="D72" s="553" t="s">
        <v>223</v>
      </c>
      <c r="E72" s="606">
        <v>26</v>
      </c>
      <c r="F72" s="606">
        <v>40</v>
      </c>
      <c r="G72" s="607">
        <v>29</v>
      </c>
      <c r="H72" s="608">
        <v>30</v>
      </c>
      <c r="I72" s="608">
        <v>27</v>
      </c>
      <c r="J72" s="608">
        <v>31</v>
      </c>
      <c r="K72" s="608">
        <v>50</v>
      </c>
      <c r="L72" s="608">
        <v>34</v>
      </c>
    </row>
    <row r="73" spans="2:12" s="6" customFormat="1" ht="15" customHeight="1" x14ac:dyDescent="0.2">
      <c r="B73" s="5172"/>
      <c r="C73" s="5177" t="s">
        <v>7</v>
      </c>
      <c r="D73" s="554" t="s">
        <v>168</v>
      </c>
      <c r="E73" s="609">
        <v>141</v>
      </c>
      <c r="F73" s="609">
        <v>81</v>
      </c>
      <c r="G73" s="610">
        <v>96</v>
      </c>
      <c r="H73" s="611">
        <v>89</v>
      </c>
      <c r="I73" s="611">
        <v>97</v>
      </c>
      <c r="J73" s="611">
        <v>115</v>
      </c>
      <c r="K73" s="611">
        <v>133</v>
      </c>
      <c r="L73" s="611">
        <v>152</v>
      </c>
    </row>
    <row r="74" spans="2:12" s="6" customFormat="1" ht="15" customHeight="1" x14ac:dyDescent="0.2">
      <c r="B74" s="5172"/>
      <c r="C74" s="5176"/>
      <c r="D74" s="553" t="s">
        <v>169</v>
      </c>
      <c r="E74" s="606">
        <v>39</v>
      </c>
      <c r="F74" s="606">
        <v>41</v>
      </c>
      <c r="G74" s="607">
        <v>41</v>
      </c>
      <c r="H74" s="608">
        <v>44</v>
      </c>
      <c r="I74" s="608">
        <v>42</v>
      </c>
      <c r="J74" s="608">
        <v>48</v>
      </c>
      <c r="K74" s="608">
        <v>53</v>
      </c>
      <c r="L74" s="608">
        <v>42</v>
      </c>
    </row>
    <row r="75" spans="2:12" s="6" customFormat="1" ht="15" customHeight="1" x14ac:dyDescent="0.2">
      <c r="B75" s="5172"/>
      <c r="C75" s="5176"/>
      <c r="D75" s="553" t="s">
        <v>170</v>
      </c>
      <c r="E75" s="606">
        <v>50</v>
      </c>
      <c r="F75" s="606">
        <v>45</v>
      </c>
      <c r="G75" s="607">
        <v>49</v>
      </c>
      <c r="H75" s="608">
        <v>53</v>
      </c>
      <c r="I75" s="608">
        <v>68</v>
      </c>
      <c r="J75" s="608">
        <v>54</v>
      </c>
      <c r="K75" s="608">
        <v>65</v>
      </c>
      <c r="L75" s="608">
        <v>75</v>
      </c>
    </row>
    <row r="76" spans="2:12" s="6" customFormat="1" ht="15" customHeight="1" x14ac:dyDescent="0.2">
      <c r="B76" s="5173"/>
      <c r="C76" s="5178"/>
      <c r="D76" s="555" t="s">
        <v>216</v>
      </c>
      <c r="E76" s="612">
        <v>39</v>
      </c>
      <c r="F76" s="612">
        <v>34</v>
      </c>
      <c r="G76" s="613">
        <v>45</v>
      </c>
      <c r="H76" s="614">
        <v>28</v>
      </c>
      <c r="I76" s="614">
        <v>22</v>
      </c>
      <c r="J76" s="614">
        <v>25</v>
      </c>
      <c r="K76" s="614">
        <v>24</v>
      </c>
      <c r="L76" s="614">
        <v>43</v>
      </c>
    </row>
    <row r="77" spans="2:12" s="7" customFormat="1" ht="15" x14ac:dyDescent="0.25">
      <c r="C77" s="5174" t="s">
        <v>76</v>
      </c>
      <c r="D77" s="5175"/>
      <c r="E77" s="623">
        <f>SUM(E6:E76)</f>
        <v>4020</v>
      </c>
      <c r="F77" s="623">
        <f t="shared" ref="F77:L77" si="0">SUM(F6:F76)</f>
        <v>4019</v>
      </c>
      <c r="G77" s="623">
        <f t="shared" si="0"/>
        <v>4245</v>
      </c>
      <c r="H77" s="623">
        <f t="shared" si="0"/>
        <v>4574</v>
      </c>
      <c r="I77" s="623">
        <f t="shared" si="0"/>
        <v>4341</v>
      </c>
      <c r="J77" s="623">
        <f t="shared" si="0"/>
        <v>4427</v>
      </c>
      <c r="K77" s="623">
        <f t="shared" si="0"/>
        <v>4287</v>
      </c>
      <c r="L77" s="623">
        <f t="shared" si="0"/>
        <v>4036</v>
      </c>
    </row>
    <row r="79" spans="2:12" x14ac:dyDescent="0.2">
      <c r="C79" s="322" t="s">
        <v>0</v>
      </c>
    </row>
  </sheetData>
  <mergeCells count="20">
    <mergeCell ref="B6:B22"/>
    <mergeCell ref="B23:B32"/>
    <mergeCell ref="B33:B58"/>
    <mergeCell ref="B59:B76"/>
    <mergeCell ref="C1:L1"/>
    <mergeCell ref="C2:L2"/>
    <mergeCell ref="C3:L3"/>
    <mergeCell ref="C20:C22"/>
    <mergeCell ref="C6:C15"/>
    <mergeCell ref="C16:C19"/>
    <mergeCell ref="C27:C29"/>
    <mergeCell ref="C30:C32"/>
    <mergeCell ref="C23:C26"/>
    <mergeCell ref="C59:C64"/>
    <mergeCell ref="C77:D77"/>
    <mergeCell ref="C33:C41"/>
    <mergeCell ref="C53:C58"/>
    <mergeCell ref="C42:C52"/>
    <mergeCell ref="C73:C76"/>
    <mergeCell ref="C65:C72"/>
  </mergeCells>
  <printOptions horizontalCentered="1" verticalCentered="1"/>
  <pageMargins left="1.0236220472440944" right="0.27559055118110237" top="0.31496062992125984" bottom="0.19685039370078741" header="0" footer="0.31496062992125984"/>
  <pageSetup scale="60" orientation="portrait" horizontalDpi="1200" verticalDpi="1200" r:id="rId1"/>
  <headerFooter alignWithMargins="0">
    <oddHeader>&amp;LANEXO ESTADÍSTICO 2008&amp;CCOBERTURA EDUCATIVA&amp;R&amp;G</oddHeader>
    <oddFooter>&amp;R24</oddFooter>
  </headerFooter>
  <ignoredErrors>
    <ignoredError sqref="E77:L77" formulaRange="1"/>
  </ignoredError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P39"/>
  <sheetViews>
    <sheetView showGridLines="0" zoomScaleNormal="100" zoomScaleSheetLayoutView="100" workbookViewId="0">
      <selection activeCell="A2" sqref="A2"/>
    </sheetView>
  </sheetViews>
  <sheetFormatPr baseColWidth="10" defaultRowHeight="12.75" x14ac:dyDescent="0.2"/>
  <cols>
    <col min="1" max="1" width="17.7109375" customWidth="1"/>
    <col min="2" max="2" width="12.7109375" customWidth="1"/>
    <col min="3" max="16" width="9.7109375" customWidth="1"/>
    <col min="257" max="257" width="1.7109375" customWidth="1"/>
    <col min="258" max="258" width="20.85546875" customWidth="1"/>
    <col min="259" max="264" width="12.7109375" customWidth="1"/>
    <col min="265" max="265" width="11.42578125" customWidth="1"/>
    <col min="267" max="267" width="2.7109375" customWidth="1"/>
    <col min="513" max="513" width="1.7109375" customWidth="1"/>
    <col min="514" max="514" width="20.85546875" customWidth="1"/>
    <col min="515" max="520" width="12.7109375" customWidth="1"/>
    <col min="521" max="521" width="11.42578125" customWidth="1"/>
    <col min="523" max="523" width="2.7109375" customWidth="1"/>
    <col min="769" max="769" width="1.7109375" customWidth="1"/>
    <col min="770" max="770" width="20.85546875" customWidth="1"/>
    <col min="771" max="776" width="12.7109375" customWidth="1"/>
    <col min="777" max="777" width="11.42578125" customWidth="1"/>
    <col min="779" max="779" width="2.7109375" customWidth="1"/>
    <col min="1025" max="1025" width="1.7109375" customWidth="1"/>
    <col min="1026" max="1026" width="20.85546875" customWidth="1"/>
    <col min="1027" max="1032" width="12.7109375" customWidth="1"/>
    <col min="1033" max="1033" width="11.42578125" customWidth="1"/>
    <col min="1035" max="1035" width="2.7109375" customWidth="1"/>
    <col min="1281" max="1281" width="1.7109375" customWidth="1"/>
    <col min="1282" max="1282" width="20.85546875" customWidth="1"/>
    <col min="1283" max="1288" width="12.7109375" customWidth="1"/>
    <col min="1289" max="1289" width="11.42578125" customWidth="1"/>
    <col min="1291" max="1291" width="2.7109375" customWidth="1"/>
    <col min="1537" max="1537" width="1.7109375" customWidth="1"/>
    <col min="1538" max="1538" width="20.85546875" customWidth="1"/>
    <col min="1539" max="1544" width="12.7109375" customWidth="1"/>
    <col min="1545" max="1545" width="11.42578125" customWidth="1"/>
    <col min="1547" max="1547" width="2.7109375" customWidth="1"/>
    <col min="1793" max="1793" width="1.7109375" customWidth="1"/>
    <col min="1794" max="1794" width="20.85546875" customWidth="1"/>
    <col min="1795" max="1800" width="12.7109375" customWidth="1"/>
    <col min="1801" max="1801" width="11.42578125" customWidth="1"/>
    <col min="1803" max="1803" width="2.7109375" customWidth="1"/>
    <col min="2049" max="2049" width="1.7109375" customWidth="1"/>
    <col min="2050" max="2050" width="20.85546875" customWidth="1"/>
    <col min="2051" max="2056" width="12.7109375" customWidth="1"/>
    <col min="2057" max="2057" width="11.42578125" customWidth="1"/>
    <col min="2059" max="2059" width="2.7109375" customWidth="1"/>
    <col min="2305" max="2305" width="1.7109375" customWidth="1"/>
    <col min="2306" max="2306" width="20.85546875" customWidth="1"/>
    <col min="2307" max="2312" width="12.7109375" customWidth="1"/>
    <col min="2313" max="2313" width="11.42578125" customWidth="1"/>
    <col min="2315" max="2315" width="2.7109375" customWidth="1"/>
    <col min="2561" max="2561" width="1.7109375" customWidth="1"/>
    <col min="2562" max="2562" width="20.85546875" customWidth="1"/>
    <col min="2563" max="2568" width="12.7109375" customWidth="1"/>
    <col min="2569" max="2569" width="11.42578125" customWidth="1"/>
    <col min="2571" max="2571" width="2.7109375" customWidth="1"/>
    <col min="2817" max="2817" width="1.7109375" customWidth="1"/>
    <col min="2818" max="2818" width="20.85546875" customWidth="1"/>
    <col min="2819" max="2824" width="12.7109375" customWidth="1"/>
    <col min="2825" max="2825" width="11.42578125" customWidth="1"/>
    <col min="2827" max="2827" width="2.7109375" customWidth="1"/>
    <col min="3073" max="3073" width="1.7109375" customWidth="1"/>
    <col min="3074" max="3074" width="20.85546875" customWidth="1"/>
    <col min="3075" max="3080" width="12.7109375" customWidth="1"/>
    <col min="3081" max="3081" width="11.42578125" customWidth="1"/>
    <col min="3083" max="3083" width="2.7109375" customWidth="1"/>
    <col min="3329" max="3329" width="1.7109375" customWidth="1"/>
    <col min="3330" max="3330" width="20.85546875" customWidth="1"/>
    <col min="3331" max="3336" width="12.7109375" customWidth="1"/>
    <col min="3337" max="3337" width="11.42578125" customWidth="1"/>
    <col min="3339" max="3339" width="2.7109375" customWidth="1"/>
    <col min="3585" max="3585" width="1.7109375" customWidth="1"/>
    <col min="3586" max="3586" width="20.85546875" customWidth="1"/>
    <col min="3587" max="3592" width="12.7109375" customWidth="1"/>
    <col min="3593" max="3593" width="11.42578125" customWidth="1"/>
    <col min="3595" max="3595" width="2.7109375" customWidth="1"/>
    <col min="3841" max="3841" width="1.7109375" customWidth="1"/>
    <col min="3842" max="3842" width="20.85546875" customWidth="1"/>
    <col min="3843" max="3848" width="12.7109375" customWidth="1"/>
    <col min="3849" max="3849" width="11.42578125" customWidth="1"/>
    <col min="3851" max="3851" width="2.7109375" customWidth="1"/>
    <col min="4097" max="4097" width="1.7109375" customWidth="1"/>
    <col min="4098" max="4098" width="20.85546875" customWidth="1"/>
    <col min="4099" max="4104" width="12.7109375" customWidth="1"/>
    <col min="4105" max="4105" width="11.42578125" customWidth="1"/>
    <col min="4107" max="4107" width="2.7109375" customWidth="1"/>
    <col min="4353" max="4353" width="1.7109375" customWidth="1"/>
    <col min="4354" max="4354" width="20.85546875" customWidth="1"/>
    <col min="4355" max="4360" width="12.7109375" customWidth="1"/>
    <col min="4361" max="4361" width="11.42578125" customWidth="1"/>
    <col min="4363" max="4363" width="2.7109375" customWidth="1"/>
    <col min="4609" max="4609" width="1.7109375" customWidth="1"/>
    <col min="4610" max="4610" width="20.85546875" customWidth="1"/>
    <col min="4611" max="4616" width="12.7109375" customWidth="1"/>
    <col min="4617" max="4617" width="11.42578125" customWidth="1"/>
    <col min="4619" max="4619" width="2.7109375" customWidth="1"/>
    <col min="4865" max="4865" width="1.7109375" customWidth="1"/>
    <col min="4866" max="4866" width="20.85546875" customWidth="1"/>
    <col min="4867" max="4872" width="12.7109375" customWidth="1"/>
    <col min="4873" max="4873" width="11.42578125" customWidth="1"/>
    <col min="4875" max="4875" width="2.7109375" customWidth="1"/>
    <col min="5121" max="5121" width="1.7109375" customWidth="1"/>
    <col min="5122" max="5122" width="20.85546875" customWidth="1"/>
    <col min="5123" max="5128" width="12.7109375" customWidth="1"/>
    <col min="5129" max="5129" width="11.42578125" customWidth="1"/>
    <col min="5131" max="5131" width="2.7109375" customWidth="1"/>
    <col min="5377" max="5377" width="1.7109375" customWidth="1"/>
    <col min="5378" max="5378" width="20.85546875" customWidth="1"/>
    <col min="5379" max="5384" width="12.7109375" customWidth="1"/>
    <col min="5385" max="5385" width="11.42578125" customWidth="1"/>
    <col min="5387" max="5387" width="2.7109375" customWidth="1"/>
    <col min="5633" max="5633" width="1.7109375" customWidth="1"/>
    <col min="5634" max="5634" width="20.85546875" customWidth="1"/>
    <col min="5635" max="5640" width="12.7109375" customWidth="1"/>
    <col min="5641" max="5641" width="11.42578125" customWidth="1"/>
    <col min="5643" max="5643" width="2.7109375" customWidth="1"/>
    <col min="5889" max="5889" width="1.7109375" customWidth="1"/>
    <col min="5890" max="5890" width="20.85546875" customWidth="1"/>
    <col min="5891" max="5896" width="12.7109375" customWidth="1"/>
    <col min="5897" max="5897" width="11.42578125" customWidth="1"/>
    <col min="5899" max="5899" width="2.7109375" customWidth="1"/>
    <col min="6145" max="6145" width="1.7109375" customWidth="1"/>
    <col min="6146" max="6146" width="20.85546875" customWidth="1"/>
    <col min="6147" max="6152" width="12.7109375" customWidth="1"/>
    <col min="6153" max="6153" width="11.42578125" customWidth="1"/>
    <col min="6155" max="6155" width="2.7109375" customWidth="1"/>
    <col min="6401" max="6401" width="1.7109375" customWidth="1"/>
    <col min="6402" max="6402" width="20.85546875" customWidth="1"/>
    <col min="6403" max="6408" width="12.7109375" customWidth="1"/>
    <col min="6409" max="6409" width="11.42578125" customWidth="1"/>
    <col min="6411" max="6411" width="2.7109375" customWidth="1"/>
    <col min="6657" max="6657" width="1.7109375" customWidth="1"/>
    <col min="6658" max="6658" width="20.85546875" customWidth="1"/>
    <col min="6659" max="6664" width="12.7109375" customWidth="1"/>
    <col min="6665" max="6665" width="11.42578125" customWidth="1"/>
    <col min="6667" max="6667" width="2.7109375" customWidth="1"/>
    <col min="6913" max="6913" width="1.7109375" customWidth="1"/>
    <col min="6914" max="6914" width="20.85546875" customWidth="1"/>
    <col min="6915" max="6920" width="12.7109375" customWidth="1"/>
    <col min="6921" max="6921" width="11.42578125" customWidth="1"/>
    <col min="6923" max="6923" width="2.7109375" customWidth="1"/>
    <col min="7169" max="7169" width="1.7109375" customWidth="1"/>
    <col min="7170" max="7170" width="20.85546875" customWidth="1"/>
    <col min="7171" max="7176" width="12.7109375" customWidth="1"/>
    <col min="7177" max="7177" width="11.42578125" customWidth="1"/>
    <col min="7179" max="7179" width="2.7109375" customWidth="1"/>
    <col min="7425" max="7425" width="1.7109375" customWidth="1"/>
    <col min="7426" max="7426" width="20.85546875" customWidth="1"/>
    <col min="7427" max="7432" width="12.7109375" customWidth="1"/>
    <col min="7433" max="7433" width="11.42578125" customWidth="1"/>
    <col min="7435" max="7435" width="2.7109375" customWidth="1"/>
    <col min="7681" max="7681" width="1.7109375" customWidth="1"/>
    <col min="7682" max="7682" width="20.85546875" customWidth="1"/>
    <col min="7683" max="7688" width="12.7109375" customWidth="1"/>
    <col min="7689" max="7689" width="11.42578125" customWidth="1"/>
    <col min="7691" max="7691" width="2.7109375" customWidth="1"/>
    <col min="7937" max="7937" width="1.7109375" customWidth="1"/>
    <col min="7938" max="7938" width="20.85546875" customWidth="1"/>
    <col min="7939" max="7944" width="12.7109375" customWidth="1"/>
    <col min="7945" max="7945" width="11.42578125" customWidth="1"/>
    <col min="7947" max="7947" width="2.7109375" customWidth="1"/>
    <col min="8193" max="8193" width="1.7109375" customWidth="1"/>
    <col min="8194" max="8194" width="20.85546875" customWidth="1"/>
    <col min="8195" max="8200" width="12.7109375" customWidth="1"/>
    <col min="8201" max="8201" width="11.42578125" customWidth="1"/>
    <col min="8203" max="8203" width="2.7109375" customWidth="1"/>
    <col min="8449" max="8449" width="1.7109375" customWidth="1"/>
    <col min="8450" max="8450" width="20.85546875" customWidth="1"/>
    <col min="8451" max="8456" width="12.7109375" customWidth="1"/>
    <col min="8457" max="8457" width="11.42578125" customWidth="1"/>
    <col min="8459" max="8459" width="2.7109375" customWidth="1"/>
    <col min="8705" max="8705" width="1.7109375" customWidth="1"/>
    <col min="8706" max="8706" width="20.85546875" customWidth="1"/>
    <col min="8707" max="8712" width="12.7109375" customWidth="1"/>
    <col min="8713" max="8713" width="11.42578125" customWidth="1"/>
    <col min="8715" max="8715" width="2.7109375" customWidth="1"/>
    <col min="8961" max="8961" width="1.7109375" customWidth="1"/>
    <col min="8962" max="8962" width="20.85546875" customWidth="1"/>
    <col min="8963" max="8968" width="12.7109375" customWidth="1"/>
    <col min="8969" max="8969" width="11.42578125" customWidth="1"/>
    <col min="8971" max="8971" width="2.7109375" customWidth="1"/>
    <col min="9217" max="9217" width="1.7109375" customWidth="1"/>
    <col min="9218" max="9218" width="20.85546875" customWidth="1"/>
    <col min="9219" max="9224" width="12.7109375" customWidth="1"/>
    <col min="9225" max="9225" width="11.42578125" customWidth="1"/>
    <col min="9227" max="9227" width="2.7109375" customWidth="1"/>
    <col min="9473" max="9473" width="1.7109375" customWidth="1"/>
    <col min="9474" max="9474" width="20.85546875" customWidth="1"/>
    <col min="9475" max="9480" width="12.7109375" customWidth="1"/>
    <col min="9481" max="9481" width="11.42578125" customWidth="1"/>
    <col min="9483" max="9483" width="2.7109375" customWidth="1"/>
    <col min="9729" max="9729" width="1.7109375" customWidth="1"/>
    <col min="9730" max="9730" width="20.85546875" customWidth="1"/>
    <col min="9731" max="9736" width="12.7109375" customWidth="1"/>
    <col min="9737" max="9737" width="11.42578125" customWidth="1"/>
    <col min="9739" max="9739" width="2.7109375" customWidth="1"/>
    <col min="9985" max="9985" width="1.7109375" customWidth="1"/>
    <col min="9986" max="9986" width="20.85546875" customWidth="1"/>
    <col min="9987" max="9992" width="12.7109375" customWidth="1"/>
    <col min="9993" max="9993" width="11.42578125" customWidth="1"/>
    <col min="9995" max="9995" width="2.7109375" customWidth="1"/>
    <col min="10241" max="10241" width="1.7109375" customWidth="1"/>
    <col min="10242" max="10242" width="20.85546875" customWidth="1"/>
    <col min="10243" max="10248" width="12.7109375" customWidth="1"/>
    <col min="10249" max="10249" width="11.42578125" customWidth="1"/>
    <col min="10251" max="10251" width="2.7109375" customWidth="1"/>
    <col min="10497" max="10497" width="1.7109375" customWidth="1"/>
    <col min="10498" max="10498" width="20.85546875" customWidth="1"/>
    <col min="10499" max="10504" width="12.7109375" customWidth="1"/>
    <col min="10505" max="10505" width="11.42578125" customWidth="1"/>
    <col min="10507" max="10507" width="2.7109375" customWidth="1"/>
    <col min="10753" max="10753" width="1.7109375" customWidth="1"/>
    <col min="10754" max="10754" width="20.85546875" customWidth="1"/>
    <col min="10755" max="10760" width="12.7109375" customWidth="1"/>
    <col min="10761" max="10761" width="11.42578125" customWidth="1"/>
    <col min="10763" max="10763" width="2.7109375" customWidth="1"/>
    <col min="11009" max="11009" width="1.7109375" customWidth="1"/>
    <col min="11010" max="11010" width="20.85546875" customWidth="1"/>
    <col min="11011" max="11016" width="12.7109375" customWidth="1"/>
    <col min="11017" max="11017" width="11.42578125" customWidth="1"/>
    <col min="11019" max="11019" width="2.7109375" customWidth="1"/>
    <col min="11265" max="11265" width="1.7109375" customWidth="1"/>
    <col min="11266" max="11266" width="20.85546875" customWidth="1"/>
    <col min="11267" max="11272" width="12.7109375" customWidth="1"/>
    <col min="11273" max="11273" width="11.42578125" customWidth="1"/>
    <col min="11275" max="11275" width="2.7109375" customWidth="1"/>
    <col min="11521" max="11521" width="1.7109375" customWidth="1"/>
    <col min="11522" max="11522" width="20.85546875" customWidth="1"/>
    <col min="11523" max="11528" width="12.7109375" customWidth="1"/>
    <col min="11529" max="11529" width="11.42578125" customWidth="1"/>
    <col min="11531" max="11531" width="2.7109375" customWidth="1"/>
    <col min="11777" max="11777" width="1.7109375" customWidth="1"/>
    <col min="11778" max="11778" width="20.85546875" customWidth="1"/>
    <col min="11779" max="11784" width="12.7109375" customWidth="1"/>
    <col min="11785" max="11785" width="11.42578125" customWidth="1"/>
    <col min="11787" max="11787" width="2.7109375" customWidth="1"/>
    <col min="12033" max="12033" width="1.7109375" customWidth="1"/>
    <col min="12034" max="12034" width="20.85546875" customWidth="1"/>
    <col min="12035" max="12040" width="12.7109375" customWidth="1"/>
    <col min="12041" max="12041" width="11.42578125" customWidth="1"/>
    <col min="12043" max="12043" width="2.7109375" customWidth="1"/>
    <col min="12289" max="12289" width="1.7109375" customWidth="1"/>
    <col min="12290" max="12290" width="20.85546875" customWidth="1"/>
    <col min="12291" max="12296" width="12.7109375" customWidth="1"/>
    <col min="12297" max="12297" width="11.42578125" customWidth="1"/>
    <col min="12299" max="12299" width="2.7109375" customWidth="1"/>
    <col min="12545" max="12545" width="1.7109375" customWidth="1"/>
    <col min="12546" max="12546" width="20.85546875" customWidth="1"/>
    <col min="12547" max="12552" width="12.7109375" customWidth="1"/>
    <col min="12553" max="12553" width="11.42578125" customWidth="1"/>
    <col min="12555" max="12555" width="2.7109375" customWidth="1"/>
    <col min="12801" max="12801" width="1.7109375" customWidth="1"/>
    <col min="12802" max="12802" width="20.85546875" customWidth="1"/>
    <col min="12803" max="12808" width="12.7109375" customWidth="1"/>
    <col min="12809" max="12809" width="11.42578125" customWidth="1"/>
    <col min="12811" max="12811" width="2.7109375" customWidth="1"/>
    <col min="13057" max="13057" width="1.7109375" customWidth="1"/>
    <col min="13058" max="13058" width="20.85546875" customWidth="1"/>
    <col min="13059" max="13064" width="12.7109375" customWidth="1"/>
    <col min="13065" max="13065" width="11.42578125" customWidth="1"/>
    <col min="13067" max="13067" width="2.7109375" customWidth="1"/>
    <col min="13313" max="13313" width="1.7109375" customWidth="1"/>
    <col min="13314" max="13314" width="20.85546875" customWidth="1"/>
    <col min="13315" max="13320" width="12.7109375" customWidth="1"/>
    <col min="13321" max="13321" width="11.42578125" customWidth="1"/>
    <col min="13323" max="13323" width="2.7109375" customWidth="1"/>
    <col min="13569" max="13569" width="1.7109375" customWidth="1"/>
    <col min="13570" max="13570" width="20.85546875" customWidth="1"/>
    <col min="13571" max="13576" width="12.7109375" customWidth="1"/>
    <col min="13577" max="13577" width="11.42578125" customWidth="1"/>
    <col min="13579" max="13579" width="2.7109375" customWidth="1"/>
    <col min="13825" max="13825" width="1.7109375" customWidth="1"/>
    <col min="13826" max="13826" width="20.85546875" customWidth="1"/>
    <col min="13827" max="13832" width="12.7109375" customWidth="1"/>
    <col min="13833" max="13833" width="11.42578125" customWidth="1"/>
    <col min="13835" max="13835" width="2.7109375" customWidth="1"/>
    <col min="14081" max="14081" width="1.7109375" customWidth="1"/>
    <col min="14082" max="14082" width="20.85546875" customWidth="1"/>
    <col min="14083" max="14088" width="12.7109375" customWidth="1"/>
    <col min="14089" max="14089" width="11.42578125" customWidth="1"/>
    <col min="14091" max="14091" width="2.7109375" customWidth="1"/>
    <col min="14337" max="14337" width="1.7109375" customWidth="1"/>
    <col min="14338" max="14338" width="20.85546875" customWidth="1"/>
    <col min="14339" max="14344" width="12.7109375" customWidth="1"/>
    <col min="14345" max="14345" width="11.42578125" customWidth="1"/>
    <col min="14347" max="14347" width="2.7109375" customWidth="1"/>
    <col min="14593" max="14593" width="1.7109375" customWidth="1"/>
    <col min="14594" max="14594" width="20.85546875" customWidth="1"/>
    <col min="14595" max="14600" width="12.7109375" customWidth="1"/>
    <col min="14601" max="14601" width="11.42578125" customWidth="1"/>
    <col min="14603" max="14603" width="2.7109375" customWidth="1"/>
    <col min="14849" max="14849" width="1.7109375" customWidth="1"/>
    <col min="14850" max="14850" width="20.85546875" customWidth="1"/>
    <col min="14851" max="14856" width="12.7109375" customWidth="1"/>
    <col min="14857" max="14857" width="11.42578125" customWidth="1"/>
    <col min="14859" max="14859" width="2.7109375" customWidth="1"/>
    <col min="15105" max="15105" width="1.7109375" customWidth="1"/>
    <col min="15106" max="15106" width="20.85546875" customWidth="1"/>
    <col min="15107" max="15112" width="12.7109375" customWidth="1"/>
    <col min="15113" max="15113" width="11.42578125" customWidth="1"/>
    <col min="15115" max="15115" width="2.7109375" customWidth="1"/>
    <col min="15361" max="15361" width="1.7109375" customWidth="1"/>
    <col min="15362" max="15362" width="20.85546875" customWidth="1"/>
    <col min="15363" max="15368" width="12.7109375" customWidth="1"/>
    <col min="15369" max="15369" width="11.42578125" customWidth="1"/>
    <col min="15371" max="15371" width="2.7109375" customWidth="1"/>
    <col min="15617" max="15617" width="1.7109375" customWidth="1"/>
    <col min="15618" max="15618" width="20.85546875" customWidth="1"/>
    <col min="15619" max="15624" width="12.7109375" customWidth="1"/>
    <col min="15625" max="15625" width="11.42578125" customWidth="1"/>
    <col min="15627" max="15627" width="2.7109375" customWidth="1"/>
    <col min="15873" max="15873" width="1.7109375" customWidth="1"/>
    <col min="15874" max="15874" width="20.85546875" customWidth="1"/>
    <col min="15875" max="15880" width="12.7109375" customWidth="1"/>
    <col min="15881" max="15881" width="11.42578125" customWidth="1"/>
    <col min="15883" max="15883" width="2.7109375" customWidth="1"/>
    <col min="16129" max="16129" width="1.7109375" customWidth="1"/>
    <col min="16130" max="16130" width="20.85546875" customWidth="1"/>
    <col min="16131" max="16136" width="12.7109375" customWidth="1"/>
    <col min="16137" max="16137" width="11.42578125" customWidth="1"/>
    <col min="16139" max="16139" width="2.7109375" customWidth="1"/>
  </cols>
  <sheetData>
    <row r="1" spans="1:16" ht="15.75" x14ac:dyDescent="0.25">
      <c r="A1" s="1025" t="s">
        <v>1294</v>
      </c>
      <c r="C1" s="1025"/>
      <c r="D1" s="1025"/>
      <c r="E1" s="1025"/>
      <c r="F1" s="1025"/>
      <c r="G1" s="1025"/>
      <c r="H1" s="1025"/>
      <c r="I1" s="1025"/>
      <c r="J1" s="1025"/>
      <c r="K1" s="1025"/>
    </row>
    <row r="2" spans="1:16" ht="15.75" x14ac:dyDescent="0.25">
      <c r="A2" s="2832" t="s">
        <v>808</v>
      </c>
      <c r="C2" s="1025"/>
      <c r="D2" s="1025"/>
      <c r="E2" s="1025"/>
      <c r="F2" s="1025"/>
      <c r="G2" s="1025"/>
      <c r="H2" s="1025"/>
      <c r="I2" s="1025"/>
      <c r="J2" s="1025"/>
      <c r="K2" s="1025"/>
    </row>
    <row r="3" spans="1:16" ht="15" x14ac:dyDescent="0.2">
      <c r="A3" s="239"/>
      <c r="B3" s="239"/>
      <c r="C3" s="945"/>
      <c r="D3" s="239"/>
      <c r="E3" s="239"/>
      <c r="F3" s="239"/>
      <c r="G3" s="239"/>
      <c r="H3" s="239"/>
    </row>
    <row r="4" spans="1:16" ht="21" customHeight="1" x14ac:dyDescent="0.2">
      <c r="A4" s="2059" t="s">
        <v>16</v>
      </c>
      <c r="B4" s="571" t="s">
        <v>4</v>
      </c>
      <c r="C4" s="2385">
        <v>2002</v>
      </c>
      <c r="D4" s="2065">
        <v>2003</v>
      </c>
      <c r="E4" s="2065">
        <v>2004</v>
      </c>
      <c r="F4" s="2064">
        <v>2005</v>
      </c>
      <c r="G4" s="2066">
        <v>2006</v>
      </c>
      <c r="H4" s="2066">
        <v>2007</v>
      </c>
      <c r="I4" s="2066">
        <v>2008</v>
      </c>
      <c r="J4" s="2066">
        <v>2009</v>
      </c>
      <c r="K4" s="2066">
        <v>2010</v>
      </c>
      <c r="L4" s="2066">
        <v>2011</v>
      </c>
      <c r="M4" s="2066">
        <v>2012</v>
      </c>
      <c r="N4" s="2066">
        <v>2013</v>
      </c>
      <c r="O4" s="2066">
        <v>2014</v>
      </c>
      <c r="P4" s="4406">
        <v>2015</v>
      </c>
    </row>
    <row r="5" spans="1:16" ht="15" x14ac:dyDescent="0.25">
      <c r="A5" s="251"/>
      <c r="B5" s="251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</row>
    <row r="6" spans="1:16" ht="15" customHeight="1" x14ac:dyDescent="0.2">
      <c r="A6" s="5189" t="s">
        <v>3</v>
      </c>
      <c r="B6" s="2080" t="s">
        <v>5</v>
      </c>
      <c r="C6" s="2081">
        <v>855</v>
      </c>
      <c r="D6" s="2081">
        <v>785</v>
      </c>
      <c r="E6" s="2081">
        <v>861</v>
      </c>
      <c r="F6" s="2081">
        <v>831</v>
      </c>
      <c r="G6" s="2081">
        <v>966</v>
      </c>
      <c r="H6" s="2081">
        <v>738</v>
      </c>
      <c r="I6" s="2081">
        <v>823</v>
      </c>
      <c r="J6" s="2081">
        <v>832</v>
      </c>
      <c r="K6" s="2081">
        <v>760</v>
      </c>
      <c r="L6" s="2081">
        <v>668</v>
      </c>
      <c r="M6" s="2081">
        <v>574</v>
      </c>
      <c r="N6" s="2081">
        <v>592</v>
      </c>
      <c r="O6" s="2081">
        <v>918</v>
      </c>
      <c r="P6" s="2081">
        <v>845</v>
      </c>
    </row>
    <row r="7" spans="1:16" ht="15" customHeight="1" x14ac:dyDescent="0.2">
      <c r="A7" s="5190"/>
      <c r="B7" s="2082" t="s">
        <v>6</v>
      </c>
      <c r="C7" s="2083">
        <v>561</v>
      </c>
      <c r="D7" s="2083">
        <v>543</v>
      </c>
      <c r="E7" s="2083">
        <v>507</v>
      </c>
      <c r="F7" s="2083">
        <v>436</v>
      </c>
      <c r="G7" s="2083">
        <v>513</v>
      </c>
      <c r="H7" s="2083">
        <v>492</v>
      </c>
      <c r="I7" s="2083">
        <v>483</v>
      </c>
      <c r="J7" s="2083">
        <v>477</v>
      </c>
      <c r="K7" s="2083">
        <v>519</v>
      </c>
      <c r="L7" s="2083">
        <v>485</v>
      </c>
      <c r="M7" s="2083">
        <v>484</v>
      </c>
      <c r="N7" s="2083">
        <v>420</v>
      </c>
      <c r="O7" s="2083">
        <v>427</v>
      </c>
      <c r="P7" s="2083">
        <v>423</v>
      </c>
    </row>
    <row r="8" spans="1:16" ht="15" customHeight="1" x14ac:dyDescent="0.2">
      <c r="A8" s="5190"/>
      <c r="B8" s="2082" t="s">
        <v>7</v>
      </c>
      <c r="C8" s="2083">
        <v>301</v>
      </c>
      <c r="D8" s="2083">
        <v>282</v>
      </c>
      <c r="E8" s="2083">
        <v>258</v>
      </c>
      <c r="F8" s="2083">
        <v>240</v>
      </c>
      <c r="G8" s="2083">
        <v>264</v>
      </c>
      <c r="H8" s="2083">
        <v>239</v>
      </c>
      <c r="I8" s="2083">
        <v>263</v>
      </c>
      <c r="J8" s="2083">
        <v>225</v>
      </c>
      <c r="K8" s="2083">
        <v>247</v>
      </c>
      <c r="L8" s="2083">
        <v>238</v>
      </c>
      <c r="M8" s="2083">
        <v>236</v>
      </c>
      <c r="N8" s="2083">
        <v>258</v>
      </c>
      <c r="O8" s="2083">
        <v>230</v>
      </c>
      <c r="P8" s="2083">
        <v>226</v>
      </c>
    </row>
    <row r="9" spans="1:16" ht="15" x14ac:dyDescent="0.2">
      <c r="A9" s="5191"/>
      <c r="B9" s="2086" t="s">
        <v>12</v>
      </c>
      <c r="C9" s="2087">
        <f t="shared" ref="C9:K9" si="0">SUM(C6:C8)</f>
        <v>1717</v>
      </c>
      <c r="D9" s="2087">
        <f t="shared" si="0"/>
        <v>1610</v>
      </c>
      <c r="E9" s="2087">
        <f>SUM(E6:E8)</f>
        <v>1626</v>
      </c>
      <c r="F9" s="2087">
        <f t="shared" si="0"/>
        <v>1507</v>
      </c>
      <c r="G9" s="2087">
        <f t="shared" si="0"/>
        <v>1743</v>
      </c>
      <c r="H9" s="2087">
        <f t="shared" si="0"/>
        <v>1469</v>
      </c>
      <c r="I9" s="2087">
        <f t="shared" si="0"/>
        <v>1569</v>
      </c>
      <c r="J9" s="2087">
        <f t="shared" si="0"/>
        <v>1534</v>
      </c>
      <c r="K9" s="2087">
        <f t="shared" si="0"/>
        <v>1526</v>
      </c>
      <c r="L9" s="2087">
        <f>SUM(L6:L8)</f>
        <v>1391</v>
      </c>
      <c r="M9" s="2087">
        <f>SUM(M6:M8)</f>
        <v>1294</v>
      </c>
      <c r="N9" s="2087">
        <f>SUM(N6:N8)</f>
        <v>1270</v>
      </c>
      <c r="O9" s="2087">
        <f>SUM(O6:O8)</f>
        <v>1575</v>
      </c>
      <c r="P9" s="2087">
        <f>SUM(P6:P8)</f>
        <v>1494</v>
      </c>
    </row>
    <row r="10" spans="1:16" ht="15" x14ac:dyDescent="0.25">
      <c r="A10" s="1036"/>
      <c r="B10" s="2088"/>
      <c r="C10" s="2089"/>
      <c r="D10" s="2089"/>
      <c r="E10" s="2089"/>
      <c r="F10" s="2089"/>
      <c r="G10" s="2089"/>
      <c r="H10" s="2089"/>
      <c r="I10" s="2089"/>
      <c r="J10" s="2089"/>
      <c r="K10" s="2089"/>
      <c r="L10" s="2089"/>
      <c r="M10" s="2089"/>
      <c r="N10" s="2089"/>
      <c r="O10" s="2089"/>
      <c r="P10" s="2089"/>
    </row>
    <row r="11" spans="1:16" ht="15" x14ac:dyDescent="0.2">
      <c r="A11" s="5180" t="s">
        <v>8</v>
      </c>
      <c r="B11" s="2080" t="s">
        <v>6</v>
      </c>
      <c r="C11" s="2081"/>
      <c r="D11" s="2081"/>
      <c r="E11" s="2081"/>
      <c r="F11" s="2081"/>
      <c r="G11" s="2081">
        <v>1</v>
      </c>
      <c r="H11" s="2081">
        <v>1</v>
      </c>
      <c r="I11" s="2081">
        <v>2</v>
      </c>
      <c r="J11" s="2081">
        <v>2</v>
      </c>
      <c r="K11" s="2081">
        <v>2</v>
      </c>
      <c r="L11" s="2081">
        <v>2</v>
      </c>
      <c r="M11" s="2081"/>
      <c r="N11" s="2081"/>
      <c r="O11" s="2081">
        <v>2</v>
      </c>
      <c r="P11" s="2081">
        <v>30</v>
      </c>
    </row>
    <row r="12" spans="1:16" ht="15" x14ac:dyDescent="0.2">
      <c r="A12" s="5181"/>
      <c r="B12" s="2082" t="s">
        <v>9</v>
      </c>
      <c r="C12" s="2083"/>
      <c r="D12" s="2083"/>
      <c r="E12" s="2083"/>
      <c r="F12" s="2083"/>
      <c r="G12" s="2083">
        <v>0</v>
      </c>
      <c r="H12" s="2083">
        <v>3</v>
      </c>
      <c r="I12" s="2083">
        <v>5</v>
      </c>
      <c r="J12" s="2083">
        <v>5</v>
      </c>
      <c r="K12" s="2083">
        <v>2</v>
      </c>
      <c r="L12" s="2083"/>
      <c r="M12" s="2083"/>
      <c r="N12" s="2083"/>
      <c r="O12" s="2083">
        <v>0</v>
      </c>
      <c r="P12" s="2083">
        <v>23</v>
      </c>
    </row>
    <row r="13" spans="1:16" ht="15" x14ac:dyDescent="0.2">
      <c r="A13" s="5181"/>
      <c r="B13" s="2082" t="s">
        <v>74</v>
      </c>
      <c r="C13" s="2083"/>
      <c r="D13" s="2083"/>
      <c r="E13" s="2083"/>
      <c r="F13" s="2083"/>
      <c r="G13" s="2083">
        <v>2</v>
      </c>
      <c r="H13" s="2083">
        <v>1</v>
      </c>
      <c r="I13" s="2083">
        <v>3</v>
      </c>
      <c r="J13" s="2083">
        <v>5</v>
      </c>
      <c r="K13" s="2083">
        <v>4</v>
      </c>
      <c r="L13" s="2083"/>
      <c r="M13" s="2083"/>
      <c r="N13" s="2083">
        <v>3</v>
      </c>
      <c r="O13" s="2083">
        <v>0</v>
      </c>
      <c r="P13" s="2083">
        <v>20</v>
      </c>
    </row>
    <row r="14" spans="1:16" ht="15" x14ac:dyDescent="0.2">
      <c r="A14" s="5182"/>
      <c r="B14" s="2086" t="s">
        <v>12</v>
      </c>
      <c r="C14" s="2087"/>
      <c r="D14" s="2087"/>
      <c r="E14" s="2087"/>
      <c r="F14" s="2087"/>
      <c r="G14" s="2087">
        <f t="shared" ref="G14:L14" si="1">SUM(G11:G13)</f>
        <v>3</v>
      </c>
      <c r="H14" s="2087">
        <f t="shared" si="1"/>
        <v>5</v>
      </c>
      <c r="I14" s="2087">
        <f t="shared" si="1"/>
        <v>10</v>
      </c>
      <c r="J14" s="2087">
        <f t="shared" si="1"/>
        <v>12</v>
      </c>
      <c r="K14" s="2087">
        <f t="shared" si="1"/>
        <v>8</v>
      </c>
      <c r="L14" s="2087">
        <f t="shared" si="1"/>
        <v>2</v>
      </c>
      <c r="M14" s="2087"/>
      <c r="N14" s="2087">
        <f>SUM(N11:N13)</f>
        <v>3</v>
      </c>
      <c r="O14" s="2087">
        <f>SUM(O11:O13)</f>
        <v>2</v>
      </c>
      <c r="P14" s="2087">
        <f>SUM(P11:P13)</f>
        <v>73</v>
      </c>
    </row>
    <row r="15" spans="1:16" ht="15" x14ac:dyDescent="0.25">
      <c r="A15" s="1036"/>
      <c r="B15" s="2088"/>
      <c r="C15" s="2089"/>
      <c r="D15" s="2089"/>
      <c r="E15" s="2089"/>
      <c r="F15" s="2089"/>
      <c r="G15" s="2089"/>
      <c r="H15" s="2089"/>
      <c r="I15" s="2089"/>
      <c r="J15" s="2089"/>
      <c r="K15" s="2089"/>
      <c r="L15" s="2089"/>
      <c r="M15" s="2089"/>
      <c r="N15" s="2089"/>
      <c r="O15" s="2089"/>
      <c r="P15" s="2089"/>
    </row>
    <row r="16" spans="1:16" ht="15" x14ac:dyDescent="0.2">
      <c r="A16" s="5183" t="s">
        <v>75</v>
      </c>
      <c r="B16" s="2080" t="s">
        <v>5</v>
      </c>
      <c r="C16" s="2081">
        <v>670</v>
      </c>
      <c r="D16" s="2081">
        <v>479</v>
      </c>
      <c r="E16" s="2081">
        <v>476</v>
      </c>
      <c r="F16" s="2081">
        <v>546</v>
      </c>
      <c r="G16" s="2081">
        <v>681</v>
      </c>
      <c r="H16" s="2081">
        <v>548</v>
      </c>
      <c r="I16" s="2081">
        <v>456</v>
      </c>
      <c r="J16" s="2081">
        <v>455</v>
      </c>
      <c r="K16" s="2081">
        <v>441</v>
      </c>
      <c r="L16" s="2081">
        <v>321</v>
      </c>
      <c r="M16" s="2081">
        <v>341</v>
      </c>
      <c r="N16" s="2081">
        <v>301</v>
      </c>
      <c r="O16" s="2081">
        <v>319</v>
      </c>
      <c r="P16" s="2081">
        <v>378</v>
      </c>
    </row>
    <row r="17" spans="1:16" ht="15" x14ac:dyDescent="0.2">
      <c r="A17" s="5184"/>
      <c r="B17" s="2082" t="s">
        <v>6</v>
      </c>
      <c r="C17" s="2083">
        <v>620</v>
      </c>
      <c r="D17" s="2083">
        <v>515</v>
      </c>
      <c r="E17" s="2083">
        <v>548</v>
      </c>
      <c r="F17" s="2083">
        <v>607</v>
      </c>
      <c r="G17" s="2083">
        <v>648</v>
      </c>
      <c r="H17" s="2083">
        <v>571</v>
      </c>
      <c r="I17" s="2083">
        <v>641</v>
      </c>
      <c r="J17" s="2083">
        <v>552</v>
      </c>
      <c r="K17" s="2083">
        <v>508</v>
      </c>
      <c r="L17" s="2083">
        <v>427</v>
      </c>
      <c r="M17" s="2083">
        <v>494</v>
      </c>
      <c r="N17" s="2083">
        <v>445</v>
      </c>
      <c r="O17" s="2083">
        <v>525</v>
      </c>
      <c r="P17" s="2083">
        <v>538</v>
      </c>
    </row>
    <row r="18" spans="1:16" ht="15" x14ac:dyDescent="0.2">
      <c r="A18" s="5184"/>
      <c r="B18" s="2082" t="s">
        <v>11</v>
      </c>
      <c r="C18" s="2083">
        <v>301</v>
      </c>
      <c r="D18" s="2083">
        <v>218</v>
      </c>
      <c r="E18" s="2083">
        <v>291</v>
      </c>
      <c r="F18" s="2083">
        <v>433</v>
      </c>
      <c r="G18" s="2083">
        <v>465</v>
      </c>
      <c r="H18" s="2083">
        <v>520</v>
      </c>
      <c r="I18" s="2083">
        <v>470</v>
      </c>
      <c r="J18" s="2083">
        <v>428</v>
      </c>
      <c r="K18" s="2083">
        <v>215</v>
      </c>
      <c r="L18" s="2083">
        <v>257</v>
      </c>
      <c r="M18" s="2083">
        <v>213</v>
      </c>
      <c r="N18" s="2083">
        <v>184</v>
      </c>
      <c r="O18" s="2083">
        <v>220</v>
      </c>
      <c r="P18" s="2083">
        <v>202</v>
      </c>
    </row>
    <row r="19" spans="1:16" ht="15" x14ac:dyDescent="0.2">
      <c r="A19" s="5185"/>
      <c r="B19" s="2086" t="s">
        <v>12</v>
      </c>
      <c r="C19" s="2087">
        <f t="shared" ref="C19:K19" si="2">SUM(C16:C18)</f>
        <v>1591</v>
      </c>
      <c r="D19" s="2087">
        <f t="shared" si="2"/>
        <v>1212</v>
      </c>
      <c r="E19" s="2087">
        <f>SUM(E16:E18)</f>
        <v>1315</v>
      </c>
      <c r="F19" s="2087">
        <f t="shared" si="2"/>
        <v>1586</v>
      </c>
      <c r="G19" s="2087">
        <f t="shared" si="2"/>
        <v>1794</v>
      </c>
      <c r="H19" s="2087">
        <f t="shared" si="2"/>
        <v>1639</v>
      </c>
      <c r="I19" s="2087">
        <f t="shared" si="2"/>
        <v>1567</v>
      </c>
      <c r="J19" s="2087">
        <f t="shared" si="2"/>
        <v>1435</v>
      </c>
      <c r="K19" s="2087">
        <f t="shared" si="2"/>
        <v>1164</v>
      </c>
      <c r="L19" s="2087">
        <f>SUM(L16:L18)</f>
        <v>1005</v>
      </c>
      <c r="M19" s="2087">
        <f>SUM(M16:M18)</f>
        <v>1048</v>
      </c>
      <c r="N19" s="2087">
        <f>SUM(N16:N18)</f>
        <v>930</v>
      </c>
      <c r="O19" s="2087">
        <f>SUM(O16:O18)</f>
        <v>1064</v>
      </c>
      <c r="P19" s="2087">
        <f>SUM(P16:P18)</f>
        <v>1118</v>
      </c>
    </row>
    <row r="20" spans="1:16" ht="15" x14ac:dyDescent="0.25">
      <c r="A20" s="1036"/>
      <c r="B20" s="2090"/>
      <c r="C20" s="2077"/>
      <c r="D20" s="2077"/>
      <c r="E20" s="2077"/>
      <c r="F20" s="2077"/>
      <c r="G20" s="2077"/>
      <c r="H20" s="2077"/>
      <c r="I20" s="2077"/>
      <c r="J20" s="2077"/>
      <c r="K20" s="2077"/>
      <c r="L20" s="2077"/>
      <c r="M20" s="2077"/>
      <c r="N20" s="2077"/>
      <c r="O20" s="2077"/>
      <c r="P20" s="2077"/>
    </row>
    <row r="21" spans="1:16" ht="15" x14ac:dyDescent="0.2">
      <c r="A21" s="5192" t="s">
        <v>326</v>
      </c>
      <c r="B21" s="2080" t="s">
        <v>5</v>
      </c>
      <c r="C21" s="2081"/>
      <c r="D21" s="2081"/>
      <c r="E21" s="2081"/>
      <c r="F21" s="2081"/>
      <c r="G21" s="2081"/>
      <c r="H21" s="2081"/>
      <c r="I21" s="2081"/>
      <c r="J21" s="2081"/>
      <c r="K21" s="2081"/>
      <c r="L21" s="2081">
        <v>1</v>
      </c>
      <c r="M21" s="2081"/>
      <c r="N21" s="2081">
        <v>4</v>
      </c>
      <c r="O21" s="2081">
        <v>3</v>
      </c>
      <c r="P21" s="2081"/>
    </row>
    <row r="22" spans="1:16" ht="15" x14ac:dyDescent="0.2">
      <c r="A22" s="5193"/>
      <c r="B22" s="2082" t="s">
        <v>6</v>
      </c>
      <c r="C22" s="2083"/>
      <c r="D22" s="2083"/>
      <c r="E22" s="2083"/>
      <c r="F22" s="2083"/>
      <c r="G22" s="2083"/>
      <c r="H22" s="2083"/>
      <c r="I22" s="2083"/>
      <c r="J22" s="2083"/>
      <c r="K22" s="2083"/>
      <c r="L22" s="2083">
        <v>2</v>
      </c>
      <c r="M22" s="2083"/>
      <c r="N22" s="2083">
        <v>1</v>
      </c>
      <c r="O22" s="2083">
        <v>1</v>
      </c>
      <c r="P22" s="2083"/>
    </row>
    <row r="23" spans="1:16" ht="15" x14ac:dyDescent="0.2">
      <c r="A23" s="5193"/>
      <c r="B23" s="2082" t="s">
        <v>11</v>
      </c>
      <c r="C23" s="2083"/>
      <c r="D23" s="2083"/>
      <c r="E23" s="2083"/>
      <c r="F23" s="2083"/>
      <c r="G23" s="2083"/>
      <c r="H23" s="2083"/>
      <c r="I23" s="2083"/>
      <c r="J23" s="2083"/>
      <c r="K23" s="2083"/>
      <c r="L23" s="2083"/>
      <c r="M23" s="2083"/>
      <c r="N23" s="2083">
        <v>2</v>
      </c>
      <c r="O23" s="2083">
        <v>2</v>
      </c>
      <c r="P23" s="2083"/>
    </row>
    <row r="24" spans="1:16" ht="15" x14ac:dyDescent="0.2">
      <c r="A24" s="5194"/>
      <c r="B24" s="2086" t="s">
        <v>12</v>
      </c>
      <c r="C24" s="2087"/>
      <c r="D24" s="2087"/>
      <c r="E24" s="2087"/>
      <c r="F24" s="2087"/>
      <c r="G24" s="2087"/>
      <c r="H24" s="2087"/>
      <c r="I24" s="2087"/>
      <c r="J24" s="2087"/>
      <c r="K24" s="2087"/>
      <c r="L24" s="2087">
        <f>SUM(L21:L23)</f>
        <v>3</v>
      </c>
      <c r="M24" s="2087"/>
      <c r="N24" s="2087">
        <f>SUM(N21:N23)</f>
        <v>7</v>
      </c>
      <c r="O24" s="2087">
        <f>SUM(O21:O23)</f>
        <v>6</v>
      </c>
      <c r="P24" s="2087"/>
    </row>
    <row r="25" spans="1:16" ht="15" x14ac:dyDescent="0.25">
      <c r="A25" s="1036"/>
      <c r="B25" s="2088"/>
      <c r="C25" s="2089"/>
      <c r="D25" s="2089"/>
      <c r="E25" s="2089"/>
      <c r="F25" s="2089"/>
      <c r="G25" s="2089"/>
      <c r="H25" s="2089"/>
      <c r="I25" s="2089"/>
      <c r="J25" s="2089"/>
      <c r="K25" s="2089"/>
      <c r="L25" s="2089"/>
      <c r="M25" s="2089"/>
      <c r="N25" s="2089"/>
      <c r="O25" s="2089"/>
      <c r="P25" s="2089"/>
    </row>
    <row r="26" spans="1:16" ht="15" x14ac:dyDescent="0.2">
      <c r="A26" s="5186" t="s">
        <v>10</v>
      </c>
      <c r="B26" s="2080" t="s">
        <v>6</v>
      </c>
      <c r="C26" s="2081">
        <v>451</v>
      </c>
      <c r="D26" s="2081">
        <v>430</v>
      </c>
      <c r="E26" s="2081">
        <v>396</v>
      </c>
      <c r="F26" s="2081">
        <v>452</v>
      </c>
      <c r="G26" s="2081">
        <v>379</v>
      </c>
      <c r="H26" s="2081">
        <v>511</v>
      </c>
      <c r="I26" s="2081">
        <v>526</v>
      </c>
      <c r="J26" s="2081">
        <v>516</v>
      </c>
      <c r="K26" s="2081">
        <v>532</v>
      </c>
      <c r="L26" s="2081">
        <v>489</v>
      </c>
      <c r="M26" s="2081">
        <v>510</v>
      </c>
      <c r="N26" s="2081">
        <v>434</v>
      </c>
      <c r="O26" s="2081">
        <v>481</v>
      </c>
      <c r="P26" s="2081">
        <v>421</v>
      </c>
    </row>
    <row r="27" spans="1:16" ht="15" x14ac:dyDescent="0.2">
      <c r="A27" s="5187"/>
      <c r="B27" s="2082" t="s">
        <v>11</v>
      </c>
      <c r="C27" s="2083">
        <v>577</v>
      </c>
      <c r="D27" s="2083">
        <v>508</v>
      </c>
      <c r="E27" s="2083">
        <v>540</v>
      </c>
      <c r="F27" s="2083">
        <v>560</v>
      </c>
      <c r="G27" s="2083">
        <v>560</v>
      </c>
      <c r="H27" s="2083">
        <v>488</v>
      </c>
      <c r="I27" s="2083">
        <v>513</v>
      </c>
      <c r="J27" s="2083">
        <v>515</v>
      </c>
      <c r="K27" s="2083">
        <v>494</v>
      </c>
      <c r="L27" s="2083">
        <v>470</v>
      </c>
      <c r="M27" s="2083">
        <v>439</v>
      </c>
      <c r="N27" s="2083">
        <v>385</v>
      </c>
      <c r="O27" s="2083">
        <v>436</v>
      </c>
      <c r="P27" s="2083">
        <v>487</v>
      </c>
    </row>
    <row r="28" spans="1:16" ht="15" x14ac:dyDescent="0.2">
      <c r="A28" s="5187"/>
      <c r="B28" s="2082" t="s">
        <v>7</v>
      </c>
      <c r="C28" s="2083">
        <v>312</v>
      </c>
      <c r="D28" s="2083">
        <v>261</v>
      </c>
      <c r="E28" s="2083">
        <v>185</v>
      </c>
      <c r="F28" s="2083">
        <v>213</v>
      </c>
      <c r="G28" s="2083">
        <v>209</v>
      </c>
      <c r="H28" s="2083">
        <v>229</v>
      </c>
      <c r="I28" s="2083">
        <v>242</v>
      </c>
      <c r="J28" s="2083">
        <v>275</v>
      </c>
      <c r="K28" s="2083">
        <v>312</v>
      </c>
      <c r="L28" s="2083">
        <v>248</v>
      </c>
      <c r="M28" s="2083">
        <v>241</v>
      </c>
      <c r="N28" s="2083">
        <v>188</v>
      </c>
      <c r="O28" s="2083">
        <v>198</v>
      </c>
      <c r="P28" s="2083">
        <v>200</v>
      </c>
    </row>
    <row r="29" spans="1:16" ht="15" x14ac:dyDescent="0.2">
      <c r="A29" s="5188"/>
      <c r="B29" s="2086" t="s">
        <v>12</v>
      </c>
      <c r="C29" s="2087">
        <f t="shared" ref="C29:K29" si="3">SUM(C26:C28)</f>
        <v>1340</v>
      </c>
      <c r="D29" s="2087">
        <f t="shared" si="3"/>
        <v>1199</v>
      </c>
      <c r="E29" s="2087">
        <f t="shared" si="3"/>
        <v>1121</v>
      </c>
      <c r="F29" s="2087">
        <f t="shared" si="3"/>
        <v>1225</v>
      </c>
      <c r="G29" s="2087">
        <f t="shared" si="3"/>
        <v>1148</v>
      </c>
      <c r="H29" s="2087">
        <f t="shared" si="3"/>
        <v>1228</v>
      </c>
      <c r="I29" s="2087">
        <f t="shared" si="3"/>
        <v>1281</v>
      </c>
      <c r="J29" s="2087">
        <f t="shared" si="3"/>
        <v>1306</v>
      </c>
      <c r="K29" s="2087">
        <f t="shared" si="3"/>
        <v>1338</v>
      </c>
      <c r="L29" s="2087">
        <f>SUM(L26:L28)</f>
        <v>1207</v>
      </c>
      <c r="M29" s="2087">
        <f>SUM(M26:M28)</f>
        <v>1190</v>
      </c>
      <c r="N29" s="2087">
        <f>SUM(N26:N28)</f>
        <v>1007</v>
      </c>
      <c r="O29" s="2087">
        <f>SUM(O26:O28)</f>
        <v>1115</v>
      </c>
      <c r="P29" s="2087">
        <f>SUM(P26:P28)</f>
        <v>1108</v>
      </c>
    </row>
    <row r="30" spans="1:16" ht="15" x14ac:dyDescent="0.25">
      <c r="A30" s="251"/>
      <c r="B30" s="2091"/>
      <c r="C30" s="2092"/>
      <c r="D30" s="2092"/>
      <c r="E30" s="2092"/>
      <c r="F30" s="2092"/>
      <c r="G30" s="2092"/>
      <c r="H30" s="2092"/>
      <c r="I30" s="2092"/>
      <c r="J30" s="2092"/>
      <c r="K30" s="2092"/>
      <c r="L30" s="2092"/>
      <c r="M30" s="2092"/>
      <c r="N30" s="2092"/>
      <c r="O30" s="2092"/>
      <c r="P30" s="2092"/>
    </row>
    <row r="31" spans="1:16" ht="15" x14ac:dyDescent="0.2">
      <c r="A31" s="5168" t="s">
        <v>60</v>
      </c>
      <c r="B31" s="2080" t="s">
        <v>5</v>
      </c>
      <c r="C31" s="2081">
        <f t="shared" ref="C31:K31" si="4">SUM(C6,C16,C21)</f>
        <v>1525</v>
      </c>
      <c r="D31" s="2081">
        <f t="shared" si="4"/>
        <v>1264</v>
      </c>
      <c r="E31" s="2081">
        <f t="shared" si="4"/>
        <v>1337</v>
      </c>
      <c r="F31" s="2081">
        <f t="shared" si="4"/>
        <v>1377</v>
      </c>
      <c r="G31" s="2081">
        <f t="shared" si="4"/>
        <v>1647</v>
      </c>
      <c r="H31" s="2081">
        <f t="shared" si="4"/>
        <v>1286</v>
      </c>
      <c r="I31" s="2081">
        <f t="shared" si="4"/>
        <v>1279</v>
      </c>
      <c r="J31" s="2081">
        <f t="shared" si="4"/>
        <v>1287</v>
      </c>
      <c r="K31" s="2081">
        <f t="shared" si="4"/>
        <v>1201</v>
      </c>
      <c r="L31" s="2081">
        <f>SUM(L6,L16,L21)</f>
        <v>990</v>
      </c>
      <c r="M31" s="2081">
        <f>SUM(M6,M16,M21)</f>
        <v>915</v>
      </c>
      <c r="N31" s="2081">
        <f>SUM(N6,N16,N21)</f>
        <v>897</v>
      </c>
      <c r="O31" s="2081">
        <f>SUM(O6,O16,O21)</f>
        <v>1240</v>
      </c>
      <c r="P31" s="2081">
        <f>SUM(P6,P16,P21)</f>
        <v>1223</v>
      </c>
    </row>
    <row r="32" spans="1:16" ht="15" x14ac:dyDescent="0.2">
      <c r="A32" s="5169"/>
      <c r="B32" s="2082" t="s">
        <v>6</v>
      </c>
      <c r="C32" s="2083">
        <f t="shared" ref="C32:K32" si="5">SUM(C7,C11,C17,C22,C26)</f>
        <v>1632</v>
      </c>
      <c r="D32" s="2083">
        <f t="shared" si="5"/>
        <v>1488</v>
      </c>
      <c r="E32" s="2083">
        <f t="shared" si="5"/>
        <v>1451</v>
      </c>
      <c r="F32" s="2083">
        <f t="shared" si="5"/>
        <v>1495</v>
      </c>
      <c r="G32" s="2083">
        <f t="shared" si="5"/>
        <v>1541</v>
      </c>
      <c r="H32" s="2083">
        <f t="shared" si="5"/>
        <v>1575</v>
      </c>
      <c r="I32" s="2083">
        <f t="shared" si="5"/>
        <v>1652</v>
      </c>
      <c r="J32" s="2083">
        <f t="shared" si="5"/>
        <v>1547</v>
      </c>
      <c r="K32" s="2083">
        <f t="shared" si="5"/>
        <v>1561</v>
      </c>
      <c r="L32" s="2083">
        <f>SUM(L7,L11,L17,L22,L26)</f>
        <v>1405</v>
      </c>
      <c r="M32" s="2083">
        <f>SUM(M7,M11,M17,M22,M26)</f>
        <v>1488</v>
      </c>
      <c r="N32" s="2083">
        <f>SUM(N7,N11,N17,N22,N26)</f>
        <v>1300</v>
      </c>
      <c r="O32" s="2083">
        <f>SUM(O7,O11,O17,O22,O26)</f>
        <v>1436</v>
      </c>
      <c r="P32" s="2083">
        <f>SUM(P7,P11,P17,P22,P26)</f>
        <v>1412</v>
      </c>
    </row>
    <row r="33" spans="1:16" ht="15" x14ac:dyDescent="0.2">
      <c r="A33" s="5169"/>
      <c r="B33" s="2082" t="s">
        <v>11</v>
      </c>
      <c r="C33" s="2083">
        <f t="shared" ref="C33:K33" si="6">SUM(C18,C23,C27)</f>
        <v>878</v>
      </c>
      <c r="D33" s="2083">
        <f t="shared" si="6"/>
        <v>726</v>
      </c>
      <c r="E33" s="2083">
        <f t="shared" si="6"/>
        <v>831</v>
      </c>
      <c r="F33" s="2083">
        <f t="shared" si="6"/>
        <v>993</v>
      </c>
      <c r="G33" s="2083">
        <f t="shared" si="6"/>
        <v>1025</v>
      </c>
      <c r="H33" s="2083">
        <f t="shared" si="6"/>
        <v>1008</v>
      </c>
      <c r="I33" s="2083">
        <f t="shared" si="6"/>
        <v>983</v>
      </c>
      <c r="J33" s="2083">
        <f t="shared" si="6"/>
        <v>943</v>
      </c>
      <c r="K33" s="2083">
        <f t="shared" si="6"/>
        <v>709</v>
      </c>
      <c r="L33" s="2083">
        <f>SUM(L18,L23,L27)</f>
        <v>727</v>
      </c>
      <c r="M33" s="2083">
        <f>SUM(M18,M23,M27)</f>
        <v>652</v>
      </c>
      <c r="N33" s="2083">
        <f>SUM(N18,N23,N27)</f>
        <v>571</v>
      </c>
      <c r="O33" s="2083">
        <f>SUM(O18,O23,O27)</f>
        <v>658</v>
      </c>
      <c r="P33" s="2083">
        <f>SUM(P18,P23,P27)</f>
        <v>689</v>
      </c>
    </row>
    <row r="34" spans="1:16" ht="15" x14ac:dyDescent="0.2">
      <c r="A34" s="5169"/>
      <c r="B34" s="2082" t="s">
        <v>7</v>
      </c>
      <c r="C34" s="2083">
        <f t="shared" ref="C34:K34" si="7">SUM(C8,C28)</f>
        <v>613</v>
      </c>
      <c r="D34" s="2083">
        <f t="shared" si="7"/>
        <v>543</v>
      </c>
      <c r="E34" s="2083">
        <f t="shared" si="7"/>
        <v>443</v>
      </c>
      <c r="F34" s="2083">
        <f t="shared" si="7"/>
        <v>453</v>
      </c>
      <c r="G34" s="2083">
        <f t="shared" si="7"/>
        <v>473</v>
      </c>
      <c r="H34" s="2083">
        <f t="shared" si="7"/>
        <v>468</v>
      </c>
      <c r="I34" s="2083">
        <f t="shared" si="7"/>
        <v>505</v>
      </c>
      <c r="J34" s="2083">
        <f t="shared" si="7"/>
        <v>500</v>
      </c>
      <c r="K34" s="2083">
        <f t="shared" si="7"/>
        <v>559</v>
      </c>
      <c r="L34" s="2083">
        <f>SUM(L8,L28)</f>
        <v>486</v>
      </c>
      <c r="M34" s="2083">
        <f>SUM(M8,M28)</f>
        <v>477</v>
      </c>
      <c r="N34" s="2083">
        <f>SUM(N8,N28)</f>
        <v>446</v>
      </c>
      <c r="O34" s="2083">
        <f>SUM(O8,O28)</f>
        <v>428</v>
      </c>
      <c r="P34" s="2083">
        <f>SUM(P8,P28)</f>
        <v>426</v>
      </c>
    </row>
    <row r="35" spans="1:16" ht="15" x14ac:dyDescent="0.2">
      <c r="A35" s="5169"/>
      <c r="B35" s="2082" t="s">
        <v>9</v>
      </c>
      <c r="C35" s="2083">
        <f t="shared" ref="C35:K35" si="8">SUM(C12)</f>
        <v>0</v>
      </c>
      <c r="D35" s="2083">
        <f t="shared" si="8"/>
        <v>0</v>
      </c>
      <c r="E35" s="2083">
        <f t="shared" si="8"/>
        <v>0</v>
      </c>
      <c r="F35" s="2083">
        <f t="shared" si="8"/>
        <v>0</v>
      </c>
      <c r="G35" s="2083">
        <f t="shared" si="8"/>
        <v>0</v>
      </c>
      <c r="H35" s="2083">
        <f t="shared" si="8"/>
        <v>3</v>
      </c>
      <c r="I35" s="2083">
        <f t="shared" si="8"/>
        <v>5</v>
      </c>
      <c r="J35" s="2083">
        <f t="shared" si="8"/>
        <v>5</v>
      </c>
      <c r="K35" s="2083">
        <f t="shared" si="8"/>
        <v>2</v>
      </c>
      <c r="L35" s="2083">
        <f t="shared" ref="L35:O36" si="9">SUM(L12)</f>
        <v>0</v>
      </c>
      <c r="M35" s="2083">
        <f t="shared" si="9"/>
        <v>0</v>
      </c>
      <c r="N35" s="2083">
        <f t="shared" si="9"/>
        <v>0</v>
      </c>
      <c r="O35" s="2083">
        <f t="shared" si="9"/>
        <v>0</v>
      </c>
      <c r="P35" s="2083">
        <f t="shared" ref="P35" si="10">SUM(P12)</f>
        <v>23</v>
      </c>
    </row>
    <row r="36" spans="1:16" ht="15" x14ac:dyDescent="0.2">
      <c r="A36" s="5169"/>
      <c r="B36" s="2084" t="s">
        <v>74</v>
      </c>
      <c r="C36" s="2085">
        <f t="shared" ref="C36:K36" si="11">SUM(C13)</f>
        <v>0</v>
      </c>
      <c r="D36" s="2085">
        <f t="shared" si="11"/>
        <v>0</v>
      </c>
      <c r="E36" s="2085">
        <f t="shared" si="11"/>
        <v>0</v>
      </c>
      <c r="F36" s="2085">
        <f t="shared" si="11"/>
        <v>0</v>
      </c>
      <c r="G36" s="2085">
        <f t="shared" si="11"/>
        <v>2</v>
      </c>
      <c r="H36" s="2085">
        <f t="shared" si="11"/>
        <v>1</v>
      </c>
      <c r="I36" s="2085">
        <f t="shared" si="11"/>
        <v>3</v>
      </c>
      <c r="J36" s="2085">
        <f t="shared" si="11"/>
        <v>5</v>
      </c>
      <c r="K36" s="2085">
        <f t="shared" si="11"/>
        <v>4</v>
      </c>
      <c r="L36" s="2085">
        <f t="shared" si="9"/>
        <v>0</v>
      </c>
      <c r="M36" s="2085">
        <f t="shared" si="9"/>
        <v>0</v>
      </c>
      <c r="N36" s="2085">
        <f t="shared" si="9"/>
        <v>3</v>
      </c>
      <c r="O36" s="2085">
        <f t="shared" si="9"/>
        <v>0</v>
      </c>
      <c r="P36" s="2085">
        <f t="shared" ref="P36" si="12">SUM(P13)</f>
        <v>20</v>
      </c>
    </row>
    <row r="37" spans="1:16" ht="15" x14ac:dyDescent="0.2">
      <c r="A37" s="5170"/>
      <c r="B37" s="2086" t="s">
        <v>12</v>
      </c>
      <c r="C37" s="2087">
        <f t="shared" ref="C37:K37" si="13">SUM(C31:C36)</f>
        <v>4648</v>
      </c>
      <c r="D37" s="2087">
        <f t="shared" si="13"/>
        <v>4021</v>
      </c>
      <c r="E37" s="2087">
        <f t="shared" si="13"/>
        <v>4062</v>
      </c>
      <c r="F37" s="2087">
        <f t="shared" si="13"/>
        <v>4318</v>
      </c>
      <c r="G37" s="2087">
        <f t="shared" si="13"/>
        <v>4688</v>
      </c>
      <c r="H37" s="2087">
        <f t="shared" si="13"/>
        <v>4341</v>
      </c>
      <c r="I37" s="2087">
        <f t="shared" si="13"/>
        <v>4427</v>
      </c>
      <c r="J37" s="2087">
        <f t="shared" si="13"/>
        <v>4287</v>
      </c>
      <c r="K37" s="2087">
        <f t="shared" si="13"/>
        <v>4036</v>
      </c>
      <c r="L37" s="2087">
        <f>SUM(L31:L36)</f>
        <v>3608</v>
      </c>
      <c r="M37" s="2087">
        <f>SUM(M31:M36)</f>
        <v>3532</v>
      </c>
      <c r="N37" s="2087">
        <f>SUM(N31:N36)</f>
        <v>3217</v>
      </c>
      <c r="O37" s="2087">
        <f>SUM(O31:O36)</f>
        <v>3762</v>
      </c>
      <c r="P37" s="2087">
        <f>SUM(P31:P36)</f>
        <v>3793</v>
      </c>
    </row>
    <row r="38" spans="1:16" ht="15" x14ac:dyDescent="0.2">
      <c r="B38" s="9"/>
      <c r="C38" s="9"/>
      <c r="D38" s="9"/>
      <c r="E38" s="9"/>
      <c r="F38" s="9"/>
      <c r="G38" s="9"/>
      <c r="H38" s="9"/>
    </row>
    <row r="39" spans="1:16" x14ac:dyDescent="0.2">
      <c r="A39" s="322" t="s">
        <v>0</v>
      </c>
    </row>
  </sheetData>
  <mergeCells count="6">
    <mergeCell ref="A11:A14"/>
    <mergeCell ref="A16:A19"/>
    <mergeCell ref="A26:A29"/>
    <mergeCell ref="A31:A37"/>
    <mergeCell ref="A6:A9"/>
    <mergeCell ref="A21:A24"/>
  </mergeCells>
  <printOptions horizontalCentered="1" verticalCentered="1"/>
  <pageMargins left="0.59055118110236227" right="0.59055118110236227" top="0.31496062992125984" bottom="0.15748031496062992" header="0" footer="0"/>
  <pageSetup scale="64" orientation="landscape" horizontalDpi="1200" verticalDpi="1200" r:id="rId1"/>
  <headerFooter alignWithMargins="0"/>
  <rowBreaks count="1" manualBreakCount="1">
    <brk id="39" max="15" man="1"/>
  </rowBreaks>
  <ignoredErrors>
    <ignoredError sqref="M9:M13 M15 M25 M19:M23 M29:M34 M37" formulaRange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P101"/>
  <sheetViews>
    <sheetView showGridLines="0" zoomScaleNormal="100" zoomScaleSheetLayoutView="100" workbookViewId="0">
      <pane xSplit="3" ySplit="3" topLeftCell="D61" activePane="bottomRight" state="frozen"/>
      <selection pane="topRight" activeCell="D1" sqref="D1"/>
      <selection pane="bottomLeft" activeCell="A5" sqref="A5"/>
      <selection pane="bottomRight" activeCell="A70" sqref="A70:C75"/>
    </sheetView>
  </sheetViews>
  <sheetFormatPr baseColWidth="10" defaultRowHeight="12.75" x14ac:dyDescent="0.2"/>
  <cols>
    <col min="1" max="1" width="9.140625" style="202" bestFit="1" customWidth="1"/>
    <col min="2" max="2" width="10.28515625" style="202" bestFit="1" customWidth="1"/>
    <col min="3" max="3" width="36.140625" style="202" customWidth="1"/>
    <col min="4" max="16" width="9.7109375" style="202" customWidth="1"/>
    <col min="17" max="255" width="11.42578125" style="202"/>
    <col min="256" max="256" width="1.7109375" style="202" customWidth="1"/>
    <col min="257" max="257" width="18" style="202" bestFit="1" customWidth="1"/>
    <col min="258" max="258" width="6" style="202" bestFit="1" customWidth="1"/>
    <col min="259" max="259" width="37" style="202" bestFit="1" customWidth="1"/>
    <col min="260" max="266" width="12.7109375" style="202" customWidth="1"/>
    <col min="267" max="511" width="11.42578125" style="202"/>
    <col min="512" max="512" width="1.7109375" style="202" customWidth="1"/>
    <col min="513" max="513" width="18" style="202" bestFit="1" customWidth="1"/>
    <col min="514" max="514" width="6" style="202" bestFit="1" customWidth="1"/>
    <col min="515" max="515" width="37" style="202" bestFit="1" customWidth="1"/>
    <col min="516" max="522" width="12.7109375" style="202" customWidth="1"/>
    <col min="523" max="767" width="11.42578125" style="202"/>
    <col min="768" max="768" width="1.7109375" style="202" customWidth="1"/>
    <col min="769" max="769" width="18" style="202" bestFit="1" customWidth="1"/>
    <col min="770" max="770" width="6" style="202" bestFit="1" customWidth="1"/>
    <col min="771" max="771" width="37" style="202" bestFit="1" customWidth="1"/>
    <col min="772" max="778" width="12.7109375" style="202" customWidth="1"/>
    <col min="779" max="1023" width="11.42578125" style="202"/>
    <col min="1024" max="1024" width="1.7109375" style="202" customWidth="1"/>
    <col min="1025" max="1025" width="18" style="202" bestFit="1" customWidth="1"/>
    <col min="1026" max="1026" width="6" style="202" bestFit="1" customWidth="1"/>
    <col min="1027" max="1027" width="37" style="202" bestFit="1" customWidth="1"/>
    <col min="1028" max="1034" width="12.7109375" style="202" customWidth="1"/>
    <col min="1035" max="1279" width="11.42578125" style="202"/>
    <col min="1280" max="1280" width="1.7109375" style="202" customWidth="1"/>
    <col min="1281" max="1281" width="18" style="202" bestFit="1" customWidth="1"/>
    <col min="1282" max="1282" width="6" style="202" bestFit="1" customWidth="1"/>
    <col min="1283" max="1283" width="37" style="202" bestFit="1" customWidth="1"/>
    <col min="1284" max="1290" width="12.7109375" style="202" customWidth="1"/>
    <col min="1291" max="1535" width="11.42578125" style="202"/>
    <col min="1536" max="1536" width="1.7109375" style="202" customWidth="1"/>
    <col min="1537" max="1537" width="18" style="202" bestFit="1" customWidth="1"/>
    <col min="1538" max="1538" width="6" style="202" bestFit="1" customWidth="1"/>
    <col min="1539" max="1539" width="37" style="202" bestFit="1" customWidth="1"/>
    <col min="1540" max="1546" width="12.7109375" style="202" customWidth="1"/>
    <col min="1547" max="1791" width="11.42578125" style="202"/>
    <col min="1792" max="1792" width="1.7109375" style="202" customWidth="1"/>
    <col min="1793" max="1793" width="18" style="202" bestFit="1" customWidth="1"/>
    <col min="1794" max="1794" width="6" style="202" bestFit="1" customWidth="1"/>
    <col min="1795" max="1795" width="37" style="202" bestFit="1" customWidth="1"/>
    <col min="1796" max="1802" width="12.7109375" style="202" customWidth="1"/>
    <col min="1803" max="2047" width="11.42578125" style="202"/>
    <col min="2048" max="2048" width="1.7109375" style="202" customWidth="1"/>
    <col min="2049" max="2049" width="18" style="202" bestFit="1" customWidth="1"/>
    <col min="2050" max="2050" width="6" style="202" bestFit="1" customWidth="1"/>
    <col min="2051" max="2051" width="37" style="202" bestFit="1" customWidth="1"/>
    <col min="2052" max="2058" width="12.7109375" style="202" customWidth="1"/>
    <col min="2059" max="2303" width="11.42578125" style="202"/>
    <col min="2304" max="2304" width="1.7109375" style="202" customWidth="1"/>
    <col min="2305" max="2305" width="18" style="202" bestFit="1" customWidth="1"/>
    <col min="2306" max="2306" width="6" style="202" bestFit="1" customWidth="1"/>
    <col min="2307" max="2307" width="37" style="202" bestFit="1" customWidth="1"/>
    <col min="2308" max="2314" width="12.7109375" style="202" customWidth="1"/>
    <col min="2315" max="2559" width="11.42578125" style="202"/>
    <col min="2560" max="2560" width="1.7109375" style="202" customWidth="1"/>
    <col min="2561" max="2561" width="18" style="202" bestFit="1" customWidth="1"/>
    <col min="2562" max="2562" width="6" style="202" bestFit="1" customWidth="1"/>
    <col min="2563" max="2563" width="37" style="202" bestFit="1" customWidth="1"/>
    <col min="2564" max="2570" width="12.7109375" style="202" customWidth="1"/>
    <col min="2571" max="2815" width="11.42578125" style="202"/>
    <col min="2816" max="2816" width="1.7109375" style="202" customWidth="1"/>
    <col min="2817" max="2817" width="18" style="202" bestFit="1" customWidth="1"/>
    <col min="2818" max="2818" width="6" style="202" bestFit="1" customWidth="1"/>
    <col min="2819" max="2819" width="37" style="202" bestFit="1" customWidth="1"/>
    <col min="2820" max="2826" width="12.7109375" style="202" customWidth="1"/>
    <col min="2827" max="3071" width="11.42578125" style="202"/>
    <col min="3072" max="3072" width="1.7109375" style="202" customWidth="1"/>
    <col min="3073" max="3073" width="18" style="202" bestFit="1" customWidth="1"/>
    <col min="3074" max="3074" width="6" style="202" bestFit="1" customWidth="1"/>
    <col min="3075" max="3075" width="37" style="202" bestFit="1" customWidth="1"/>
    <col min="3076" max="3082" width="12.7109375" style="202" customWidth="1"/>
    <col min="3083" max="3327" width="11.42578125" style="202"/>
    <col min="3328" max="3328" width="1.7109375" style="202" customWidth="1"/>
    <col min="3329" max="3329" width="18" style="202" bestFit="1" customWidth="1"/>
    <col min="3330" max="3330" width="6" style="202" bestFit="1" customWidth="1"/>
    <col min="3331" max="3331" width="37" style="202" bestFit="1" customWidth="1"/>
    <col min="3332" max="3338" width="12.7109375" style="202" customWidth="1"/>
    <col min="3339" max="3583" width="11.42578125" style="202"/>
    <col min="3584" max="3584" width="1.7109375" style="202" customWidth="1"/>
    <col min="3585" max="3585" width="18" style="202" bestFit="1" customWidth="1"/>
    <col min="3586" max="3586" width="6" style="202" bestFit="1" customWidth="1"/>
    <col min="3587" max="3587" width="37" style="202" bestFit="1" customWidth="1"/>
    <col min="3588" max="3594" width="12.7109375" style="202" customWidth="1"/>
    <col min="3595" max="3839" width="11.42578125" style="202"/>
    <col min="3840" max="3840" width="1.7109375" style="202" customWidth="1"/>
    <col min="3841" max="3841" width="18" style="202" bestFit="1" customWidth="1"/>
    <col min="3842" max="3842" width="6" style="202" bestFit="1" customWidth="1"/>
    <col min="3843" max="3843" width="37" style="202" bestFit="1" customWidth="1"/>
    <col min="3844" max="3850" width="12.7109375" style="202" customWidth="1"/>
    <col min="3851" max="4095" width="11.42578125" style="202"/>
    <col min="4096" max="4096" width="1.7109375" style="202" customWidth="1"/>
    <col min="4097" max="4097" width="18" style="202" bestFit="1" customWidth="1"/>
    <col min="4098" max="4098" width="6" style="202" bestFit="1" customWidth="1"/>
    <col min="4099" max="4099" width="37" style="202" bestFit="1" customWidth="1"/>
    <col min="4100" max="4106" width="12.7109375" style="202" customWidth="1"/>
    <col min="4107" max="4351" width="11.42578125" style="202"/>
    <col min="4352" max="4352" width="1.7109375" style="202" customWidth="1"/>
    <col min="4353" max="4353" width="18" style="202" bestFit="1" customWidth="1"/>
    <col min="4354" max="4354" width="6" style="202" bestFit="1" customWidth="1"/>
    <col min="4355" max="4355" width="37" style="202" bestFit="1" customWidth="1"/>
    <col min="4356" max="4362" width="12.7109375" style="202" customWidth="1"/>
    <col min="4363" max="4607" width="11.42578125" style="202"/>
    <col min="4608" max="4608" width="1.7109375" style="202" customWidth="1"/>
    <col min="4609" max="4609" width="18" style="202" bestFit="1" customWidth="1"/>
    <col min="4610" max="4610" width="6" style="202" bestFit="1" customWidth="1"/>
    <col min="4611" max="4611" width="37" style="202" bestFit="1" customWidth="1"/>
    <col min="4612" max="4618" width="12.7109375" style="202" customWidth="1"/>
    <col min="4619" max="4863" width="11.42578125" style="202"/>
    <col min="4864" max="4864" width="1.7109375" style="202" customWidth="1"/>
    <col min="4865" max="4865" width="18" style="202" bestFit="1" customWidth="1"/>
    <col min="4866" max="4866" width="6" style="202" bestFit="1" customWidth="1"/>
    <col min="4867" max="4867" width="37" style="202" bestFit="1" customWidth="1"/>
    <col min="4868" max="4874" width="12.7109375" style="202" customWidth="1"/>
    <col min="4875" max="5119" width="11.42578125" style="202"/>
    <col min="5120" max="5120" width="1.7109375" style="202" customWidth="1"/>
    <col min="5121" max="5121" width="18" style="202" bestFit="1" customWidth="1"/>
    <col min="5122" max="5122" width="6" style="202" bestFit="1" customWidth="1"/>
    <col min="5123" max="5123" width="37" style="202" bestFit="1" customWidth="1"/>
    <col min="5124" max="5130" width="12.7109375" style="202" customWidth="1"/>
    <col min="5131" max="5375" width="11.42578125" style="202"/>
    <col min="5376" max="5376" width="1.7109375" style="202" customWidth="1"/>
    <col min="5377" max="5377" width="18" style="202" bestFit="1" customWidth="1"/>
    <col min="5378" max="5378" width="6" style="202" bestFit="1" customWidth="1"/>
    <col min="5379" max="5379" width="37" style="202" bestFit="1" customWidth="1"/>
    <col min="5380" max="5386" width="12.7109375" style="202" customWidth="1"/>
    <col min="5387" max="5631" width="11.42578125" style="202"/>
    <col min="5632" max="5632" width="1.7109375" style="202" customWidth="1"/>
    <col min="5633" max="5633" width="18" style="202" bestFit="1" customWidth="1"/>
    <col min="5634" max="5634" width="6" style="202" bestFit="1" customWidth="1"/>
    <col min="5635" max="5635" width="37" style="202" bestFit="1" customWidth="1"/>
    <col min="5636" max="5642" width="12.7109375" style="202" customWidth="1"/>
    <col min="5643" max="5887" width="11.42578125" style="202"/>
    <col min="5888" max="5888" width="1.7109375" style="202" customWidth="1"/>
    <col min="5889" max="5889" width="18" style="202" bestFit="1" customWidth="1"/>
    <col min="5890" max="5890" width="6" style="202" bestFit="1" customWidth="1"/>
    <col min="5891" max="5891" width="37" style="202" bestFit="1" customWidth="1"/>
    <col min="5892" max="5898" width="12.7109375" style="202" customWidth="1"/>
    <col min="5899" max="6143" width="11.42578125" style="202"/>
    <col min="6144" max="6144" width="1.7109375" style="202" customWidth="1"/>
    <col min="6145" max="6145" width="18" style="202" bestFit="1" customWidth="1"/>
    <col min="6146" max="6146" width="6" style="202" bestFit="1" customWidth="1"/>
    <col min="6147" max="6147" width="37" style="202" bestFit="1" customWidth="1"/>
    <col min="6148" max="6154" width="12.7109375" style="202" customWidth="1"/>
    <col min="6155" max="6399" width="11.42578125" style="202"/>
    <col min="6400" max="6400" width="1.7109375" style="202" customWidth="1"/>
    <col min="6401" max="6401" width="18" style="202" bestFit="1" customWidth="1"/>
    <col min="6402" max="6402" width="6" style="202" bestFit="1" customWidth="1"/>
    <col min="6403" max="6403" width="37" style="202" bestFit="1" customWidth="1"/>
    <col min="6404" max="6410" width="12.7109375" style="202" customWidth="1"/>
    <col min="6411" max="6655" width="11.42578125" style="202"/>
    <col min="6656" max="6656" width="1.7109375" style="202" customWidth="1"/>
    <col min="6657" max="6657" width="18" style="202" bestFit="1" customWidth="1"/>
    <col min="6658" max="6658" width="6" style="202" bestFit="1" customWidth="1"/>
    <col min="6659" max="6659" width="37" style="202" bestFit="1" customWidth="1"/>
    <col min="6660" max="6666" width="12.7109375" style="202" customWidth="1"/>
    <col min="6667" max="6911" width="11.42578125" style="202"/>
    <col min="6912" max="6912" width="1.7109375" style="202" customWidth="1"/>
    <col min="6913" max="6913" width="18" style="202" bestFit="1" customWidth="1"/>
    <col min="6914" max="6914" width="6" style="202" bestFit="1" customWidth="1"/>
    <col min="6915" max="6915" width="37" style="202" bestFit="1" customWidth="1"/>
    <col min="6916" max="6922" width="12.7109375" style="202" customWidth="1"/>
    <col min="6923" max="7167" width="11.42578125" style="202"/>
    <col min="7168" max="7168" width="1.7109375" style="202" customWidth="1"/>
    <col min="7169" max="7169" width="18" style="202" bestFit="1" customWidth="1"/>
    <col min="7170" max="7170" width="6" style="202" bestFit="1" customWidth="1"/>
    <col min="7171" max="7171" width="37" style="202" bestFit="1" customWidth="1"/>
    <col min="7172" max="7178" width="12.7109375" style="202" customWidth="1"/>
    <col min="7179" max="7423" width="11.42578125" style="202"/>
    <col min="7424" max="7424" width="1.7109375" style="202" customWidth="1"/>
    <col min="7425" max="7425" width="18" style="202" bestFit="1" customWidth="1"/>
    <col min="7426" max="7426" width="6" style="202" bestFit="1" customWidth="1"/>
    <col min="7427" max="7427" width="37" style="202" bestFit="1" customWidth="1"/>
    <col min="7428" max="7434" width="12.7109375" style="202" customWidth="1"/>
    <col min="7435" max="7679" width="11.42578125" style="202"/>
    <col min="7680" max="7680" width="1.7109375" style="202" customWidth="1"/>
    <col min="7681" max="7681" width="18" style="202" bestFit="1" customWidth="1"/>
    <col min="7682" max="7682" width="6" style="202" bestFit="1" customWidth="1"/>
    <col min="7683" max="7683" width="37" style="202" bestFit="1" customWidth="1"/>
    <col min="7684" max="7690" width="12.7109375" style="202" customWidth="1"/>
    <col min="7691" max="7935" width="11.42578125" style="202"/>
    <col min="7936" max="7936" width="1.7109375" style="202" customWidth="1"/>
    <col min="7937" max="7937" width="18" style="202" bestFit="1" customWidth="1"/>
    <col min="7938" max="7938" width="6" style="202" bestFit="1" customWidth="1"/>
    <col min="7939" max="7939" width="37" style="202" bestFit="1" customWidth="1"/>
    <col min="7940" max="7946" width="12.7109375" style="202" customWidth="1"/>
    <col min="7947" max="8191" width="11.42578125" style="202"/>
    <col min="8192" max="8192" width="1.7109375" style="202" customWidth="1"/>
    <col min="8193" max="8193" width="18" style="202" bestFit="1" customWidth="1"/>
    <col min="8194" max="8194" width="6" style="202" bestFit="1" customWidth="1"/>
    <col min="8195" max="8195" width="37" style="202" bestFit="1" customWidth="1"/>
    <col min="8196" max="8202" width="12.7109375" style="202" customWidth="1"/>
    <col min="8203" max="8447" width="11.42578125" style="202"/>
    <col min="8448" max="8448" width="1.7109375" style="202" customWidth="1"/>
    <col min="8449" max="8449" width="18" style="202" bestFit="1" customWidth="1"/>
    <col min="8450" max="8450" width="6" style="202" bestFit="1" customWidth="1"/>
    <col min="8451" max="8451" width="37" style="202" bestFit="1" customWidth="1"/>
    <col min="8452" max="8458" width="12.7109375" style="202" customWidth="1"/>
    <col min="8459" max="8703" width="11.42578125" style="202"/>
    <col min="8704" max="8704" width="1.7109375" style="202" customWidth="1"/>
    <col min="8705" max="8705" width="18" style="202" bestFit="1" customWidth="1"/>
    <col min="8706" max="8706" width="6" style="202" bestFit="1" customWidth="1"/>
    <col min="8707" max="8707" width="37" style="202" bestFit="1" customWidth="1"/>
    <col min="8708" max="8714" width="12.7109375" style="202" customWidth="1"/>
    <col min="8715" max="8959" width="11.42578125" style="202"/>
    <col min="8960" max="8960" width="1.7109375" style="202" customWidth="1"/>
    <col min="8961" max="8961" width="18" style="202" bestFit="1" customWidth="1"/>
    <col min="8962" max="8962" width="6" style="202" bestFit="1" customWidth="1"/>
    <col min="8963" max="8963" width="37" style="202" bestFit="1" customWidth="1"/>
    <col min="8964" max="8970" width="12.7109375" style="202" customWidth="1"/>
    <col min="8971" max="9215" width="11.42578125" style="202"/>
    <col min="9216" max="9216" width="1.7109375" style="202" customWidth="1"/>
    <col min="9217" max="9217" width="18" style="202" bestFit="1" customWidth="1"/>
    <col min="9218" max="9218" width="6" style="202" bestFit="1" customWidth="1"/>
    <col min="9219" max="9219" width="37" style="202" bestFit="1" customWidth="1"/>
    <col min="9220" max="9226" width="12.7109375" style="202" customWidth="1"/>
    <col min="9227" max="9471" width="11.42578125" style="202"/>
    <col min="9472" max="9472" width="1.7109375" style="202" customWidth="1"/>
    <col min="9473" max="9473" width="18" style="202" bestFit="1" customWidth="1"/>
    <col min="9474" max="9474" width="6" style="202" bestFit="1" customWidth="1"/>
    <col min="9475" max="9475" width="37" style="202" bestFit="1" customWidth="1"/>
    <col min="9476" max="9482" width="12.7109375" style="202" customWidth="1"/>
    <col min="9483" max="9727" width="11.42578125" style="202"/>
    <col min="9728" max="9728" width="1.7109375" style="202" customWidth="1"/>
    <col min="9729" max="9729" width="18" style="202" bestFit="1" customWidth="1"/>
    <col min="9730" max="9730" width="6" style="202" bestFit="1" customWidth="1"/>
    <col min="9731" max="9731" width="37" style="202" bestFit="1" customWidth="1"/>
    <col min="9732" max="9738" width="12.7109375" style="202" customWidth="1"/>
    <col min="9739" max="9983" width="11.42578125" style="202"/>
    <col min="9984" max="9984" width="1.7109375" style="202" customWidth="1"/>
    <col min="9985" max="9985" width="18" style="202" bestFit="1" customWidth="1"/>
    <col min="9986" max="9986" width="6" style="202" bestFit="1" customWidth="1"/>
    <col min="9987" max="9987" width="37" style="202" bestFit="1" customWidth="1"/>
    <col min="9988" max="9994" width="12.7109375" style="202" customWidth="1"/>
    <col min="9995" max="10239" width="11.42578125" style="202"/>
    <col min="10240" max="10240" width="1.7109375" style="202" customWidth="1"/>
    <col min="10241" max="10241" width="18" style="202" bestFit="1" customWidth="1"/>
    <col min="10242" max="10242" width="6" style="202" bestFit="1" customWidth="1"/>
    <col min="10243" max="10243" width="37" style="202" bestFit="1" customWidth="1"/>
    <col min="10244" max="10250" width="12.7109375" style="202" customWidth="1"/>
    <col min="10251" max="10495" width="11.42578125" style="202"/>
    <col min="10496" max="10496" width="1.7109375" style="202" customWidth="1"/>
    <col min="10497" max="10497" width="18" style="202" bestFit="1" customWidth="1"/>
    <col min="10498" max="10498" width="6" style="202" bestFit="1" customWidth="1"/>
    <col min="10499" max="10499" width="37" style="202" bestFit="1" customWidth="1"/>
    <col min="10500" max="10506" width="12.7109375" style="202" customWidth="1"/>
    <col min="10507" max="10751" width="11.42578125" style="202"/>
    <col min="10752" max="10752" width="1.7109375" style="202" customWidth="1"/>
    <col min="10753" max="10753" width="18" style="202" bestFit="1" customWidth="1"/>
    <col min="10754" max="10754" width="6" style="202" bestFit="1" customWidth="1"/>
    <col min="10755" max="10755" width="37" style="202" bestFit="1" customWidth="1"/>
    <col min="10756" max="10762" width="12.7109375" style="202" customWidth="1"/>
    <col min="10763" max="11007" width="11.42578125" style="202"/>
    <col min="11008" max="11008" width="1.7109375" style="202" customWidth="1"/>
    <col min="11009" max="11009" width="18" style="202" bestFit="1" customWidth="1"/>
    <col min="11010" max="11010" width="6" style="202" bestFit="1" customWidth="1"/>
    <col min="11011" max="11011" width="37" style="202" bestFit="1" customWidth="1"/>
    <col min="11012" max="11018" width="12.7109375" style="202" customWidth="1"/>
    <col min="11019" max="11263" width="11.42578125" style="202"/>
    <col min="11264" max="11264" width="1.7109375" style="202" customWidth="1"/>
    <col min="11265" max="11265" width="18" style="202" bestFit="1" customWidth="1"/>
    <col min="11266" max="11266" width="6" style="202" bestFit="1" customWidth="1"/>
    <col min="11267" max="11267" width="37" style="202" bestFit="1" customWidth="1"/>
    <col min="11268" max="11274" width="12.7109375" style="202" customWidth="1"/>
    <col min="11275" max="11519" width="11.42578125" style="202"/>
    <col min="11520" max="11520" width="1.7109375" style="202" customWidth="1"/>
    <col min="11521" max="11521" width="18" style="202" bestFit="1" customWidth="1"/>
    <col min="11522" max="11522" width="6" style="202" bestFit="1" customWidth="1"/>
    <col min="11523" max="11523" width="37" style="202" bestFit="1" customWidth="1"/>
    <col min="11524" max="11530" width="12.7109375" style="202" customWidth="1"/>
    <col min="11531" max="11775" width="11.42578125" style="202"/>
    <col min="11776" max="11776" width="1.7109375" style="202" customWidth="1"/>
    <col min="11777" max="11777" width="18" style="202" bestFit="1" customWidth="1"/>
    <col min="11778" max="11778" width="6" style="202" bestFit="1" customWidth="1"/>
    <col min="11779" max="11779" width="37" style="202" bestFit="1" customWidth="1"/>
    <col min="11780" max="11786" width="12.7109375" style="202" customWidth="1"/>
    <col min="11787" max="12031" width="11.42578125" style="202"/>
    <col min="12032" max="12032" width="1.7109375" style="202" customWidth="1"/>
    <col min="12033" max="12033" width="18" style="202" bestFit="1" customWidth="1"/>
    <col min="12034" max="12034" width="6" style="202" bestFit="1" customWidth="1"/>
    <col min="12035" max="12035" width="37" style="202" bestFit="1" customWidth="1"/>
    <col min="12036" max="12042" width="12.7109375" style="202" customWidth="1"/>
    <col min="12043" max="12287" width="11.42578125" style="202"/>
    <col min="12288" max="12288" width="1.7109375" style="202" customWidth="1"/>
    <col min="12289" max="12289" width="18" style="202" bestFit="1" customWidth="1"/>
    <col min="12290" max="12290" width="6" style="202" bestFit="1" customWidth="1"/>
    <col min="12291" max="12291" width="37" style="202" bestFit="1" customWidth="1"/>
    <col min="12292" max="12298" width="12.7109375" style="202" customWidth="1"/>
    <col min="12299" max="12543" width="11.42578125" style="202"/>
    <col min="12544" max="12544" width="1.7109375" style="202" customWidth="1"/>
    <col min="12545" max="12545" width="18" style="202" bestFit="1" customWidth="1"/>
    <col min="12546" max="12546" width="6" style="202" bestFit="1" customWidth="1"/>
    <col min="12547" max="12547" width="37" style="202" bestFit="1" customWidth="1"/>
    <col min="12548" max="12554" width="12.7109375" style="202" customWidth="1"/>
    <col min="12555" max="12799" width="11.42578125" style="202"/>
    <col min="12800" max="12800" width="1.7109375" style="202" customWidth="1"/>
    <col min="12801" max="12801" width="18" style="202" bestFit="1" customWidth="1"/>
    <col min="12802" max="12802" width="6" style="202" bestFit="1" customWidth="1"/>
    <col min="12803" max="12803" width="37" style="202" bestFit="1" customWidth="1"/>
    <col min="12804" max="12810" width="12.7109375" style="202" customWidth="1"/>
    <col min="12811" max="13055" width="11.42578125" style="202"/>
    <col min="13056" max="13056" width="1.7109375" style="202" customWidth="1"/>
    <col min="13057" max="13057" width="18" style="202" bestFit="1" customWidth="1"/>
    <col min="13058" max="13058" width="6" style="202" bestFit="1" customWidth="1"/>
    <col min="13059" max="13059" width="37" style="202" bestFit="1" customWidth="1"/>
    <col min="13060" max="13066" width="12.7109375" style="202" customWidth="1"/>
    <col min="13067" max="13311" width="11.42578125" style="202"/>
    <col min="13312" max="13312" width="1.7109375" style="202" customWidth="1"/>
    <col min="13313" max="13313" width="18" style="202" bestFit="1" customWidth="1"/>
    <col min="13314" max="13314" width="6" style="202" bestFit="1" customWidth="1"/>
    <col min="13315" max="13315" width="37" style="202" bestFit="1" customWidth="1"/>
    <col min="13316" max="13322" width="12.7109375" style="202" customWidth="1"/>
    <col min="13323" max="13567" width="11.42578125" style="202"/>
    <col min="13568" max="13568" width="1.7109375" style="202" customWidth="1"/>
    <col min="13569" max="13569" width="18" style="202" bestFit="1" customWidth="1"/>
    <col min="13570" max="13570" width="6" style="202" bestFit="1" customWidth="1"/>
    <col min="13571" max="13571" width="37" style="202" bestFit="1" customWidth="1"/>
    <col min="13572" max="13578" width="12.7109375" style="202" customWidth="1"/>
    <col min="13579" max="13823" width="11.42578125" style="202"/>
    <col min="13824" max="13824" width="1.7109375" style="202" customWidth="1"/>
    <col min="13825" max="13825" width="18" style="202" bestFit="1" customWidth="1"/>
    <col min="13826" max="13826" width="6" style="202" bestFit="1" customWidth="1"/>
    <col min="13827" max="13827" width="37" style="202" bestFit="1" customWidth="1"/>
    <col min="13828" max="13834" width="12.7109375" style="202" customWidth="1"/>
    <col min="13835" max="14079" width="11.42578125" style="202"/>
    <col min="14080" max="14080" width="1.7109375" style="202" customWidth="1"/>
    <col min="14081" max="14081" width="18" style="202" bestFit="1" customWidth="1"/>
    <col min="14082" max="14082" width="6" style="202" bestFit="1" customWidth="1"/>
    <col min="14083" max="14083" width="37" style="202" bestFit="1" customWidth="1"/>
    <col min="14084" max="14090" width="12.7109375" style="202" customWidth="1"/>
    <col min="14091" max="14335" width="11.42578125" style="202"/>
    <col min="14336" max="14336" width="1.7109375" style="202" customWidth="1"/>
    <col min="14337" max="14337" width="18" style="202" bestFit="1" customWidth="1"/>
    <col min="14338" max="14338" width="6" style="202" bestFit="1" customWidth="1"/>
    <col min="14339" max="14339" width="37" style="202" bestFit="1" customWidth="1"/>
    <col min="14340" max="14346" width="12.7109375" style="202" customWidth="1"/>
    <col min="14347" max="14591" width="11.42578125" style="202"/>
    <col min="14592" max="14592" width="1.7109375" style="202" customWidth="1"/>
    <col min="14593" max="14593" width="18" style="202" bestFit="1" customWidth="1"/>
    <col min="14594" max="14594" width="6" style="202" bestFit="1" customWidth="1"/>
    <col min="14595" max="14595" width="37" style="202" bestFit="1" customWidth="1"/>
    <col min="14596" max="14602" width="12.7109375" style="202" customWidth="1"/>
    <col min="14603" max="14847" width="11.42578125" style="202"/>
    <col min="14848" max="14848" width="1.7109375" style="202" customWidth="1"/>
    <col min="14849" max="14849" width="18" style="202" bestFit="1" customWidth="1"/>
    <col min="14850" max="14850" width="6" style="202" bestFit="1" customWidth="1"/>
    <col min="14851" max="14851" width="37" style="202" bestFit="1" customWidth="1"/>
    <col min="14852" max="14858" width="12.7109375" style="202" customWidth="1"/>
    <col min="14859" max="15103" width="11.42578125" style="202"/>
    <col min="15104" max="15104" width="1.7109375" style="202" customWidth="1"/>
    <col min="15105" max="15105" width="18" style="202" bestFit="1" customWidth="1"/>
    <col min="15106" max="15106" width="6" style="202" bestFit="1" customWidth="1"/>
    <col min="15107" max="15107" width="37" style="202" bestFit="1" customWidth="1"/>
    <col min="15108" max="15114" width="12.7109375" style="202" customWidth="1"/>
    <col min="15115" max="15359" width="11.42578125" style="202"/>
    <col min="15360" max="15360" width="1.7109375" style="202" customWidth="1"/>
    <col min="15361" max="15361" width="18" style="202" bestFit="1" customWidth="1"/>
    <col min="15362" max="15362" width="6" style="202" bestFit="1" customWidth="1"/>
    <col min="15363" max="15363" width="37" style="202" bestFit="1" customWidth="1"/>
    <col min="15364" max="15370" width="12.7109375" style="202" customWidth="1"/>
    <col min="15371" max="15615" width="11.42578125" style="202"/>
    <col min="15616" max="15616" width="1.7109375" style="202" customWidth="1"/>
    <col min="15617" max="15617" width="18" style="202" bestFit="1" customWidth="1"/>
    <col min="15618" max="15618" width="6" style="202" bestFit="1" customWidth="1"/>
    <col min="15619" max="15619" width="37" style="202" bestFit="1" customWidth="1"/>
    <col min="15620" max="15626" width="12.7109375" style="202" customWidth="1"/>
    <col min="15627" max="15871" width="11.42578125" style="202"/>
    <col min="15872" max="15872" width="1.7109375" style="202" customWidth="1"/>
    <col min="15873" max="15873" width="18" style="202" bestFit="1" customWidth="1"/>
    <col min="15874" max="15874" width="6" style="202" bestFit="1" customWidth="1"/>
    <col min="15875" max="15875" width="37" style="202" bestFit="1" customWidth="1"/>
    <col min="15876" max="15882" width="12.7109375" style="202" customWidth="1"/>
    <col min="15883" max="16127" width="11.42578125" style="202"/>
    <col min="16128" max="16128" width="1.7109375" style="202" customWidth="1"/>
    <col min="16129" max="16129" width="18" style="202" bestFit="1" customWidth="1"/>
    <col min="16130" max="16130" width="6" style="202" bestFit="1" customWidth="1"/>
    <col min="16131" max="16131" width="37" style="202" bestFit="1" customWidth="1"/>
    <col min="16132" max="16138" width="12.7109375" style="202" customWidth="1"/>
    <col min="16139" max="16384" width="11.42578125" style="202"/>
  </cols>
  <sheetData>
    <row r="1" spans="1:16" s="203" customFormat="1" ht="31.5" customHeight="1" x14ac:dyDescent="0.25">
      <c r="A1" s="5058" t="s">
        <v>1359</v>
      </c>
      <c r="B1" s="5058"/>
      <c r="C1" s="5058"/>
      <c r="D1" s="191"/>
      <c r="E1" s="191"/>
      <c r="F1" s="191"/>
      <c r="G1" s="191"/>
      <c r="H1" s="191"/>
      <c r="I1" s="191"/>
      <c r="J1" s="191"/>
    </row>
    <row r="2" spans="1:16" ht="15" customHeight="1" x14ac:dyDescent="0.25">
      <c r="A2" s="204"/>
      <c r="B2" s="205"/>
    </row>
    <row r="3" spans="1:16" s="196" customFormat="1" ht="32.25" customHeight="1" x14ac:dyDescent="0.25">
      <c r="A3" s="2059" t="s">
        <v>16</v>
      </c>
      <c r="B3" s="2059" t="s">
        <v>4</v>
      </c>
      <c r="C3" s="2059" t="s">
        <v>351</v>
      </c>
      <c r="D3" s="566">
        <v>2003</v>
      </c>
      <c r="E3" s="566">
        <v>2004</v>
      </c>
      <c r="F3" s="1472">
        <v>2005</v>
      </c>
      <c r="G3" s="567">
        <v>2006</v>
      </c>
      <c r="H3" s="1472">
        <v>2007</v>
      </c>
      <c r="I3" s="1472">
        <v>2008</v>
      </c>
      <c r="J3" s="1472">
        <v>2009</v>
      </c>
      <c r="K3" s="1472">
        <v>2010</v>
      </c>
      <c r="L3" s="1472">
        <v>2011</v>
      </c>
      <c r="M3" s="1472">
        <v>2012</v>
      </c>
      <c r="N3" s="1472">
        <v>2013</v>
      </c>
      <c r="O3" s="1472">
        <v>2014</v>
      </c>
      <c r="P3" s="1472">
        <v>2015</v>
      </c>
    </row>
    <row r="4" spans="1:16" s="186" customFormat="1" ht="15" customHeight="1" x14ac:dyDescent="0.2">
      <c r="A4" s="5200" t="s">
        <v>446</v>
      </c>
      <c r="B4" s="5046" t="s">
        <v>5</v>
      </c>
      <c r="C4" s="2122" t="s">
        <v>452</v>
      </c>
      <c r="D4" s="2093">
        <v>359</v>
      </c>
      <c r="E4" s="2093">
        <v>374</v>
      </c>
      <c r="F4" s="2093">
        <v>368</v>
      </c>
      <c r="G4" s="2093">
        <v>394</v>
      </c>
      <c r="H4" s="2094">
        <v>432</v>
      </c>
      <c r="I4" s="2094">
        <v>533</v>
      </c>
      <c r="J4" s="2094">
        <v>632</v>
      </c>
      <c r="K4" s="2094">
        <v>774</v>
      </c>
      <c r="L4" s="2094">
        <v>827</v>
      </c>
      <c r="M4" s="2094">
        <v>848</v>
      </c>
      <c r="N4" s="2094">
        <v>847</v>
      </c>
      <c r="O4" s="2094">
        <v>821</v>
      </c>
      <c r="P4" s="2094">
        <v>820</v>
      </c>
    </row>
    <row r="5" spans="1:16" s="186" customFormat="1" ht="15" customHeight="1" x14ac:dyDescent="0.2">
      <c r="A5" s="5201"/>
      <c r="B5" s="5047"/>
      <c r="C5" s="2123" t="s">
        <v>453</v>
      </c>
      <c r="D5" s="2095">
        <v>603</v>
      </c>
      <c r="E5" s="2095">
        <v>578</v>
      </c>
      <c r="F5" s="2095">
        <v>563</v>
      </c>
      <c r="G5" s="2095">
        <v>568</v>
      </c>
      <c r="H5" s="2096">
        <v>590</v>
      </c>
      <c r="I5" s="2096">
        <v>651</v>
      </c>
      <c r="J5" s="2096">
        <v>732</v>
      </c>
      <c r="K5" s="2096">
        <v>861</v>
      </c>
      <c r="L5" s="2096">
        <v>907</v>
      </c>
      <c r="M5" s="2096">
        <v>892</v>
      </c>
      <c r="N5" s="2096">
        <v>920</v>
      </c>
      <c r="O5" s="2096">
        <v>901</v>
      </c>
      <c r="P5" s="2096">
        <v>884</v>
      </c>
    </row>
    <row r="6" spans="1:16" s="186" customFormat="1" ht="15" customHeight="1" x14ac:dyDescent="0.2">
      <c r="A6" s="5201"/>
      <c r="B6" s="5047"/>
      <c r="C6" s="2123" t="s">
        <v>454</v>
      </c>
      <c r="D6" s="2095">
        <v>411</v>
      </c>
      <c r="E6" s="2095">
        <v>411</v>
      </c>
      <c r="F6" s="2095">
        <v>370</v>
      </c>
      <c r="G6" s="2095">
        <v>350</v>
      </c>
      <c r="H6" s="2096">
        <v>354</v>
      </c>
      <c r="I6" s="2096">
        <v>360</v>
      </c>
      <c r="J6" s="2096">
        <v>389</v>
      </c>
      <c r="K6" s="2096">
        <v>404</v>
      </c>
      <c r="L6" s="2096">
        <v>482</v>
      </c>
      <c r="M6" s="2096">
        <v>521</v>
      </c>
      <c r="N6" s="2096">
        <v>567</v>
      </c>
      <c r="O6" s="2096">
        <v>565</v>
      </c>
      <c r="P6" s="2096">
        <v>558</v>
      </c>
    </row>
    <row r="7" spans="1:16" s="186" customFormat="1" ht="15" customHeight="1" x14ac:dyDescent="0.2">
      <c r="A7" s="5201"/>
      <c r="B7" s="5047"/>
      <c r="C7" s="2123" t="s">
        <v>455</v>
      </c>
      <c r="D7" s="2095">
        <v>265</v>
      </c>
      <c r="E7" s="2095">
        <v>260</v>
      </c>
      <c r="F7" s="2095">
        <v>284</v>
      </c>
      <c r="G7" s="2095">
        <v>270</v>
      </c>
      <c r="H7" s="2096">
        <v>259</v>
      </c>
      <c r="I7" s="2096">
        <v>296</v>
      </c>
      <c r="J7" s="2096">
        <v>330</v>
      </c>
      <c r="K7" s="2096">
        <v>369</v>
      </c>
      <c r="L7" s="2096">
        <v>441</v>
      </c>
      <c r="M7" s="2096">
        <v>479</v>
      </c>
      <c r="N7" s="2096">
        <v>507</v>
      </c>
      <c r="O7" s="2096">
        <v>545</v>
      </c>
      <c r="P7" s="2096">
        <v>545</v>
      </c>
    </row>
    <row r="8" spans="1:16" s="186" customFormat="1" ht="15" customHeight="1" x14ac:dyDescent="0.2">
      <c r="A8" s="5201"/>
      <c r="B8" s="5047"/>
      <c r="C8" s="2123" t="s">
        <v>456</v>
      </c>
      <c r="D8" s="2095">
        <v>1170</v>
      </c>
      <c r="E8" s="2095">
        <v>1201</v>
      </c>
      <c r="F8" s="2095">
        <v>1196</v>
      </c>
      <c r="G8" s="2095">
        <v>1209</v>
      </c>
      <c r="H8" s="2096">
        <v>1251</v>
      </c>
      <c r="I8" s="2096">
        <v>1232</v>
      </c>
      <c r="J8" s="2096">
        <v>1158</v>
      </c>
      <c r="K8" s="2096">
        <v>1174</v>
      </c>
      <c r="L8" s="2096">
        <v>1131</v>
      </c>
      <c r="M8" s="2096">
        <v>1076</v>
      </c>
      <c r="N8" s="2096">
        <v>1030</v>
      </c>
      <c r="O8" s="2096">
        <v>941</v>
      </c>
      <c r="P8" s="2096">
        <v>872</v>
      </c>
    </row>
    <row r="9" spans="1:16" s="186" customFormat="1" ht="15" customHeight="1" x14ac:dyDescent="0.2">
      <c r="A9" s="5201"/>
      <c r="B9" s="5047"/>
      <c r="C9" s="2123" t="s">
        <v>457</v>
      </c>
      <c r="D9" s="2095">
        <v>834</v>
      </c>
      <c r="E9" s="2095">
        <v>810</v>
      </c>
      <c r="F9" s="2095">
        <v>820</v>
      </c>
      <c r="G9" s="2095">
        <v>845</v>
      </c>
      <c r="H9" s="2096">
        <v>830</v>
      </c>
      <c r="I9" s="2096">
        <v>813</v>
      </c>
      <c r="J9" s="2096">
        <v>799</v>
      </c>
      <c r="K9" s="2096">
        <v>870</v>
      </c>
      <c r="L9" s="2096">
        <v>884</v>
      </c>
      <c r="M9" s="2096">
        <v>871</v>
      </c>
      <c r="N9" s="2096">
        <v>842</v>
      </c>
      <c r="O9" s="2096">
        <v>800</v>
      </c>
      <c r="P9" s="2096">
        <v>785</v>
      </c>
    </row>
    <row r="10" spans="1:16" s="186" customFormat="1" ht="15" customHeight="1" x14ac:dyDescent="0.2">
      <c r="A10" s="5201"/>
      <c r="B10" s="5047"/>
      <c r="C10" s="2123" t="s">
        <v>458</v>
      </c>
      <c r="D10" s="2095">
        <v>107</v>
      </c>
      <c r="E10" s="2095">
        <v>97</v>
      </c>
      <c r="F10" s="2095">
        <v>103</v>
      </c>
      <c r="G10" s="2095">
        <v>110</v>
      </c>
      <c r="H10" s="2096">
        <v>122</v>
      </c>
      <c r="I10" s="2096">
        <v>142</v>
      </c>
      <c r="J10" s="2096">
        <v>181</v>
      </c>
      <c r="K10" s="2096">
        <v>207</v>
      </c>
      <c r="L10" s="2096">
        <v>283</v>
      </c>
      <c r="M10" s="2096">
        <v>355</v>
      </c>
      <c r="N10" s="2096">
        <v>416</v>
      </c>
      <c r="O10" s="2096">
        <v>473</v>
      </c>
      <c r="P10" s="2096">
        <v>501</v>
      </c>
    </row>
    <row r="11" spans="1:16" s="186" customFormat="1" ht="15" customHeight="1" x14ac:dyDescent="0.2">
      <c r="A11" s="5201"/>
      <c r="B11" s="5047"/>
      <c r="C11" s="2123" t="s">
        <v>459</v>
      </c>
      <c r="D11" s="2095">
        <v>726</v>
      </c>
      <c r="E11" s="2095">
        <v>709</v>
      </c>
      <c r="F11" s="2095">
        <v>688</v>
      </c>
      <c r="G11" s="2095">
        <v>688</v>
      </c>
      <c r="H11" s="2096">
        <v>741</v>
      </c>
      <c r="I11" s="2096">
        <v>749</v>
      </c>
      <c r="J11" s="2096">
        <v>760</v>
      </c>
      <c r="K11" s="2096">
        <v>839</v>
      </c>
      <c r="L11" s="2096">
        <v>843</v>
      </c>
      <c r="M11" s="2096">
        <v>849</v>
      </c>
      <c r="N11" s="2096">
        <v>867</v>
      </c>
      <c r="O11" s="2096">
        <v>840</v>
      </c>
      <c r="P11" s="2096">
        <v>780</v>
      </c>
    </row>
    <row r="12" spans="1:16" s="186" customFormat="1" ht="15" customHeight="1" x14ac:dyDescent="0.2">
      <c r="A12" s="5201"/>
      <c r="B12" s="5047"/>
      <c r="C12" s="2123" t="s">
        <v>460</v>
      </c>
      <c r="D12" s="2095">
        <v>1582</v>
      </c>
      <c r="E12" s="2095">
        <v>1592</v>
      </c>
      <c r="F12" s="2095">
        <v>1611</v>
      </c>
      <c r="G12" s="2095">
        <v>1570</v>
      </c>
      <c r="H12" s="2096">
        <v>1494</v>
      </c>
      <c r="I12" s="2096">
        <v>1401</v>
      </c>
      <c r="J12" s="2096">
        <v>1269</v>
      </c>
      <c r="K12" s="2096">
        <v>1292</v>
      </c>
      <c r="L12" s="2096">
        <v>1262</v>
      </c>
      <c r="M12" s="2096">
        <v>1196</v>
      </c>
      <c r="N12" s="2096">
        <v>1128</v>
      </c>
      <c r="O12" s="2096">
        <v>1034</v>
      </c>
      <c r="P12" s="2096">
        <v>951</v>
      </c>
    </row>
    <row r="13" spans="1:16" s="186" customFormat="1" ht="15" customHeight="1" x14ac:dyDescent="0.2">
      <c r="A13" s="5201"/>
      <c r="B13" s="5047"/>
      <c r="C13" s="2124" t="s">
        <v>512</v>
      </c>
      <c r="D13" s="2097">
        <v>98</v>
      </c>
      <c r="E13" s="2097">
        <v>486</v>
      </c>
      <c r="F13" s="2097">
        <v>811</v>
      </c>
      <c r="G13" s="2097">
        <v>1135</v>
      </c>
      <c r="H13" s="2098">
        <v>1284</v>
      </c>
      <c r="I13" s="2098">
        <v>1452</v>
      </c>
      <c r="J13" s="2098">
        <v>1518</v>
      </c>
      <c r="K13" s="2098">
        <v>1558</v>
      </c>
      <c r="L13" s="2098">
        <v>1492</v>
      </c>
      <c r="M13" s="2098">
        <v>1394</v>
      </c>
      <c r="N13" s="2098">
        <v>1289</v>
      </c>
      <c r="O13" s="2098">
        <v>1222</v>
      </c>
      <c r="P13" s="2098">
        <v>1056</v>
      </c>
    </row>
    <row r="14" spans="1:16" s="186" customFormat="1" ht="15" customHeight="1" x14ac:dyDescent="0.2">
      <c r="A14" s="5201"/>
      <c r="B14" s="2058"/>
      <c r="C14" s="2392" t="s">
        <v>160</v>
      </c>
      <c r="D14" s="2393">
        <f>SUM(D4:D13)</f>
        <v>6155</v>
      </c>
      <c r="E14" s="2393">
        <f t="shared" ref="E14:M14" si="0">SUM(E4:E13)</f>
        <v>6518</v>
      </c>
      <c r="F14" s="2393">
        <f t="shared" si="0"/>
        <v>6814</v>
      </c>
      <c r="G14" s="2393">
        <f t="shared" si="0"/>
        <v>7139</v>
      </c>
      <c r="H14" s="2393">
        <f t="shared" si="0"/>
        <v>7357</v>
      </c>
      <c r="I14" s="2393">
        <f t="shared" si="0"/>
        <v>7629</v>
      </c>
      <c r="J14" s="2393">
        <f t="shared" si="0"/>
        <v>7768</v>
      </c>
      <c r="K14" s="2393">
        <f t="shared" si="0"/>
        <v>8348</v>
      </c>
      <c r="L14" s="2393">
        <f t="shared" si="0"/>
        <v>8552</v>
      </c>
      <c r="M14" s="2394">
        <f t="shared" si="0"/>
        <v>8481</v>
      </c>
      <c r="N14" s="2394">
        <f>SUM(N4:N13)</f>
        <v>8413</v>
      </c>
      <c r="O14" s="2394">
        <f>SUM(O4:O13)</f>
        <v>8142</v>
      </c>
      <c r="P14" s="2394">
        <f>SUM(P4:P13)</f>
        <v>7752</v>
      </c>
    </row>
    <row r="15" spans="1:16" s="186" customFormat="1" ht="15" customHeight="1" x14ac:dyDescent="0.2">
      <c r="A15" s="5201"/>
      <c r="B15" s="5046" t="s">
        <v>6</v>
      </c>
      <c r="C15" s="2122" t="s">
        <v>462</v>
      </c>
      <c r="D15" s="2093">
        <v>1363</v>
      </c>
      <c r="E15" s="2093">
        <v>1352</v>
      </c>
      <c r="F15" s="2093">
        <v>1327</v>
      </c>
      <c r="G15" s="2093">
        <v>1305</v>
      </c>
      <c r="H15" s="2094">
        <v>1376</v>
      </c>
      <c r="I15" s="2094">
        <v>1388</v>
      </c>
      <c r="J15" s="2094">
        <v>1383</v>
      </c>
      <c r="K15" s="2094">
        <v>1377</v>
      </c>
      <c r="L15" s="2094">
        <v>1394</v>
      </c>
      <c r="M15" s="2094">
        <v>1447</v>
      </c>
      <c r="N15" s="2094">
        <v>1458</v>
      </c>
      <c r="O15" s="2094">
        <v>1481</v>
      </c>
      <c r="P15" s="2094">
        <v>1506</v>
      </c>
    </row>
    <row r="16" spans="1:16" s="186" customFormat="1" ht="15" customHeight="1" x14ac:dyDescent="0.2">
      <c r="A16" s="5201"/>
      <c r="B16" s="5047"/>
      <c r="C16" s="2123" t="s">
        <v>463</v>
      </c>
      <c r="D16" s="2095">
        <v>2046</v>
      </c>
      <c r="E16" s="2095">
        <v>1992</v>
      </c>
      <c r="F16" s="2095">
        <v>1978</v>
      </c>
      <c r="G16" s="2095">
        <v>1946</v>
      </c>
      <c r="H16" s="2096">
        <v>1904</v>
      </c>
      <c r="I16" s="2096">
        <v>1979</v>
      </c>
      <c r="J16" s="2096">
        <v>2018</v>
      </c>
      <c r="K16" s="2096">
        <v>2070</v>
      </c>
      <c r="L16" s="2096">
        <v>2142</v>
      </c>
      <c r="M16" s="2096">
        <v>2332</v>
      </c>
      <c r="N16" s="2096">
        <v>2445</v>
      </c>
      <c r="O16" s="2096">
        <v>2427</v>
      </c>
      <c r="P16" s="2096">
        <v>2518</v>
      </c>
    </row>
    <row r="17" spans="1:16" s="186" customFormat="1" ht="15" customHeight="1" x14ac:dyDescent="0.2">
      <c r="A17" s="5201"/>
      <c r="B17" s="5047"/>
      <c r="C17" s="2123" t="s">
        <v>464</v>
      </c>
      <c r="D17" s="2095">
        <v>990</v>
      </c>
      <c r="E17" s="2095">
        <v>961</v>
      </c>
      <c r="F17" s="2095">
        <v>937</v>
      </c>
      <c r="G17" s="2095">
        <v>902</v>
      </c>
      <c r="H17" s="2096">
        <v>914</v>
      </c>
      <c r="I17" s="2096">
        <v>967</v>
      </c>
      <c r="J17" s="2096">
        <v>1015</v>
      </c>
      <c r="K17" s="2096">
        <v>1041</v>
      </c>
      <c r="L17" s="2096">
        <v>1083</v>
      </c>
      <c r="M17" s="2096">
        <v>1148</v>
      </c>
      <c r="N17" s="2096">
        <v>1186</v>
      </c>
      <c r="O17" s="2096">
        <v>1180</v>
      </c>
      <c r="P17" s="2096">
        <v>1223</v>
      </c>
    </row>
    <row r="18" spans="1:16" s="186" customFormat="1" ht="15" customHeight="1" x14ac:dyDescent="0.2">
      <c r="A18" s="5201"/>
      <c r="B18" s="5047"/>
      <c r="C18" s="2123" t="s">
        <v>465</v>
      </c>
      <c r="D18" s="2095">
        <v>1001</v>
      </c>
      <c r="E18" s="2095">
        <v>1040</v>
      </c>
      <c r="F18" s="2095">
        <v>1046</v>
      </c>
      <c r="G18" s="2095">
        <v>1019</v>
      </c>
      <c r="H18" s="2096">
        <v>1031</v>
      </c>
      <c r="I18" s="2096">
        <v>1099</v>
      </c>
      <c r="J18" s="2096">
        <v>1103</v>
      </c>
      <c r="K18" s="2096">
        <v>1141</v>
      </c>
      <c r="L18" s="2096">
        <v>1136</v>
      </c>
      <c r="M18" s="2096">
        <v>1223</v>
      </c>
      <c r="N18" s="2096">
        <v>1273</v>
      </c>
      <c r="O18" s="2096">
        <v>1287</v>
      </c>
      <c r="P18" s="2096">
        <v>1323</v>
      </c>
    </row>
    <row r="19" spans="1:16" s="186" customFormat="1" ht="15" customHeight="1" x14ac:dyDescent="0.2">
      <c r="A19" s="5201"/>
      <c r="B19" s="5048"/>
      <c r="C19" s="2392" t="s">
        <v>160</v>
      </c>
      <c r="D19" s="2393">
        <f>SUM(D15:D18)</f>
        <v>5400</v>
      </c>
      <c r="E19" s="2393">
        <f t="shared" ref="E19:M19" si="1">SUM(E15:E18)</f>
        <v>5345</v>
      </c>
      <c r="F19" s="2393">
        <f t="shared" si="1"/>
        <v>5288</v>
      </c>
      <c r="G19" s="2393">
        <f t="shared" si="1"/>
        <v>5172</v>
      </c>
      <c r="H19" s="2393">
        <f t="shared" si="1"/>
        <v>5225</v>
      </c>
      <c r="I19" s="2393">
        <f t="shared" si="1"/>
        <v>5433</v>
      </c>
      <c r="J19" s="2393">
        <f t="shared" si="1"/>
        <v>5519</v>
      </c>
      <c r="K19" s="2393">
        <f t="shared" si="1"/>
        <v>5629</v>
      </c>
      <c r="L19" s="2393">
        <f t="shared" si="1"/>
        <v>5755</v>
      </c>
      <c r="M19" s="2394">
        <f t="shared" si="1"/>
        <v>6150</v>
      </c>
      <c r="N19" s="2394">
        <f>SUM(N15:N18)</f>
        <v>6362</v>
      </c>
      <c r="O19" s="2394">
        <f>SUM(O15:O18)</f>
        <v>6375</v>
      </c>
      <c r="P19" s="2394">
        <f>SUM(P15:P18)</f>
        <v>6570</v>
      </c>
    </row>
    <row r="20" spans="1:16" s="186" customFormat="1" ht="15" customHeight="1" x14ac:dyDescent="0.2">
      <c r="A20" s="5201"/>
      <c r="B20" s="5046" t="s">
        <v>7</v>
      </c>
      <c r="C20" s="2122" t="s">
        <v>466</v>
      </c>
      <c r="D20" s="2093">
        <v>1353</v>
      </c>
      <c r="E20" s="2093">
        <v>1359</v>
      </c>
      <c r="F20" s="2093">
        <v>1359</v>
      </c>
      <c r="G20" s="2093">
        <v>1363</v>
      </c>
      <c r="H20" s="2094">
        <v>1371</v>
      </c>
      <c r="I20" s="2094">
        <v>1375</v>
      </c>
      <c r="J20" s="2094">
        <v>1328</v>
      </c>
      <c r="K20" s="2094">
        <v>1300</v>
      </c>
      <c r="L20" s="2094">
        <v>1274</v>
      </c>
      <c r="M20" s="2094">
        <v>1296</v>
      </c>
      <c r="N20" s="2094">
        <v>1316</v>
      </c>
      <c r="O20" s="2094">
        <v>1283</v>
      </c>
      <c r="P20" s="2094">
        <v>1267</v>
      </c>
    </row>
    <row r="21" spans="1:16" s="186" customFormat="1" ht="15" customHeight="1" x14ac:dyDescent="0.2">
      <c r="A21" s="5201"/>
      <c r="B21" s="5047"/>
      <c r="C21" s="2123" t="s">
        <v>467</v>
      </c>
      <c r="D21" s="2095">
        <v>1188</v>
      </c>
      <c r="E21" s="2095">
        <v>1168</v>
      </c>
      <c r="F21" s="2095">
        <v>1189</v>
      </c>
      <c r="G21" s="2095">
        <v>1148</v>
      </c>
      <c r="H21" s="2096">
        <v>1061</v>
      </c>
      <c r="I21" s="2096">
        <v>1008</v>
      </c>
      <c r="J21" s="2096">
        <v>994</v>
      </c>
      <c r="K21" s="2096">
        <v>949</v>
      </c>
      <c r="L21" s="2096">
        <v>985</v>
      </c>
      <c r="M21" s="2096">
        <v>1057</v>
      </c>
      <c r="N21" s="2096">
        <v>1144</v>
      </c>
      <c r="O21" s="2096">
        <v>1230</v>
      </c>
      <c r="P21" s="2096">
        <v>1275</v>
      </c>
    </row>
    <row r="22" spans="1:16" s="186" customFormat="1" ht="15" customHeight="1" x14ac:dyDescent="0.2">
      <c r="A22" s="5201"/>
      <c r="B22" s="5047"/>
      <c r="C22" s="2124" t="s">
        <v>468</v>
      </c>
      <c r="D22" s="2097">
        <v>713</v>
      </c>
      <c r="E22" s="2097">
        <v>663</v>
      </c>
      <c r="F22" s="2097">
        <v>676</v>
      </c>
      <c r="G22" s="2097">
        <v>694</v>
      </c>
      <c r="H22" s="2098">
        <v>700</v>
      </c>
      <c r="I22" s="2098">
        <v>734</v>
      </c>
      <c r="J22" s="2098">
        <v>762</v>
      </c>
      <c r="K22" s="2098">
        <v>809</v>
      </c>
      <c r="L22" s="2098">
        <v>825</v>
      </c>
      <c r="M22" s="2098">
        <v>871</v>
      </c>
      <c r="N22" s="2098">
        <v>903</v>
      </c>
      <c r="O22" s="2098">
        <v>936</v>
      </c>
      <c r="P22" s="2098">
        <v>944</v>
      </c>
    </row>
    <row r="23" spans="1:16" s="186" customFormat="1" ht="15" customHeight="1" x14ac:dyDescent="0.2">
      <c r="A23" s="5201"/>
      <c r="B23" s="5047"/>
      <c r="C23" s="2392" t="s">
        <v>160</v>
      </c>
      <c r="D23" s="2393">
        <f>SUM(D20:D22)</f>
        <v>3254</v>
      </c>
      <c r="E23" s="2393">
        <f t="shared" ref="E23:M23" si="2">SUM(E20:E22)</f>
        <v>3190</v>
      </c>
      <c r="F23" s="2393">
        <f t="shared" si="2"/>
        <v>3224</v>
      </c>
      <c r="G23" s="2393">
        <f t="shared" si="2"/>
        <v>3205</v>
      </c>
      <c r="H23" s="2393">
        <f t="shared" si="2"/>
        <v>3132</v>
      </c>
      <c r="I23" s="2393">
        <f t="shared" si="2"/>
        <v>3117</v>
      </c>
      <c r="J23" s="2393">
        <f t="shared" si="2"/>
        <v>3084</v>
      </c>
      <c r="K23" s="2393">
        <f t="shared" si="2"/>
        <v>3058</v>
      </c>
      <c r="L23" s="2393">
        <f t="shared" si="2"/>
        <v>3084</v>
      </c>
      <c r="M23" s="2394">
        <f t="shared" si="2"/>
        <v>3224</v>
      </c>
      <c r="N23" s="2394">
        <f>SUM(N20:N22)</f>
        <v>3363</v>
      </c>
      <c r="O23" s="2394">
        <f>SUM(O20:O22)</f>
        <v>3449</v>
      </c>
      <c r="P23" s="2394">
        <f>SUM(P20:P22)</f>
        <v>3486</v>
      </c>
    </row>
    <row r="24" spans="1:16" s="186" customFormat="1" ht="15" customHeight="1" x14ac:dyDescent="0.2">
      <c r="A24" s="5202"/>
      <c r="B24" s="3991"/>
      <c r="C24" s="3992" t="s">
        <v>516</v>
      </c>
      <c r="D24" s="4058">
        <f>SUM(D14,D19,D23)</f>
        <v>14809</v>
      </c>
      <c r="E24" s="4058">
        <f t="shared" ref="E24:M24" si="3">SUM(E14,E19,E23)</f>
        <v>15053</v>
      </c>
      <c r="F24" s="4058">
        <f t="shared" si="3"/>
        <v>15326</v>
      </c>
      <c r="G24" s="4058">
        <f t="shared" si="3"/>
        <v>15516</v>
      </c>
      <c r="H24" s="4058">
        <f t="shared" si="3"/>
        <v>15714</v>
      </c>
      <c r="I24" s="4058">
        <f t="shared" si="3"/>
        <v>16179</v>
      </c>
      <c r="J24" s="4058">
        <f t="shared" si="3"/>
        <v>16371</v>
      </c>
      <c r="K24" s="4058">
        <f t="shared" si="3"/>
        <v>17035</v>
      </c>
      <c r="L24" s="4058">
        <f t="shared" si="3"/>
        <v>17391</v>
      </c>
      <c r="M24" s="4059">
        <f t="shared" si="3"/>
        <v>17855</v>
      </c>
      <c r="N24" s="4059">
        <f>SUM(N14,N19,N23)</f>
        <v>18138</v>
      </c>
      <c r="O24" s="4059">
        <f>SUM(O14,O19,O23)</f>
        <v>17966</v>
      </c>
      <c r="P24" s="4059">
        <f>SUM(P14,P19,P23)</f>
        <v>17808</v>
      </c>
    </row>
    <row r="25" spans="1:16" s="186" customFormat="1" ht="15" customHeight="1" x14ac:dyDescent="0.2">
      <c r="A25" s="5069" t="s">
        <v>436</v>
      </c>
      <c r="B25" s="5034" t="s">
        <v>6</v>
      </c>
      <c r="C25" s="2122" t="s">
        <v>462</v>
      </c>
      <c r="D25" s="2093"/>
      <c r="E25" s="2093"/>
      <c r="F25" s="2093">
        <v>57</v>
      </c>
      <c r="G25" s="2093">
        <v>97</v>
      </c>
      <c r="H25" s="2094">
        <v>157</v>
      </c>
      <c r="I25" s="2094">
        <v>214</v>
      </c>
      <c r="J25" s="2094">
        <v>232</v>
      </c>
      <c r="K25" s="2094">
        <v>223</v>
      </c>
      <c r="L25" s="2094">
        <v>225</v>
      </c>
      <c r="M25" s="2094">
        <v>201</v>
      </c>
      <c r="N25" s="2094">
        <v>199</v>
      </c>
      <c r="O25" s="2094">
        <v>217</v>
      </c>
      <c r="P25" s="2094">
        <v>236</v>
      </c>
    </row>
    <row r="26" spans="1:16" s="186" customFormat="1" ht="15" customHeight="1" x14ac:dyDescent="0.2">
      <c r="A26" s="5070"/>
      <c r="B26" s="5035"/>
      <c r="C26" s="2123" t="s">
        <v>463</v>
      </c>
      <c r="D26" s="2095"/>
      <c r="E26" s="2095"/>
      <c r="F26" s="2095">
        <v>54</v>
      </c>
      <c r="G26" s="2095">
        <v>51</v>
      </c>
      <c r="H26" s="2096">
        <v>31</v>
      </c>
      <c r="I26" s="2096">
        <v>28</v>
      </c>
      <c r="J26" s="2096">
        <v>27</v>
      </c>
      <c r="K26" s="2096">
        <v>7</v>
      </c>
      <c r="L26" s="2096">
        <v>3</v>
      </c>
      <c r="M26" s="2096"/>
      <c r="N26" s="2096"/>
      <c r="O26" s="2096"/>
      <c r="P26" s="2096">
        <v>36</v>
      </c>
    </row>
    <row r="27" spans="1:16" s="186" customFormat="1" ht="15" customHeight="1" x14ac:dyDescent="0.2">
      <c r="A27" s="5070"/>
      <c r="B27" s="5035"/>
      <c r="C27" s="2123" t="s">
        <v>501</v>
      </c>
      <c r="D27" s="2095"/>
      <c r="E27" s="2095"/>
      <c r="F27" s="2095"/>
      <c r="G27" s="2095"/>
      <c r="H27" s="2096">
        <v>22</v>
      </c>
      <c r="I27" s="2096">
        <v>42</v>
      </c>
      <c r="J27" s="2096">
        <v>62</v>
      </c>
      <c r="K27" s="2096">
        <v>89</v>
      </c>
      <c r="L27" s="2096">
        <v>101</v>
      </c>
      <c r="M27" s="2096">
        <v>105</v>
      </c>
      <c r="N27" s="2096">
        <v>110</v>
      </c>
      <c r="O27" s="2096">
        <v>161</v>
      </c>
      <c r="P27" s="2096">
        <v>197</v>
      </c>
    </row>
    <row r="28" spans="1:16" s="186" customFormat="1" ht="15" customHeight="1" x14ac:dyDescent="0.2">
      <c r="A28" s="5070"/>
      <c r="B28" s="5035"/>
      <c r="C28" s="2123" t="s">
        <v>514</v>
      </c>
      <c r="D28" s="2095"/>
      <c r="E28" s="2095"/>
      <c r="F28" s="2095"/>
      <c r="G28" s="2095"/>
      <c r="H28" s="2096">
        <v>32</v>
      </c>
      <c r="I28" s="2096">
        <v>59</v>
      </c>
      <c r="J28" s="2096">
        <v>80</v>
      </c>
      <c r="K28" s="2096">
        <v>101</v>
      </c>
      <c r="L28" s="2096">
        <v>126</v>
      </c>
      <c r="M28" s="2096">
        <v>140</v>
      </c>
      <c r="N28" s="2096">
        <v>150</v>
      </c>
      <c r="O28" s="2096">
        <v>198</v>
      </c>
      <c r="P28" s="2096">
        <v>233</v>
      </c>
    </row>
    <row r="29" spans="1:16" s="186" customFormat="1" ht="15" customHeight="1" x14ac:dyDescent="0.2">
      <c r="A29" s="5070"/>
      <c r="B29" s="5036"/>
      <c r="C29" s="2392" t="s">
        <v>160</v>
      </c>
      <c r="D29" s="2393"/>
      <c r="E29" s="2393"/>
      <c r="F29" s="2393">
        <f t="shared" ref="F29:M29" si="4">SUM(F25:F28)</f>
        <v>111</v>
      </c>
      <c r="G29" s="2393">
        <f t="shared" si="4"/>
        <v>148</v>
      </c>
      <c r="H29" s="2393">
        <f t="shared" si="4"/>
        <v>242</v>
      </c>
      <c r="I29" s="2393">
        <f t="shared" si="4"/>
        <v>343</v>
      </c>
      <c r="J29" s="2393">
        <f t="shared" si="4"/>
        <v>401</v>
      </c>
      <c r="K29" s="2393">
        <f t="shared" si="4"/>
        <v>420</v>
      </c>
      <c r="L29" s="2393">
        <f t="shared" si="4"/>
        <v>455</v>
      </c>
      <c r="M29" s="2394">
        <f t="shared" si="4"/>
        <v>446</v>
      </c>
      <c r="N29" s="2394">
        <f>SUM(N25:N28)</f>
        <v>459</v>
      </c>
      <c r="O29" s="2394">
        <f>SUM(O25:O28)</f>
        <v>576</v>
      </c>
      <c r="P29" s="2394">
        <f>SUM(P25:P28)</f>
        <v>702</v>
      </c>
    </row>
    <row r="30" spans="1:16" s="186" customFormat="1" ht="15" customHeight="1" x14ac:dyDescent="0.2">
      <c r="A30" s="5070"/>
      <c r="B30" s="5035" t="s">
        <v>9</v>
      </c>
      <c r="C30" s="2125" t="s">
        <v>503</v>
      </c>
      <c r="D30" s="2101"/>
      <c r="E30" s="2101"/>
      <c r="F30" s="2101">
        <v>34</v>
      </c>
      <c r="G30" s="2101">
        <v>61</v>
      </c>
      <c r="H30" s="2102">
        <v>117</v>
      </c>
      <c r="I30" s="2102">
        <v>167</v>
      </c>
      <c r="J30" s="2102">
        <v>185</v>
      </c>
      <c r="K30" s="2102">
        <v>204</v>
      </c>
      <c r="L30" s="2102">
        <v>199</v>
      </c>
      <c r="M30" s="2102">
        <v>215</v>
      </c>
      <c r="N30" s="2102">
        <v>214</v>
      </c>
      <c r="O30" s="2102">
        <v>257</v>
      </c>
      <c r="P30" s="2102">
        <v>280</v>
      </c>
    </row>
    <row r="31" spans="1:16" s="186" customFormat="1" ht="15" customHeight="1" x14ac:dyDescent="0.2">
      <c r="A31" s="5070"/>
      <c r="B31" s="5035"/>
      <c r="C31" s="2123" t="s">
        <v>504</v>
      </c>
      <c r="D31" s="2095"/>
      <c r="E31" s="2095"/>
      <c r="F31" s="2095"/>
      <c r="G31" s="2095"/>
      <c r="H31" s="2096">
        <v>25</v>
      </c>
      <c r="I31" s="2096">
        <v>48</v>
      </c>
      <c r="J31" s="2096">
        <v>77</v>
      </c>
      <c r="K31" s="2096">
        <v>108</v>
      </c>
      <c r="L31" s="2096">
        <v>136</v>
      </c>
      <c r="M31" s="2096">
        <v>160</v>
      </c>
      <c r="N31" s="2096">
        <v>175</v>
      </c>
      <c r="O31" s="2096">
        <v>184</v>
      </c>
      <c r="P31" s="2096">
        <v>215</v>
      </c>
    </row>
    <row r="32" spans="1:16" s="186" customFormat="1" ht="15" customHeight="1" x14ac:dyDescent="0.2">
      <c r="A32" s="5070"/>
      <c r="B32" s="5035"/>
      <c r="C32" s="2123" t="s">
        <v>505</v>
      </c>
      <c r="D32" s="2095"/>
      <c r="E32" s="2095"/>
      <c r="F32" s="2095"/>
      <c r="G32" s="2095"/>
      <c r="H32" s="2096">
        <v>49</v>
      </c>
      <c r="I32" s="2096">
        <v>99</v>
      </c>
      <c r="J32" s="2096">
        <v>116</v>
      </c>
      <c r="K32" s="2096">
        <v>150</v>
      </c>
      <c r="L32" s="2096">
        <v>204</v>
      </c>
      <c r="M32" s="2096">
        <v>228</v>
      </c>
      <c r="N32" s="2096">
        <v>240</v>
      </c>
      <c r="O32" s="2096">
        <v>270</v>
      </c>
      <c r="P32" s="2096">
        <v>321</v>
      </c>
    </row>
    <row r="33" spans="1:16" s="186" customFormat="1" ht="15" customHeight="1" x14ac:dyDescent="0.2">
      <c r="A33" s="5070"/>
      <c r="B33" s="5036"/>
      <c r="C33" s="2392" t="s">
        <v>160</v>
      </c>
      <c r="D33" s="2393"/>
      <c r="E33" s="2393"/>
      <c r="F33" s="2393">
        <f>SUM(F30:F32)</f>
        <v>34</v>
      </c>
      <c r="G33" s="2393">
        <f t="shared" ref="G33:M33" si="5">SUM(G30:G32)</f>
        <v>61</v>
      </c>
      <c r="H33" s="2393">
        <f t="shared" si="5"/>
        <v>191</v>
      </c>
      <c r="I33" s="2393">
        <f t="shared" si="5"/>
        <v>314</v>
      </c>
      <c r="J33" s="2393">
        <f t="shared" si="5"/>
        <v>378</v>
      </c>
      <c r="K33" s="2393">
        <f t="shared" si="5"/>
        <v>462</v>
      </c>
      <c r="L33" s="2393">
        <f t="shared" si="5"/>
        <v>539</v>
      </c>
      <c r="M33" s="2394">
        <f t="shared" si="5"/>
        <v>603</v>
      </c>
      <c r="N33" s="2394">
        <f>SUM(N30:N32)</f>
        <v>629</v>
      </c>
      <c r="O33" s="2394">
        <f>SUM(O30:O32)</f>
        <v>711</v>
      </c>
      <c r="P33" s="2394">
        <f>SUM(P30:P32)</f>
        <v>816</v>
      </c>
    </row>
    <row r="34" spans="1:16" s="186" customFormat="1" ht="15" customHeight="1" x14ac:dyDescent="0.2">
      <c r="A34" s="5070"/>
      <c r="B34" s="5034" t="s">
        <v>74</v>
      </c>
      <c r="C34" s="2122" t="s">
        <v>461</v>
      </c>
      <c r="D34" s="2093"/>
      <c r="E34" s="2093"/>
      <c r="F34" s="2093">
        <v>46</v>
      </c>
      <c r="G34" s="2093">
        <v>64</v>
      </c>
      <c r="H34" s="2094">
        <v>97</v>
      </c>
      <c r="I34" s="2094">
        <v>140</v>
      </c>
      <c r="J34" s="2094">
        <v>160</v>
      </c>
      <c r="K34" s="2094">
        <v>147</v>
      </c>
      <c r="L34" s="2094">
        <v>155</v>
      </c>
      <c r="M34" s="2094">
        <v>162</v>
      </c>
      <c r="N34" s="2094">
        <v>181</v>
      </c>
      <c r="O34" s="2094">
        <v>223</v>
      </c>
      <c r="P34" s="2094">
        <v>235</v>
      </c>
    </row>
    <row r="35" spans="1:16" s="186" customFormat="1" ht="15" customHeight="1" x14ac:dyDescent="0.2">
      <c r="A35" s="5070"/>
      <c r="B35" s="5035"/>
      <c r="C35" s="2123" t="s">
        <v>506</v>
      </c>
      <c r="D35" s="2095"/>
      <c r="E35" s="2095"/>
      <c r="F35" s="2095">
        <v>12</v>
      </c>
      <c r="G35" s="2095">
        <v>14</v>
      </c>
      <c r="H35" s="2096">
        <v>32</v>
      </c>
      <c r="I35" s="2096">
        <v>55</v>
      </c>
      <c r="J35" s="2096">
        <v>72</v>
      </c>
      <c r="K35" s="2096">
        <v>79</v>
      </c>
      <c r="L35" s="2096">
        <v>96</v>
      </c>
      <c r="M35" s="2096">
        <v>112</v>
      </c>
      <c r="N35" s="2096">
        <v>124</v>
      </c>
      <c r="O35" s="2096">
        <v>140</v>
      </c>
      <c r="P35" s="2096">
        <v>146</v>
      </c>
    </row>
    <row r="36" spans="1:16" s="186" customFormat="1" ht="15" customHeight="1" x14ac:dyDescent="0.2">
      <c r="A36" s="5070"/>
      <c r="B36" s="5035"/>
      <c r="C36" s="2123" t="s">
        <v>507</v>
      </c>
      <c r="D36" s="2095"/>
      <c r="E36" s="2095"/>
      <c r="F36" s="2095"/>
      <c r="G36" s="2095"/>
      <c r="H36" s="2096"/>
      <c r="I36" s="2096">
        <v>19</v>
      </c>
      <c r="J36" s="2096">
        <v>43</v>
      </c>
      <c r="K36" s="2096">
        <v>70</v>
      </c>
      <c r="L36" s="2096">
        <v>74</v>
      </c>
      <c r="M36" s="2096">
        <v>84</v>
      </c>
      <c r="N36" s="2096">
        <v>101</v>
      </c>
      <c r="O36" s="2096">
        <v>145</v>
      </c>
      <c r="P36" s="2096">
        <v>176</v>
      </c>
    </row>
    <row r="37" spans="1:16" s="186" customFormat="1" ht="15" customHeight="1" x14ac:dyDescent="0.2">
      <c r="A37" s="5070"/>
      <c r="B37" s="5035"/>
      <c r="C37" s="2123" t="s">
        <v>508</v>
      </c>
      <c r="D37" s="2095"/>
      <c r="E37" s="2095"/>
      <c r="F37" s="2095"/>
      <c r="G37" s="2095"/>
      <c r="H37" s="2096"/>
      <c r="I37" s="2096"/>
      <c r="J37" s="2096"/>
      <c r="K37" s="2096">
        <v>27</v>
      </c>
      <c r="L37" s="2096">
        <v>69</v>
      </c>
      <c r="M37" s="2096">
        <v>121</v>
      </c>
      <c r="N37" s="2096">
        <v>160</v>
      </c>
      <c r="O37" s="2096">
        <v>214</v>
      </c>
      <c r="P37" s="2096">
        <v>251</v>
      </c>
    </row>
    <row r="38" spans="1:16" s="186" customFormat="1" ht="15" customHeight="1" x14ac:dyDescent="0.2">
      <c r="A38" s="5070"/>
      <c r="B38" s="5036"/>
      <c r="C38" s="2392" t="s">
        <v>160</v>
      </c>
      <c r="D38" s="2393"/>
      <c r="E38" s="2393"/>
      <c r="F38" s="2393">
        <f>SUM(F34:F37)</f>
        <v>58</v>
      </c>
      <c r="G38" s="2393">
        <f t="shared" ref="G38:M38" si="6">SUM(G34:G37)</f>
        <v>78</v>
      </c>
      <c r="H38" s="2393">
        <f t="shared" si="6"/>
        <v>129</v>
      </c>
      <c r="I38" s="2393">
        <f t="shared" si="6"/>
        <v>214</v>
      </c>
      <c r="J38" s="2393">
        <f t="shared" si="6"/>
        <v>275</v>
      </c>
      <c r="K38" s="2393">
        <f t="shared" si="6"/>
        <v>323</v>
      </c>
      <c r="L38" s="2393">
        <f t="shared" si="6"/>
        <v>394</v>
      </c>
      <c r="M38" s="2394">
        <f t="shared" si="6"/>
        <v>479</v>
      </c>
      <c r="N38" s="2394">
        <f>SUM(N34:N37)</f>
        <v>566</v>
      </c>
      <c r="O38" s="2394">
        <f>SUM(O34:O37)</f>
        <v>722</v>
      </c>
      <c r="P38" s="2394">
        <f>SUM(P34:P37)</f>
        <v>808</v>
      </c>
    </row>
    <row r="39" spans="1:16" s="186" customFormat="1" ht="15" customHeight="1" x14ac:dyDescent="0.2">
      <c r="A39" s="5101"/>
      <c r="B39" s="3996"/>
      <c r="C39" s="3997" t="s">
        <v>516</v>
      </c>
      <c r="D39" s="4060"/>
      <c r="E39" s="4060"/>
      <c r="F39" s="4061">
        <f>SUM(F38,F33,F29)</f>
        <v>203</v>
      </c>
      <c r="G39" s="4061">
        <f t="shared" ref="G39:M39" si="7">SUM(G38,G33,G29)</f>
        <v>287</v>
      </c>
      <c r="H39" s="4061">
        <f t="shared" si="7"/>
        <v>562</v>
      </c>
      <c r="I39" s="4061">
        <f t="shared" si="7"/>
        <v>871</v>
      </c>
      <c r="J39" s="4061">
        <f t="shared" si="7"/>
        <v>1054</v>
      </c>
      <c r="K39" s="4061">
        <f t="shared" si="7"/>
        <v>1205</v>
      </c>
      <c r="L39" s="4061">
        <f t="shared" si="7"/>
        <v>1388</v>
      </c>
      <c r="M39" s="4062">
        <f t="shared" si="7"/>
        <v>1528</v>
      </c>
      <c r="N39" s="4062">
        <f>SUM(N38,N33,N29)</f>
        <v>1654</v>
      </c>
      <c r="O39" s="4062">
        <f>SUM(O38,O33,O29)</f>
        <v>2009</v>
      </c>
      <c r="P39" s="4062">
        <f>SUM(P38,P33,P29)</f>
        <v>2326</v>
      </c>
    </row>
    <row r="40" spans="1:16" s="186" customFormat="1" ht="15" customHeight="1" x14ac:dyDescent="0.2">
      <c r="A40" s="5062" t="s">
        <v>447</v>
      </c>
      <c r="B40" s="5196" t="s">
        <v>5</v>
      </c>
      <c r="C40" s="2125" t="s">
        <v>469</v>
      </c>
      <c r="D40" s="2101">
        <v>504</v>
      </c>
      <c r="E40" s="2101">
        <v>509</v>
      </c>
      <c r="F40" s="2101">
        <v>526</v>
      </c>
      <c r="G40" s="2101">
        <v>544</v>
      </c>
      <c r="H40" s="2102">
        <v>513</v>
      </c>
      <c r="I40" s="2102">
        <v>524</v>
      </c>
      <c r="J40" s="2102">
        <v>520</v>
      </c>
      <c r="K40" s="2102">
        <v>548</v>
      </c>
      <c r="L40" s="2102">
        <v>527</v>
      </c>
      <c r="M40" s="2102">
        <v>550</v>
      </c>
      <c r="N40" s="2102">
        <v>605</v>
      </c>
      <c r="O40" s="2102">
        <v>626</v>
      </c>
      <c r="P40" s="2102">
        <v>650</v>
      </c>
    </row>
    <row r="41" spans="1:16" s="186" customFormat="1" ht="15" customHeight="1" x14ac:dyDescent="0.2">
      <c r="A41" s="5063"/>
      <c r="B41" s="5197"/>
      <c r="C41" s="2123" t="s">
        <v>470</v>
      </c>
      <c r="D41" s="2095">
        <v>73</v>
      </c>
      <c r="E41" s="2095">
        <v>72</v>
      </c>
      <c r="F41" s="2095">
        <v>76</v>
      </c>
      <c r="G41" s="2095">
        <v>71</v>
      </c>
      <c r="H41" s="2096">
        <v>74</v>
      </c>
      <c r="I41" s="2096">
        <v>88</v>
      </c>
      <c r="J41" s="2096">
        <v>95</v>
      </c>
      <c r="K41" s="2096">
        <v>89</v>
      </c>
      <c r="L41" s="2096">
        <v>104</v>
      </c>
      <c r="M41" s="2096">
        <v>127</v>
      </c>
      <c r="N41" s="2096">
        <v>140</v>
      </c>
      <c r="O41" s="2096">
        <v>164</v>
      </c>
      <c r="P41" s="2096">
        <v>157</v>
      </c>
    </row>
    <row r="42" spans="1:16" s="186" customFormat="1" ht="15" customHeight="1" x14ac:dyDescent="0.2">
      <c r="A42" s="5063"/>
      <c r="B42" s="5197"/>
      <c r="C42" s="2123" t="s">
        <v>459</v>
      </c>
      <c r="D42" s="2095">
        <v>320</v>
      </c>
      <c r="E42" s="2095">
        <v>314</v>
      </c>
      <c r="F42" s="2095">
        <v>315</v>
      </c>
      <c r="G42" s="2095">
        <v>310</v>
      </c>
      <c r="H42" s="2096">
        <v>301</v>
      </c>
      <c r="I42" s="2096">
        <v>318</v>
      </c>
      <c r="J42" s="2096">
        <v>319</v>
      </c>
      <c r="K42" s="2096">
        <v>360</v>
      </c>
      <c r="L42" s="2096">
        <v>405</v>
      </c>
      <c r="M42" s="2096">
        <v>455</v>
      </c>
      <c r="N42" s="2096">
        <v>533</v>
      </c>
      <c r="O42" s="2096">
        <v>564</v>
      </c>
      <c r="P42" s="2096">
        <v>593</v>
      </c>
    </row>
    <row r="43" spans="1:16" s="186" customFormat="1" ht="15" customHeight="1" x14ac:dyDescent="0.2">
      <c r="A43" s="5063"/>
      <c r="B43" s="5197"/>
      <c r="C43" s="2123" t="s">
        <v>471</v>
      </c>
      <c r="D43" s="2095">
        <v>229</v>
      </c>
      <c r="E43" s="2095">
        <v>221</v>
      </c>
      <c r="F43" s="2095">
        <v>241</v>
      </c>
      <c r="G43" s="2095">
        <v>228</v>
      </c>
      <c r="H43" s="2096">
        <v>213</v>
      </c>
      <c r="I43" s="2096">
        <v>250</v>
      </c>
      <c r="J43" s="2096">
        <v>275</v>
      </c>
      <c r="K43" s="2096">
        <v>322</v>
      </c>
      <c r="L43" s="2096">
        <v>378</v>
      </c>
      <c r="M43" s="2096">
        <v>412</v>
      </c>
      <c r="N43" s="2096">
        <v>475</v>
      </c>
      <c r="O43" s="2096">
        <v>515</v>
      </c>
      <c r="P43" s="2096">
        <v>549</v>
      </c>
    </row>
    <row r="44" spans="1:16" s="186" customFormat="1" ht="15" customHeight="1" x14ac:dyDescent="0.2">
      <c r="A44" s="5063"/>
      <c r="B44" s="5197"/>
      <c r="C44" s="2123" t="s">
        <v>472</v>
      </c>
      <c r="D44" s="2095">
        <v>188</v>
      </c>
      <c r="E44" s="2095">
        <v>185</v>
      </c>
      <c r="F44" s="2095">
        <v>178</v>
      </c>
      <c r="G44" s="2095">
        <v>185</v>
      </c>
      <c r="H44" s="2096">
        <v>188</v>
      </c>
      <c r="I44" s="2096">
        <v>202</v>
      </c>
      <c r="J44" s="2096">
        <v>211</v>
      </c>
      <c r="K44" s="2096">
        <v>262</v>
      </c>
      <c r="L44" s="2096">
        <v>336</v>
      </c>
      <c r="M44" s="2096">
        <v>405</v>
      </c>
      <c r="N44" s="2096">
        <v>474</v>
      </c>
      <c r="O44" s="2096">
        <v>516</v>
      </c>
      <c r="P44" s="2096">
        <v>536</v>
      </c>
    </row>
    <row r="45" spans="1:16" s="186" customFormat="1" ht="15" customHeight="1" x14ac:dyDescent="0.2">
      <c r="A45" s="5063"/>
      <c r="B45" s="5197"/>
      <c r="C45" s="2123" t="s">
        <v>460</v>
      </c>
      <c r="D45" s="2095">
        <v>715</v>
      </c>
      <c r="E45" s="2095">
        <v>683</v>
      </c>
      <c r="F45" s="2095">
        <v>635</v>
      </c>
      <c r="G45" s="2095">
        <v>656</v>
      </c>
      <c r="H45" s="2096">
        <v>602</v>
      </c>
      <c r="I45" s="2096">
        <v>592</v>
      </c>
      <c r="J45" s="2096">
        <v>554</v>
      </c>
      <c r="K45" s="2096">
        <v>529</v>
      </c>
      <c r="L45" s="2096">
        <v>517</v>
      </c>
      <c r="M45" s="2096">
        <v>517</v>
      </c>
      <c r="N45" s="2096">
        <v>535</v>
      </c>
      <c r="O45" s="2096">
        <v>533</v>
      </c>
      <c r="P45" s="2096">
        <v>529</v>
      </c>
    </row>
    <row r="46" spans="1:16" s="186" customFormat="1" ht="15" customHeight="1" x14ac:dyDescent="0.2">
      <c r="A46" s="5063"/>
      <c r="B46" s="5197"/>
      <c r="C46" s="2123" t="s">
        <v>473</v>
      </c>
      <c r="D46" s="2095">
        <v>370</v>
      </c>
      <c r="E46" s="2095">
        <v>408</v>
      </c>
      <c r="F46" s="2095">
        <v>406</v>
      </c>
      <c r="G46" s="2095">
        <v>399</v>
      </c>
      <c r="H46" s="2096">
        <v>371</v>
      </c>
      <c r="I46" s="2096">
        <v>365</v>
      </c>
      <c r="J46" s="2096">
        <v>377</v>
      </c>
      <c r="K46" s="2096">
        <v>377</v>
      </c>
      <c r="L46" s="2096">
        <v>358</v>
      </c>
      <c r="M46" s="2096">
        <v>344</v>
      </c>
      <c r="N46" s="2096">
        <v>370</v>
      </c>
      <c r="O46" s="2096">
        <v>399</v>
      </c>
      <c r="P46" s="2096">
        <v>414</v>
      </c>
    </row>
    <row r="47" spans="1:16" s="186" customFormat="1" ht="15" customHeight="1" x14ac:dyDescent="0.2">
      <c r="A47" s="5063"/>
      <c r="B47" s="5197"/>
      <c r="C47" s="2123" t="s">
        <v>474</v>
      </c>
      <c r="D47" s="2095">
        <v>90</v>
      </c>
      <c r="E47" s="2095">
        <v>79</v>
      </c>
      <c r="F47" s="2095">
        <v>86</v>
      </c>
      <c r="G47" s="2095">
        <v>84</v>
      </c>
      <c r="H47" s="2096">
        <v>95</v>
      </c>
      <c r="I47" s="2096">
        <v>129</v>
      </c>
      <c r="J47" s="2096">
        <v>138</v>
      </c>
      <c r="K47" s="2096">
        <v>163</v>
      </c>
      <c r="L47" s="2096">
        <v>196</v>
      </c>
      <c r="M47" s="2096">
        <v>234</v>
      </c>
      <c r="N47" s="2096">
        <v>274</v>
      </c>
      <c r="O47" s="2096">
        <v>309</v>
      </c>
      <c r="P47" s="2096">
        <v>324</v>
      </c>
    </row>
    <row r="48" spans="1:16" s="186" customFormat="1" ht="15" customHeight="1" x14ac:dyDescent="0.2">
      <c r="A48" s="5063"/>
      <c r="B48" s="5197"/>
      <c r="C48" s="2124" t="s">
        <v>475</v>
      </c>
      <c r="D48" s="2097">
        <v>900</v>
      </c>
      <c r="E48" s="2097">
        <v>919</v>
      </c>
      <c r="F48" s="2097">
        <v>886</v>
      </c>
      <c r="G48" s="2097">
        <v>855</v>
      </c>
      <c r="H48" s="2098">
        <v>822</v>
      </c>
      <c r="I48" s="2098">
        <v>795</v>
      </c>
      <c r="J48" s="2098">
        <v>731</v>
      </c>
      <c r="K48" s="2098">
        <v>730</v>
      </c>
      <c r="L48" s="2098">
        <v>713</v>
      </c>
      <c r="M48" s="2098">
        <v>686</v>
      </c>
      <c r="N48" s="2098">
        <v>691</v>
      </c>
      <c r="O48" s="2098">
        <v>666</v>
      </c>
      <c r="P48" s="2098">
        <v>633</v>
      </c>
    </row>
    <row r="49" spans="1:16" s="186" customFormat="1" ht="15" customHeight="1" x14ac:dyDescent="0.2">
      <c r="A49" s="5063"/>
      <c r="B49" s="5198"/>
      <c r="C49" s="2392" t="s">
        <v>160</v>
      </c>
      <c r="D49" s="2393">
        <f>SUM(D40:D48)</f>
        <v>3389</v>
      </c>
      <c r="E49" s="2393">
        <f t="shared" ref="E49:M49" si="8">SUM(E40:E48)</f>
        <v>3390</v>
      </c>
      <c r="F49" s="2393">
        <f t="shared" si="8"/>
        <v>3349</v>
      </c>
      <c r="G49" s="2393">
        <f t="shared" si="8"/>
        <v>3332</v>
      </c>
      <c r="H49" s="2393">
        <f t="shared" si="8"/>
        <v>3179</v>
      </c>
      <c r="I49" s="2393">
        <f t="shared" si="8"/>
        <v>3263</v>
      </c>
      <c r="J49" s="2393">
        <f t="shared" si="8"/>
        <v>3220</v>
      </c>
      <c r="K49" s="2393">
        <f t="shared" si="8"/>
        <v>3380</v>
      </c>
      <c r="L49" s="2393">
        <f t="shared" si="8"/>
        <v>3534</v>
      </c>
      <c r="M49" s="2394">
        <f t="shared" si="8"/>
        <v>3730</v>
      </c>
      <c r="N49" s="2394">
        <f>SUM(N40:N48)</f>
        <v>4097</v>
      </c>
      <c r="O49" s="2394">
        <f>SUM(O40:O48)</f>
        <v>4292</v>
      </c>
      <c r="P49" s="2394">
        <f>SUM(P40:P48)</f>
        <v>4385</v>
      </c>
    </row>
    <row r="50" spans="1:16" s="186" customFormat="1" ht="15" customHeight="1" x14ac:dyDescent="0.2">
      <c r="A50" s="5063"/>
      <c r="B50" s="5196" t="s">
        <v>6</v>
      </c>
      <c r="C50" s="2122" t="s">
        <v>462</v>
      </c>
      <c r="D50" s="2093">
        <v>1172</v>
      </c>
      <c r="E50" s="2093">
        <v>1204</v>
      </c>
      <c r="F50" s="2093">
        <v>1163</v>
      </c>
      <c r="G50" s="2093">
        <v>1178</v>
      </c>
      <c r="H50" s="2094">
        <v>1229</v>
      </c>
      <c r="I50" s="2094">
        <v>1242</v>
      </c>
      <c r="J50" s="2094">
        <v>1266</v>
      </c>
      <c r="K50" s="2094">
        <v>1280</v>
      </c>
      <c r="L50" s="2094">
        <v>1266</v>
      </c>
      <c r="M50" s="2094">
        <v>1300</v>
      </c>
      <c r="N50" s="2094">
        <v>1308</v>
      </c>
      <c r="O50" s="2094">
        <v>1232</v>
      </c>
      <c r="P50" s="2094">
        <v>1207</v>
      </c>
    </row>
    <row r="51" spans="1:16" s="186" customFormat="1" ht="15" customHeight="1" x14ac:dyDescent="0.2">
      <c r="A51" s="5063"/>
      <c r="B51" s="5197"/>
      <c r="C51" s="2123" t="s">
        <v>476</v>
      </c>
      <c r="D51" s="2095">
        <v>323</v>
      </c>
      <c r="E51" s="2095">
        <v>298</v>
      </c>
      <c r="F51" s="2095">
        <v>293</v>
      </c>
      <c r="G51" s="2095">
        <v>313</v>
      </c>
      <c r="H51" s="2096">
        <v>342</v>
      </c>
      <c r="I51" s="2096">
        <v>352</v>
      </c>
      <c r="J51" s="2096">
        <v>365</v>
      </c>
      <c r="K51" s="2096">
        <v>381</v>
      </c>
      <c r="L51" s="2096">
        <v>388</v>
      </c>
      <c r="M51" s="2096">
        <v>416</v>
      </c>
      <c r="N51" s="2096">
        <v>406</v>
      </c>
      <c r="O51" s="2096">
        <v>411</v>
      </c>
      <c r="P51" s="2096">
        <v>409</v>
      </c>
    </row>
    <row r="52" spans="1:16" s="186" customFormat="1" ht="15" customHeight="1" x14ac:dyDescent="0.2">
      <c r="A52" s="5063"/>
      <c r="B52" s="5197"/>
      <c r="C52" s="2123" t="s">
        <v>477</v>
      </c>
      <c r="D52" s="2095">
        <v>362</v>
      </c>
      <c r="E52" s="2095">
        <v>353</v>
      </c>
      <c r="F52" s="2095">
        <v>372</v>
      </c>
      <c r="G52" s="2095">
        <v>358</v>
      </c>
      <c r="H52" s="2096">
        <v>379</v>
      </c>
      <c r="I52" s="2096">
        <v>386</v>
      </c>
      <c r="J52" s="2096">
        <v>398</v>
      </c>
      <c r="K52" s="2096">
        <v>419</v>
      </c>
      <c r="L52" s="2096">
        <v>425</v>
      </c>
      <c r="M52" s="2096">
        <v>431</v>
      </c>
      <c r="N52" s="2096">
        <v>409</v>
      </c>
      <c r="O52" s="2096">
        <v>409</v>
      </c>
      <c r="P52" s="2096">
        <v>428</v>
      </c>
    </row>
    <row r="53" spans="1:16" s="186" customFormat="1" ht="15" customHeight="1" x14ac:dyDescent="0.2">
      <c r="A53" s="5063"/>
      <c r="B53" s="5197"/>
      <c r="C53" s="2123" t="s">
        <v>478</v>
      </c>
      <c r="D53" s="2095">
        <v>305</v>
      </c>
      <c r="E53" s="2095">
        <v>332</v>
      </c>
      <c r="F53" s="2095">
        <v>354</v>
      </c>
      <c r="G53" s="2095">
        <v>392</v>
      </c>
      <c r="H53" s="2096">
        <v>398</v>
      </c>
      <c r="I53" s="2096">
        <v>393</v>
      </c>
      <c r="J53" s="2096">
        <v>438</v>
      </c>
      <c r="K53" s="2096">
        <v>453</v>
      </c>
      <c r="L53" s="2096">
        <v>455</v>
      </c>
      <c r="M53" s="2096">
        <v>472</v>
      </c>
      <c r="N53" s="2096">
        <v>496</v>
      </c>
      <c r="O53" s="2096">
        <v>499</v>
      </c>
      <c r="P53" s="2096">
        <v>504</v>
      </c>
    </row>
    <row r="54" spans="1:16" s="186" customFormat="1" ht="15" customHeight="1" x14ac:dyDescent="0.2">
      <c r="A54" s="5063"/>
      <c r="B54" s="5197"/>
      <c r="C54" s="2123" t="s">
        <v>464</v>
      </c>
      <c r="D54" s="2095">
        <v>504</v>
      </c>
      <c r="E54" s="2095">
        <v>465</v>
      </c>
      <c r="F54" s="2095">
        <v>489</v>
      </c>
      <c r="G54" s="2095">
        <v>491</v>
      </c>
      <c r="H54" s="2096">
        <v>493</v>
      </c>
      <c r="I54" s="2096">
        <v>510</v>
      </c>
      <c r="J54" s="2096">
        <v>529</v>
      </c>
      <c r="K54" s="2096">
        <v>555</v>
      </c>
      <c r="L54" s="2096">
        <v>563</v>
      </c>
      <c r="M54" s="2096">
        <v>598</v>
      </c>
      <c r="N54" s="2096">
        <v>625</v>
      </c>
      <c r="O54" s="2096">
        <v>628</v>
      </c>
      <c r="P54" s="2096">
        <v>643</v>
      </c>
    </row>
    <row r="55" spans="1:16" s="186" customFormat="1" ht="15" customHeight="1" x14ac:dyDescent="0.2">
      <c r="A55" s="5063"/>
      <c r="B55" s="5197"/>
      <c r="C55" s="2123" t="s">
        <v>465</v>
      </c>
      <c r="D55" s="2095">
        <v>501</v>
      </c>
      <c r="E55" s="2095">
        <v>492</v>
      </c>
      <c r="F55" s="2095">
        <v>476</v>
      </c>
      <c r="G55" s="2095">
        <v>479</v>
      </c>
      <c r="H55" s="2096">
        <v>474</v>
      </c>
      <c r="I55" s="2096">
        <v>494</v>
      </c>
      <c r="J55" s="2096">
        <v>519</v>
      </c>
      <c r="K55" s="2096">
        <v>541</v>
      </c>
      <c r="L55" s="2096">
        <v>540</v>
      </c>
      <c r="M55" s="2096">
        <v>571</v>
      </c>
      <c r="N55" s="2096">
        <v>610</v>
      </c>
      <c r="O55" s="2096">
        <v>623</v>
      </c>
      <c r="P55" s="2096">
        <v>609</v>
      </c>
    </row>
    <row r="56" spans="1:16" s="186" customFormat="1" ht="15" customHeight="1" x14ac:dyDescent="0.2">
      <c r="A56" s="5063"/>
      <c r="B56" s="5197"/>
      <c r="C56" s="2123" t="s">
        <v>479</v>
      </c>
      <c r="D56" s="2095">
        <v>458</v>
      </c>
      <c r="E56" s="2095">
        <v>458</v>
      </c>
      <c r="F56" s="2095">
        <v>466</v>
      </c>
      <c r="G56" s="2095">
        <v>476</v>
      </c>
      <c r="H56" s="2096">
        <v>494</v>
      </c>
      <c r="I56" s="2096">
        <v>505</v>
      </c>
      <c r="J56" s="2096">
        <v>494</v>
      </c>
      <c r="K56" s="2096">
        <v>495</v>
      </c>
      <c r="L56" s="2096">
        <v>493</v>
      </c>
      <c r="M56" s="2096">
        <v>506</v>
      </c>
      <c r="N56" s="2096">
        <v>508</v>
      </c>
      <c r="O56" s="2096">
        <v>532</v>
      </c>
      <c r="P56" s="2096">
        <v>537</v>
      </c>
    </row>
    <row r="57" spans="1:16" s="186" customFormat="1" ht="15" customHeight="1" x14ac:dyDescent="0.2">
      <c r="A57" s="5063"/>
      <c r="B57" s="5197"/>
      <c r="C57" s="2123" t="s">
        <v>480</v>
      </c>
      <c r="D57" s="2095">
        <v>140</v>
      </c>
      <c r="E57" s="2095">
        <v>148</v>
      </c>
      <c r="F57" s="2095">
        <v>152</v>
      </c>
      <c r="G57" s="2095">
        <v>166</v>
      </c>
      <c r="H57" s="2096">
        <v>173</v>
      </c>
      <c r="I57" s="2096">
        <v>191</v>
      </c>
      <c r="J57" s="2096">
        <v>193</v>
      </c>
      <c r="K57" s="2096">
        <v>213</v>
      </c>
      <c r="L57" s="2096">
        <v>228</v>
      </c>
      <c r="M57" s="2096">
        <v>259</v>
      </c>
      <c r="N57" s="2096">
        <v>273</v>
      </c>
      <c r="O57" s="2096">
        <v>283</v>
      </c>
      <c r="P57" s="2096">
        <v>284</v>
      </c>
    </row>
    <row r="58" spans="1:16" s="186" customFormat="1" ht="15" customHeight="1" x14ac:dyDescent="0.2">
      <c r="A58" s="5063"/>
      <c r="B58" s="5197"/>
      <c r="C58" s="2123" t="s">
        <v>481</v>
      </c>
      <c r="D58" s="2095">
        <v>595</v>
      </c>
      <c r="E58" s="2095">
        <v>542</v>
      </c>
      <c r="F58" s="2095">
        <v>509</v>
      </c>
      <c r="G58" s="2095">
        <v>528</v>
      </c>
      <c r="H58" s="2096">
        <v>596</v>
      </c>
      <c r="I58" s="2096">
        <v>606</v>
      </c>
      <c r="J58" s="2096">
        <v>628</v>
      </c>
      <c r="K58" s="2096">
        <v>659</v>
      </c>
      <c r="L58" s="2096">
        <v>658</v>
      </c>
      <c r="M58" s="2096">
        <v>689</v>
      </c>
      <c r="N58" s="2096">
        <v>692</v>
      </c>
      <c r="O58" s="2096">
        <v>677</v>
      </c>
      <c r="P58" s="2096">
        <v>694</v>
      </c>
    </row>
    <row r="59" spans="1:16" s="186" customFormat="1" ht="15" customHeight="1" x14ac:dyDescent="0.2">
      <c r="A59" s="5063"/>
      <c r="B59" s="5197"/>
      <c r="C59" s="2123" t="s">
        <v>482</v>
      </c>
      <c r="D59" s="2095">
        <v>880</v>
      </c>
      <c r="E59" s="2095">
        <v>896</v>
      </c>
      <c r="F59" s="2095">
        <v>926</v>
      </c>
      <c r="G59" s="2095">
        <v>960</v>
      </c>
      <c r="H59" s="2096">
        <v>1022</v>
      </c>
      <c r="I59" s="2096">
        <v>1070</v>
      </c>
      <c r="J59" s="2096">
        <v>1073</v>
      </c>
      <c r="K59" s="2096">
        <v>1062</v>
      </c>
      <c r="L59" s="2096">
        <v>1100</v>
      </c>
      <c r="M59" s="2096">
        <v>1080</v>
      </c>
      <c r="N59" s="2096">
        <v>1046</v>
      </c>
      <c r="O59" s="2096">
        <v>1021</v>
      </c>
      <c r="P59" s="2096">
        <v>989</v>
      </c>
    </row>
    <row r="60" spans="1:16" s="186" customFormat="1" ht="15" customHeight="1" x14ac:dyDescent="0.2">
      <c r="A60" s="5063"/>
      <c r="B60" s="5197"/>
      <c r="C60" s="2123" t="s">
        <v>483</v>
      </c>
      <c r="D60" s="2095">
        <v>71</v>
      </c>
      <c r="E60" s="2095">
        <v>102</v>
      </c>
      <c r="F60" s="2095">
        <v>130</v>
      </c>
      <c r="G60" s="2095">
        <v>151</v>
      </c>
      <c r="H60" s="2096">
        <v>166</v>
      </c>
      <c r="I60" s="2096">
        <v>179</v>
      </c>
      <c r="J60" s="2096">
        <v>185</v>
      </c>
      <c r="K60" s="2096">
        <v>194</v>
      </c>
      <c r="L60" s="2096">
        <v>212</v>
      </c>
      <c r="M60" s="2096">
        <v>241</v>
      </c>
      <c r="N60" s="2096">
        <v>272</v>
      </c>
      <c r="O60" s="2096">
        <v>289</v>
      </c>
      <c r="P60" s="2096">
        <v>293</v>
      </c>
    </row>
    <row r="61" spans="1:16" s="186" customFormat="1" ht="15" customHeight="1" x14ac:dyDescent="0.2">
      <c r="A61" s="5063"/>
      <c r="B61" s="5198"/>
      <c r="C61" s="2392" t="s">
        <v>160</v>
      </c>
      <c r="D61" s="2393">
        <f>SUM(D50:D60)</f>
        <v>5311</v>
      </c>
      <c r="E61" s="2393">
        <f t="shared" ref="E61:M61" si="9">SUM(E50:E60)</f>
        <v>5290</v>
      </c>
      <c r="F61" s="2393">
        <f t="shared" si="9"/>
        <v>5330</v>
      </c>
      <c r="G61" s="2393">
        <f t="shared" si="9"/>
        <v>5492</v>
      </c>
      <c r="H61" s="2393">
        <f t="shared" si="9"/>
        <v>5766</v>
      </c>
      <c r="I61" s="2393">
        <f t="shared" si="9"/>
        <v>5928</v>
      </c>
      <c r="J61" s="2393">
        <f t="shared" si="9"/>
        <v>6088</v>
      </c>
      <c r="K61" s="2393">
        <f t="shared" si="9"/>
        <v>6252</v>
      </c>
      <c r="L61" s="2393">
        <f t="shared" si="9"/>
        <v>6328</v>
      </c>
      <c r="M61" s="2394">
        <f t="shared" si="9"/>
        <v>6563</v>
      </c>
      <c r="N61" s="2394">
        <f>SUM(N50:N60)</f>
        <v>6645</v>
      </c>
      <c r="O61" s="2394">
        <f>SUM(O50:O60)</f>
        <v>6604</v>
      </c>
      <c r="P61" s="2394">
        <f>SUM(P50:P60)</f>
        <v>6597</v>
      </c>
    </row>
    <row r="62" spans="1:16" s="186" customFormat="1" ht="15" customHeight="1" x14ac:dyDescent="0.2">
      <c r="A62" s="5063"/>
      <c r="B62" s="5196" t="s">
        <v>11</v>
      </c>
      <c r="C62" s="2122" t="s">
        <v>484</v>
      </c>
      <c r="D62" s="2093">
        <v>579</v>
      </c>
      <c r="E62" s="2093">
        <v>552</v>
      </c>
      <c r="F62" s="2093">
        <v>550</v>
      </c>
      <c r="G62" s="2093">
        <v>578</v>
      </c>
      <c r="H62" s="2094">
        <v>611</v>
      </c>
      <c r="I62" s="2094">
        <v>647</v>
      </c>
      <c r="J62" s="2094">
        <v>695</v>
      </c>
      <c r="K62" s="2094">
        <v>743</v>
      </c>
      <c r="L62" s="2094">
        <v>787</v>
      </c>
      <c r="M62" s="2094">
        <v>824</v>
      </c>
      <c r="N62" s="2094">
        <v>862</v>
      </c>
      <c r="O62" s="2094">
        <v>875</v>
      </c>
      <c r="P62" s="2094">
        <v>856</v>
      </c>
    </row>
    <row r="63" spans="1:16" s="186" customFormat="1" ht="15" customHeight="1" x14ac:dyDescent="0.2">
      <c r="A63" s="5063"/>
      <c r="B63" s="5197"/>
      <c r="C63" s="2123" t="s">
        <v>485</v>
      </c>
      <c r="D63" s="2095">
        <v>560</v>
      </c>
      <c r="E63" s="2095">
        <v>571</v>
      </c>
      <c r="F63" s="2095">
        <v>566</v>
      </c>
      <c r="G63" s="2095">
        <v>569</v>
      </c>
      <c r="H63" s="2096">
        <v>585</v>
      </c>
      <c r="I63" s="2096">
        <v>608</v>
      </c>
      <c r="J63" s="2096">
        <v>581</v>
      </c>
      <c r="K63" s="2096">
        <v>559</v>
      </c>
      <c r="L63" s="2096">
        <v>578</v>
      </c>
      <c r="M63" s="2096">
        <v>600</v>
      </c>
      <c r="N63" s="2096">
        <v>664</v>
      </c>
      <c r="O63" s="2096">
        <v>706</v>
      </c>
      <c r="P63" s="2096">
        <v>709</v>
      </c>
    </row>
    <row r="64" spans="1:16" s="186" customFormat="1" ht="15" customHeight="1" x14ac:dyDescent="0.2">
      <c r="A64" s="5063"/>
      <c r="B64" s="5197"/>
      <c r="C64" s="2123" t="s">
        <v>486</v>
      </c>
      <c r="D64" s="2095">
        <v>248</v>
      </c>
      <c r="E64" s="2095">
        <v>245</v>
      </c>
      <c r="F64" s="2095">
        <v>240</v>
      </c>
      <c r="G64" s="2095">
        <v>244</v>
      </c>
      <c r="H64" s="2096">
        <v>251</v>
      </c>
      <c r="I64" s="2096">
        <v>253</v>
      </c>
      <c r="J64" s="2096">
        <v>280</v>
      </c>
      <c r="K64" s="2096">
        <v>352</v>
      </c>
      <c r="L64" s="2096">
        <v>412</v>
      </c>
      <c r="M64" s="2096">
        <v>474</v>
      </c>
      <c r="N64" s="2096">
        <v>532</v>
      </c>
      <c r="O64" s="2096">
        <v>536</v>
      </c>
      <c r="P64" s="2096">
        <v>562</v>
      </c>
    </row>
    <row r="65" spans="1:16" s="186" customFormat="1" ht="15" customHeight="1" x14ac:dyDescent="0.2">
      <c r="A65" s="5063"/>
      <c r="B65" s="5197"/>
      <c r="C65" s="2123" t="s">
        <v>487</v>
      </c>
      <c r="D65" s="2095">
        <v>138</v>
      </c>
      <c r="E65" s="2095">
        <v>133</v>
      </c>
      <c r="F65" s="2095">
        <v>116</v>
      </c>
      <c r="G65" s="2095">
        <v>101</v>
      </c>
      <c r="H65" s="2096">
        <v>107</v>
      </c>
      <c r="I65" s="2096">
        <v>125</v>
      </c>
      <c r="J65" s="2096">
        <v>144</v>
      </c>
      <c r="K65" s="2096">
        <v>215</v>
      </c>
      <c r="L65" s="2096">
        <v>251</v>
      </c>
      <c r="M65" s="2096">
        <v>283</v>
      </c>
      <c r="N65" s="2096">
        <v>321</v>
      </c>
      <c r="O65" s="2096">
        <v>357</v>
      </c>
      <c r="P65" s="2096">
        <v>363</v>
      </c>
    </row>
    <row r="66" spans="1:16" s="186" customFormat="1" ht="15" customHeight="1" x14ac:dyDescent="0.2">
      <c r="A66" s="5063"/>
      <c r="B66" s="5197"/>
      <c r="C66" s="2123" t="s">
        <v>488</v>
      </c>
      <c r="D66" s="2095">
        <v>892</v>
      </c>
      <c r="E66" s="2095">
        <v>859</v>
      </c>
      <c r="F66" s="2095">
        <v>815</v>
      </c>
      <c r="G66" s="2095">
        <v>788</v>
      </c>
      <c r="H66" s="2096">
        <v>770</v>
      </c>
      <c r="I66" s="2096">
        <v>772</v>
      </c>
      <c r="J66" s="2096">
        <v>836</v>
      </c>
      <c r="K66" s="2096">
        <v>914</v>
      </c>
      <c r="L66" s="2096">
        <v>934</v>
      </c>
      <c r="M66" s="2096">
        <v>1018</v>
      </c>
      <c r="N66" s="2096">
        <v>1077</v>
      </c>
      <c r="O66" s="2096">
        <v>1094</v>
      </c>
      <c r="P66" s="2096">
        <v>1104</v>
      </c>
    </row>
    <row r="67" spans="1:16" s="186" customFormat="1" ht="15" customHeight="1" x14ac:dyDescent="0.2">
      <c r="A67" s="5063"/>
      <c r="B67" s="5197"/>
      <c r="C67" s="2123" t="s">
        <v>489</v>
      </c>
      <c r="D67" s="2095">
        <v>1086</v>
      </c>
      <c r="E67" s="2095">
        <v>1053</v>
      </c>
      <c r="F67" s="2095">
        <v>982</v>
      </c>
      <c r="G67" s="2095">
        <v>992</v>
      </c>
      <c r="H67" s="2096">
        <v>931</v>
      </c>
      <c r="I67" s="2096">
        <v>949</v>
      </c>
      <c r="J67" s="2096">
        <v>925</v>
      </c>
      <c r="K67" s="2096">
        <v>973</v>
      </c>
      <c r="L67" s="2096">
        <v>1017</v>
      </c>
      <c r="M67" s="2096">
        <v>1055</v>
      </c>
      <c r="N67" s="2096">
        <v>1117</v>
      </c>
      <c r="O67" s="2096">
        <v>1118</v>
      </c>
      <c r="P67" s="2096">
        <v>1101</v>
      </c>
    </row>
    <row r="68" spans="1:16" s="186" customFormat="1" ht="15" customHeight="1" x14ac:dyDescent="0.2">
      <c r="A68" s="5063"/>
      <c r="B68" s="5198"/>
      <c r="C68" s="2392" t="s">
        <v>160</v>
      </c>
      <c r="D68" s="2393">
        <f>SUM(D62:D67)</f>
        <v>3503</v>
      </c>
      <c r="E68" s="2393">
        <f t="shared" ref="E68:M68" si="10">SUM(E62:E67)</f>
        <v>3413</v>
      </c>
      <c r="F68" s="2393">
        <f t="shared" si="10"/>
        <v>3269</v>
      </c>
      <c r="G68" s="2393">
        <f t="shared" si="10"/>
        <v>3272</v>
      </c>
      <c r="H68" s="2393">
        <f t="shared" si="10"/>
        <v>3255</v>
      </c>
      <c r="I68" s="2393">
        <f t="shared" si="10"/>
        <v>3354</v>
      </c>
      <c r="J68" s="2393">
        <f t="shared" si="10"/>
        <v>3461</v>
      </c>
      <c r="K68" s="2393">
        <f t="shared" si="10"/>
        <v>3756</v>
      </c>
      <c r="L68" s="2393">
        <f t="shared" si="10"/>
        <v>3979</v>
      </c>
      <c r="M68" s="2394">
        <f t="shared" si="10"/>
        <v>4254</v>
      </c>
      <c r="N68" s="2394">
        <f>SUM(N62:N67)</f>
        <v>4573</v>
      </c>
      <c r="O68" s="2394">
        <f>SUM(O62:O67)</f>
        <v>4686</v>
      </c>
      <c r="P68" s="2394">
        <f>SUM(P62:P67)</f>
        <v>4695</v>
      </c>
    </row>
    <row r="69" spans="1:16" s="186" customFormat="1" ht="15" customHeight="1" x14ac:dyDescent="0.2">
      <c r="A69" s="5098"/>
      <c r="B69" s="4001"/>
      <c r="C69" s="2386" t="s">
        <v>516</v>
      </c>
      <c r="D69" s="2387">
        <f>SUM(D68,D61,D49)</f>
        <v>12203</v>
      </c>
      <c r="E69" s="2387">
        <f t="shared" ref="E69:M69" si="11">SUM(E68,E61,E49)</f>
        <v>12093</v>
      </c>
      <c r="F69" s="2387">
        <f t="shared" si="11"/>
        <v>11948</v>
      </c>
      <c r="G69" s="2387">
        <f t="shared" si="11"/>
        <v>12096</v>
      </c>
      <c r="H69" s="2387">
        <f t="shared" si="11"/>
        <v>12200</v>
      </c>
      <c r="I69" s="2387">
        <f t="shared" si="11"/>
        <v>12545</v>
      </c>
      <c r="J69" s="2387">
        <f t="shared" si="11"/>
        <v>12769</v>
      </c>
      <c r="K69" s="2387">
        <f t="shared" si="11"/>
        <v>13388</v>
      </c>
      <c r="L69" s="2387">
        <f t="shared" si="11"/>
        <v>13841</v>
      </c>
      <c r="M69" s="2388">
        <f t="shared" si="11"/>
        <v>14547</v>
      </c>
      <c r="N69" s="2388">
        <f>SUM(N68,N61,N49)</f>
        <v>15315</v>
      </c>
      <c r="O69" s="2388">
        <f>SUM(O68,O61,O49)</f>
        <v>15582</v>
      </c>
      <c r="P69" s="2388">
        <f>SUM(P68,P61,P49)</f>
        <v>15677</v>
      </c>
    </row>
    <row r="70" spans="1:16" s="186" customFormat="1" ht="15" customHeight="1" x14ac:dyDescent="0.2">
      <c r="A70" s="5102" t="s">
        <v>437</v>
      </c>
      <c r="B70" s="2126" t="s">
        <v>5</v>
      </c>
      <c r="C70" s="2338" t="s">
        <v>509</v>
      </c>
      <c r="D70" s="2103"/>
      <c r="E70" s="2104"/>
      <c r="F70" s="2104"/>
      <c r="G70" s="2104"/>
      <c r="H70" s="2104"/>
      <c r="I70" s="2104"/>
      <c r="J70" s="2104"/>
      <c r="K70" s="2105"/>
      <c r="L70" s="2106">
        <v>60</v>
      </c>
      <c r="M70" s="2106">
        <v>79</v>
      </c>
      <c r="N70" s="2106">
        <v>123</v>
      </c>
      <c r="O70" s="2106">
        <v>139</v>
      </c>
      <c r="P70" s="2106">
        <v>173</v>
      </c>
    </row>
    <row r="71" spans="1:16" s="186" customFormat="1" ht="15" customHeight="1" x14ac:dyDescent="0.2">
      <c r="A71" s="5103"/>
      <c r="B71" s="5196" t="s">
        <v>6</v>
      </c>
      <c r="C71" s="2125" t="s">
        <v>510</v>
      </c>
      <c r="D71" s="2107"/>
      <c r="E71" s="2108"/>
      <c r="F71" s="2108"/>
      <c r="G71" s="2108"/>
      <c r="H71" s="2108"/>
      <c r="I71" s="2108"/>
      <c r="J71" s="2108"/>
      <c r="K71" s="2109"/>
      <c r="L71" s="2110">
        <v>58</v>
      </c>
      <c r="M71" s="2110">
        <v>80</v>
      </c>
      <c r="N71" s="2110">
        <v>120</v>
      </c>
      <c r="O71" s="2110">
        <v>140</v>
      </c>
      <c r="P71" s="2110">
        <v>163</v>
      </c>
    </row>
    <row r="72" spans="1:16" s="186" customFormat="1" ht="15" customHeight="1" x14ac:dyDescent="0.2">
      <c r="A72" s="5103"/>
      <c r="B72" s="5197"/>
      <c r="C72" s="2124" t="s">
        <v>625</v>
      </c>
      <c r="D72" s="2111"/>
      <c r="E72" s="2112"/>
      <c r="F72" s="2112"/>
      <c r="G72" s="2112"/>
      <c r="H72" s="2112"/>
      <c r="I72" s="2112"/>
      <c r="J72" s="2112"/>
      <c r="K72" s="2113"/>
      <c r="L72" s="2114"/>
      <c r="M72" s="2114"/>
      <c r="N72" s="2114">
        <v>18</v>
      </c>
      <c r="O72" s="2114">
        <v>32</v>
      </c>
      <c r="P72" s="2114">
        <v>50</v>
      </c>
    </row>
    <row r="73" spans="1:16" s="186" customFormat="1" ht="15" customHeight="1" x14ac:dyDescent="0.2">
      <c r="A73" s="5103"/>
      <c r="B73" s="5198"/>
      <c r="C73" s="2392" t="s">
        <v>160</v>
      </c>
      <c r="D73" s="2393"/>
      <c r="E73" s="2395"/>
      <c r="F73" s="2395"/>
      <c r="G73" s="2395"/>
      <c r="H73" s="2395"/>
      <c r="I73" s="2395"/>
      <c r="J73" s="2395"/>
      <c r="K73" s="2396"/>
      <c r="L73" s="2393">
        <f>SUM(L71:L72)</f>
        <v>58</v>
      </c>
      <c r="M73" s="2394">
        <f>SUM(M71:M72)</f>
        <v>80</v>
      </c>
      <c r="N73" s="2394">
        <f>SUM(N71:N72)</f>
        <v>138</v>
      </c>
      <c r="O73" s="2394">
        <f>SUM(O71:O72)</f>
        <v>172</v>
      </c>
      <c r="P73" s="2394">
        <f>SUM(P71:P72)</f>
        <v>213</v>
      </c>
    </row>
    <row r="74" spans="1:16" s="186" customFormat="1" ht="15" customHeight="1" x14ac:dyDescent="0.2">
      <c r="A74" s="5103"/>
      <c r="B74" s="2126" t="s">
        <v>11</v>
      </c>
      <c r="C74" s="2127" t="s">
        <v>511</v>
      </c>
      <c r="D74" s="2116"/>
      <c r="E74" s="2117"/>
      <c r="F74" s="2117"/>
      <c r="G74" s="2117"/>
      <c r="H74" s="2117"/>
      <c r="I74" s="2117"/>
      <c r="J74" s="2117"/>
      <c r="K74" s="2118"/>
      <c r="L74" s="2119">
        <v>55</v>
      </c>
      <c r="M74" s="2120">
        <v>69</v>
      </c>
      <c r="N74" s="2120">
        <v>116</v>
      </c>
      <c r="O74" s="2120">
        <v>147</v>
      </c>
      <c r="P74" s="2120">
        <v>208</v>
      </c>
    </row>
    <row r="75" spans="1:16" s="186" customFormat="1" ht="15" customHeight="1" x14ac:dyDescent="0.2">
      <c r="A75" s="5104"/>
      <c r="B75" s="4005"/>
      <c r="C75" s="2389" t="s">
        <v>516</v>
      </c>
      <c r="D75" s="2390"/>
      <c r="E75" s="2390"/>
      <c r="F75" s="2390"/>
      <c r="G75" s="2390"/>
      <c r="H75" s="2390"/>
      <c r="I75" s="2390"/>
      <c r="J75" s="2390"/>
      <c r="K75" s="2390"/>
      <c r="L75" s="2391">
        <f>SUM(L70,L73,L74)</f>
        <v>173</v>
      </c>
      <c r="M75" s="2391">
        <f>SUM(M70,M73,M74)</f>
        <v>228</v>
      </c>
      <c r="N75" s="2391">
        <f>SUM(N70,N73,N74)</f>
        <v>377</v>
      </c>
      <c r="O75" s="2391">
        <f>SUM(O70,O73,O74)</f>
        <v>458</v>
      </c>
      <c r="P75" s="2391">
        <f>SUM(P70,P73,P74)</f>
        <v>594</v>
      </c>
    </row>
    <row r="76" spans="1:16" s="186" customFormat="1" ht="15" customHeight="1" x14ac:dyDescent="0.2">
      <c r="A76" s="5072" t="s">
        <v>448</v>
      </c>
      <c r="B76" s="5199" t="s">
        <v>6</v>
      </c>
      <c r="C76" s="2125" t="s">
        <v>462</v>
      </c>
      <c r="D76" s="2101">
        <v>834</v>
      </c>
      <c r="E76" s="2101">
        <v>867</v>
      </c>
      <c r="F76" s="2101">
        <v>895</v>
      </c>
      <c r="G76" s="2101">
        <v>919</v>
      </c>
      <c r="H76" s="2102">
        <v>963</v>
      </c>
      <c r="I76" s="2102">
        <v>999</v>
      </c>
      <c r="J76" s="2102">
        <v>940</v>
      </c>
      <c r="K76" s="2102">
        <v>982</v>
      </c>
      <c r="L76" s="2102">
        <v>995</v>
      </c>
      <c r="M76" s="2094">
        <v>1010</v>
      </c>
      <c r="N76" s="2094">
        <v>1019</v>
      </c>
      <c r="O76" s="2094">
        <v>1000</v>
      </c>
      <c r="P76" s="2094">
        <v>1018</v>
      </c>
    </row>
    <row r="77" spans="1:16" s="186" customFormat="1" ht="15" customHeight="1" x14ac:dyDescent="0.2">
      <c r="A77" s="5073"/>
      <c r="B77" s="5199"/>
      <c r="C77" s="2123" t="s">
        <v>490</v>
      </c>
      <c r="D77" s="2095">
        <v>1012</v>
      </c>
      <c r="E77" s="2095">
        <v>1069</v>
      </c>
      <c r="F77" s="2095">
        <v>1141</v>
      </c>
      <c r="G77" s="2095">
        <v>1170</v>
      </c>
      <c r="H77" s="2096">
        <v>1186</v>
      </c>
      <c r="I77" s="2096">
        <v>1172</v>
      </c>
      <c r="J77" s="2096">
        <v>1109</v>
      </c>
      <c r="K77" s="2096">
        <v>1119</v>
      </c>
      <c r="L77" s="2096">
        <v>1079</v>
      </c>
      <c r="M77" s="2096">
        <v>1073</v>
      </c>
      <c r="N77" s="2096">
        <v>1091</v>
      </c>
      <c r="O77" s="2096">
        <v>1081</v>
      </c>
      <c r="P77" s="2096">
        <v>1085</v>
      </c>
    </row>
    <row r="78" spans="1:16" s="186" customFormat="1" ht="15" customHeight="1" x14ac:dyDescent="0.2">
      <c r="A78" s="5073"/>
      <c r="B78" s="5199"/>
      <c r="C78" s="2123" t="s">
        <v>464</v>
      </c>
      <c r="D78" s="2095">
        <v>733</v>
      </c>
      <c r="E78" s="2095">
        <v>748</v>
      </c>
      <c r="F78" s="2095">
        <v>792</v>
      </c>
      <c r="G78" s="2095">
        <v>806</v>
      </c>
      <c r="H78" s="2096">
        <v>873</v>
      </c>
      <c r="I78" s="2096">
        <v>909</v>
      </c>
      <c r="J78" s="2096">
        <v>934</v>
      </c>
      <c r="K78" s="2096">
        <v>940</v>
      </c>
      <c r="L78" s="2096">
        <v>882</v>
      </c>
      <c r="M78" s="2096">
        <v>918</v>
      </c>
      <c r="N78" s="2096">
        <v>968</v>
      </c>
      <c r="O78" s="2096">
        <v>991</v>
      </c>
      <c r="P78" s="2096">
        <v>1013</v>
      </c>
    </row>
    <row r="79" spans="1:16" s="186" customFormat="1" ht="15" customHeight="1" x14ac:dyDescent="0.2">
      <c r="A79" s="5073"/>
      <c r="B79" s="5199"/>
      <c r="C79" s="2123" t="s">
        <v>491</v>
      </c>
      <c r="D79" s="2095">
        <v>1829</v>
      </c>
      <c r="E79" s="2095">
        <v>1928</v>
      </c>
      <c r="F79" s="2095">
        <v>2042</v>
      </c>
      <c r="G79" s="2095">
        <v>2031</v>
      </c>
      <c r="H79" s="2096">
        <v>2037</v>
      </c>
      <c r="I79" s="2096">
        <v>2021</v>
      </c>
      <c r="J79" s="2096">
        <v>1949</v>
      </c>
      <c r="K79" s="2096">
        <v>1851</v>
      </c>
      <c r="L79" s="2096">
        <v>1824</v>
      </c>
      <c r="M79" s="2096">
        <v>1843</v>
      </c>
      <c r="N79" s="2096">
        <v>1863</v>
      </c>
      <c r="O79" s="2096">
        <v>1787</v>
      </c>
      <c r="P79" s="2096">
        <v>1738</v>
      </c>
    </row>
    <row r="80" spans="1:16" s="186" customFormat="1" ht="15" customHeight="1" x14ac:dyDescent="0.2">
      <c r="A80" s="5073"/>
      <c r="B80" s="5199"/>
      <c r="C80" s="2123" t="s">
        <v>465</v>
      </c>
      <c r="D80" s="2095">
        <v>956</v>
      </c>
      <c r="E80" s="2095">
        <v>1009</v>
      </c>
      <c r="F80" s="2095">
        <v>994</v>
      </c>
      <c r="G80" s="2095">
        <v>1014</v>
      </c>
      <c r="H80" s="2096">
        <v>966</v>
      </c>
      <c r="I80" s="2096">
        <v>956</v>
      </c>
      <c r="J80" s="2096">
        <v>923</v>
      </c>
      <c r="K80" s="2096">
        <v>894</v>
      </c>
      <c r="L80" s="2096">
        <v>917</v>
      </c>
      <c r="M80" s="2096">
        <v>927</v>
      </c>
      <c r="N80" s="2096">
        <v>936</v>
      </c>
      <c r="O80" s="2096">
        <v>902</v>
      </c>
      <c r="P80" s="2096">
        <v>909</v>
      </c>
    </row>
    <row r="81" spans="1:16" s="186" customFormat="1" ht="15" customHeight="1" x14ac:dyDescent="0.2">
      <c r="A81" s="5073"/>
      <c r="B81" s="5199"/>
      <c r="C81" s="2124" t="s">
        <v>492</v>
      </c>
      <c r="D81" s="2097">
        <v>290</v>
      </c>
      <c r="E81" s="2097">
        <v>298</v>
      </c>
      <c r="F81" s="2097">
        <v>313</v>
      </c>
      <c r="G81" s="2097">
        <v>326</v>
      </c>
      <c r="H81" s="2098">
        <v>363</v>
      </c>
      <c r="I81" s="2098">
        <v>356</v>
      </c>
      <c r="J81" s="2098">
        <v>351</v>
      </c>
      <c r="K81" s="2098">
        <v>352</v>
      </c>
      <c r="L81" s="2098">
        <v>359</v>
      </c>
      <c r="M81" s="2098">
        <v>355</v>
      </c>
      <c r="N81" s="2098">
        <v>360</v>
      </c>
      <c r="O81" s="2098">
        <v>387</v>
      </c>
      <c r="P81" s="2098">
        <v>430</v>
      </c>
    </row>
    <row r="82" spans="1:16" s="186" customFormat="1" ht="15" customHeight="1" x14ac:dyDescent="0.2">
      <c r="A82" s="5073"/>
      <c r="B82" s="2128"/>
      <c r="C82" s="2392" t="s">
        <v>160</v>
      </c>
      <c r="D82" s="2393">
        <f>SUM(D76:D81)</f>
        <v>5654</v>
      </c>
      <c r="E82" s="2393">
        <f t="shared" ref="E82:M82" si="12">SUM(E76:E81)</f>
        <v>5919</v>
      </c>
      <c r="F82" s="2393">
        <f t="shared" si="12"/>
        <v>6177</v>
      </c>
      <c r="G82" s="2393">
        <f t="shared" si="12"/>
        <v>6266</v>
      </c>
      <c r="H82" s="2393">
        <f t="shared" si="12"/>
        <v>6388</v>
      </c>
      <c r="I82" s="2393">
        <f t="shared" si="12"/>
        <v>6413</v>
      </c>
      <c r="J82" s="2393">
        <f t="shared" si="12"/>
        <v>6206</v>
      </c>
      <c r="K82" s="2393">
        <f t="shared" si="12"/>
        <v>6138</v>
      </c>
      <c r="L82" s="2393">
        <f t="shared" si="12"/>
        <v>6056</v>
      </c>
      <c r="M82" s="2394">
        <f t="shared" si="12"/>
        <v>6126</v>
      </c>
      <c r="N82" s="2394">
        <f>SUM(N76:N81)</f>
        <v>6237</v>
      </c>
      <c r="O82" s="2394">
        <f>SUM(O76:O81)</f>
        <v>6148</v>
      </c>
      <c r="P82" s="2394">
        <f>SUM(P76:P81)</f>
        <v>6193</v>
      </c>
    </row>
    <row r="83" spans="1:16" s="186" customFormat="1" ht="15" customHeight="1" x14ac:dyDescent="0.2">
      <c r="A83" s="5073"/>
      <c r="B83" s="5196" t="s">
        <v>11</v>
      </c>
      <c r="C83" s="2122" t="s">
        <v>484</v>
      </c>
      <c r="D83" s="2093">
        <v>753</v>
      </c>
      <c r="E83" s="2093">
        <v>786</v>
      </c>
      <c r="F83" s="2093">
        <v>856</v>
      </c>
      <c r="G83" s="2093">
        <v>950</v>
      </c>
      <c r="H83" s="2094">
        <v>965</v>
      </c>
      <c r="I83" s="2094">
        <v>971</v>
      </c>
      <c r="J83" s="2094">
        <v>949</v>
      </c>
      <c r="K83" s="2094">
        <v>933</v>
      </c>
      <c r="L83" s="2094">
        <v>918</v>
      </c>
      <c r="M83" s="2094">
        <v>922</v>
      </c>
      <c r="N83" s="2094">
        <v>928</v>
      </c>
      <c r="O83" s="2094">
        <v>931</v>
      </c>
      <c r="P83" s="2094">
        <v>923</v>
      </c>
    </row>
    <row r="84" spans="1:16" s="186" customFormat="1" ht="15" customHeight="1" x14ac:dyDescent="0.2">
      <c r="A84" s="5073"/>
      <c r="B84" s="5197"/>
      <c r="C84" s="2123" t="s">
        <v>493</v>
      </c>
      <c r="D84" s="2095">
        <v>450</v>
      </c>
      <c r="E84" s="2095">
        <v>515</v>
      </c>
      <c r="F84" s="2095">
        <v>579</v>
      </c>
      <c r="G84" s="2095">
        <v>652</v>
      </c>
      <c r="H84" s="2096">
        <v>644</v>
      </c>
      <c r="I84" s="2096">
        <v>689</v>
      </c>
      <c r="J84" s="2096">
        <v>672</v>
      </c>
      <c r="K84" s="2096">
        <v>714</v>
      </c>
      <c r="L84" s="2096">
        <v>707</v>
      </c>
      <c r="M84" s="2096">
        <v>704</v>
      </c>
      <c r="N84" s="2096">
        <v>659</v>
      </c>
      <c r="O84" s="2096">
        <v>619</v>
      </c>
      <c r="P84" s="2096">
        <v>591</v>
      </c>
    </row>
    <row r="85" spans="1:16" s="186" customFormat="1" ht="15" customHeight="1" x14ac:dyDescent="0.2">
      <c r="A85" s="5073"/>
      <c r="B85" s="5197"/>
      <c r="C85" s="2123" t="s">
        <v>494</v>
      </c>
      <c r="D85" s="2095">
        <v>896</v>
      </c>
      <c r="E85" s="2095">
        <v>966</v>
      </c>
      <c r="F85" s="2095">
        <v>1102</v>
      </c>
      <c r="G85" s="2095">
        <v>1169</v>
      </c>
      <c r="H85" s="2096">
        <v>1195</v>
      </c>
      <c r="I85" s="2096">
        <v>1156</v>
      </c>
      <c r="J85" s="2096">
        <v>995</v>
      </c>
      <c r="K85" s="2096">
        <v>903</v>
      </c>
      <c r="L85" s="2096">
        <v>857</v>
      </c>
      <c r="M85" s="2096">
        <v>844</v>
      </c>
      <c r="N85" s="2096">
        <v>842</v>
      </c>
      <c r="O85" s="2096">
        <v>874</v>
      </c>
      <c r="P85" s="2096">
        <v>888</v>
      </c>
    </row>
    <row r="86" spans="1:16" s="186" customFormat="1" ht="15" customHeight="1" x14ac:dyDescent="0.2">
      <c r="A86" s="5073"/>
      <c r="B86" s="5197"/>
      <c r="C86" s="2123" t="s">
        <v>495</v>
      </c>
      <c r="D86" s="2095">
        <v>1181</v>
      </c>
      <c r="E86" s="2095">
        <v>1290</v>
      </c>
      <c r="F86" s="2095">
        <v>1354</v>
      </c>
      <c r="G86" s="2095">
        <v>1402</v>
      </c>
      <c r="H86" s="2096">
        <v>1368</v>
      </c>
      <c r="I86" s="2096">
        <v>1303</v>
      </c>
      <c r="J86" s="2096">
        <v>1261</v>
      </c>
      <c r="K86" s="2096">
        <v>1284</v>
      </c>
      <c r="L86" s="2096">
        <v>1263</v>
      </c>
      <c r="M86" s="2096">
        <v>1241</v>
      </c>
      <c r="N86" s="2096">
        <v>1239</v>
      </c>
      <c r="O86" s="2096">
        <v>1243</v>
      </c>
      <c r="P86" s="2096">
        <v>1318</v>
      </c>
    </row>
    <row r="87" spans="1:16" s="186" customFormat="1" ht="15" customHeight="1" x14ac:dyDescent="0.2">
      <c r="A87" s="5073"/>
      <c r="B87" s="5197"/>
      <c r="C87" s="2123" t="s">
        <v>496</v>
      </c>
      <c r="D87" s="2095">
        <v>1156</v>
      </c>
      <c r="E87" s="2095">
        <v>1273</v>
      </c>
      <c r="F87" s="2095">
        <v>1396</v>
      </c>
      <c r="G87" s="2095">
        <v>1431</v>
      </c>
      <c r="H87" s="2096">
        <v>1458</v>
      </c>
      <c r="I87" s="2096">
        <v>1384</v>
      </c>
      <c r="J87" s="2096">
        <v>1283</v>
      </c>
      <c r="K87" s="2096">
        <v>1237</v>
      </c>
      <c r="L87" s="2096">
        <v>1182</v>
      </c>
      <c r="M87" s="2096">
        <v>1158</v>
      </c>
      <c r="N87" s="2096">
        <v>1201</v>
      </c>
      <c r="O87" s="2096">
        <v>1254</v>
      </c>
      <c r="P87" s="2096">
        <v>1262</v>
      </c>
    </row>
    <row r="88" spans="1:16" s="186" customFormat="1" ht="15" customHeight="1" x14ac:dyDescent="0.2">
      <c r="A88" s="5073"/>
      <c r="B88" s="5197"/>
      <c r="C88" s="2123" t="s">
        <v>497</v>
      </c>
      <c r="D88" s="2095">
        <v>556</v>
      </c>
      <c r="E88" s="2095">
        <v>528</v>
      </c>
      <c r="F88" s="2095">
        <v>497</v>
      </c>
      <c r="G88" s="2095">
        <v>521</v>
      </c>
      <c r="H88" s="2096">
        <v>571</v>
      </c>
      <c r="I88" s="2096">
        <v>599</v>
      </c>
      <c r="J88" s="2096">
        <v>666</v>
      </c>
      <c r="K88" s="2096">
        <v>775</v>
      </c>
      <c r="L88" s="2096">
        <v>840</v>
      </c>
      <c r="M88" s="2096">
        <v>867</v>
      </c>
      <c r="N88" s="2096">
        <v>859</v>
      </c>
      <c r="O88" s="2096">
        <v>827</v>
      </c>
      <c r="P88" s="2096">
        <v>826</v>
      </c>
    </row>
    <row r="89" spans="1:16" s="186" customFormat="1" ht="15" customHeight="1" x14ac:dyDescent="0.2">
      <c r="A89" s="5073"/>
      <c r="B89" s="5197"/>
      <c r="C89" s="2123" t="s">
        <v>498</v>
      </c>
      <c r="D89" s="2095">
        <v>1042</v>
      </c>
      <c r="E89" s="2095">
        <v>1089</v>
      </c>
      <c r="F89" s="2095">
        <v>1104</v>
      </c>
      <c r="G89" s="2095">
        <v>1138</v>
      </c>
      <c r="H89" s="2096">
        <v>1117</v>
      </c>
      <c r="I89" s="2096">
        <v>1176</v>
      </c>
      <c r="J89" s="2096">
        <v>1182</v>
      </c>
      <c r="K89" s="2096">
        <v>1184</v>
      </c>
      <c r="L89" s="2096">
        <v>1135</v>
      </c>
      <c r="M89" s="2096">
        <v>1106</v>
      </c>
      <c r="N89" s="2096">
        <v>1135</v>
      </c>
      <c r="O89" s="2096">
        <v>1098</v>
      </c>
      <c r="P89" s="2096">
        <v>1070</v>
      </c>
    </row>
    <row r="90" spans="1:16" s="186" customFormat="1" ht="15" customHeight="1" x14ac:dyDescent="0.2">
      <c r="A90" s="5073"/>
      <c r="B90" s="5197"/>
      <c r="C90" s="2123" t="s">
        <v>515</v>
      </c>
      <c r="D90" s="2095">
        <v>531</v>
      </c>
      <c r="E90" s="2095">
        <v>580</v>
      </c>
      <c r="F90" s="2095">
        <v>628</v>
      </c>
      <c r="G90" s="2095">
        <v>685</v>
      </c>
      <c r="H90" s="2096">
        <v>720</v>
      </c>
      <c r="I90" s="2096">
        <v>696</v>
      </c>
      <c r="J90" s="2096">
        <v>684</v>
      </c>
      <c r="K90" s="2096">
        <v>612</v>
      </c>
      <c r="L90" s="2096">
        <v>666</v>
      </c>
      <c r="M90" s="2096">
        <v>667</v>
      </c>
      <c r="N90" s="2096">
        <v>702</v>
      </c>
      <c r="O90" s="2096">
        <v>729</v>
      </c>
      <c r="P90" s="2096">
        <v>758</v>
      </c>
    </row>
    <row r="91" spans="1:16" s="186" customFormat="1" ht="15" customHeight="1" x14ac:dyDescent="0.2">
      <c r="A91" s="5073"/>
      <c r="B91" s="5198"/>
      <c r="C91" s="2392" t="s">
        <v>160</v>
      </c>
      <c r="D91" s="2393">
        <f>SUM(D83:D90)</f>
        <v>6565</v>
      </c>
      <c r="E91" s="2393">
        <f t="shared" ref="E91:M91" si="13">SUM(E83:E90)</f>
        <v>7027</v>
      </c>
      <c r="F91" s="2393">
        <f t="shared" si="13"/>
        <v>7516</v>
      </c>
      <c r="G91" s="2393">
        <f t="shared" si="13"/>
        <v>7948</v>
      </c>
      <c r="H91" s="2393">
        <f t="shared" si="13"/>
        <v>8038</v>
      </c>
      <c r="I91" s="2393">
        <f t="shared" si="13"/>
        <v>7974</v>
      </c>
      <c r="J91" s="2393">
        <f t="shared" si="13"/>
        <v>7692</v>
      </c>
      <c r="K91" s="2393">
        <f t="shared" si="13"/>
        <v>7642</v>
      </c>
      <c r="L91" s="2393">
        <f t="shared" si="13"/>
        <v>7568</v>
      </c>
      <c r="M91" s="2394">
        <f t="shared" si="13"/>
        <v>7509</v>
      </c>
      <c r="N91" s="2394">
        <f>SUM(N83:N90)</f>
        <v>7565</v>
      </c>
      <c r="O91" s="2394">
        <f>SUM(O83:O90)</f>
        <v>7575</v>
      </c>
      <c r="P91" s="2394">
        <f>SUM(P83:P90)</f>
        <v>7636</v>
      </c>
    </row>
    <row r="92" spans="1:16" s="186" customFormat="1" ht="15" customHeight="1" x14ac:dyDescent="0.2">
      <c r="A92" s="5073"/>
      <c r="B92" s="5197" t="s">
        <v>7</v>
      </c>
      <c r="C92" s="2125" t="s">
        <v>466</v>
      </c>
      <c r="D92" s="2101">
        <v>1337</v>
      </c>
      <c r="E92" s="2101">
        <v>1387</v>
      </c>
      <c r="F92" s="2101">
        <v>1477</v>
      </c>
      <c r="G92" s="2101">
        <v>1507</v>
      </c>
      <c r="H92" s="2102">
        <v>1523</v>
      </c>
      <c r="I92" s="2102">
        <v>1595</v>
      </c>
      <c r="J92" s="2102">
        <v>1530</v>
      </c>
      <c r="K92" s="2102">
        <v>1485</v>
      </c>
      <c r="L92" s="2102">
        <v>1400</v>
      </c>
      <c r="M92" s="2102">
        <v>1380</v>
      </c>
      <c r="N92" s="2102">
        <v>1362</v>
      </c>
      <c r="O92" s="2102">
        <v>1372</v>
      </c>
      <c r="P92" s="2102">
        <v>1340</v>
      </c>
    </row>
    <row r="93" spans="1:16" s="186" customFormat="1" ht="15" customHeight="1" x14ac:dyDescent="0.2">
      <c r="A93" s="5073"/>
      <c r="B93" s="5197"/>
      <c r="C93" s="2123" t="s">
        <v>467</v>
      </c>
      <c r="D93" s="2095">
        <v>673</v>
      </c>
      <c r="E93" s="2095">
        <v>717</v>
      </c>
      <c r="F93" s="2095">
        <v>727</v>
      </c>
      <c r="G93" s="2095">
        <v>715</v>
      </c>
      <c r="H93" s="2096">
        <v>705</v>
      </c>
      <c r="I93" s="2096">
        <v>689</v>
      </c>
      <c r="J93" s="2096">
        <v>629</v>
      </c>
      <c r="K93" s="2096">
        <v>637</v>
      </c>
      <c r="L93" s="2096">
        <v>628</v>
      </c>
      <c r="M93" s="2096">
        <v>665</v>
      </c>
      <c r="N93" s="2096">
        <v>665</v>
      </c>
      <c r="O93" s="2096">
        <v>653</v>
      </c>
      <c r="P93" s="2096">
        <v>637</v>
      </c>
    </row>
    <row r="94" spans="1:16" s="186" customFormat="1" ht="15" customHeight="1" x14ac:dyDescent="0.2">
      <c r="A94" s="5073"/>
      <c r="B94" s="5197"/>
      <c r="C94" s="2123" t="s">
        <v>468</v>
      </c>
      <c r="D94" s="2095">
        <v>650</v>
      </c>
      <c r="E94" s="2095">
        <v>688</v>
      </c>
      <c r="F94" s="2095">
        <v>724</v>
      </c>
      <c r="G94" s="2095">
        <v>701</v>
      </c>
      <c r="H94" s="2096">
        <v>698</v>
      </c>
      <c r="I94" s="2096">
        <v>675</v>
      </c>
      <c r="J94" s="2096">
        <v>624</v>
      </c>
      <c r="K94" s="2096">
        <v>583</v>
      </c>
      <c r="L94" s="2096">
        <v>572</v>
      </c>
      <c r="M94" s="2096">
        <v>578</v>
      </c>
      <c r="N94" s="2096">
        <v>622</v>
      </c>
      <c r="O94" s="2096">
        <v>635</v>
      </c>
      <c r="P94" s="2096">
        <v>659</v>
      </c>
    </row>
    <row r="95" spans="1:16" s="186" customFormat="1" ht="15" customHeight="1" x14ac:dyDescent="0.2">
      <c r="A95" s="5073"/>
      <c r="B95" s="5197"/>
      <c r="C95" s="2123" t="s">
        <v>500</v>
      </c>
      <c r="D95" s="2095">
        <v>344</v>
      </c>
      <c r="E95" s="2095">
        <v>362</v>
      </c>
      <c r="F95" s="2095">
        <v>398</v>
      </c>
      <c r="G95" s="2095">
        <v>412</v>
      </c>
      <c r="H95" s="2096">
        <v>439</v>
      </c>
      <c r="I95" s="2096">
        <v>445</v>
      </c>
      <c r="J95" s="2096">
        <v>468</v>
      </c>
      <c r="K95" s="2096">
        <v>483</v>
      </c>
      <c r="L95" s="2096">
        <v>491</v>
      </c>
      <c r="M95" s="2096">
        <v>512</v>
      </c>
      <c r="N95" s="2096">
        <v>524</v>
      </c>
      <c r="O95" s="2096">
        <v>500</v>
      </c>
      <c r="P95" s="2096">
        <v>504</v>
      </c>
    </row>
    <row r="96" spans="1:16" s="186" customFormat="1" ht="15" customHeight="1" x14ac:dyDescent="0.2">
      <c r="A96" s="5073"/>
      <c r="B96" s="5197"/>
      <c r="C96" s="2392" t="s">
        <v>160</v>
      </c>
      <c r="D96" s="4065">
        <f>SUM(D92:D95)</f>
        <v>3004</v>
      </c>
      <c r="E96" s="4065">
        <f t="shared" ref="E96:M96" si="14">SUM(E92:E95)</f>
        <v>3154</v>
      </c>
      <c r="F96" s="4065">
        <f t="shared" si="14"/>
        <v>3326</v>
      </c>
      <c r="G96" s="4065">
        <f t="shared" si="14"/>
        <v>3335</v>
      </c>
      <c r="H96" s="4065">
        <f t="shared" si="14"/>
        <v>3365</v>
      </c>
      <c r="I96" s="4065">
        <f t="shared" si="14"/>
        <v>3404</v>
      </c>
      <c r="J96" s="4065">
        <f t="shared" si="14"/>
        <v>3251</v>
      </c>
      <c r="K96" s="4065">
        <f t="shared" si="14"/>
        <v>3188</v>
      </c>
      <c r="L96" s="4065">
        <f t="shared" si="14"/>
        <v>3091</v>
      </c>
      <c r="M96" s="4066">
        <f t="shared" si="14"/>
        <v>3135</v>
      </c>
      <c r="N96" s="4066">
        <f>SUM(N92:N95)</f>
        <v>3173</v>
      </c>
      <c r="O96" s="4066">
        <f>SUM(O92:O95)</f>
        <v>3160</v>
      </c>
      <c r="P96" s="4066">
        <f>SUM(P92:P95)</f>
        <v>3140</v>
      </c>
    </row>
    <row r="97" spans="1:16" s="186" customFormat="1" ht="15" customHeight="1" x14ac:dyDescent="0.2">
      <c r="A97" s="5100"/>
      <c r="B97" s="4009"/>
      <c r="C97" s="4010" t="s">
        <v>516</v>
      </c>
      <c r="D97" s="4063">
        <f>SUM(D96,D91,D82)</f>
        <v>15223</v>
      </c>
      <c r="E97" s="4063">
        <f t="shared" ref="E97:M97" si="15">SUM(E96,E91,E82)</f>
        <v>16100</v>
      </c>
      <c r="F97" s="4063">
        <f t="shared" si="15"/>
        <v>17019</v>
      </c>
      <c r="G97" s="4063">
        <f t="shared" si="15"/>
        <v>17549</v>
      </c>
      <c r="H97" s="4063">
        <f t="shared" si="15"/>
        <v>17791</v>
      </c>
      <c r="I97" s="4063">
        <f t="shared" si="15"/>
        <v>17791</v>
      </c>
      <c r="J97" s="4063">
        <f t="shared" si="15"/>
        <v>17149</v>
      </c>
      <c r="K97" s="4063">
        <f t="shared" si="15"/>
        <v>16968</v>
      </c>
      <c r="L97" s="4063">
        <f t="shared" si="15"/>
        <v>16715</v>
      </c>
      <c r="M97" s="4064">
        <f t="shared" si="15"/>
        <v>16770</v>
      </c>
      <c r="N97" s="4064">
        <f>SUM(N96,N91,N82)</f>
        <v>16975</v>
      </c>
      <c r="O97" s="4064">
        <f>SUM(O96,O91,O82)</f>
        <v>16883</v>
      </c>
      <c r="P97" s="4064">
        <f>SUM(P96,P91,P82)</f>
        <v>16969</v>
      </c>
    </row>
    <row r="98" spans="1:16" s="186" customFormat="1" ht="15" customHeight="1" x14ac:dyDescent="0.2">
      <c r="A98" s="498"/>
      <c r="B98" s="498"/>
      <c r="C98" s="498"/>
      <c r="D98" s="498"/>
      <c r="E98" s="498"/>
      <c r="F98" s="498"/>
      <c r="G98" s="498"/>
      <c r="H98" s="498"/>
      <c r="I98" s="498"/>
      <c r="J98" s="498"/>
      <c r="K98" s="498"/>
      <c r="L98" s="498"/>
      <c r="M98" s="498"/>
      <c r="N98" s="498"/>
      <c r="O98" s="498"/>
      <c r="P98" s="498"/>
    </row>
    <row r="99" spans="1:16" s="197" customFormat="1" ht="15" x14ac:dyDescent="0.25">
      <c r="A99" s="2121"/>
      <c r="B99" s="5025" t="s">
        <v>76</v>
      </c>
      <c r="C99" s="5027"/>
      <c r="D99" s="708">
        <f t="shared" ref="D99:N99" si="16">SUM(D24,D39,D69,D75,D97)</f>
        <v>42235</v>
      </c>
      <c r="E99" s="708">
        <f t="shared" si="16"/>
        <v>43246</v>
      </c>
      <c r="F99" s="708">
        <f t="shared" si="16"/>
        <v>44496</v>
      </c>
      <c r="G99" s="708">
        <f t="shared" si="16"/>
        <v>45448</v>
      </c>
      <c r="H99" s="708">
        <f t="shared" si="16"/>
        <v>46267</v>
      </c>
      <c r="I99" s="708">
        <f t="shared" si="16"/>
        <v>47386</v>
      </c>
      <c r="J99" s="708">
        <f t="shared" si="16"/>
        <v>47343</v>
      </c>
      <c r="K99" s="708">
        <f t="shared" si="16"/>
        <v>48596</v>
      </c>
      <c r="L99" s="708">
        <f t="shared" si="16"/>
        <v>49508</v>
      </c>
      <c r="M99" s="708">
        <f t="shared" si="16"/>
        <v>50928</v>
      </c>
      <c r="N99" s="708">
        <f t="shared" si="16"/>
        <v>52459</v>
      </c>
      <c r="O99" s="708">
        <f>SUM(O24,O39,O69,O75,O97)</f>
        <v>52898</v>
      </c>
      <c r="P99" s="708">
        <f>SUM(P24,P39,P69,P75,P97)</f>
        <v>53374</v>
      </c>
    </row>
    <row r="100" spans="1:16" s="198" customFormat="1" ht="14.25" x14ac:dyDescent="0.2">
      <c r="B100" s="202" t="s">
        <v>128</v>
      </c>
      <c r="C100" s="202"/>
    </row>
    <row r="101" spans="1:16" x14ac:dyDescent="0.2">
      <c r="B101" s="209" t="s">
        <v>0</v>
      </c>
      <c r="C101" s="209"/>
    </row>
  </sheetData>
  <mergeCells count="20">
    <mergeCell ref="A1:C1"/>
    <mergeCell ref="A4:A24"/>
    <mergeCell ref="A25:A39"/>
    <mergeCell ref="B4:B13"/>
    <mergeCell ref="B30:B33"/>
    <mergeCell ref="B34:B38"/>
    <mergeCell ref="B71:B73"/>
    <mergeCell ref="B15:B19"/>
    <mergeCell ref="B20:B23"/>
    <mergeCell ref="B25:B29"/>
    <mergeCell ref="A70:A75"/>
    <mergeCell ref="A40:A69"/>
    <mergeCell ref="B40:B49"/>
    <mergeCell ref="B50:B61"/>
    <mergeCell ref="B62:B68"/>
    <mergeCell ref="A76:A97"/>
    <mergeCell ref="B83:B91"/>
    <mergeCell ref="B92:B96"/>
    <mergeCell ref="B99:C99"/>
    <mergeCell ref="B76:B81"/>
  </mergeCells>
  <printOptions horizontalCentered="1" verticalCentered="1"/>
  <pageMargins left="0.78740157480314965" right="0.78740157480314965" top="0.31496062992125984" bottom="0.15748031496062992" header="0" footer="0"/>
  <pageSetup scale="70" orientation="landscape" horizontalDpi="1200" verticalDpi="1200" r:id="rId1"/>
  <headerFooter alignWithMargins="0"/>
  <rowBreaks count="2" manualBreakCount="2">
    <brk id="39" max="14" man="1"/>
    <brk id="69" max="14" man="1"/>
  </rowBreaks>
  <ignoredErrors>
    <ignoredError sqref="D14:P14 L73:P73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L89"/>
  <sheetViews>
    <sheetView zoomScaleNormal="100" workbookViewId="0">
      <selection activeCell="K5" sqref="K5"/>
    </sheetView>
  </sheetViews>
  <sheetFormatPr baseColWidth="10" defaultRowHeight="15" x14ac:dyDescent="0.25"/>
  <cols>
    <col min="1" max="1" width="22.140625" style="2149" customWidth="1"/>
    <col min="2" max="2" width="16.42578125" style="1329" bestFit="1" customWidth="1"/>
    <col min="3" max="3" width="11.42578125" style="1419"/>
    <col min="4" max="4" width="19.5703125" style="1419" customWidth="1"/>
    <col min="5" max="5" width="12.85546875" style="1419" customWidth="1"/>
    <col min="6" max="6" width="11.42578125" style="1419"/>
    <col min="7" max="7" width="19.5703125" style="1419" customWidth="1"/>
    <col min="8" max="8" width="12.85546875" style="1419" customWidth="1"/>
    <col min="9" max="9" width="11.42578125" style="1419"/>
    <col min="10" max="10" width="19.7109375" style="1419" bestFit="1" customWidth="1"/>
    <col min="11" max="11" width="15.5703125" style="1419" customWidth="1"/>
    <col min="12" max="16384" width="11.42578125" style="1419"/>
  </cols>
  <sheetData>
    <row r="1" spans="1:12" ht="21" customHeight="1" x14ac:dyDescent="0.25">
      <c r="A1" s="5006" t="s">
        <v>1522</v>
      </c>
      <c r="B1" s="5006"/>
      <c r="C1" s="5006"/>
      <c r="D1" s="5006"/>
      <c r="E1" s="5006"/>
      <c r="F1" s="5006"/>
      <c r="G1" s="5006"/>
      <c r="H1" s="5006"/>
      <c r="I1" s="5006"/>
      <c r="J1" s="5006"/>
      <c r="K1" s="5006"/>
    </row>
    <row r="2" spans="1:12" ht="21" x14ac:dyDescent="0.25">
      <c r="B2" s="2315"/>
      <c r="C2" s="2315"/>
      <c r="F2" s="3978" t="s">
        <v>756</v>
      </c>
      <c r="G2" s="3979"/>
      <c r="H2" s="2315"/>
      <c r="I2" s="2315"/>
      <c r="J2" s="2315"/>
      <c r="K2" s="2315"/>
    </row>
    <row r="3" spans="1:12" ht="18.75" x14ac:dyDescent="0.25">
      <c r="A3" s="2298"/>
      <c r="B3" s="2297"/>
    </row>
    <row r="4" spans="1:12" x14ac:dyDescent="0.25">
      <c r="A4" s="5013" t="s">
        <v>165</v>
      </c>
      <c r="B4" s="5013"/>
      <c r="D4" s="5014" t="s">
        <v>758</v>
      </c>
      <c r="E4" s="5014"/>
      <c r="G4" s="5015" t="s">
        <v>759</v>
      </c>
      <c r="H4" s="5015"/>
      <c r="J4" s="5009" t="s">
        <v>760</v>
      </c>
      <c r="K4" s="5009"/>
    </row>
    <row r="5" spans="1:12" s="1329" customFormat="1" ht="20.100000000000001" customHeight="1" x14ac:dyDescent="0.2">
      <c r="A5" s="2308" t="s">
        <v>700</v>
      </c>
      <c r="B5" s="2300" t="s">
        <v>701</v>
      </c>
      <c r="D5" s="2304" t="s">
        <v>700</v>
      </c>
      <c r="E5" s="2300" t="s">
        <v>701</v>
      </c>
      <c r="F5" s="4588"/>
      <c r="G5" s="3790" t="s">
        <v>1282</v>
      </c>
      <c r="H5" s="2302" t="s">
        <v>60</v>
      </c>
      <c r="I5" s="4604"/>
      <c r="J5" s="2304" t="s">
        <v>716</v>
      </c>
      <c r="K5" s="2300" t="s">
        <v>1371</v>
      </c>
    </row>
    <row r="6" spans="1:12" s="1329" customFormat="1" ht="20.100000000000001" customHeight="1" x14ac:dyDescent="0.2">
      <c r="A6" s="2308"/>
      <c r="B6" s="2300" t="s">
        <v>702</v>
      </c>
      <c r="D6" s="2305"/>
      <c r="E6" s="2301" t="s">
        <v>702</v>
      </c>
      <c r="F6" s="4588"/>
      <c r="G6" s="5004" t="s">
        <v>875</v>
      </c>
      <c r="H6" s="2300" t="s">
        <v>701</v>
      </c>
      <c r="I6" s="4604"/>
      <c r="J6" s="2304"/>
      <c r="K6" s="2300" t="s">
        <v>703</v>
      </c>
    </row>
    <row r="7" spans="1:12" s="1329" customFormat="1" ht="20.100000000000001" customHeight="1" x14ac:dyDescent="0.2">
      <c r="A7" s="2305"/>
      <c r="B7" s="2301" t="s">
        <v>703</v>
      </c>
      <c r="D7" s="2304" t="s">
        <v>706</v>
      </c>
      <c r="E7" s="2300" t="s">
        <v>701</v>
      </c>
      <c r="G7" s="5005"/>
      <c r="H7" s="2301" t="s">
        <v>702</v>
      </c>
      <c r="I7" s="4604"/>
      <c r="J7" s="2304"/>
      <c r="K7" s="2300" t="s">
        <v>717</v>
      </c>
    </row>
    <row r="8" spans="1:12" s="1329" customFormat="1" ht="20.100000000000001" customHeight="1" x14ac:dyDescent="0.2">
      <c r="A8" s="2308" t="s">
        <v>704</v>
      </c>
      <c r="B8" s="2300" t="s">
        <v>701</v>
      </c>
      <c r="D8" s="2305"/>
      <c r="E8" s="2301" t="s">
        <v>702</v>
      </c>
      <c r="G8" s="1329" t="s">
        <v>648</v>
      </c>
      <c r="H8" s="2300" t="s">
        <v>701</v>
      </c>
      <c r="I8" s="4604"/>
      <c r="J8" s="2305"/>
      <c r="K8" s="2301" t="s">
        <v>718</v>
      </c>
    </row>
    <row r="9" spans="1:12" s="1329" customFormat="1" ht="20.100000000000001" customHeight="1" x14ac:dyDescent="0.2">
      <c r="A9" s="2308"/>
      <c r="B9" s="2300" t="s">
        <v>702</v>
      </c>
      <c r="D9" s="2304" t="s">
        <v>707</v>
      </c>
      <c r="E9" s="2300" t="s">
        <v>701</v>
      </c>
      <c r="G9" s="3092"/>
      <c r="H9" s="2301" t="s">
        <v>702</v>
      </c>
      <c r="I9" s="4604"/>
      <c r="J9" s="2306" t="s">
        <v>835</v>
      </c>
      <c r="K9" s="2301" t="s">
        <v>702</v>
      </c>
    </row>
    <row r="10" spans="1:12" s="1329" customFormat="1" ht="20.100000000000001" customHeight="1" x14ac:dyDescent="0.2">
      <c r="A10" s="2308"/>
      <c r="B10" s="2303" t="s">
        <v>703</v>
      </c>
      <c r="D10" s="2305"/>
      <c r="E10" s="2301" t="s">
        <v>702</v>
      </c>
      <c r="G10" s="1329" t="s">
        <v>876</v>
      </c>
      <c r="H10" s="2300" t="s">
        <v>701</v>
      </c>
      <c r="I10" s="4604"/>
      <c r="J10" s="2306" t="s">
        <v>719</v>
      </c>
      <c r="K10" s="2302" t="s">
        <v>60</v>
      </c>
      <c r="L10" s="4588"/>
    </row>
    <row r="11" spans="1:12" s="1329" customFormat="1" ht="20.100000000000001" customHeight="1" x14ac:dyDescent="0.2">
      <c r="A11" s="2305"/>
      <c r="B11" s="2301" t="s">
        <v>705</v>
      </c>
      <c r="D11" s="2304" t="s">
        <v>709</v>
      </c>
      <c r="E11" s="2300" t="s">
        <v>701</v>
      </c>
      <c r="G11" s="3092"/>
      <c r="H11" s="2301" t="s">
        <v>702</v>
      </c>
      <c r="I11" s="4604"/>
      <c r="J11" s="2304" t="s">
        <v>720</v>
      </c>
      <c r="K11" s="2300" t="s">
        <v>702</v>
      </c>
    </row>
    <row r="12" spans="1:12" s="1329" customFormat="1" ht="20.100000000000001" customHeight="1" x14ac:dyDescent="0.2">
      <c r="A12" s="2308" t="s">
        <v>706</v>
      </c>
      <c r="B12" s="2300" t="s">
        <v>701</v>
      </c>
      <c r="D12" s="2305"/>
      <c r="E12" s="3094" t="s">
        <v>702</v>
      </c>
      <c r="G12" s="1329" t="s">
        <v>649</v>
      </c>
      <c r="H12" s="4977" t="s">
        <v>701</v>
      </c>
      <c r="I12" s="4604"/>
      <c r="J12" s="2304"/>
      <c r="K12" s="2300" t="s">
        <v>779</v>
      </c>
    </row>
    <row r="13" spans="1:12" s="1329" customFormat="1" ht="20.100000000000001" customHeight="1" x14ac:dyDescent="0.2">
      <c r="A13" s="2308"/>
      <c r="B13" s="2300" t="s">
        <v>702</v>
      </c>
      <c r="D13" s="2304" t="s">
        <v>710</v>
      </c>
      <c r="E13" s="2300" t="s">
        <v>701</v>
      </c>
      <c r="F13" s="4604"/>
      <c r="H13" s="2301" t="s">
        <v>702</v>
      </c>
      <c r="I13" s="4604"/>
      <c r="J13" s="2306" t="s">
        <v>721</v>
      </c>
      <c r="K13" s="2302" t="s">
        <v>702</v>
      </c>
    </row>
    <row r="14" spans="1:12" s="1329" customFormat="1" ht="20.100000000000001" customHeight="1" x14ac:dyDescent="0.2">
      <c r="A14" s="2305"/>
      <c r="B14" s="2301" t="s">
        <v>705</v>
      </c>
      <c r="D14" s="2305"/>
      <c r="E14" s="2301" t="s">
        <v>702</v>
      </c>
      <c r="F14" s="4604"/>
      <c r="G14" s="5016" t="s">
        <v>1350</v>
      </c>
      <c r="H14" s="2300" t="s">
        <v>701</v>
      </c>
      <c r="I14" s="4604"/>
      <c r="J14" s="2304" t="s">
        <v>895</v>
      </c>
      <c r="K14" s="2300" t="s">
        <v>702</v>
      </c>
      <c r="L14" s="4604"/>
    </row>
    <row r="15" spans="1:12" s="1329" customFormat="1" ht="20.100000000000001" customHeight="1" x14ac:dyDescent="0.2">
      <c r="A15" s="2308" t="s">
        <v>707</v>
      </c>
      <c r="B15" s="2300" t="s">
        <v>701</v>
      </c>
      <c r="D15" s="2304" t="s">
        <v>711</v>
      </c>
      <c r="E15" s="2300" t="s">
        <v>701</v>
      </c>
      <c r="F15" s="4604"/>
      <c r="G15" s="5005"/>
      <c r="H15" s="2301" t="s">
        <v>702</v>
      </c>
      <c r="I15" s="4604"/>
      <c r="J15" s="2307" t="s">
        <v>722</v>
      </c>
      <c r="K15" s="2325" t="s">
        <v>702</v>
      </c>
    </row>
    <row r="16" spans="1:12" s="1329" customFormat="1" ht="20.100000000000001" customHeight="1" x14ac:dyDescent="0.2">
      <c r="A16" s="2305"/>
      <c r="B16" s="2301" t="s">
        <v>702</v>
      </c>
      <c r="D16" s="2305"/>
      <c r="E16" s="2301" t="s">
        <v>702</v>
      </c>
      <c r="F16" s="4604"/>
      <c r="G16" s="5016" t="s">
        <v>1351</v>
      </c>
      <c r="H16" s="2300" t="s">
        <v>701</v>
      </c>
      <c r="I16" s="4604"/>
      <c r="J16" s="2306" t="s">
        <v>723</v>
      </c>
      <c r="K16" s="2302" t="s">
        <v>51</v>
      </c>
      <c r="L16" s="4604"/>
    </row>
    <row r="17" spans="1:12" s="1329" customFormat="1" ht="20.100000000000001" customHeight="1" x14ac:dyDescent="0.2">
      <c r="A17" s="2308" t="s">
        <v>708</v>
      </c>
      <c r="B17" s="2300" t="s">
        <v>702</v>
      </c>
      <c r="C17" s="4604"/>
      <c r="D17" s="2308" t="s">
        <v>1273</v>
      </c>
      <c r="E17" s="2303" t="s">
        <v>51</v>
      </c>
      <c r="G17" s="5005"/>
      <c r="H17" s="2301" t="s">
        <v>702</v>
      </c>
      <c r="I17" s="4604"/>
      <c r="J17" s="2306" t="s">
        <v>724</v>
      </c>
      <c r="K17" s="2302" t="s">
        <v>51</v>
      </c>
      <c r="L17" s="4604"/>
    </row>
    <row r="18" spans="1:12" s="1329" customFormat="1" ht="20.100000000000001" customHeight="1" x14ac:dyDescent="0.2">
      <c r="A18" s="2305" t="s">
        <v>764</v>
      </c>
      <c r="B18" s="2301" t="s">
        <v>702</v>
      </c>
      <c r="C18" s="4604"/>
      <c r="D18" s="2305"/>
      <c r="E18" s="2301" t="s">
        <v>1272</v>
      </c>
      <c r="G18" s="5016" t="s">
        <v>1352</v>
      </c>
      <c r="H18" s="2300" t="s">
        <v>701</v>
      </c>
      <c r="I18" s="4967"/>
      <c r="J18" s="2308"/>
      <c r="K18" s="2303"/>
    </row>
    <row r="19" spans="1:12" s="1329" customFormat="1" ht="20.100000000000001" customHeight="1" x14ac:dyDescent="0.2">
      <c r="A19" s="2308" t="s">
        <v>709</v>
      </c>
      <c r="B19" s="2300" t="s">
        <v>701</v>
      </c>
      <c r="G19" s="5005"/>
      <c r="H19" s="2301" t="s">
        <v>702</v>
      </c>
      <c r="I19" s="4967"/>
      <c r="J19" s="2308"/>
      <c r="K19" s="2303"/>
    </row>
    <row r="20" spans="1:12" s="1329" customFormat="1" ht="20.100000000000001" customHeight="1" x14ac:dyDescent="0.2">
      <c r="A20" s="2305"/>
      <c r="B20" s="2301" t="s">
        <v>702</v>
      </c>
      <c r="G20" s="5016" t="s">
        <v>1353</v>
      </c>
      <c r="H20" s="2300" t="s">
        <v>701</v>
      </c>
      <c r="I20" s="4967"/>
    </row>
    <row r="21" spans="1:12" s="1329" customFormat="1" ht="20.100000000000001" customHeight="1" x14ac:dyDescent="0.2">
      <c r="A21" s="2308" t="s">
        <v>710</v>
      </c>
      <c r="B21" s="2300" t="s">
        <v>701</v>
      </c>
      <c r="C21" s="4604"/>
      <c r="G21" s="5005"/>
      <c r="H21" s="2301" t="s">
        <v>702</v>
      </c>
      <c r="I21" s="4967"/>
      <c r="J21" s="5010" t="s">
        <v>761</v>
      </c>
      <c r="K21" s="5010"/>
    </row>
    <row r="22" spans="1:12" s="1329" customFormat="1" ht="20.100000000000001" customHeight="1" x14ac:dyDescent="0.2">
      <c r="A22" s="2308"/>
      <c r="B22" s="2300" t="s">
        <v>702</v>
      </c>
      <c r="C22" s="4604"/>
      <c r="G22" s="5016" t="s">
        <v>1349</v>
      </c>
      <c r="H22" s="2300" t="s">
        <v>701</v>
      </c>
      <c r="I22" s="4967"/>
      <c r="J22" s="3780" t="s">
        <v>725</v>
      </c>
      <c r="K22" s="3781" t="s">
        <v>60</v>
      </c>
      <c r="L22" s="4604"/>
    </row>
    <row r="23" spans="1:12" s="1329" customFormat="1" ht="20.100000000000001" customHeight="1" x14ac:dyDescent="0.2">
      <c r="A23" s="2305"/>
      <c r="B23" s="2301" t="s">
        <v>703</v>
      </c>
      <c r="C23" s="4604"/>
      <c r="G23" s="5005"/>
      <c r="H23" s="2301" t="s">
        <v>702</v>
      </c>
      <c r="I23" s="4967"/>
      <c r="J23" s="2305"/>
      <c r="K23" s="2301" t="s">
        <v>1272</v>
      </c>
      <c r="L23" s="4604"/>
    </row>
    <row r="24" spans="1:12" s="1329" customFormat="1" ht="20.100000000000001" customHeight="1" x14ac:dyDescent="0.2">
      <c r="A24" s="2308" t="s">
        <v>711</v>
      </c>
      <c r="B24" s="2300" t="s">
        <v>701</v>
      </c>
      <c r="C24" s="4604"/>
      <c r="G24" s="5017" t="s">
        <v>1283</v>
      </c>
      <c r="H24" s="2300" t="s">
        <v>701</v>
      </c>
      <c r="I24" s="4967"/>
      <c r="J24" s="2304" t="s">
        <v>726</v>
      </c>
      <c r="K24" s="2300" t="s">
        <v>717</v>
      </c>
      <c r="L24" s="4588"/>
    </row>
    <row r="25" spans="1:12" s="1329" customFormat="1" ht="20.100000000000001" customHeight="1" x14ac:dyDescent="0.2">
      <c r="A25" s="2305"/>
      <c r="B25" s="2301" t="s">
        <v>702</v>
      </c>
      <c r="C25" s="4604"/>
      <c r="G25" s="5018"/>
      <c r="H25" s="2301" t="s">
        <v>702</v>
      </c>
      <c r="I25" s="4967"/>
      <c r="J25" s="2305"/>
      <c r="K25" s="2301" t="s">
        <v>718</v>
      </c>
      <c r="L25" s="4588"/>
    </row>
    <row r="26" spans="1:12" s="1329" customFormat="1" ht="20.100000000000001" customHeight="1" x14ac:dyDescent="0.2">
      <c r="A26" s="2308" t="s">
        <v>712</v>
      </c>
      <c r="B26" s="2300" t="s">
        <v>701</v>
      </c>
      <c r="C26" s="4604"/>
      <c r="G26" s="5007" t="s">
        <v>1354</v>
      </c>
      <c r="H26" s="3781" t="s">
        <v>701</v>
      </c>
      <c r="I26" s="4967"/>
      <c r="J26" s="2306" t="s">
        <v>727</v>
      </c>
      <c r="K26" s="2302" t="s">
        <v>702</v>
      </c>
      <c r="L26" s="4604"/>
    </row>
    <row r="27" spans="1:12" s="1329" customFormat="1" ht="20.100000000000001" customHeight="1" x14ac:dyDescent="0.2">
      <c r="A27" s="2305"/>
      <c r="B27" s="2301" t="s">
        <v>702</v>
      </c>
      <c r="C27" s="4604"/>
      <c r="G27" s="5008"/>
      <c r="H27" s="2301"/>
      <c r="J27" s="2305" t="s">
        <v>728</v>
      </c>
      <c r="K27" s="2301" t="s">
        <v>51</v>
      </c>
      <c r="L27" s="4604"/>
    </row>
    <row r="28" spans="1:12" s="1329" customFormat="1" ht="20.100000000000001" customHeight="1" x14ac:dyDescent="0.2">
      <c r="A28" s="5011" t="s">
        <v>713</v>
      </c>
      <c r="B28" s="2300" t="s">
        <v>701</v>
      </c>
      <c r="C28" s="4604"/>
      <c r="G28" s="5004" t="s">
        <v>1481</v>
      </c>
      <c r="H28" s="2300" t="s">
        <v>701</v>
      </c>
      <c r="I28" s="4604"/>
      <c r="J28" s="4871" t="s">
        <v>1528</v>
      </c>
      <c r="K28" s="3094" t="s">
        <v>1529</v>
      </c>
      <c r="L28" s="4588"/>
    </row>
    <row r="29" spans="1:12" s="1329" customFormat="1" ht="20.100000000000001" customHeight="1" x14ac:dyDescent="0.2">
      <c r="A29" s="5012"/>
      <c r="B29" s="2300" t="s">
        <v>702</v>
      </c>
      <c r="C29" s="4604"/>
      <c r="G29" s="5005"/>
      <c r="H29" s="2301"/>
    </row>
    <row r="30" spans="1:12" s="1329" customFormat="1" ht="20.100000000000001" customHeight="1" x14ac:dyDescent="0.2">
      <c r="A30" s="2305"/>
      <c r="B30" s="2301" t="s">
        <v>714</v>
      </c>
      <c r="C30" s="4604"/>
      <c r="G30" s="5007" t="s">
        <v>1482</v>
      </c>
      <c r="H30" s="2300" t="s">
        <v>701</v>
      </c>
      <c r="I30" s="4604"/>
    </row>
    <row r="31" spans="1:12" s="1329" customFormat="1" ht="20.100000000000001" customHeight="1" x14ac:dyDescent="0.2">
      <c r="A31" s="2306" t="s">
        <v>715</v>
      </c>
      <c r="B31" s="2302" t="s">
        <v>702</v>
      </c>
      <c r="C31" s="4604"/>
      <c r="G31" s="5008"/>
      <c r="H31" s="2301"/>
    </row>
    <row r="32" spans="1:12" s="1329" customFormat="1" ht="20.100000000000001" customHeight="1" x14ac:dyDescent="0.2">
      <c r="A32" s="3780" t="s">
        <v>1273</v>
      </c>
      <c r="B32" s="3781" t="s">
        <v>51</v>
      </c>
    </row>
    <row r="33" spans="1:3" s="1329" customFormat="1" ht="20.100000000000001" customHeight="1" x14ac:dyDescent="0.2">
      <c r="A33" s="2305"/>
      <c r="B33" s="2301" t="s">
        <v>1272</v>
      </c>
    </row>
    <row r="34" spans="1:3" s="1329" customFormat="1" ht="20.100000000000001" customHeight="1" x14ac:dyDescent="0.2">
      <c r="A34" s="2308" t="s">
        <v>762</v>
      </c>
      <c r="B34" s="2303" t="s">
        <v>757</v>
      </c>
    </row>
    <row r="35" spans="1:3" s="1329" customFormat="1" ht="20.100000000000001" customHeight="1" x14ac:dyDescent="0.2">
      <c r="A35" s="2305" t="s">
        <v>763</v>
      </c>
      <c r="B35" s="2301" t="s">
        <v>757</v>
      </c>
      <c r="C35" s="4604"/>
    </row>
    <row r="36" spans="1:3" s="1329" customFormat="1" ht="20.100000000000001" customHeight="1" x14ac:dyDescent="0.2">
      <c r="A36" s="2149"/>
    </row>
    <row r="37" spans="1:3" s="1329" customFormat="1" ht="20.100000000000001" customHeight="1" x14ac:dyDescent="0.2">
      <c r="A37" s="2299"/>
    </row>
    <row r="38" spans="1:3" s="1329" customFormat="1" ht="20.100000000000001" customHeight="1" x14ac:dyDescent="0.2">
      <c r="A38" s="2299"/>
    </row>
    <row r="39" spans="1:3" s="1329" customFormat="1" ht="20.100000000000001" customHeight="1" x14ac:dyDescent="0.2">
      <c r="A39" s="2299"/>
    </row>
    <row r="40" spans="1:3" s="1329" customFormat="1" ht="20.100000000000001" customHeight="1" x14ac:dyDescent="0.2">
      <c r="A40" s="2299"/>
    </row>
    <row r="41" spans="1:3" s="1329" customFormat="1" ht="20.100000000000001" customHeight="1" x14ac:dyDescent="0.2">
      <c r="A41" s="2299"/>
    </row>
    <row r="42" spans="1:3" s="1329" customFormat="1" ht="20.100000000000001" customHeight="1" x14ac:dyDescent="0.2">
      <c r="A42" s="2299"/>
    </row>
    <row r="43" spans="1:3" s="1329" customFormat="1" ht="20.100000000000001" customHeight="1" x14ac:dyDescent="0.2">
      <c r="A43" s="2299"/>
    </row>
    <row r="44" spans="1:3" s="1329" customFormat="1" ht="20.100000000000001" customHeight="1" x14ac:dyDescent="0.2">
      <c r="A44" s="2299"/>
    </row>
    <row r="45" spans="1:3" s="1329" customFormat="1" ht="20.100000000000001" customHeight="1" x14ac:dyDescent="0.2">
      <c r="A45" s="2299"/>
    </row>
    <row r="46" spans="1:3" s="1329" customFormat="1" ht="20.100000000000001" customHeight="1" x14ac:dyDescent="0.2">
      <c r="A46" s="2299"/>
    </row>
    <row r="47" spans="1:3" s="1329" customFormat="1" ht="20.100000000000001" customHeight="1" x14ac:dyDescent="0.2">
      <c r="A47" s="2299"/>
    </row>
    <row r="48" spans="1:3" s="1329" customFormat="1" ht="20.100000000000001" customHeight="1" x14ac:dyDescent="0.2">
      <c r="A48" s="2299"/>
    </row>
    <row r="49" spans="1:1" s="1329" customFormat="1" ht="20.100000000000001" customHeight="1" x14ac:dyDescent="0.2">
      <c r="A49" s="2149"/>
    </row>
    <row r="50" spans="1:1" s="1329" customFormat="1" ht="20.100000000000001" customHeight="1" x14ac:dyDescent="0.2">
      <c r="A50" s="2149"/>
    </row>
    <row r="51" spans="1:1" s="1329" customFormat="1" ht="20.100000000000001" customHeight="1" x14ac:dyDescent="0.2">
      <c r="A51" s="2149"/>
    </row>
    <row r="52" spans="1:1" s="1329" customFormat="1" ht="20.100000000000001" customHeight="1" x14ac:dyDescent="0.2">
      <c r="A52" s="2149"/>
    </row>
    <row r="53" spans="1:1" s="1329" customFormat="1" ht="20.100000000000001" customHeight="1" x14ac:dyDescent="0.2">
      <c r="A53" s="2149"/>
    </row>
    <row r="54" spans="1:1" s="1329" customFormat="1" ht="20.100000000000001" customHeight="1" x14ac:dyDescent="0.2">
      <c r="A54" s="2149"/>
    </row>
    <row r="55" spans="1:1" s="1329" customFormat="1" ht="20.100000000000001" customHeight="1" x14ac:dyDescent="0.2">
      <c r="A55" s="2149"/>
    </row>
    <row r="56" spans="1:1" s="1329" customFormat="1" ht="20.100000000000001" customHeight="1" x14ac:dyDescent="0.2">
      <c r="A56" s="2149"/>
    </row>
    <row r="57" spans="1:1" s="1329" customFormat="1" ht="20.100000000000001" customHeight="1" x14ac:dyDescent="0.2">
      <c r="A57" s="2149"/>
    </row>
    <row r="58" spans="1:1" s="1329" customFormat="1" ht="20.100000000000001" customHeight="1" x14ac:dyDescent="0.2">
      <c r="A58" s="2149"/>
    </row>
    <row r="59" spans="1:1" s="1329" customFormat="1" ht="20.100000000000001" customHeight="1" x14ac:dyDescent="0.2">
      <c r="A59" s="2149"/>
    </row>
    <row r="60" spans="1:1" s="1329" customFormat="1" ht="20.100000000000001" customHeight="1" x14ac:dyDescent="0.2">
      <c r="A60" s="2149"/>
    </row>
    <row r="61" spans="1:1" s="1329" customFormat="1" ht="20.100000000000001" customHeight="1" x14ac:dyDescent="0.2">
      <c r="A61" s="2149"/>
    </row>
    <row r="62" spans="1:1" s="1329" customFormat="1" ht="20.100000000000001" customHeight="1" x14ac:dyDescent="0.2">
      <c r="A62" s="2149"/>
    </row>
    <row r="63" spans="1:1" s="1329" customFormat="1" ht="20.100000000000001" customHeight="1" x14ac:dyDescent="0.2">
      <c r="A63" s="2149"/>
    </row>
    <row r="64" spans="1:1" s="1329" customFormat="1" ht="20.100000000000001" customHeight="1" x14ac:dyDescent="0.2">
      <c r="A64" s="2149"/>
    </row>
    <row r="65" spans="1:1" s="1329" customFormat="1" ht="20.100000000000001" customHeight="1" x14ac:dyDescent="0.2">
      <c r="A65" s="2149"/>
    </row>
    <row r="66" spans="1:1" s="1329" customFormat="1" ht="20.100000000000001" customHeight="1" x14ac:dyDescent="0.2">
      <c r="A66" s="2299"/>
    </row>
    <row r="67" spans="1:1" s="1329" customFormat="1" ht="20.100000000000001" customHeight="1" x14ac:dyDescent="0.2">
      <c r="A67" s="2299"/>
    </row>
    <row r="68" spans="1:1" s="1329" customFormat="1" ht="20.100000000000001" customHeight="1" x14ac:dyDescent="0.2">
      <c r="A68" s="2299"/>
    </row>
    <row r="69" spans="1:1" s="1329" customFormat="1" ht="20.100000000000001" customHeight="1" x14ac:dyDescent="0.2">
      <c r="A69" s="2299"/>
    </row>
    <row r="70" spans="1:1" s="1329" customFormat="1" ht="20.100000000000001" customHeight="1" x14ac:dyDescent="0.2">
      <c r="A70" s="2299"/>
    </row>
    <row r="71" spans="1:1" s="1329" customFormat="1" ht="20.100000000000001" customHeight="1" x14ac:dyDescent="0.2">
      <c r="A71" s="2149"/>
    </row>
    <row r="72" spans="1:1" s="1329" customFormat="1" ht="20.100000000000001" customHeight="1" x14ac:dyDescent="0.2">
      <c r="A72" s="2149"/>
    </row>
    <row r="73" spans="1:1" s="1329" customFormat="1" ht="20.100000000000001" customHeight="1" x14ac:dyDescent="0.2">
      <c r="A73" s="2149"/>
    </row>
    <row r="74" spans="1:1" s="1329" customFormat="1" ht="20.100000000000001" customHeight="1" x14ac:dyDescent="0.2">
      <c r="A74" s="2149"/>
    </row>
    <row r="75" spans="1:1" s="1329" customFormat="1" ht="20.100000000000001" customHeight="1" x14ac:dyDescent="0.2">
      <c r="A75" s="2149"/>
    </row>
    <row r="76" spans="1:1" s="1329" customFormat="1" ht="20.100000000000001" customHeight="1" x14ac:dyDescent="0.2">
      <c r="A76" s="2149"/>
    </row>
    <row r="77" spans="1:1" s="1329" customFormat="1" ht="20.100000000000001" customHeight="1" x14ac:dyDescent="0.2">
      <c r="A77" s="2149"/>
    </row>
    <row r="78" spans="1:1" s="1329" customFormat="1" ht="20.100000000000001" customHeight="1" x14ac:dyDescent="0.2">
      <c r="A78" s="2149"/>
    </row>
    <row r="79" spans="1:1" s="1329" customFormat="1" ht="20.100000000000001" customHeight="1" x14ac:dyDescent="0.2">
      <c r="A79" s="2149"/>
    </row>
    <row r="80" spans="1:1" s="1329" customFormat="1" ht="20.100000000000001" customHeight="1" x14ac:dyDescent="0.2">
      <c r="A80" s="2149"/>
    </row>
    <row r="81" spans="1:11" s="1329" customFormat="1" ht="20.100000000000001" customHeight="1" x14ac:dyDescent="0.2">
      <c r="A81" s="2149"/>
    </row>
    <row r="82" spans="1:11" s="1329" customFormat="1" ht="20.100000000000001" customHeight="1" x14ac:dyDescent="0.2">
      <c r="A82" s="2149"/>
    </row>
    <row r="83" spans="1:11" s="1329" customFormat="1" ht="20.100000000000001" customHeight="1" x14ac:dyDescent="0.2">
      <c r="A83" s="2149"/>
    </row>
    <row r="84" spans="1:11" s="1329" customFormat="1" ht="20.100000000000001" customHeight="1" x14ac:dyDescent="0.2">
      <c r="A84" s="2149"/>
    </row>
    <row r="85" spans="1:11" x14ac:dyDescent="0.25">
      <c r="D85" s="1329"/>
      <c r="E85" s="1329"/>
      <c r="G85" s="1329"/>
      <c r="H85" s="1329"/>
      <c r="J85" s="1329"/>
      <c r="K85" s="1329"/>
    </row>
    <row r="86" spans="1:11" x14ac:dyDescent="0.25">
      <c r="D86" s="1329"/>
      <c r="E86" s="1329"/>
      <c r="G86" s="1329"/>
      <c r="H86" s="1329"/>
      <c r="J86" s="1329"/>
      <c r="K86" s="1329"/>
    </row>
    <row r="87" spans="1:11" x14ac:dyDescent="0.25">
      <c r="D87" s="1329"/>
      <c r="E87" s="1329"/>
      <c r="G87" s="1329"/>
      <c r="H87" s="1329"/>
      <c r="J87" s="1329"/>
      <c r="K87" s="1329"/>
    </row>
    <row r="88" spans="1:11" x14ac:dyDescent="0.25">
      <c r="G88" s="1329"/>
      <c r="H88" s="1329"/>
      <c r="J88" s="1329"/>
      <c r="K88" s="1329"/>
    </row>
    <row r="89" spans="1:11" x14ac:dyDescent="0.25">
      <c r="G89" s="1329"/>
      <c r="H89" s="1329"/>
    </row>
  </sheetData>
  <mergeCells count="17">
    <mergeCell ref="G26:G27"/>
    <mergeCell ref="G28:G29"/>
    <mergeCell ref="A1:K1"/>
    <mergeCell ref="G30:G31"/>
    <mergeCell ref="J4:K4"/>
    <mergeCell ref="J21:K21"/>
    <mergeCell ref="A28:A29"/>
    <mergeCell ref="A4:B4"/>
    <mergeCell ref="D4:E4"/>
    <mergeCell ref="G4:H4"/>
    <mergeCell ref="G6:G7"/>
    <mergeCell ref="G16:G17"/>
    <mergeCell ref="G18:G19"/>
    <mergeCell ref="G14:G15"/>
    <mergeCell ref="G20:G21"/>
    <mergeCell ref="G22:G23"/>
    <mergeCell ref="G24:G25"/>
  </mergeCells>
  <hyperlinks>
    <hyperlink ref="B5" location="'Aspirantes plan'!A1" display="Plan"/>
    <hyperlink ref="B6" location="'Aspirantes uni'!A1" display="División"/>
    <hyperlink ref="B7" location="'Asp x gen'!A1" display="Género"/>
    <hyperlink ref="B8" location="'Admitidos plan'!A1" display="Plan"/>
    <hyperlink ref="B9" location="'Admitidos uni'!A1" display="División"/>
    <hyperlink ref="B11" location="'Admitidos SE'!A1" display="Socioeconómicos"/>
    <hyperlink ref="B12" location="'Inscritos plan'!A1" display="Plan"/>
    <hyperlink ref="B13" location="'Inscritos uni'!A1" display="División"/>
    <hyperlink ref="B14" location="'Inscritos SE'!A1" display="Socioeconómicos"/>
    <hyperlink ref="B15" location="'Matrícula plan'!A1" display="Plan"/>
    <hyperlink ref="B16" location="'Matricula uni'!A1" display="División"/>
    <hyperlink ref="B17" location="'BAJAS-DEF uni'!A1" display="División"/>
    <hyperlink ref="B18" location="'BAJAS-REG uni'!A1" display="División"/>
    <hyperlink ref="B19" location="'ACTIVOS plan'!A1" display="Plan"/>
    <hyperlink ref="B20" location="'ACTIVOS uni'!A1" display="División"/>
    <hyperlink ref="B21" location="'EGRESO plan'!A1" display="Plan"/>
    <hyperlink ref="B22" location="'EGRESO uni'!A1" display="División"/>
    <hyperlink ref="B23" location="'egresados x gen'!A1" display="Género"/>
    <hyperlink ref="B24" location="'EGRESO-ACUM plan'!A1" display="Plan"/>
    <hyperlink ref="B25" location="'EGR-ACUM uni'!A1" display="División"/>
    <hyperlink ref="B26" location="'TITULADOS plan'!A1" display="Plan"/>
    <hyperlink ref="B27" location="'TITULADOS uni'!A1" display="División"/>
    <hyperlink ref="B28" location="'TRIM EGRESO plan'!A1" display="Plan"/>
    <hyperlink ref="B29" location="'TRIM EGRESO uni'!A1" display="División"/>
    <hyperlink ref="B30" location="'TRIM PROM (1978-13)'!A1" display="1978-2013"/>
    <hyperlink ref="B31" location="'Eficiencia terminal'!A1" display="División"/>
    <hyperlink ref="B34" location="'Activos Lic-Pos'!A1" display="Gráfica"/>
    <hyperlink ref="B35" location="'Egresados Lic-Pos'!A1" display="Gráfica"/>
    <hyperlink ref="K22" location="DEPORTES!A1" display="UAM"/>
    <hyperlink ref="K24" location="'ADMI X EDAD'!A1" display="Edad"/>
    <hyperlink ref="K25" location="'ADMI X ANTIG'!A1" display="Antigüedad"/>
    <hyperlink ref="K26" location="'RECURSOS EXT'!A1" display="División"/>
    <hyperlink ref="K27" location="Convenios!A1" display="Unidad"/>
    <hyperlink ref="H6" location="' 1 Pronabes plan'!A1" display="Plan"/>
    <hyperlink ref="H7" location="'1 pronabes uni'!A1" display="División"/>
    <hyperlink ref="H23" location="'9 Posg_uni'!A1" display="División"/>
    <hyperlink ref="E5" location="'ASPI POSG plan'!A1" display="Plan"/>
    <hyperlink ref="E6" location="'ASPI-POS uni'!A1" display="División"/>
    <hyperlink ref="E7" location="'INSC-POSG plan'!A1" display="Plan"/>
    <hyperlink ref="E8" location="'INSC-POSG uni'!A1" display="División"/>
    <hyperlink ref="E9" location="'MATRICULA-POS plan'!A1" display="Plan"/>
    <hyperlink ref="E10" location="'MATRICULA-POS uni'!A1" display="División"/>
    <hyperlink ref="E11" location="'ACTIVOS-POS plan'!A1" display="Plan"/>
    <hyperlink ref="E12" location="'ACTIVOS-POS uni'!A1" display="División"/>
    <hyperlink ref="E13" location="'EGRESO-POS plan'!A1" display="Plan"/>
    <hyperlink ref="E14" location="'EGRESO-POs uni'!A1" display="División"/>
    <hyperlink ref="E15" location="'EGRESO POS ACUM plan'!A1" display="Plan"/>
    <hyperlink ref="E16" location="'EGRESO-POS ACUM uni'!A1" display="División"/>
    <hyperlink ref="K5" location="'Definitivo x categoría'!A1" display="Categoria"/>
    <hyperlink ref="K6" location="'Definitivo x género'!A1" display="Género"/>
    <hyperlink ref="K7" location="'ACAD x EDAD'!A1" display="Edad"/>
    <hyperlink ref="K8" location="'ACAD x ANTIG'!A1" display="Antigüedad"/>
    <hyperlink ref="K10" location="'becas y estímulos'!A1" display="UAM"/>
    <hyperlink ref="K11" location="'PTC-GRADO'!A1" display="División"/>
    <hyperlink ref="K13" location="'PROMEP PERFIL'!A1" display="División"/>
    <hyperlink ref="K14" location="SNI!A1" display="División"/>
    <hyperlink ref="K15" location="'Cuerpos Acad'!A1" display="División"/>
    <hyperlink ref="K16" location="'TIPPA PROD CIENTIF'!A1" display="Unidad"/>
    <hyperlink ref="K17" location="'TIPPA PROD TOTAL'!A1" display="Unidad"/>
    <hyperlink ref="K12" location="'PTC-GRADO (2)'!A1" display="% División "/>
    <hyperlink ref="K9" location="'Alumnos x PTC'!A1" display="División"/>
    <hyperlink ref="H8" location="'2 Excelencia_plan'!A1" display="Plan"/>
    <hyperlink ref="H9" location="'2 Excelencia_uni'!A1" display="División"/>
    <hyperlink ref="H10" location="'3 Gpos Vuln_plan'!A1" display="Plan"/>
    <hyperlink ref="H11" location="'3 Gpos Vuln_uni'!A1" display="División"/>
    <hyperlink ref="H24" location="'10 Difusión_plan'!A1" display="Plan"/>
    <hyperlink ref="H25" location="'10  Difusión_uni'!A1" display="División"/>
    <hyperlink ref="H22" location="'9 Posg_plan'!A1" display="Plan"/>
    <hyperlink ref="B32" location="'Planes de Lic.'!A1" display="Unidad"/>
    <hyperlink ref="E17" location="'Planes de Posgrado'!A1" display="Unidad"/>
    <hyperlink ref="E18" location="'planes de calidad resumen'!A1" display="Resumen"/>
    <hyperlink ref="B10" location="'Admitidos x gen'!A1" display="Género"/>
    <hyperlink ref="B33" location="Resumen!A1" display="Resumen"/>
    <hyperlink ref="H5" location="'Becas UAM pagadas'!A1" display="UAM"/>
    <hyperlink ref="K23" location="'Resumen Deportes'!A1" display="Resumen"/>
    <hyperlink ref="H14" location="'5 Lenguas Ext plan'!A1" display="Plan"/>
    <hyperlink ref="H15" location="'5 Lenguas Ext uni'!A1" display="División"/>
    <hyperlink ref="H16" location="'6 Mov Inter Lic plan'!A1" display="Plan"/>
    <hyperlink ref="H17" location="'6 Mov Inter Lic uni'!A1" display="División"/>
    <hyperlink ref="H18" location="'7 Mov Nal Lic plan'!A1" display="Plan"/>
    <hyperlink ref="H19" location="'7 Mov Nal Lic uni'!A1" display="División"/>
    <hyperlink ref="H20" location="'8 Partic Lic plan'!A1" display="Plan"/>
    <hyperlink ref="H21" location="'8 Partic Lic uni'!A1" display="División"/>
    <hyperlink ref="H26" location="'11-12 Movilidad Posgrado'!A1" display="Plan"/>
    <hyperlink ref="H12" location="'4 Serv Social plan'!A1" display="Plan"/>
    <hyperlink ref="H28" location="'13 Estancias Posd'!A1" display="Plan"/>
    <hyperlink ref="H30" location="'14 Superacion Acad'!A1" display="Plan"/>
    <hyperlink ref="H13" location="'4 Serv social uni'!A1" display="División"/>
    <hyperlink ref="K28" location="Transparencia!A1" display="Consulta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72" orientation="landscape" r:id="rId1"/>
  <rowBreaks count="1" manualBreakCount="1">
    <brk id="42" max="7" man="1"/>
  </rowBreaks>
  <colBreaks count="1" manualBreakCount="1">
    <brk id="12" max="40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O51"/>
  <sheetViews>
    <sheetView showGridLines="0" zoomScaleNormal="100" zoomScaleSheetLayoutView="100" workbookViewId="0">
      <pane xSplit="2" ySplit="6" topLeftCell="C7" activePane="bottomRight" state="frozen"/>
      <selection pane="topRight" activeCell="D1" sqref="D1"/>
      <selection pane="bottomLeft" activeCell="A7" sqref="A7"/>
      <selection pane="bottomRight" activeCell="N7" sqref="N7"/>
    </sheetView>
  </sheetViews>
  <sheetFormatPr baseColWidth="10" defaultRowHeight="12.75" x14ac:dyDescent="0.2"/>
  <cols>
    <col min="1" max="1" width="18" style="199" bestFit="1" customWidth="1"/>
    <col min="2" max="2" width="14" style="199" customWidth="1"/>
    <col min="3" max="10" width="11.42578125" style="199" customWidth="1"/>
    <col min="11" max="254" width="11.42578125" style="199"/>
    <col min="255" max="255" width="1.7109375" style="199" customWidth="1"/>
    <col min="256" max="256" width="18" style="199" bestFit="1" customWidth="1"/>
    <col min="257" max="257" width="6" style="199" bestFit="1" customWidth="1"/>
    <col min="258" max="258" width="23.5703125" style="199" customWidth="1"/>
    <col min="259" max="259" width="13.85546875" style="199" customWidth="1"/>
    <col min="260" max="263" width="13.5703125" style="199" customWidth="1"/>
    <col min="264" max="265" width="11.42578125" style="199" customWidth="1"/>
    <col min="266" max="266" width="2.85546875" style="199" customWidth="1"/>
    <col min="267" max="510" width="11.42578125" style="199"/>
    <col min="511" max="511" width="1.7109375" style="199" customWidth="1"/>
    <col min="512" max="512" width="18" style="199" bestFit="1" customWidth="1"/>
    <col min="513" max="513" width="6" style="199" bestFit="1" customWidth="1"/>
    <col min="514" max="514" width="23.5703125" style="199" customWidth="1"/>
    <col min="515" max="515" width="13.85546875" style="199" customWidth="1"/>
    <col min="516" max="519" width="13.5703125" style="199" customWidth="1"/>
    <col min="520" max="521" width="11.42578125" style="199" customWidth="1"/>
    <col min="522" max="522" width="2.85546875" style="199" customWidth="1"/>
    <col min="523" max="766" width="11.42578125" style="199"/>
    <col min="767" max="767" width="1.7109375" style="199" customWidth="1"/>
    <col min="768" max="768" width="18" style="199" bestFit="1" customWidth="1"/>
    <col min="769" max="769" width="6" style="199" bestFit="1" customWidth="1"/>
    <col min="770" max="770" width="23.5703125" style="199" customWidth="1"/>
    <col min="771" max="771" width="13.85546875" style="199" customWidth="1"/>
    <col min="772" max="775" width="13.5703125" style="199" customWidth="1"/>
    <col min="776" max="777" width="11.42578125" style="199" customWidth="1"/>
    <col min="778" max="778" width="2.85546875" style="199" customWidth="1"/>
    <col min="779" max="1022" width="11.42578125" style="199"/>
    <col min="1023" max="1023" width="1.7109375" style="199" customWidth="1"/>
    <col min="1024" max="1024" width="18" style="199" bestFit="1" customWidth="1"/>
    <col min="1025" max="1025" width="6" style="199" bestFit="1" customWidth="1"/>
    <col min="1026" max="1026" width="23.5703125" style="199" customWidth="1"/>
    <col min="1027" max="1027" width="13.85546875" style="199" customWidth="1"/>
    <col min="1028" max="1031" width="13.5703125" style="199" customWidth="1"/>
    <col min="1032" max="1033" width="11.42578125" style="199" customWidth="1"/>
    <col min="1034" max="1034" width="2.85546875" style="199" customWidth="1"/>
    <col min="1035" max="1278" width="11.42578125" style="199"/>
    <col min="1279" max="1279" width="1.7109375" style="199" customWidth="1"/>
    <col min="1280" max="1280" width="18" style="199" bestFit="1" customWidth="1"/>
    <col min="1281" max="1281" width="6" style="199" bestFit="1" customWidth="1"/>
    <col min="1282" max="1282" width="23.5703125" style="199" customWidth="1"/>
    <col min="1283" max="1283" width="13.85546875" style="199" customWidth="1"/>
    <col min="1284" max="1287" width="13.5703125" style="199" customWidth="1"/>
    <col min="1288" max="1289" width="11.42578125" style="199" customWidth="1"/>
    <col min="1290" max="1290" width="2.85546875" style="199" customWidth="1"/>
    <col min="1291" max="1534" width="11.42578125" style="199"/>
    <col min="1535" max="1535" width="1.7109375" style="199" customWidth="1"/>
    <col min="1536" max="1536" width="18" style="199" bestFit="1" customWidth="1"/>
    <col min="1537" max="1537" width="6" style="199" bestFit="1" customWidth="1"/>
    <col min="1538" max="1538" width="23.5703125" style="199" customWidth="1"/>
    <col min="1539" max="1539" width="13.85546875" style="199" customWidth="1"/>
    <col min="1540" max="1543" width="13.5703125" style="199" customWidth="1"/>
    <col min="1544" max="1545" width="11.42578125" style="199" customWidth="1"/>
    <col min="1546" max="1546" width="2.85546875" style="199" customWidth="1"/>
    <col min="1547" max="1790" width="11.42578125" style="199"/>
    <col min="1791" max="1791" width="1.7109375" style="199" customWidth="1"/>
    <col min="1792" max="1792" width="18" style="199" bestFit="1" customWidth="1"/>
    <col min="1793" max="1793" width="6" style="199" bestFit="1" customWidth="1"/>
    <col min="1794" max="1794" width="23.5703125" style="199" customWidth="1"/>
    <col min="1795" max="1795" width="13.85546875" style="199" customWidth="1"/>
    <col min="1796" max="1799" width="13.5703125" style="199" customWidth="1"/>
    <col min="1800" max="1801" width="11.42578125" style="199" customWidth="1"/>
    <col min="1802" max="1802" width="2.85546875" style="199" customWidth="1"/>
    <col min="1803" max="2046" width="11.42578125" style="199"/>
    <col min="2047" max="2047" width="1.7109375" style="199" customWidth="1"/>
    <col min="2048" max="2048" width="18" style="199" bestFit="1" customWidth="1"/>
    <col min="2049" max="2049" width="6" style="199" bestFit="1" customWidth="1"/>
    <col min="2050" max="2050" width="23.5703125" style="199" customWidth="1"/>
    <col min="2051" max="2051" width="13.85546875" style="199" customWidth="1"/>
    <col min="2052" max="2055" width="13.5703125" style="199" customWidth="1"/>
    <col min="2056" max="2057" width="11.42578125" style="199" customWidth="1"/>
    <col min="2058" max="2058" width="2.85546875" style="199" customWidth="1"/>
    <col min="2059" max="2302" width="11.42578125" style="199"/>
    <col min="2303" max="2303" width="1.7109375" style="199" customWidth="1"/>
    <col min="2304" max="2304" width="18" style="199" bestFit="1" customWidth="1"/>
    <col min="2305" max="2305" width="6" style="199" bestFit="1" customWidth="1"/>
    <col min="2306" max="2306" width="23.5703125" style="199" customWidth="1"/>
    <col min="2307" max="2307" width="13.85546875" style="199" customWidth="1"/>
    <col min="2308" max="2311" width="13.5703125" style="199" customWidth="1"/>
    <col min="2312" max="2313" width="11.42578125" style="199" customWidth="1"/>
    <col min="2314" max="2314" width="2.85546875" style="199" customWidth="1"/>
    <col min="2315" max="2558" width="11.42578125" style="199"/>
    <col min="2559" max="2559" width="1.7109375" style="199" customWidth="1"/>
    <col min="2560" max="2560" width="18" style="199" bestFit="1" customWidth="1"/>
    <col min="2561" max="2561" width="6" style="199" bestFit="1" customWidth="1"/>
    <col min="2562" max="2562" width="23.5703125" style="199" customWidth="1"/>
    <col min="2563" max="2563" width="13.85546875" style="199" customWidth="1"/>
    <col min="2564" max="2567" width="13.5703125" style="199" customWidth="1"/>
    <col min="2568" max="2569" width="11.42578125" style="199" customWidth="1"/>
    <col min="2570" max="2570" width="2.85546875" style="199" customWidth="1"/>
    <col min="2571" max="2814" width="11.42578125" style="199"/>
    <col min="2815" max="2815" width="1.7109375" style="199" customWidth="1"/>
    <col min="2816" max="2816" width="18" style="199" bestFit="1" customWidth="1"/>
    <col min="2817" max="2817" width="6" style="199" bestFit="1" customWidth="1"/>
    <col min="2818" max="2818" width="23.5703125" style="199" customWidth="1"/>
    <col min="2819" max="2819" width="13.85546875" style="199" customWidth="1"/>
    <col min="2820" max="2823" width="13.5703125" style="199" customWidth="1"/>
    <col min="2824" max="2825" width="11.42578125" style="199" customWidth="1"/>
    <col min="2826" max="2826" width="2.85546875" style="199" customWidth="1"/>
    <col min="2827" max="3070" width="11.42578125" style="199"/>
    <col min="3071" max="3071" width="1.7109375" style="199" customWidth="1"/>
    <col min="3072" max="3072" width="18" style="199" bestFit="1" customWidth="1"/>
    <col min="3073" max="3073" width="6" style="199" bestFit="1" customWidth="1"/>
    <col min="3074" max="3074" width="23.5703125" style="199" customWidth="1"/>
    <col min="3075" max="3075" width="13.85546875" style="199" customWidth="1"/>
    <col min="3076" max="3079" width="13.5703125" style="199" customWidth="1"/>
    <col min="3080" max="3081" width="11.42578125" style="199" customWidth="1"/>
    <col min="3082" max="3082" width="2.85546875" style="199" customWidth="1"/>
    <col min="3083" max="3326" width="11.42578125" style="199"/>
    <col min="3327" max="3327" width="1.7109375" style="199" customWidth="1"/>
    <col min="3328" max="3328" width="18" style="199" bestFit="1" customWidth="1"/>
    <col min="3329" max="3329" width="6" style="199" bestFit="1" customWidth="1"/>
    <col min="3330" max="3330" width="23.5703125" style="199" customWidth="1"/>
    <col min="3331" max="3331" width="13.85546875" style="199" customWidth="1"/>
    <col min="3332" max="3335" width="13.5703125" style="199" customWidth="1"/>
    <col min="3336" max="3337" width="11.42578125" style="199" customWidth="1"/>
    <col min="3338" max="3338" width="2.85546875" style="199" customWidth="1"/>
    <col min="3339" max="3582" width="11.42578125" style="199"/>
    <col min="3583" max="3583" width="1.7109375" style="199" customWidth="1"/>
    <col min="3584" max="3584" width="18" style="199" bestFit="1" customWidth="1"/>
    <col min="3585" max="3585" width="6" style="199" bestFit="1" customWidth="1"/>
    <col min="3586" max="3586" width="23.5703125" style="199" customWidth="1"/>
    <col min="3587" max="3587" width="13.85546875" style="199" customWidth="1"/>
    <col min="3588" max="3591" width="13.5703125" style="199" customWidth="1"/>
    <col min="3592" max="3593" width="11.42578125" style="199" customWidth="1"/>
    <col min="3594" max="3594" width="2.85546875" style="199" customWidth="1"/>
    <col min="3595" max="3838" width="11.42578125" style="199"/>
    <col min="3839" max="3839" width="1.7109375" style="199" customWidth="1"/>
    <col min="3840" max="3840" width="18" style="199" bestFit="1" customWidth="1"/>
    <col min="3841" max="3841" width="6" style="199" bestFit="1" customWidth="1"/>
    <col min="3842" max="3842" width="23.5703125" style="199" customWidth="1"/>
    <col min="3843" max="3843" width="13.85546875" style="199" customWidth="1"/>
    <col min="3844" max="3847" width="13.5703125" style="199" customWidth="1"/>
    <col min="3848" max="3849" width="11.42578125" style="199" customWidth="1"/>
    <col min="3850" max="3850" width="2.85546875" style="199" customWidth="1"/>
    <col min="3851" max="4094" width="11.42578125" style="199"/>
    <col min="4095" max="4095" width="1.7109375" style="199" customWidth="1"/>
    <col min="4096" max="4096" width="18" style="199" bestFit="1" customWidth="1"/>
    <col min="4097" max="4097" width="6" style="199" bestFit="1" customWidth="1"/>
    <col min="4098" max="4098" width="23.5703125" style="199" customWidth="1"/>
    <col min="4099" max="4099" width="13.85546875" style="199" customWidth="1"/>
    <col min="4100" max="4103" width="13.5703125" style="199" customWidth="1"/>
    <col min="4104" max="4105" width="11.42578125" style="199" customWidth="1"/>
    <col min="4106" max="4106" width="2.85546875" style="199" customWidth="1"/>
    <col min="4107" max="4350" width="11.42578125" style="199"/>
    <col min="4351" max="4351" width="1.7109375" style="199" customWidth="1"/>
    <col min="4352" max="4352" width="18" style="199" bestFit="1" customWidth="1"/>
    <col min="4353" max="4353" width="6" style="199" bestFit="1" customWidth="1"/>
    <col min="4354" max="4354" width="23.5703125" style="199" customWidth="1"/>
    <col min="4355" max="4355" width="13.85546875" style="199" customWidth="1"/>
    <col min="4356" max="4359" width="13.5703125" style="199" customWidth="1"/>
    <col min="4360" max="4361" width="11.42578125" style="199" customWidth="1"/>
    <col min="4362" max="4362" width="2.85546875" style="199" customWidth="1"/>
    <col min="4363" max="4606" width="11.42578125" style="199"/>
    <col min="4607" max="4607" width="1.7109375" style="199" customWidth="1"/>
    <col min="4608" max="4608" width="18" style="199" bestFit="1" customWidth="1"/>
    <col min="4609" max="4609" width="6" style="199" bestFit="1" customWidth="1"/>
    <col min="4610" max="4610" width="23.5703125" style="199" customWidth="1"/>
    <col min="4611" max="4611" width="13.85546875" style="199" customWidth="1"/>
    <col min="4612" max="4615" width="13.5703125" style="199" customWidth="1"/>
    <col min="4616" max="4617" width="11.42578125" style="199" customWidth="1"/>
    <col min="4618" max="4618" width="2.85546875" style="199" customWidth="1"/>
    <col min="4619" max="4862" width="11.42578125" style="199"/>
    <col min="4863" max="4863" width="1.7109375" style="199" customWidth="1"/>
    <col min="4864" max="4864" width="18" style="199" bestFit="1" customWidth="1"/>
    <col min="4865" max="4865" width="6" style="199" bestFit="1" customWidth="1"/>
    <col min="4866" max="4866" width="23.5703125" style="199" customWidth="1"/>
    <col min="4867" max="4867" width="13.85546875" style="199" customWidth="1"/>
    <col min="4868" max="4871" width="13.5703125" style="199" customWidth="1"/>
    <col min="4872" max="4873" width="11.42578125" style="199" customWidth="1"/>
    <col min="4874" max="4874" width="2.85546875" style="199" customWidth="1"/>
    <col min="4875" max="5118" width="11.42578125" style="199"/>
    <col min="5119" max="5119" width="1.7109375" style="199" customWidth="1"/>
    <col min="5120" max="5120" width="18" style="199" bestFit="1" customWidth="1"/>
    <col min="5121" max="5121" width="6" style="199" bestFit="1" customWidth="1"/>
    <col min="5122" max="5122" width="23.5703125" style="199" customWidth="1"/>
    <col min="5123" max="5123" width="13.85546875" style="199" customWidth="1"/>
    <col min="5124" max="5127" width="13.5703125" style="199" customWidth="1"/>
    <col min="5128" max="5129" width="11.42578125" style="199" customWidth="1"/>
    <col min="5130" max="5130" width="2.85546875" style="199" customWidth="1"/>
    <col min="5131" max="5374" width="11.42578125" style="199"/>
    <col min="5375" max="5375" width="1.7109375" style="199" customWidth="1"/>
    <col min="5376" max="5376" width="18" style="199" bestFit="1" customWidth="1"/>
    <col min="5377" max="5377" width="6" style="199" bestFit="1" customWidth="1"/>
    <col min="5378" max="5378" width="23.5703125" style="199" customWidth="1"/>
    <col min="5379" max="5379" width="13.85546875" style="199" customWidth="1"/>
    <col min="5380" max="5383" width="13.5703125" style="199" customWidth="1"/>
    <col min="5384" max="5385" width="11.42578125" style="199" customWidth="1"/>
    <col min="5386" max="5386" width="2.85546875" style="199" customWidth="1"/>
    <col min="5387" max="5630" width="11.42578125" style="199"/>
    <col min="5631" max="5631" width="1.7109375" style="199" customWidth="1"/>
    <col min="5632" max="5632" width="18" style="199" bestFit="1" customWidth="1"/>
    <col min="5633" max="5633" width="6" style="199" bestFit="1" customWidth="1"/>
    <col min="5634" max="5634" width="23.5703125" style="199" customWidth="1"/>
    <col min="5635" max="5635" width="13.85546875" style="199" customWidth="1"/>
    <col min="5636" max="5639" width="13.5703125" style="199" customWidth="1"/>
    <col min="5640" max="5641" width="11.42578125" style="199" customWidth="1"/>
    <col min="5642" max="5642" width="2.85546875" style="199" customWidth="1"/>
    <col min="5643" max="5886" width="11.42578125" style="199"/>
    <col min="5887" max="5887" width="1.7109375" style="199" customWidth="1"/>
    <col min="5888" max="5888" width="18" style="199" bestFit="1" customWidth="1"/>
    <col min="5889" max="5889" width="6" style="199" bestFit="1" customWidth="1"/>
    <col min="5890" max="5890" width="23.5703125" style="199" customWidth="1"/>
    <col min="5891" max="5891" width="13.85546875" style="199" customWidth="1"/>
    <col min="5892" max="5895" width="13.5703125" style="199" customWidth="1"/>
    <col min="5896" max="5897" width="11.42578125" style="199" customWidth="1"/>
    <col min="5898" max="5898" width="2.85546875" style="199" customWidth="1"/>
    <col min="5899" max="6142" width="11.42578125" style="199"/>
    <col min="6143" max="6143" width="1.7109375" style="199" customWidth="1"/>
    <col min="6144" max="6144" width="18" style="199" bestFit="1" customWidth="1"/>
    <col min="6145" max="6145" width="6" style="199" bestFit="1" customWidth="1"/>
    <col min="6146" max="6146" width="23.5703125" style="199" customWidth="1"/>
    <col min="6147" max="6147" width="13.85546875" style="199" customWidth="1"/>
    <col min="6148" max="6151" width="13.5703125" style="199" customWidth="1"/>
    <col min="6152" max="6153" width="11.42578125" style="199" customWidth="1"/>
    <col min="6154" max="6154" width="2.85546875" style="199" customWidth="1"/>
    <col min="6155" max="6398" width="11.42578125" style="199"/>
    <col min="6399" max="6399" width="1.7109375" style="199" customWidth="1"/>
    <col min="6400" max="6400" width="18" style="199" bestFit="1" customWidth="1"/>
    <col min="6401" max="6401" width="6" style="199" bestFit="1" customWidth="1"/>
    <col min="6402" max="6402" width="23.5703125" style="199" customWidth="1"/>
    <col min="6403" max="6403" width="13.85546875" style="199" customWidth="1"/>
    <col min="6404" max="6407" width="13.5703125" style="199" customWidth="1"/>
    <col min="6408" max="6409" width="11.42578125" style="199" customWidth="1"/>
    <col min="6410" max="6410" width="2.85546875" style="199" customWidth="1"/>
    <col min="6411" max="6654" width="11.42578125" style="199"/>
    <col min="6655" max="6655" width="1.7109375" style="199" customWidth="1"/>
    <col min="6656" max="6656" width="18" style="199" bestFit="1" customWidth="1"/>
    <col min="6657" max="6657" width="6" style="199" bestFit="1" customWidth="1"/>
    <col min="6658" max="6658" width="23.5703125" style="199" customWidth="1"/>
    <col min="6659" max="6659" width="13.85546875" style="199" customWidth="1"/>
    <col min="6660" max="6663" width="13.5703125" style="199" customWidth="1"/>
    <col min="6664" max="6665" width="11.42578125" style="199" customWidth="1"/>
    <col min="6666" max="6666" width="2.85546875" style="199" customWidth="1"/>
    <col min="6667" max="6910" width="11.42578125" style="199"/>
    <col min="6911" max="6911" width="1.7109375" style="199" customWidth="1"/>
    <col min="6912" max="6912" width="18" style="199" bestFit="1" customWidth="1"/>
    <col min="6913" max="6913" width="6" style="199" bestFit="1" customWidth="1"/>
    <col min="6914" max="6914" width="23.5703125" style="199" customWidth="1"/>
    <col min="6915" max="6915" width="13.85546875" style="199" customWidth="1"/>
    <col min="6916" max="6919" width="13.5703125" style="199" customWidth="1"/>
    <col min="6920" max="6921" width="11.42578125" style="199" customWidth="1"/>
    <col min="6922" max="6922" width="2.85546875" style="199" customWidth="1"/>
    <col min="6923" max="7166" width="11.42578125" style="199"/>
    <col min="7167" max="7167" width="1.7109375" style="199" customWidth="1"/>
    <col min="7168" max="7168" width="18" style="199" bestFit="1" customWidth="1"/>
    <col min="7169" max="7169" width="6" style="199" bestFit="1" customWidth="1"/>
    <col min="7170" max="7170" width="23.5703125" style="199" customWidth="1"/>
    <col min="7171" max="7171" width="13.85546875" style="199" customWidth="1"/>
    <col min="7172" max="7175" width="13.5703125" style="199" customWidth="1"/>
    <col min="7176" max="7177" width="11.42578125" style="199" customWidth="1"/>
    <col min="7178" max="7178" width="2.85546875" style="199" customWidth="1"/>
    <col min="7179" max="7422" width="11.42578125" style="199"/>
    <col min="7423" max="7423" width="1.7109375" style="199" customWidth="1"/>
    <col min="7424" max="7424" width="18" style="199" bestFit="1" customWidth="1"/>
    <col min="7425" max="7425" width="6" style="199" bestFit="1" customWidth="1"/>
    <col min="7426" max="7426" width="23.5703125" style="199" customWidth="1"/>
    <col min="7427" max="7427" width="13.85546875" style="199" customWidth="1"/>
    <col min="7428" max="7431" width="13.5703125" style="199" customWidth="1"/>
    <col min="7432" max="7433" width="11.42578125" style="199" customWidth="1"/>
    <col min="7434" max="7434" width="2.85546875" style="199" customWidth="1"/>
    <col min="7435" max="7678" width="11.42578125" style="199"/>
    <col min="7679" max="7679" width="1.7109375" style="199" customWidth="1"/>
    <col min="7680" max="7680" width="18" style="199" bestFit="1" customWidth="1"/>
    <col min="7681" max="7681" width="6" style="199" bestFit="1" customWidth="1"/>
    <col min="7682" max="7682" width="23.5703125" style="199" customWidth="1"/>
    <col min="7683" max="7683" width="13.85546875" style="199" customWidth="1"/>
    <col min="7684" max="7687" width="13.5703125" style="199" customWidth="1"/>
    <col min="7688" max="7689" width="11.42578125" style="199" customWidth="1"/>
    <col min="7690" max="7690" width="2.85546875" style="199" customWidth="1"/>
    <col min="7691" max="7934" width="11.42578125" style="199"/>
    <col min="7935" max="7935" width="1.7109375" style="199" customWidth="1"/>
    <col min="7936" max="7936" width="18" style="199" bestFit="1" customWidth="1"/>
    <col min="7937" max="7937" width="6" style="199" bestFit="1" customWidth="1"/>
    <col min="7938" max="7938" width="23.5703125" style="199" customWidth="1"/>
    <col min="7939" max="7939" width="13.85546875" style="199" customWidth="1"/>
    <col min="7940" max="7943" width="13.5703125" style="199" customWidth="1"/>
    <col min="7944" max="7945" width="11.42578125" style="199" customWidth="1"/>
    <col min="7946" max="7946" width="2.85546875" style="199" customWidth="1"/>
    <col min="7947" max="8190" width="11.42578125" style="199"/>
    <col min="8191" max="8191" width="1.7109375" style="199" customWidth="1"/>
    <col min="8192" max="8192" width="18" style="199" bestFit="1" customWidth="1"/>
    <col min="8193" max="8193" width="6" style="199" bestFit="1" customWidth="1"/>
    <col min="8194" max="8194" width="23.5703125" style="199" customWidth="1"/>
    <col min="8195" max="8195" width="13.85546875" style="199" customWidth="1"/>
    <col min="8196" max="8199" width="13.5703125" style="199" customWidth="1"/>
    <col min="8200" max="8201" width="11.42578125" style="199" customWidth="1"/>
    <col min="8202" max="8202" width="2.85546875" style="199" customWidth="1"/>
    <col min="8203" max="8446" width="11.42578125" style="199"/>
    <col min="8447" max="8447" width="1.7109375" style="199" customWidth="1"/>
    <col min="8448" max="8448" width="18" style="199" bestFit="1" customWidth="1"/>
    <col min="8449" max="8449" width="6" style="199" bestFit="1" customWidth="1"/>
    <col min="8450" max="8450" width="23.5703125" style="199" customWidth="1"/>
    <col min="8451" max="8451" width="13.85546875" style="199" customWidth="1"/>
    <col min="8452" max="8455" width="13.5703125" style="199" customWidth="1"/>
    <col min="8456" max="8457" width="11.42578125" style="199" customWidth="1"/>
    <col min="8458" max="8458" width="2.85546875" style="199" customWidth="1"/>
    <col min="8459" max="8702" width="11.42578125" style="199"/>
    <col min="8703" max="8703" width="1.7109375" style="199" customWidth="1"/>
    <col min="8704" max="8704" width="18" style="199" bestFit="1" customWidth="1"/>
    <col min="8705" max="8705" width="6" style="199" bestFit="1" customWidth="1"/>
    <col min="8706" max="8706" width="23.5703125" style="199" customWidth="1"/>
    <col min="8707" max="8707" width="13.85546875" style="199" customWidth="1"/>
    <col min="8708" max="8711" width="13.5703125" style="199" customWidth="1"/>
    <col min="8712" max="8713" width="11.42578125" style="199" customWidth="1"/>
    <col min="8714" max="8714" width="2.85546875" style="199" customWidth="1"/>
    <col min="8715" max="8958" width="11.42578125" style="199"/>
    <col min="8959" max="8959" width="1.7109375" style="199" customWidth="1"/>
    <col min="8960" max="8960" width="18" style="199" bestFit="1" customWidth="1"/>
    <col min="8961" max="8961" width="6" style="199" bestFit="1" customWidth="1"/>
    <col min="8962" max="8962" width="23.5703125" style="199" customWidth="1"/>
    <col min="8963" max="8963" width="13.85546875" style="199" customWidth="1"/>
    <col min="8964" max="8967" width="13.5703125" style="199" customWidth="1"/>
    <col min="8968" max="8969" width="11.42578125" style="199" customWidth="1"/>
    <col min="8970" max="8970" width="2.85546875" style="199" customWidth="1"/>
    <col min="8971" max="9214" width="11.42578125" style="199"/>
    <col min="9215" max="9215" width="1.7109375" style="199" customWidth="1"/>
    <col min="9216" max="9216" width="18" style="199" bestFit="1" customWidth="1"/>
    <col min="9217" max="9217" width="6" style="199" bestFit="1" customWidth="1"/>
    <col min="9218" max="9218" width="23.5703125" style="199" customWidth="1"/>
    <col min="9219" max="9219" width="13.85546875" style="199" customWidth="1"/>
    <col min="9220" max="9223" width="13.5703125" style="199" customWidth="1"/>
    <col min="9224" max="9225" width="11.42578125" style="199" customWidth="1"/>
    <col min="9226" max="9226" width="2.85546875" style="199" customWidth="1"/>
    <col min="9227" max="9470" width="11.42578125" style="199"/>
    <col min="9471" max="9471" width="1.7109375" style="199" customWidth="1"/>
    <col min="9472" max="9472" width="18" style="199" bestFit="1" customWidth="1"/>
    <col min="9473" max="9473" width="6" style="199" bestFit="1" customWidth="1"/>
    <col min="9474" max="9474" width="23.5703125" style="199" customWidth="1"/>
    <col min="9475" max="9475" width="13.85546875" style="199" customWidth="1"/>
    <col min="9476" max="9479" width="13.5703125" style="199" customWidth="1"/>
    <col min="9480" max="9481" width="11.42578125" style="199" customWidth="1"/>
    <col min="9482" max="9482" width="2.85546875" style="199" customWidth="1"/>
    <col min="9483" max="9726" width="11.42578125" style="199"/>
    <col min="9727" max="9727" width="1.7109375" style="199" customWidth="1"/>
    <col min="9728" max="9728" width="18" style="199" bestFit="1" customWidth="1"/>
    <col min="9729" max="9729" width="6" style="199" bestFit="1" customWidth="1"/>
    <col min="9730" max="9730" width="23.5703125" style="199" customWidth="1"/>
    <col min="9731" max="9731" width="13.85546875" style="199" customWidth="1"/>
    <col min="9732" max="9735" width="13.5703125" style="199" customWidth="1"/>
    <col min="9736" max="9737" width="11.42578125" style="199" customWidth="1"/>
    <col min="9738" max="9738" width="2.85546875" style="199" customWidth="1"/>
    <col min="9739" max="9982" width="11.42578125" style="199"/>
    <col min="9983" max="9983" width="1.7109375" style="199" customWidth="1"/>
    <col min="9984" max="9984" width="18" style="199" bestFit="1" customWidth="1"/>
    <col min="9985" max="9985" width="6" style="199" bestFit="1" customWidth="1"/>
    <col min="9986" max="9986" width="23.5703125" style="199" customWidth="1"/>
    <col min="9987" max="9987" width="13.85546875" style="199" customWidth="1"/>
    <col min="9988" max="9991" width="13.5703125" style="199" customWidth="1"/>
    <col min="9992" max="9993" width="11.42578125" style="199" customWidth="1"/>
    <col min="9994" max="9994" width="2.85546875" style="199" customWidth="1"/>
    <col min="9995" max="10238" width="11.42578125" style="199"/>
    <col min="10239" max="10239" width="1.7109375" style="199" customWidth="1"/>
    <col min="10240" max="10240" width="18" style="199" bestFit="1" customWidth="1"/>
    <col min="10241" max="10241" width="6" style="199" bestFit="1" customWidth="1"/>
    <col min="10242" max="10242" width="23.5703125" style="199" customWidth="1"/>
    <col min="10243" max="10243" width="13.85546875" style="199" customWidth="1"/>
    <col min="10244" max="10247" width="13.5703125" style="199" customWidth="1"/>
    <col min="10248" max="10249" width="11.42578125" style="199" customWidth="1"/>
    <col min="10250" max="10250" width="2.85546875" style="199" customWidth="1"/>
    <col min="10251" max="10494" width="11.42578125" style="199"/>
    <col min="10495" max="10495" width="1.7109375" style="199" customWidth="1"/>
    <col min="10496" max="10496" width="18" style="199" bestFit="1" customWidth="1"/>
    <col min="10497" max="10497" width="6" style="199" bestFit="1" customWidth="1"/>
    <col min="10498" max="10498" width="23.5703125" style="199" customWidth="1"/>
    <col min="10499" max="10499" width="13.85546875" style="199" customWidth="1"/>
    <col min="10500" max="10503" width="13.5703125" style="199" customWidth="1"/>
    <col min="10504" max="10505" width="11.42578125" style="199" customWidth="1"/>
    <col min="10506" max="10506" width="2.85546875" style="199" customWidth="1"/>
    <col min="10507" max="10750" width="11.42578125" style="199"/>
    <col min="10751" max="10751" width="1.7109375" style="199" customWidth="1"/>
    <col min="10752" max="10752" width="18" style="199" bestFit="1" customWidth="1"/>
    <col min="10753" max="10753" width="6" style="199" bestFit="1" customWidth="1"/>
    <col min="10754" max="10754" width="23.5703125" style="199" customWidth="1"/>
    <col min="10755" max="10755" width="13.85546875" style="199" customWidth="1"/>
    <col min="10756" max="10759" width="13.5703125" style="199" customWidth="1"/>
    <col min="10760" max="10761" width="11.42578125" style="199" customWidth="1"/>
    <col min="10762" max="10762" width="2.85546875" style="199" customWidth="1"/>
    <col min="10763" max="11006" width="11.42578125" style="199"/>
    <col min="11007" max="11007" width="1.7109375" style="199" customWidth="1"/>
    <col min="11008" max="11008" width="18" style="199" bestFit="1" customWidth="1"/>
    <col min="11009" max="11009" width="6" style="199" bestFit="1" customWidth="1"/>
    <col min="11010" max="11010" width="23.5703125" style="199" customWidth="1"/>
    <col min="11011" max="11011" width="13.85546875" style="199" customWidth="1"/>
    <col min="11012" max="11015" width="13.5703125" style="199" customWidth="1"/>
    <col min="11016" max="11017" width="11.42578125" style="199" customWidth="1"/>
    <col min="11018" max="11018" width="2.85546875" style="199" customWidth="1"/>
    <col min="11019" max="11262" width="11.42578125" style="199"/>
    <col min="11263" max="11263" width="1.7109375" style="199" customWidth="1"/>
    <col min="11264" max="11264" width="18" style="199" bestFit="1" customWidth="1"/>
    <col min="11265" max="11265" width="6" style="199" bestFit="1" customWidth="1"/>
    <col min="11266" max="11266" width="23.5703125" style="199" customWidth="1"/>
    <col min="11267" max="11267" width="13.85546875" style="199" customWidth="1"/>
    <col min="11268" max="11271" width="13.5703125" style="199" customWidth="1"/>
    <col min="11272" max="11273" width="11.42578125" style="199" customWidth="1"/>
    <col min="11274" max="11274" width="2.85546875" style="199" customWidth="1"/>
    <col min="11275" max="11518" width="11.42578125" style="199"/>
    <col min="11519" max="11519" width="1.7109375" style="199" customWidth="1"/>
    <col min="11520" max="11520" width="18" style="199" bestFit="1" customWidth="1"/>
    <col min="11521" max="11521" width="6" style="199" bestFit="1" customWidth="1"/>
    <col min="11522" max="11522" width="23.5703125" style="199" customWidth="1"/>
    <col min="11523" max="11523" width="13.85546875" style="199" customWidth="1"/>
    <col min="11524" max="11527" width="13.5703125" style="199" customWidth="1"/>
    <col min="11528" max="11529" width="11.42578125" style="199" customWidth="1"/>
    <col min="11530" max="11530" width="2.85546875" style="199" customWidth="1"/>
    <col min="11531" max="11774" width="11.42578125" style="199"/>
    <col min="11775" max="11775" width="1.7109375" style="199" customWidth="1"/>
    <col min="11776" max="11776" width="18" style="199" bestFit="1" customWidth="1"/>
    <col min="11777" max="11777" width="6" style="199" bestFit="1" customWidth="1"/>
    <col min="11778" max="11778" width="23.5703125" style="199" customWidth="1"/>
    <col min="11779" max="11779" width="13.85546875" style="199" customWidth="1"/>
    <col min="11780" max="11783" width="13.5703125" style="199" customWidth="1"/>
    <col min="11784" max="11785" width="11.42578125" style="199" customWidth="1"/>
    <col min="11786" max="11786" width="2.85546875" style="199" customWidth="1"/>
    <col min="11787" max="12030" width="11.42578125" style="199"/>
    <col min="12031" max="12031" width="1.7109375" style="199" customWidth="1"/>
    <col min="12032" max="12032" width="18" style="199" bestFit="1" customWidth="1"/>
    <col min="12033" max="12033" width="6" style="199" bestFit="1" customWidth="1"/>
    <col min="12034" max="12034" width="23.5703125" style="199" customWidth="1"/>
    <col min="12035" max="12035" width="13.85546875" style="199" customWidth="1"/>
    <col min="12036" max="12039" width="13.5703125" style="199" customWidth="1"/>
    <col min="12040" max="12041" width="11.42578125" style="199" customWidth="1"/>
    <col min="12042" max="12042" width="2.85546875" style="199" customWidth="1"/>
    <col min="12043" max="12286" width="11.42578125" style="199"/>
    <col min="12287" max="12287" width="1.7109375" style="199" customWidth="1"/>
    <col min="12288" max="12288" width="18" style="199" bestFit="1" customWidth="1"/>
    <col min="12289" max="12289" width="6" style="199" bestFit="1" customWidth="1"/>
    <col min="12290" max="12290" width="23.5703125" style="199" customWidth="1"/>
    <col min="12291" max="12291" width="13.85546875" style="199" customWidth="1"/>
    <col min="12292" max="12295" width="13.5703125" style="199" customWidth="1"/>
    <col min="12296" max="12297" width="11.42578125" style="199" customWidth="1"/>
    <col min="12298" max="12298" width="2.85546875" style="199" customWidth="1"/>
    <col min="12299" max="12542" width="11.42578125" style="199"/>
    <col min="12543" max="12543" width="1.7109375" style="199" customWidth="1"/>
    <col min="12544" max="12544" width="18" style="199" bestFit="1" customWidth="1"/>
    <col min="12545" max="12545" width="6" style="199" bestFit="1" customWidth="1"/>
    <col min="12546" max="12546" width="23.5703125" style="199" customWidth="1"/>
    <col min="12547" max="12547" width="13.85546875" style="199" customWidth="1"/>
    <col min="12548" max="12551" width="13.5703125" style="199" customWidth="1"/>
    <col min="12552" max="12553" width="11.42578125" style="199" customWidth="1"/>
    <col min="12554" max="12554" width="2.85546875" style="199" customWidth="1"/>
    <col min="12555" max="12798" width="11.42578125" style="199"/>
    <col min="12799" max="12799" width="1.7109375" style="199" customWidth="1"/>
    <col min="12800" max="12800" width="18" style="199" bestFit="1" customWidth="1"/>
    <col min="12801" max="12801" width="6" style="199" bestFit="1" customWidth="1"/>
    <col min="12802" max="12802" width="23.5703125" style="199" customWidth="1"/>
    <col min="12803" max="12803" width="13.85546875" style="199" customWidth="1"/>
    <col min="12804" max="12807" width="13.5703125" style="199" customWidth="1"/>
    <col min="12808" max="12809" width="11.42578125" style="199" customWidth="1"/>
    <col min="12810" max="12810" width="2.85546875" style="199" customWidth="1"/>
    <col min="12811" max="13054" width="11.42578125" style="199"/>
    <col min="13055" max="13055" width="1.7109375" style="199" customWidth="1"/>
    <col min="13056" max="13056" width="18" style="199" bestFit="1" customWidth="1"/>
    <col min="13057" max="13057" width="6" style="199" bestFit="1" customWidth="1"/>
    <col min="13058" max="13058" width="23.5703125" style="199" customWidth="1"/>
    <col min="13059" max="13059" width="13.85546875" style="199" customWidth="1"/>
    <col min="13060" max="13063" width="13.5703125" style="199" customWidth="1"/>
    <col min="13064" max="13065" width="11.42578125" style="199" customWidth="1"/>
    <col min="13066" max="13066" width="2.85546875" style="199" customWidth="1"/>
    <col min="13067" max="13310" width="11.42578125" style="199"/>
    <col min="13311" max="13311" width="1.7109375" style="199" customWidth="1"/>
    <col min="13312" max="13312" width="18" style="199" bestFit="1" customWidth="1"/>
    <col min="13313" max="13313" width="6" style="199" bestFit="1" customWidth="1"/>
    <col min="13314" max="13314" width="23.5703125" style="199" customWidth="1"/>
    <col min="13315" max="13315" width="13.85546875" style="199" customWidth="1"/>
    <col min="13316" max="13319" width="13.5703125" style="199" customWidth="1"/>
    <col min="13320" max="13321" width="11.42578125" style="199" customWidth="1"/>
    <col min="13322" max="13322" width="2.85546875" style="199" customWidth="1"/>
    <col min="13323" max="13566" width="11.42578125" style="199"/>
    <col min="13567" max="13567" width="1.7109375" style="199" customWidth="1"/>
    <col min="13568" max="13568" width="18" style="199" bestFit="1" customWidth="1"/>
    <col min="13569" max="13569" width="6" style="199" bestFit="1" customWidth="1"/>
    <col min="13570" max="13570" width="23.5703125" style="199" customWidth="1"/>
    <col min="13571" max="13571" width="13.85546875" style="199" customWidth="1"/>
    <col min="13572" max="13575" width="13.5703125" style="199" customWidth="1"/>
    <col min="13576" max="13577" width="11.42578125" style="199" customWidth="1"/>
    <col min="13578" max="13578" width="2.85546875" style="199" customWidth="1"/>
    <col min="13579" max="13822" width="11.42578125" style="199"/>
    <col min="13823" max="13823" width="1.7109375" style="199" customWidth="1"/>
    <col min="13824" max="13824" width="18" style="199" bestFit="1" customWidth="1"/>
    <col min="13825" max="13825" width="6" style="199" bestFit="1" customWidth="1"/>
    <col min="13826" max="13826" width="23.5703125" style="199" customWidth="1"/>
    <col min="13827" max="13827" width="13.85546875" style="199" customWidth="1"/>
    <col min="13828" max="13831" width="13.5703125" style="199" customWidth="1"/>
    <col min="13832" max="13833" width="11.42578125" style="199" customWidth="1"/>
    <col min="13834" max="13834" width="2.85546875" style="199" customWidth="1"/>
    <col min="13835" max="14078" width="11.42578125" style="199"/>
    <col min="14079" max="14079" width="1.7109375" style="199" customWidth="1"/>
    <col min="14080" max="14080" width="18" style="199" bestFit="1" customWidth="1"/>
    <col min="14081" max="14081" width="6" style="199" bestFit="1" customWidth="1"/>
    <col min="14082" max="14082" width="23.5703125" style="199" customWidth="1"/>
    <col min="14083" max="14083" width="13.85546875" style="199" customWidth="1"/>
    <col min="14084" max="14087" width="13.5703125" style="199" customWidth="1"/>
    <col min="14088" max="14089" width="11.42578125" style="199" customWidth="1"/>
    <col min="14090" max="14090" width="2.85546875" style="199" customWidth="1"/>
    <col min="14091" max="14334" width="11.42578125" style="199"/>
    <col min="14335" max="14335" width="1.7109375" style="199" customWidth="1"/>
    <col min="14336" max="14336" width="18" style="199" bestFit="1" customWidth="1"/>
    <col min="14337" max="14337" width="6" style="199" bestFit="1" customWidth="1"/>
    <col min="14338" max="14338" width="23.5703125" style="199" customWidth="1"/>
    <col min="14339" max="14339" width="13.85546875" style="199" customWidth="1"/>
    <col min="14340" max="14343" width="13.5703125" style="199" customWidth="1"/>
    <col min="14344" max="14345" width="11.42578125" style="199" customWidth="1"/>
    <col min="14346" max="14346" width="2.85546875" style="199" customWidth="1"/>
    <col min="14347" max="14590" width="11.42578125" style="199"/>
    <col min="14591" max="14591" width="1.7109375" style="199" customWidth="1"/>
    <col min="14592" max="14592" width="18" style="199" bestFit="1" customWidth="1"/>
    <col min="14593" max="14593" width="6" style="199" bestFit="1" customWidth="1"/>
    <col min="14594" max="14594" width="23.5703125" style="199" customWidth="1"/>
    <col min="14595" max="14595" width="13.85546875" style="199" customWidth="1"/>
    <col min="14596" max="14599" width="13.5703125" style="199" customWidth="1"/>
    <col min="14600" max="14601" width="11.42578125" style="199" customWidth="1"/>
    <col min="14602" max="14602" width="2.85546875" style="199" customWidth="1"/>
    <col min="14603" max="14846" width="11.42578125" style="199"/>
    <col min="14847" max="14847" width="1.7109375" style="199" customWidth="1"/>
    <col min="14848" max="14848" width="18" style="199" bestFit="1" customWidth="1"/>
    <col min="14849" max="14849" width="6" style="199" bestFit="1" customWidth="1"/>
    <col min="14850" max="14850" width="23.5703125" style="199" customWidth="1"/>
    <col min="14851" max="14851" width="13.85546875" style="199" customWidth="1"/>
    <col min="14852" max="14855" width="13.5703125" style="199" customWidth="1"/>
    <col min="14856" max="14857" width="11.42578125" style="199" customWidth="1"/>
    <col min="14858" max="14858" width="2.85546875" style="199" customWidth="1"/>
    <col min="14859" max="15102" width="11.42578125" style="199"/>
    <col min="15103" max="15103" width="1.7109375" style="199" customWidth="1"/>
    <col min="15104" max="15104" width="18" style="199" bestFit="1" customWidth="1"/>
    <col min="15105" max="15105" width="6" style="199" bestFit="1" customWidth="1"/>
    <col min="15106" max="15106" width="23.5703125" style="199" customWidth="1"/>
    <col min="15107" max="15107" width="13.85546875" style="199" customWidth="1"/>
    <col min="15108" max="15111" width="13.5703125" style="199" customWidth="1"/>
    <col min="15112" max="15113" width="11.42578125" style="199" customWidth="1"/>
    <col min="15114" max="15114" width="2.85546875" style="199" customWidth="1"/>
    <col min="15115" max="15358" width="11.42578125" style="199"/>
    <col min="15359" max="15359" width="1.7109375" style="199" customWidth="1"/>
    <col min="15360" max="15360" width="18" style="199" bestFit="1" customWidth="1"/>
    <col min="15361" max="15361" width="6" style="199" bestFit="1" customWidth="1"/>
    <col min="15362" max="15362" width="23.5703125" style="199" customWidth="1"/>
    <col min="15363" max="15363" width="13.85546875" style="199" customWidth="1"/>
    <col min="15364" max="15367" width="13.5703125" style="199" customWidth="1"/>
    <col min="15368" max="15369" width="11.42578125" style="199" customWidth="1"/>
    <col min="15370" max="15370" width="2.85546875" style="199" customWidth="1"/>
    <col min="15371" max="15614" width="11.42578125" style="199"/>
    <col min="15615" max="15615" width="1.7109375" style="199" customWidth="1"/>
    <col min="15616" max="15616" width="18" style="199" bestFit="1" customWidth="1"/>
    <col min="15617" max="15617" width="6" style="199" bestFit="1" customWidth="1"/>
    <col min="15618" max="15618" width="23.5703125" style="199" customWidth="1"/>
    <col min="15619" max="15619" width="13.85546875" style="199" customWidth="1"/>
    <col min="15620" max="15623" width="13.5703125" style="199" customWidth="1"/>
    <col min="15624" max="15625" width="11.42578125" style="199" customWidth="1"/>
    <col min="15626" max="15626" width="2.85546875" style="199" customWidth="1"/>
    <col min="15627" max="15870" width="11.42578125" style="199"/>
    <col min="15871" max="15871" width="1.7109375" style="199" customWidth="1"/>
    <col min="15872" max="15872" width="18" style="199" bestFit="1" customWidth="1"/>
    <col min="15873" max="15873" width="6" style="199" bestFit="1" customWidth="1"/>
    <col min="15874" max="15874" width="23.5703125" style="199" customWidth="1"/>
    <col min="15875" max="15875" width="13.85546875" style="199" customWidth="1"/>
    <col min="15876" max="15879" width="13.5703125" style="199" customWidth="1"/>
    <col min="15880" max="15881" width="11.42578125" style="199" customWidth="1"/>
    <col min="15882" max="15882" width="2.85546875" style="199" customWidth="1"/>
    <col min="15883" max="16126" width="11.42578125" style="199"/>
    <col min="16127" max="16127" width="1.7109375" style="199" customWidth="1"/>
    <col min="16128" max="16128" width="18" style="199" bestFit="1" customWidth="1"/>
    <col min="16129" max="16129" width="6" style="199" bestFit="1" customWidth="1"/>
    <col min="16130" max="16130" width="23.5703125" style="199" customWidth="1"/>
    <col min="16131" max="16131" width="13.85546875" style="199" customWidth="1"/>
    <col min="16132" max="16135" width="13.5703125" style="199" customWidth="1"/>
    <col min="16136" max="16137" width="11.42578125" style="199" customWidth="1"/>
    <col min="16138" max="16138" width="2.85546875" style="199" customWidth="1"/>
    <col min="16139" max="16384" width="11.42578125" style="199"/>
  </cols>
  <sheetData>
    <row r="1" spans="1:15" s="198" customFormat="1" ht="14.25" x14ac:dyDescent="0.2">
      <c r="A1" s="959"/>
      <c r="B1" s="959"/>
      <c r="C1" s="959"/>
      <c r="D1" s="959"/>
      <c r="E1" s="959"/>
      <c r="F1" s="959"/>
      <c r="G1" s="959"/>
      <c r="H1" s="959"/>
      <c r="I1" s="959"/>
    </row>
    <row r="2" spans="1:15" s="186" customFormat="1" ht="15.75" x14ac:dyDescent="0.2">
      <c r="A2" s="191" t="s">
        <v>1358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</row>
    <row r="3" spans="1:15" s="186" customFormat="1" ht="15" x14ac:dyDescent="0.2">
      <c r="A3" s="2373" t="s">
        <v>806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5" s="198" customFormat="1" ht="15" x14ac:dyDescent="0.2">
      <c r="B4" s="207"/>
      <c r="C4" s="207"/>
      <c r="D4" s="207"/>
      <c r="E4" s="207"/>
      <c r="F4" s="207"/>
      <c r="G4" s="207"/>
    </row>
    <row r="5" spans="1:15" s="196" customFormat="1" ht="33" customHeight="1" x14ac:dyDescent="0.25">
      <c r="A5" s="689" t="s">
        <v>16</v>
      </c>
      <c r="B5" s="689" t="s">
        <v>4</v>
      </c>
      <c r="C5" s="690">
        <v>2003</v>
      </c>
      <c r="D5" s="690">
        <v>2004</v>
      </c>
      <c r="E5" s="690">
        <v>2005</v>
      </c>
      <c r="F5" s="690">
        <v>2006</v>
      </c>
      <c r="G5" s="690">
        <v>2007</v>
      </c>
      <c r="H5" s="690">
        <v>2008</v>
      </c>
      <c r="I5" s="690">
        <v>2009</v>
      </c>
      <c r="J5" s="690">
        <v>2010</v>
      </c>
      <c r="K5" s="690">
        <v>2011</v>
      </c>
      <c r="L5" s="690">
        <v>2012</v>
      </c>
      <c r="M5" s="690">
        <v>2013</v>
      </c>
      <c r="N5" s="690">
        <v>2014</v>
      </c>
      <c r="O5" s="690">
        <v>2015</v>
      </c>
    </row>
    <row r="6" spans="1:15" s="198" customFormat="1" ht="14.25" x14ac:dyDescent="0.2"/>
    <row r="7" spans="1:15" s="198" customFormat="1" ht="15" x14ac:dyDescent="0.2">
      <c r="A7" s="5037" t="s">
        <v>161</v>
      </c>
      <c r="B7" s="264" t="s">
        <v>5</v>
      </c>
      <c r="C7" s="265">
        <v>6155</v>
      </c>
      <c r="D7" s="265">
        <v>6518</v>
      </c>
      <c r="E7" s="546">
        <v>6814</v>
      </c>
      <c r="F7" s="546">
        <v>7139</v>
      </c>
      <c r="G7" s="546">
        <v>7357</v>
      </c>
      <c r="H7" s="546">
        <v>7629</v>
      </c>
      <c r="I7" s="546">
        <v>7768</v>
      </c>
      <c r="J7" s="546">
        <v>8348</v>
      </c>
      <c r="K7" s="546">
        <f>SUM('ACTIVOS plan'!L4:L13)</f>
        <v>8552</v>
      </c>
      <c r="L7" s="546">
        <f>SUM('ACTIVOS plan'!M4:M13)</f>
        <v>8481</v>
      </c>
      <c r="M7" s="546">
        <f>SUM('ACTIVOS plan'!N4:N13)</f>
        <v>8413</v>
      </c>
      <c r="N7" s="546">
        <f>SUM('ACTIVOS plan'!O4:O13)</f>
        <v>8142</v>
      </c>
      <c r="O7" s="546">
        <f>SUM('ACTIVOS plan'!P4:P13)</f>
        <v>7752</v>
      </c>
    </row>
    <row r="8" spans="1:15" s="198" customFormat="1" ht="15" x14ac:dyDescent="0.2">
      <c r="A8" s="5038"/>
      <c r="B8" s="268" t="s">
        <v>6</v>
      </c>
      <c r="C8" s="269">
        <v>5400</v>
      </c>
      <c r="D8" s="269">
        <v>5345</v>
      </c>
      <c r="E8" s="547">
        <v>5288</v>
      </c>
      <c r="F8" s="547">
        <v>5172</v>
      </c>
      <c r="G8" s="547">
        <v>5225</v>
      </c>
      <c r="H8" s="547">
        <v>5433</v>
      </c>
      <c r="I8" s="547">
        <v>5519</v>
      </c>
      <c r="J8" s="547">
        <v>5629</v>
      </c>
      <c r="K8" s="547">
        <f>SUM('ACTIVOS plan'!L15:L18)</f>
        <v>5755</v>
      </c>
      <c r="L8" s="547">
        <f>SUM('ACTIVOS plan'!M15:M18)</f>
        <v>6150</v>
      </c>
      <c r="M8" s="547">
        <f>SUM('ACTIVOS plan'!N15:N18)</f>
        <v>6362</v>
      </c>
      <c r="N8" s="547">
        <f>SUM('ACTIVOS plan'!O15:O18)</f>
        <v>6375</v>
      </c>
      <c r="O8" s="547">
        <f>SUM('ACTIVOS plan'!P15:P18)</f>
        <v>6570</v>
      </c>
    </row>
    <row r="9" spans="1:15" s="198" customFormat="1" ht="15" x14ac:dyDescent="0.2">
      <c r="A9" s="5038"/>
      <c r="B9" s="268" t="s">
        <v>7</v>
      </c>
      <c r="C9" s="269">
        <v>3254</v>
      </c>
      <c r="D9" s="269">
        <v>3190</v>
      </c>
      <c r="E9" s="547">
        <v>3224</v>
      </c>
      <c r="F9" s="547">
        <v>3205</v>
      </c>
      <c r="G9" s="547">
        <v>3132</v>
      </c>
      <c r="H9" s="547">
        <v>3117</v>
      </c>
      <c r="I9" s="547">
        <v>3084</v>
      </c>
      <c r="J9" s="547">
        <v>3058</v>
      </c>
      <c r="K9" s="547">
        <f>SUM('ACTIVOS plan'!L20:L22)</f>
        <v>3084</v>
      </c>
      <c r="L9" s="547">
        <f>SUM('ACTIVOS plan'!M20:M22)</f>
        <v>3224</v>
      </c>
      <c r="M9" s="547">
        <f>SUM('ACTIVOS plan'!N20:N22)</f>
        <v>3363</v>
      </c>
      <c r="N9" s="547">
        <f>SUM('ACTIVOS plan'!O20:O22)</f>
        <v>3449</v>
      </c>
      <c r="O9" s="547">
        <f>SUM('ACTIVOS plan'!P20:P22)</f>
        <v>3486</v>
      </c>
    </row>
    <row r="10" spans="1:15" s="197" customFormat="1" ht="15" x14ac:dyDescent="0.25">
      <c r="A10" s="5108"/>
      <c r="B10" s="2405" t="s">
        <v>12</v>
      </c>
      <c r="C10" s="2406">
        <v>14809</v>
      </c>
      <c r="D10" s="2406">
        <v>15053</v>
      </c>
      <c r="E10" s="2407">
        <v>15326</v>
      </c>
      <c r="F10" s="2407">
        <v>15516</v>
      </c>
      <c r="G10" s="2407">
        <v>15714</v>
      </c>
      <c r="H10" s="2407">
        <v>16179</v>
      </c>
      <c r="I10" s="2407">
        <v>16371</v>
      </c>
      <c r="J10" s="2407">
        <f t="shared" ref="J10:O10" si="0">SUM(J7:J9)</f>
        <v>17035</v>
      </c>
      <c r="K10" s="2407">
        <f t="shared" si="0"/>
        <v>17391</v>
      </c>
      <c r="L10" s="2407">
        <f t="shared" si="0"/>
        <v>17855</v>
      </c>
      <c r="M10" s="2407">
        <f t="shared" si="0"/>
        <v>18138</v>
      </c>
      <c r="N10" s="2407">
        <f t="shared" si="0"/>
        <v>17966</v>
      </c>
      <c r="O10" s="2407">
        <f t="shared" si="0"/>
        <v>17808</v>
      </c>
    </row>
    <row r="11" spans="1:15" s="197" customFormat="1" ht="15.75" x14ac:dyDescent="0.25">
      <c r="A11" s="1923"/>
    </row>
    <row r="12" spans="1:15" s="197" customFormat="1" ht="15" x14ac:dyDescent="0.25">
      <c r="A12" s="5028" t="s">
        <v>410</v>
      </c>
      <c r="B12" s="264" t="s">
        <v>6</v>
      </c>
      <c r="C12" s="265"/>
      <c r="D12" s="265"/>
      <c r="E12" s="546">
        <v>111</v>
      </c>
      <c r="F12" s="546">
        <v>148</v>
      </c>
      <c r="G12" s="546">
        <v>242</v>
      </c>
      <c r="H12" s="546">
        <v>343</v>
      </c>
      <c r="I12" s="546">
        <v>401</v>
      </c>
      <c r="J12" s="546">
        <v>420</v>
      </c>
      <c r="K12" s="546">
        <f>SUM('ACTIVOS plan'!L25:L28)</f>
        <v>455</v>
      </c>
      <c r="L12" s="546">
        <f>SUM('ACTIVOS plan'!M25:M28)</f>
        <v>446</v>
      </c>
      <c r="M12" s="546">
        <f>SUM('ACTIVOS plan'!N25:N28)</f>
        <v>459</v>
      </c>
      <c r="N12" s="546">
        <f>SUM('ACTIVOS plan'!O25:O28)</f>
        <v>576</v>
      </c>
      <c r="O12" s="546">
        <f>SUM('ACTIVOS plan'!P25:P28)</f>
        <v>702</v>
      </c>
    </row>
    <row r="13" spans="1:15" s="197" customFormat="1" ht="15" x14ac:dyDescent="0.25">
      <c r="A13" s="5029"/>
      <c r="B13" s="268" t="s">
        <v>9</v>
      </c>
      <c r="C13" s="269"/>
      <c r="D13" s="269"/>
      <c r="E13" s="547">
        <v>34</v>
      </c>
      <c r="F13" s="547">
        <v>61</v>
      </c>
      <c r="G13" s="547">
        <v>191</v>
      </c>
      <c r="H13" s="547">
        <v>314</v>
      </c>
      <c r="I13" s="547">
        <v>378</v>
      </c>
      <c r="J13" s="547">
        <v>462</v>
      </c>
      <c r="K13" s="547">
        <f>SUM('ACTIVOS plan'!L30:L32)</f>
        <v>539</v>
      </c>
      <c r="L13" s="547">
        <f>SUM('ACTIVOS plan'!M30:M32)</f>
        <v>603</v>
      </c>
      <c r="M13" s="547">
        <f>SUM('ACTIVOS plan'!N30:N32)</f>
        <v>629</v>
      </c>
      <c r="N13" s="547">
        <f>SUM('ACTIVOS plan'!O30:O32)</f>
        <v>711</v>
      </c>
      <c r="O13" s="547">
        <f>SUM('ACTIVOS plan'!P30:P32)</f>
        <v>816</v>
      </c>
    </row>
    <row r="14" spans="1:15" s="197" customFormat="1" ht="15" x14ac:dyDescent="0.25">
      <c r="A14" s="5029"/>
      <c r="B14" s="268" t="s">
        <v>74</v>
      </c>
      <c r="C14" s="269"/>
      <c r="D14" s="269"/>
      <c r="E14" s="547">
        <v>58</v>
      </c>
      <c r="F14" s="547">
        <v>78</v>
      </c>
      <c r="G14" s="547">
        <v>129</v>
      </c>
      <c r="H14" s="547">
        <v>214</v>
      </c>
      <c r="I14" s="547">
        <v>275</v>
      </c>
      <c r="J14" s="547">
        <v>323</v>
      </c>
      <c r="K14" s="547">
        <f>SUM('ACTIVOS plan'!L34:L37)</f>
        <v>394</v>
      </c>
      <c r="L14" s="547">
        <f>SUM('ACTIVOS plan'!M34:M37)</f>
        <v>479</v>
      </c>
      <c r="M14" s="547">
        <f>SUM('ACTIVOS plan'!N34:N37)</f>
        <v>566</v>
      </c>
      <c r="N14" s="547">
        <f>SUM('ACTIVOS plan'!O34:O37)</f>
        <v>722</v>
      </c>
      <c r="O14" s="547">
        <f>SUM('ACTIVOS plan'!P34:P37)</f>
        <v>808</v>
      </c>
    </row>
    <row r="15" spans="1:15" s="197" customFormat="1" ht="15" x14ac:dyDescent="0.25">
      <c r="A15" s="5030"/>
      <c r="B15" s="2402" t="s">
        <v>12</v>
      </c>
      <c r="C15" s="2403"/>
      <c r="D15" s="2403"/>
      <c r="E15" s="2404">
        <v>203</v>
      </c>
      <c r="F15" s="2404">
        <v>287</v>
      </c>
      <c r="G15" s="2404">
        <v>562</v>
      </c>
      <c r="H15" s="2404">
        <v>871</v>
      </c>
      <c r="I15" s="2404">
        <v>1054</v>
      </c>
      <c r="J15" s="2404">
        <f t="shared" ref="J15:O15" si="1">SUM(J12:J14)</f>
        <v>1205</v>
      </c>
      <c r="K15" s="2404">
        <f t="shared" si="1"/>
        <v>1388</v>
      </c>
      <c r="L15" s="2404">
        <f t="shared" si="1"/>
        <v>1528</v>
      </c>
      <c r="M15" s="2404">
        <f t="shared" si="1"/>
        <v>1654</v>
      </c>
      <c r="N15" s="2404">
        <f t="shared" si="1"/>
        <v>2009</v>
      </c>
      <c r="O15" s="2404">
        <f t="shared" si="1"/>
        <v>2326</v>
      </c>
    </row>
    <row r="16" spans="1:15" s="197" customFormat="1" ht="15.75" x14ac:dyDescent="0.25">
      <c r="A16" s="1923"/>
    </row>
    <row r="17" spans="1:15" s="198" customFormat="1" ht="15" x14ac:dyDescent="0.2">
      <c r="A17" s="5040" t="s">
        <v>162</v>
      </c>
      <c r="B17" s="264" t="s">
        <v>5</v>
      </c>
      <c r="C17" s="265">
        <v>3389</v>
      </c>
      <c r="D17" s="265">
        <v>3390</v>
      </c>
      <c r="E17" s="546">
        <v>3349</v>
      </c>
      <c r="F17" s="546">
        <v>3332</v>
      </c>
      <c r="G17" s="546">
        <v>3179</v>
      </c>
      <c r="H17" s="546">
        <v>3263</v>
      </c>
      <c r="I17" s="546">
        <v>3220</v>
      </c>
      <c r="J17" s="546">
        <v>3380</v>
      </c>
      <c r="K17" s="546">
        <f>SUM('ACTIVOS plan'!L40:L48)</f>
        <v>3534</v>
      </c>
      <c r="L17" s="546">
        <f>SUM('ACTIVOS plan'!M40:M48)</f>
        <v>3730</v>
      </c>
      <c r="M17" s="546">
        <f>SUM('ACTIVOS plan'!N40:N48)</f>
        <v>4097</v>
      </c>
      <c r="N17" s="546">
        <f>SUM('ACTIVOS plan'!O40:O48)</f>
        <v>4292</v>
      </c>
      <c r="O17" s="546">
        <f>SUM('ACTIVOS plan'!P40:P48)</f>
        <v>4385</v>
      </c>
    </row>
    <row r="18" spans="1:15" s="198" customFormat="1" ht="15" x14ac:dyDescent="0.2">
      <c r="A18" s="5041"/>
      <c r="B18" s="268" t="s">
        <v>6</v>
      </c>
      <c r="C18" s="269">
        <v>5311</v>
      </c>
      <c r="D18" s="269">
        <v>5290</v>
      </c>
      <c r="E18" s="547">
        <v>5330</v>
      </c>
      <c r="F18" s="547">
        <v>5492</v>
      </c>
      <c r="G18" s="547">
        <v>5766</v>
      </c>
      <c r="H18" s="547">
        <v>5928</v>
      </c>
      <c r="I18" s="547">
        <v>6088</v>
      </c>
      <c r="J18" s="547">
        <v>6252</v>
      </c>
      <c r="K18" s="547">
        <f>SUM('ACTIVOS plan'!L50:L60)</f>
        <v>6328</v>
      </c>
      <c r="L18" s="547">
        <f>SUM('ACTIVOS plan'!M50:M60)</f>
        <v>6563</v>
      </c>
      <c r="M18" s="547">
        <f>SUM('ACTIVOS plan'!N50:N60)</f>
        <v>6645</v>
      </c>
      <c r="N18" s="547">
        <f>SUM('ACTIVOS plan'!O50:O60)</f>
        <v>6604</v>
      </c>
      <c r="O18" s="547">
        <f>SUM('ACTIVOS plan'!P50:P60)</f>
        <v>6597</v>
      </c>
    </row>
    <row r="19" spans="1:15" s="198" customFormat="1" ht="15" x14ac:dyDescent="0.2">
      <c r="A19" s="5041"/>
      <c r="B19" s="268" t="s">
        <v>11</v>
      </c>
      <c r="C19" s="269">
        <v>3503</v>
      </c>
      <c r="D19" s="269">
        <v>3413</v>
      </c>
      <c r="E19" s="547">
        <v>3269</v>
      </c>
      <c r="F19" s="547">
        <v>3272</v>
      </c>
      <c r="G19" s="547">
        <v>3255</v>
      </c>
      <c r="H19" s="547">
        <v>3354</v>
      </c>
      <c r="I19" s="547">
        <v>3461</v>
      </c>
      <c r="J19" s="547">
        <v>3756</v>
      </c>
      <c r="K19" s="547">
        <f>SUM('ACTIVOS plan'!L62:L67)</f>
        <v>3979</v>
      </c>
      <c r="L19" s="547">
        <f>SUM('ACTIVOS plan'!M62:M67)</f>
        <v>4254</v>
      </c>
      <c r="M19" s="547">
        <f>SUM('ACTIVOS plan'!N62:N67)</f>
        <v>4573</v>
      </c>
      <c r="N19" s="547">
        <f>SUM('ACTIVOS plan'!O62:O67)</f>
        <v>4686</v>
      </c>
      <c r="O19" s="547">
        <f>SUM('ACTIVOS plan'!P62:P67)</f>
        <v>4695</v>
      </c>
    </row>
    <row r="20" spans="1:15" s="197" customFormat="1" ht="15" x14ac:dyDescent="0.25">
      <c r="A20" s="5109"/>
      <c r="B20" s="2399" t="s">
        <v>12</v>
      </c>
      <c r="C20" s="2400">
        <v>12203</v>
      </c>
      <c r="D20" s="2400">
        <v>12093</v>
      </c>
      <c r="E20" s="2401">
        <v>11948</v>
      </c>
      <c r="F20" s="2401">
        <v>12096</v>
      </c>
      <c r="G20" s="2401">
        <v>12200</v>
      </c>
      <c r="H20" s="2401">
        <v>12545</v>
      </c>
      <c r="I20" s="2401">
        <v>12769</v>
      </c>
      <c r="J20" s="2401">
        <f t="shared" ref="J20:O20" si="2">SUM(J17:J19)</f>
        <v>13388</v>
      </c>
      <c r="K20" s="2401">
        <f t="shared" si="2"/>
        <v>13841</v>
      </c>
      <c r="L20" s="2401">
        <f t="shared" si="2"/>
        <v>14547</v>
      </c>
      <c r="M20" s="2401">
        <f t="shared" si="2"/>
        <v>15315</v>
      </c>
      <c r="N20" s="2401">
        <f t="shared" si="2"/>
        <v>15582</v>
      </c>
      <c r="O20" s="2401">
        <f t="shared" si="2"/>
        <v>15677</v>
      </c>
    </row>
    <row r="21" spans="1:15" s="198" customFormat="1" ht="15" x14ac:dyDescent="0.2">
      <c r="A21" s="195"/>
      <c r="C21" s="548"/>
      <c r="D21" s="548"/>
      <c r="E21" s="548"/>
      <c r="F21" s="548"/>
      <c r="G21" s="548"/>
      <c r="H21" s="548"/>
      <c r="I21" s="548"/>
      <c r="J21" s="548"/>
      <c r="K21" s="548"/>
      <c r="L21" s="548"/>
      <c r="M21" s="548"/>
      <c r="N21" s="548"/>
      <c r="O21" s="548"/>
    </row>
    <row r="22" spans="1:15" s="198" customFormat="1" ht="15" x14ac:dyDescent="0.2">
      <c r="A22" s="5031" t="s">
        <v>411</v>
      </c>
      <c r="B22" s="264" t="s">
        <v>5</v>
      </c>
      <c r="C22" s="472"/>
      <c r="D22" s="471"/>
      <c r="E22" s="471"/>
      <c r="F22" s="471"/>
      <c r="G22" s="471"/>
      <c r="H22" s="471"/>
      <c r="I22" s="471"/>
      <c r="J22" s="473"/>
      <c r="K22" s="267">
        <f>SUM('ACTIVOS plan'!L70)</f>
        <v>60</v>
      </c>
      <c r="L22" s="267">
        <f>SUM('ACTIVOS plan'!M70)</f>
        <v>79</v>
      </c>
      <c r="M22" s="267">
        <f>SUM('ACTIVOS plan'!N70)</f>
        <v>123</v>
      </c>
      <c r="N22" s="267">
        <f>SUM('ACTIVOS plan'!O70)</f>
        <v>139</v>
      </c>
      <c r="O22" s="267">
        <f>SUM('ACTIVOS plan'!P70)</f>
        <v>173</v>
      </c>
    </row>
    <row r="23" spans="1:15" s="198" customFormat="1" ht="15" x14ac:dyDescent="0.2">
      <c r="A23" s="5032"/>
      <c r="B23" s="268" t="s">
        <v>6</v>
      </c>
      <c r="C23" s="475"/>
      <c r="D23" s="474"/>
      <c r="E23" s="474"/>
      <c r="F23" s="474"/>
      <c r="G23" s="474"/>
      <c r="H23" s="474"/>
      <c r="I23" s="474"/>
      <c r="J23" s="476"/>
      <c r="K23" s="271">
        <f>SUM('ACTIVOS plan'!L71)</f>
        <v>58</v>
      </c>
      <c r="L23" s="271">
        <f>SUM('ACTIVOS plan'!M71)</f>
        <v>80</v>
      </c>
      <c r="M23" s="271">
        <f>SUM('ACTIVOS plan'!N71:N72)</f>
        <v>138</v>
      </c>
      <c r="N23" s="271">
        <f>SUM('ACTIVOS plan'!O71:O72)</f>
        <v>172</v>
      </c>
      <c r="O23" s="271">
        <f>SUM('ACTIVOS plan'!P71:P72)</f>
        <v>213</v>
      </c>
    </row>
    <row r="24" spans="1:15" s="198" customFormat="1" ht="15" x14ac:dyDescent="0.2">
      <c r="A24" s="5032"/>
      <c r="B24" s="268" t="s">
        <v>11</v>
      </c>
      <c r="C24" s="475"/>
      <c r="D24" s="474"/>
      <c r="E24" s="474"/>
      <c r="F24" s="474"/>
      <c r="G24" s="474"/>
      <c r="H24" s="474"/>
      <c r="I24" s="474"/>
      <c r="J24" s="476"/>
      <c r="K24" s="271">
        <f>SUM('ACTIVOS plan'!L74)</f>
        <v>55</v>
      </c>
      <c r="L24" s="271">
        <f>SUM('ACTIVOS plan'!M74)</f>
        <v>69</v>
      </c>
      <c r="M24" s="271">
        <f>SUM('ACTIVOS plan'!N74)</f>
        <v>116</v>
      </c>
      <c r="N24" s="271">
        <f>SUM('ACTIVOS plan'!O74)</f>
        <v>147</v>
      </c>
      <c r="O24" s="271">
        <f>SUM('ACTIVOS plan'!P74)</f>
        <v>208</v>
      </c>
    </row>
    <row r="25" spans="1:15" s="197" customFormat="1" ht="15" x14ac:dyDescent="0.25">
      <c r="A25" s="5113"/>
      <c r="B25" s="2397" t="s">
        <v>12</v>
      </c>
      <c r="C25" s="584"/>
      <c r="D25" s="585"/>
      <c r="E25" s="585"/>
      <c r="F25" s="585"/>
      <c r="G25" s="585"/>
      <c r="H25" s="585"/>
      <c r="I25" s="585"/>
      <c r="J25" s="586"/>
      <c r="K25" s="2408">
        <f>SUM(K22:K24)</f>
        <v>173</v>
      </c>
      <c r="L25" s="2408">
        <f>SUM(L22:L24)</f>
        <v>228</v>
      </c>
      <c r="M25" s="2408">
        <f>SUM(M22:M24)</f>
        <v>377</v>
      </c>
      <c r="N25" s="2408">
        <f>SUM(N22:N24)</f>
        <v>458</v>
      </c>
      <c r="O25" s="2408">
        <f>SUM(O22:O24)</f>
        <v>594</v>
      </c>
    </row>
    <row r="26" spans="1:15" s="197" customFormat="1" ht="15.75" x14ac:dyDescent="0.25">
      <c r="A26" s="1923"/>
    </row>
    <row r="27" spans="1:15" s="197" customFormat="1" ht="15" x14ac:dyDescent="0.25">
      <c r="A27" s="5043" t="s">
        <v>163</v>
      </c>
      <c r="B27" s="264" t="s">
        <v>6</v>
      </c>
      <c r="C27" s="265">
        <v>5654</v>
      </c>
      <c r="D27" s="265">
        <v>5919</v>
      </c>
      <c r="E27" s="546">
        <v>6177</v>
      </c>
      <c r="F27" s="546">
        <v>6266</v>
      </c>
      <c r="G27" s="546">
        <v>6388</v>
      </c>
      <c r="H27" s="546">
        <v>6413</v>
      </c>
      <c r="I27" s="546">
        <v>6206</v>
      </c>
      <c r="J27" s="546">
        <v>6138</v>
      </c>
      <c r="K27" s="546">
        <f>SUM('ACTIVOS plan'!L76:L81)</f>
        <v>6056</v>
      </c>
      <c r="L27" s="546">
        <f>SUM('ACTIVOS plan'!M76:M81)</f>
        <v>6126</v>
      </c>
      <c r="M27" s="546">
        <f>SUM('ACTIVOS plan'!N76:N81)</f>
        <v>6237</v>
      </c>
      <c r="N27" s="546">
        <f>SUM('ACTIVOS plan'!O76:O81)</f>
        <v>6148</v>
      </c>
      <c r="O27" s="546">
        <f>SUM('ACTIVOS plan'!P76:P81)</f>
        <v>6193</v>
      </c>
    </row>
    <row r="28" spans="1:15" s="197" customFormat="1" ht="15" x14ac:dyDescent="0.25">
      <c r="A28" s="5044"/>
      <c r="B28" s="268" t="s">
        <v>11</v>
      </c>
      <c r="C28" s="269">
        <v>6565</v>
      </c>
      <c r="D28" s="269">
        <v>7027</v>
      </c>
      <c r="E28" s="547">
        <v>7516</v>
      </c>
      <c r="F28" s="547">
        <v>7948</v>
      </c>
      <c r="G28" s="547">
        <v>8038</v>
      </c>
      <c r="H28" s="547">
        <v>7974</v>
      </c>
      <c r="I28" s="547">
        <v>7692</v>
      </c>
      <c r="J28" s="547">
        <v>7642</v>
      </c>
      <c r="K28" s="547">
        <f>SUM('ACTIVOS plan'!L83:L90)</f>
        <v>7568</v>
      </c>
      <c r="L28" s="547">
        <f>SUM('ACTIVOS plan'!M83:M90)</f>
        <v>7509</v>
      </c>
      <c r="M28" s="547">
        <f>SUM('ACTIVOS plan'!N83:N90)</f>
        <v>7565</v>
      </c>
      <c r="N28" s="547">
        <f>SUM('ACTIVOS plan'!O83:O90)</f>
        <v>7575</v>
      </c>
      <c r="O28" s="547">
        <f>SUM('ACTIVOS plan'!P83:P90)</f>
        <v>7636</v>
      </c>
    </row>
    <row r="29" spans="1:15" s="197" customFormat="1" ht="15" x14ac:dyDescent="0.25">
      <c r="A29" s="5044"/>
      <c r="B29" s="268" t="s">
        <v>7</v>
      </c>
      <c r="C29" s="269">
        <v>3004</v>
      </c>
      <c r="D29" s="269">
        <v>3154</v>
      </c>
      <c r="E29" s="547">
        <v>3326</v>
      </c>
      <c r="F29" s="547">
        <v>3335</v>
      </c>
      <c r="G29" s="547">
        <v>3365</v>
      </c>
      <c r="H29" s="547">
        <v>3404</v>
      </c>
      <c r="I29" s="547">
        <v>3251</v>
      </c>
      <c r="J29" s="547">
        <v>3188</v>
      </c>
      <c r="K29" s="547">
        <f>SUM('ACTIVOS plan'!L92:L95)</f>
        <v>3091</v>
      </c>
      <c r="L29" s="547">
        <f>SUM('ACTIVOS plan'!M92:M95)</f>
        <v>3135</v>
      </c>
      <c r="M29" s="547">
        <f>SUM('ACTIVOS plan'!N92:N95)</f>
        <v>3173</v>
      </c>
      <c r="N29" s="547">
        <f>SUM('ACTIVOS plan'!O92:O95)</f>
        <v>3160</v>
      </c>
      <c r="O29" s="547">
        <f>SUM('ACTIVOS plan'!P92:P95)</f>
        <v>3140</v>
      </c>
    </row>
    <row r="30" spans="1:15" s="197" customFormat="1" ht="15" x14ac:dyDescent="0.25">
      <c r="A30" s="5110"/>
      <c r="B30" s="2409" t="s">
        <v>12</v>
      </c>
      <c r="C30" s="2410">
        <v>15223</v>
      </c>
      <c r="D30" s="2410">
        <v>16100</v>
      </c>
      <c r="E30" s="2411">
        <v>17019</v>
      </c>
      <c r="F30" s="2411">
        <v>17549</v>
      </c>
      <c r="G30" s="2411">
        <v>17791</v>
      </c>
      <c r="H30" s="2411">
        <v>17791</v>
      </c>
      <c r="I30" s="2411">
        <v>17149</v>
      </c>
      <c r="J30" s="2411">
        <f t="shared" ref="J30:O30" si="3">SUM(J27:J29)</f>
        <v>16968</v>
      </c>
      <c r="K30" s="2411">
        <f t="shared" si="3"/>
        <v>16715</v>
      </c>
      <c r="L30" s="2411">
        <f t="shared" si="3"/>
        <v>16770</v>
      </c>
      <c r="M30" s="2411">
        <f t="shared" si="3"/>
        <v>16975</v>
      </c>
      <c r="N30" s="2411">
        <f t="shared" si="3"/>
        <v>16883</v>
      </c>
      <c r="O30" s="2411">
        <f t="shared" si="3"/>
        <v>16969</v>
      </c>
    </row>
    <row r="31" spans="1:15" s="198" customFormat="1" ht="14.25" x14ac:dyDescent="0.2">
      <c r="C31" s="548"/>
      <c r="D31" s="548"/>
      <c r="E31" s="548"/>
      <c r="F31" s="548"/>
      <c r="G31" s="548"/>
      <c r="H31" s="548"/>
      <c r="I31" s="548"/>
      <c r="J31" s="548"/>
      <c r="K31" s="548"/>
      <c r="L31" s="548"/>
      <c r="M31" s="548"/>
      <c r="N31" s="548"/>
      <c r="O31" s="548"/>
    </row>
    <row r="32" spans="1:15" s="198" customFormat="1" ht="15" x14ac:dyDescent="0.2">
      <c r="A32" s="5059" t="s">
        <v>60</v>
      </c>
      <c r="B32" s="264" t="s">
        <v>5</v>
      </c>
      <c r="C32" s="265">
        <v>9544</v>
      </c>
      <c r="D32" s="265">
        <v>9908</v>
      </c>
      <c r="E32" s="546">
        <v>10163</v>
      </c>
      <c r="F32" s="546">
        <v>10471</v>
      </c>
      <c r="G32" s="546">
        <v>10536</v>
      </c>
      <c r="H32" s="546">
        <v>10892</v>
      </c>
      <c r="I32" s="546">
        <v>10988</v>
      </c>
      <c r="J32" s="546">
        <f>SUM(J7,J17)</f>
        <v>11728</v>
      </c>
      <c r="K32" s="546">
        <f>SUM(K7,K17,K22)</f>
        <v>12146</v>
      </c>
      <c r="L32" s="546">
        <f>SUM(L7,L17,L22)</f>
        <v>12290</v>
      </c>
      <c r="M32" s="546">
        <f>SUM(M7,M17,M22)</f>
        <v>12633</v>
      </c>
      <c r="N32" s="546">
        <f>SUM(N7,N17,N22)</f>
        <v>12573</v>
      </c>
      <c r="O32" s="546">
        <f>SUM(O7,O17,O22)</f>
        <v>12310</v>
      </c>
    </row>
    <row r="33" spans="1:15" s="198" customFormat="1" ht="15" x14ac:dyDescent="0.2">
      <c r="A33" s="5060"/>
      <c r="B33" s="268" t="s">
        <v>6</v>
      </c>
      <c r="C33" s="269">
        <v>16365</v>
      </c>
      <c r="D33" s="269">
        <v>16554</v>
      </c>
      <c r="E33" s="547">
        <v>16906</v>
      </c>
      <c r="F33" s="547">
        <v>17078</v>
      </c>
      <c r="G33" s="547">
        <v>17621</v>
      </c>
      <c r="H33" s="547">
        <v>18117</v>
      </c>
      <c r="I33" s="547">
        <v>18214</v>
      </c>
      <c r="J33" s="547">
        <f>SUM(J8,J12,J18,J27)</f>
        <v>18439</v>
      </c>
      <c r="K33" s="547">
        <f>SUM(K8,K12,K18,K27,K23)</f>
        <v>18652</v>
      </c>
      <c r="L33" s="547">
        <f>SUM(L8,L12,L18,L27,L23)</f>
        <v>19365</v>
      </c>
      <c r="M33" s="547">
        <f>SUM(M8,M12,M18,M27,M23)</f>
        <v>19841</v>
      </c>
      <c r="N33" s="547">
        <f>SUM(N8,N12,N18,N27,N23)</f>
        <v>19875</v>
      </c>
      <c r="O33" s="547">
        <f>SUM(O8,O12,O18,O27,O23)</f>
        <v>20275</v>
      </c>
    </row>
    <row r="34" spans="1:15" s="198" customFormat="1" ht="15" x14ac:dyDescent="0.2">
      <c r="A34" s="5060"/>
      <c r="B34" s="268" t="s">
        <v>11</v>
      </c>
      <c r="C34" s="269">
        <v>10068</v>
      </c>
      <c r="D34" s="269">
        <v>10440</v>
      </c>
      <c r="E34" s="547">
        <v>10785</v>
      </c>
      <c r="F34" s="547">
        <v>11220</v>
      </c>
      <c r="G34" s="547">
        <v>11293</v>
      </c>
      <c r="H34" s="547">
        <v>11328</v>
      </c>
      <c r="I34" s="547">
        <v>11153</v>
      </c>
      <c r="J34" s="547">
        <f>SUM(J19,J28)</f>
        <v>11398</v>
      </c>
      <c r="K34" s="547">
        <f>SUM(K19,K28,K24)</f>
        <v>11602</v>
      </c>
      <c r="L34" s="547">
        <f>SUM(L19,L28,L24)</f>
        <v>11832</v>
      </c>
      <c r="M34" s="547">
        <f>SUM(M19,M28,M24)</f>
        <v>12254</v>
      </c>
      <c r="N34" s="547">
        <f>SUM(N19,N28,N24)</f>
        <v>12408</v>
      </c>
      <c r="O34" s="547">
        <f>SUM(O19,O28,O24)</f>
        <v>12539</v>
      </c>
    </row>
    <row r="35" spans="1:15" s="198" customFormat="1" ht="15" x14ac:dyDescent="0.2">
      <c r="A35" s="5060"/>
      <c r="B35" s="268" t="s">
        <v>7</v>
      </c>
      <c r="C35" s="269">
        <v>6258</v>
      </c>
      <c r="D35" s="269">
        <v>6344</v>
      </c>
      <c r="E35" s="547">
        <v>6550</v>
      </c>
      <c r="F35" s="547">
        <v>6540</v>
      </c>
      <c r="G35" s="547">
        <v>6497</v>
      </c>
      <c r="H35" s="547">
        <v>6521</v>
      </c>
      <c r="I35" s="547">
        <v>6335</v>
      </c>
      <c r="J35" s="547">
        <f t="shared" ref="J35:O35" si="4">SUM(J9,J29)</f>
        <v>6246</v>
      </c>
      <c r="K35" s="547">
        <f t="shared" si="4"/>
        <v>6175</v>
      </c>
      <c r="L35" s="547">
        <f t="shared" si="4"/>
        <v>6359</v>
      </c>
      <c r="M35" s="547">
        <f t="shared" si="4"/>
        <v>6536</v>
      </c>
      <c r="N35" s="547">
        <f t="shared" si="4"/>
        <v>6609</v>
      </c>
      <c r="O35" s="547">
        <f t="shared" si="4"/>
        <v>6626</v>
      </c>
    </row>
    <row r="36" spans="1:15" s="198" customFormat="1" ht="15" x14ac:dyDescent="0.2">
      <c r="A36" s="5060"/>
      <c r="B36" s="268" t="s">
        <v>9</v>
      </c>
      <c r="C36" s="269"/>
      <c r="D36" s="269"/>
      <c r="E36" s="547">
        <v>34</v>
      </c>
      <c r="F36" s="547">
        <v>61</v>
      </c>
      <c r="G36" s="547">
        <v>191</v>
      </c>
      <c r="H36" s="547">
        <v>314</v>
      </c>
      <c r="I36" s="547">
        <v>378</v>
      </c>
      <c r="J36" s="547">
        <f t="shared" ref="J36:L37" si="5">SUM(J13)</f>
        <v>462</v>
      </c>
      <c r="K36" s="547">
        <f t="shared" si="5"/>
        <v>539</v>
      </c>
      <c r="L36" s="547">
        <f t="shared" si="5"/>
        <v>603</v>
      </c>
      <c r="M36" s="547">
        <f t="shared" ref="M36:O37" si="6">SUM(M13)</f>
        <v>629</v>
      </c>
      <c r="N36" s="547">
        <f t="shared" si="6"/>
        <v>711</v>
      </c>
      <c r="O36" s="547">
        <f t="shared" si="6"/>
        <v>816</v>
      </c>
    </row>
    <row r="37" spans="1:15" s="198" customFormat="1" ht="15" x14ac:dyDescent="0.2">
      <c r="A37" s="5060"/>
      <c r="B37" s="278" t="s">
        <v>74</v>
      </c>
      <c r="C37" s="272"/>
      <c r="D37" s="272"/>
      <c r="E37" s="549">
        <v>58</v>
      </c>
      <c r="F37" s="549">
        <v>78</v>
      </c>
      <c r="G37" s="549">
        <v>129</v>
      </c>
      <c r="H37" s="549">
        <v>214</v>
      </c>
      <c r="I37" s="549">
        <v>275</v>
      </c>
      <c r="J37" s="549">
        <f t="shared" si="5"/>
        <v>323</v>
      </c>
      <c r="K37" s="549">
        <f t="shared" si="5"/>
        <v>394</v>
      </c>
      <c r="L37" s="549">
        <f t="shared" si="5"/>
        <v>479</v>
      </c>
      <c r="M37" s="549">
        <f t="shared" si="6"/>
        <v>566</v>
      </c>
      <c r="N37" s="549">
        <f t="shared" si="6"/>
        <v>722</v>
      </c>
      <c r="O37" s="549">
        <f t="shared" si="6"/>
        <v>808</v>
      </c>
    </row>
    <row r="38" spans="1:15" s="197" customFormat="1" ht="15" x14ac:dyDescent="0.25">
      <c r="A38" s="5061"/>
      <c r="B38" s="577" t="s">
        <v>12</v>
      </c>
      <c r="C38" s="578">
        <v>42235</v>
      </c>
      <c r="D38" s="578">
        <v>43246</v>
      </c>
      <c r="E38" s="691">
        <v>44496</v>
      </c>
      <c r="F38" s="691">
        <v>45448</v>
      </c>
      <c r="G38" s="691">
        <v>46267</v>
      </c>
      <c r="H38" s="691">
        <v>47386</v>
      </c>
      <c r="I38" s="691">
        <v>47343</v>
      </c>
      <c r="J38" s="691">
        <f t="shared" ref="J38:O38" si="7">SUM(J32:J37)</f>
        <v>48596</v>
      </c>
      <c r="K38" s="691">
        <f t="shared" si="7"/>
        <v>49508</v>
      </c>
      <c r="L38" s="691">
        <f t="shared" si="7"/>
        <v>50928</v>
      </c>
      <c r="M38" s="691">
        <f t="shared" si="7"/>
        <v>52459</v>
      </c>
      <c r="N38" s="691">
        <f t="shared" si="7"/>
        <v>52898</v>
      </c>
      <c r="O38" s="691">
        <f t="shared" si="7"/>
        <v>53374</v>
      </c>
    </row>
    <row r="39" spans="1:15" x14ac:dyDescent="0.2">
      <c r="A39" s="2848"/>
      <c r="B39" s="2848"/>
      <c r="C39" s="2895"/>
      <c r="D39" s="2895"/>
      <c r="E39" s="2895"/>
      <c r="F39" s="2895"/>
      <c r="G39" s="2895"/>
      <c r="H39" s="2895"/>
      <c r="I39" s="2895"/>
      <c r="J39" s="2896"/>
      <c r="K39" s="2896"/>
      <c r="L39" s="2897"/>
      <c r="M39" s="2897"/>
      <c r="N39" s="2896"/>
    </row>
    <row r="40" spans="1:15" x14ac:dyDescent="0.2">
      <c r="A40" s="5203" t="s">
        <v>0</v>
      </c>
      <c r="B40" s="5203"/>
      <c r="C40" s="2898"/>
      <c r="D40" s="2898"/>
      <c r="E40" s="2898"/>
      <c r="F40" s="2898"/>
      <c r="G40" s="2898"/>
      <c r="H40" s="2898"/>
      <c r="I40" s="2898"/>
      <c r="J40" s="2898"/>
      <c r="K40" s="2898"/>
      <c r="L40" s="2898"/>
      <c r="M40" s="2898"/>
      <c r="N40" s="2898"/>
    </row>
    <row r="41" spans="1:15" x14ac:dyDescent="0.2">
      <c r="A41" s="374"/>
      <c r="B41" s="373"/>
      <c r="C41" s="372"/>
      <c r="D41" s="372"/>
      <c r="E41" s="372"/>
      <c r="F41" s="372"/>
      <c r="G41" s="372"/>
      <c r="H41" s="372"/>
      <c r="I41" s="372"/>
      <c r="J41" s="202"/>
      <c r="K41" s="202"/>
      <c r="L41" s="545"/>
      <c r="M41" s="545"/>
      <c r="N41" s="545"/>
    </row>
    <row r="42" spans="1:15" x14ac:dyDescent="0.2">
      <c r="C42" s="237"/>
      <c r="D42" s="237"/>
      <c r="E42" s="237"/>
      <c r="F42" s="237"/>
      <c r="G42" s="237"/>
      <c r="H42" s="237"/>
      <c r="I42" s="237"/>
      <c r="J42" s="237"/>
      <c r="K42" s="237"/>
      <c r="L42" s="237"/>
      <c r="M42" s="237"/>
      <c r="N42" s="237"/>
    </row>
    <row r="43" spans="1:15" ht="14.25" x14ac:dyDescent="0.2">
      <c r="L43" s="198"/>
    </row>
    <row r="47" spans="1:15" x14ac:dyDescent="0.2">
      <c r="A47"/>
    </row>
    <row r="48" spans="1:15" x14ac:dyDescent="0.2">
      <c r="A48"/>
    </row>
    <row r="49" spans="1:1" x14ac:dyDescent="0.2">
      <c r="A49" s="10"/>
    </row>
    <row r="50" spans="1:1" x14ac:dyDescent="0.2">
      <c r="A50"/>
    </row>
    <row r="51" spans="1:1" x14ac:dyDescent="0.2">
      <c r="A51"/>
    </row>
  </sheetData>
  <mergeCells count="7">
    <mergeCell ref="A40:B40"/>
    <mergeCell ref="A7:A10"/>
    <mergeCell ref="A12:A15"/>
    <mergeCell ref="A17:A20"/>
    <mergeCell ref="A27:A30"/>
    <mergeCell ref="A32:A38"/>
    <mergeCell ref="A22:A25"/>
  </mergeCells>
  <printOptions horizontalCentered="1" verticalCentered="1"/>
  <pageMargins left="0.78740157480314965" right="0.27559055118110237" top="0.31496062992125984" bottom="0.15748031496062992" header="0" footer="0"/>
  <pageSetup scale="76" orientation="landscape" horizontalDpi="1200" verticalDpi="1200" r:id="rId1"/>
  <headerFooter alignWithMargins="0">
    <oddFooter>&amp;R42</oddFooter>
  </headerFooter>
  <rowBreaks count="1" manualBreakCount="1">
    <brk id="40" max="13" man="1"/>
  </rowBreaks>
  <ignoredErrors>
    <ignoredError sqref="K7:K10 K17:K21 K12:K14 K27:K29 L7:L29 M7:O7 M23:O23" formulaRange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BS105"/>
  <sheetViews>
    <sheetView showGridLines="0" zoomScaleNormal="100" workbookViewId="0">
      <pane xSplit="3" ySplit="4" topLeftCell="BF92" activePane="bottomRight" state="frozen"/>
      <selection pane="topRight" activeCell="D1" sqref="D1"/>
      <selection pane="bottomLeft" activeCell="A6" sqref="A6"/>
      <selection pane="bottomRight" sqref="A1:C1"/>
    </sheetView>
  </sheetViews>
  <sheetFormatPr baseColWidth="10" defaultRowHeight="12.75" x14ac:dyDescent="0.2"/>
  <cols>
    <col min="1" max="1" width="14.7109375" style="1022" customWidth="1"/>
    <col min="2" max="2" width="9.7109375" style="1020" customWidth="1"/>
    <col min="3" max="3" width="37.5703125" style="1020" bestFit="1" customWidth="1"/>
    <col min="4" max="71" width="7.7109375" style="1020" customWidth="1"/>
    <col min="72" max="16384" width="11.42578125" style="1020"/>
  </cols>
  <sheetData>
    <row r="1" spans="1:71" s="971" customFormat="1" ht="34.5" customHeight="1" x14ac:dyDescent="0.2">
      <c r="A1" s="5204" t="s">
        <v>1295</v>
      </c>
      <c r="B1" s="5204"/>
      <c r="C1" s="5204"/>
      <c r="D1" s="970"/>
      <c r="E1" s="970"/>
      <c r="F1" s="970"/>
      <c r="G1" s="970"/>
      <c r="H1" s="970"/>
      <c r="I1" s="970"/>
      <c r="J1" s="970"/>
      <c r="K1" s="970"/>
      <c r="L1" s="970"/>
      <c r="M1" s="970"/>
      <c r="N1" s="970"/>
      <c r="O1" s="970"/>
      <c r="P1" s="970"/>
      <c r="Q1" s="970"/>
      <c r="R1" s="970"/>
      <c r="S1" s="970"/>
      <c r="T1" s="970"/>
      <c r="U1" s="970"/>
      <c r="V1" s="970"/>
      <c r="W1" s="970"/>
      <c r="X1" s="970"/>
      <c r="Y1" s="970"/>
      <c r="Z1" s="970"/>
      <c r="AA1" s="970"/>
      <c r="AB1" s="970"/>
      <c r="AC1" s="970"/>
      <c r="AD1" s="970"/>
      <c r="AE1" s="970"/>
      <c r="AF1" s="970"/>
      <c r="AG1" s="970"/>
      <c r="AH1" s="970"/>
      <c r="AI1" s="970"/>
      <c r="AJ1" s="970"/>
      <c r="AK1" s="970"/>
      <c r="AL1" s="970"/>
      <c r="AM1" s="970"/>
      <c r="AN1" s="970"/>
      <c r="AO1" s="970"/>
      <c r="AP1" s="970"/>
      <c r="AQ1" s="970"/>
    </row>
    <row r="2" spans="1:71" s="971" customFormat="1" ht="15.75" x14ac:dyDescent="0.2">
      <c r="A2" s="970"/>
      <c r="C2" s="970"/>
      <c r="D2" s="970"/>
      <c r="E2" s="970"/>
      <c r="F2" s="970"/>
      <c r="G2" s="970"/>
      <c r="H2" s="970"/>
      <c r="I2" s="970"/>
      <c r="J2" s="970"/>
      <c r="K2" s="970"/>
      <c r="L2" s="970"/>
      <c r="M2" s="970"/>
      <c r="N2" s="970"/>
      <c r="O2" s="970"/>
      <c r="P2" s="970"/>
      <c r="Q2" s="970"/>
      <c r="R2" s="970"/>
      <c r="S2" s="970"/>
      <c r="T2" s="970"/>
      <c r="U2" s="970"/>
      <c r="V2" s="970"/>
      <c r="W2" s="970"/>
      <c r="X2" s="970"/>
      <c r="Y2" s="970"/>
      <c r="Z2" s="970"/>
      <c r="AA2" s="970"/>
      <c r="AB2" s="970"/>
      <c r="AC2" s="970"/>
      <c r="AD2" s="970"/>
      <c r="AE2" s="970"/>
      <c r="AF2" s="970"/>
      <c r="AG2" s="970"/>
      <c r="AH2" s="970"/>
      <c r="AI2" s="970"/>
      <c r="AJ2" s="970"/>
      <c r="AK2" s="970"/>
      <c r="AL2" s="970"/>
      <c r="AM2" s="970"/>
      <c r="AN2" s="970"/>
      <c r="AO2" s="970"/>
      <c r="AP2" s="970"/>
      <c r="AQ2" s="970"/>
    </row>
    <row r="3" spans="1:71" s="971" customFormat="1" ht="15" x14ac:dyDescent="0.2">
      <c r="A3" s="5224" t="s">
        <v>16</v>
      </c>
      <c r="B3" s="5224" t="s">
        <v>4</v>
      </c>
      <c r="C3" s="5224" t="s">
        <v>351</v>
      </c>
      <c r="D3" s="5215">
        <v>1999</v>
      </c>
      <c r="E3" s="5216"/>
      <c r="F3" s="5216"/>
      <c r="G3" s="5217"/>
      <c r="H3" s="5215">
        <v>2000</v>
      </c>
      <c r="I3" s="5216"/>
      <c r="J3" s="5216"/>
      <c r="K3" s="5217"/>
      <c r="L3" s="5215">
        <v>2001</v>
      </c>
      <c r="M3" s="5216"/>
      <c r="N3" s="5216"/>
      <c r="O3" s="5217"/>
      <c r="P3" s="5215">
        <v>2002</v>
      </c>
      <c r="Q3" s="5216"/>
      <c r="R3" s="5216"/>
      <c r="S3" s="5217"/>
      <c r="T3" s="5215">
        <v>2003</v>
      </c>
      <c r="U3" s="5216"/>
      <c r="V3" s="5216"/>
      <c r="W3" s="5217"/>
      <c r="X3" s="5215">
        <v>2004</v>
      </c>
      <c r="Y3" s="5216"/>
      <c r="Z3" s="5216"/>
      <c r="AA3" s="5217"/>
      <c r="AB3" s="5215">
        <v>2005</v>
      </c>
      <c r="AC3" s="5216"/>
      <c r="AD3" s="5216"/>
      <c r="AE3" s="5217"/>
      <c r="AF3" s="5215">
        <v>2006</v>
      </c>
      <c r="AG3" s="5216"/>
      <c r="AH3" s="5216"/>
      <c r="AI3" s="5217"/>
      <c r="AJ3" s="5215">
        <v>2007</v>
      </c>
      <c r="AK3" s="5216"/>
      <c r="AL3" s="5216"/>
      <c r="AM3" s="5217"/>
      <c r="AN3" s="5215">
        <v>2008</v>
      </c>
      <c r="AO3" s="5216"/>
      <c r="AP3" s="5216"/>
      <c r="AQ3" s="5217"/>
      <c r="AR3" s="5215">
        <v>2009</v>
      </c>
      <c r="AS3" s="5216"/>
      <c r="AT3" s="5216"/>
      <c r="AU3" s="5217"/>
      <c r="AV3" s="5215">
        <v>2010</v>
      </c>
      <c r="AW3" s="5216"/>
      <c r="AX3" s="5216"/>
      <c r="AY3" s="5217"/>
      <c r="AZ3" s="5215">
        <v>2011</v>
      </c>
      <c r="BA3" s="5216"/>
      <c r="BB3" s="5216"/>
      <c r="BC3" s="5217"/>
      <c r="BD3" s="5215">
        <v>2012</v>
      </c>
      <c r="BE3" s="5216"/>
      <c r="BF3" s="5216"/>
      <c r="BG3" s="5217"/>
      <c r="BH3" s="5215">
        <v>2013</v>
      </c>
      <c r="BI3" s="5216"/>
      <c r="BJ3" s="5216"/>
      <c r="BK3" s="5217"/>
      <c r="BL3" s="5215">
        <v>2014</v>
      </c>
      <c r="BM3" s="5216"/>
      <c r="BN3" s="5216"/>
      <c r="BO3" s="5217"/>
      <c r="BP3" s="5215">
        <v>2015</v>
      </c>
      <c r="BQ3" s="5216"/>
      <c r="BR3" s="5216"/>
      <c r="BS3" s="5217"/>
    </row>
    <row r="4" spans="1:71" s="972" customFormat="1" ht="15.75" x14ac:dyDescent="0.2">
      <c r="A4" s="5224"/>
      <c r="B4" s="5224"/>
      <c r="C4" s="5224"/>
      <c r="D4" s="2060" t="s">
        <v>523</v>
      </c>
      <c r="E4" s="2063" t="s">
        <v>524</v>
      </c>
      <c r="F4" s="2061" t="s">
        <v>525</v>
      </c>
      <c r="G4" s="1030" t="s">
        <v>160</v>
      </c>
      <c r="H4" s="2060" t="s">
        <v>523</v>
      </c>
      <c r="I4" s="2063" t="s">
        <v>524</v>
      </c>
      <c r="J4" s="2061" t="s">
        <v>525</v>
      </c>
      <c r="K4" s="1030" t="s">
        <v>160</v>
      </c>
      <c r="L4" s="2060" t="s">
        <v>670</v>
      </c>
      <c r="M4" s="2063" t="s">
        <v>668</v>
      </c>
      <c r="N4" s="2061" t="s">
        <v>669</v>
      </c>
      <c r="O4" s="1030" t="s">
        <v>160</v>
      </c>
      <c r="P4" s="2060" t="s">
        <v>670</v>
      </c>
      <c r="Q4" s="2063" t="s">
        <v>668</v>
      </c>
      <c r="R4" s="2061" t="s">
        <v>669</v>
      </c>
      <c r="S4" s="1030" t="s">
        <v>160</v>
      </c>
      <c r="T4" s="2060" t="s">
        <v>670</v>
      </c>
      <c r="U4" s="2063" t="s">
        <v>668</v>
      </c>
      <c r="V4" s="2061" t="s">
        <v>669</v>
      </c>
      <c r="W4" s="1030" t="s">
        <v>160</v>
      </c>
      <c r="X4" s="2060" t="s">
        <v>670</v>
      </c>
      <c r="Y4" s="2063" t="s">
        <v>668</v>
      </c>
      <c r="Z4" s="2061" t="s">
        <v>669</v>
      </c>
      <c r="AA4" s="1030" t="s">
        <v>160</v>
      </c>
      <c r="AB4" s="2060" t="s">
        <v>670</v>
      </c>
      <c r="AC4" s="2063" t="s">
        <v>668</v>
      </c>
      <c r="AD4" s="2061" t="s">
        <v>669</v>
      </c>
      <c r="AE4" s="1030" t="s">
        <v>160</v>
      </c>
      <c r="AF4" s="2060" t="s">
        <v>670</v>
      </c>
      <c r="AG4" s="2063" t="s">
        <v>668</v>
      </c>
      <c r="AH4" s="2061" t="s">
        <v>669</v>
      </c>
      <c r="AI4" s="1030" t="s">
        <v>160</v>
      </c>
      <c r="AJ4" s="2060" t="s">
        <v>670</v>
      </c>
      <c r="AK4" s="2063" t="s">
        <v>668</v>
      </c>
      <c r="AL4" s="2061" t="s">
        <v>669</v>
      </c>
      <c r="AM4" s="1030" t="s">
        <v>160</v>
      </c>
      <c r="AN4" s="2060" t="s">
        <v>670</v>
      </c>
      <c r="AO4" s="2063" t="s">
        <v>668</v>
      </c>
      <c r="AP4" s="2061" t="s">
        <v>669</v>
      </c>
      <c r="AQ4" s="1030" t="s">
        <v>160</v>
      </c>
      <c r="AR4" s="2060" t="s">
        <v>670</v>
      </c>
      <c r="AS4" s="2063" t="s">
        <v>668</v>
      </c>
      <c r="AT4" s="2061" t="s">
        <v>669</v>
      </c>
      <c r="AU4" s="1030" t="s">
        <v>160</v>
      </c>
      <c r="AV4" s="2060" t="s">
        <v>670</v>
      </c>
      <c r="AW4" s="2063" t="s">
        <v>668</v>
      </c>
      <c r="AX4" s="2061" t="s">
        <v>669</v>
      </c>
      <c r="AY4" s="1030" t="s">
        <v>160</v>
      </c>
      <c r="AZ4" s="2060" t="s">
        <v>670</v>
      </c>
      <c r="BA4" s="2063" t="s">
        <v>668</v>
      </c>
      <c r="BB4" s="2061" t="s">
        <v>669</v>
      </c>
      <c r="BC4" s="1030" t="s">
        <v>160</v>
      </c>
      <c r="BD4" s="2060" t="s">
        <v>670</v>
      </c>
      <c r="BE4" s="2063" t="s">
        <v>668</v>
      </c>
      <c r="BF4" s="2061" t="s">
        <v>669</v>
      </c>
      <c r="BG4" s="1030" t="s">
        <v>160</v>
      </c>
      <c r="BH4" s="2060" t="s">
        <v>670</v>
      </c>
      <c r="BI4" s="2063" t="s">
        <v>668</v>
      </c>
      <c r="BJ4" s="2061" t="s">
        <v>669</v>
      </c>
      <c r="BK4" s="1030" t="s">
        <v>160</v>
      </c>
      <c r="BL4" s="2060" t="s">
        <v>670</v>
      </c>
      <c r="BM4" s="2063" t="s">
        <v>668</v>
      </c>
      <c r="BN4" s="2061" t="s">
        <v>669</v>
      </c>
      <c r="BO4" s="1030" t="s">
        <v>160</v>
      </c>
      <c r="BP4" s="2060" t="s">
        <v>670</v>
      </c>
      <c r="BQ4" s="2063" t="s">
        <v>668</v>
      </c>
      <c r="BR4" s="2061" t="s">
        <v>669</v>
      </c>
      <c r="BS4" s="1030" t="s">
        <v>160</v>
      </c>
    </row>
    <row r="5" spans="1:71" s="980" customFormat="1" ht="15" customHeight="1" x14ac:dyDescent="0.25">
      <c r="A5" s="5200" t="s">
        <v>3</v>
      </c>
      <c r="B5" s="5221" t="s">
        <v>5</v>
      </c>
      <c r="C5" s="973" t="s">
        <v>452</v>
      </c>
      <c r="D5" s="808">
        <v>12</v>
      </c>
      <c r="E5" s="809">
        <v>23</v>
      </c>
      <c r="F5" s="809">
        <v>5</v>
      </c>
      <c r="G5" s="974">
        <v>40</v>
      </c>
      <c r="H5" s="808">
        <v>12</v>
      </c>
      <c r="I5" s="809">
        <v>14</v>
      </c>
      <c r="J5" s="809">
        <v>3</v>
      </c>
      <c r="K5" s="974">
        <v>29</v>
      </c>
      <c r="L5" s="808">
        <v>10</v>
      </c>
      <c r="M5" s="809">
        <v>17</v>
      </c>
      <c r="N5" s="809">
        <v>4</v>
      </c>
      <c r="O5" s="974">
        <v>31</v>
      </c>
      <c r="P5" s="808">
        <v>10</v>
      </c>
      <c r="Q5" s="809">
        <v>12</v>
      </c>
      <c r="R5" s="809">
        <v>8</v>
      </c>
      <c r="S5" s="976">
        <v>30</v>
      </c>
      <c r="T5" s="808">
        <v>15</v>
      </c>
      <c r="U5" s="809">
        <v>16</v>
      </c>
      <c r="V5" s="809">
        <v>7</v>
      </c>
      <c r="W5" s="974">
        <f t="shared" ref="W5:W93" si="0">SUM(T5:V5)</f>
        <v>38</v>
      </c>
      <c r="X5" s="808">
        <v>5</v>
      </c>
      <c r="Y5" s="809">
        <v>14</v>
      </c>
      <c r="Z5" s="809">
        <v>15</v>
      </c>
      <c r="AA5" s="974">
        <f t="shared" ref="AA5:AA93" si="1">SUM(X5:Z5)</f>
        <v>34</v>
      </c>
      <c r="AB5" s="975">
        <v>8</v>
      </c>
      <c r="AC5" s="809">
        <v>14</v>
      </c>
      <c r="AD5" s="809">
        <v>10</v>
      </c>
      <c r="AE5" s="974">
        <f t="shared" ref="AE5:AE93" si="2">SUM(AB5:AD5)</f>
        <v>32</v>
      </c>
      <c r="AF5" s="975">
        <v>10</v>
      </c>
      <c r="AG5" s="809">
        <v>11</v>
      </c>
      <c r="AH5" s="809">
        <v>3</v>
      </c>
      <c r="AI5" s="976">
        <f t="shared" ref="AI5:AI93" si="3">SUM(AF5:AH5)</f>
        <v>24</v>
      </c>
      <c r="AJ5" s="975">
        <v>3</v>
      </c>
      <c r="AK5" s="809">
        <v>7</v>
      </c>
      <c r="AL5" s="846">
        <v>8</v>
      </c>
      <c r="AM5" s="976">
        <f t="shared" ref="AM5:AM93" si="4">SUM(AJ5:AL5)</f>
        <v>18</v>
      </c>
      <c r="AN5" s="975">
        <v>8</v>
      </c>
      <c r="AO5" s="809">
        <v>3</v>
      </c>
      <c r="AP5" s="846">
        <v>7</v>
      </c>
      <c r="AQ5" s="976">
        <f t="shared" ref="AQ5:AQ93" si="5">SUM(AN5:AP5)</f>
        <v>18</v>
      </c>
      <c r="AR5" s="977">
        <v>10</v>
      </c>
      <c r="AS5" s="977">
        <v>10</v>
      </c>
      <c r="AT5" s="977">
        <v>10</v>
      </c>
      <c r="AU5" s="978">
        <f>SUM(AR5:AT5)</f>
        <v>30</v>
      </c>
      <c r="AV5" s="977">
        <v>14</v>
      </c>
      <c r="AW5" s="977">
        <v>7</v>
      </c>
      <c r="AX5" s="977">
        <v>6</v>
      </c>
      <c r="AY5" s="978">
        <f>SUM(AV5:AX5)</f>
        <v>27</v>
      </c>
      <c r="AZ5" s="979">
        <v>11</v>
      </c>
      <c r="BA5" s="977">
        <v>15</v>
      </c>
      <c r="BB5" s="977">
        <v>16</v>
      </c>
      <c r="BC5" s="978">
        <v>42</v>
      </c>
      <c r="BD5" s="979">
        <v>8</v>
      </c>
      <c r="BE5" s="977">
        <v>11</v>
      </c>
      <c r="BF5" s="977">
        <v>21</v>
      </c>
      <c r="BG5" s="978">
        <f>SUM(BD5:BF5)</f>
        <v>40</v>
      </c>
      <c r="BH5" s="979">
        <v>15</v>
      </c>
      <c r="BI5" s="977">
        <v>19</v>
      </c>
      <c r="BJ5" s="977">
        <v>21</v>
      </c>
      <c r="BK5" s="978">
        <f>SUM(BH5:BJ5)</f>
        <v>55</v>
      </c>
      <c r="BL5" s="979">
        <v>19</v>
      </c>
      <c r="BM5" s="977">
        <v>24</v>
      </c>
      <c r="BN5" s="977">
        <v>15</v>
      </c>
      <c r="BO5" s="978">
        <f>SUM(BL5:BN5)</f>
        <v>58</v>
      </c>
      <c r="BP5" s="979">
        <v>22</v>
      </c>
      <c r="BQ5" s="977">
        <v>19</v>
      </c>
      <c r="BR5" s="977">
        <v>23</v>
      </c>
      <c r="BS5" s="978">
        <f>SUM(BP5:BR5)</f>
        <v>64</v>
      </c>
    </row>
    <row r="6" spans="1:71" s="980" customFormat="1" ht="15" customHeight="1" x14ac:dyDescent="0.25">
      <c r="A6" s="5201"/>
      <c r="B6" s="5222"/>
      <c r="C6" s="981" t="s">
        <v>453</v>
      </c>
      <c r="D6" s="814">
        <v>19</v>
      </c>
      <c r="E6" s="815">
        <v>22</v>
      </c>
      <c r="F6" s="815">
        <v>11</v>
      </c>
      <c r="G6" s="982">
        <v>52</v>
      </c>
      <c r="H6" s="814">
        <v>13</v>
      </c>
      <c r="I6" s="815">
        <v>21</v>
      </c>
      <c r="J6" s="815">
        <v>22</v>
      </c>
      <c r="K6" s="982">
        <v>56</v>
      </c>
      <c r="L6" s="814">
        <v>8</v>
      </c>
      <c r="M6" s="815">
        <v>18</v>
      </c>
      <c r="N6" s="815">
        <v>15</v>
      </c>
      <c r="O6" s="982">
        <v>41</v>
      </c>
      <c r="P6" s="814">
        <v>11</v>
      </c>
      <c r="Q6" s="815">
        <v>11</v>
      </c>
      <c r="R6" s="815">
        <v>8</v>
      </c>
      <c r="S6" s="984">
        <v>30</v>
      </c>
      <c r="T6" s="814">
        <v>12</v>
      </c>
      <c r="U6" s="815">
        <v>12</v>
      </c>
      <c r="V6" s="815">
        <v>10</v>
      </c>
      <c r="W6" s="982">
        <f t="shared" si="0"/>
        <v>34</v>
      </c>
      <c r="X6" s="814">
        <v>10</v>
      </c>
      <c r="Y6" s="815">
        <v>14</v>
      </c>
      <c r="Z6" s="815">
        <v>6</v>
      </c>
      <c r="AA6" s="982">
        <f t="shared" si="1"/>
        <v>30</v>
      </c>
      <c r="AB6" s="983">
        <v>5</v>
      </c>
      <c r="AC6" s="815">
        <v>9</v>
      </c>
      <c r="AD6" s="815">
        <v>14</v>
      </c>
      <c r="AE6" s="982">
        <f t="shared" si="2"/>
        <v>28</v>
      </c>
      <c r="AF6" s="983">
        <v>6</v>
      </c>
      <c r="AG6" s="815">
        <v>14</v>
      </c>
      <c r="AH6" s="815">
        <v>11</v>
      </c>
      <c r="AI6" s="984">
        <f t="shared" si="3"/>
        <v>31</v>
      </c>
      <c r="AJ6" s="983">
        <v>8</v>
      </c>
      <c r="AK6" s="815">
        <v>13</v>
      </c>
      <c r="AL6" s="848">
        <v>10</v>
      </c>
      <c r="AM6" s="984">
        <f t="shared" si="4"/>
        <v>31</v>
      </c>
      <c r="AN6" s="983">
        <v>5</v>
      </c>
      <c r="AO6" s="815">
        <v>6</v>
      </c>
      <c r="AP6" s="848">
        <v>8</v>
      </c>
      <c r="AQ6" s="984">
        <f t="shared" si="5"/>
        <v>19</v>
      </c>
      <c r="AR6" s="985">
        <v>6</v>
      </c>
      <c r="AS6" s="985">
        <v>18</v>
      </c>
      <c r="AT6" s="985">
        <v>9</v>
      </c>
      <c r="AU6" s="986">
        <f t="shared" ref="AU6:AU70" si="6">SUM(AR6:AT6)</f>
        <v>33</v>
      </c>
      <c r="AV6" s="985">
        <v>8</v>
      </c>
      <c r="AW6" s="985">
        <v>18</v>
      </c>
      <c r="AX6" s="985">
        <v>6</v>
      </c>
      <c r="AY6" s="986">
        <f t="shared" ref="AY6:AY70" si="7">SUM(AV6:AX6)</f>
        <v>32</v>
      </c>
      <c r="AZ6" s="987">
        <v>10</v>
      </c>
      <c r="BA6" s="985">
        <v>16</v>
      </c>
      <c r="BB6" s="985">
        <v>10</v>
      </c>
      <c r="BC6" s="986">
        <v>36</v>
      </c>
      <c r="BD6" s="987">
        <v>8</v>
      </c>
      <c r="BE6" s="985">
        <v>4</v>
      </c>
      <c r="BF6" s="985">
        <v>9</v>
      </c>
      <c r="BG6" s="986">
        <f t="shared" ref="BG6:BG93" si="8">SUM(BD6:BF6)</f>
        <v>21</v>
      </c>
      <c r="BH6" s="987">
        <v>15</v>
      </c>
      <c r="BI6" s="985">
        <v>27</v>
      </c>
      <c r="BJ6" s="985">
        <v>17</v>
      </c>
      <c r="BK6" s="986">
        <f t="shared" ref="BK6:BK14" si="9">SUM(BH6:BJ6)</f>
        <v>59</v>
      </c>
      <c r="BL6" s="987">
        <v>13</v>
      </c>
      <c r="BM6" s="985">
        <v>15</v>
      </c>
      <c r="BN6" s="985">
        <v>15</v>
      </c>
      <c r="BO6" s="986">
        <f t="shared" ref="BO6:BO14" si="10">SUM(BL6:BN6)</f>
        <v>43</v>
      </c>
      <c r="BP6" s="987">
        <v>26</v>
      </c>
      <c r="BQ6" s="985">
        <v>25</v>
      </c>
      <c r="BR6" s="985">
        <v>19</v>
      </c>
      <c r="BS6" s="986">
        <f t="shared" ref="BS6:BS14" si="11">SUM(BP6:BR6)</f>
        <v>70</v>
      </c>
    </row>
    <row r="7" spans="1:71" s="980" customFormat="1" ht="15" customHeight="1" x14ac:dyDescent="0.25">
      <c r="A7" s="5201"/>
      <c r="B7" s="5222"/>
      <c r="C7" s="981" t="s">
        <v>454</v>
      </c>
      <c r="D7" s="814">
        <v>18</v>
      </c>
      <c r="E7" s="815">
        <v>10</v>
      </c>
      <c r="F7" s="815">
        <v>7</v>
      </c>
      <c r="G7" s="982">
        <v>35</v>
      </c>
      <c r="H7" s="814">
        <v>6</v>
      </c>
      <c r="I7" s="815">
        <v>4</v>
      </c>
      <c r="J7" s="815">
        <v>6</v>
      </c>
      <c r="K7" s="982">
        <v>16</v>
      </c>
      <c r="L7" s="814">
        <v>18</v>
      </c>
      <c r="M7" s="815">
        <v>14</v>
      </c>
      <c r="N7" s="815">
        <v>6</v>
      </c>
      <c r="O7" s="982">
        <v>38</v>
      </c>
      <c r="P7" s="814">
        <v>6</v>
      </c>
      <c r="Q7" s="815">
        <v>3</v>
      </c>
      <c r="R7" s="815">
        <v>6</v>
      </c>
      <c r="S7" s="984">
        <v>15</v>
      </c>
      <c r="T7" s="814">
        <v>7</v>
      </c>
      <c r="U7" s="815">
        <v>8</v>
      </c>
      <c r="V7" s="815">
        <v>9</v>
      </c>
      <c r="W7" s="982">
        <f t="shared" si="0"/>
        <v>24</v>
      </c>
      <c r="X7" s="814">
        <v>7</v>
      </c>
      <c r="Y7" s="815">
        <v>16</v>
      </c>
      <c r="Z7" s="815">
        <v>7</v>
      </c>
      <c r="AA7" s="982">
        <f t="shared" si="1"/>
        <v>30</v>
      </c>
      <c r="AB7" s="983">
        <v>4</v>
      </c>
      <c r="AC7" s="815">
        <v>11</v>
      </c>
      <c r="AD7" s="815">
        <v>7</v>
      </c>
      <c r="AE7" s="982">
        <f t="shared" si="2"/>
        <v>22</v>
      </c>
      <c r="AF7" s="983">
        <v>2</v>
      </c>
      <c r="AG7" s="815">
        <v>9</v>
      </c>
      <c r="AH7" s="815">
        <v>9</v>
      </c>
      <c r="AI7" s="984">
        <f t="shared" si="3"/>
        <v>20</v>
      </c>
      <c r="AJ7" s="983">
        <v>2</v>
      </c>
      <c r="AK7" s="815">
        <v>13</v>
      </c>
      <c r="AL7" s="848">
        <v>11</v>
      </c>
      <c r="AM7" s="984">
        <f t="shared" si="4"/>
        <v>26</v>
      </c>
      <c r="AN7" s="983">
        <v>6</v>
      </c>
      <c r="AO7" s="815">
        <v>7</v>
      </c>
      <c r="AP7" s="848">
        <v>2</v>
      </c>
      <c r="AQ7" s="984">
        <f t="shared" si="5"/>
        <v>15</v>
      </c>
      <c r="AR7" s="985">
        <v>7</v>
      </c>
      <c r="AS7" s="985">
        <v>7</v>
      </c>
      <c r="AT7" s="985">
        <v>3</v>
      </c>
      <c r="AU7" s="986">
        <f t="shared" si="6"/>
        <v>17</v>
      </c>
      <c r="AV7" s="985">
        <v>4</v>
      </c>
      <c r="AW7" s="985">
        <v>4</v>
      </c>
      <c r="AX7" s="985">
        <v>1</v>
      </c>
      <c r="AY7" s="986">
        <f t="shared" si="7"/>
        <v>9</v>
      </c>
      <c r="AZ7" s="987">
        <v>6</v>
      </c>
      <c r="BA7" s="985">
        <v>5</v>
      </c>
      <c r="BB7" s="985">
        <v>4</v>
      </c>
      <c r="BC7" s="986">
        <v>15</v>
      </c>
      <c r="BD7" s="987">
        <v>1</v>
      </c>
      <c r="BE7" s="985">
        <v>8</v>
      </c>
      <c r="BF7" s="985">
        <v>1</v>
      </c>
      <c r="BG7" s="986">
        <f t="shared" si="8"/>
        <v>10</v>
      </c>
      <c r="BH7" s="987">
        <v>6</v>
      </c>
      <c r="BI7" s="985">
        <v>6</v>
      </c>
      <c r="BJ7" s="985">
        <v>5</v>
      </c>
      <c r="BK7" s="986">
        <f t="shared" si="9"/>
        <v>17</v>
      </c>
      <c r="BL7" s="987">
        <v>11</v>
      </c>
      <c r="BM7" s="985">
        <v>6</v>
      </c>
      <c r="BN7" s="985">
        <v>4</v>
      </c>
      <c r="BO7" s="986">
        <f t="shared" si="10"/>
        <v>21</v>
      </c>
      <c r="BP7" s="987">
        <v>4</v>
      </c>
      <c r="BQ7" s="985">
        <v>11</v>
      </c>
      <c r="BR7" s="985">
        <v>6</v>
      </c>
      <c r="BS7" s="986">
        <f t="shared" si="11"/>
        <v>21</v>
      </c>
    </row>
    <row r="8" spans="1:71" s="980" customFormat="1" ht="15" customHeight="1" x14ac:dyDescent="0.25">
      <c r="A8" s="5201"/>
      <c r="B8" s="5222"/>
      <c r="C8" s="981" t="s">
        <v>455</v>
      </c>
      <c r="D8" s="814">
        <v>4</v>
      </c>
      <c r="E8" s="815">
        <v>8</v>
      </c>
      <c r="F8" s="815">
        <v>7</v>
      </c>
      <c r="G8" s="982">
        <v>19</v>
      </c>
      <c r="H8" s="814">
        <v>1</v>
      </c>
      <c r="I8" s="815">
        <v>5</v>
      </c>
      <c r="J8" s="815">
        <v>3</v>
      </c>
      <c r="K8" s="982">
        <v>9</v>
      </c>
      <c r="L8" s="814">
        <v>3</v>
      </c>
      <c r="M8" s="815">
        <v>2</v>
      </c>
      <c r="N8" s="815">
        <v>4</v>
      </c>
      <c r="O8" s="982">
        <v>9</v>
      </c>
      <c r="P8" s="814">
        <v>2</v>
      </c>
      <c r="Q8" s="815">
        <v>3</v>
      </c>
      <c r="R8" s="815">
        <v>5</v>
      </c>
      <c r="S8" s="984">
        <v>10</v>
      </c>
      <c r="T8" s="814">
        <v>2</v>
      </c>
      <c r="U8" s="815">
        <v>4</v>
      </c>
      <c r="V8" s="815">
        <v>4</v>
      </c>
      <c r="W8" s="982">
        <f t="shared" si="0"/>
        <v>10</v>
      </c>
      <c r="X8" s="814">
        <v>5</v>
      </c>
      <c r="Y8" s="815">
        <v>5</v>
      </c>
      <c r="Z8" s="815">
        <v>3</v>
      </c>
      <c r="AA8" s="982">
        <f t="shared" si="1"/>
        <v>13</v>
      </c>
      <c r="AB8" s="983">
        <v>2</v>
      </c>
      <c r="AC8" s="815">
        <v>4</v>
      </c>
      <c r="AD8" s="815">
        <v>10</v>
      </c>
      <c r="AE8" s="982">
        <f t="shared" si="2"/>
        <v>16</v>
      </c>
      <c r="AF8" s="983">
        <v>10</v>
      </c>
      <c r="AG8" s="815">
        <v>10</v>
      </c>
      <c r="AH8" s="815">
        <v>5</v>
      </c>
      <c r="AI8" s="984">
        <f t="shared" si="3"/>
        <v>25</v>
      </c>
      <c r="AJ8" s="983">
        <v>5</v>
      </c>
      <c r="AK8" s="815">
        <v>2</v>
      </c>
      <c r="AL8" s="848">
        <v>4</v>
      </c>
      <c r="AM8" s="984">
        <f t="shared" si="4"/>
        <v>11</v>
      </c>
      <c r="AN8" s="983">
        <v>5</v>
      </c>
      <c r="AO8" s="815">
        <v>7</v>
      </c>
      <c r="AP8" s="848">
        <v>3</v>
      </c>
      <c r="AQ8" s="984">
        <f t="shared" si="5"/>
        <v>15</v>
      </c>
      <c r="AR8" s="985">
        <v>6</v>
      </c>
      <c r="AS8" s="985">
        <v>6</v>
      </c>
      <c r="AT8" s="985">
        <v>8</v>
      </c>
      <c r="AU8" s="986">
        <f t="shared" si="6"/>
        <v>20</v>
      </c>
      <c r="AV8" s="985">
        <v>8</v>
      </c>
      <c r="AW8" s="985">
        <v>6</v>
      </c>
      <c r="AX8" s="985">
        <v>3</v>
      </c>
      <c r="AY8" s="986">
        <f t="shared" si="7"/>
        <v>17</v>
      </c>
      <c r="AZ8" s="987">
        <v>3</v>
      </c>
      <c r="BA8" s="985">
        <v>5</v>
      </c>
      <c r="BB8" s="985">
        <v>5</v>
      </c>
      <c r="BC8" s="986">
        <v>13</v>
      </c>
      <c r="BD8" s="987">
        <v>4</v>
      </c>
      <c r="BE8" s="985">
        <v>8</v>
      </c>
      <c r="BF8" s="985">
        <v>5</v>
      </c>
      <c r="BG8" s="986">
        <f t="shared" si="8"/>
        <v>17</v>
      </c>
      <c r="BH8" s="987">
        <v>3</v>
      </c>
      <c r="BI8" s="985">
        <v>7</v>
      </c>
      <c r="BJ8" s="985">
        <v>10</v>
      </c>
      <c r="BK8" s="986">
        <f t="shared" si="9"/>
        <v>20</v>
      </c>
      <c r="BL8" s="987">
        <v>13</v>
      </c>
      <c r="BM8" s="985">
        <v>12</v>
      </c>
      <c r="BN8" s="985">
        <v>9</v>
      </c>
      <c r="BO8" s="986">
        <f t="shared" si="10"/>
        <v>34</v>
      </c>
      <c r="BP8" s="987">
        <v>9</v>
      </c>
      <c r="BQ8" s="985">
        <v>4</v>
      </c>
      <c r="BR8" s="985">
        <v>7</v>
      </c>
      <c r="BS8" s="986">
        <f t="shared" si="11"/>
        <v>20</v>
      </c>
    </row>
    <row r="9" spans="1:71" s="980" customFormat="1" ht="15" customHeight="1" x14ac:dyDescent="0.25">
      <c r="A9" s="5201"/>
      <c r="B9" s="5222"/>
      <c r="C9" s="981" t="s">
        <v>456</v>
      </c>
      <c r="D9" s="814">
        <v>26</v>
      </c>
      <c r="E9" s="815">
        <v>25</v>
      </c>
      <c r="F9" s="815">
        <v>23</v>
      </c>
      <c r="G9" s="982">
        <v>74</v>
      </c>
      <c r="H9" s="814">
        <v>16</v>
      </c>
      <c r="I9" s="815">
        <v>20</v>
      </c>
      <c r="J9" s="815">
        <v>20</v>
      </c>
      <c r="K9" s="982">
        <v>56</v>
      </c>
      <c r="L9" s="814">
        <v>16</v>
      </c>
      <c r="M9" s="815">
        <v>16</v>
      </c>
      <c r="N9" s="815">
        <v>18</v>
      </c>
      <c r="O9" s="982">
        <v>50</v>
      </c>
      <c r="P9" s="814">
        <v>22</v>
      </c>
      <c r="Q9" s="815">
        <v>25</v>
      </c>
      <c r="R9" s="815">
        <v>25</v>
      </c>
      <c r="S9" s="984">
        <v>72</v>
      </c>
      <c r="T9" s="814">
        <v>35</v>
      </c>
      <c r="U9" s="815">
        <v>32</v>
      </c>
      <c r="V9" s="815">
        <v>20</v>
      </c>
      <c r="W9" s="982">
        <f t="shared" si="0"/>
        <v>87</v>
      </c>
      <c r="X9" s="814">
        <v>12</v>
      </c>
      <c r="Y9" s="815">
        <v>33</v>
      </c>
      <c r="Z9" s="815">
        <v>23</v>
      </c>
      <c r="AA9" s="982">
        <f t="shared" si="1"/>
        <v>68</v>
      </c>
      <c r="AB9" s="983">
        <v>20</v>
      </c>
      <c r="AC9" s="815">
        <v>38</v>
      </c>
      <c r="AD9" s="815">
        <v>28</v>
      </c>
      <c r="AE9" s="982">
        <f t="shared" si="2"/>
        <v>86</v>
      </c>
      <c r="AF9" s="983">
        <v>24</v>
      </c>
      <c r="AG9" s="815">
        <v>27</v>
      </c>
      <c r="AH9" s="815">
        <v>37</v>
      </c>
      <c r="AI9" s="984">
        <f t="shared" si="3"/>
        <v>88</v>
      </c>
      <c r="AJ9" s="983">
        <v>24</v>
      </c>
      <c r="AK9" s="815">
        <v>31</v>
      </c>
      <c r="AL9" s="848">
        <v>26</v>
      </c>
      <c r="AM9" s="984">
        <f t="shared" si="4"/>
        <v>81</v>
      </c>
      <c r="AN9" s="983">
        <v>32</v>
      </c>
      <c r="AO9" s="815">
        <v>36</v>
      </c>
      <c r="AP9" s="848">
        <v>24</v>
      </c>
      <c r="AQ9" s="984">
        <f t="shared" si="5"/>
        <v>92</v>
      </c>
      <c r="AR9" s="985">
        <v>31</v>
      </c>
      <c r="AS9" s="985">
        <v>24</v>
      </c>
      <c r="AT9" s="985">
        <v>34</v>
      </c>
      <c r="AU9" s="986">
        <f t="shared" si="6"/>
        <v>89</v>
      </c>
      <c r="AV9" s="985">
        <v>31</v>
      </c>
      <c r="AW9" s="985">
        <v>32</v>
      </c>
      <c r="AX9" s="985">
        <v>26</v>
      </c>
      <c r="AY9" s="986">
        <f t="shared" si="7"/>
        <v>89</v>
      </c>
      <c r="AZ9" s="987">
        <v>23</v>
      </c>
      <c r="BA9" s="985">
        <v>25</v>
      </c>
      <c r="BB9" s="985">
        <v>23</v>
      </c>
      <c r="BC9" s="986">
        <v>71</v>
      </c>
      <c r="BD9" s="987">
        <v>23</v>
      </c>
      <c r="BE9" s="985">
        <v>19</v>
      </c>
      <c r="BF9" s="985">
        <v>27</v>
      </c>
      <c r="BG9" s="986">
        <f t="shared" si="8"/>
        <v>69</v>
      </c>
      <c r="BH9" s="987">
        <v>31</v>
      </c>
      <c r="BI9" s="985">
        <v>38</v>
      </c>
      <c r="BJ9" s="985">
        <v>42</v>
      </c>
      <c r="BK9" s="986">
        <f t="shared" si="9"/>
        <v>111</v>
      </c>
      <c r="BL9" s="987">
        <v>48</v>
      </c>
      <c r="BM9" s="985">
        <v>31</v>
      </c>
      <c r="BN9" s="985">
        <v>18</v>
      </c>
      <c r="BO9" s="986">
        <f t="shared" si="10"/>
        <v>97</v>
      </c>
      <c r="BP9" s="987">
        <v>28</v>
      </c>
      <c r="BQ9" s="985">
        <v>28</v>
      </c>
      <c r="BR9" s="985">
        <v>29</v>
      </c>
      <c r="BS9" s="986">
        <f t="shared" si="11"/>
        <v>85</v>
      </c>
    </row>
    <row r="10" spans="1:71" s="980" customFormat="1" ht="15" customHeight="1" x14ac:dyDescent="0.25">
      <c r="A10" s="5201"/>
      <c r="B10" s="5222"/>
      <c r="C10" s="981" t="s">
        <v>457</v>
      </c>
      <c r="D10" s="814">
        <v>11</v>
      </c>
      <c r="E10" s="815">
        <v>10</v>
      </c>
      <c r="F10" s="815">
        <v>17</v>
      </c>
      <c r="G10" s="982">
        <v>38</v>
      </c>
      <c r="H10" s="814">
        <v>16</v>
      </c>
      <c r="I10" s="815">
        <v>14</v>
      </c>
      <c r="J10" s="815">
        <v>7</v>
      </c>
      <c r="K10" s="982">
        <v>37</v>
      </c>
      <c r="L10" s="814">
        <v>7</v>
      </c>
      <c r="M10" s="815">
        <v>10</v>
      </c>
      <c r="N10" s="815">
        <v>13</v>
      </c>
      <c r="O10" s="982">
        <v>30</v>
      </c>
      <c r="P10" s="814">
        <v>13</v>
      </c>
      <c r="Q10" s="815">
        <v>30</v>
      </c>
      <c r="R10" s="815">
        <v>18</v>
      </c>
      <c r="S10" s="984">
        <v>61</v>
      </c>
      <c r="T10" s="814">
        <v>20</v>
      </c>
      <c r="U10" s="815">
        <v>26</v>
      </c>
      <c r="V10" s="815">
        <v>15</v>
      </c>
      <c r="W10" s="982">
        <f t="shared" si="0"/>
        <v>61</v>
      </c>
      <c r="X10" s="814">
        <v>11</v>
      </c>
      <c r="Y10" s="815">
        <v>14</v>
      </c>
      <c r="Z10" s="815">
        <v>12</v>
      </c>
      <c r="AA10" s="982">
        <f t="shared" si="1"/>
        <v>37</v>
      </c>
      <c r="AB10" s="983">
        <v>14</v>
      </c>
      <c r="AC10" s="815">
        <v>6</v>
      </c>
      <c r="AD10" s="815">
        <v>16</v>
      </c>
      <c r="AE10" s="982">
        <f t="shared" si="2"/>
        <v>36</v>
      </c>
      <c r="AF10" s="983">
        <v>23</v>
      </c>
      <c r="AG10" s="815">
        <v>19</v>
      </c>
      <c r="AH10" s="815">
        <v>17</v>
      </c>
      <c r="AI10" s="984">
        <f t="shared" si="3"/>
        <v>59</v>
      </c>
      <c r="AJ10" s="983">
        <v>16</v>
      </c>
      <c r="AK10" s="815">
        <v>16</v>
      </c>
      <c r="AL10" s="848">
        <v>17</v>
      </c>
      <c r="AM10" s="984">
        <f t="shared" si="4"/>
        <v>49</v>
      </c>
      <c r="AN10" s="983">
        <v>15</v>
      </c>
      <c r="AO10" s="815">
        <v>19</v>
      </c>
      <c r="AP10" s="848">
        <v>17</v>
      </c>
      <c r="AQ10" s="984">
        <f t="shared" si="5"/>
        <v>51</v>
      </c>
      <c r="AR10" s="985">
        <v>13</v>
      </c>
      <c r="AS10" s="985">
        <v>14</v>
      </c>
      <c r="AT10" s="985">
        <v>16</v>
      </c>
      <c r="AU10" s="986">
        <f t="shared" si="6"/>
        <v>43</v>
      </c>
      <c r="AV10" s="985">
        <v>9</v>
      </c>
      <c r="AW10" s="985">
        <v>12</v>
      </c>
      <c r="AX10" s="985">
        <v>8</v>
      </c>
      <c r="AY10" s="986">
        <f t="shared" si="7"/>
        <v>29</v>
      </c>
      <c r="AZ10" s="987">
        <v>20</v>
      </c>
      <c r="BA10" s="985">
        <v>13</v>
      </c>
      <c r="BB10" s="985">
        <v>9</v>
      </c>
      <c r="BC10" s="986">
        <v>42</v>
      </c>
      <c r="BD10" s="987">
        <v>13</v>
      </c>
      <c r="BE10" s="985">
        <v>14</v>
      </c>
      <c r="BF10" s="985">
        <v>11</v>
      </c>
      <c r="BG10" s="986">
        <f t="shared" si="8"/>
        <v>38</v>
      </c>
      <c r="BH10" s="987">
        <v>12</v>
      </c>
      <c r="BI10" s="985">
        <v>24</v>
      </c>
      <c r="BJ10" s="985">
        <v>18</v>
      </c>
      <c r="BK10" s="986">
        <f t="shared" si="9"/>
        <v>54</v>
      </c>
      <c r="BL10" s="987">
        <v>20</v>
      </c>
      <c r="BM10" s="985">
        <v>4</v>
      </c>
      <c r="BN10" s="985">
        <v>15</v>
      </c>
      <c r="BO10" s="986">
        <f t="shared" si="10"/>
        <v>39</v>
      </c>
      <c r="BP10" s="987">
        <v>17</v>
      </c>
      <c r="BQ10" s="985">
        <v>13</v>
      </c>
      <c r="BR10" s="985">
        <v>13</v>
      </c>
      <c r="BS10" s="986">
        <f t="shared" si="11"/>
        <v>43</v>
      </c>
    </row>
    <row r="11" spans="1:71" s="980" customFormat="1" ht="15" customHeight="1" x14ac:dyDescent="0.25">
      <c r="A11" s="5201"/>
      <c r="B11" s="5222"/>
      <c r="C11" s="981" t="s">
        <v>458</v>
      </c>
      <c r="D11" s="814">
        <v>5</v>
      </c>
      <c r="E11" s="815">
        <v>6</v>
      </c>
      <c r="F11" s="815">
        <v>6</v>
      </c>
      <c r="G11" s="982">
        <v>17</v>
      </c>
      <c r="H11" s="814">
        <v>9</v>
      </c>
      <c r="I11" s="815">
        <v>7</v>
      </c>
      <c r="J11" s="815">
        <v>8</v>
      </c>
      <c r="K11" s="982">
        <v>24</v>
      </c>
      <c r="L11" s="814">
        <v>17</v>
      </c>
      <c r="M11" s="815">
        <v>6</v>
      </c>
      <c r="N11" s="815">
        <v>2</v>
      </c>
      <c r="O11" s="982">
        <v>25</v>
      </c>
      <c r="P11" s="814">
        <v>3</v>
      </c>
      <c r="Q11" s="815">
        <v>3</v>
      </c>
      <c r="R11" s="815">
        <v>1</v>
      </c>
      <c r="S11" s="984">
        <v>7</v>
      </c>
      <c r="T11" s="814">
        <v>6</v>
      </c>
      <c r="U11" s="815">
        <v>2</v>
      </c>
      <c r="V11" s="815">
        <v>5</v>
      </c>
      <c r="W11" s="982">
        <f t="shared" si="0"/>
        <v>13</v>
      </c>
      <c r="X11" s="814">
        <v>2</v>
      </c>
      <c r="Y11" s="815">
        <v>3</v>
      </c>
      <c r="Z11" s="815">
        <v>2</v>
      </c>
      <c r="AA11" s="982">
        <f t="shared" si="1"/>
        <v>7</v>
      </c>
      <c r="AB11" s="983">
        <v>6</v>
      </c>
      <c r="AC11" s="815">
        <v>2</v>
      </c>
      <c r="AD11" s="815">
        <v>3</v>
      </c>
      <c r="AE11" s="982">
        <f t="shared" si="2"/>
        <v>11</v>
      </c>
      <c r="AF11" s="983">
        <v>5</v>
      </c>
      <c r="AG11" s="815">
        <v>1</v>
      </c>
      <c r="AH11" s="815">
        <v>3</v>
      </c>
      <c r="AI11" s="984">
        <f t="shared" si="3"/>
        <v>9</v>
      </c>
      <c r="AJ11" s="983">
        <v>2</v>
      </c>
      <c r="AK11" s="815">
        <v>2</v>
      </c>
      <c r="AL11" s="815"/>
      <c r="AM11" s="984">
        <f t="shared" si="4"/>
        <v>4</v>
      </c>
      <c r="AN11" s="983" t="s">
        <v>227</v>
      </c>
      <c r="AO11" s="815">
        <v>2</v>
      </c>
      <c r="AP11" s="815">
        <v>1</v>
      </c>
      <c r="AQ11" s="984">
        <f t="shared" si="5"/>
        <v>3</v>
      </c>
      <c r="AR11" s="985">
        <v>3</v>
      </c>
      <c r="AS11" s="985">
        <v>2</v>
      </c>
      <c r="AT11" s="985">
        <v>1</v>
      </c>
      <c r="AU11" s="986">
        <f t="shared" si="6"/>
        <v>6</v>
      </c>
      <c r="AV11" s="985">
        <v>2</v>
      </c>
      <c r="AW11" s="985">
        <v>1</v>
      </c>
      <c r="AX11" s="985">
        <v>2</v>
      </c>
      <c r="AY11" s="986">
        <f t="shared" si="7"/>
        <v>5</v>
      </c>
      <c r="AZ11" s="987">
        <v>1</v>
      </c>
      <c r="BA11" s="985">
        <v>2</v>
      </c>
      <c r="BB11" s="985">
        <v>2</v>
      </c>
      <c r="BC11" s="986">
        <v>5</v>
      </c>
      <c r="BD11" s="987">
        <v>2</v>
      </c>
      <c r="BE11" s="985">
        <v>1</v>
      </c>
      <c r="BF11" s="985">
        <v>1</v>
      </c>
      <c r="BG11" s="986">
        <f t="shared" si="8"/>
        <v>4</v>
      </c>
      <c r="BH11" s="987">
        <v>1</v>
      </c>
      <c r="BI11" s="985">
        <v>4</v>
      </c>
      <c r="BJ11" s="985">
        <v>4</v>
      </c>
      <c r="BK11" s="986">
        <f t="shared" si="9"/>
        <v>9</v>
      </c>
      <c r="BL11" s="987">
        <v>5</v>
      </c>
      <c r="BM11" s="985">
        <v>8</v>
      </c>
      <c r="BN11" s="985">
        <v>6</v>
      </c>
      <c r="BO11" s="986">
        <f t="shared" si="10"/>
        <v>19</v>
      </c>
      <c r="BP11" s="987">
        <v>4</v>
      </c>
      <c r="BQ11" s="985">
        <v>5</v>
      </c>
      <c r="BR11" s="985">
        <v>8</v>
      </c>
      <c r="BS11" s="986">
        <f t="shared" si="11"/>
        <v>17</v>
      </c>
    </row>
    <row r="12" spans="1:71" s="980" customFormat="1" ht="15" customHeight="1" x14ac:dyDescent="0.25">
      <c r="A12" s="5201"/>
      <c r="B12" s="5222"/>
      <c r="C12" s="981" t="s">
        <v>459</v>
      </c>
      <c r="D12" s="814">
        <v>20</v>
      </c>
      <c r="E12" s="815">
        <v>15</v>
      </c>
      <c r="F12" s="815">
        <v>9</v>
      </c>
      <c r="G12" s="982">
        <v>44</v>
      </c>
      <c r="H12" s="814">
        <v>17</v>
      </c>
      <c r="I12" s="815">
        <v>19</v>
      </c>
      <c r="J12" s="815">
        <v>15</v>
      </c>
      <c r="K12" s="982">
        <v>51</v>
      </c>
      <c r="L12" s="814">
        <v>13</v>
      </c>
      <c r="M12" s="815">
        <v>10</v>
      </c>
      <c r="N12" s="815">
        <v>6</v>
      </c>
      <c r="O12" s="982">
        <v>29</v>
      </c>
      <c r="P12" s="814">
        <v>12</v>
      </c>
      <c r="Q12" s="815">
        <v>15</v>
      </c>
      <c r="R12" s="815">
        <v>8</v>
      </c>
      <c r="S12" s="984">
        <v>35</v>
      </c>
      <c r="T12" s="814">
        <v>24</v>
      </c>
      <c r="U12" s="815">
        <v>13</v>
      </c>
      <c r="V12" s="815">
        <v>6</v>
      </c>
      <c r="W12" s="982">
        <f t="shared" si="0"/>
        <v>43</v>
      </c>
      <c r="X12" s="814">
        <v>17</v>
      </c>
      <c r="Y12" s="815">
        <v>15</v>
      </c>
      <c r="Z12" s="815">
        <v>17</v>
      </c>
      <c r="AA12" s="982">
        <f t="shared" si="1"/>
        <v>49</v>
      </c>
      <c r="AB12" s="983">
        <v>24</v>
      </c>
      <c r="AC12" s="815">
        <v>15</v>
      </c>
      <c r="AD12" s="815">
        <v>17</v>
      </c>
      <c r="AE12" s="982">
        <f t="shared" si="2"/>
        <v>56</v>
      </c>
      <c r="AF12" s="983">
        <v>13</v>
      </c>
      <c r="AG12" s="815">
        <v>12</v>
      </c>
      <c r="AH12" s="815">
        <v>15</v>
      </c>
      <c r="AI12" s="984">
        <f t="shared" si="3"/>
        <v>40</v>
      </c>
      <c r="AJ12" s="983">
        <v>14</v>
      </c>
      <c r="AK12" s="815">
        <v>30</v>
      </c>
      <c r="AL12" s="848">
        <v>10</v>
      </c>
      <c r="AM12" s="984">
        <f t="shared" si="4"/>
        <v>54</v>
      </c>
      <c r="AN12" s="983">
        <v>13</v>
      </c>
      <c r="AO12" s="815">
        <v>12</v>
      </c>
      <c r="AP12" s="848">
        <v>28</v>
      </c>
      <c r="AQ12" s="984">
        <f t="shared" si="5"/>
        <v>53</v>
      </c>
      <c r="AR12" s="985">
        <v>3</v>
      </c>
      <c r="AS12" s="985">
        <v>22</v>
      </c>
      <c r="AT12" s="985">
        <v>7</v>
      </c>
      <c r="AU12" s="986">
        <f t="shared" si="6"/>
        <v>32</v>
      </c>
      <c r="AV12" s="985">
        <v>11</v>
      </c>
      <c r="AW12" s="985">
        <v>20</v>
      </c>
      <c r="AX12" s="985">
        <v>15</v>
      </c>
      <c r="AY12" s="986">
        <f t="shared" si="7"/>
        <v>46</v>
      </c>
      <c r="AZ12" s="987">
        <v>18</v>
      </c>
      <c r="BA12" s="985">
        <v>19</v>
      </c>
      <c r="BB12" s="985">
        <v>8</v>
      </c>
      <c r="BC12" s="986">
        <v>45</v>
      </c>
      <c r="BD12" s="987">
        <v>12</v>
      </c>
      <c r="BE12" s="985">
        <v>20</v>
      </c>
      <c r="BF12" s="985">
        <v>5</v>
      </c>
      <c r="BG12" s="986">
        <f t="shared" si="8"/>
        <v>37</v>
      </c>
      <c r="BH12" s="987">
        <v>18</v>
      </c>
      <c r="BI12" s="985">
        <v>16</v>
      </c>
      <c r="BJ12" s="985">
        <v>20</v>
      </c>
      <c r="BK12" s="986">
        <f t="shared" si="9"/>
        <v>54</v>
      </c>
      <c r="BL12" s="987">
        <v>33</v>
      </c>
      <c r="BM12" s="985">
        <v>36</v>
      </c>
      <c r="BN12" s="985">
        <v>15</v>
      </c>
      <c r="BO12" s="986">
        <f t="shared" si="10"/>
        <v>84</v>
      </c>
      <c r="BP12" s="987">
        <v>21</v>
      </c>
      <c r="BQ12" s="985">
        <v>23</v>
      </c>
      <c r="BR12" s="985">
        <v>29</v>
      </c>
      <c r="BS12" s="986">
        <f t="shared" si="11"/>
        <v>73</v>
      </c>
    </row>
    <row r="13" spans="1:71" s="980" customFormat="1" ht="15" customHeight="1" x14ac:dyDescent="0.25">
      <c r="A13" s="5201"/>
      <c r="B13" s="5222"/>
      <c r="C13" s="981" t="s">
        <v>460</v>
      </c>
      <c r="D13" s="814">
        <v>31</v>
      </c>
      <c r="E13" s="815">
        <v>24</v>
      </c>
      <c r="F13" s="815">
        <v>39</v>
      </c>
      <c r="G13" s="982">
        <v>94</v>
      </c>
      <c r="H13" s="814">
        <v>14</v>
      </c>
      <c r="I13" s="815">
        <v>17</v>
      </c>
      <c r="J13" s="815">
        <v>26</v>
      </c>
      <c r="K13" s="982">
        <v>57</v>
      </c>
      <c r="L13" s="814">
        <v>27</v>
      </c>
      <c r="M13" s="815">
        <v>14</v>
      </c>
      <c r="N13" s="815">
        <v>24</v>
      </c>
      <c r="O13" s="982">
        <v>65</v>
      </c>
      <c r="P13" s="814">
        <v>24</v>
      </c>
      <c r="Q13" s="815">
        <v>31</v>
      </c>
      <c r="R13" s="815">
        <v>36</v>
      </c>
      <c r="S13" s="984">
        <v>91</v>
      </c>
      <c r="T13" s="814">
        <v>41</v>
      </c>
      <c r="U13" s="815">
        <v>37</v>
      </c>
      <c r="V13" s="815">
        <v>32</v>
      </c>
      <c r="W13" s="982">
        <f t="shared" si="0"/>
        <v>110</v>
      </c>
      <c r="X13" s="814">
        <v>36</v>
      </c>
      <c r="Y13" s="815">
        <v>30</v>
      </c>
      <c r="Z13" s="815">
        <v>34</v>
      </c>
      <c r="AA13" s="982">
        <f t="shared" si="1"/>
        <v>100</v>
      </c>
      <c r="AB13" s="983">
        <v>36</v>
      </c>
      <c r="AC13" s="815">
        <v>51</v>
      </c>
      <c r="AD13" s="815">
        <v>28</v>
      </c>
      <c r="AE13" s="982">
        <f t="shared" si="2"/>
        <v>115</v>
      </c>
      <c r="AF13" s="983">
        <v>38</v>
      </c>
      <c r="AG13" s="815">
        <v>30</v>
      </c>
      <c r="AH13" s="815">
        <v>24</v>
      </c>
      <c r="AI13" s="984">
        <f t="shared" si="3"/>
        <v>92</v>
      </c>
      <c r="AJ13" s="983">
        <v>28</v>
      </c>
      <c r="AK13" s="815">
        <v>26</v>
      </c>
      <c r="AL13" s="848">
        <v>9</v>
      </c>
      <c r="AM13" s="984">
        <f t="shared" si="4"/>
        <v>63</v>
      </c>
      <c r="AN13" s="983">
        <v>38</v>
      </c>
      <c r="AO13" s="815">
        <v>33</v>
      </c>
      <c r="AP13" s="848">
        <v>9</v>
      </c>
      <c r="AQ13" s="984">
        <f t="shared" si="5"/>
        <v>80</v>
      </c>
      <c r="AR13" s="985">
        <v>21</v>
      </c>
      <c r="AS13" s="985">
        <v>20</v>
      </c>
      <c r="AT13" s="985">
        <v>16</v>
      </c>
      <c r="AU13" s="986">
        <f t="shared" si="6"/>
        <v>57</v>
      </c>
      <c r="AV13" s="985">
        <v>22</v>
      </c>
      <c r="AW13" s="985">
        <v>18</v>
      </c>
      <c r="AX13" s="985">
        <v>15</v>
      </c>
      <c r="AY13" s="986">
        <f t="shared" si="7"/>
        <v>55</v>
      </c>
      <c r="AZ13" s="987">
        <v>19</v>
      </c>
      <c r="BA13" s="985">
        <v>29</v>
      </c>
      <c r="BB13" s="985">
        <v>23</v>
      </c>
      <c r="BC13" s="986">
        <v>71</v>
      </c>
      <c r="BD13" s="987">
        <v>24</v>
      </c>
      <c r="BE13" s="985">
        <v>30</v>
      </c>
      <c r="BF13" s="985">
        <v>17</v>
      </c>
      <c r="BG13" s="986">
        <f t="shared" si="8"/>
        <v>71</v>
      </c>
      <c r="BH13" s="987">
        <v>23</v>
      </c>
      <c r="BI13" s="985">
        <v>39</v>
      </c>
      <c r="BJ13" s="985">
        <v>14</v>
      </c>
      <c r="BK13" s="986">
        <f t="shared" si="9"/>
        <v>76</v>
      </c>
      <c r="BL13" s="987">
        <v>18</v>
      </c>
      <c r="BM13" s="985">
        <v>26</v>
      </c>
      <c r="BN13" s="985">
        <v>15</v>
      </c>
      <c r="BO13" s="986">
        <f t="shared" si="10"/>
        <v>59</v>
      </c>
      <c r="BP13" s="987">
        <v>19</v>
      </c>
      <c r="BQ13" s="985">
        <v>15</v>
      </c>
      <c r="BR13" s="985">
        <v>23</v>
      </c>
      <c r="BS13" s="986">
        <f t="shared" si="11"/>
        <v>57</v>
      </c>
    </row>
    <row r="14" spans="1:71" s="980" customFormat="1" ht="15" customHeight="1" x14ac:dyDescent="0.25">
      <c r="A14" s="5201"/>
      <c r="B14" s="5222"/>
      <c r="C14" s="988" t="s">
        <v>512</v>
      </c>
      <c r="D14" s="823">
        <v>0</v>
      </c>
      <c r="E14" s="824">
        <v>0</v>
      </c>
      <c r="F14" s="824">
        <v>0</v>
      </c>
      <c r="G14" s="989">
        <v>0</v>
      </c>
      <c r="H14" s="823">
        <v>0</v>
      </c>
      <c r="I14" s="824">
        <v>0</v>
      </c>
      <c r="J14" s="824">
        <v>0</v>
      </c>
      <c r="K14" s="989">
        <v>0</v>
      </c>
      <c r="L14" s="823">
        <v>0</v>
      </c>
      <c r="M14" s="824">
        <v>0</v>
      </c>
      <c r="N14" s="824">
        <v>0</v>
      </c>
      <c r="O14" s="989">
        <v>0</v>
      </c>
      <c r="P14" s="823">
        <v>0</v>
      </c>
      <c r="Q14" s="824">
        <v>0</v>
      </c>
      <c r="R14" s="824">
        <v>0</v>
      </c>
      <c r="S14" s="991">
        <v>0</v>
      </c>
      <c r="T14" s="823" t="s">
        <v>227</v>
      </c>
      <c r="U14" s="824" t="s">
        <v>227</v>
      </c>
      <c r="V14" s="824" t="s">
        <v>227</v>
      </c>
      <c r="W14" s="989">
        <f t="shared" si="0"/>
        <v>0</v>
      </c>
      <c r="X14" s="823" t="s">
        <v>227</v>
      </c>
      <c r="Y14" s="824" t="s">
        <v>227</v>
      </c>
      <c r="Z14" s="824" t="s">
        <v>227</v>
      </c>
      <c r="AA14" s="989">
        <f t="shared" si="1"/>
        <v>0</v>
      </c>
      <c r="AB14" s="990" t="s">
        <v>227</v>
      </c>
      <c r="AC14" s="824" t="s">
        <v>227</v>
      </c>
      <c r="AD14" s="824" t="s">
        <v>227</v>
      </c>
      <c r="AE14" s="989">
        <f t="shared" si="2"/>
        <v>0</v>
      </c>
      <c r="AF14" s="990" t="s">
        <v>227</v>
      </c>
      <c r="AG14" s="824" t="s">
        <v>227</v>
      </c>
      <c r="AH14" s="824" t="s">
        <v>227</v>
      </c>
      <c r="AI14" s="991">
        <f t="shared" si="3"/>
        <v>0</v>
      </c>
      <c r="AJ14" s="990" t="s">
        <v>227</v>
      </c>
      <c r="AK14" s="824">
        <v>1</v>
      </c>
      <c r="AL14" s="873">
        <v>1</v>
      </c>
      <c r="AM14" s="991">
        <f t="shared" si="4"/>
        <v>2</v>
      </c>
      <c r="AN14" s="990">
        <v>4</v>
      </c>
      <c r="AO14" s="824">
        <v>9</v>
      </c>
      <c r="AP14" s="873">
        <v>3</v>
      </c>
      <c r="AQ14" s="991">
        <f t="shared" si="5"/>
        <v>16</v>
      </c>
      <c r="AR14" s="992">
        <v>5</v>
      </c>
      <c r="AS14" s="992">
        <v>12</v>
      </c>
      <c r="AT14" s="992">
        <v>6</v>
      </c>
      <c r="AU14" s="993">
        <f t="shared" si="6"/>
        <v>23</v>
      </c>
      <c r="AV14" s="992">
        <v>15</v>
      </c>
      <c r="AW14" s="992">
        <v>31</v>
      </c>
      <c r="AX14" s="992">
        <v>13</v>
      </c>
      <c r="AY14" s="993">
        <f t="shared" si="7"/>
        <v>59</v>
      </c>
      <c r="AZ14" s="994">
        <v>18</v>
      </c>
      <c r="BA14" s="992">
        <v>22</v>
      </c>
      <c r="BB14" s="992">
        <v>24</v>
      </c>
      <c r="BC14" s="993">
        <v>64</v>
      </c>
      <c r="BD14" s="994">
        <v>15</v>
      </c>
      <c r="BE14" s="992">
        <v>20</v>
      </c>
      <c r="BF14" s="992">
        <v>20</v>
      </c>
      <c r="BG14" s="993">
        <f t="shared" si="8"/>
        <v>55</v>
      </c>
      <c r="BH14" s="994">
        <v>19</v>
      </c>
      <c r="BI14" s="992">
        <v>25</v>
      </c>
      <c r="BJ14" s="992">
        <v>23</v>
      </c>
      <c r="BK14" s="993">
        <f t="shared" si="9"/>
        <v>67</v>
      </c>
      <c r="BL14" s="994">
        <v>51</v>
      </c>
      <c r="BM14" s="992">
        <v>39</v>
      </c>
      <c r="BN14" s="992">
        <v>30</v>
      </c>
      <c r="BO14" s="993">
        <f t="shared" si="10"/>
        <v>120</v>
      </c>
      <c r="BP14" s="994">
        <v>28</v>
      </c>
      <c r="BQ14" s="992">
        <v>31</v>
      </c>
      <c r="BR14" s="992">
        <v>18</v>
      </c>
      <c r="BS14" s="993">
        <f t="shared" si="11"/>
        <v>77</v>
      </c>
    </row>
    <row r="15" spans="1:71" s="980" customFormat="1" ht="15" customHeight="1" x14ac:dyDescent="0.25">
      <c r="A15" s="5201"/>
      <c r="B15" s="5223"/>
      <c r="C15" s="995" t="s">
        <v>160</v>
      </c>
      <c r="D15" s="996">
        <v>146</v>
      </c>
      <c r="E15" s="997">
        <v>143</v>
      </c>
      <c r="F15" s="997">
        <v>124</v>
      </c>
      <c r="G15" s="998">
        <v>413</v>
      </c>
      <c r="H15" s="996">
        <v>104</v>
      </c>
      <c r="I15" s="997">
        <v>121</v>
      </c>
      <c r="J15" s="997">
        <v>110</v>
      </c>
      <c r="K15" s="998">
        <v>335</v>
      </c>
      <c r="L15" s="996">
        <v>119</v>
      </c>
      <c r="M15" s="997">
        <v>107</v>
      </c>
      <c r="N15" s="997">
        <v>92</v>
      </c>
      <c r="O15" s="998">
        <v>318</v>
      </c>
      <c r="P15" s="996">
        <v>103</v>
      </c>
      <c r="Q15" s="997">
        <v>133</v>
      </c>
      <c r="R15" s="997">
        <v>115</v>
      </c>
      <c r="S15" s="998">
        <v>351</v>
      </c>
      <c r="T15" s="996">
        <f t="shared" ref="T15:BC15" si="12">SUM(T5:T14)</f>
        <v>162</v>
      </c>
      <c r="U15" s="997">
        <f t="shared" si="12"/>
        <v>150</v>
      </c>
      <c r="V15" s="997">
        <f t="shared" si="12"/>
        <v>108</v>
      </c>
      <c r="W15" s="998">
        <f t="shared" si="12"/>
        <v>420</v>
      </c>
      <c r="X15" s="996">
        <f t="shared" si="12"/>
        <v>105</v>
      </c>
      <c r="Y15" s="997">
        <f t="shared" si="12"/>
        <v>144</v>
      </c>
      <c r="Z15" s="997">
        <f t="shared" si="12"/>
        <v>119</v>
      </c>
      <c r="AA15" s="998">
        <f t="shared" si="12"/>
        <v>368</v>
      </c>
      <c r="AB15" s="996">
        <f t="shared" si="12"/>
        <v>119</v>
      </c>
      <c r="AC15" s="997">
        <f t="shared" si="12"/>
        <v>150</v>
      </c>
      <c r="AD15" s="997">
        <f t="shared" si="12"/>
        <v>133</v>
      </c>
      <c r="AE15" s="998">
        <f t="shared" si="12"/>
        <v>402</v>
      </c>
      <c r="AF15" s="996">
        <f t="shared" si="12"/>
        <v>131</v>
      </c>
      <c r="AG15" s="997">
        <f t="shared" si="12"/>
        <v>133</v>
      </c>
      <c r="AH15" s="997">
        <f t="shared" si="12"/>
        <v>124</v>
      </c>
      <c r="AI15" s="998">
        <f t="shared" si="12"/>
        <v>388</v>
      </c>
      <c r="AJ15" s="996">
        <f t="shared" si="12"/>
        <v>102</v>
      </c>
      <c r="AK15" s="997">
        <f t="shared" si="12"/>
        <v>141</v>
      </c>
      <c r="AL15" s="997">
        <f t="shared" si="12"/>
        <v>96</v>
      </c>
      <c r="AM15" s="998">
        <f t="shared" si="12"/>
        <v>339</v>
      </c>
      <c r="AN15" s="996">
        <f t="shared" si="12"/>
        <v>126</v>
      </c>
      <c r="AO15" s="997">
        <f t="shared" si="12"/>
        <v>134</v>
      </c>
      <c r="AP15" s="997">
        <f t="shared" si="12"/>
        <v>102</v>
      </c>
      <c r="AQ15" s="998">
        <f t="shared" si="12"/>
        <v>362</v>
      </c>
      <c r="AR15" s="996">
        <f t="shared" si="12"/>
        <v>105</v>
      </c>
      <c r="AS15" s="997">
        <f t="shared" si="12"/>
        <v>135</v>
      </c>
      <c r="AT15" s="997">
        <f t="shared" si="12"/>
        <v>110</v>
      </c>
      <c r="AU15" s="998">
        <f t="shared" si="6"/>
        <v>350</v>
      </c>
      <c r="AV15" s="996">
        <f t="shared" ref="AV15:AX15" si="13">SUM(AV5:AV14)</f>
        <v>124</v>
      </c>
      <c r="AW15" s="997">
        <f t="shared" si="13"/>
        <v>149</v>
      </c>
      <c r="AX15" s="997">
        <f t="shared" si="13"/>
        <v>95</v>
      </c>
      <c r="AY15" s="998">
        <f t="shared" si="7"/>
        <v>368</v>
      </c>
      <c r="AZ15" s="996">
        <f t="shared" si="12"/>
        <v>129</v>
      </c>
      <c r="BA15" s="997">
        <f t="shared" si="12"/>
        <v>151</v>
      </c>
      <c r="BB15" s="997">
        <f t="shared" si="12"/>
        <v>124</v>
      </c>
      <c r="BC15" s="998">
        <f t="shared" si="12"/>
        <v>404</v>
      </c>
      <c r="BD15" s="996">
        <f t="shared" ref="BD15:BJ15" si="14">SUM(BD5:BD14)</f>
        <v>110</v>
      </c>
      <c r="BE15" s="997">
        <f t="shared" si="14"/>
        <v>135</v>
      </c>
      <c r="BF15" s="997">
        <f t="shared" si="14"/>
        <v>117</v>
      </c>
      <c r="BG15" s="998">
        <f t="shared" si="14"/>
        <v>362</v>
      </c>
      <c r="BH15" s="996">
        <f t="shared" si="14"/>
        <v>143</v>
      </c>
      <c r="BI15" s="997">
        <f t="shared" si="14"/>
        <v>205</v>
      </c>
      <c r="BJ15" s="997">
        <f t="shared" si="14"/>
        <v>174</v>
      </c>
      <c r="BK15" s="998">
        <f t="shared" ref="BK15:BS15" si="15">SUM(BK5:BK14)</f>
        <v>522</v>
      </c>
      <c r="BL15" s="996">
        <f t="shared" si="15"/>
        <v>231</v>
      </c>
      <c r="BM15" s="997">
        <f t="shared" si="15"/>
        <v>201</v>
      </c>
      <c r="BN15" s="997">
        <f t="shared" si="15"/>
        <v>142</v>
      </c>
      <c r="BO15" s="998">
        <f t="shared" si="15"/>
        <v>574</v>
      </c>
      <c r="BP15" s="996">
        <f t="shared" si="15"/>
        <v>178</v>
      </c>
      <c r="BQ15" s="997">
        <f t="shared" si="15"/>
        <v>174</v>
      </c>
      <c r="BR15" s="997">
        <f t="shared" si="15"/>
        <v>175</v>
      </c>
      <c r="BS15" s="998">
        <f t="shared" si="15"/>
        <v>527</v>
      </c>
    </row>
    <row r="16" spans="1:71" s="980" customFormat="1" ht="15" customHeight="1" x14ac:dyDescent="0.25">
      <c r="A16" s="5201"/>
      <c r="B16" s="5221" t="s">
        <v>6</v>
      </c>
      <c r="C16" s="973" t="s">
        <v>462</v>
      </c>
      <c r="D16" s="808">
        <v>43</v>
      </c>
      <c r="E16" s="809">
        <v>86</v>
      </c>
      <c r="F16" s="809">
        <v>67</v>
      </c>
      <c r="G16" s="974">
        <v>196</v>
      </c>
      <c r="H16" s="808">
        <v>64</v>
      </c>
      <c r="I16" s="809">
        <v>70</v>
      </c>
      <c r="J16" s="809">
        <v>36</v>
      </c>
      <c r="K16" s="974">
        <v>170</v>
      </c>
      <c r="L16" s="808">
        <v>50</v>
      </c>
      <c r="M16" s="809">
        <v>47</v>
      </c>
      <c r="N16" s="809">
        <v>66</v>
      </c>
      <c r="O16" s="974">
        <v>163</v>
      </c>
      <c r="P16" s="808">
        <v>63</v>
      </c>
      <c r="Q16" s="809">
        <v>67</v>
      </c>
      <c r="R16" s="809">
        <v>59</v>
      </c>
      <c r="S16" s="976">
        <v>189</v>
      </c>
      <c r="T16" s="808">
        <v>68</v>
      </c>
      <c r="U16" s="809">
        <v>84</v>
      </c>
      <c r="V16" s="809">
        <v>53</v>
      </c>
      <c r="W16" s="974">
        <f t="shared" si="0"/>
        <v>205</v>
      </c>
      <c r="X16" s="808">
        <v>70</v>
      </c>
      <c r="Y16" s="809">
        <v>65</v>
      </c>
      <c r="Z16" s="809">
        <v>55</v>
      </c>
      <c r="AA16" s="974">
        <f t="shared" si="1"/>
        <v>190</v>
      </c>
      <c r="AB16" s="975">
        <v>62</v>
      </c>
      <c r="AC16" s="809">
        <v>61</v>
      </c>
      <c r="AD16" s="809">
        <v>40</v>
      </c>
      <c r="AE16" s="974">
        <f t="shared" si="2"/>
        <v>163</v>
      </c>
      <c r="AF16" s="975">
        <v>58</v>
      </c>
      <c r="AG16" s="809">
        <v>52</v>
      </c>
      <c r="AH16" s="809">
        <v>41</v>
      </c>
      <c r="AI16" s="976">
        <f t="shared" si="3"/>
        <v>151</v>
      </c>
      <c r="AJ16" s="975">
        <v>34</v>
      </c>
      <c r="AK16" s="809">
        <v>71</v>
      </c>
      <c r="AL16" s="846">
        <v>45</v>
      </c>
      <c r="AM16" s="976">
        <f t="shared" si="4"/>
        <v>150</v>
      </c>
      <c r="AN16" s="975">
        <v>52</v>
      </c>
      <c r="AO16" s="809">
        <v>59</v>
      </c>
      <c r="AP16" s="846">
        <v>42</v>
      </c>
      <c r="AQ16" s="976">
        <f t="shared" si="5"/>
        <v>153</v>
      </c>
      <c r="AR16" s="977">
        <v>61</v>
      </c>
      <c r="AS16" s="977">
        <v>52</v>
      </c>
      <c r="AT16" s="977">
        <v>44</v>
      </c>
      <c r="AU16" s="978">
        <f t="shared" si="6"/>
        <v>157</v>
      </c>
      <c r="AV16" s="977">
        <v>45</v>
      </c>
      <c r="AW16" s="977">
        <v>53</v>
      </c>
      <c r="AX16" s="977">
        <v>38</v>
      </c>
      <c r="AY16" s="978">
        <f t="shared" si="7"/>
        <v>136</v>
      </c>
      <c r="AZ16" s="979">
        <v>56</v>
      </c>
      <c r="BA16" s="977">
        <v>48</v>
      </c>
      <c r="BB16" s="977">
        <v>37</v>
      </c>
      <c r="BC16" s="978">
        <v>141</v>
      </c>
      <c r="BD16" s="979">
        <v>68</v>
      </c>
      <c r="BE16" s="977">
        <v>64</v>
      </c>
      <c r="BF16" s="977">
        <v>49</v>
      </c>
      <c r="BG16" s="978">
        <f t="shared" si="8"/>
        <v>181</v>
      </c>
      <c r="BH16" s="979">
        <v>66</v>
      </c>
      <c r="BI16" s="977">
        <v>71</v>
      </c>
      <c r="BJ16" s="977">
        <v>73</v>
      </c>
      <c r="BK16" s="978">
        <f>SUM(BH16:BJ16)</f>
        <v>210</v>
      </c>
      <c r="BL16" s="979">
        <v>48</v>
      </c>
      <c r="BM16" s="977">
        <v>85</v>
      </c>
      <c r="BN16" s="977">
        <v>46</v>
      </c>
      <c r="BO16" s="978">
        <f>SUM(BL16:BN16)</f>
        <v>179</v>
      </c>
      <c r="BP16" s="979">
        <v>58</v>
      </c>
      <c r="BQ16" s="977">
        <v>84</v>
      </c>
      <c r="BR16" s="977">
        <v>48</v>
      </c>
      <c r="BS16" s="978">
        <f>SUM(BP16:BR16)</f>
        <v>190</v>
      </c>
    </row>
    <row r="17" spans="1:71" s="980" customFormat="1" ht="15" customHeight="1" x14ac:dyDescent="0.25">
      <c r="A17" s="5201"/>
      <c r="B17" s="5222"/>
      <c r="C17" s="981" t="s">
        <v>463</v>
      </c>
      <c r="D17" s="814">
        <v>86</v>
      </c>
      <c r="E17" s="815">
        <v>98</v>
      </c>
      <c r="F17" s="815">
        <v>62</v>
      </c>
      <c r="G17" s="982">
        <v>246</v>
      </c>
      <c r="H17" s="814">
        <v>106</v>
      </c>
      <c r="I17" s="815">
        <v>76</v>
      </c>
      <c r="J17" s="815">
        <v>71</v>
      </c>
      <c r="K17" s="982">
        <v>253</v>
      </c>
      <c r="L17" s="814">
        <v>92</v>
      </c>
      <c r="M17" s="815">
        <v>86</v>
      </c>
      <c r="N17" s="815">
        <v>73</v>
      </c>
      <c r="O17" s="982">
        <v>251</v>
      </c>
      <c r="P17" s="814">
        <v>94</v>
      </c>
      <c r="Q17" s="815">
        <v>74</v>
      </c>
      <c r="R17" s="815">
        <v>82</v>
      </c>
      <c r="S17" s="984">
        <v>250</v>
      </c>
      <c r="T17" s="814">
        <v>61</v>
      </c>
      <c r="U17" s="815">
        <v>123</v>
      </c>
      <c r="V17" s="815">
        <v>62</v>
      </c>
      <c r="W17" s="982">
        <f t="shared" si="0"/>
        <v>246</v>
      </c>
      <c r="X17" s="814">
        <v>58</v>
      </c>
      <c r="Y17" s="815">
        <v>107</v>
      </c>
      <c r="Z17" s="815">
        <v>75</v>
      </c>
      <c r="AA17" s="982">
        <f t="shared" si="1"/>
        <v>240</v>
      </c>
      <c r="AB17" s="983">
        <v>88</v>
      </c>
      <c r="AC17" s="815">
        <v>93</v>
      </c>
      <c r="AD17" s="815">
        <v>66</v>
      </c>
      <c r="AE17" s="982">
        <f t="shared" si="2"/>
        <v>247</v>
      </c>
      <c r="AF17" s="983">
        <v>64</v>
      </c>
      <c r="AG17" s="815">
        <v>95</v>
      </c>
      <c r="AH17" s="815">
        <v>62</v>
      </c>
      <c r="AI17" s="984">
        <f t="shared" si="3"/>
        <v>221</v>
      </c>
      <c r="AJ17" s="983">
        <v>69</v>
      </c>
      <c r="AK17" s="815">
        <v>73</v>
      </c>
      <c r="AL17" s="848">
        <v>82</v>
      </c>
      <c r="AM17" s="984">
        <f t="shared" si="4"/>
        <v>224</v>
      </c>
      <c r="AN17" s="983">
        <v>72</v>
      </c>
      <c r="AO17" s="815">
        <v>81</v>
      </c>
      <c r="AP17" s="848">
        <v>66</v>
      </c>
      <c r="AQ17" s="984">
        <f t="shared" si="5"/>
        <v>219</v>
      </c>
      <c r="AR17" s="985">
        <v>65</v>
      </c>
      <c r="AS17" s="985">
        <v>102</v>
      </c>
      <c r="AT17" s="985">
        <v>67</v>
      </c>
      <c r="AU17" s="986">
        <f t="shared" si="6"/>
        <v>234</v>
      </c>
      <c r="AV17" s="985">
        <v>68</v>
      </c>
      <c r="AW17" s="985">
        <v>109</v>
      </c>
      <c r="AX17" s="985">
        <v>60</v>
      </c>
      <c r="AY17" s="986">
        <f t="shared" si="7"/>
        <v>237</v>
      </c>
      <c r="AZ17" s="987">
        <v>49</v>
      </c>
      <c r="BA17" s="985">
        <v>66</v>
      </c>
      <c r="BB17" s="985">
        <v>54</v>
      </c>
      <c r="BC17" s="986">
        <v>169</v>
      </c>
      <c r="BD17" s="987">
        <v>57</v>
      </c>
      <c r="BE17" s="985">
        <v>87</v>
      </c>
      <c r="BF17" s="985">
        <v>86</v>
      </c>
      <c r="BG17" s="986">
        <f t="shared" si="8"/>
        <v>230</v>
      </c>
      <c r="BH17" s="987">
        <v>105</v>
      </c>
      <c r="BI17" s="985">
        <v>149</v>
      </c>
      <c r="BJ17" s="985">
        <v>93</v>
      </c>
      <c r="BK17" s="986">
        <f>SUM(BH17:BJ17)</f>
        <v>347</v>
      </c>
      <c r="BL17" s="987">
        <v>77</v>
      </c>
      <c r="BM17" s="985">
        <f>80-2</f>
        <v>78</v>
      </c>
      <c r="BN17" s="985">
        <v>82</v>
      </c>
      <c r="BO17" s="986">
        <f>SUM(BL17:BN17)</f>
        <v>237</v>
      </c>
      <c r="BP17" s="987">
        <v>64</v>
      </c>
      <c r="BQ17" s="985">
        <v>104</v>
      </c>
      <c r="BR17" s="985">
        <v>103</v>
      </c>
      <c r="BS17" s="986">
        <f>SUM(BP17:BR17)</f>
        <v>271</v>
      </c>
    </row>
    <row r="18" spans="1:71" s="980" customFormat="1" ht="15" customHeight="1" x14ac:dyDescent="0.25">
      <c r="A18" s="5201"/>
      <c r="B18" s="5222"/>
      <c r="C18" s="981" t="s">
        <v>464</v>
      </c>
      <c r="D18" s="814">
        <v>40</v>
      </c>
      <c r="E18" s="815">
        <v>30</v>
      </c>
      <c r="F18" s="815">
        <v>19</v>
      </c>
      <c r="G18" s="982">
        <v>89</v>
      </c>
      <c r="H18" s="814">
        <v>38</v>
      </c>
      <c r="I18" s="815">
        <v>36</v>
      </c>
      <c r="J18" s="815">
        <v>34</v>
      </c>
      <c r="K18" s="982">
        <v>108</v>
      </c>
      <c r="L18" s="814">
        <v>43</v>
      </c>
      <c r="M18" s="815">
        <v>29</v>
      </c>
      <c r="N18" s="815">
        <v>26</v>
      </c>
      <c r="O18" s="982">
        <v>98</v>
      </c>
      <c r="P18" s="814">
        <v>26</v>
      </c>
      <c r="Q18" s="815">
        <v>36</v>
      </c>
      <c r="R18" s="815">
        <v>28</v>
      </c>
      <c r="S18" s="984">
        <v>90</v>
      </c>
      <c r="T18" s="814">
        <v>27</v>
      </c>
      <c r="U18" s="815">
        <v>29</v>
      </c>
      <c r="V18" s="815">
        <v>48</v>
      </c>
      <c r="W18" s="982">
        <f t="shared" si="0"/>
        <v>104</v>
      </c>
      <c r="X18" s="814">
        <v>29</v>
      </c>
      <c r="Y18" s="815">
        <v>32</v>
      </c>
      <c r="Z18" s="815">
        <v>17</v>
      </c>
      <c r="AA18" s="982">
        <f t="shared" si="1"/>
        <v>78</v>
      </c>
      <c r="AB18" s="983">
        <v>25</v>
      </c>
      <c r="AC18" s="815">
        <v>25</v>
      </c>
      <c r="AD18" s="815">
        <v>24</v>
      </c>
      <c r="AE18" s="982">
        <f t="shared" si="2"/>
        <v>74</v>
      </c>
      <c r="AF18" s="983">
        <v>23</v>
      </c>
      <c r="AG18" s="815">
        <v>15</v>
      </c>
      <c r="AH18" s="815">
        <v>31</v>
      </c>
      <c r="AI18" s="984">
        <f t="shared" si="3"/>
        <v>69</v>
      </c>
      <c r="AJ18" s="983">
        <v>25</v>
      </c>
      <c r="AK18" s="815">
        <v>25</v>
      </c>
      <c r="AL18" s="848">
        <v>6</v>
      </c>
      <c r="AM18" s="984">
        <f t="shared" si="4"/>
        <v>56</v>
      </c>
      <c r="AN18" s="983">
        <v>27</v>
      </c>
      <c r="AO18" s="815">
        <v>17</v>
      </c>
      <c r="AP18" s="848">
        <v>10</v>
      </c>
      <c r="AQ18" s="984">
        <f t="shared" si="5"/>
        <v>54</v>
      </c>
      <c r="AR18" s="985">
        <v>21</v>
      </c>
      <c r="AS18" s="985">
        <v>29</v>
      </c>
      <c r="AT18" s="985">
        <v>5</v>
      </c>
      <c r="AU18" s="986">
        <f t="shared" si="6"/>
        <v>55</v>
      </c>
      <c r="AV18" s="985">
        <v>11</v>
      </c>
      <c r="AW18" s="985">
        <v>41</v>
      </c>
      <c r="AX18" s="985">
        <v>9</v>
      </c>
      <c r="AY18" s="986">
        <f t="shared" si="7"/>
        <v>61</v>
      </c>
      <c r="AZ18" s="987">
        <v>19</v>
      </c>
      <c r="BA18" s="985">
        <v>19</v>
      </c>
      <c r="BB18" s="985">
        <v>13</v>
      </c>
      <c r="BC18" s="986">
        <v>51</v>
      </c>
      <c r="BD18" s="987">
        <v>15</v>
      </c>
      <c r="BE18" s="985">
        <v>28</v>
      </c>
      <c r="BF18" s="985">
        <v>13</v>
      </c>
      <c r="BG18" s="986">
        <f t="shared" si="8"/>
        <v>56</v>
      </c>
      <c r="BH18" s="987">
        <v>34</v>
      </c>
      <c r="BI18" s="985">
        <v>29</v>
      </c>
      <c r="BJ18" s="985">
        <v>11</v>
      </c>
      <c r="BK18" s="986">
        <f>SUM(BH18:BJ18)</f>
        <v>74</v>
      </c>
      <c r="BL18" s="987">
        <v>14</v>
      </c>
      <c r="BM18" s="985">
        <v>28</v>
      </c>
      <c r="BN18" s="985">
        <v>13</v>
      </c>
      <c r="BO18" s="986">
        <f>SUM(BL18:BN18)</f>
        <v>55</v>
      </c>
      <c r="BP18" s="987">
        <v>15</v>
      </c>
      <c r="BQ18" s="985">
        <v>36</v>
      </c>
      <c r="BR18" s="985">
        <v>23</v>
      </c>
      <c r="BS18" s="986">
        <f>SUM(BP18:BR18)</f>
        <v>74</v>
      </c>
    </row>
    <row r="19" spans="1:71" s="980" customFormat="1" ht="15" customHeight="1" x14ac:dyDescent="0.25">
      <c r="A19" s="5201"/>
      <c r="B19" s="5222"/>
      <c r="C19" s="988" t="s">
        <v>465</v>
      </c>
      <c r="D19" s="823">
        <v>29</v>
      </c>
      <c r="E19" s="824">
        <v>20</v>
      </c>
      <c r="F19" s="824">
        <v>31</v>
      </c>
      <c r="G19" s="989">
        <v>80</v>
      </c>
      <c r="H19" s="823">
        <v>27</v>
      </c>
      <c r="I19" s="824">
        <v>37</v>
      </c>
      <c r="J19" s="824">
        <v>25</v>
      </c>
      <c r="K19" s="989">
        <v>89</v>
      </c>
      <c r="L19" s="823">
        <v>16</v>
      </c>
      <c r="M19" s="824">
        <v>31</v>
      </c>
      <c r="N19" s="824">
        <v>49</v>
      </c>
      <c r="O19" s="989">
        <v>96</v>
      </c>
      <c r="P19" s="823">
        <v>15</v>
      </c>
      <c r="Q19" s="824">
        <v>25</v>
      </c>
      <c r="R19" s="824">
        <v>16</v>
      </c>
      <c r="S19" s="991">
        <v>56</v>
      </c>
      <c r="T19" s="823">
        <v>24</v>
      </c>
      <c r="U19" s="824">
        <v>22</v>
      </c>
      <c r="V19" s="824">
        <v>26</v>
      </c>
      <c r="W19" s="989">
        <f t="shared" si="0"/>
        <v>72</v>
      </c>
      <c r="X19" s="823">
        <v>35</v>
      </c>
      <c r="Y19" s="824">
        <v>34</v>
      </c>
      <c r="Z19" s="824">
        <v>14</v>
      </c>
      <c r="AA19" s="989">
        <f t="shared" si="1"/>
        <v>83</v>
      </c>
      <c r="AB19" s="990">
        <v>14</v>
      </c>
      <c r="AC19" s="824">
        <v>24</v>
      </c>
      <c r="AD19" s="824">
        <v>15</v>
      </c>
      <c r="AE19" s="989">
        <f t="shared" si="2"/>
        <v>53</v>
      </c>
      <c r="AF19" s="990">
        <v>21</v>
      </c>
      <c r="AG19" s="824">
        <v>14</v>
      </c>
      <c r="AH19" s="824">
        <v>25</v>
      </c>
      <c r="AI19" s="991">
        <f t="shared" si="3"/>
        <v>60</v>
      </c>
      <c r="AJ19" s="990">
        <v>28</v>
      </c>
      <c r="AK19" s="824">
        <v>15</v>
      </c>
      <c r="AL19" s="873">
        <v>15</v>
      </c>
      <c r="AM19" s="991">
        <f t="shared" si="4"/>
        <v>58</v>
      </c>
      <c r="AN19" s="990">
        <v>19</v>
      </c>
      <c r="AO19" s="824">
        <v>23</v>
      </c>
      <c r="AP19" s="873">
        <v>21</v>
      </c>
      <c r="AQ19" s="991">
        <f t="shared" si="5"/>
        <v>63</v>
      </c>
      <c r="AR19" s="992">
        <v>25</v>
      </c>
      <c r="AS19" s="992">
        <v>19</v>
      </c>
      <c r="AT19" s="992">
        <v>10</v>
      </c>
      <c r="AU19" s="993">
        <f t="shared" si="6"/>
        <v>54</v>
      </c>
      <c r="AV19" s="992">
        <v>15</v>
      </c>
      <c r="AW19" s="992">
        <v>32</v>
      </c>
      <c r="AX19" s="992">
        <v>22</v>
      </c>
      <c r="AY19" s="993">
        <f t="shared" si="7"/>
        <v>69</v>
      </c>
      <c r="AZ19" s="994">
        <v>32</v>
      </c>
      <c r="BA19" s="992">
        <v>29</v>
      </c>
      <c r="BB19" s="992">
        <v>17</v>
      </c>
      <c r="BC19" s="993">
        <v>78</v>
      </c>
      <c r="BD19" s="994">
        <v>20</v>
      </c>
      <c r="BE19" s="992">
        <v>19</v>
      </c>
      <c r="BF19" s="992">
        <v>18</v>
      </c>
      <c r="BG19" s="993">
        <f t="shared" si="8"/>
        <v>57</v>
      </c>
      <c r="BH19" s="994">
        <v>38</v>
      </c>
      <c r="BI19" s="992">
        <v>32</v>
      </c>
      <c r="BJ19" s="992">
        <v>23</v>
      </c>
      <c r="BK19" s="993">
        <f>SUM(BH19:BJ19)</f>
        <v>93</v>
      </c>
      <c r="BL19" s="994">
        <v>38</v>
      </c>
      <c r="BM19" s="992">
        <v>33</v>
      </c>
      <c r="BN19" s="992">
        <v>19</v>
      </c>
      <c r="BO19" s="993">
        <f>SUM(BL19:BN19)</f>
        <v>90</v>
      </c>
      <c r="BP19" s="994">
        <v>27</v>
      </c>
      <c r="BQ19" s="992">
        <v>34</v>
      </c>
      <c r="BR19" s="992">
        <v>33</v>
      </c>
      <c r="BS19" s="993">
        <f>SUM(BP19:BR19)</f>
        <v>94</v>
      </c>
    </row>
    <row r="20" spans="1:71" s="980" customFormat="1" ht="15" customHeight="1" x14ac:dyDescent="0.25">
      <c r="A20" s="5201"/>
      <c r="B20" s="5223"/>
      <c r="C20" s="995" t="s">
        <v>160</v>
      </c>
      <c r="D20" s="996">
        <v>198</v>
      </c>
      <c r="E20" s="997">
        <v>234</v>
      </c>
      <c r="F20" s="997">
        <v>179</v>
      </c>
      <c r="G20" s="998">
        <v>611</v>
      </c>
      <c r="H20" s="996">
        <v>235</v>
      </c>
      <c r="I20" s="997">
        <v>219</v>
      </c>
      <c r="J20" s="997">
        <v>166</v>
      </c>
      <c r="K20" s="998">
        <v>620</v>
      </c>
      <c r="L20" s="996">
        <v>201</v>
      </c>
      <c r="M20" s="997">
        <v>193</v>
      </c>
      <c r="N20" s="997">
        <v>214</v>
      </c>
      <c r="O20" s="998">
        <v>608</v>
      </c>
      <c r="P20" s="996">
        <v>198</v>
      </c>
      <c r="Q20" s="997">
        <v>202</v>
      </c>
      <c r="R20" s="997">
        <v>185</v>
      </c>
      <c r="S20" s="998">
        <v>585</v>
      </c>
      <c r="T20" s="996">
        <f t="shared" ref="T20:BC20" si="16">SUM(T16:T19)</f>
        <v>180</v>
      </c>
      <c r="U20" s="997">
        <f t="shared" si="16"/>
        <v>258</v>
      </c>
      <c r="V20" s="997">
        <f t="shared" si="16"/>
        <v>189</v>
      </c>
      <c r="W20" s="998">
        <f t="shared" si="16"/>
        <v>627</v>
      </c>
      <c r="X20" s="996">
        <f t="shared" si="16"/>
        <v>192</v>
      </c>
      <c r="Y20" s="997">
        <f t="shared" si="16"/>
        <v>238</v>
      </c>
      <c r="Z20" s="997">
        <f t="shared" si="16"/>
        <v>161</v>
      </c>
      <c r="AA20" s="998">
        <f t="shared" si="16"/>
        <v>591</v>
      </c>
      <c r="AB20" s="996">
        <f t="shared" si="16"/>
        <v>189</v>
      </c>
      <c r="AC20" s="997">
        <f t="shared" si="16"/>
        <v>203</v>
      </c>
      <c r="AD20" s="997">
        <f t="shared" si="16"/>
        <v>145</v>
      </c>
      <c r="AE20" s="998">
        <f t="shared" si="16"/>
        <v>537</v>
      </c>
      <c r="AF20" s="996">
        <f t="shared" si="16"/>
        <v>166</v>
      </c>
      <c r="AG20" s="997">
        <f t="shared" si="16"/>
        <v>176</v>
      </c>
      <c r="AH20" s="997">
        <f t="shared" si="16"/>
        <v>159</v>
      </c>
      <c r="AI20" s="998">
        <f t="shared" si="16"/>
        <v>501</v>
      </c>
      <c r="AJ20" s="996">
        <f t="shared" si="16"/>
        <v>156</v>
      </c>
      <c r="AK20" s="997">
        <f t="shared" si="16"/>
        <v>184</v>
      </c>
      <c r="AL20" s="997">
        <f t="shared" si="16"/>
        <v>148</v>
      </c>
      <c r="AM20" s="998">
        <f t="shared" si="16"/>
        <v>488</v>
      </c>
      <c r="AN20" s="996">
        <f t="shared" si="16"/>
        <v>170</v>
      </c>
      <c r="AO20" s="997">
        <f t="shared" si="16"/>
        <v>180</v>
      </c>
      <c r="AP20" s="997">
        <f t="shared" si="16"/>
        <v>139</v>
      </c>
      <c r="AQ20" s="998">
        <f t="shared" si="16"/>
        <v>489</v>
      </c>
      <c r="AR20" s="996">
        <f t="shared" si="16"/>
        <v>172</v>
      </c>
      <c r="AS20" s="997">
        <f t="shared" si="16"/>
        <v>202</v>
      </c>
      <c r="AT20" s="997">
        <f t="shared" si="16"/>
        <v>126</v>
      </c>
      <c r="AU20" s="998">
        <f t="shared" si="6"/>
        <v>500</v>
      </c>
      <c r="AV20" s="996">
        <f t="shared" ref="AV20:AX20" si="17">SUM(AV16:AV19)</f>
        <v>139</v>
      </c>
      <c r="AW20" s="997">
        <f t="shared" si="17"/>
        <v>235</v>
      </c>
      <c r="AX20" s="997">
        <f t="shared" si="17"/>
        <v>129</v>
      </c>
      <c r="AY20" s="998">
        <f t="shared" si="7"/>
        <v>503</v>
      </c>
      <c r="AZ20" s="996">
        <f t="shared" si="16"/>
        <v>156</v>
      </c>
      <c r="BA20" s="997">
        <f t="shared" si="16"/>
        <v>162</v>
      </c>
      <c r="BB20" s="997">
        <f t="shared" si="16"/>
        <v>121</v>
      </c>
      <c r="BC20" s="998">
        <f t="shared" si="16"/>
        <v>439</v>
      </c>
      <c r="BD20" s="996">
        <f t="shared" ref="BD20:BK20" si="18">SUM(BD16:BD19)</f>
        <v>160</v>
      </c>
      <c r="BE20" s="997">
        <f t="shared" si="18"/>
        <v>198</v>
      </c>
      <c r="BF20" s="997">
        <f t="shared" si="18"/>
        <v>166</v>
      </c>
      <c r="BG20" s="998">
        <f t="shared" si="18"/>
        <v>524</v>
      </c>
      <c r="BH20" s="996">
        <f t="shared" si="18"/>
        <v>243</v>
      </c>
      <c r="BI20" s="997">
        <f t="shared" si="18"/>
        <v>281</v>
      </c>
      <c r="BJ20" s="997">
        <f t="shared" si="18"/>
        <v>200</v>
      </c>
      <c r="BK20" s="998">
        <f t="shared" si="18"/>
        <v>724</v>
      </c>
      <c r="BL20" s="996">
        <f t="shared" ref="BL20:BS20" si="19">SUM(BL16:BL19)</f>
        <v>177</v>
      </c>
      <c r="BM20" s="997">
        <f t="shared" si="19"/>
        <v>224</v>
      </c>
      <c r="BN20" s="997">
        <f t="shared" si="19"/>
        <v>160</v>
      </c>
      <c r="BO20" s="998">
        <f t="shared" si="19"/>
        <v>561</v>
      </c>
      <c r="BP20" s="996">
        <f t="shared" si="19"/>
        <v>164</v>
      </c>
      <c r="BQ20" s="997">
        <f t="shared" si="19"/>
        <v>258</v>
      </c>
      <c r="BR20" s="997">
        <f t="shared" si="19"/>
        <v>207</v>
      </c>
      <c r="BS20" s="998">
        <f t="shared" si="19"/>
        <v>629</v>
      </c>
    </row>
    <row r="21" spans="1:71" s="980" customFormat="1" ht="15" customHeight="1" x14ac:dyDescent="0.25">
      <c r="A21" s="5201"/>
      <c r="B21" s="5221" t="s">
        <v>7</v>
      </c>
      <c r="C21" s="973" t="s">
        <v>466</v>
      </c>
      <c r="D21" s="808">
        <v>52</v>
      </c>
      <c r="E21" s="809">
        <v>46</v>
      </c>
      <c r="F21" s="809">
        <v>63</v>
      </c>
      <c r="G21" s="974">
        <v>161</v>
      </c>
      <c r="H21" s="808">
        <v>68</v>
      </c>
      <c r="I21" s="809">
        <v>23</v>
      </c>
      <c r="J21" s="809">
        <v>61</v>
      </c>
      <c r="K21" s="974">
        <v>152</v>
      </c>
      <c r="L21" s="808">
        <v>49</v>
      </c>
      <c r="M21" s="809">
        <v>56</v>
      </c>
      <c r="N21" s="809">
        <v>63</v>
      </c>
      <c r="O21" s="974">
        <v>168</v>
      </c>
      <c r="P21" s="808">
        <v>34</v>
      </c>
      <c r="Q21" s="809">
        <v>52</v>
      </c>
      <c r="R21" s="809">
        <v>46</v>
      </c>
      <c r="S21" s="976">
        <v>132</v>
      </c>
      <c r="T21" s="808">
        <v>30</v>
      </c>
      <c r="U21" s="809">
        <v>59</v>
      </c>
      <c r="V21" s="809">
        <v>55</v>
      </c>
      <c r="W21" s="974">
        <f>SUM(T21:V21)</f>
        <v>144</v>
      </c>
      <c r="X21" s="808">
        <v>38</v>
      </c>
      <c r="Y21" s="809">
        <v>45</v>
      </c>
      <c r="Z21" s="809">
        <v>44</v>
      </c>
      <c r="AA21" s="974">
        <f>SUM(X21:Z21)</f>
        <v>127</v>
      </c>
      <c r="AB21" s="975">
        <v>29</v>
      </c>
      <c r="AC21" s="809">
        <v>69</v>
      </c>
      <c r="AD21" s="809">
        <v>37</v>
      </c>
      <c r="AE21" s="974">
        <f>SUM(AB21:AD21)</f>
        <v>135</v>
      </c>
      <c r="AF21" s="975">
        <v>36</v>
      </c>
      <c r="AG21" s="809">
        <v>39</v>
      </c>
      <c r="AH21" s="809">
        <v>44</v>
      </c>
      <c r="AI21" s="976">
        <f>SUM(AF21:AH21)</f>
        <v>119</v>
      </c>
      <c r="AJ21" s="975">
        <v>64</v>
      </c>
      <c r="AK21" s="809">
        <v>38</v>
      </c>
      <c r="AL21" s="846">
        <v>43</v>
      </c>
      <c r="AM21" s="976">
        <f>SUM(AJ21:AL21)</f>
        <v>145</v>
      </c>
      <c r="AN21" s="975">
        <v>41</v>
      </c>
      <c r="AO21" s="809">
        <v>57</v>
      </c>
      <c r="AP21" s="846">
        <v>46</v>
      </c>
      <c r="AQ21" s="976">
        <f>SUM(AN21:AP21)</f>
        <v>144</v>
      </c>
      <c r="AR21" s="977">
        <v>61</v>
      </c>
      <c r="AS21" s="977">
        <v>60</v>
      </c>
      <c r="AT21" s="977">
        <v>28</v>
      </c>
      <c r="AU21" s="978">
        <f t="shared" si="6"/>
        <v>149</v>
      </c>
      <c r="AV21" s="977">
        <v>46</v>
      </c>
      <c r="AW21" s="977">
        <v>42</v>
      </c>
      <c r="AX21" s="977">
        <v>29</v>
      </c>
      <c r="AY21" s="978">
        <f t="shared" si="7"/>
        <v>117</v>
      </c>
      <c r="AZ21" s="979">
        <v>36</v>
      </c>
      <c r="BA21" s="977">
        <v>40</v>
      </c>
      <c r="BB21" s="977">
        <v>15</v>
      </c>
      <c r="BC21" s="978">
        <v>91</v>
      </c>
      <c r="BD21" s="979">
        <v>29</v>
      </c>
      <c r="BE21" s="977">
        <v>43</v>
      </c>
      <c r="BF21" s="977">
        <v>13</v>
      </c>
      <c r="BG21" s="978">
        <f t="shared" si="8"/>
        <v>85</v>
      </c>
      <c r="BH21" s="979">
        <v>48</v>
      </c>
      <c r="BI21" s="977">
        <v>61</v>
      </c>
      <c r="BJ21" s="977">
        <v>28</v>
      </c>
      <c r="BK21" s="978">
        <f>SUM(BH21:BJ21)</f>
        <v>137</v>
      </c>
      <c r="BL21" s="979">
        <v>33</v>
      </c>
      <c r="BM21" s="977">
        <v>59</v>
      </c>
      <c r="BN21" s="977">
        <v>26</v>
      </c>
      <c r="BO21" s="978">
        <f>SUM(BL21:BN21)</f>
        <v>118</v>
      </c>
      <c r="BP21" s="979">
        <v>53</v>
      </c>
      <c r="BQ21" s="977">
        <v>50</v>
      </c>
      <c r="BR21" s="977">
        <v>33</v>
      </c>
      <c r="BS21" s="978">
        <f>SUM(BP21:BR21)</f>
        <v>136</v>
      </c>
    </row>
    <row r="22" spans="1:71" s="980" customFormat="1" ht="15" customHeight="1" x14ac:dyDescent="0.25">
      <c r="A22" s="5201"/>
      <c r="B22" s="5222"/>
      <c r="C22" s="981" t="s">
        <v>467</v>
      </c>
      <c r="D22" s="814">
        <v>61</v>
      </c>
      <c r="E22" s="815">
        <v>42</v>
      </c>
      <c r="F22" s="815">
        <v>52</v>
      </c>
      <c r="G22" s="982">
        <v>155</v>
      </c>
      <c r="H22" s="814">
        <v>49</v>
      </c>
      <c r="I22" s="815">
        <v>53</v>
      </c>
      <c r="J22" s="815">
        <v>58</v>
      </c>
      <c r="K22" s="982">
        <v>160</v>
      </c>
      <c r="L22" s="814">
        <v>78</v>
      </c>
      <c r="M22" s="815">
        <v>43</v>
      </c>
      <c r="N22" s="815">
        <v>41</v>
      </c>
      <c r="O22" s="982">
        <v>162</v>
      </c>
      <c r="P22" s="814">
        <v>61</v>
      </c>
      <c r="Q22" s="815">
        <v>32</v>
      </c>
      <c r="R22" s="815">
        <v>45</v>
      </c>
      <c r="S22" s="984">
        <v>138</v>
      </c>
      <c r="T22" s="814">
        <v>54</v>
      </c>
      <c r="U22" s="815">
        <v>72</v>
      </c>
      <c r="V22" s="815">
        <v>53</v>
      </c>
      <c r="W22" s="982">
        <f>SUM(T22:V22)</f>
        <v>179</v>
      </c>
      <c r="X22" s="814">
        <v>49</v>
      </c>
      <c r="Y22" s="815">
        <v>37</v>
      </c>
      <c r="Z22" s="815">
        <v>27</v>
      </c>
      <c r="AA22" s="982">
        <f>SUM(X22:Z22)</f>
        <v>113</v>
      </c>
      <c r="AB22" s="983">
        <v>43</v>
      </c>
      <c r="AC22" s="815">
        <v>51</v>
      </c>
      <c r="AD22" s="815">
        <v>51</v>
      </c>
      <c r="AE22" s="982">
        <f>SUM(AB22:AD22)</f>
        <v>145</v>
      </c>
      <c r="AF22" s="983">
        <v>57</v>
      </c>
      <c r="AG22" s="815">
        <v>61</v>
      </c>
      <c r="AH22" s="815">
        <v>52</v>
      </c>
      <c r="AI22" s="984">
        <f>SUM(AF22:AH22)</f>
        <v>170</v>
      </c>
      <c r="AJ22" s="983">
        <v>69</v>
      </c>
      <c r="AK22" s="815">
        <v>61</v>
      </c>
      <c r="AL22" s="848">
        <v>35</v>
      </c>
      <c r="AM22" s="984">
        <f>SUM(AJ22:AL22)</f>
        <v>165</v>
      </c>
      <c r="AN22" s="983">
        <v>37</v>
      </c>
      <c r="AO22" s="815">
        <v>46</v>
      </c>
      <c r="AP22" s="848">
        <v>43</v>
      </c>
      <c r="AQ22" s="984">
        <f>SUM(AN22:AP22)</f>
        <v>126</v>
      </c>
      <c r="AR22" s="985">
        <v>60</v>
      </c>
      <c r="AS22" s="985">
        <v>66</v>
      </c>
      <c r="AT22" s="985">
        <v>33</v>
      </c>
      <c r="AU22" s="986">
        <f t="shared" si="6"/>
        <v>159</v>
      </c>
      <c r="AV22" s="985">
        <v>44</v>
      </c>
      <c r="AW22" s="985">
        <v>34</v>
      </c>
      <c r="AX22" s="985">
        <v>42</v>
      </c>
      <c r="AY22" s="986">
        <f t="shared" si="7"/>
        <v>120</v>
      </c>
      <c r="AZ22" s="987">
        <v>28</v>
      </c>
      <c r="BA22" s="985">
        <v>49</v>
      </c>
      <c r="BB22" s="985">
        <v>6</v>
      </c>
      <c r="BC22" s="986">
        <v>83</v>
      </c>
      <c r="BD22" s="987">
        <v>45</v>
      </c>
      <c r="BE22" s="985">
        <v>44</v>
      </c>
      <c r="BF22" s="985">
        <v>16</v>
      </c>
      <c r="BG22" s="986">
        <f t="shared" si="8"/>
        <v>105</v>
      </c>
      <c r="BH22" s="987">
        <v>36</v>
      </c>
      <c r="BI22" s="985">
        <v>59</v>
      </c>
      <c r="BJ22" s="985">
        <v>12</v>
      </c>
      <c r="BK22" s="986">
        <f>SUM(BH22:BJ22)</f>
        <v>107</v>
      </c>
      <c r="BL22" s="987">
        <v>46</v>
      </c>
      <c r="BM22" s="985">
        <v>67</v>
      </c>
      <c r="BN22" s="985">
        <v>14</v>
      </c>
      <c r="BO22" s="986">
        <f>SUM(BL22:BN22)</f>
        <v>127</v>
      </c>
      <c r="BP22" s="987">
        <v>44</v>
      </c>
      <c r="BQ22" s="985">
        <v>49</v>
      </c>
      <c r="BR22" s="985">
        <v>17</v>
      </c>
      <c r="BS22" s="986">
        <f>SUM(BP22:BR22)</f>
        <v>110</v>
      </c>
    </row>
    <row r="23" spans="1:71" s="980" customFormat="1" ht="15" customHeight="1" x14ac:dyDescent="0.25">
      <c r="A23" s="5201"/>
      <c r="B23" s="5222"/>
      <c r="C23" s="988" t="s">
        <v>468</v>
      </c>
      <c r="D23" s="823">
        <v>16</v>
      </c>
      <c r="E23" s="824">
        <v>22</v>
      </c>
      <c r="F23" s="824">
        <v>31</v>
      </c>
      <c r="G23" s="989">
        <v>69</v>
      </c>
      <c r="H23" s="823">
        <v>41</v>
      </c>
      <c r="I23" s="824">
        <v>22</v>
      </c>
      <c r="J23" s="824">
        <v>36</v>
      </c>
      <c r="K23" s="989">
        <v>99</v>
      </c>
      <c r="L23" s="823">
        <v>8</v>
      </c>
      <c r="M23" s="824">
        <v>15</v>
      </c>
      <c r="N23" s="824">
        <v>17</v>
      </c>
      <c r="O23" s="989">
        <v>40</v>
      </c>
      <c r="P23" s="823">
        <v>11</v>
      </c>
      <c r="Q23" s="824">
        <v>20</v>
      </c>
      <c r="R23" s="824">
        <v>21</v>
      </c>
      <c r="S23" s="991">
        <v>52</v>
      </c>
      <c r="T23" s="823">
        <v>51</v>
      </c>
      <c r="U23" s="824">
        <v>22</v>
      </c>
      <c r="V23" s="824">
        <v>24</v>
      </c>
      <c r="W23" s="989">
        <f>SUM(T23:V23)</f>
        <v>97</v>
      </c>
      <c r="X23" s="823">
        <v>23</v>
      </c>
      <c r="Y23" s="824">
        <v>34</v>
      </c>
      <c r="Z23" s="824">
        <v>22</v>
      </c>
      <c r="AA23" s="989">
        <f>SUM(X23:Z23)</f>
        <v>79</v>
      </c>
      <c r="AB23" s="990">
        <v>26</v>
      </c>
      <c r="AC23" s="824">
        <v>24</v>
      </c>
      <c r="AD23" s="824">
        <v>22</v>
      </c>
      <c r="AE23" s="989">
        <f>SUM(AB23:AD23)</f>
        <v>72</v>
      </c>
      <c r="AF23" s="990">
        <v>35</v>
      </c>
      <c r="AG23" s="824">
        <v>19</v>
      </c>
      <c r="AH23" s="824">
        <v>15</v>
      </c>
      <c r="AI23" s="991">
        <f>SUM(AF23:AH23)</f>
        <v>69</v>
      </c>
      <c r="AJ23" s="990">
        <v>19</v>
      </c>
      <c r="AK23" s="824">
        <v>27</v>
      </c>
      <c r="AL23" s="873">
        <v>13</v>
      </c>
      <c r="AM23" s="991">
        <f>SUM(AJ23:AL23)</f>
        <v>59</v>
      </c>
      <c r="AN23" s="990">
        <v>7</v>
      </c>
      <c r="AO23" s="824">
        <v>42</v>
      </c>
      <c r="AP23" s="873">
        <v>23</v>
      </c>
      <c r="AQ23" s="991">
        <f>SUM(AN23:AP23)</f>
        <v>72</v>
      </c>
      <c r="AR23" s="992">
        <v>26</v>
      </c>
      <c r="AS23" s="992">
        <v>17</v>
      </c>
      <c r="AT23" s="992">
        <v>13</v>
      </c>
      <c r="AU23" s="993">
        <f t="shared" si="6"/>
        <v>56</v>
      </c>
      <c r="AV23" s="992">
        <v>18</v>
      </c>
      <c r="AW23" s="992">
        <v>24</v>
      </c>
      <c r="AX23" s="992">
        <v>42</v>
      </c>
      <c r="AY23" s="993">
        <f t="shared" si="7"/>
        <v>84</v>
      </c>
      <c r="AZ23" s="994">
        <v>19</v>
      </c>
      <c r="BA23" s="992">
        <v>39</v>
      </c>
      <c r="BB23" s="992">
        <v>10</v>
      </c>
      <c r="BC23" s="993">
        <v>68</v>
      </c>
      <c r="BD23" s="994">
        <v>22</v>
      </c>
      <c r="BE23" s="992">
        <v>33</v>
      </c>
      <c r="BF23" s="992">
        <v>8</v>
      </c>
      <c r="BG23" s="993">
        <f t="shared" si="8"/>
        <v>63</v>
      </c>
      <c r="BH23" s="994">
        <v>29</v>
      </c>
      <c r="BI23" s="992">
        <v>51</v>
      </c>
      <c r="BJ23" s="992">
        <v>9</v>
      </c>
      <c r="BK23" s="993">
        <f>SUM(BH23:BJ23)</f>
        <v>89</v>
      </c>
      <c r="BL23" s="994">
        <v>48</v>
      </c>
      <c r="BM23" s="992">
        <v>39</v>
      </c>
      <c r="BN23" s="992">
        <v>13</v>
      </c>
      <c r="BO23" s="993">
        <f>SUM(BL23:BN23)</f>
        <v>100</v>
      </c>
      <c r="BP23" s="994">
        <v>34</v>
      </c>
      <c r="BQ23" s="992">
        <v>45</v>
      </c>
      <c r="BR23" s="992">
        <v>18</v>
      </c>
      <c r="BS23" s="993">
        <f>SUM(BP23:BR23)</f>
        <v>97</v>
      </c>
    </row>
    <row r="24" spans="1:71" s="980" customFormat="1" ht="15" customHeight="1" x14ac:dyDescent="0.25">
      <c r="A24" s="5201"/>
      <c r="B24" s="5223"/>
      <c r="C24" s="995" t="s">
        <v>160</v>
      </c>
      <c r="D24" s="996">
        <v>129</v>
      </c>
      <c r="E24" s="997">
        <v>110</v>
      </c>
      <c r="F24" s="997">
        <v>146</v>
      </c>
      <c r="G24" s="998">
        <v>385</v>
      </c>
      <c r="H24" s="996">
        <v>158</v>
      </c>
      <c r="I24" s="997">
        <v>98</v>
      </c>
      <c r="J24" s="997">
        <v>155</v>
      </c>
      <c r="K24" s="998">
        <v>411</v>
      </c>
      <c r="L24" s="996">
        <v>135</v>
      </c>
      <c r="M24" s="997">
        <v>114</v>
      </c>
      <c r="N24" s="997">
        <v>121</v>
      </c>
      <c r="O24" s="998">
        <v>370</v>
      </c>
      <c r="P24" s="996">
        <v>106</v>
      </c>
      <c r="Q24" s="997">
        <v>104</v>
      </c>
      <c r="R24" s="997">
        <v>112</v>
      </c>
      <c r="S24" s="998">
        <v>322</v>
      </c>
      <c r="T24" s="996">
        <f t="shared" ref="T24:BC24" si="20">SUM(T21:T23)</f>
        <v>135</v>
      </c>
      <c r="U24" s="997">
        <f t="shared" si="20"/>
        <v>153</v>
      </c>
      <c r="V24" s="997">
        <f t="shared" si="20"/>
        <v>132</v>
      </c>
      <c r="W24" s="998">
        <f t="shared" si="20"/>
        <v>420</v>
      </c>
      <c r="X24" s="996">
        <f t="shared" si="20"/>
        <v>110</v>
      </c>
      <c r="Y24" s="997">
        <f t="shared" si="20"/>
        <v>116</v>
      </c>
      <c r="Z24" s="997">
        <f t="shared" si="20"/>
        <v>93</v>
      </c>
      <c r="AA24" s="998">
        <f t="shared" si="20"/>
        <v>319</v>
      </c>
      <c r="AB24" s="996">
        <f t="shared" si="20"/>
        <v>98</v>
      </c>
      <c r="AC24" s="997">
        <f t="shared" si="20"/>
        <v>144</v>
      </c>
      <c r="AD24" s="997">
        <f t="shared" si="20"/>
        <v>110</v>
      </c>
      <c r="AE24" s="998">
        <f t="shared" si="20"/>
        <v>352</v>
      </c>
      <c r="AF24" s="996">
        <f t="shared" si="20"/>
        <v>128</v>
      </c>
      <c r="AG24" s="997">
        <f t="shared" si="20"/>
        <v>119</v>
      </c>
      <c r="AH24" s="997">
        <f t="shared" si="20"/>
        <v>111</v>
      </c>
      <c r="AI24" s="998">
        <f t="shared" si="20"/>
        <v>358</v>
      </c>
      <c r="AJ24" s="996">
        <f t="shared" si="20"/>
        <v>152</v>
      </c>
      <c r="AK24" s="997">
        <f t="shared" si="20"/>
        <v>126</v>
      </c>
      <c r="AL24" s="997">
        <f t="shared" si="20"/>
        <v>91</v>
      </c>
      <c r="AM24" s="998">
        <f t="shared" si="20"/>
        <v>369</v>
      </c>
      <c r="AN24" s="996">
        <f t="shared" si="20"/>
        <v>85</v>
      </c>
      <c r="AO24" s="997">
        <f t="shared" si="20"/>
        <v>145</v>
      </c>
      <c r="AP24" s="997">
        <f t="shared" si="20"/>
        <v>112</v>
      </c>
      <c r="AQ24" s="998">
        <f t="shared" si="20"/>
        <v>342</v>
      </c>
      <c r="AR24" s="996">
        <f t="shared" si="20"/>
        <v>147</v>
      </c>
      <c r="AS24" s="997">
        <f t="shared" si="20"/>
        <v>143</v>
      </c>
      <c r="AT24" s="997">
        <f t="shared" si="20"/>
        <v>74</v>
      </c>
      <c r="AU24" s="998">
        <f t="shared" si="6"/>
        <v>364</v>
      </c>
      <c r="AV24" s="996">
        <f t="shared" ref="AV24:AX24" si="21">SUM(AV21:AV23)</f>
        <v>108</v>
      </c>
      <c r="AW24" s="997">
        <f t="shared" si="21"/>
        <v>100</v>
      </c>
      <c r="AX24" s="997">
        <f t="shared" si="21"/>
        <v>113</v>
      </c>
      <c r="AY24" s="998">
        <f t="shared" si="7"/>
        <v>321</v>
      </c>
      <c r="AZ24" s="996">
        <f t="shared" si="20"/>
        <v>83</v>
      </c>
      <c r="BA24" s="997">
        <f t="shared" si="20"/>
        <v>128</v>
      </c>
      <c r="BB24" s="997">
        <f t="shared" si="20"/>
        <v>31</v>
      </c>
      <c r="BC24" s="998">
        <f t="shared" si="20"/>
        <v>242</v>
      </c>
      <c r="BD24" s="996">
        <f t="shared" ref="BD24:BK24" si="22">SUM(BD21:BD23)</f>
        <v>96</v>
      </c>
      <c r="BE24" s="997">
        <f t="shared" si="22"/>
        <v>120</v>
      </c>
      <c r="BF24" s="997">
        <f t="shared" si="22"/>
        <v>37</v>
      </c>
      <c r="BG24" s="998">
        <f t="shared" si="22"/>
        <v>253</v>
      </c>
      <c r="BH24" s="996">
        <f t="shared" si="22"/>
        <v>113</v>
      </c>
      <c r="BI24" s="997">
        <f t="shared" si="22"/>
        <v>171</v>
      </c>
      <c r="BJ24" s="997">
        <f t="shared" si="22"/>
        <v>49</v>
      </c>
      <c r="BK24" s="998">
        <f t="shared" si="22"/>
        <v>333</v>
      </c>
      <c r="BL24" s="996">
        <f t="shared" ref="BL24:BS24" si="23">SUM(BL21:BL23)</f>
        <v>127</v>
      </c>
      <c r="BM24" s="997">
        <f t="shared" si="23"/>
        <v>165</v>
      </c>
      <c r="BN24" s="997">
        <f t="shared" si="23"/>
        <v>53</v>
      </c>
      <c r="BO24" s="998">
        <f t="shared" si="23"/>
        <v>345</v>
      </c>
      <c r="BP24" s="996">
        <f t="shared" si="23"/>
        <v>131</v>
      </c>
      <c r="BQ24" s="997">
        <f t="shared" si="23"/>
        <v>144</v>
      </c>
      <c r="BR24" s="997">
        <f t="shared" si="23"/>
        <v>68</v>
      </c>
      <c r="BS24" s="998">
        <f t="shared" si="23"/>
        <v>343</v>
      </c>
    </row>
    <row r="25" spans="1:71" s="980" customFormat="1" ht="15" customHeight="1" x14ac:dyDescent="0.25">
      <c r="A25" s="5202"/>
      <c r="B25" s="4014"/>
      <c r="C25" s="4015" t="s">
        <v>450</v>
      </c>
      <c r="D25" s="4016">
        <v>473</v>
      </c>
      <c r="E25" s="4017">
        <v>487</v>
      </c>
      <c r="F25" s="4017">
        <v>449</v>
      </c>
      <c r="G25" s="4018">
        <v>1409</v>
      </c>
      <c r="H25" s="4016">
        <v>497</v>
      </c>
      <c r="I25" s="4017">
        <v>438</v>
      </c>
      <c r="J25" s="4017">
        <v>431</v>
      </c>
      <c r="K25" s="4018">
        <v>1366</v>
      </c>
      <c r="L25" s="4016">
        <v>455</v>
      </c>
      <c r="M25" s="4017">
        <v>414</v>
      </c>
      <c r="N25" s="4017">
        <v>427</v>
      </c>
      <c r="O25" s="4018">
        <v>1296</v>
      </c>
      <c r="P25" s="4016">
        <v>407</v>
      </c>
      <c r="Q25" s="4017">
        <v>439</v>
      </c>
      <c r="R25" s="4017">
        <v>412</v>
      </c>
      <c r="S25" s="4018">
        <v>1258</v>
      </c>
      <c r="T25" s="4016">
        <f t="shared" ref="T25:AQ25" si="24">SUM(T24,T20,T15)</f>
        <v>477</v>
      </c>
      <c r="U25" s="4017">
        <f t="shared" si="24"/>
        <v>561</v>
      </c>
      <c r="V25" s="4017">
        <f t="shared" si="24"/>
        <v>429</v>
      </c>
      <c r="W25" s="4018">
        <f t="shared" si="24"/>
        <v>1467</v>
      </c>
      <c r="X25" s="4016">
        <f t="shared" si="24"/>
        <v>407</v>
      </c>
      <c r="Y25" s="4017">
        <f t="shared" si="24"/>
        <v>498</v>
      </c>
      <c r="Z25" s="4017">
        <f t="shared" si="24"/>
        <v>373</v>
      </c>
      <c r="AA25" s="4018">
        <f t="shared" si="24"/>
        <v>1278</v>
      </c>
      <c r="AB25" s="4016">
        <f t="shared" si="24"/>
        <v>406</v>
      </c>
      <c r="AC25" s="4017">
        <f t="shared" si="24"/>
        <v>497</v>
      </c>
      <c r="AD25" s="4017">
        <f t="shared" si="24"/>
        <v>388</v>
      </c>
      <c r="AE25" s="4018">
        <f t="shared" si="24"/>
        <v>1291</v>
      </c>
      <c r="AF25" s="4016">
        <f t="shared" si="24"/>
        <v>425</v>
      </c>
      <c r="AG25" s="4017">
        <f t="shared" si="24"/>
        <v>428</v>
      </c>
      <c r="AH25" s="4017">
        <f t="shared" si="24"/>
        <v>394</v>
      </c>
      <c r="AI25" s="4018">
        <f t="shared" si="24"/>
        <v>1247</v>
      </c>
      <c r="AJ25" s="4016">
        <f t="shared" si="24"/>
        <v>410</v>
      </c>
      <c r="AK25" s="4017">
        <f t="shared" si="24"/>
        <v>451</v>
      </c>
      <c r="AL25" s="4017">
        <f t="shared" si="24"/>
        <v>335</v>
      </c>
      <c r="AM25" s="4018">
        <f t="shared" si="24"/>
        <v>1196</v>
      </c>
      <c r="AN25" s="4016">
        <f t="shared" si="24"/>
        <v>381</v>
      </c>
      <c r="AO25" s="4017">
        <f t="shared" si="24"/>
        <v>459</v>
      </c>
      <c r="AP25" s="4017">
        <f t="shared" si="24"/>
        <v>353</v>
      </c>
      <c r="AQ25" s="4018">
        <f t="shared" si="24"/>
        <v>1193</v>
      </c>
      <c r="AR25" s="4207">
        <f>SUM(AR24,AR20,AR15)</f>
        <v>424</v>
      </c>
      <c r="AS25" s="4208">
        <f t="shared" ref="AS25:AT25" si="25">SUM(AS24,AS20,AS15)</f>
        <v>480</v>
      </c>
      <c r="AT25" s="4208">
        <f t="shared" si="25"/>
        <v>310</v>
      </c>
      <c r="AU25" s="4209">
        <f t="shared" si="6"/>
        <v>1214</v>
      </c>
      <c r="AV25" s="4207">
        <f t="shared" ref="AV25:AX25" si="26">SUM(AV24,AV20,AV15)</f>
        <v>371</v>
      </c>
      <c r="AW25" s="4208">
        <f t="shared" si="26"/>
        <v>484</v>
      </c>
      <c r="AX25" s="4208">
        <f t="shared" si="26"/>
        <v>337</v>
      </c>
      <c r="AY25" s="4209">
        <f t="shared" si="7"/>
        <v>1192</v>
      </c>
      <c r="AZ25" s="4016">
        <f t="shared" ref="AZ25:BO25" si="27">SUM(AZ24,AZ20,AZ15)</f>
        <v>368</v>
      </c>
      <c r="BA25" s="4017">
        <f t="shared" si="27"/>
        <v>441</v>
      </c>
      <c r="BB25" s="4017">
        <f t="shared" si="27"/>
        <v>276</v>
      </c>
      <c r="BC25" s="4018">
        <f t="shared" si="27"/>
        <v>1085</v>
      </c>
      <c r="BD25" s="4016">
        <f t="shared" si="27"/>
        <v>366</v>
      </c>
      <c r="BE25" s="4017">
        <f t="shared" si="27"/>
        <v>453</v>
      </c>
      <c r="BF25" s="4017">
        <f t="shared" si="27"/>
        <v>320</v>
      </c>
      <c r="BG25" s="4018">
        <f t="shared" si="27"/>
        <v>1139</v>
      </c>
      <c r="BH25" s="4016">
        <f t="shared" si="27"/>
        <v>499</v>
      </c>
      <c r="BI25" s="4017">
        <f t="shared" si="27"/>
        <v>657</v>
      </c>
      <c r="BJ25" s="4017">
        <f t="shared" si="27"/>
        <v>423</v>
      </c>
      <c r="BK25" s="4018">
        <f t="shared" si="27"/>
        <v>1579</v>
      </c>
      <c r="BL25" s="4016">
        <f t="shared" si="27"/>
        <v>535</v>
      </c>
      <c r="BM25" s="4017">
        <f t="shared" si="27"/>
        <v>590</v>
      </c>
      <c r="BN25" s="4017">
        <f t="shared" si="27"/>
        <v>355</v>
      </c>
      <c r="BO25" s="4018">
        <f t="shared" si="27"/>
        <v>1480</v>
      </c>
      <c r="BP25" s="4016">
        <f t="shared" ref="BP25:BS25" si="28">SUM(BP24,BP20,BP15)</f>
        <v>473</v>
      </c>
      <c r="BQ25" s="4017">
        <f t="shared" si="28"/>
        <v>576</v>
      </c>
      <c r="BR25" s="4017">
        <f t="shared" si="28"/>
        <v>450</v>
      </c>
      <c r="BS25" s="4018">
        <f t="shared" si="28"/>
        <v>1499</v>
      </c>
    </row>
    <row r="26" spans="1:71" s="980" customFormat="1" ht="15" customHeight="1" x14ac:dyDescent="0.25">
      <c r="A26" s="5069" t="s">
        <v>8</v>
      </c>
      <c r="B26" s="5218" t="s">
        <v>6</v>
      </c>
      <c r="C26" s="999" t="s">
        <v>462</v>
      </c>
      <c r="D26" s="1000"/>
      <c r="E26" s="1000"/>
      <c r="F26" s="1000"/>
      <c r="G26" s="1001"/>
      <c r="H26" s="1000"/>
      <c r="I26" s="1000"/>
      <c r="J26" s="1000"/>
      <c r="K26" s="1001"/>
      <c r="L26" s="1000"/>
      <c r="M26" s="1000"/>
      <c r="N26" s="1000"/>
      <c r="O26" s="1001"/>
      <c r="P26" s="4097"/>
      <c r="Q26" s="1000"/>
      <c r="R26" s="1000"/>
      <c r="S26" s="1001"/>
      <c r="T26" s="1000"/>
      <c r="U26" s="1000"/>
      <c r="V26" s="1000"/>
      <c r="W26" s="1001"/>
      <c r="X26" s="1000"/>
      <c r="Y26" s="1000"/>
      <c r="Z26" s="1000"/>
      <c r="AA26" s="1001"/>
      <c r="AB26" s="1000"/>
      <c r="AC26" s="1000"/>
      <c r="AD26" s="1000"/>
      <c r="AE26" s="1001"/>
      <c r="AF26" s="4097"/>
      <c r="AG26" s="1000"/>
      <c r="AH26" s="1000"/>
      <c r="AI26" s="1001"/>
      <c r="AJ26" s="1000"/>
      <c r="AK26" s="1000"/>
      <c r="AL26" s="1000"/>
      <c r="AM26" s="1001"/>
      <c r="AN26" s="1000"/>
      <c r="AO26" s="1000"/>
      <c r="AP26" s="1000"/>
      <c r="AQ26" s="1000"/>
      <c r="AR26" s="979" t="s">
        <v>227</v>
      </c>
      <c r="AS26" s="977" t="s">
        <v>227</v>
      </c>
      <c r="AT26" s="977">
        <v>30</v>
      </c>
      <c r="AU26" s="1002">
        <f t="shared" si="6"/>
        <v>30</v>
      </c>
      <c r="AV26" s="979">
        <v>1</v>
      </c>
      <c r="AW26" s="977">
        <v>2</v>
      </c>
      <c r="AX26" s="977">
        <v>21</v>
      </c>
      <c r="AY26" s="1002">
        <f t="shared" si="7"/>
        <v>24</v>
      </c>
      <c r="AZ26" s="979">
        <v>5</v>
      </c>
      <c r="BA26" s="977">
        <v>31</v>
      </c>
      <c r="BB26" s="977">
        <v>4</v>
      </c>
      <c r="BC26" s="978">
        <v>40</v>
      </c>
      <c r="BD26" s="979">
        <v>7</v>
      </c>
      <c r="BE26" s="977">
        <v>15</v>
      </c>
      <c r="BF26" s="977">
        <v>8</v>
      </c>
      <c r="BG26" s="978">
        <f t="shared" si="8"/>
        <v>30</v>
      </c>
      <c r="BH26" s="979">
        <v>15</v>
      </c>
      <c r="BI26" s="977">
        <v>17</v>
      </c>
      <c r="BJ26" s="977"/>
      <c r="BK26" s="978">
        <f>SUM(BH26:BJ26)</f>
        <v>32</v>
      </c>
      <c r="BL26" s="979">
        <v>4</v>
      </c>
      <c r="BM26" s="977">
        <v>16</v>
      </c>
      <c r="BN26" s="977">
        <v>4</v>
      </c>
      <c r="BO26" s="978">
        <f>SUM(BL26:BN26)</f>
        <v>24</v>
      </c>
      <c r="BP26" s="979">
        <v>0</v>
      </c>
      <c r="BQ26" s="977">
        <v>13</v>
      </c>
      <c r="BR26" s="977">
        <v>2</v>
      </c>
      <c r="BS26" s="978">
        <f>SUM(BP26:BR26)</f>
        <v>15</v>
      </c>
    </row>
    <row r="27" spans="1:71" s="980" customFormat="1" ht="15" customHeight="1" x14ac:dyDescent="0.25">
      <c r="A27" s="5070"/>
      <c r="B27" s="5219"/>
      <c r="C27" s="3886" t="s">
        <v>463</v>
      </c>
      <c r="D27" s="3887"/>
      <c r="E27" s="3887"/>
      <c r="F27" s="3887"/>
      <c r="G27" s="3888"/>
      <c r="H27" s="3887"/>
      <c r="I27" s="3887"/>
      <c r="J27" s="3887"/>
      <c r="K27" s="3888"/>
      <c r="L27" s="3887"/>
      <c r="M27" s="3887"/>
      <c r="N27" s="3887"/>
      <c r="O27" s="3888"/>
      <c r="P27" s="4098"/>
      <c r="Q27" s="3887"/>
      <c r="R27" s="3887"/>
      <c r="S27" s="3888"/>
      <c r="T27" s="3887"/>
      <c r="U27" s="3887"/>
      <c r="V27" s="3887"/>
      <c r="W27" s="3888"/>
      <c r="X27" s="3887"/>
      <c r="Y27" s="3887"/>
      <c r="Z27" s="3887"/>
      <c r="AA27" s="3888"/>
      <c r="AB27" s="3887"/>
      <c r="AC27" s="3887"/>
      <c r="AD27" s="3887"/>
      <c r="AE27" s="3888"/>
      <c r="AF27" s="4098"/>
      <c r="AG27" s="3887"/>
      <c r="AH27" s="3887"/>
      <c r="AI27" s="3888"/>
      <c r="AJ27" s="3887"/>
      <c r="AK27" s="3887"/>
      <c r="AL27" s="3887"/>
      <c r="AM27" s="3888"/>
      <c r="AN27" s="3887"/>
      <c r="AO27" s="3887"/>
      <c r="AP27" s="3887"/>
      <c r="AQ27" s="3887"/>
      <c r="AR27" s="3889"/>
      <c r="AS27" s="3890">
        <v>16</v>
      </c>
      <c r="AT27" s="3890">
        <v>1</v>
      </c>
      <c r="AU27" s="3891">
        <f>SUM(AS27:AT27)</f>
        <v>17</v>
      </c>
      <c r="AV27" s="3889"/>
      <c r="AW27" s="3890">
        <v>1</v>
      </c>
      <c r="AX27" s="3890">
        <v>3</v>
      </c>
      <c r="AY27" s="3891">
        <f>SUM(AW27:AX27)</f>
        <v>4</v>
      </c>
      <c r="AZ27" s="3889"/>
      <c r="BA27" s="3890"/>
      <c r="BB27" s="3890"/>
      <c r="BC27" s="3892"/>
      <c r="BD27" s="3889"/>
      <c r="BE27" s="3890"/>
      <c r="BF27" s="3890"/>
      <c r="BG27" s="3892"/>
      <c r="BH27" s="3889"/>
      <c r="BI27" s="3890"/>
      <c r="BJ27" s="3890"/>
      <c r="BK27" s="3892"/>
      <c r="BL27" s="3889"/>
      <c r="BM27" s="3890">
        <v>2</v>
      </c>
      <c r="BN27" s="3890">
        <v>0</v>
      </c>
      <c r="BO27" s="3892">
        <f>SUM(BL27:BN27)</f>
        <v>2</v>
      </c>
      <c r="BP27" s="3889"/>
      <c r="BQ27" s="3890"/>
      <c r="BR27" s="3890"/>
      <c r="BS27" s="3892">
        <f>SUM(BP27:BR27)</f>
        <v>0</v>
      </c>
    </row>
    <row r="28" spans="1:71" s="980" customFormat="1" ht="15" customHeight="1" x14ac:dyDescent="0.25">
      <c r="A28" s="5070"/>
      <c r="B28" s="5219"/>
      <c r="C28" s="1003" t="s">
        <v>501</v>
      </c>
      <c r="D28" s="1004"/>
      <c r="E28" s="1004"/>
      <c r="F28" s="1004"/>
      <c r="G28" s="1005"/>
      <c r="H28" s="1004"/>
      <c r="I28" s="1004"/>
      <c r="J28" s="1004"/>
      <c r="K28" s="1005"/>
      <c r="L28" s="1004"/>
      <c r="M28" s="1004"/>
      <c r="N28" s="1004"/>
      <c r="O28" s="1005"/>
      <c r="P28" s="4099"/>
      <c r="Q28" s="1004"/>
      <c r="R28" s="1004"/>
      <c r="S28" s="1005"/>
      <c r="T28" s="1004"/>
      <c r="U28" s="1004"/>
      <c r="V28" s="1004"/>
      <c r="W28" s="1005"/>
      <c r="X28" s="1004"/>
      <c r="Y28" s="1004"/>
      <c r="Z28" s="1004"/>
      <c r="AA28" s="1005"/>
      <c r="AB28" s="1004"/>
      <c r="AC28" s="1004"/>
      <c r="AD28" s="1004"/>
      <c r="AE28" s="1005"/>
      <c r="AF28" s="4099"/>
      <c r="AG28" s="1004"/>
      <c r="AH28" s="1004"/>
      <c r="AI28" s="1005"/>
      <c r="AJ28" s="1004"/>
      <c r="AK28" s="1004"/>
      <c r="AL28" s="1004"/>
      <c r="AM28" s="1005"/>
      <c r="AN28" s="1004"/>
      <c r="AO28" s="1004"/>
      <c r="AP28" s="1004"/>
      <c r="AQ28" s="1004"/>
      <c r="AR28" s="987"/>
      <c r="AS28" s="985"/>
      <c r="AT28" s="985"/>
      <c r="AU28" s="1006">
        <f t="shared" si="6"/>
        <v>0</v>
      </c>
      <c r="AV28" s="987"/>
      <c r="AW28" s="985"/>
      <c r="AX28" s="985"/>
      <c r="AY28" s="1006">
        <f t="shared" si="7"/>
        <v>0</v>
      </c>
      <c r="AZ28" s="987"/>
      <c r="BA28" s="985">
        <v>7</v>
      </c>
      <c r="BB28" s="985">
        <v>1</v>
      </c>
      <c r="BC28" s="986">
        <v>8</v>
      </c>
      <c r="BD28" s="987">
        <v>1</v>
      </c>
      <c r="BE28" s="985">
        <v>12</v>
      </c>
      <c r="BF28" s="985">
        <v>4</v>
      </c>
      <c r="BG28" s="986">
        <f t="shared" si="8"/>
        <v>17</v>
      </c>
      <c r="BH28" s="987">
        <v>1</v>
      </c>
      <c r="BI28" s="985">
        <v>3</v>
      </c>
      <c r="BJ28" s="985"/>
      <c r="BK28" s="986">
        <f>SUM(BH28:BJ28)</f>
        <v>4</v>
      </c>
      <c r="BL28" s="987"/>
      <c r="BM28" s="985">
        <v>1</v>
      </c>
      <c r="BN28" s="985">
        <v>3</v>
      </c>
      <c r="BO28" s="986">
        <f>SUM(BL28:BN28)</f>
        <v>4</v>
      </c>
      <c r="BP28" s="987">
        <v>2</v>
      </c>
      <c r="BQ28" s="985">
        <v>0</v>
      </c>
      <c r="BR28" s="985">
        <v>0</v>
      </c>
      <c r="BS28" s="986">
        <f>SUM(BP28:BR28)</f>
        <v>2</v>
      </c>
    </row>
    <row r="29" spans="1:71" s="980" customFormat="1" ht="15" customHeight="1" x14ac:dyDescent="0.25">
      <c r="A29" s="5070"/>
      <c r="B29" s="5219"/>
      <c r="C29" s="988" t="s">
        <v>502</v>
      </c>
      <c r="D29" s="823"/>
      <c r="E29" s="824"/>
      <c r="F29" s="824"/>
      <c r="G29" s="989"/>
      <c r="H29" s="823"/>
      <c r="I29" s="824"/>
      <c r="J29" s="824"/>
      <c r="K29" s="989"/>
      <c r="L29" s="823"/>
      <c r="M29" s="824"/>
      <c r="N29" s="824"/>
      <c r="O29" s="989"/>
      <c r="P29" s="823"/>
      <c r="Q29" s="824"/>
      <c r="R29" s="824"/>
      <c r="S29" s="991"/>
      <c r="T29" s="823"/>
      <c r="U29" s="824"/>
      <c r="V29" s="824"/>
      <c r="W29" s="989"/>
      <c r="X29" s="823"/>
      <c r="Y29" s="824"/>
      <c r="Z29" s="824"/>
      <c r="AA29" s="989"/>
      <c r="AB29" s="990"/>
      <c r="AC29" s="824"/>
      <c r="AD29" s="824"/>
      <c r="AE29" s="989"/>
      <c r="AF29" s="990"/>
      <c r="AG29" s="824"/>
      <c r="AH29" s="824"/>
      <c r="AI29" s="991"/>
      <c r="AJ29" s="990"/>
      <c r="AK29" s="824"/>
      <c r="AL29" s="873"/>
      <c r="AM29" s="991"/>
      <c r="AN29" s="990"/>
      <c r="AO29" s="824"/>
      <c r="AP29" s="873"/>
      <c r="AQ29" s="991"/>
      <c r="AR29" s="992" t="s">
        <v>227</v>
      </c>
      <c r="AS29" s="992"/>
      <c r="AT29" s="992"/>
      <c r="AU29" s="993">
        <f t="shared" si="6"/>
        <v>0</v>
      </c>
      <c r="AV29" s="992"/>
      <c r="AW29" s="992"/>
      <c r="AX29" s="992"/>
      <c r="AY29" s="993">
        <f t="shared" si="7"/>
        <v>0</v>
      </c>
      <c r="AZ29" s="994"/>
      <c r="BA29" s="992">
        <v>1</v>
      </c>
      <c r="BB29" s="992">
        <v>2</v>
      </c>
      <c r="BC29" s="993">
        <v>3</v>
      </c>
      <c r="BD29" s="994">
        <v>4</v>
      </c>
      <c r="BE29" s="992">
        <v>2</v>
      </c>
      <c r="BF29" s="992">
        <v>1</v>
      </c>
      <c r="BG29" s="993">
        <f t="shared" si="8"/>
        <v>7</v>
      </c>
      <c r="BH29" s="994">
        <v>1</v>
      </c>
      <c r="BI29" s="992">
        <v>4</v>
      </c>
      <c r="BJ29" s="992">
        <v>2</v>
      </c>
      <c r="BK29" s="993">
        <f>SUM(BH29:BJ29)</f>
        <v>7</v>
      </c>
      <c r="BL29" s="994">
        <v>1</v>
      </c>
      <c r="BM29" s="992">
        <v>1</v>
      </c>
      <c r="BN29" s="992">
        <v>1</v>
      </c>
      <c r="BO29" s="993">
        <f>SUM(BL29:BN29)</f>
        <v>3</v>
      </c>
      <c r="BP29" s="994">
        <v>4</v>
      </c>
      <c r="BQ29" s="992">
        <v>5</v>
      </c>
      <c r="BR29" s="992">
        <v>2</v>
      </c>
      <c r="BS29" s="993">
        <f>SUM(BP29:BR29)</f>
        <v>11</v>
      </c>
    </row>
    <row r="30" spans="1:71" s="980" customFormat="1" ht="15" customHeight="1" x14ac:dyDescent="0.25">
      <c r="A30" s="5070"/>
      <c r="B30" s="5220"/>
      <c r="C30" s="995" t="s">
        <v>160</v>
      </c>
      <c r="D30" s="996"/>
      <c r="E30" s="997"/>
      <c r="F30" s="997"/>
      <c r="G30" s="998"/>
      <c r="H30" s="996"/>
      <c r="I30" s="997"/>
      <c r="J30" s="997"/>
      <c r="K30" s="998"/>
      <c r="L30" s="996"/>
      <c r="M30" s="997"/>
      <c r="N30" s="997"/>
      <c r="O30" s="998"/>
      <c r="P30" s="996"/>
      <c r="Q30" s="997"/>
      <c r="R30" s="997"/>
      <c r="S30" s="998"/>
      <c r="T30" s="996"/>
      <c r="U30" s="997"/>
      <c r="V30" s="997"/>
      <c r="W30" s="998"/>
      <c r="X30" s="996"/>
      <c r="Y30" s="997"/>
      <c r="Z30" s="997"/>
      <c r="AA30" s="998"/>
      <c r="AB30" s="996"/>
      <c r="AC30" s="997"/>
      <c r="AD30" s="997"/>
      <c r="AE30" s="998"/>
      <c r="AF30" s="996"/>
      <c r="AG30" s="997"/>
      <c r="AH30" s="997"/>
      <c r="AI30" s="998"/>
      <c r="AJ30" s="996"/>
      <c r="AK30" s="997"/>
      <c r="AL30" s="997"/>
      <c r="AM30" s="998"/>
      <c r="AN30" s="996"/>
      <c r="AO30" s="997"/>
      <c r="AP30" s="997"/>
      <c r="AQ30" s="998"/>
      <c r="AR30" s="996">
        <f t="shared" ref="AR30:AT30" si="29">SUM(AR26:AR29)</f>
        <v>0</v>
      </c>
      <c r="AS30" s="997">
        <f t="shared" si="29"/>
        <v>16</v>
      </c>
      <c r="AT30" s="997">
        <f t="shared" si="29"/>
        <v>31</v>
      </c>
      <c r="AU30" s="998">
        <f t="shared" si="6"/>
        <v>47</v>
      </c>
      <c r="AV30" s="996">
        <f t="shared" ref="AV30:AX30" si="30">SUM(AV26:AV29)</f>
        <v>1</v>
      </c>
      <c r="AW30" s="997">
        <f t="shared" si="30"/>
        <v>3</v>
      </c>
      <c r="AX30" s="997">
        <f t="shared" si="30"/>
        <v>24</v>
      </c>
      <c r="AY30" s="998">
        <f t="shared" si="7"/>
        <v>28</v>
      </c>
      <c r="AZ30" s="996">
        <f t="shared" ref="AZ30:BC30" si="31">SUM(AZ26:AZ29)</f>
        <v>5</v>
      </c>
      <c r="BA30" s="997">
        <f t="shared" si="31"/>
        <v>39</v>
      </c>
      <c r="BB30" s="997">
        <f t="shared" si="31"/>
        <v>7</v>
      </c>
      <c r="BC30" s="998">
        <f t="shared" si="31"/>
        <v>51</v>
      </c>
      <c r="BD30" s="996">
        <f t="shared" ref="BD30:BK30" si="32">SUM(BD26:BD29)</f>
        <v>12</v>
      </c>
      <c r="BE30" s="997">
        <f t="shared" si="32"/>
        <v>29</v>
      </c>
      <c r="BF30" s="997">
        <f t="shared" si="32"/>
        <v>13</v>
      </c>
      <c r="BG30" s="998">
        <f t="shared" si="32"/>
        <v>54</v>
      </c>
      <c r="BH30" s="996">
        <f t="shared" si="32"/>
        <v>17</v>
      </c>
      <c r="BI30" s="997">
        <f t="shared" si="32"/>
        <v>24</v>
      </c>
      <c r="BJ30" s="997">
        <f t="shared" si="32"/>
        <v>2</v>
      </c>
      <c r="BK30" s="998">
        <f t="shared" si="32"/>
        <v>43</v>
      </c>
      <c r="BL30" s="996">
        <f t="shared" ref="BL30:BS30" si="33">SUM(BL26:BL29)</f>
        <v>5</v>
      </c>
      <c r="BM30" s="997">
        <f t="shared" si="33"/>
        <v>20</v>
      </c>
      <c r="BN30" s="997">
        <f t="shared" si="33"/>
        <v>8</v>
      </c>
      <c r="BO30" s="998">
        <f t="shared" si="33"/>
        <v>33</v>
      </c>
      <c r="BP30" s="996">
        <f t="shared" si="33"/>
        <v>6</v>
      </c>
      <c r="BQ30" s="997">
        <f t="shared" si="33"/>
        <v>18</v>
      </c>
      <c r="BR30" s="997">
        <f t="shared" si="33"/>
        <v>4</v>
      </c>
      <c r="BS30" s="998">
        <f t="shared" si="33"/>
        <v>28</v>
      </c>
    </row>
    <row r="31" spans="1:71" s="980" customFormat="1" ht="15" customHeight="1" x14ac:dyDescent="0.25">
      <c r="A31" s="5070"/>
      <c r="B31" s="5218" t="s">
        <v>9</v>
      </c>
      <c r="C31" s="999" t="s">
        <v>503</v>
      </c>
      <c r="D31" s="1000"/>
      <c r="E31" s="1000"/>
      <c r="F31" s="1000"/>
      <c r="G31" s="1001"/>
      <c r="H31" s="1000"/>
      <c r="I31" s="1000"/>
      <c r="J31" s="1000"/>
      <c r="K31" s="1001"/>
      <c r="L31" s="1000"/>
      <c r="M31" s="1000"/>
      <c r="N31" s="1000"/>
      <c r="O31" s="1001"/>
      <c r="P31" s="4097"/>
      <c r="Q31" s="1000"/>
      <c r="R31" s="1000"/>
      <c r="S31" s="1001"/>
      <c r="T31" s="1000"/>
      <c r="U31" s="1000"/>
      <c r="V31" s="1000"/>
      <c r="W31" s="1001"/>
      <c r="X31" s="1000"/>
      <c r="Y31" s="1000"/>
      <c r="Z31" s="1000"/>
      <c r="AA31" s="1001"/>
      <c r="AB31" s="1000"/>
      <c r="AC31" s="1000"/>
      <c r="AD31" s="1000"/>
      <c r="AE31" s="1001"/>
      <c r="AF31" s="4097"/>
      <c r="AG31" s="1000"/>
      <c r="AH31" s="1000"/>
      <c r="AI31" s="1001"/>
      <c r="AJ31" s="1000"/>
      <c r="AK31" s="1000"/>
      <c r="AL31" s="1000"/>
      <c r="AM31" s="1001"/>
      <c r="AN31" s="1000"/>
      <c r="AO31" s="1000"/>
      <c r="AP31" s="1000"/>
      <c r="AQ31" s="1000"/>
      <c r="AR31" s="979" t="s">
        <v>227</v>
      </c>
      <c r="AS31" s="977" t="s">
        <v>227</v>
      </c>
      <c r="AT31" s="977">
        <v>9</v>
      </c>
      <c r="AU31" s="1002">
        <f t="shared" si="6"/>
        <v>9</v>
      </c>
      <c r="AV31" s="979"/>
      <c r="AW31" s="977">
        <v>4</v>
      </c>
      <c r="AX31" s="977">
        <v>11</v>
      </c>
      <c r="AY31" s="1002">
        <f t="shared" si="7"/>
        <v>15</v>
      </c>
      <c r="AZ31" s="979">
        <v>2</v>
      </c>
      <c r="BA31" s="977">
        <v>4</v>
      </c>
      <c r="BB31" s="977">
        <v>9</v>
      </c>
      <c r="BC31" s="978">
        <v>15</v>
      </c>
      <c r="BD31" s="979">
        <v>1</v>
      </c>
      <c r="BE31" s="977">
        <v>13</v>
      </c>
      <c r="BF31" s="977">
        <v>5</v>
      </c>
      <c r="BG31" s="978">
        <f t="shared" si="8"/>
        <v>19</v>
      </c>
      <c r="BH31" s="979">
        <v>2</v>
      </c>
      <c r="BI31" s="977">
        <v>3</v>
      </c>
      <c r="BJ31" s="977">
        <v>1</v>
      </c>
      <c r="BK31" s="978">
        <f>SUM(BH31:BJ31)</f>
        <v>6</v>
      </c>
      <c r="BL31" s="979">
        <v>4</v>
      </c>
      <c r="BM31" s="977">
        <v>4</v>
      </c>
      <c r="BN31" s="977">
        <v>3</v>
      </c>
      <c r="BO31" s="978">
        <f>SUM(BL31:BN31)</f>
        <v>11</v>
      </c>
      <c r="BP31" s="979">
        <v>3</v>
      </c>
      <c r="BQ31" s="977">
        <v>6</v>
      </c>
      <c r="BR31" s="977">
        <v>0</v>
      </c>
      <c r="BS31" s="978">
        <f>SUM(BP31:BR31)</f>
        <v>9</v>
      </c>
    </row>
    <row r="32" spans="1:71" s="980" customFormat="1" ht="15" customHeight="1" x14ac:dyDescent="0.25">
      <c r="A32" s="5070"/>
      <c r="B32" s="5219"/>
      <c r="C32" s="1003" t="s">
        <v>517</v>
      </c>
      <c r="D32" s="1004"/>
      <c r="E32" s="1004"/>
      <c r="F32" s="1004"/>
      <c r="G32" s="1005"/>
      <c r="H32" s="1004"/>
      <c r="I32" s="1004"/>
      <c r="J32" s="1004"/>
      <c r="K32" s="1005"/>
      <c r="L32" s="1004"/>
      <c r="M32" s="1004"/>
      <c r="N32" s="1004"/>
      <c r="O32" s="1005"/>
      <c r="P32" s="4099"/>
      <c r="Q32" s="1004"/>
      <c r="R32" s="1004"/>
      <c r="S32" s="1005"/>
      <c r="T32" s="1004"/>
      <c r="U32" s="1004"/>
      <c r="V32" s="1004"/>
      <c r="W32" s="1005"/>
      <c r="X32" s="1004"/>
      <c r="Y32" s="1004"/>
      <c r="Z32" s="1004"/>
      <c r="AA32" s="1005"/>
      <c r="AB32" s="1004"/>
      <c r="AC32" s="1004"/>
      <c r="AD32" s="1004"/>
      <c r="AE32" s="1005"/>
      <c r="AF32" s="4099"/>
      <c r="AG32" s="1004"/>
      <c r="AH32" s="1004"/>
      <c r="AI32" s="1005"/>
      <c r="AJ32" s="1004"/>
      <c r="AK32" s="1004"/>
      <c r="AL32" s="1004"/>
      <c r="AM32" s="1005"/>
      <c r="AN32" s="1004"/>
      <c r="AO32" s="1004"/>
      <c r="AP32" s="1004"/>
      <c r="AQ32" s="1004"/>
      <c r="AR32" s="987"/>
      <c r="AS32" s="985"/>
      <c r="AT32" s="985"/>
      <c r="AU32" s="1006">
        <f t="shared" si="6"/>
        <v>0</v>
      </c>
      <c r="AV32" s="987"/>
      <c r="AW32" s="985"/>
      <c r="AX32" s="985"/>
      <c r="AY32" s="1006">
        <f t="shared" si="7"/>
        <v>0</v>
      </c>
      <c r="AZ32" s="987"/>
      <c r="BA32" s="985">
        <v>1</v>
      </c>
      <c r="BB32" s="985">
        <v>1</v>
      </c>
      <c r="BC32" s="986">
        <v>2</v>
      </c>
      <c r="BD32" s="987">
        <v>0</v>
      </c>
      <c r="BE32" s="985">
        <v>1</v>
      </c>
      <c r="BF32" s="985">
        <v>1</v>
      </c>
      <c r="BG32" s="986">
        <f t="shared" si="8"/>
        <v>2</v>
      </c>
      <c r="BH32" s="987"/>
      <c r="BI32" s="985"/>
      <c r="BJ32" s="985"/>
      <c r="BK32" s="986">
        <f>SUM(BH32:BJ32)</f>
        <v>0</v>
      </c>
      <c r="BL32" s="987"/>
      <c r="BM32" s="985">
        <v>2</v>
      </c>
      <c r="BN32" s="985"/>
      <c r="BO32" s="986">
        <f>SUM(BL32:BN32)</f>
        <v>2</v>
      </c>
      <c r="BP32" s="987">
        <v>3</v>
      </c>
      <c r="BQ32" s="985">
        <v>4</v>
      </c>
      <c r="BR32" s="985">
        <v>0</v>
      </c>
      <c r="BS32" s="986">
        <f>SUM(BP32:BR32)</f>
        <v>7</v>
      </c>
    </row>
    <row r="33" spans="1:71" s="980" customFormat="1" ht="15" customHeight="1" x14ac:dyDescent="0.25">
      <c r="A33" s="5070"/>
      <c r="B33" s="5219"/>
      <c r="C33" s="988" t="s">
        <v>505</v>
      </c>
      <c r="D33" s="823"/>
      <c r="E33" s="824"/>
      <c r="F33" s="824"/>
      <c r="G33" s="989"/>
      <c r="H33" s="823"/>
      <c r="I33" s="824"/>
      <c r="J33" s="824"/>
      <c r="K33" s="989"/>
      <c r="L33" s="823"/>
      <c r="M33" s="824"/>
      <c r="N33" s="824"/>
      <c r="O33" s="989"/>
      <c r="P33" s="823"/>
      <c r="Q33" s="824"/>
      <c r="R33" s="824"/>
      <c r="S33" s="991"/>
      <c r="T33" s="823"/>
      <c r="U33" s="824"/>
      <c r="V33" s="824"/>
      <c r="W33" s="989"/>
      <c r="X33" s="823"/>
      <c r="Y33" s="824"/>
      <c r="Z33" s="824"/>
      <c r="AA33" s="989"/>
      <c r="AB33" s="990"/>
      <c r="AC33" s="824"/>
      <c r="AD33" s="824"/>
      <c r="AE33" s="989"/>
      <c r="AF33" s="990"/>
      <c r="AG33" s="824"/>
      <c r="AH33" s="824"/>
      <c r="AI33" s="991"/>
      <c r="AJ33" s="990"/>
      <c r="AK33" s="824"/>
      <c r="AL33" s="873"/>
      <c r="AM33" s="991"/>
      <c r="AN33" s="990"/>
      <c r="AO33" s="824"/>
      <c r="AP33" s="873"/>
      <c r="AQ33" s="991"/>
      <c r="AR33" s="992"/>
      <c r="AS33" s="992"/>
      <c r="AT33" s="992"/>
      <c r="AU33" s="993">
        <f t="shared" si="6"/>
        <v>0</v>
      </c>
      <c r="AV33" s="992"/>
      <c r="AW33" s="992"/>
      <c r="AX33" s="992"/>
      <c r="AY33" s="993">
        <f t="shared" si="7"/>
        <v>0</v>
      </c>
      <c r="AZ33" s="994"/>
      <c r="BA33" s="992">
        <v>11</v>
      </c>
      <c r="BB33" s="992">
        <v>4</v>
      </c>
      <c r="BC33" s="993">
        <v>15</v>
      </c>
      <c r="BD33" s="994">
        <v>4</v>
      </c>
      <c r="BE33" s="992">
        <v>18</v>
      </c>
      <c r="BF33" s="992">
        <v>5</v>
      </c>
      <c r="BG33" s="993">
        <f t="shared" si="8"/>
        <v>27</v>
      </c>
      <c r="BH33" s="994">
        <v>2</v>
      </c>
      <c r="BI33" s="992">
        <v>13</v>
      </c>
      <c r="BJ33" s="992"/>
      <c r="BK33" s="993">
        <f>SUM(BH33:BJ33)</f>
        <v>15</v>
      </c>
      <c r="BL33" s="994">
        <v>1</v>
      </c>
      <c r="BM33" s="992">
        <v>14</v>
      </c>
      <c r="BN33" s="992">
        <v>3</v>
      </c>
      <c r="BO33" s="993">
        <f>SUM(BL33:BN33)</f>
        <v>18</v>
      </c>
      <c r="BP33" s="994">
        <v>4</v>
      </c>
      <c r="BQ33" s="992">
        <v>7</v>
      </c>
      <c r="BR33" s="992">
        <v>2</v>
      </c>
      <c r="BS33" s="993">
        <f>SUM(BP33:BR33)</f>
        <v>13</v>
      </c>
    </row>
    <row r="34" spans="1:71" s="980" customFormat="1" ht="15" customHeight="1" x14ac:dyDescent="0.25">
      <c r="A34" s="5070"/>
      <c r="B34" s="5220"/>
      <c r="C34" s="995" t="s">
        <v>160</v>
      </c>
      <c r="D34" s="996"/>
      <c r="E34" s="997"/>
      <c r="F34" s="997"/>
      <c r="G34" s="998"/>
      <c r="H34" s="996"/>
      <c r="I34" s="997"/>
      <c r="J34" s="997"/>
      <c r="K34" s="998"/>
      <c r="L34" s="996"/>
      <c r="M34" s="997"/>
      <c r="N34" s="997"/>
      <c r="O34" s="998"/>
      <c r="P34" s="996"/>
      <c r="Q34" s="997"/>
      <c r="R34" s="997"/>
      <c r="S34" s="998"/>
      <c r="T34" s="996"/>
      <c r="U34" s="997"/>
      <c r="V34" s="997"/>
      <c r="W34" s="998"/>
      <c r="X34" s="996"/>
      <c r="Y34" s="997"/>
      <c r="Z34" s="997"/>
      <c r="AA34" s="998"/>
      <c r="AB34" s="996"/>
      <c r="AC34" s="997"/>
      <c r="AD34" s="997"/>
      <c r="AE34" s="998"/>
      <c r="AF34" s="996"/>
      <c r="AG34" s="997"/>
      <c r="AH34" s="997"/>
      <c r="AI34" s="998"/>
      <c r="AJ34" s="996"/>
      <c r="AK34" s="997"/>
      <c r="AL34" s="997"/>
      <c r="AM34" s="998"/>
      <c r="AN34" s="996"/>
      <c r="AO34" s="997"/>
      <c r="AP34" s="997"/>
      <c r="AQ34" s="998"/>
      <c r="AR34" s="996">
        <f>SUM(AR33)</f>
        <v>0</v>
      </c>
      <c r="AS34" s="997">
        <f>SUM(AS33)</f>
        <v>0</v>
      </c>
      <c r="AT34" s="997">
        <f t="shared" ref="AT34" si="34">SUM(AT31:AT33)</f>
        <v>9</v>
      </c>
      <c r="AU34" s="998">
        <f t="shared" si="6"/>
        <v>9</v>
      </c>
      <c r="AV34" s="996">
        <f t="shared" ref="AV34:AX34" si="35">SUM(AV31:AV33)</f>
        <v>0</v>
      </c>
      <c r="AW34" s="997">
        <f t="shared" si="35"/>
        <v>4</v>
      </c>
      <c r="AX34" s="997">
        <f t="shared" si="35"/>
        <v>11</v>
      </c>
      <c r="AY34" s="998">
        <f t="shared" si="7"/>
        <v>15</v>
      </c>
      <c r="AZ34" s="996">
        <f t="shared" ref="AZ34:BC34" si="36">SUM(AZ31:AZ33)</f>
        <v>2</v>
      </c>
      <c r="BA34" s="997">
        <f t="shared" si="36"/>
        <v>16</v>
      </c>
      <c r="BB34" s="997">
        <f t="shared" si="36"/>
        <v>14</v>
      </c>
      <c r="BC34" s="998">
        <f t="shared" si="36"/>
        <v>32</v>
      </c>
      <c r="BD34" s="996">
        <f t="shared" ref="BD34:BK34" si="37">SUM(BD31:BD33)</f>
        <v>5</v>
      </c>
      <c r="BE34" s="997">
        <f t="shared" si="37"/>
        <v>32</v>
      </c>
      <c r="BF34" s="997">
        <f t="shared" si="37"/>
        <v>11</v>
      </c>
      <c r="BG34" s="998">
        <f t="shared" si="37"/>
        <v>48</v>
      </c>
      <c r="BH34" s="996">
        <f t="shared" si="37"/>
        <v>4</v>
      </c>
      <c r="BI34" s="997">
        <f t="shared" si="37"/>
        <v>16</v>
      </c>
      <c r="BJ34" s="997">
        <f t="shared" si="37"/>
        <v>1</v>
      </c>
      <c r="BK34" s="998">
        <f t="shared" si="37"/>
        <v>21</v>
      </c>
      <c r="BL34" s="996">
        <f t="shared" ref="BL34:BS34" si="38">SUM(BL31:BL33)</f>
        <v>5</v>
      </c>
      <c r="BM34" s="997">
        <f t="shared" si="38"/>
        <v>20</v>
      </c>
      <c r="BN34" s="997">
        <f t="shared" si="38"/>
        <v>6</v>
      </c>
      <c r="BO34" s="998">
        <f t="shared" si="38"/>
        <v>31</v>
      </c>
      <c r="BP34" s="996">
        <f t="shared" si="38"/>
        <v>10</v>
      </c>
      <c r="BQ34" s="997">
        <f t="shared" si="38"/>
        <v>17</v>
      </c>
      <c r="BR34" s="997">
        <f t="shared" si="38"/>
        <v>2</v>
      </c>
      <c r="BS34" s="998">
        <f t="shared" si="38"/>
        <v>29</v>
      </c>
    </row>
    <row r="35" spans="1:71" s="980" customFormat="1" ht="15" customHeight="1" x14ac:dyDescent="0.25">
      <c r="A35" s="5070"/>
      <c r="B35" s="5218" t="s">
        <v>74</v>
      </c>
      <c r="C35" s="999" t="s">
        <v>518</v>
      </c>
      <c r="D35" s="1000"/>
      <c r="E35" s="1000"/>
      <c r="F35" s="1000"/>
      <c r="G35" s="1001"/>
      <c r="H35" s="1000"/>
      <c r="I35" s="1000"/>
      <c r="J35" s="1000"/>
      <c r="K35" s="1001"/>
      <c r="L35" s="1000"/>
      <c r="M35" s="1000"/>
      <c r="N35" s="1000"/>
      <c r="O35" s="1001"/>
      <c r="P35" s="4097"/>
      <c r="Q35" s="1000"/>
      <c r="R35" s="1000"/>
      <c r="S35" s="1001"/>
      <c r="T35" s="1000"/>
      <c r="U35" s="1000"/>
      <c r="V35" s="1000"/>
      <c r="W35" s="1001"/>
      <c r="X35" s="1000"/>
      <c r="Y35" s="1000"/>
      <c r="Z35" s="1000"/>
      <c r="AA35" s="1001"/>
      <c r="AB35" s="1000"/>
      <c r="AC35" s="1000"/>
      <c r="AD35" s="1000"/>
      <c r="AE35" s="1001"/>
      <c r="AF35" s="4097"/>
      <c r="AG35" s="1000"/>
      <c r="AH35" s="1000"/>
      <c r="AI35" s="1001"/>
      <c r="AJ35" s="1000"/>
      <c r="AK35" s="1000"/>
      <c r="AL35" s="1000"/>
      <c r="AM35" s="1001"/>
      <c r="AN35" s="1000"/>
      <c r="AO35" s="1000"/>
      <c r="AP35" s="1000"/>
      <c r="AQ35" s="1000"/>
      <c r="AR35" s="979" t="s">
        <v>227</v>
      </c>
      <c r="AS35" s="977">
        <v>10</v>
      </c>
      <c r="AT35" s="977" t="s">
        <v>227</v>
      </c>
      <c r="AU35" s="1002">
        <f t="shared" si="6"/>
        <v>10</v>
      </c>
      <c r="AV35" s="979">
        <v>1</v>
      </c>
      <c r="AW35" s="977">
        <v>5</v>
      </c>
      <c r="AX35" s="977">
        <v>3</v>
      </c>
      <c r="AY35" s="1002">
        <f t="shared" si="7"/>
        <v>9</v>
      </c>
      <c r="AZ35" s="979">
        <v>3</v>
      </c>
      <c r="BA35" s="977">
        <v>7</v>
      </c>
      <c r="BB35" s="977"/>
      <c r="BC35" s="978">
        <v>10</v>
      </c>
      <c r="BD35" s="979">
        <v>1</v>
      </c>
      <c r="BE35" s="977">
        <v>3</v>
      </c>
      <c r="BF35" s="977">
        <v>9</v>
      </c>
      <c r="BG35" s="978">
        <f t="shared" si="8"/>
        <v>13</v>
      </c>
      <c r="BH35" s="979">
        <v>3</v>
      </c>
      <c r="BI35" s="977">
        <v>5</v>
      </c>
      <c r="BJ35" s="977">
        <v>2</v>
      </c>
      <c r="BK35" s="978">
        <f>SUM(BH35:BJ35)</f>
        <v>10</v>
      </c>
      <c r="BL35" s="979">
        <v>1</v>
      </c>
      <c r="BM35" s="977">
        <v>6</v>
      </c>
      <c r="BN35" s="977">
        <v>3</v>
      </c>
      <c r="BO35" s="978">
        <f>SUM(BL35:BN35)</f>
        <v>10</v>
      </c>
      <c r="BP35" s="979">
        <v>0</v>
      </c>
      <c r="BQ35" s="977">
        <v>4</v>
      </c>
      <c r="BR35" s="977">
        <v>2</v>
      </c>
      <c r="BS35" s="978">
        <f>SUM(BP35:BR35)</f>
        <v>6</v>
      </c>
    </row>
    <row r="36" spans="1:71" s="980" customFormat="1" ht="15" customHeight="1" x14ac:dyDescent="0.25">
      <c r="A36" s="5070"/>
      <c r="B36" s="5219"/>
      <c r="C36" s="988" t="s">
        <v>506</v>
      </c>
      <c r="D36" s="823"/>
      <c r="E36" s="824"/>
      <c r="F36" s="824"/>
      <c r="G36" s="989"/>
      <c r="H36" s="823"/>
      <c r="I36" s="824"/>
      <c r="J36" s="824"/>
      <c r="K36" s="989"/>
      <c r="L36" s="823"/>
      <c r="M36" s="824"/>
      <c r="N36" s="824"/>
      <c r="O36" s="989"/>
      <c r="P36" s="823"/>
      <c r="Q36" s="824"/>
      <c r="R36" s="824"/>
      <c r="S36" s="991"/>
      <c r="T36" s="823"/>
      <c r="U36" s="824"/>
      <c r="V36" s="824"/>
      <c r="W36" s="989"/>
      <c r="X36" s="823"/>
      <c r="Y36" s="824"/>
      <c r="Z36" s="824"/>
      <c r="AA36" s="989"/>
      <c r="AB36" s="990"/>
      <c r="AC36" s="824"/>
      <c r="AD36" s="824"/>
      <c r="AE36" s="989"/>
      <c r="AF36" s="990"/>
      <c r="AG36" s="824"/>
      <c r="AH36" s="824"/>
      <c r="AI36" s="991"/>
      <c r="AJ36" s="990"/>
      <c r="AK36" s="824"/>
      <c r="AL36" s="873"/>
      <c r="AM36" s="991"/>
      <c r="AN36" s="990"/>
      <c r="AO36" s="824"/>
      <c r="AP36" s="873"/>
      <c r="AQ36" s="991"/>
      <c r="AR36" s="992" t="s">
        <v>227</v>
      </c>
      <c r="AS36" s="992">
        <v>1</v>
      </c>
      <c r="AT36" s="992" t="s">
        <v>227</v>
      </c>
      <c r="AU36" s="993">
        <f t="shared" si="6"/>
        <v>1</v>
      </c>
      <c r="AV36" s="992"/>
      <c r="AW36" s="992">
        <v>1</v>
      </c>
      <c r="AX36" s="992" t="s">
        <v>227</v>
      </c>
      <c r="AY36" s="993">
        <f t="shared" si="7"/>
        <v>1</v>
      </c>
      <c r="AZ36" s="994"/>
      <c r="BA36" s="992"/>
      <c r="BB36" s="992">
        <v>1</v>
      </c>
      <c r="BC36" s="993">
        <v>1</v>
      </c>
      <c r="BD36" s="994">
        <v>0</v>
      </c>
      <c r="BE36" s="992">
        <v>2</v>
      </c>
      <c r="BF36" s="992">
        <v>2</v>
      </c>
      <c r="BG36" s="993">
        <f t="shared" si="8"/>
        <v>4</v>
      </c>
      <c r="BH36" s="994">
        <v>2</v>
      </c>
      <c r="BI36" s="992">
        <v>1</v>
      </c>
      <c r="BJ36" s="992"/>
      <c r="BK36" s="993">
        <f>SUM(BH36:BJ36)</f>
        <v>3</v>
      </c>
      <c r="BL36" s="994">
        <v>2</v>
      </c>
      <c r="BM36" s="992">
        <v>1</v>
      </c>
      <c r="BN36" s="992">
        <v>0</v>
      </c>
      <c r="BO36" s="993">
        <f>SUM(BL36:BN36)</f>
        <v>3</v>
      </c>
      <c r="BP36" s="994">
        <v>2</v>
      </c>
      <c r="BQ36" s="992">
        <v>3</v>
      </c>
      <c r="BR36" s="992">
        <v>2</v>
      </c>
      <c r="BS36" s="993">
        <f>SUM(BP36:BR36)</f>
        <v>7</v>
      </c>
    </row>
    <row r="37" spans="1:71" s="980" customFormat="1" ht="15" customHeight="1" x14ac:dyDescent="0.25">
      <c r="A37" s="5070"/>
      <c r="B37" s="5219"/>
      <c r="C37" s="988" t="s">
        <v>507</v>
      </c>
      <c r="D37" s="823"/>
      <c r="E37" s="824"/>
      <c r="F37" s="824"/>
      <c r="G37" s="989"/>
      <c r="H37" s="823"/>
      <c r="I37" s="824"/>
      <c r="J37" s="824"/>
      <c r="K37" s="989"/>
      <c r="L37" s="823"/>
      <c r="M37" s="824"/>
      <c r="N37" s="824"/>
      <c r="O37" s="989"/>
      <c r="P37" s="823"/>
      <c r="Q37" s="824"/>
      <c r="R37" s="824"/>
      <c r="S37" s="991"/>
      <c r="T37" s="823"/>
      <c r="U37" s="824"/>
      <c r="V37" s="824"/>
      <c r="W37" s="989"/>
      <c r="X37" s="823"/>
      <c r="Y37" s="824"/>
      <c r="Z37" s="824"/>
      <c r="AA37" s="989"/>
      <c r="AB37" s="990"/>
      <c r="AC37" s="824"/>
      <c r="AD37" s="824"/>
      <c r="AE37" s="989"/>
      <c r="AF37" s="990"/>
      <c r="AG37" s="824"/>
      <c r="AH37" s="824"/>
      <c r="AI37" s="991"/>
      <c r="AJ37" s="990"/>
      <c r="AK37" s="824"/>
      <c r="AL37" s="873"/>
      <c r="AM37" s="991"/>
      <c r="AN37" s="990"/>
      <c r="AO37" s="824"/>
      <c r="AP37" s="873"/>
      <c r="AQ37" s="991"/>
      <c r="AR37" s="992"/>
      <c r="AS37" s="992"/>
      <c r="AT37" s="992"/>
      <c r="AU37" s="993">
        <f t="shared" si="6"/>
        <v>0</v>
      </c>
      <c r="AV37" s="992"/>
      <c r="AW37" s="992"/>
      <c r="AX37" s="992"/>
      <c r="AY37" s="993">
        <f t="shared" si="7"/>
        <v>0</v>
      </c>
      <c r="AZ37" s="994"/>
      <c r="BA37" s="992"/>
      <c r="BB37" s="992"/>
      <c r="BC37" s="993"/>
      <c r="BD37" s="994">
        <v>0</v>
      </c>
      <c r="BE37" s="992">
        <v>0</v>
      </c>
      <c r="BF37" s="992">
        <v>1</v>
      </c>
      <c r="BG37" s="993">
        <f t="shared" si="8"/>
        <v>1</v>
      </c>
      <c r="BH37" s="994">
        <v>1</v>
      </c>
      <c r="BI37" s="992">
        <v>1</v>
      </c>
      <c r="BJ37" s="992"/>
      <c r="BK37" s="993">
        <f>SUM(BH37:BJ37)</f>
        <v>2</v>
      </c>
      <c r="BL37" s="994">
        <v>3</v>
      </c>
      <c r="BM37" s="992">
        <v>2</v>
      </c>
      <c r="BN37" s="992">
        <v>0</v>
      </c>
      <c r="BO37" s="993">
        <f>SUM(BL37:BN37)</f>
        <v>5</v>
      </c>
      <c r="BP37" s="994">
        <v>2</v>
      </c>
      <c r="BQ37" s="992">
        <v>2</v>
      </c>
      <c r="BR37" s="992">
        <v>3</v>
      </c>
      <c r="BS37" s="993">
        <f>SUM(BP37:BR37)</f>
        <v>7</v>
      </c>
    </row>
    <row r="38" spans="1:71" s="980" customFormat="1" ht="15" customHeight="1" x14ac:dyDescent="0.25">
      <c r="A38" s="5070"/>
      <c r="B38" s="5219"/>
      <c r="C38" s="988" t="s">
        <v>508</v>
      </c>
      <c r="D38" s="823"/>
      <c r="E38" s="824"/>
      <c r="F38" s="824"/>
      <c r="G38" s="989"/>
      <c r="H38" s="823"/>
      <c r="I38" s="824"/>
      <c r="J38" s="824"/>
      <c r="K38" s="989"/>
      <c r="L38" s="823"/>
      <c r="M38" s="824"/>
      <c r="N38" s="824"/>
      <c r="O38" s="989"/>
      <c r="P38" s="823"/>
      <c r="Q38" s="824"/>
      <c r="R38" s="824"/>
      <c r="S38" s="991"/>
      <c r="T38" s="823"/>
      <c r="U38" s="824"/>
      <c r="V38" s="824"/>
      <c r="W38" s="989"/>
      <c r="X38" s="823"/>
      <c r="Y38" s="824"/>
      <c r="Z38" s="824"/>
      <c r="AA38" s="989"/>
      <c r="AB38" s="990"/>
      <c r="AC38" s="824"/>
      <c r="AD38" s="824"/>
      <c r="AE38" s="989"/>
      <c r="AF38" s="990"/>
      <c r="AG38" s="824"/>
      <c r="AH38" s="824"/>
      <c r="AI38" s="991"/>
      <c r="AJ38" s="990"/>
      <c r="AK38" s="824"/>
      <c r="AL38" s="873"/>
      <c r="AM38" s="991"/>
      <c r="AN38" s="990"/>
      <c r="AO38" s="824"/>
      <c r="AP38" s="873"/>
      <c r="AQ38" s="991"/>
      <c r="AR38" s="992"/>
      <c r="AS38" s="992"/>
      <c r="AT38" s="992"/>
      <c r="AU38" s="993">
        <f t="shared" si="6"/>
        <v>0</v>
      </c>
      <c r="AV38" s="992"/>
      <c r="AW38" s="992"/>
      <c r="AX38" s="992"/>
      <c r="AY38" s="993">
        <f t="shared" si="7"/>
        <v>0</v>
      </c>
      <c r="AZ38" s="994"/>
      <c r="BA38" s="992"/>
      <c r="BB38" s="992"/>
      <c r="BC38" s="993"/>
      <c r="BD38" s="994"/>
      <c r="BE38" s="992"/>
      <c r="BF38" s="992"/>
      <c r="BG38" s="993"/>
      <c r="BH38" s="994"/>
      <c r="BI38" s="992"/>
      <c r="BJ38" s="992"/>
      <c r="BK38" s="993"/>
      <c r="BL38" s="994">
        <v>0</v>
      </c>
      <c r="BM38" s="992">
        <v>0</v>
      </c>
      <c r="BN38" s="992">
        <v>4</v>
      </c>
      <c r="BO38" s="993">
        <f>SUM(BL38:BN38)</f>
        <v>4</v>
      </c>
      <c r="BP38" s="994">
        <v>2</v>
      </c>
      <c r="BQ38" s="992">
        <v>1</v>
      </c>
      <c r="BR38" s="992">
        <v>1</v>
      </c>
      <c r="BS38" s="993">
        <f>SUM(BP38:BR38)</f>
        <v>4</v>
      </c>
    </row>
    <row r="39" spans="1:71" s="980" customFormat="1" ht="15" customHeight="1" x14ac:dyDescent="0.25">
      <c r="A39" s="5070"/>
      <c r="B39" s="5219"/>
      <c r="C39" s="995" t="s">
        <v>160</v>
      </c>
      <c r="D39" s="996"/>
      <c r="E39" s="997"/>
      <c r="F39" s="997"/>
      <c r="G39" s="998"/>
      <c r="H39" s="996"/>
      <c r="I39" s="997"/>
      <c r="J39" s="997"/>
      <c r="K39" s="998"/>
      <c r="L39" s="996"/>
      <c r="M39" s="997"/>
      <c r="N39" s="997"/>
      <c r="O39" s="998"/>
      <c r="P39" s="996"/>
      <c r="Q39" s="997"/>
      <c r="R39" s="997"/>
      <c r="S39" s="998"/>
      <c r="T39" s="996"/>
      <c r="U39" s="997"/>
      <c r="V39" s="997"/>
      <c r="W39" s="998"/>
      <c r="X39" s="996"/>
      <c r="Y39" s="997"/>
      <c r="Z39" s="997"/>
      <c r="AA39" s="998"/>
      <c r="AB39" s="996"/>
      <c r="AC39" s="997"/>
      <c r="AD39" s="997"/>
      <c r="AE39" s="998"/>
      <c r="AF39" s="996"/>
      <c r="AG39" s="997"/>
      <c r="AH39" s="997"/>
      <c r="AI39" s="998"/>
      <c r="AJ39" s="996"/>
      <c r="AK39" s="997"/>
      <c r="AL39" s="997"/>
      <c r="AM39" s="998"/>
      <c r="AN39" s="996"/>
      <c r="AO39" s="997"/>
      <c r="AP39" s="997"/>
      <c r="AQ39" s="998"/>
      <c r="AR39" s="996">
        <f t="shared" ref="AR39:AT39" si="39">SUM(AR35:AR36)</f>
        <v>0</v>
      </c>
      <c r="AS39" s="997">
        <f t="shared" si="39"/>
        <v>11</v>
      </c>
      <c r="AT39" s="997">
        <f t="shared" si="39"/>
        <v>0</v>
      </c>
      <c r="AU39" s="998">
        <f t="shared" si="6"/>
        <v>11</v>
      </c>
      <c r="AV39" s="996">
        <f t="shared" ref="AV39:AX39" si="40">SUM(AV35:AV36)</f>
        <v>1</v>
      </c>
      <c r="AW39" s="997">
        <f t="shared" si="40"/>
        <v>6</v>
      </c>
      <c r="AX39" s="997">
        <f t="shared" si="40"/>
        <v>3</v>
      </c>
      <c r="AY39" s="998">
        <f t="shared" si="7"/>
        <v>10</v>
      </c>
      <c r="AZ39" s="996">
        <f t="shared" ref="AZ39:BC39" si="41">SUM(AZ35:AZ36)</f>
        <v>3</v>
      </c>
      <c r="BA39" s="997">
        <f t="shared" si="41"/>
        <v>7</v>
      </c>
      <c r="BB39" s="997">
        <f t="shared" si="41"/>
        <v>1</v>
      </c>
      <c r="BC39" s="998">
        <f t="shared" si="41"/>
        <v>11</v>
      </c>
      <c r="BD39" s="996">
        <f t="shared" ref="BD39:BK39" si="42">SUM(BD35:BD37)</f>
        <v>1</v>
      </c>
      <c r="BE39" s="997">
        <f t="shared" si="42"/>
        <v>5</v>
      </c>
      <c r="BF39" s="997">
        <f t="shared" si="42"/>
        <v>12</v>
      </c>
      <c r="BG39" s="998">
        <f t="shared" si="42"/>
        <v>18</v>
      </c>
      <c r="BH39" s="996">
        <f t="shared" si="42"/>
        <v>6</v>
      </c>
      <c r="BI39" s="997">
        <f t="shared" si="42"/>
        <v>7</v>
      </c>
      <c r="BJ39" s="997">
        <f t="shared" si="42"/>
        <v>2</v>
      </c>
      <c r="BK39" s="998">
        <f t="shared" si="42"/>
        <v>15</v>
      </c>
      <c r="BL39" s="996">
        <f t="shared" ref="BL39:BS39" si="43">SUM(BL35:BL38)</f>
        <v>6</v>
      </c>
      <c r="BM39" s="997">
        <f t="shared" si="43"/>
        <v>9</v>
      </c>
      <c r="BN39" s="997">
        <f t="shared" si="43"/>
        <v>7</v>
      </c>
      <c r="BO39" s="998">
        <f t="shared" si="43"/>
        <v>22</v>
      </c>
      <c r="BP39" s="996">
        <f t="shared" si="43"/>
        <v>6</v>
      </c>
      <c r="BQ39" s="997">
        <f t="shared" si="43"/>
        <v>10</v>
      </c>
      <c r="BR39" s="997">
        <f t="shared" si="43"/>
        <v>8</v>
      </c>
      <c r="BS39" s="998">
        <f t="shared" si="43"/>
        <v>24</v>
      </c>
    </row>
    <row r="40" spans="1:71" s="980" customFormat="1" ht="15" customHeight="1" x14ac:dyDescent="0.25">
      <c r="A40" s="5101"/>
      <c r="B40" s="4023"/>
      <c r="C40" s="4019" t="s">
        <v>450</v>
      </c>
      <c r="D40" s="4020"/>
      <c r="E40" s="4021"/>
      <c r="F40" s="4021"/>
      <c r="G40" s="4022"/>
      <c r="H40" s="4020"/>
      <c r="I40" s="4021"/>
      <c r="J40" s="4021"/>
      <c r="K40" s="4022"/>
      <c r="L40" s="4020"/>
      <c r="M40" s="4021"/>
      <c r="N40" s="4021"/>
      <c r="O40" s="4022"/>
      <c r="P40" s="4020"/>
      <c r="Q40" s="4021"/>
      <c r="R40" s="4021"/>
      <c r="S40" s="4022"/>
      <c r="T40" s="4020"/>
      <c r="U40" s="4021"/>
      <c r="V40" s="4021"/>
      <c r="W40" s="4022"/>
      <c r="X40" s="4020"/>
      <c r="Y40" s="4021"/>
      <c r="Z40" s="4021"/>
      <c r="AA40" s="4022"/>
      <c r="AB40" s="4020"/>
      <c r="AC40" s="4021"/>
      <c r="AD40" s="4021"/>
      <c r="AE40" s="4022"/>
      <c r="AF40" s="4020"/>
      <c r="AG40" s="4021"/>
      <c r="AH40" s="4021"/>
      <c r="AI40" s="4022"/>
      <c r="AJ40" s="4020"/>
      <c r="AK40" s="4021"/>
      <c r="AL40" s="4021"/>
      <c r="AM40" s="4022"/>
      <c r="AN40" s="4020"/>
      <c r="AO40" s="4021"/>
      <c r="AP40" s="4021"/>
      <c r="AQ40" s="4022"/>
      <c r="AR40" s="4210">
        <f>SUM(AR30,AR34,AR39)</f>
        <v>0</v>
      </c>
      <c r="AS40" s="4211">
        <f t="shared" ref="AS40:AT40" si="44">SUM(AS30,AS34,AS39)</f>
        <v>27</v>
      </c>
      <c r="AT40" s="4211">
        <f t="shared" si="44"/>
        <v>40</v>
      </c>
      <c r="AU40" s="4212">
        <f t="shared" si="6"/>
        <v>67</v>
      </c>
      <c r="AV40" s="4210">
        <f t="shared" ref="AV40:AX40" si="45">SUM(AV30,AV34,AV39)</f>
        <v>2</v>
      </c>
      <c r="AW40" s="4211">
        <f t="shared" si="45"/>
        <v>13</v>
      </c>
      <c r="AX40" s="4211">
        <f t="shared" si="45"/>
        <v>38</v>
      </c>
      <c r="AY40" s="4212">
        <f t="shared" si="7"/>
        <v>53</v>
      </c>
      <c r="AZ40" s="4020">
        <f t="shared" ref="AZ40:BO40" si="46">SUM(AZ30,AZ34,AZ39)</f>
        <v>10</v>
      </c>
      <c r="BA40" s="4021">
        <f t="shared" si="46"/>
        <v>62</v>
      </c>
      <c r="BB40" s="4021">
        <f t="shared" si="46"/>
        <v>22</v>
      </c>
      <c r="BC40" s="4022">
        <f t="shared" si="46"/>
        <v>94</v>
      </c>
      <c r="BD40" s="4020">
        <f t="shared" si="46"/>
        <v>18</v>
      </c>
      <c r="BE40" s="4021">
        <f t="shared" si="46"/>
        <v>66</v>
      </c>
      <c r="BF40" s="4021">
        <f t="shared" si="46"/>
        <v>36</v>
      </c>
      <c r="BG40" s="4022">
        <f t="shared" si="46"/>
        <v>120</v>
      </c>
      <c r="BH40" s="4020">
        <f t="shared" si="46"/>
        <v>27</v>
      </c>
      <c r="BI40" s="4021">
        <f t="shared" si="46"/>
        <v>47</v>
      </c>
      <c r="BJ40" s="4021">
        <f t="shared" si="46"/>
        <v>5</v>
      </c>
      <c r="BK40" s="4022">
        <f t="shared" si="46"/>
        <v>79</v>
      </c>
      <c r="BL40" s="4020">
        <f t="shared" si="46"/>
        <v>16</v>
      </c>
      <c r="BM40" s="4021">
        <f t="shared" si="46"/>
        <v>49</v>
      </c>
      <c r="BN40" s="4021">
        <f t="shared" si="46"/>
        <v>21</v>
      </c>
      <c r="BO40" s="4022">
        <f t="shared" si="46"/>
        <v>86</v>
      </c>
      <c r="BP40" s="4020">
        <f t="shared" ref="BP40:BS40" si="47">SUM(BP30,BP34,BP39)</f>
        <v>22</v>
      </c>
      <c r="BQ40" s="4021">
        <f t="shared" si="47"/>
        <v>45</v>
      </c>
      <c r="BR40" s="4021">
        <f t="shared" si="47"/>
        <v>14</v>
      </c>
      <c r="BS40" s="4022">
        <f t="shared" si="47"/>
        <v>81</v>
      </c>
    </row>
    <row r="41" spans="1:71" s="980" customFormat="1" ht="15" customHeight="1" x14ac:dyDescent="0.25">
      <c r="A41" s="5062" t="s">
        <v>75</v>
      </c>
      <c r="B41" s="5207" t="s">
        <v>5</v>
      </c>
      <c r="C41" s="973" t="s">
        <v>469</v>
      </c>
      <c r="D41" s="808">
        <v>22</v>
      </c>
      <c r="E41" s="809">
        <v>13</v>
      </c>
      <c r="F41" s="809">
        <v>3</v>
      </c>
      <c r="G41" s="974">
        <v>38</v>
      </c>
      <c r="H41" s="808">
        <v>10</v>
      </c>
      <c r="I41" s="809">
        <v>9</v>
      </c>
      <c r="J41" s="809">
        <v>6</v>
      </c>
      <c r="K41" s="974">
        <v>25</v>
      </c>
      <c r="L41" s="808">
        <v>22</v>
      </c>
      <c r="M41" s="809">
        <v>15</v>
      </c>
      <c r="N41" s="809">
        <v>10</v>
      </c>
      <c r="O41" s="974">
        <v>47</v>
      </c>
      <c r="P41" s="808">
        <v>6</v>
      </c>
      <c r="Q41" s="809">
        <v>17</v>
      </c>
      <c r="R41" s="809">
        <v>6</v>
      </c>
      <c r="S41" s="976">
        <v>29</v>
      </c>
      <c r="T41" s="808">
        <v>10</v>
      </c>
      <c r="U41" s="809">
        <v>8</v>
      </c>
      <c r="V41" s="809">
        <v>6</v>
      </c>
      <c r="W41" s="974">
        <f t="shared" si="0"/>
        <v>24</v>
      </c>
      <c r="X41" s="808">
        <v>13</v>
      </c>
      <c r="Y41" s="809">
        <v>14</v>
      </c>
      <c r="Z41" s="809">
        <v>5</v>
      </c>
      <c r="AA41" s="974">
        <f t="shared" si="1"/>
        <v>32</v>
      </c>
      <c r="AB41" s="975">
        <v>11</v>
      </c>
      <c r="AC41" s="809">
        <v>19</v>
      </c>
      <c r="AD41" s="809">
        <v>3</v>
      </c>
      <c r="AE41" s="974">
        <f t="shared" si="2"/>
        <v>33</v>
      </c>
      <c r="AF41" s="975">
        <v>7</v>
      </c>
      <c r="AG41" s="809">
        <v>33</v>
      </c>
      <c r="AH41" s="809">
        <v>14</v>
      </c>
      <c r="AI41" s="976">
        <f t="shared" si="3"/>
        <v>54</v>
      </c>
      <c r="AJ41" s="975">
        <v>3</v>
      </c>
      <c r="AK41" s="809">
        <v>20</v>
      </c>
      <c r="AL41" s="846">
        <v>8</v>
      </c>
      <c r="AM41" s="976">
        <f t="shared" si="4"/>
        <v>31</v>
      </c>
      <c r="AN41" s="975">
        <v>12</v>
      </c>
      <c r="AO41" s="809">
        <v>15</v>
      </c>
      <c r="AP41" s="846">
        <v>5</v>
      </c>
      <c r="AQ41" s="976">
        <f t="shared" si="5"/>
        <v>32</v>
      </c>
      <c r="AR41" s="977">
        <v>11</v>
      </c>
      <c r="AS41" s="977">
        <v>18</v>
      </c>
      <c r="AT41" s="977">
        <v>9</v>
      </c>
      <c r="AU41" s="978">
        <f t="shared" si="6"/>
        <v>38</v>
      </c>
      <c r="AV41" s="977">
        <v>12</v>
      </c>
      <c r="AW41" s="977">
        <v>27</v>
      </c>
      <c r="AX41" s="977">
        <v>9</v>
      </c>
      <c r="AY41" s="978">
        <f t="shared" si="7"/>
        <v>48</v>
      </c>
      <c r="AZ41" s="979">
        <v>10</v>
      </c>
      <c r="BA41" s="977">
        <v>9</v>
      </c>
      <c r="BB41" s="977">
        <v>9</v>
      </c>
      <c r="BC41" s="978">
        <v>28</v>
      </c>
      <c r="BD41" s="979">
        <v>8</v>
      </c>
      <c r="BE41" s="977">
        <v>13</v>
      </c>
      <c r="BF41" s="977">
        <v>6</v>
      </c>
      <c r="BG41" s="978">
        <f t="shared" si="8"/>
        <v>27</v>
      </c>
      <c r="BH41" s="979">
        <v>5</v>
      </c>
      <c r="BI41" s="977">
        <v>7</v>
      </c>
      <c r="BJ41" s="977">
        <v>10</v>
      </c>
      <c r="BK41" s="978">
        <f t="shared" ref="BK41:BK49" si="48">SUM(BH41:BJ41)</f>
        <v>22</v>
      </c>
      <c r="BL41" s="979">
        <v>6</v>
      </c>
      <c r="BM41" s="977">
        <v>18</v>
      </c>
      <c r="BN41" s="977">
        <v>9</v>
      </c>
      <c r="BO41" s="978">
        <f t="shared" ref="BO41:BO49" si="49">SUM(BL41:BN41)</f>
        <v>33</v>
      </c>
      <c r="BP41" s="979">
        <v>7</v>
      </c>
      <c r="BQ41" s="977">
        <v>3</v>
      </c>
      <c r="BR41" s="977">
        <v>12</v>
      </c>
      <c r="BS41" s="978">
        <f t="shared" ref="BS41:BS49" si="50">SUM(BP41:BR41)</f>
        <v>22</v>
      </c>
    </row>
    <row r="42" spans="1:71" s="980" customFormat="1" ht="15" customHeight="1" x14ac:dyDescent="0.25">
      <c r="A42" s="5063"/>
      <c r="B42" s="5208"/>
      <c r="C42" s="981" t="s">
        <v>470</v>
      </c>
      <c r="D42" s="814">
        <v>0</v>
      </c>
      <c r="E42" s="815">
        <v>0</v>
      </c>
      <c r="F42" s="815">
        <v>0</v>
      </c>
      <c r="G42" s="982">
        <v>0</v>
      </c>
      <c r="H42" s="814">
        <v>2</v>
      </c>
      <c r="I42" s="815">
        <v>4</v>
      </c>
      <c r="J42" s="815">
        <v>0</v>
      </c>
      <c r="K42" s="982">
        <v>6</v>
      </c>
      <c r="L42" s="814">
        <v>3</v>
      </c>
      <c r="M42" s="815">
        <v>1</v>
      </c>
      <c r="N42" s="815">
        <v>1</v>
      </c>
      <c r="O42" s="982">
        <v>5</v>
      </c>
      <c r="P42" s="814">
        <v>1</v>
      </c>
      <c r="Q42" s="815">
        <v>2</v>
      </c>
      <c r="R42" s="815">
        <v>1</v>
      </c>
      <c r="S42" s="984">
        <v>4</v>
      </c>
      <c r="T42" s="814">
        <v>2</v>
      </c>
      <c r="U42" s="815">
        <v>1</v>
      </c>
      <c r="V42" s="815">
        <v>5</v>
      </c>
      <c r="W42" s="982">
        <f t="shared" si="0"/>
        <v>8</v>
      </c>
      <c r="X42" s="814">
        <v>2</v>
      </c>
      <c r="Y42" s="815">
        <v>3</v>
      </c>
      <c r="Z42" s="815">
        <v>1</v>
      </c>
      <c r="AA42" s="982">
        <f t="shared" si="1"/>
        <v>6</v>
      </c>
      <c r="AB42" s="983">
        <v>1</v>
      </c>
      <c r="AC42" s="815">
        <v>2</v>
      </c>
      <c r="AD42" s="815">
        <v>5</v>
      </c>
      <c r="AE42" s="982">
        <f t="shared" si="2"/>
        <v>8</v>
      </c>
      <c r="AF42" s="983">
        <v>2</v>
      </c>
      <c r="AG42" s="815">
        <v>1</v>
      </c>
      <c r="AH42" s="815">
        <v>1</v>
      </c>
      <c r="AI42" s="984">
        <f t="shared" si="3"/>
        <v>4</v>
      </c>
      <c r="AJ42" s="983" t="s">
        <v>227</v>
      </c>
      <c r="AK42" s="815">
        <v>2</v>
      </c>
      <c r="AL42" s="848">
        <v>3</v>
      </c>
      <c r="AM42" s="984">
        <f t="shared" si="4"/>
        <v>5</v>
      </c>
      <c r="AN42" s="983"/>
      <c r="AO42" s="815"/>
      <c r="AP42" s="848"/>
      <c r="AQ42" s="984">
        <f t="shared" si="5"/>
        <v>0</v>
      </c>
      <c r="AR42" s="985">
        <v>5</v>
      </c>
      <c r="AS42" s="985">
        <v>1</v>
      </c>
      <c r="AT42" s="985">
        <v>1</v>
      </c>
      <c r="AU42" s="986">
        <f t="shared" si="6"/>
        <v>7</v>
      </c>
      <c r="AV42" s="985">
        <v>2</v>
      </c>
      <c r="AW42" s="985">
        <v>4</v>
      </c>
      <c r="AX42" s="985">
        <v>3</v>
      </c>
      <c r="AY42" s="986">
        <f t="shared" si="7"/>
        <v>9</v>
      </c>
      <c r="AZ42" s="987">
        <v>1</v>
      </c>
      <c r="BA42" s="985"/>
      <c r="BB42" s="985">
        <v>4</v>
      </c>
      <c r="BC42" s="986">
        <v>5</v>
      </c>
      <c r="BD42" s="987">
        <v>3</v>
      </c>
      <c r="BE42" s="985">
        <v>2</v>
      </c>
      <c r="BF42" s="985">
        <v>1</v>
      </c>
      <c r="BG42" s="986">
        <f t="shared" si="8"/>
        <v>6</v>
      </c>
      <c r="BH42" s="987"/>
      <c r="BI42" s="985"/>
      <c r="BJ42" s="985"/>
      <c r="BK42" s="986">
        <f t="shared" si="48"/>
        <v>0</v>
      </c>
      <c r="BL42" s="987">
        <v>3</v>
      </c>
      <c r="BM42" s="985">
        <v>10</v>
      </c>
      <c r="BN42" s="985">
        <v>2</v>
      </c>
      <c r="BO42" s="986">
        <f t="shared" si="49"/>
        <v>15</v>
      </c>
      <c r="BP42" s="987">
        <v>6</v>
      </c>
      <c r="BQ42" s="985">
        <v>2</v>
      </c>
      <c r="BR42" s="985">
        <v>2</v>
      </c>
      <c r="BS42" s="986">
        <f t="shared" si="50"/>
        <v>10</v>
      </c>
    </row>
    <row r="43" spans="1:71" s="980" customFormat="1" ht="15" customHeight="1" x14ac:dyDescent="0.25">
      <c r="A43" s="5063"/>
      <c r="B43" s="5208"/>
      <c r="C43" s="981" t="s">
        <v>459</v>
      </c>
      <c r="D43" s="814">
        <v>6</v>
      </c>
      <c r="E43" s="815">
        <v>6</v>
      </c>
      <c r="F43" s="815">
        <v>3</v>
      </c>
      <c r="G43" s="982">
        <v>15</v>
      </c>
      <c r="H43" s="814">
        <v>9</v>
      </c>
      <c r="I43" s="815">
        <v>7</v>
      </c>
      <c r="J43" s="815">
        <v>5</v>
      </c>
      <c r="K43" s="982">
        <v>21</v>
      </c>
      <c r="L43" s="814">
        <v>7</v>
      </c>
      <c r="M43" s="815">
        <v>10</v>
      </c>
      <c r="N43" s="815">
        <v>7</v>
      </c>
      <c r="O43" s="982">
        <v>24</v>
      </c>
      <c r="P43" s="814">
        <v>5</v>
      </c>
      <c r="Q43" s="815">
        <v>7</v>
      </c>
      <c r="R43" s="815">
        <v>7</v>
      </c>
      <c r="S43" s="984">
        <v>19</v>
      </c>
      <c r="T43" s="814">
        <v>15</v>
      </c>
      <c r="U43" s="815">
        <v>14</v>
      </c>
      <c r="V43" s="815">
        <v>10</v>
      </c>
      <c r="W43" s="982">
        <f t="shared" si="0"/>
        <v>39</v>
      </c>
      <c r="X43" s="814">
        <v>9</v>
      </c>
      <c r="Y43" s="815">
        <v>15</v>
      </c>
      <c r="Z43" s="815">
        <v>11</v>
      </c>
      <c r="AA43" s="982">
        <f t="shared" si="1"/>
        <v>35</v>
      </c>
      <c r="AB43" s="983">
        <v>13</v>
      </c>
      <c r="AC43" s="815">
        <v>20</v>
      </c>
      <c r="AD43" s="815">
        <v>6</v>
      </c>
      <c r="AE43" s="982">
        <f t="shared" si="2"/>
        <v>39</v>
      </c>
      <c r="AF43" s="983">
        <v>5</v>
      </c>
      <c r="AG43" s="815">
        <v>9</v>
      </c>
      <c r="AH43" s="815">
        <v>9</v>
      </c>
      <c r="AI43" s="984">
        <f t="shared" si="3"/>
        <v>23</v>
      </c>
      <c r="AJ43" s="983">
        <v>7</v>
      </c>
      <c r="AK43" s="815">
        <v>7</v>
      </c>
      <c r="AL43" s="848">
        <v>6</v>
      </c>
      <c r="AM43" s="984">
        <f t="shared" si="4"/>
        <v>20</v>
      </c>
      <c r="AN43" s="983">
        <v>12</v>
      </c>
      <c r="AO43" s="815">
        <v>8</v>
      </c>
      <c r="AP43" s="848">
        <v>1</v>
      </c>
      <c r="AQ43" s="984">
        <f t="shared" si="5"/>
        <v>21</v>
      </c>
      <c r="AR43" s="985">
        <v>3</v>
      </c>
      <c r="AS43" s="985">
        <v>9</v>
      </c>
      <c r="AT43" s="985">
        <v>5</v>
      </c>
      <c r="AU43" s="986">
        <f t="shared" si="6"/>
        <v>17</v>
      </c>
      <c r="AV43" s="985">
        <v>3</v>
      </c>
      <c r="AW43" s="985">
        <v>12</v>
      </c>
      <c r="AX43" s="985">
        <v>6</v>
      </c>
      <c r="AY43" s="986">
        <f t="shared" si="7"/>
        <v>21</v>
      </c>
      <c r="AZ43" s="987">
        <v>6</v>
      </c>
      <c r="BA43" s="985">
        <v>10</v>
      </c>
      <c r="BB43" s="985">
        <v>9</v>
      </c>
      <c r="BC43" s="986">
        <v>25</v>
      </c>
      <c r="BD43" s="987">
        <v>3</v>
      </c>
      <c r="BE43" s="985">
        <v>8</v>
      </c>
      <c r="BF43" s="985">
        <v>11</v>
      </c>
      <c r="BG43" s="986">
        <f t="shared" si="8"/>
        <v>22</v>
      </c>
      <c r="BH43" s="987">
        <v>8</v>
      </c>
      <c r="BI43" s="985">
        <v>8</v>
      </c>
      <c r="BJ43" s="985">
        <v>5</v>
      </c>
      <c r="BK43" s="986">
        <f t="shared" si="48"/>
        <v>21</v>
      </c>
      <c r="BL43" s="987">
        <v>2</v>
      </c>
      <c r="BM43" s="985">
        <v>6</v>
      </c>
      <c r="BN43" s="985">
        <v>4</v>
      </c>
      <c r="BO43" s="986">
        <f t="shared" si="49"/>
        <v>12</v>
      </c>
      <c r="BP43" s="987">
        <v>3</v>
      </c>
      <c r="BQ43" s="985">
        <v>12</v>
      </c>
      <c r="BR43" s="985">
        <v>4</v>
      </c>
      <c r="BS43" s="986">
        <f t="shared" si="50"/>
        <v>19</v>
      </c>
    </row>
    <row r="44" spans="1:71" s="980" customFormat="1" ht="15" customHeight="1" x14ac:dyDescent="0.25">
      <c r="A44" s="5063"/>
      <c r="B44" s="5208"/>
      <c r="C44" s="981" t="s">
        <v>519</v>
      </c>
      <c r="D44" s="814">
        <v>7</v>
      </c>
      <c r="E44" s="815">
        <v>7</v>
      </c>
      <c r="F44" s="815">
        <v>6</v>
      </c>
      <c r="G44" s="982">
        <v>20</v>
      </c>
      <c r="H44" s="814">
        <v>2</v>
      </c>
      <c r="I44" s="815">
        <v>2</v>
      </c>
      <c r="J44" s="815">
        <v>8</v>
      </c>
      <c r="K44" s="982">
        <v>12</v>
      </c>
      <c r="L44" s="814">
        <v>8</v>
      </c>
      <c r="M44" s="815">
        <v>3</v>
      </c>
      <c r="N44" s="815">
        <v>4</v>
      </c>
      <c r="O44" s="982">
        <v>15</v>
      </c>
      <c r="P44" s="814">
        <v>6</v>
      </c>
      <c r="Q44" s="815">
        <v>1</v>
      </c>
      <c r="R44" s="815">
        <v>1</v>
      </c>
      <c r="S44" s="984">
        <v>8</v>
      </c>
      <c r="T44" s="814">
        <v>3</v>
      </c>
      <c r="U44" s="815">
        <v>3</v>
      </c>
      <c r="V44" s="815">
        <v>7</v>
      </c>
      <c r="W44" s="982">
        <f t="shared" si="0"/>
        <v>13</v>
      </c>
      <c r="X44" s="814">
        <v>2</v>
      </c>
      <c r="Y44" s="815">
        <v>4</v>
      </c>
      <c r="Z44" s="815">
        <v>4</v>
      </c>
      <c r="AA44" s="982">
        <f t="shared" si="1"/>
        <v>10</v>
      </c>
      <c r="AB44" s="983">
        <v>6</v>
      </c>
      <c r="AC44" s="815">
        <v>3</v>
      </c>
      <c r="AD44" s="815">
        <v>11</v>
      </c>
      <c r="AE44" s="982">
        <f t="shared" si="2"/>
        <v>20</v>
      </c>
      <c r="AF44" s="983">
        <v>5</v>
      </c>
      <c r="AG44" s="815">
        <v>10</v>
      </c>
      <c r="AH44" s="815">
        <v>8</v>
      </c>
      <c r="AI44" s="984">
        <f t="shared" si="3"/>
        <v>23</v>
      </c>
      <c r="AJ44" s="983">
        <v>3</v>
      </c>
      <c r="AK44" s="815">
        <v>6</v>
      </c>
      <c r="AL44" s="848">
        <v>1</v>
      </c>
      <c r="AM44" s="984">
        <f t="shared" si="4"/>
        <v>10</v>
      </c>
      <c r="AN44" s="983">
        <v>6</v>
      </c>
      <c r="AO44" s="815">
        <v>3</v>
      </c>
      <c r="AP44" s="848">
        <v>5</v>
      </c>
      <c r="AQ44" s="984">
        <f t="shared" si="5"/>
        <v>14</v>
      </c>
      <c r="AR44" s="985">
        <v>4</v>
      </c>
      <c r="AS44" s="985">
        <v>5</v>
      </c>
      <c r="AT44" s="985">
        <v>4</v>
      </c>
      <c r="AU44" s="986">
        <f t="shared" si="6"/>
        <v>13</v>
      </c>
      <c r="AV44" s="985">
        <v>3</v>
      </c>
      <c r="AW44" s="985">
        <v>3</v>
      </c>
      <c r="AX44" s="985">
        <v>11</v>
      </c>
      <c r="AY44" s="986">
        <f t="shared" si="7"/>
        <v>17</v>
      </c>
      <c r="AZ44" s="987">
        <v>4</v>
      </c>
      <c r="BA44" s="985">
        <v>4</v>
      </c>
      <c r="BB44" s="985">
        <v>9</v>
      </c>
      <c r="BC44" s="986">
        <v>17</v>
      </c>
      <c r="BD44" s="987">
        <v>6</v>
      </c>
      <c r="BE44" s="985">
        <v>8</v>
      </c>
      <c r="BF44" s="985">
        <v>6</v>
      </c>
      <c r="BG44" s="986">
        <f t="shared" si="8"/>
        <v>20</v>
      </c>
      <c r="BH44" s="987">
        <v>3</v>
      </c>
      <c r="BI44" s="985">
        <v>5</v>
      </c>
      <c r="BJ44" s="985">
        <v>6</v>
      </c>
      <c r="BK44" s="986">
        <f t="shared" si="48"/>
        <v>14</v>
      </c>
      <c r="BL44" s="987">
        <v>5</v>
      </c>
      <c r="BM44" s="985">
        <v>4</v>
      </c>
      <c r="BN44" s="985">
        <v>4</v>
      </c>
      <c r="BO44" s="986">
        <f t="shared" si="49"/>
        <v>13</v>
      </c>
      <c r="BP44" s="987">
        <v>6</v>
      </c>
      <c r="BQ44" s="985">
        <v>10</v>
      </c>
      <c r="BR44" s="985">
        <v>8</v>
      </c>
      <c r="BS44" s="986">
        <f t="shared" si="50"/>
        <v>24</v>
      </c>
    </row>
    <row r="45" spans="1:71" s="980" customFormat="1" ht="15" customHeight="1" x14ac:dyDescent="0.25">
      <c r="A45" s="5063"/>
      <c r="B45" s="5208"/>
      <c r="C45" s="981" t="s">
        <v>472</v>
      </c>
      <c r="D45" s="814">
        <v>1</v>
      </c>
      <c r="E45" s="815">
        <v>3</v>
      </c>
      <c r="F45" s="815">
        <v>3</v>
      </c>
      <c r="G45" s="982">
        <v>7</v>
      </c>
      <c r="H45" s="814">
        <v>3</v>
      </c>
      <c r="I45" s="815">
        <v>2</v>
      </c>
      <c r="J45" s="815">
        <v>2</v>
      </c>
      <c r="K45" s="982">
        <v>7</v>
      </c>
      <c r="L45" s="814">
        <v>2</v>
      </c>
      <c r="M45" s="815">
        <v>2</v>
      </c>
      <c r="N45" s="815">
        <v>2</v>
      </c>
      <c r="O45" s="982">
        <v>6</v>
      </c>
      <c r="P45" s="814">
        <v>3</v>
      </c>
      <c r="Q45" s="815">
        <v>1</v>
      </c>
      <c r="R45" s="815">
        <v>3</v>
      </c>
      <c r="S45" s="984">
        <v>7</v>
      </c>
      <c r="T45" s="814">
        <v>2</v>
      </c>
      <c r="U45" s="815">
        <v>2</v>
      </c>
      <c r="V45" s="815">
        <v>1</v>
      </c>
      <c r="W45" s="982">
        <f t="shared" si="0"/>
        <v>5</v>
      </c>
      <c r="X45" s="814">
        <v>6</v>
      </c>
      <c r="Y45" s="815">
        <v>4</v>
      </c>
      <c r="Z45" s="815">
        <v>6</v>
      </c>
      <c r="AA45" s="982">
        <f t="shared" si="1"/>
        <v>16</v>
      </c>
      <c r="AB45" s="983">
        <v>2</v>
      </c>
      <c r="AC45" s="815">
        <v>3</v>
      </c>
      <c r="AD45" s="815">
        <v>1</v>
      </c>
      <c r="AE45" s="982">
        <f t="shared" si="2"/>
        <v>6</v>
      </c>
      <c r="AF45" s="983">
        <v>4</v>
      </c>
      <c r="AG45" s="815">
        <v>6</v>
      </c>
      <c r="AH45" s="815">
        <v>5</v>
      </c>
      <c r="AI45" s="984">
        <f t="shared" si="3"/>
        <v>15</v>
      </c>
      <c r="AJ45" s="983">
        <v>3</v>
      </c>
      <c r="AK45" s="815">
        <v>2</v>
      </c>
      <c r="AL45" s="848">
        <v>4</v>
      </c>
      <c r="AM45" s="984">
        <f t="shared" si="4"/>
        <v>9</v>
      </c>
      <c r="AN45" s="983">
        <v>5</v>
      </c>
      <c r="AO45" s="815">
        <v>4</v>
      </c>
      <c r="AP45" s="848">
        <v>2</v>
      </c>
      <c r="AQ45" s="984">
        <f t="shared" si="5"/>
        <v>11</v>
      </c>
      <c r="AR45" s="985">
        <v>3</v>
      </c>
      <c r="AS45" s="985">
        <v>3</v>
      </c>
      <c r="AT45" s="985" t="s">
        <v>227</v>
      </c>
      <c r="AU45" s="986">
        <f t="shared" si="6"/>
        <v>6</v>
      </c>
      <c r="AV45" s="985">
        <v>5</v>
      </c>
      <c r="AW45" s="985">
        <v>6</v>
      </c>
      <c r="AX45" s="985">
        <v>2</v>
      </c>
      <c r="AY45" s="986">
        <f t="shared" si="7"/>
        <v>13</v>
      </c>
      <c r="AZ45" s="987">
        <v>5</v>
      </c>
      <c r="BA45" s="985">
        <v>1</v>
      </c>
      <c r="BB45" s="985">
        <v>4</v>
      </c>
      <c r="BC45" s="986">
        <v>10</v>
      </c>
      <c r="BD45" s="987">
        <v>5</v>
      </c>
      <c r="BE45" s="985">
        <v>2</v>
      </c>
      <c r="BF45" s="985">
        <v>2</v>
      </c>
      <c r="BG45" s="986">
        <f t="shared" si="8"/>
        <v>9</v>
      </c>
      <c r="BH45" s="987">
        <v>3</v>
      </c>
      <c r="BI45" s="985">
        <v>6</v>
      </c>
      <c r="BJ45" s="985">
        <v>2</v>
      </c>
      <c r="BK45" s="986">
        <f t="shared" si="48"/>
        <v>11</v>
      </c>
      <c r="BL45" s="987">
        <v>4</v>
      </c>
      <c r="BM45" s="985">
        <v>5</v>
      </c>
      <c r="BN45" s="985">
        <v>8</v>
      </c>
      <c r="BO45" s="986">
        <f t="shared" si="49"/>
        <v>17</v>
      </c>
      <c r="BP45" s="987">
        <v>4</v>
      </c>
      <c r="BQ45" s="985">
        <v>7</v>
      </c>
      <c r="BR45" s="985">
        <v>10</v>
      </c>
      <c r="BS45" s="986">
        <f t="shared" si="50"/>
        <v>21</v>
      </c>
    </row>
    <row r="46" spans="1:71" s="980" customFormat="1" ht="15" customHeight="1" x14ac:dyDescent="0.25">
      <c r="A46" s="5063"/>
      <c r="B46" s="5208"/>
      <c r="C46" s="981" t="s">
        <v>460</v>
      </c>
      <c r="D46" s="814">
        <v>20</v>
      </c>
      <c r="E46" s="815">
        <v>32</v>
      </c>
      <c r="F46" s="815">
        <v>25</v>
      </c>
      <c r="G46" s="982">
        <v>77</v>
      </c>
      <c r="H46" s="814">
        <v>20</v>
      </c>
      <c r="I46" s="815">
        <v>24</v>
      </c>
      <c r="J46" s="815">
        <v>8</v>
      </c>
      <c r="K46" s="982">
        <v>52</v>
      </c>
      <c r="L46" s="814">
        <v>22</v>
      </c>
      <c r="M46" s="815">
        <v>34</v>
      </c>
      <c r="N46" s="815">
        <v>22</v>
      </c>
      <c r="O46" s="982">
        <v>78</v>
      </c>
      <c r="P46" s="814">
        <v>17</v>
      </c>
      <c r="Q46" s="815">
        <v>18</v>
      </c>
      <c r="R46" s="815">
        <v>17</v>
      </c>
      <c r="S46" s="984">
        <v>52</v>
      </c>
      <c r="T46" s="814">
        <v>22</v>
      </c>
      <c r="U46" s="815">
        <v>25</v>
      </c>
      <c r="V46" s="815">
        <v>23</v>
      </c>
      <c r="W46" s="982">
        <f t="shared" si="0"/>
        <v>70</v>
      </c>
      <c r="X46" s="814">
        <v>25</v>
      </c>
      <c r="Y46" s="815">
        <v>31</v>
      </c>
      <c r="Z46" s="815">
        <v>11</v>
      </c>
      <c r="AA46" s="982">
        <f t="shared" si="1"/>
        <v>67</v>
      </c>
      <c r="AB46" s="983">
        <v>18</v>
      </c>
      <c r="AC46" s="815">
        <v>11</v>
      </c>
      <c r="AD46" s="815">
        <v>10</v>
      </c>
      <c r="AE46" s="982">
        <f t="shared" si="2"/>
        <v>39</v>
      </c>
      <c r="AF46" s="983">
        <v>26</v>
      </c>
      <c r="AG46" s="815">
        <v>20</v>
      </c>
      <c r="AH46" s="815">
        <v>17</v>
      </c>
      <c r="AI46" s="984">
        <f t="shared" si="3"/>
        <v>63</v>
      </c>
      <c r="AJ46" s="983">
        <v>17</v>
      </c>
      <c r="AK46" s="815">
        <v>10</v>
      </c>
      <c r="AL46" s="848">
        <v>5</v>
      </c>
      <c r="AM46" s="984">
        <f t="shared" si="4"/>
        <v>32</v>
      </c>
      <c r="AN46" s="983">
        <v>16</v>
      </c>
      <c r="AO46" s="815">
        <v>14</v>
      </c>
      <c r="AP46" s="848">
        <v>14</v>
      </c>
      <c r="AQ46" s="984">
        <f t="shared" si="5"/>
        <v>44</v>
      </c>
      <c r="AR46" s="985">
        <v>15</v>
      </c>
      <c r="AS46" s="985">
        <v>10</v>
      </c>
      <c r="AT46" s="985">
        <v>8</v>
      </c>
      <c r="AU46" s="986">
        <f t="shared" si="6"/>
        <v>33</v>
      </c>
      <c r="AV46" s="985">
        <v>16</v>
      </c>
      <c r="AW46" s="985">
        <v>17</v>
      </c>
      <c r="AX46" s="985">
        <v>14</v>
      </c>
      <c r="AY46" s="986">
        <f t="shared" si="7"/>
        <v>47</v>
      </c>
      <c r="AZ46" s="987">
        <v>4</v>
      </c>
      <c r="BA46" s="985">
        <v>11</v>
      </c>
      <c r="BB46" s="985">
        <v>13</v>
      </c>
      <c r="BC46" s="986">
        <v>28</v>
      </c>
      <c r="BD46" s="987">
        <v>14</v>
      </c>
      <c r="BE46" s="985">
        <v>20</v>
      </c>
      <c r="BF46" s="985">
        <v>11</v>
      </c>
      <c r="BG46" s="986">
        <f t="shared" si="8"/>
        <v>45</v>
      </c>
      <c r="BH46" s="987">
        <v>4</v>
      </c>
      <c r="BI46" s="985">
        <v>7</v>
      </c>
      <c r="BJ46" s="985">
        <v>11</v>
      </c>
      <c r="BK46" s="986">
        <f t="shared" si="48"/>
        <v>22</v>
      </c>
      <c r="BL46" s="987">
        <v>7</v>
      </c>
      <c r="BM46" s="985">
        <v>14</v>
      </c>
      <c r="BN46" s="985">
        <v>16</v>
      </c>
      <c r="BO46" s="986">
        <f t="shared" si="49"/>
        <v>37</v>
      </c>
      <c r="BP46" s="987">
        <v>11</v>
      </c>
      <c r="BQ46" s="985">
        <v>8</v>
      </c>
      <c r="BR46" s="985">
        <v>8</v>
      </c>
      <c r="BS46" s="986">
        <f t="shared" si="50"/>
        <v>27</v>
      </c>
    </row>
    <row r="47" spans="1:71" s="980" customFormat="1" ht="15" customHeight="1" x14ac:dyDescent="0.25">
      <c r="A47" s="5063"/>
      <c r="B47" s="5208"/>
      <c r="C47" s="981" t="s">
        <v>473</v>
      </c>
      <c r="D47" s="814">
        <v>5</v>
      </c>
      <c r="E47" s="815">
        <v>3</v>
      </c>
      <c r="F47" s="815">
        <v>4</v>
      </c>
      <c r="G47" s="982">
        <v>12</v>
      </c>
      <c r="H47" s="814">
        <v>5</v>
      </c>
      <c r="I47" s="815">
        <v>4</v>
      </c>
      <c r="J47" s="815">
        <v>4</v>
      </c>
      <c r="K47" s="982">
        <v>13</v>
      </c>
      <c r="L47" s="814">
        <v>2</v>
      </c>
      <c r="M47" s="815">
        <v>7</v>
      </c>
      <c r="N47" s="815">
        <v>8</v>
      </c>
      <c r="O47" s="982">
        <v>17</v>
      </c>
      <c r="P47" s="814">
        <v>1</v>
      </c>
      <c r="Q47" s="815">
        <v>2</v>
      </c>
      <c r="R47" s="815">
        <v>2</v>
      </c>
      <c r="S47" s="984">
        <v>5</v>
      </c>
      <c r="T47" s="814">
        <v>2</v>
      </c>
      <c r="U47" s="815">
        <v>2</v>
      </c>
      <c r="V47" s="815" t="s">
        <v>227</v>
      </c>
      <c r="W47" s="982">
        <f t="shared" si="0"/>
        <v>4</v>
      </c>
      <c r="X47" s="814">
        <v>6</v>
      </c>
      <c r="Y47" s="815">
        <v>9</v>
      </c>
      <c r="Z47" s="815">
        <v>2</v>
      </c>
      <c r="AA47" s="982">
        <f t="shared" si="1"/>
        <v>17</v>
      </c>
      <c r="AB47" s="983">
        <v>12</v>
      </c>
      <c r="AC47" s="815">
        <v>5</v>
      </c>
      <c r="AD47" s="815">
        <v>7</v>
      </c>
      <c r="AE47" s="982">
        <f t="shared" si="2"/>
        <v>24</v>
      </c>
      <c r="AF47" s="983">
        <v>7</v>
      </c>
      <c r="AG47" s="815">
        <v>7</v>
      </c>
      <c r="AH47" s="815">
        <v>7</v>
      </c>
      <c r="AI47" s="984">
        <f t="shared" si="3"/>
        <v>21</v>
      </c>
      <c r="AJ47" s="983">
        <v>7</v>
      </c>
      <c r="AK47" s="815">
        <v>8</v>
      </c>
      <c r="AL47" s="848">
        <v>5</v>
      </c>
      <c r="AM47" s="984">
        <f t="shared" si="4"/>
        <v>20</v>
      </c>
      <c r="AN47" s="983">
        <v>4</v>
      </c>
      <c r="AO47" s="815">
        <v>4</v>
      </c>
      <c r="AP47" s="848" t="s">
        <v>227</v>
      </c>
      <c r="AQ47" s="984">
        <f t="shared" si="5"/>
        <v>8</v>
      </c>
      <c r="AR47" s="985">
        <v>6</v>
      </c>
      <c r="AS47" s="985">
        <v>3</v>
      </c>
      <c r="AT47" s="985">
        <v>1</v>
      </c>
      <c r="AU47" s="986">
        <f t="shared" si="6"/>
        <v>10</v>
      </c>
      <c r="AV47" s="985">
        <v>7</v>
      </c>
      <c r="AW47" s="985">
        <v>7</v>
      </c>
      <c r="AX47" s="985">
        <v>3</v>
      </c>
      <c r="AY47" s="986">
        <f t="shared" si="7"/>
        <v>17</v>
      </c>
      <c r="AZ47" s="987">
        <v>7</v>
      </c>
      <c r="BA47" s="985">
        <v>5</v>
      </c>
      <c r="BB47" s="985">
        <v>3</v>
      </c>
      <c r="BC47" s="986">
        <v>15</v>
      </c>
      <c r="BD47" s="987">
        <v>5</v>
      </c>
      <c r="BE47" s="985">
        <v>7</v>
      </c>
      <c r="BF47" s="985">
        <v>4</v>
      </c>
      <c r="BG47" s="986">
        <f t="shared" si="8"/>
        <v>16</v>
      </c>
      <c r="BH47" s="987">
        <v>8</v>
      </c>
      <c r="BI47" s="985">
        <v>11</v>
      </c>
      <c r="BJ47" s="985">
        <v>6</v>
      </c>
      <c r="BK47" s="986">
        <f t="shared" si="48"/>
        <v>25</v>
      </c>
      <c r="BL47" s="987">
        <v>16</v>
      </c>
      <c r="BM47" s="985">
        <v>14</v>
      </c>
      <c r="BN47" s="985">
        <v>8</v>
      </c>
      <c r="BO47" s="986">
        <f t="shared" si="49"/>
        <v>38</v>
      </c>
      <c r="BP47" s="987">
        <v>3</v>
      </c>
      <c r="BQ47" s="985">
        <v>6</v>
      </c>
      <c r="BR47" s="985">
        <v>3</v>
      </c>
      <c r="BS47" s="986">
        <f t="shared" si="50"/>
        <v>12</v>
      </c>
    </row>
    <row r="48" spans="1:71" s="980" customFormat="1" ht="15" customHeight="1" x14ac:dyDescent="0.25">
      <c r="A48" s="5063"/>
      <c r="B48" s="5208"/>
      <c r="C48" s="981" t="s">
        <v>474</v>
      </c>
      <c r="D48" s="814">
        <v>3</v>
      </c>
      <c r="E48" s="815">
        <v>2</v>
      </c>
      <c r="F48" s="815">
        <v>0</v>
      </c>
      <c r="G48" s="982">
        <v>5</v>
      </c>
      <c r="H48" s="814">
        <v>1</v>
      </c>
      <c r="I48" s="815">
        <v>2</v>
      </c>
      <c r="J48" s="815">
        <v>2</v>
      </c>
      <c r="K48" s="982">
        <v>5</v>
      </c>
      <c r="L48" s="814">
        <v>3</v>
      </c>
      <c r="M48" s="815">
        <v>5</v>
      </c>
      <c r="N48" s="815">
        <v>1</v>
      </c>
      <c r="O48" s="982">
        <v>9</v>
      </c>
      <c r="P48" s="814">
        <v>1</v>
      </c>
      <c r="Q48" s="815">
        <v>2</v>
      </c>
      <c r="R48" s="815">
        <v>3</v>
      </c>
      <c r="S48" s="984">
        <v>6</v>
      </c>
      <c r="T48" s="814">
        <v>1</v>
      </c>
      <c r="U48" s="815">
        <v>5</v>
      </c>
      <c r="V48" s="815" t="s">
        <v>227</v>
      </c>
      <c r="W48" s="982">
        <f t="shared" si="0"/>
        <v>6</v>
      </c>
      <c r="X48" s="814">
        <v>5</v>
      </c>
      <c r="Y48" s="815">
        <v>4</v>
      </c>
      <c r="Z48" s="815">
        <v>7</v>
      </c>
      <c r="AA48" s="982">
        <f t="shared" si="1"/>
        <v>16</v>
      </c>
      <c r="AB48" s="983">
        <v>6</v>
      </c>
      <c r="AC48" s="815">
        <v>2</v>
      </c>
      <c r="AD48" s="815">
        <v>1</v>
      </c>
      <c r="AE48" s="982">
        <f t="shared" si="2"/>
        <v>9</v>
      </c>
      <c r="AF48" s="983" t="s">
        <v>227</v>
      </c>
      <c r="AG48" s="815">
        <v>4</v>
      </c>
      <c r="AH48" s="815">
        <v>1</v>
      </c>
      <c r="AI48" s="984">
        <f t="shared" si="3"/>
        <v>5</v>
      </c>
      <c r="AJ48" s="983">
        <v>2</v>
      </c>
      <c r="AK48" s="815">
        <v>3</v>
      </c>
      <c r="AL48" s="815"/>
      <c r="AM48" s="984">
        <f t="shared" si="4"/>
        <v>5</v>
      </c>
      <c r="AN48" s="983" t="s">
        <v>227</v>
      </c>
      <c r="AO48" s="815">
        <v>1</v>
      </c>
      <c r="AP48" s="815">
        <v>1</v>
      </c>
      <c r="AQ48" s="984">
        <f t="shared" si="5"/>
        <v>2</v>
      </c>
      <c r="AR48" s="985">
        <v>3</v>
      </c>
      <c r="AS48" s="985">
        <v>2</v>
      </c>
      <c r="AT48" s="985">
        <v>3</v>
      </c>
      <c r="AU48" s="986">
        <f t="shared" si="6"/>
        <v>8</v>
      </c>
      <c r="AV48" s="985">
        <v>2</v>
      </c>
      <c r="AW48" s="985">
        <v>4</v>
      </c>
      <c r="AX48" s="985">
        <v>1</v>
      </c>
      <c r="AY48" s="986">
        <f t="shared" si="7"/>
        <v>7</v>
      </c>
      <c r="AZ48" s="987">
        <v>3</v>
      </c>
      <c r="BA48" s="985">
        <v>3</v>
      </c>
      <c r="BB48" s="985">
        <v>5</v>
      </c>
      <c r="BC48" s="986">
        <v>11</v>
      </c>
      <c r="BD48" s="987">
        <v>1</v>
      </c>
      <c r="BE48" s="985">
        <v>8</v>
      </c>
      <c r="BF48" s="985">
        <v>5</v>
      </c>
      <c r="BG48" s="986">
        <f t="shared" si="8"/>
        <v>14</v>
      </c>
      <c r="BH48" s="987">
        <v>1</v>
      </c>
      <c r="BI48" s="985">
        <v>3</v>
      </c>
      <c r="BJ48" s="985">
        <v>6</v>
      </c>
      <c r="BK48" s="986">
        <f t="shared" si="48"/>
        <v>10</v>
      </c>
      <c r="BL48" s="987">
        <v>3</v>
      </c>
      <c r="BM48" s="985">
        <v>2</v>
      </c>
      <c r="BN48" s="985">
        <v>6</v>
      </c>
      <c r="BO48" s="986">
        <f t="shared" si="49"/>
        <v>11</v>
      </c>
      <c r="BP48" s="987">
        <v>1</v>
      </c>
      <c r="BQ48" s="985">
        <v>4</v>
      </c>
      <c r="BR48" s="985">
        <v>6</v>
      </c>
      <c r="BS48" s="986">
        <f t="shared" si="50"/>
        <v>11</v>
      </c>
    </row>
    <row r="49" spans="1:71" s="980" customFormat="1" ht="15" customHeight="1" x14ac:dyDescent="0.25">
      <c r="A49" s="5063"/>
      <c r="B49" s="5208"/>
      <c r="C49" s="988" t="s">
        <v>475</v>
      </c>
      <c r="D49" s="823">
        <v>19</v>
      </c>
      <c r="E49" s="824">
        <v>30</v>
      </c>
      <c r="F49" s="824">
        <v>29</v>
      </c>
      <c r="G49" s="989">
        <v>78</v>
      </c>
      <c r="H49" s="823">
        <v>26</v>
      </c>
      <c r="I49" s="824">
        <v>15</v>
      </c>
      <c r="J49" s="824">
        <v>13</v>
      </c>
      <c r="K49" s="989">
        <v>54</v>
      </c>
      <c r="L49" s="823">
        <v>16</v>
      </c>
      <c r="M49" s="824">
        <v>17</v>
      </c>
      <c r="N49" s="824">
        <v>24</v>
      </c>
      <c r="O49" s="989">
        <v>57</v>
      </c>
      <c r="P49" s="823">
        <v>14</v>
      </c>
      <c r="Q49" s="824">
        <v>13</v>
      </c>
      <c r="R49" s="824">
        <v>25</v>
      </c>
      <c r="S49" s="991">
        <v>52</v>
      </c>
      <c r="T49" s="823">
        <v>21</v>
      </c>
      <c r="U49" s="824">
        <v>19</v>
      </c>
      <c r="V49" s="824">
        <v>13</v>
      </c>
      <c r="W49" s="989">
        <f t="shared" si="0"/>
        <v>53</v>
      </c>
      <c r="X49" s="823">
        <v>19</v>
      </c>
      <c r="Y49" s="824">
        <v>9</v>
      </c>
      <c r="Z49" s="824">
        <v>19</v>
      </c>
      <c r="AA49" s="989">
        <f t="shared" si="1"/>
        <v>47</v>
      </c>
      <c r="AB49" s="990">
        <v>24</v>
      </c>
      <c r="AC49" s="824">
        <v>21</v>
      </c>
      <c r="AD49" s="824">
        <v>20</v>
      </c>
      <c r="AE49" s="989">
        <f t="shared" si="2"/>
        <v>65</v>
      </c>
      <c r="AF49" s="990">
        <v>37</v>
      </c>
      <c r="AG49" s="824">
        <v>14</v>
      </c>
      <c r="AH49" s="824">
        <v>17</v>
      </c>
      <c r="AI49" s="991">
        <f t="shared" si="3"/>
        <v>68</v>
      </c>
      <c r="AJ49" s="990">
        <v>12</v>
      </c>
      <c r="AK49" s="824">
        <v>13</v>
      </c>
      <c r="AL49" s="873">
        <v>16</v>
      </c>
      <c r="AM49" s="991">
        <f t="shared" si="4"/>
        <v>41</v>
      </c>
      <c r="AN49" s="990">
        <v>13</v>
      </c>
      <c r="AO49" s="824">
        <v>10</v>
      </c>
      <c r="AP49" s="873">
        <v>8</v>
      </c>
      <c r="AQ49" s="991">
        <f t="shared" si="5"/>
        <v>31</v>
      </c>
      <c r="AR49" s="992">
        <v>8</v>
      </c>
      <c r="AS49" s="992">
        <v>19</v>
      </c>
      <c r="AT49" s="992">
        <v>8</v>
      </c>
      <c r="AU49" s="993">
        <f t="shared" si="6"/>
        <v>35</v>
      </c>
      <c r="AV49" s="992">
        <v>13</v>
      </c>
      <c r="AW49" s="992">
        <v>32</v>
      </c>
      <c r="AX49" s="992">
        <v>15</v>
      </c>
      <c r="AY49" s="993">
        <f t="shared" si="7"/>
        <v>60</v>
      </c>
      <c r="AZ49" s="994">
        <v>17</v>
      </c>
      <c r="BA49" s="992">
        <v>14</v>
      </c>
      <c r="BB49" s="992">
        <v>9</v>
      </c>
      <c r="BC49" s="993">
        <v>40</v>
      </c>
      <c r="BD49" s="994">
        <v>22</v>
      </c>
      <c r="BE49" s="992">
        <v>17</v>
      </c>
      <c r="BF49" s="992">
        <v>4</v>
      </c>
      <c r="BG49" s="993">
        <f t="shared" si="8"/>
        <v>43</v>
      </c>
      <c r="BH49" s="994">
        <v>12</v>
      </c>
      <c r="BI49" s="992">
        <v>11</v>
      </c>
      <c r="BJ49" s="992">
        <v>15</v>
      </c>
      <c r="BK49" s="993">
        <f t="shared" si="48"/>
        <v>38</v>
      </c>
      <c r="BL49" s="994">
        <v>12</v>
      </c>
      <c r="BM49" s="992">
        <v>13</v>
      </c>
      <c r="BN49" s="992">
        <v>11</v>
      </c>
      <c r="BO49" s="993">
        <f t="shared" si="49"/>
        <v>36</v>
      </c>
      <c r="BP49" s="994">
        <v>5</v>
      </c>
      <c r="BQ49" s="992">
        <v>11</v>
      </c>
      <c r="BR49" s="992">
        <v>11</v>
      </c>
      <c r="BS49" s="993">
        <f t="shared" si="50"/>
        <v>27</v>
      </c>
    </row>
    <row r="50" spans="1:71" s="980" customFormat="1" ht="15" customHeight="1" x14ac:dyDescent="0.25">
      <c r="A50" s="5063"/>
      <c r="B50" s="5209"/>
      <c r="C50" s="995" t="s">
        <v>160</v>
      </c>
      <c r="D50" s="996">
        <v>83</v>
      </c>
      <c r="E50" s="997">
        <v>96</v>
      </c>
      <c r="F50" s="997">
        <v>73</v>
      </c>
      <c r="G50" s="998">
        <v>252</v>
      </c>
      <c r="H50" s="996">
        <v>78</v>
      </c>
      <c r="I50" s="997">
        <v>69</v>
      </c>
      <c r="J50" s="997">
        <v>48</v>
      </c>
      <c r="K50" s="998">
        <v>195</v>
      </c>
      <c r="L50" s="996">
        <v>85</v>
      </c>
      <c r="M50" s="997">
        <v>94</v>
      </c>
      <c r="N50" s="997">
        <v>79</v>
      </c>
      <c r="O50" s="998">
        <v>258</v>
      </c>
      <c r="P50" s="996">
        <v>54</v>
      </c>
      <c r="Q50" s="997">
        <v>63</v>
      </c>
      <c r="R50" s="997">
        <v>65</v>
      </c>
      <c r="S50" s="998">
        <v>182</v>
      </c>
      <c r="T50" s="996">
        <f t="shared" ref="T50:BC50" si="51">SUM(T41:T49)</f>
        <v>78</v>
      </c>
      <c r="U50" s="997">
        <f t="shared" si="51"/>
        <v>79</v>
      </c>
      <c r="V50" s="997">
        <f t="shared" si="51"/>
        <v>65</v>
      </c>
      <c r="W50" s="998">
        <f t="shared" si="51"/>
        <v>222</v>
      </c>
      <c r="X50" s="996">
        <f t="shared" si="51"/>
        <v>87</v>
      </c>
      <c r="Y50" s="997">
        <f t="shared" si="51"/>
        <v>93</v>
      </c>
      <c r="Z50" s="997">
        <f t="shared" si="51"/>
        <v>66</v>
      </c>
      <c r="AA50" s="998">
        <f t="shared" si="51"/>
        <v>246</v>
      </c>
      <c r="AB50" s="996">
        <f t="shared" si="51"/>
        <v>93</v>
      </c>
      <c r="AC50" s="997">
        <f t="shared" si="51"/>
        <v>86</v>
      </c>
      <c r="AD50" s="997">
        <f t="shared" si="51"/>
        <v>64</v>
      </c>
      <c r="AE50" s="998">
        <f t="shared" si="51"/>
        <v>243</v>
      </c>
      <c r="AF50" s="996">
        <f t="shared" si="51"/>
        <v>93</v>
      </c>
      <c r="AG50" s="997">
        <f t="shared" si="51"/>
        <v>104</v>
      </c>
      <c r="AH50" s="997">
        <f t="shared" si="51"/>
        <v>79</v>
      </c>
      <c r="AI50" s="998">
        <f t="shared" si="51"/>
        <v>276</v>
      </c>
      <c r="AJ50" s="996">
        <f t="shared" si="51"/>
        <v>54</v>
      </c>
      <c r="AK50" s="997">
        <f t="shared" si="51"/>
        <v>71</v>
      </c>
      <c r="AL50" s="997">
        <f t="shared" si="51"/>
        <v>48</v>
      </c>
      <c r="AM50" s="998">
        <f t="shared" si="51"/>
        <v>173</v>
      </c>
      <c r="AN50" s="996">
        <f t="shared" si="51"/>
        <v>68</v>
      </c>
      <c r="AO50" s="997">
        <f t="shared" si="51"/>
        <v>59</v>
      </c>
      <c r="AP50" s="997">
        <f t="shared" si="51"/>
        <v>36</v>
      </c>
      <c r="AQ50" s="998">
        <f t="shared" si="51"/>
        <v>163</v>
      </c>
      <c r="AR50" s="996">
        <f t="shared" si="51"/>
        <v>58</v>
      </c>
      <c r="AS50" s="997">
        <f t="shared" si="51"/>
        <v>70</v>
      </c>
      <c r="AT50" s="997">
        <f t="shared" si="51"/>
        <v>39</v>
      </c>
      <c r="AU50" s="998">
        <f t="shared" si="6"/>
        <v>167</v>
      </c>
      <c r="AV50" s="996">
        <f t="shared" ref="AV50:AX50" si="52">SUM(AV41:AV49)</f>
        <v>63</v>
      </c>
      <c r="AW50" s="997">
        <f t="shared" si="52"/>
        <v>112</v>
      </c>
      <c r="AX50" s="997">
        <f t="shared" si="52"/>
        <v>64</v>
      </c>
      <c r="AY50" s="998">
        <f t="shared" si="7"/>
        <v>239</v>
      </c>
      <c r="AZ50" s="996">
        <f t="shared" si="51"/>
        <v>57</v>
      </c>
      <c r="BA50" s="997">
        <f t="shared" si="51"/>
        <v>57</v>
      </c>
      <c r="BB50" s="997">
        <f t="shared" si="51"/>
        <v>65</v>
      </c>
      <c r="BC50" s="998">
        <f t="shared" si="51"/>
        <v>179</v>
      </c>
      <c r="BD50" s="996">
        <f t="shared" ref="BD50:BK50" si="53">SUM(BD41:BD49)</f>
        <v>67</v>
      </c>
      <c r="BE50" s="997">
        <f t="shared" si="53"/>
        <v>85</v>
      </c>
      <c r="BF50" s="997">
        <f t="shared" si="53"/>
        <v>50</v>
      </c>
      <c r="BG50" s="998">
        <f t="shared" si="53"/>
        <v>202</v>
      </c>
      <c r="BH50" s="996">
        <f t="shared" si="53"/>
        <v>44</v>
      </c>
      <c r="BI50" s="997">
        <f t="shared" si="53"/>
        <v>58</v>
      </c>
      <c r="BJ50" s="997">
        <f t="shared" si="53"/>
        <v>61</v>
      </c>
      <c r="BK50" s="998">
        <f t="shared" si="53"/>
        <v>163</v>
      </c>
      <c r="BL50" s="996">
        <f t="shared" ref="BL50:BS50" si="54">SUM(BL41:BL49)</f>
        <v>58</v>
      </c>
      <c r="BM50" s="997">
        <f t="shared" si="54"/>
        <v>86</v>
      </c>
      <c r="BN50" s="997">
        <f t="shared" si="54"/>
        <v>68</v>
      </c>
      <c r="BO50" s="998">
        <f t="shared" si="54"/>
        <v>212</v>
      </c>
      <c r="BP50" s="996">
        <f t="shared" si="54"/>
        <v>46</v>
      </c>
      <c r="BQ50" s="997">
        <f t="shared" si="54"/>
        <v>63</v>
      </c>
      <c r="BR50" s="997">
        <f t="shared" si="54"/>
        <v>64</v>
      </c>
      <c r="BS50" s="998">
        <f t="shared" si="54"/>
        <v>173</v>
      </c>
    </row>
    <row r="51" spans="1:71" s="980" customFormat="1" ht="15" customHeight="1" x14ac:dyDescent="0.25">
      <c r="A51" s="5063"/>
      <c r="B51" s="5207" t="s">
        <v>6</v>
      </c>
      <c r="C51" s="973" t="s">
        <v>462</v>
      </c>
      <c r="D51" s="808">
        <v>51</v>
      </c>
      <c r="E51" s="809">
        <v>66</v>
      </c>
      <c r="F51" s="809">
        <v>29</v>
      </c>
      <c r="G51" s="974">
        <v>146</v>
      </c>
      <c r="H51" s="808">
        <v>45</v>
      </c>
      <c r="I51" s="809">
        <v>47</v>
      </c>
      <c r="J51" s="809">
        <v>33</v>
      </c>
      <c r="K51" s="974">
        <v>125</v>
      </c>
      <c r="L51" s="808">
        <v>63</v>
      </c>
      <c r="M51" s="809">
        <v>42</v>
      </c>
      <c r="N51" s="809">
        <v>41</v>
      </c>
      <c r="O51" s="974">
        <v>146</v>
      </c>
      <c r="P51" s="808">
        <v>51</v>
      </c>
      <c r="Q51" s="809">
        <v>57</v>
      </c>
      <c r="R51" s="809">
        <v>48</v>
      </c>
      <c r="S51" s="976">
        <v>156</v>
      </c>
      <c r="T51" s="808">
        <v>37</v>
      </c>
      <c r="U51" s="809">
        <v>39</v>
      </c>
      <c r="V51" s="809">
        <v>28</v>
      </c>
      <c r="W51" s="974">
        <f t="shared" si="0"/>
        <v>104</v>
      </c>
      <c r="X51" s="808">
        <v>54</v>
      </c>
      <c r="Y51" s="809">
        <v>51</v>
      </c>
      <c r="Z51" s="809">
        <v>53</v>
      </c>
      <c r="AA51" s="974">
        <f t="shared" si="1"/>
        <v>158</v>
      </c>
      <c r="AB51" s="975">
        <v>69</v>
      </c>
      <c r="AC51" s="809">
        <v>44</v>
      </c>
      <c r="AD51" s="809">
        <v>50</v>
      </c>
      <c r="AE51" s="974">
        <f t="shared" si="2"/>
        <v>163</v>
      </c>
      <c r="AF51" s="975">
        <v>31</v>
      </c>
      <c r="AG51" s="809">
        <v>59</v>
      </c>
      <c r="AH51" s="809">
        <v>40</v>
      </c>
      <c r="AI51" s="976">
        <f t="shared" si="3"/>
        <v>130</v>
      </c>
      <c r="AJ51" s="975">
        <v>54</v>
      </c>
      <c r="AK51" s="809">
        <v>31</v>
      </c>
      <c r="AL51" s="846">
        <v>32</v>
      </c>
      <c r="AM51" s="976">
        <f t="shared" si="4"/>
        <v>117</v>
      </c>
      <c r="AN51" s="975">
        <v>57</v>
      </c>
      <c r="AO51" s="809">
        <v>43</v>
      </c>
      <c r="AP51" s="846">
        <v>23</v>
      </c>
      <c r="AQ51" s="976">
        <f t="shared" si="5"/>
        <v>123</v>
      </c>
      <c r="AR51" s="977">
        <v>50</v>
      </c>
      <c r="AS51" s="977">
        <v>46</v>
      </c>
      <c r="AT51" s="977">
        <v>17</v>
      </c>
      <c r="AU51" s="978">
        <f t="shared" si="6"/>
        <v>113</v>
      </c>
      <c r="AV51" s="977">
        <v>56</v>
      </c>
      <c r="AW51" s="977">
        <v>60</v>
      </c>
      <c r="AX51" s="977">
        <v>36</v>
      </c>
      <c r="AY51" s="978">
        <f t="shared" si="7"/>
        <v>152</v>
      </c>
      <c r="AZ51" s="1007">
        <v>58</v>
      </c>
      <c r="BA51" s="1008">
        <v>35</v>
      </c>
      <c r="BB51" s="1008">
        <v>32</v>
      </c>
      <c r="BC51" s="1009">
        <v>125</v>
      </c>
      <c r="BD51" s="1007">
        <v>40</v>
      </c>
      <c r="BE51" s="1008">
        <v>58</v>
      </c>
      <c r="BF51" s="1008">
        <v>35</v>
      </c>
      <c r="BG51" s="1009">
        <f t="shared" si="8"/>
        <v>133</v>
      </c>
      <c r="BH51" s="1007">
        <v>72</v>
      </c>
      <c r="BI51" s="1008">
        <v>65</v>
      </c>
      <c r="BJ51" s="1008">
        <v>53</v>
      </c>
      <c r="BK51" s="1009">
        <f t="shared" ref="BK51:BK61" si="55">SUM(BH51:BJ51)</f>
        <v>190</v>
      </c>
      <c r="BL51" s="1007">
        <v>48</v>
      </c>
      <c r="BM51" s="1008">
        <v>57</v>
      </c>
      <c r="BN51" s="1008">
        <v>42</v>
      </c>
      <c r="BO51" s="1009">
        <f t="shared" ref="BO51:BO61" si="56">SUM(BL51:BN51)</f>
        <v>147</v>
      </c>
      <c r="BP51" s="1007">
        <v>54</v>
      </c>
      <c r="BQ51" s="1008">
        <v>60</v>
      </c>
      <c r="BR51" s="1008">
        <v>37</v>
      </c>
      <c r="BS51" s="1009">
        <f t="shared" ref="BS51:BS61" si="57">SUM(BP51:BR51)</f>
        <v>151</v>
      </c>
    </row>
    <row r="52" spans="1:71" s="980" customFormat="1" ht="15" customHeight="1" x14ac:dyDescent="0.25">
      <c r="A52" s="5063"/>
      <c r="B52" s="5208"/>
      <c r="C52" s="981" t="s">
        <v>476</v>
      </c>
      <c r="D52" s="814">
        <v>9</v>
      </c>
      <c r="E52" s="815">
        <v>13</v>
      </c>
      <c r="F52" s="815">
        <v>16</v>
      </c>
      <c r="G52" s="982">
        <v>38</v>
      </c>
      <c r="H52" s="814">
        <v>9</v>
      </c>
      <c r="I52" s="815">
        <v>14</v>
      </c>
      <c r="J52" s="815">
        <v>26</v>
      </c>
      <c r="K52" s="982">
        <v>49</v>
      </c>
      <c r="L52" s="814">
        <v>13</v>
      </c>
      <c r="M52" s="815">
        <v>6</v>
      </c>
      <c r="N52" s="815">
        <v>8</v>
      </c>
      <c r="O52" s="982">
        <v>27</v>
      </c>
      <c r="P52" s="814">
        <v>10</v>
      </c>
      <c r="Q52" s="815">
        <v>6</v>
      </c>
      <c r="R52" s="815">
        <v>10</v>
      </c>
      <c r="S52" s="984">
        <v>26</v>
      </c>
      <c r="T52" s="814">
        <v>13</v>
      </c>
      <c r="U52" s="815">
        <v>16</v>
      </c>
      <c r="V52" s="815">
        <v>21</v>
      </c>
      <c r="W52" s="982">
        <f t="shared" si="0"/>
        <v>50</v>
      </c>
      <c r="X52" s="814">
        <v>16</v>
      </c>
      <c r="Y52" s="815">
        <v>8</v>
      </c>
      <c r="Z52" s="815">
        <v>16</v>
      </c>
      <c r="AA52" s="982">
        <f t="shared" si="1"/>
        <v>40</v>
      </c>
      <c r="AB52" s="983">
        <v>13</v>
      </c>
      <c r="AC52" s="815">
        <v>4</v>
      </c>
      <c r="AD52" s="815">
        <v>3</v>
      </c>
      <c r="AE52" s="982">
        <f t="shared" si="2"/>
        <v>20</v>
      </c>
      <c r="AF52" s="983">
        <v>9</v>
      </c>
      <c r="AG52" s="815">
        <v>4</v>
      </c>
      <c r="AH52" s="815">
        <v>10</v>
      </c>
      <c r="AI52" s="984">
        <f t="shared" si="3"/>
        <v>23</v>
      </c>
      <c r="AJ52" s="983">
        <v>9</v>
      </c>
      <c r="AK52" s="815">
        <v>6</v>
      </c>
      <c r="AL52" s="848">
        <v>5</v>
      </c>
      <c r="AM52" s="984">
        <f t="shared" si="4"/>
        <v>20</v>
      </c>
      <c r="AN52" s="983">
        <v>10</v>
      </c>
      <c r="AO52" s="815">
        <v>8</v>
      </c>
      <c r="AP52" s="848">
        <v>12</v>
      </c>
      <c r="AQ52" s="984">
        <f t="shared" si="5"/>
        <v>30</v>
      </c>
      <c r="AR52" s="985">
        <v>6</v>
      </c>
      <c r="AS52" s="985">
        <v>9</v>
      </c>
      <c r="AT52" s="985">
        <v>9</v>
      </c>
      <c r="AU52" s="986">
        <f t="shared" si="6"/>
        <v>24</v>
      </c>
      <c r="AV52" s="985">
        <v>4</v>
      </c>
      <c r="AW52" s="985">
        <v>6</v>
      </c>
      <c r="AX52" s="985">
        <v>9</v>
      </c>
      <c r="AY52" s="986">
        <f t="shared" si="7"/>
        <v>19</v>
      </c>
      <c r="AZ52" s="1010">
        <v>8</v>
      </c>
      <c r="BA52" s="1011">
        <v>11</v>
      </c>
      <c r="BB52" s="1011">
        <v>4</v>
      </c>
      <c r="BC52" s="1012">
        <v>23</v>
      </c>
      <c r="BD52" s="1010">
        <v>8</v>
      </c>
      <c r="BE52" s="1011">
        <v>16</v>
      </c>
      <c r="BF52" s="1011">
        <v>16</v>
      </c>
      <c r="BG52" s="1012">
        <f t="shared" si="8"/>
        <v>40</v>
      </c>
      <c r="BH52" s="1010">
        <v>14</v>
      </c>
      <c r="BI52" s="1011">
        <v>9</v>
      </c>
      <c r="BJ52" s="1011">
        <v>11</v>
      </c>
      <c r="BK52" s="1012">
        <f t="shared" si="55"/>
        <v>34</v>
      </c>
      <c r="BL52" s="1010">
        <v>11</v>
      </c>
      <c r="BM52" s="1011">
        <v>11</v>
      </c>
      <c r="BN52" s="1011">
        <v>6</v>
      </c>
      <c r="BO52" s="1012">
        <f t="shared" si="56"/>
        <v>28</v>
      </c>
      <c r="BP52" s="1010">
        <v>16</v>
      </c>
      <c r="BQ52" s="1011">
        <v>7</v>
      </c>
      <c r="BR52" s="1011">
        <v>9</v>
      </c>
      <c r="BS52" s="1012">
        <f t="shared" si="57"/>
        <v>32</v>
      </c>
    </row>
    <row r="53" spans="1:71" s="980" customFormat="1" ht="15" customHeight="1" x14ac:dyDescent="0.25">
      <c r="A53" s="5063"/>
      <c r="B53" s="5208"/>
      <c r="C53" s="981" t="s">
        <v>477</v>
      </c>
      <c r="D53" s="983">
        <v>5</v>
      </c>
      <c r="E53" s="1013">
        <v>4</v>
      </c>
      <c r="F53" s="815">
        <v>7</v>
      </c>
      <c r="G53" s="982">
        <v>16</v>
      </c>
      <c r="H53" s="983">
        <v>7</v>
      </c>
      <c r="I53" s="1013">
        <v>9</v>
      </c>
      <c r="J53" s="815">
        <v>9</v>
      </c>
      <c r="K53" s="982">
        <v>25</v>
      </c>
      <c r="L53" s="983">
        <v>4</v>
      </c>
      <c r="M53" s="1013">
        <v>9</v>
      </c>
      <c r="N53" s="815">
        <v>3</v>
      </c>
      <c r="O53" s="982">
        <v>16</v>
      </c>
      <c r="P53" s="983">
        <v>8</v>
      </c>
      <c r="Q53" s="1013">
        <v>2</v>
      </c>
      <c r="R53" s="815">
        <v>8</v>
      </c>
      <c r="S53" s="984">
        <v>18</v>
      </c>
      <c r="T53" s="983">
        <v>7</v>
      </c>
      <c r="U53" s="1013">
        <v>10</v>
      </c>
      <c r="V53" s="815">
        <v>8</v>
      </c>
      <c r="W53" s="982">
        <f t="shared" si="0"/>
        <v>25</v>
      </c>
      <c r="X53" s="983">
        <v>8</v>
      </c>
      <c r="Y53" s="1013">
        <v>13</v>
      </c>
      <c r="Z53" s="815">
        <v>6</v>
      </c>
      <c r="AA53" s="982">
        <f t="shared" si="1"/>
        <v>27</v>
      </c>
      <c r="AB53" s="983">
        <v>10</v>
      </c>
      <c r="AC53" s="1013">
        <v>16</v>
      </c>
      <c r="AD53" s="815">
        <v>9</v>
      </c>
      <c r="AE53" s="982">
        <f t="shared" si="2"/>
        <v>35</v>
      </c>
      <c r="AF53" s="983">
        <v>6</v>
      </c>
      <c r="AG53" s="1013">
        <v>9</v>
      </c>
      <c r="AH53" s="815">
        <v>12</v>
      </c>
      <c r="AI53" s="984">
        <f t="shared" si="3"/>
        <v>27</v>
      </c>
      <c r="AJ53" s="983">
        <v>7</v>
      </c>
      <c r="AK53" s="1013">
        <v>10</v>
      </c>
      <c r="AL53" s="848">
        <v>9</v>
      </c>
      <c r="AM53" s="984">
        <f t="shared" si="4"/>
        <v>26</v>
      </c>
      <c r="AN53" s="983">
        <v>2</v>
      </c>
      <c r="AO53" s="1013">
        <v>9</v>
      </c>
      <c r="AP53" s="848">
        <v>8</v>
      </c>
      <c r="AQ53" s="984">
        <f t="shared" si="5"/>
        <v>19</v>
      </c>
      <c r="AR53" s="985">
        <v>7</v>
      </c>
      <c r="AS53" s="985">
        <v>8</v>
      </c>
      <c r="AT53" s="985">
        <v>14</v>
      </c>
      <c r="AU53" s="986">
        <f t="shared" si="6"/>
        <v>29</v>
      </c>
      <c r="AV53" s="985">
        <v>8</v>
      </c>
      <c r="AW53" s="985">
        <v>10</v>
      </c>
      <c r="AX53" s="985">
        <v>12</v>
      </c>
      <c r="AY53" s="986">
        <f t="shared" si="7"/>
        <v>30</v>
      </c>
      <c r="AZ53" s="1010">
        <v>13</v>
      </c>
      <c r="BA53" s="1011">
        <v>8</v>
      </c>
      <c r="BB53" s="1011">
        <v>11</v>
      </c>
      <c r="BC53" s="1012">
        <v>32</v>
      </c>
      <c r="BD53" s="1010">
        <v>16</v>
      </c>
      <c r="BE53" s="1011">
        <v>15</v>
      </c>
      <c r="BF53" s="1011">
        <v>8</v>
      </c>
      <c r="BG53" s="1012">
        <f t="shared" si="8"/>
        <v>39</v>
      </c>
      <c r="BH53" s="1010">
        <v>14</v>
      </c>
      <c r="BI53" s="1011">
        <v>13</v>
      </c>
      <c r="BJ53" s="1011">
        <v>14</v>
      </c>
      <c r="BK53" s="1012">
        <f t="shared" si="55"/>
        <v>41</v>
      </c>
      <c r="BL53" s="1010">
        <v>8</v>
      </c>
      <c r="BM53" s="1011">
        <v>7</v>
      </c>
      <c r="BN53" s="1011">
        <v>9</v>
      </c>
      <c r="BO53" s="1012">
        <f t="shared" si="56"/>
        <v>24</v>
      </c>
      <c r="BP53" s="1010">
        <v>14</v>
      </c>
      <c r="BQ53" s="1011">
        <v>7</v>
      </c>
      <c r="BR53" s="1011">
        <v>9</v>
      </c>
      <c r="BS53" s="1012">
        <f t="shared" si="57"/>
        <v>30</v>
      </c>
    </row>
    <row r="54" spans="1:71" s="980" customFormat="1" ht="15" customHeight="1" x14ac:dyDescent="0.25">
      <c r="A54" s="5063"/>
      <c r="B54" s="5208"/>
      <c r="C54" s="981" t="s">
        <v>478</v>
      </c>
      <c r="D54" s="983">
        <v>3</v>
      </c>
      <c r="E54" s="1013">
        <v>6</v>
      </c>
      <c r="F54" s="815">
        <v>3</v>
      </c>
      <c r="G54" s="982">
        <v>12</v>
      </c>
      <c r="H54" s="983">
        <v>7</v>
      </c>
      <c r="I54" s="1013">
        <v>11</v>
      </c>
      <c r="J54" s="815">
        <v>6</v>
      </c>
      <c r="K54" s="982">
        <v>24</v>
      </c>
      <c r="L54" s="983">
        <v>8</v>
      </c>
      <c r="M54" s="1013">
        <v>6</v>
      </c>
      <c r="N54" s="815">
        <v>5</v>
      </c>
      <c r="O54" s="982">
        <v>19</v>
      </c>
      <c r="P54" s="983">
        <v>6</v>
      </c>
      <c r="Q54" s="1013">
        <v>9</v>
      </c>
      <c r="R54" s="815">
        <v>5</v>
      </c>
      <c r="S54" s="984">
        <v>20</v>
      </c>
      <c r="T54" s="983">
        <v>6</v>
      </c>
      <c r="U54" s="1013">
        <v>7</v>
      </c>
      <c r="V54" s="815">
        <v>5</v>
      </c>
      <c r="W54" s="982">
        <f t="shared" si="0"/>
        <v>18</v>
      </c>
      <c r="X54" s="983">
        <v>10</v>
      </c>
      <c r="Y54" s="1013">
        <v>10</v>
      </c>
      <c r="Z54" s="815">
        <v>6</v>
      </c>
      <c r="AA54" s="982">
        <f t="shared" si="1"/>
        <v>26</v>
      </c>
      <c r="AB54" s="983">
        <v>4</v>
      </c>
      <c r="AC54" s="1013">
        <v>7</v>
      </c>
      <c r="AD54" s="815">
        <v>6</v>
      </c>
      <c r="AE54" s="982">
        <f t="shared" si="2"/>
        <v>17</v>
      </c>
      <c r="AF54" s="983">
        <v>10</v>
      </c>
      <c r="AG54" s="1013">
        <v>18</v>
      </c>
      <c r="AH54" s="815">
        <v>8</v>
      </c>
      <c r="AI54" s="984">
        <f t="shared" si="3"/>
        <v>36</v>
      </c>
      <c r="AJ54" s="983">
        <v>13</v>
      </c>
      <c r="AK54" s="1013">
        <v>10</v>
      </c>
      <c r="AL54" s="848">
        <v>6</v>
      </c>
      <c r="AM54" s="984">
        <f t="shared" si="4"/>
        <v>29</v>
      </c>
      <c r="AN54" s="983">
        <v>6</v>
      </c>
      <c r="AO54" s="1013">
        <v>12</v>
      </c>
      <c r="AP54" s="848">
        <v>8</v>
      </c>
      <c r="AQ54" s="984">
        <f t="shared" si="5"/>
        <v>26</v>
      </c>
      <c r="AR54" s="985">
        <v>6</v>
      </c>
      <c r="AS54" s="985">
        <v>16</v>
      </c>
      <c r="AT54" s="985">
        <v>11</v>
      </c>
      <c r="AU54" s="986">
        <f t="shared" si="6"/>
        <v>33</v>
      </c>
      <c r="AV54" s="985">
        <v>14</v>
      </c>
      <c r="AW54" s="985">
        <v>13</v>
      </c>
      <c r="AX54" s="985">
        <v>12</v>
      </c>
      <c r="AY54" s="986">
        <f t="shared" si="7"/>
        <v>39</v>
      </c>
      <c r="AZ54" s="1010">
        <v>5</v>
      </c>
      <c r="BA54" s="1011">
        <v>20</v>
      </c>
      <c r="BB54" s="1011">
        <v>14</v>
      </c>
      <c r="BC54" s="1012">
        <v>39</v>
      </c>
      <c r="BD54" s="1010">
        <v>10</v>
      </c>
      <c r="BE54" s="1011">
        <v>6</v>
      </c>
      <c r="BF54" s="1011">
        <v>9</v>
      </c>
      <c r="BG54" s="1012">
        <f t="shared" si="8"/>
        <v>25</v>
      </c>
      <c r="BH54" s="1010">
        <v>13</v>
      </c>
      <c r="BI54" s="1011">
        <v>20</v>
      </c>
      <c r="BJ54" s="1011">
        <v>10</v>
      </c>
      <c r="BK54" s="1012">
        <f t="shared" si="55"/>
        <v>43</v>
      </c>
      <c r="BL54" s="1010">
        <v>10</v>
      </c>
      <c r="BM54" s="1011">
        <v>15</v>
      </c>
      <c r="BN54" s="1011">
        <v>4</v>
      </c>
      <c r="BO54" s="1012">
        <f t="shared" si="56"/>
        <v>29</v>
      </c>
      <c r="BP54" s="1010">
        <v>12</v>
      </c>
      <c r="BQ54" s="1011">
        <v>14</v>
      </c>
      <c r="BR54" s="1011">
        <v>16</v>
      </c>
      <c r="BS54" s="1012">
        <f t="shared" si="57"/>
        <v>42</v>
      </c>
    </row>
    <row r="55" spans="1:71" s="980" customFormat="1" ht="15" customHeight="1" x14ac:dyDescent="0.25">
      <c r="A55" s="5063"/>
      <c r="B55" s="5208"/>
      <c r="C55" s="981" t="s">
        <v>464</v>
      </c>
      <c r="D55" s="814">
        <v>23</v>
      </c>
      <c r="E55" s="815">
        <v>30</v>
      </c>
      <c r="F55" s="815">
        <v>19</v>
      </c>
      <c r="G55" s="982">
        <v>72</v>
      </c>
      <c r="H55" s="814">
        <v>25</v>
      </c>
      <c r="I55" s="815">
        <v>35</v>
      </c>
      <c r="J55" s="815">
        <v>15</v>
      </c>
      <c r="K55" s="982">
        <v>75</v>
      </c>
      <c r="L55" s="814">
        <v>17</v>
      </c>
      <c r="M55" s="815">
        <v>16</v>
      </c>
      <c r="N55" s="815">
        <v>6</v>
      </c>
      <c r="O55" s="982">
        <v>39</v>
      </c>
      <c r="P55" s="814">
        <v>14</v>
      </c>
      <c r="Q55" s="815">
        <v>18</v>
      </c>
      <c r="R55" s="815">
        <v>10</v>
      </c>
      <c r="S55" s="984">
        <v>42</v>
      </c>
      <c r="T55" s="814">
        <v>13</v>
      </c>
      <c r="U55" s="815">
        <v>20</v>
      </c>
      <c r="V55" s="815">
        <v>16</v>
      </c>
      <c r="W55" s="982">
        <f t="shared" si="0"/>
        <v>49</v>
      </c>
      <c r="X55" s="814">
        <v>13</v>
      </c>
      <c r="Y55" s="815">
        <v>15</v>
      </c>
      <c r="Z55" s="815">
        <v>12</v>
      </c>
      <c r="AA55" s="982">
        <f t="shared" si="1"/>
        <v>40</v>
      </c>
      <c r="AB55" s="983">
        <v>19</v>
      </c>
      <c r="AC55" s="815">
        <v>17</v>
      </c>
      <c r="AD55" s="815">
        <v>5</v>
      </c>
      <c r="AE55" s="982">
        <f t="shared" si="2"/>
        <v>41</v>
      </c>
      <c r="AF55" s="983">
        <v>19</v>
      </c>
      <c r="AG55" s="815">
        <v>18</v>
      </c>
      <c r="AH55" s="815">
        <v>21</v>
      </c>
      <c r="AI55" s="984">
        <f t="shared" si="3"/>
        <v>58</v>
      </c>
      <c r="AJ55" s="983">
        <v>21</v>
      </c>
      <c r="AK55" s="815">
        <v>13</v>
      </c>
      <c r="AL55" s="848">
        <v>13</v>
      </c>
      <c r="AM55" s="984">
        <f t="shared" si="4"/>
        <v>47</v>
      </c>
      <c r="AN55" s="983">
        <v>10</v>
      </c>
      <c r="AO55" s="815">
        <v>11</v>
      </c>
      <c r="AP55" s="848">
        <v>10</v>
      </c>
      <c r="AQ55" s="984">
        <f t="shared" si="5"/>
        <v>31</v>
      </c>
      <c r="AR55" s="985">
        <v>19</v>
      </c>
      <c r="AS55" s="985">
        <v>25</v>
      </c>
      <c r="AT55" s="985">
        <v>3</v>
      </c>
      <c r="AU55" s="986">
        <f t="shared" si="6"/>
        <v>47</v>
      </c>
      <c r="AV55" s="985">
        <v>11</v>
      </c>
      <c r="AW55" s="985">
        <v>43</v>
      </c>
      <c r="AX55" s="985">
        <v>19</v>
      </c>
      <c r="AY55" s="986">
        <f t="shared" si="7"/>
        <v>73</v>
      </c>
      <c r="AZ55" s="1010">
        <v>4</v>
      </c>
      <c r="BA55" s="1011">
        <v>18</v>
      </c>
      <c r="BB55" s="1011">
        <v>12</v>
      </c>
      <c r="BC55" s="1012">
        <v>34</v>
      </c>
      <c r="BD55" s="1010">
        <v>2</v>
      </c>
      <c r="BE55" s="1011">
        <v>19</v>
      </c>
      <c r="BF55" s="1011">
        <v>17</v>
      </c>
      <c r="BG55" s="1012">
        <f t="shared" si="8"/>
        <v>38</v>
      </c>
      <c r="BH55" s="1010">
        <v>7</v>
      </c>
      <c r="BI55" s="1011">
        <v>29</v>
      </c>
      <c r="BJ55" s="1011">
        <v>23</v>
      </c>
      <c r="BK55" s="1012">
        <f t="shared" si="55"/>
        <v>59</v>
      </c>
      <c r="BL55" s="1010">
        <v>10</v>
      </c>
      <c r="BM55" s="1011">
        <v>19</v>
      </c>
      <c r="BN55" s="1011">
        <v>13</v>
      </c>
      <c r="BO55" s="1012">
        <f t="shared" si="56"/>
        <v>42</v>
      </c>
      <c r="BP55" s="1010">
        <v>11</v>
      </c>
      <c r="BQ55" s="1011">
        <v>18</v>
      </c>
      <c r="BR55" s="1011">
        <v>31</v>
      </c>
      <c r="BS55" s="1012">
        <f t="shared" si="57"/>
        <v>60</v>
      </c>
    </row>
    <row r="56" spans="1:71" s="980" customFormat="1" ht="15" customHeight="1" x14ac:dyDescent="0.25">
      <c r="A56" s="5063"/>
      <c r="B56" s="5208"/>
      <c r="C56" s="981" t="s">
        <v>465</v>
      </c>
      <c r="D56" s="814">
        <v>14</v>
      </c>
      <c r="E56" s="815">
        <v>26</v>
      </c>
      <c r="F56" s="815">
        <v>10</v>
      </c>
      <c r="G56" s="982">
        <v>50</v>
      </c>
      <c r="H56" s="814">
        <v>11</v>
      </c>
      <c r="I56" s="815">
        <v>24</v>
      </c>
      <c r="J56" s="815">
        <v>29</v>
      </c>
      <c r="K56" s="982">
        <v>64</v>
      </c>
      <c r="L56" s="814">
        <v>33</v>
      </c>
      <c r="M56" s="815">
        <v>19</v>
      </c>
      <c r="N56" s="815">
        <v>17</v>
      </c>
      <c r="O56" s="982">
        <v>69</v>
      </c>
      <c r="P56" s="814">
        <v>17</v>
      </c>
      <c r="Q56" s="815">
        <v>23</v>
      </c>
      <c r="R56" s="815">
        <v>22</v>
      </c>
      <c r="S56" s="984">
        <v>62</v>
      </c>
      <c r="T56" s="814">
        <v>22</v>
      </c>
      <c r="U56" s="815">
        <v>21</v>
      </c>
      <c r="V56" s="815">
        <v>14</v>
      </c>
      <c r="W56" s="982">
        <f t="shared" si="0"/>
        <v>57</v>
      </c>
      <c r="X56" s="814">
        <v>17</v>
      </c>
      <c r="Y56" s="815">
        <v>16</v>
      </c>
      <c r="Z56" s="815">
        <v>19</v>
      </c>
      <c r="AA56" s="982">
        <f t="shared" si="1"/>
        <v>52</v>
      </c>
      <c r="AB56" s="983">
        <v>21</v>
      </c>
      <c r="AC56" s="815">
        <v>14</v>
      </c>
      <c r="AD56" s="815">
        <v>15</v>
      </c>
      <c r="AE56" s="982">
        <f t="shared" si="2"/>
        <v>50</v>
      </c>
      <c r="AF56" s="983">
        <v>7</v>
      </c>
      <c r="AG56" s="815">
        <v>18</v>
      </c>
      <c r="AH56" s="815">
        <v>17</v>
      </c>
      <c r="AI56" s="984">
        <f t="shared" si="3"/>
        <v>42</v>
      </c>
      <c r="AJ56" s="983">
        <v>17</v>
      </c>
      <c r="AK56" s="815">
        <v>14</v>
      </c>
      <c r="AL56" s="848">
        <v>9</v>
      </c>
      <c r="AM56" s="984">
        <f t="shared" si="4"/>
        <v>40</v>
      </c>
      <c r="AN56" s="983">
        <v>10</v>
      </c>
      <c r="AO56" s="815">
        <v>13</v>
      </c>
      <c r="AP56" s="848">
        <v>12</v>
      </c>
      <c r="AQ56" s="984">
        <f t="shared" si="5"/>
        <v>35</v>
      </c>
      <c r="AR56" s="985">
        <v>6</v>
      </c>
      <c r="AS56" s="985">
        <v>14</v>
      </c>
      <c r="AT56" s="985">
        <v>8</v>
      </c>
      <c r="AU56" s="986">
        <f t="shared" si="6"/>
        <v>28</v>
      </c>
      <c r="AV56" s="985">
        <v>17</v>
      </c>
      <c r="AW56" s="985">
        <v>15</v>
      </c>
      <c r="AX56" s="985">
        <v>16</v>
      </c>
      <c r="AY56" s="986">
        <f t="shared" si="7"/>
        <v>48</v>
      </c>
      <c r="AZ56" s="1010">
        <v>3</v>
      </c>
      <c r="BA56" s="1011">
        <v>13</v>
      </c>
      <c r="BB56" s="1011">
        <v>22</v>
      </c>
      <c r="BC56" s="1012">
        <v>38</v>
      </c>
      <c r="BD56" s="1010">
        <v>9</v>
      </c>
      <c r="BE56" s="1011">
        <v>7</v>
      </c>
      <c r="BF56" s="1011">
        <v>11</v>
      </c>
      <c r="BG56" s="1012">
        <f t="shared" si="8"/>
        <v>27</v>
      </c>
      <c r="BH56" s="1010">
        <v>15</v>
      </c>
      <c r="BI56" s="1011">
        <v>12</v>
      </c>
      <c r="BJ56" s="1011">
        <v>19</v>
      </c>
      <c r="BK56" s="1012">
        <f t="shared" si="55"/>
        <v>46</v>
      </c>
      <c r="BL56" s="1010">
        <v>11</v>
      </c>
      <c r="BM56" s="1011">
        <v>16</v>
      </c>
      <c r="BN56" s="1011">
        <v>25</v>
      </c>
      <c r="BO56" s="1012">
        <f t="shared" si="56"/>
        <v>52</v>
      </c>
      <c r="BP56" s="1010">
        <v>11</v>
      </c>
      <c r="BQ56" s="1011">
        <v>12</v>
      </c>
      <c r="BR56" s="1011">
        <v>18</v>
      </c>
      <c r="BS56" s="1012">
        <f t="shared" si="57"/>
        <v>41</v>
      </c>
    </row>
    <row r="57" spans="1:71" s="980" customFormat="1" ht="15" customHeight="1" x14ac:dyDescent="0.25">
      <c r="A57" s="5063"/>
      <c r="B57" s="5208"/>
      <c r="C57" s="981" t="s">
        <v>479</v>
      </c>
      <c r="D57" s="814">
        <v>3</v>
      </c>
      <c r="E57" s="815">
        <v>4</v>
      </c>
      <c r="F57" s="815">
        <v>4</v>
      </c>
      <c r="G57" s="982">
        <v>11</v>
      </c>
      <c r="H57" s="814">
        <v>12</v>
      </c>
      <c r="I57" s="815">
        <v>17</v>
      </c>
      <c r="J57" s="815">
        <v>10</v>
      </c>
      <c r="K57" s="982">
        <v>39</v>
      </c>
      <c r="L57" s="814">
        <v>8</v>
      </c>
      <c r="M57" s="815">
        <v>11</v>
      </c>
      <c r="N57" s="815">
        <v>10</v>
      </c>
      <c r="O57" s="982">
        <v>29</v>
      </c>
      <c r="P57" s="814">
        <v>17</v>
      </c>
      <c r="Q57" s="815">
        <v>7</v>
      </c>
      <c r="R57" s="815">
        <v>9</v>
      </c>
      <c r="S57" s="984">
        <v>33</v>
      </c>
      <c r="T57" s="814">
        <v>16</v>
      </c>
      <c r="U57" s="815">
        <v>13</v>
      </c>
      <c r="V57" s="815">
        <v>11</v>
      </c>
      <c r="W57" s="982">
        <f t="shared" si="0"/>
        <v>40</v>
      </c>
      <c r="X57" s="814">
        <v>10</v>
      </c>
      <c r="Y57" s="815">
        <v>15</v>
      </c>
      <c r="Z57" s="815">
        <v>12</v>
      </c>
      <c r="AA57" s="982">
        <f t="shared" si="1"/>
        <v>37</v>
      </c>
      <c r="AB57" s="983">
        <v>20</v>
      </c>
      <c r="AC57" s="815">
        <v>12</v>
      </c>
      <c r="AD57" s="815">
        <v>4</v>
      </c>
      <c r="AE57" s="982">
        <f t="shared" si="2"/>
        <v>36</v>
      </c>
      <c r="AF57" s="983">
        <v>19</v>
      </c>
      <c r="AG57" s="815">
        <v>14</v>
      </c>
      <c r="AH57" s="815">
        <v>10</v>
      </c>
      <c r="AI57" s="984">
        <f t="shared" si="3"/>
        <v>43</v>
      </c>
      <c r="AJ57" s="983">
        <v>6</v>
      </c>
      <c r="AK57" s="815">
        <v>13</v>
      </c>
      <c r="AL57" s="848">
        <v>13</v>
      </c>
      <c r="AM57" s="984">
        <f t="shared" si="4"/>
        <v>32</v>
      </c>
      <c r="AN57" s="983">
        <v>12</v>
      </c>
      <c r="AO57" s="815">
        <v>14</v>
      </c>
      <c r="AP57" s="848">
        <v>7</v>
      </c>
      <c r="AQ57" s="984">
        <f t="shared" si="5"/>
        <v>33</v>
      </c>
      <c r="AR57" s="985">
        <v>11</v>
      </c>
      <c r="AS57" s="985">
        <v>16</v>
      </c>
      <c r="AT57" s="985">
        <v>6</v>
      </c>
      <c r="AU57" s="986">
        <f t="shared" si="6"/>
        <v>33</v>
      </c>
      <c r="AV57" s="985">
        <v>6</v>
      </c>
      <c r="AW57" s="985">
        <v>24</v>
      </c>
      <c r="AX57" s="985">
        <v>6</v>
      </c>
      <c r="AY57" s="986">
        <f t="shared" si="7"/>
        <v>36</v>
      </c>
      <c r="AZ57" s="1010">
        <v>8</v>
      </c>
      <c r="BA57" s="1011">
        <v>6</v>
      </c>
      <c r="BB57" s="1011">
        <v>11</v>
      </c>
      <c r="BC57" s="1012">
        <v>25</v>
      </c>
      <c r="BD57" s="1010">
        <v>8</v>
      </c>
      <c r="BE57" s="1011">
        <v>16</v>
      </c>
      <c r="BF57" s="1011">
        <v>11</v>
      </c>
      <c r="BG57" s="1012">
        <f t="shared" si="8"/>
        <v>35</v>
      </c>
      <c r="BH57" s="1010">
        <v>5</v>
      </c>
      <c r="BI57" s="1011">
        <v>16</v>
      </c>
      <c r="BJ57" s="1011">
        <v>13</v>
      </c>
      <c r="BK57" s="1012">
        <f t="shared" si="55"/>
        <v>34</v>
      </c>
      <c r="BL57" s="1010">
        <v>10</v>
      </c>
      <c r="BM57" s="1011">
        <v>11</v>
      </c>
      <c r="BN57" s="1011">
        <v>14</v>
      </c>
      <c r="BO57" s="1012">
        <f t="shared" si="56"/>
        <v>35</v>
      </c>
      <c r="BP57" s="1010">
        <v>8</v>
      </c>
      <c r="BQ57" s="1011">
        <v>19</v>
      </c>
      <c r="BR57" s="1011">
        <v>13</v>
      </c>
      <c r="BS57" s="1012">
        <f t="shared" si="57"/>
        <v>40</v>
      </c>
    </row>
    <row r="58" spans="1:71" s="980" customFormat="1" ht="15" customHeight="1" x14ac:dyDescent="0.25">
      <c r="A58" s="5063"/>
      <c r="B58" s="5208"/>
      <c r="C58" s="981" t="s">
        <v>480</v>
      </c>
      <c r="D58" s="814">
        <v>2</v>
      </c>
      <c r="E58" s="815">
        <v>1</v>
      </c>
      <c r="F58" s="815">
        <v>3</v>
      </c>
      <c r="G58" s="982">
        <v>6</v>
      </c>
      <c r="H58" s="814">
        <v>2</v>
      </c>
      <c r="I58" s="815">
        <v>2</v>
      </c>
      <c r="J58" s="815">
        <v>1</v>
      </c>
      <c r="K58" s="982">
        <v>5</v>
      </c>
      <c r="L58" s="814">
        <v>0</v>
      </c>
      <c r="M58" s="815">
        <v>1</v>
      </c>
      <c r="N58" s="815">
        <v>2</v>
      </c>
      <c r="O58" s="982">
        <v>3</v>
      </c>
      <c r="P58" s="814">
        <v>7</v>
      </c>
      <c r="Q58" s="815">
        <v>1</v>
      </c>
      <c r="R58" s="815">
        <v>2</v>
      </c>
      <c r="S58" s="984">
        <v>10</v>
      </c>
      <c r="T58" s="814">
        <v>1</v>
      </c>
      <c r="U58" s="815">
        <v>7</v>
      </c>
      <c r="V58" s="815">
        <v>3</v>
      </c>
      <c r="W58" s="982">
        <f t="shared" si="0"/>
        <v>11</v>
      </c>
      <c r="X58" s="814">
        <v>2</v>
      </c>
      <c r="Y58" s="815">
        <v>6</v>
      </c>
      <c r="Z58" s="815">
        <v>6</v>
      </c>
      <c r="AA58" s="982">
        <f t="shared" si="1"/>
        <v>14</v>
      </c>
      <c r="AB58" s="983">
        <v>3</v>
      </c>
      <c r="AC58" s="815">
        <v>5</v>
      </c>
      <c r="AD58" s="815">
        <v>2</v>
      </c>
      <c r="AE58" s="982">
        <f t="shared" si="2"/>
        <v>10</v>
      </c>
      <c r="AF58" s="983" t="s">
        <v>227</v>
      </c>
      <c r="AG58" s="815">
        <v>7</v>
      </c>
      <c r="AH58" s="815">
        <v>3</v>
      </c>
      <c r="AI58" s="984">
        <f t="shared" si="3"/>
        <v>10</v>
      </c>
      <c r="AJ58" s="983">
        <v>1</v>
      </c>
      <c r="AK58" s="815">
        <v>6</v>
      </c>
      <c r="AL58" s="848">
        <v>5</v>
      </c>
      <c r="AM58" s="984">
        <f t="shared" si="4"/>
        <v>12</v>
      </c>
      <c r="AN58" s="983">
        <v>1</v>
      </c>
      <c r="AO58" s="815">
        <v>14</v>
      </c>
      <c r="AP58" s="848">
        <v>2</v>
      </c>
      <c r="AQ58" s="984">
        <f t="shared" si="5"/>
        <v>17</v>
      </c>
      <c r="AR58" s="985" t="s">
        <v>227</v>
      </c>
      <c r="AS58" s="985">
        <v>13</v>
      </c>
      <c r="AT58" s="985">
        <v>1</v>
      </c>
      <c r="AU58" s="986">
        <f t="shared" si="6"/>
        <v>14</v>
      </c>
      <c r="AV58" s="985">
        <v>3</v>
      </c>
      <c r="AW58" s="985">
        <v>7</v>
      </c>
      <c r="AX58" s="985" t="s">
        <v>227</v>
      </c>
      <c r="AY58" s="986">
        <f t="shared" si="7"/>
        <v>10</v>
      </c>
      <c r="AZ58" s="1010">
        <v>2</v>
      </c>
      <c r="BA58" s="1011">
        <v>5</v>
      </c>
      <c r="BB58" s="1011">
        <v>6</v>
      </c>
      <c r="BC58" s="1012">
        <v>13</v>
      </c>
      <c r="BD58" s="1010">
        <v>5</v>
      </c>
      <c r="BE58" s="1011">
        <v>7</v>
      </c>
      <c r="BF58" s="1011">
        <v>5</v>
      </c>
      <c r="BG58" s="1012">
        <f t="shared" si="8"/>
        <v>17</v>
      </c>
      <c r="BH58" s="1010">
        <v>3</v>
      </c>
      <c r="BI58" s="1011">
        <v>8</v>
      </c>
      <c r="BJ58" s="1011">
        <v>5</v>
      </c>
      <c r="BK58" s="1012">
        <f t="shared" si="55"/>
        <v>16</v>
      </c>
      <c r="BL58" s="1010">
        <v>4</v>
      </c>
      <c r="BM58" s="1011">
        <v>6</v>
      </c>
      <c r="BN58" s="1011">
        <v>3</v>
      </c>
      <c r="BO58" s="1012">
        <f t="shared" si="56"/>
        <v>13</v>
      </c>
      <c r="BP58" s="1010">
        <v>6</v>
      </c>
      <c r="BQ58" s="1011">
        <v>9</v>
      </c>
      <c r="BR58" s="1011">
        <v>6</v>
      </c>
      <c r="BS58" s="1012">
        <f t="shared" si="57"/>
        <v>21</v>
      </c>
    </row>
    <row r="59" spans="1:71" s="980" customFormat="1" ht="15" customHeight="1" x14ac:dyDescent="0.25">
      <c r="A59" s="5063"/>
      <c r="B59" s="5208"/>
      <c r="C59" s="981" t="s">
        <v>481</v>
      </c>
      <c r="D59" s="814">
        <v>29</v>
      </c>
      <c r="E59" s="815">
        <v>36</v>
      </c>
      <c r="F59" s="815">
        <v>28</v>
      </c>
      <c r="G59" s="982">
        <v>93</v>
      </c>
      <c r="H59" s="814">
        <v>16</v>
      </c>
      <c r="I59" s="815">
        <v>16</v>
      </c>
      <c r="J59" s="815">
        <v>14</v>
      </c>
      <c r="K59" s="982">
        <v>46</v>
      </c>
      <c r="L59" s="814">
        <v>15</v>
      </c>
      <c r="M59" s="815">
        <v>23</v>
      </c>
      <c r="N59" s="815">
        <v>7</v>
      </c>
      <c r="O59" s="982">
        <v>45</v>
      </c>
      <c r="P59" s="814">
        <v>14</v>
      </c>
      <c r="Q59" s="815">
        <v>30</v>
      </c>
      <c r="R59" s="815">
        <v>28</v>
      </c>
      <c r="S59" s="984">
        <v>72</v>
      </c>
      <c r="T59" s="814">
        <v>34</v>
      </c>
      <c r="U59" s="815">
        <v>25</v>
      </c>
      <c r="V59" s="815">
        <v>14</v>
      </c>
      <c r="W59" s="982">
        <f t="shared" si="0"/>
        <v>73</v>
      </c>
      <c r="X59" s="814">
        <v>21</v>
      </c>
      <c r="Y59" s="815">
        <v>31</v>
      </c>
      <c r="Z59" s="815">
        <v>13</v>
      </c>
      <c r="AA59" s="982">
        <f t="shared" si="1"/>
        <v>65</v>
      </c>
      <c r="AB59" s="983">
        <v>12</v>
      </c>
      <c r="AC59" s="815">
        <v>26</v>
      </c>
      <c r="AD59" s="815">
        <v>12</v>
      </c>
      <c r="AE59" s="982">
        <f t="shared" si="2"/>
        <v>50</v>
      </c>
      <c r="AF59" s="983">
        <v>19</v>
      </c>
      <c r="AG59" s="815">
        <v>24</v>
      </c>
      <c r="AH59" s="815">
        <v>6</v>
      </c>
      <c r="AI59" s="984">
        <f t="shared" si="3"/>
        <v>49</v>
      </c>
      <c r="AJ59" s="983">
        <v>17</v>
      </c>
      <c r="AK59" s="815">
        <v>20</v>
      </c>
      <c r="AL59" s="848">
        <v>13</v>
      </c>
      <c r="AM59" s="984">
        <f t="shared" si="4"/>
        <v>50</v>
      </c>
      <c r="AN59" s="983">
        <v>15</v>
      </c>
      <c r="AO59" s="815">
        <v>14</v>
      </c>
      <c r="AP59" s="848">
        <v>6</v>
      </c>
      <c r="AQ59" s="984">
        <f t="shared" si="5"/>
        <v>35</v>
      </c>
      <c r="AR59" s="985">
        <v>8</v>
      </c>
      <c r="AS59" s="985">
        <v>12</v>
      </c>
      <c r="AT59" s="985">
        <v>13</v>
      </c>
      <c r="AU59" s="986">
        <f t="shared" si="6"/>
        <v>33</v>
      </c>
      <c r="AV59" s="985">
        <v>14</v>
      </c>
      <c r="AW59" s="985">
        <v>25</v>
      </c>
      <c r="AX59" s="985">
        <v>5</v>
      </c>
      <c r="AY59" s="986">
        <f t="shared" si="7"/>
        <v>44</v>
      </c>
      <c r="AZ59" s="1010">
        <v>13</v>
      </c>
      <c r="BA59" s="1011">
        <v>24</v>
      </c>
      <c r="BB59" s="1011">
        <v>7</v>
      </c>
      <c r="BC59" s="1012">
        <v>44</v>
      </c>
      <c r="BD59" s="1010">
        <v>15</v>
      </c>
      <c r="BE59" s="1011">
        <v>20</v>
      </c>
      <c r="BF59" s="1011">
        <v>20</v>
      </c>
      <c r="BG59" s="1012">
        <f t="shared" si="8"/>
        <v>55</v>
      </c>
      <c r="BH59" s="1010">
        <v>16</v>
      </c>
      <c r="BI59" s="1011">
        <v>40</v>
      </c>
      <c r="BJ59" s="1011">
        <v>22</v>
      </c>
      <c r="BK59" s="1012">
        <f t="shared" si="55"/>
        <v>78</v>
      </c>
      <c r="BL59" s="1010">
        <v>21</v>
      </c>
      <c r="BM59" s="1011">
        <v>13</v>
      </c>
      <c r="BN59" s="1011">
        <v>18</v>
      </c>
      <c r="BO59" s="1012">
        <f t="shared" si="56"/>
        <v>52</v>
      </c>
      <c r="BP59" s="1010">
        <v>19</v>
      </c>
      <c r="BQ59" s="1011">
        <v>18</v>
      </c>
      <c r="BR59" s="1011">
        <v>21</v>
      </c>
      <c r="BS59" s="1012">
        <f t="shared" si="57"/>
        <v>58</v>
      </c>
    </row>
    <row r="60" spans="1:71" s="980" customFormat="1" ht="15" customHeight="1" x14ac:dyDescent="0.25">
      <c r="A60" s="5063"/>
      <c r="B60" s="5208"/>
      <c r="C60" s="981" t="s">
        <v>482</v>
      </c>
      <c r="D60" s="814">
        <v>48</v>
      </c>
      <c r="E60" s="815">
        <v>41</v>
      </c>
      <c r="F60" s="815">
        <v>7</v>
      </c>
      <c r="G60" s="982">
        <v>96</v>
      </c>
      <c r="H60" s="814">
        <v>12</v>
      </c>
      <c r="I60" s="815">
        <v>27</v>
      </c>
      <c r="J60" s="815">
        <v>7</v>
      </c>
      <c r="K60" s="982">
        <v>46</v>
      </c>
      <c r="L60" s="814">
        <v>18</v>
      </c>
      <c r="M60" s="815">
        <v>50</v>
      </c>
      <c r="N60" s="815">
        <v>7</v>
      </c>
      <c r="O60" s="982">
        <v>75</v>
      </c>
      <c r="P60" s="814">
        <v>52</v>
      </c>
      <c r="Q60" s="815">
        <v>47</v>
      </c>
      <c r="R60" s="815">
        <v>4</v>
      </c>
      <c r="S60" s="984">
        <v>103</v>
      </c>
      <c r="T60" s="814">
        <v>44</v>
      </c>
      <c r="U60" s="815">
        <v>43</v>
      </c>
      <c r="V60" s="815">
        <v>4</v>
      </c>
      <c r="W60" s="982">
        <f t="shared" si="0"/>
        <v>91</v>
      </c>
      <c r="X60" s="814">
        <v>47</v>
      </c>
      <c r="Y60" s="815">
        <v>43</v>
      </c>
      <c r="Z60" s="815">
        <v>12</v>
      </c>
      <c r="AA60" s="982">
        <f t="shared" si="1"/>
        <v>102</v>
      </c>
      <c r="AB60" s="983">
        <v>47</v>
      </c>
      <c r="AC60" s="815">
        <v>38</v>
      </c>
      <c r="AD60" s="815">
        <v>4</v>
      </c>
      <c r="AE60" s="982">
        <f t="shared" si="2"/>
        <v>89</v>
      </c>
      <c r="AF60" s="983">
        <v>33</v>
      </c>
      <c r="AG60" s="815">
        <v>45</v>
      </c>
      <c r="AH60" s="815">
        <v>2</v>
      </c>
      <c r="AI60" s="984">
        <f t="shared" si="3"/>
        <v>80</v>
      </c>
      <c r="AJ60" s="983">
        <v>31</v>
      </c>
      <c r="AK60" s="815">
        <v>57</v>
      </c>
      <c r="AL60" s="848">
        <v>2</v>
      </c>
      <c r="AM60" s="984">
        <f t="shared" si="4"/>
        <v>90</v>
      </c>
      <c r="AN60" s="983">
        <v>33</v>
      </c>
      <c r="AO60" s="815">
        <v>43</v>
      </c>
      <c r="AP60" s="848">
        <v>3</v>
      </c>
      <c r="AQ60" s="984">
        <f t="shared" si="5"/>
        <v>79</v>
      </c>
      <c r="AR60" s="985">
        <v>56</v>
      </c>
      <c r="AS60" s="985">
        <v>56</v>
      </c>
      <c r="AT60" s="985">
        <v>10</v>
      </c>
      <c r="AU60" s="986">
        <f t="shared" si="6"/>
        <v>122</v>
      </c>
      <c r="AV60" s="985">
        <v>58</v>
      </c>
      <c r="AW60" s="985">
        <v>32</v>
      </c>
      <c r="AX60" s="985">
        <v>3</v>
      </c>
      <c r="AY60" s="986">
        <f t="shared" si="7"/>
        <v>93</v>
      </c>
      <c r="AZ60" s="1010">
        <v>55</v>
      </c>
      <c r="BA60" s="1011">
        <v>37</v>
      </c>
      <c r="BB60" s="1011">
        <v>13</v>
      </c>
      <c r="BC60" s="1012">
        <v>105</v>
      </c>
      <c r="BD60" s="1010">
        <v>80</v>
      </c>
      <c r="BE60" s="1011">
        <v>54</v>
      </c>
      <c r="BF60" s="1011">
        <v>15</v>
      </c>
      <c r="BG60" s="1012">
        <f t="shared" si="8"/>
        <v>149</v>
      </c>
      <c r="BH60" s="1010">
        <v>49</v>
      </c>
      <c r="BI60" s="1011">
        <v>59</v>
      </c>
      <c r="BJ60" s="1011">
        <v>12</v>
      </c>
      <c r="BK60" s="1012">
        <f t="shared" si="55"/>
        <v>120</v>
      </c>
      <c r="BL60" s="1010">
        <v>76</v>
      </c>
      <c r="BM60" s="1011">
        <v>43</v>
      </c>
      <c r="BN60" s="1011">
        <v>3</v>
      </c>
      <c r="BO60" s="1012">
        <f t="shared" si="56"/>
        <v>122</v>
      </c>
      <c r="BP60" s="1010">
        <v>47</v>
      </c>
      <c r="BQ60" s="1011">
        <v>39</v>
      </c>
      <c r="BR60" s="1011">
        <v>2</v>
      </c>
      <c r="BS60" s="1012">
        <f t="shared" si="57"/>
        <v>88</v>
      </c>
    </row>
    <row r="61" spans="1:71" s="980" customFormat="1" ht="15" customHeight="1" x14ac:dyDescent="0.25">
      <c r="A61" s="5063"/>
      <c r="B61" s="5208"/>
      <c r="C61" s="988" t="s">
        <v>483</v>
      </c>
      <c r="D61" s="823">
        <v>0</v>
      </c>
      <c r="E61" s="824">
        <v>0</v>
      </c>
      <c r="F61" s="824">
        <v>0</v>
      </c>
      <c r="G61" s="989">
        <v>0</v>
      </c>
      <c r="H61" s="823">
        <v>0</v>
      </c>
      <c r="I61" s="824">
        <v>0</v>
      </c>
      <c r="J61" s="824">
        <v>0</v>
      </c>
      <c r="K61" s="989">
        <v>0</v>
      </c>
      <c r="L61" s="823">
        <v>0</v>
      </c>
      <c r="M61" s="824">
        <v>0</v>
      </c>
      <c r="N61" s="824">
        <v>0</v>
      </c>
      <c r="O61" s="989">
        <v>0</v>
      </c>
      <c r="P61" s="823">
        <v>0</v>
      </c>
      <c r="Q61" s="824">
        <v>0</v>
      </c>
      <c r="R61" s="824">
        <v>0</v>
      </c>
      <c r="S61" s="991">
        <v>0</v>
      </c>
      <c r="T61" s="823" t="s">
        <v>227</v>
      </c>
      <c r="U61" s="824" t="s">
        <v>227</v>
      </c>
      <c r="V61" s="824" t="s">
        <v>227</v>
      </c>
      <c r="W61" s="989">
        <f t="shared" si="0"/>
        <v>0</v>
      </c>
      <c r="X61" s="823" t="s">
        <v>227</v>
      </c>
      <c r="Y61" s="824" t="s">
        <v>227</v>
      </c>
      <c r="Z61" s="824" t="s">
        <v>227</v>
      </c>
      <c r="AA61" s="989">
        <f t="shared" si="1"/>
        <v>0</v>
      </c>
      <c r="AB61" s="990" t="s">
        <v>227</v>
      </c>
      <c r="AC61" s="824" t="s">
        <v>227</v>
      </c>
      <c r="AD61" s="824" t="s">
        <v>227</v>
      </c>
      <c r="AE61" s="989">
        <f t="shared" si="2"/>
        <v>0</v>
      </c>
      <c r="AF61" s="990" t="s">
        <v>227</v>
      </c>
      <c r="AG61" s="824">
        <v>1</v>
      </c>
      <c r="AH61" s="824">
        <v>2</v>
      </c>
      <c r="AI61" s="991">
        <f t="shared" si="3"/>
        <v>3</v>
      </c>
      <c r="AJ61" s="990">
        <v>1</v>
      </c>
      <c r="AK61" s="824">
        <v>1</v>
      </c>
      <c r="AL61" s="873">
        <v>4</v>
      </c>
      <c r="AM61" s="991">
        <f t="shared" si="4"/>
        <v>6</v>
      </c>
      <c r="AN61" s="990">
        <v>1</v>
      </c>
      <c r="AO61" s="824">
        <v>3</v>
      </c>
      <c r="AP61" s="873">
        <v>4</v>
      </c>
      <c r="AQ61" s="991">
        <f t="shared" si="5"/>
        <v>8</v>
      </c>
      <c r="AR61" s="992">
        <v>3</v>
      </c>
      <c r="AS61" s="992">
        <v>1</v>
      </c>
      <c r="AT61" s="992">
        <v>2</v>
      </c>
      <c r="AU61" s="993">
        <f t="shared" si="6"/>
        <v>6</v>
      </c>
      <c r="AV61" s="992">
        <v>1</v>
      </c>
      <c r="AW61" s="992">
        <v>1</v>
      </c>
      <c r="AX61" s="992">
        <v>1</v>
      </c>
      <c r="AY61" s="993">
        <f t="shared" si="7"/>
        <v>3</v>
      </c>
      <c r="AZ61" s="994">
        <v>3</v>
      </c>
      <c r="BA61" s="992">
        <v>1</v>
      </c>
      <c r="BB61" s="992"/>
      <c r="BC61" s="993">
        <v>4</v>
      </c>
      <c r="BD61" s="994">
        <v>2</v>
      </c>
      <c r="BE61" s="992">
        <v>3</v>
      </c>
      <c r="BF61" s="992">
        <v>2</v>
      </c>
      <c r="BG61" s="993">
        <f t="shared" si="8"/>
        <v>7</v>
      </c>
      <c r="BH61" s="994">
        <v>1</v>
      </c>
      <c r="BI61" s="992">
        <v>2</v>
      </c>
      <c r="BJ61" s="992">
        <v>4</v>
      </c>
      <c r="BK61" s="993">
        <f t="shared" si="55"/>
        <v>7</v>
      </c>
      <c r="BL61" s="994">
        <v>2</v>
      </c>
      <c r="BM61" s="992">
        <v>3</v>
      </c>
      <c r="BN61" s="992">
        <v>3</v>
      </c>
      <c r="BO61" s="993">
        <f t="shared" si="56"/>
        <v>8</v>
      </c>
      <c r="BP61" s="994">
        <v>1</v>
      </c>
      <c r="BQ61" s="992">
        <v>5</v>
      </c>
      <c r="BR61" s="992">
        <v>5</v>
      </c>
      <c r="BS61" s="993">
        <f t="shared" si="57"/>
        <v>11</v>
      </c>
    </row>
    <row r="62" spans="1:71" s="980" customFormat="1" ht="15" customHeight="1" x14ac:dyDescent="0.25">
      <c r="A62" s="5063"/>
      <c r="B62" s="5209"/>
      <c r="C62" s="995" t="s">
        <v>160</v>
      </c>
      <c r="D62" s="996">
        <v>187</v>
      </c>
      <c r="E62" s="997">
        <v>227</v>
      </c>
      <c r="F62" s="997">
        <v>126</v>
      </c>
      <c r="G62" s="998">
        <v>540</v>
      </c>
      <c r="H62" s="996">
        <v>146</v>
      </c>
      <c r="I62" s="997">
        <v>202</v>
      </c>
      <c r="J62" s="997">
        <v>150</v>
      </c>
      <c r="K62" s="998">
        <v>498</v>
      </c>
      <c r="L62" s="996">
        <v>179</v>
      </c>
      <c r="M62" s="997">
        <v>183</v>
      </c>
      <c r="N62" s="997">
        <v>106</v>
      </c>
      <c r="O62" s="998">
        <v>468</v>
      </c>
      <c r="P62" s="996">
        <v>196</v>
      </c>
      <c r="Q62" s="997">
        <v>200</v>
      </c>
      <c r="R62" s="997">
        <v>146</v>
      </c>
      <c r="S62" s="998">
        <v>542</v>
      </c>
      <c r="T62" s="996">
        <f t="shared" ref="T62:BC62" si="58">SUM(T51:T61)</f>
        <v>193</v>
      </c>
      <c r="U62" s="997">
        <f t="shared" si="58"/>
        <v>201</v>
      </c>
      <c r="V62" s="997">
        <f t="shared" si="58"/>
        <v>124</v>
      </c>
      <c r="W62" s="998">
        <f t="shared" si="58"/>
        <v>518</v>
      </c>
      <c r="X62" s="996">
        <f t="shared" si="58"/>
        <v>198</v>
      </c>
      <c r="Y62" s="997">
        <f t="shared" si="58"/>
        <v>208</v>
      </c>
      <c r="Z62" s="997">
        <f t="shared" si="58"/>
        <v>155</v>
      </c>
      <c r="AA62" s="998">
        <f t="shared" si="58"/>
        <v>561</v>
      </c>
      <c r="AB62" s="996">
        <f t="shared" si="58"/>
        <v>218</v>
      </c>
      <c r="AC62" s="997">
        <f t="shared" si="58"/>
        <v>183</v>
      </c>
      <c r="AD62" s="997">
        <f t="shared" si="58"/>
        <v>110</v>
      </c>
      <c r="AE62" s="998">
        <f t="shared" si="58"/>
        <v>511</v>
      </c>
      <c r="AF62" s="996">
        <f t="shared" si="58"/>
        <v>153</v>
      </c>
      <c r="AG62" s="997">
        <f t="shared" si="58"/>
        <v>217</v>
      </c>
      <c r="AH62" s="997">
        <f t="shared" si="58"/>
        <v>131</v>
      </c>
      <c r="AI62" s="998">
        <f t="shared" si="58"/>
        <v>501</v>
      </c>
      <c r="AJ62" s="996">
        <f t="shared" si="58"/>
        <v>177</v>
      </c>
      <c r="AK62" s="997">
        <f t="shared" si="58"/>
        <v>181</v>
      </c>
      <c r="AL62" s="997">
        <f t="shared" si="58"/>
        <v>111</v>
      </c>
      <c r="AM62" s="998">
        <f t="shared" si="58"/>
        <v>469</v>
      </c>
      <c r="AN62" s="996">
        <f t="shared" si="58"/>
        <v>157</v>
      </c>
      <c r="AO62" s="997">
        <f t="shared" si="58"/>
        <v>184</v>
      </c>
      <c r="AP62" s="997">
        <f t="shared" si="58"/>
        <v>95</v>
      </c>
      <c r="AQ62" s="998">
        <f t="shared" si="58"/>
        <v>436</v>
      </c>
      <c r="AR62" s="996">
        <f t="shared" si="58"/>
        <v>172</v>
      </c>
      <c r="AS62" s="997">
        <f t="shared" si="58"/>
        <v>216</v>
      </c>
      <c r="AT62" s="997">
        <f t="shared" si="58"/>
        <v>94</v>
      </c>
      <c r="AU62" s="998">
        <f t="shared" si="6"/>
        <v>482</v>
      </c>
      <c r="AV62" s="996">
        <f t="shared" ref="AV62:AX62" si="59">SUM(AV51:AV61)</f>
        <v>192</v>
      </c>
      <c r="AW62" s="997">
        <f t="shared" si="59"/>
        <v>236</v>
      </c>
      <c r="AX62" s="997">
        <f t="shared" si="59"/>
        <v>119</v>
      </c>
      <c r="AY62" s="998">
        <f t="shared" si="7"/>
        <v>547</v>
      </c>
      <c r="AZ62" s="996">
        <f t="shared" si="58"/>
        <v>172</v>
      </c>
      <c r="BA62" s="997">
        <f t="shared" si="58"/>
        <v>178</v>
      </c>
      <c r="BB62" s="997">
        <f t="shared" si="58"/>
        <v>132</v>
      </c>
      <c r="BC62" s="998">
        <f t="shared" si="58"/>
        <v>482</v>
      </c>
      <c r="BD62" s="996">
        <f t="shared" ref="BD62:BK62" si="60">SUM(BD51:BD61)</f>
        <v>195</v>
      </c>
      <c r="BE62" s="997">
        <f t="shared" si="60"/>
        <v>221</v>
      </c>
      <c r="BF62" s="997">
        <f t="shared" si="60"/>
        <v>149</v>
      </c>
      <c r="BG62" s="998">
        <f t="shared" si="60"/>
        <v>565</v>
      </c>
      <c r="BH62" s="996">
        <f t="shared" si="60"/>
        <v>209</v>
      </c>
      <c r="BI62" s="997">
        <f t="shared" si="60"/>
        <v>273</v>
      </c>
      <c r="BJ62" s="997">
        <f t="shared" si="60"/>
        <v>186</v>
      </c>
      <c r="BK62" s="998">
        <f t="shared" si="60"/>
        <v>668</v>
      </c>
      <c r="BL62" s="996">
        <f t="shared" ref="BL62:BS62" si="61">SUM(BL51:BL61)</f>
        <v>211</v>
      </c>
      <c r="BM62" s="997">
        <f t="shared" si="61"/>
        <v>201</v>
      </c>
      <c r="BN62" s="997">
        <f t="shared" si="61"/>
        <v>140</v>
      </c>
      <c r="BO62" s="998">
        <f t="shared" si="61"/>
        <v>552</v>
      </c>
      <c r="BP62" s="996">
        <f t="shared" si="61"/>
        <v>199</v>
      </c>
      <c r="BQ62" s="997">
        <f t="shared" si="61"/>
        <v>208</v>
      </c>
      <c r="BR62" s="997">
        <f t="shared" si="61"/>
        <v>167</v>
      </c>
      <c r="BS62" s="998">
        <f t="shared" si="61"/>
        <v>574</v>
      </c>
    </row>
    <row r="63" spans="1:71" s="980" customFormat="1" ht="15" customHeight="1" x14ac:dyDescent="0.25">
      <c r="A63" s="5063"/>
      <c r="B63" s="5208" t="s">
        <v>11</v>
      </c>
      <c r="C63" s="973" t="s">
        <v>484</v>
      </c>
      <c r="D63" s="808">
        <v>11</v>
      </c>
      <c r="E63" s="809">
        <v>10</v>
      </c>
      <c r="F63" s="809">
        <v>6</v>
      </c>
      <c r="G63" s="974">
        <v>27</v>
      </c>
      <c r="H63" s="808">
        <v>13</v>
      </c>
      <c r="I63" s="809">
        <v>8</v>
      </c>
      <c r="J63" s="809">
        <v>7</v>
      </c>
      <c r="K63" s="974">
        <v>28</v>
      </c>
      <c r="L63" s="808">
        <v>16</v>
      </c>
      <c r="M63" s="809">
        <v>20</v>
      </c>
      <c r="N63" s="809">
        <v>5</v>
      </c>
      <c r="O63" s="974">
        <v>41</v>
      </c>
      <c r="P63" s="808">
        <v>13</v>
      </c>
      <c r="Q63" s="809">
        <v>13</v>
      </c>
      <c r="R63" s="809">
        <v>12</v>
      </c>
      <c r="S63" s="976">
        <v>38</v>
      </c>
      <c r="T63" s="808">
        <v>16</v>
      </c>
      <c r="U63" s="809">
        <v>20</v>
      </c>
      <c r="V63" s="809">
        <v>14</v>
      </c>
      <c r="W63" s="974">
        <f t="shared" ref="W63:W68" si="62">SUM(T63:V63)</f>
        <v>50</v>
      </c>
      <c r="X63" s="808">
        <v>33</v>
      </c>
      <c r="Y63" s="809">
        <v>23</v>
      </c>
      <c r="Z63" s="809">
        <v>15</v>
      </c>
      <c r="AA63" s="974">
        <f t="shared" ref="AA63:AA68" si="63">SUM(X63:Z63)</f>
        <v>71</v>
      </c>
      <c r="AB63" s="975">
        <v>22</v>
      </c>
      <c r="AC63" s="809">
        <v>11</v>
      </c>
      <c r="AD63" s="809">
        <v>29</v>
      </c>
      <c r="AE63" s="974">
        <f t="shared" ref="AE63:AE68" si="64">SUM(AB63:AD63)</f>
        <v>62</v>
      </c>
      <c r="AF63" s="975">
        <v>29</v>
      </c>
      <c r="AG63" s="809">
        <v>21</v>
      </c>
      <c r="AH63" s="809">
        <v>12</v>
      </c>
      <c r="AI63" s="976">
        <f t="shared" ref="AI63:AI68" si="65">SUM(AF63:AH63)</f>
        <v>62</v>
      </c>
      <c r="AJ63" s="975">
        <v>24</v>
      </c>
      <c r="AK63" s="809">
        <v>18</v>
      </c>
      <c r="AL63" s="846">
        <v>6</v>
      </c>
      <c r="AM63" s="976">
        <f t="shared" ref="AM63:AM68" si="66">SUM(AJ63:AL63)</f>
        <v>48</v>
      </c>
      <c r="AN63" s="975">
        <v>16</v>
      </c>
      <c r="AO63" s="809">
        <v>24</v>
      </c>
      <c r="AP63" s="846">
        <v>15</v>
      </c>
      <c r="AQ63" s="976">
        <f t="shared" ref="AQ63:AQ68" si="67">SUM(AN63:AP63)</f>
        <v>55</v>
      </c>
      <c r="AR63" s="977">
        <v>17</v>
      </c>
      <c r="AS63" s="977">
        <v>20</v>
      </c>
      <c r="AT63" s="977">
        <v>19</v>
      </c>
      <c r="AU63" s="978">
        <f t="shared" si="6"/>
        <v>56</v>
      </c>
      <c r="AV63" s="977">
        <v>30</v>
      </c>
      <c r="AW63" s="977">
        <v>17</v>
      </c>
      <c r="AX63" s="977">
        <v>6</v>
      </c>
      <c r="AY63" s="978">
        <f t="shared" si="7"/>
        <v>53</v>
      </c>
      <c r="AZ63" s="979">
        <v>20</v>
      </c>
      <c r="BA63" s="977">
        <v>15</v>
      </c>
      <c r="BB63" s="977">
        <v>12</v>
      </c>
      <c r="BC63" s="978">
        <v>47</v>
      </c>
      <c r="BD63" s="979">
        <v>30</v>
      </c>
      <c r="BE63" s="977">
        <v>29</v>
      </c>
      <c r="BF63" s="977">
        <v>13</v>
      </c>
      <c r="BG63" s="978">
        <f t="shared" si="8"/>
        <v>72</v>
      </c>
      <c r="BH63" s="979">
        <v>21</v>
      </c>
      <c r="BI63" s="977">
        <v>25</v>
      </c>
      <c r="BJ63" s="977">
        <v>46</v>
      </c>
      <c r="BK63" s="978">
        <f t="shared" ref="BK63:BK68" si="68">SUM(BH63:BJ63)</f>
        <v>92</v>
      </c>
      <c r="BL63" s="979">
        <v>27</v>
      </c>
      <c r="BM63" s="977">
        <v>26</v>
      </c>
      <c r="BN63" s="977">
        <v>30</v>
      </c>
      <c r="BO63" s="978">
        <f t="shared" ref="BO63:BO68" si="69">SUM(BL63:BN63)</f>
        <v>83</v>
      </c>
      <c r="BP63" s="979">
        <v>22</v>
      </c>
      <c r="BQ63" s="977">
        <v>34</v>
      </c>
      <c r="BR63" s="977">
        <v>39</v>
      </c>
      <c r="BS63" s="978">
        <f t="shared" ref="BS63:BS68" si="70">SUM(BP63:BR63)</f>
        <v>95</v>
      </c>
    </row>
    <row r="64" spans="1:71" s="980" customFormat="1" ht="15" customHeight="1" x14ac:dyDescent="0.25">
      <c r="A64" s="5063"/>
      <c r="B64" s="5208"/>
      <c r="C64" s="981" t="s">
        <v>485</v>
      </c>
      <c r="D64" s="814">
        <v>10</v>
      </c>
      <c r="E64" s="815">
        <v>7</v>
      </c>
      <c r="F64" s="815">
        <v>7</v>
      </c>
      <c r="G64" s="982">
        <v>24</v>
      </c>
      <c r="H64" s="814">
        <v>4</v>
      </c>
      <c r="I64" s="815">
        <v>3</v>
      </c>
      <c r="J64" s="815">
        <v>4</v>
      </c>
      <c r="K64" s="982">
        <v>11</v>
      </c>
      <c r="L64" s="814">
        <v>7</v>
      </c>
      <c r="M64" s="815">
        <v>12</v>
      </c>
      <c r="N64" s="815">
        <v>4</v>
      </c>
      <c r="O64" s="982">
        <v>23</v>
      </c>
      <c r="P64" s="814">
        <v>18</v>
      </c>
      <c r="Q64" s="815">
        <v>11</v>
      </c>
      <c r="R64" s="815">
        <v>13</v>
      </c>
      <c r="S64" s="984">
        <v>42</v>
      </c>
      <c r="T64" s="814">
        <v>18</v>
      </c>
      <c r="U64" s="815">
        <v>27</v>
      </c>
      <c r="V64" s="815">
        <v>6</v>
      </c>
      <c r="W64" s="982">
        <f t="shared" si="62"/>
        <v>51</v>
      </c>
      <c r="X64" s="814">
        <v>14</v>
      </c>
      <c r="Y64" s="815">
        <v>20</v>
      </c>
      <c r="Z64" s="815">
        <v>17</v>
      </c>
      <c r="AA64" s="982">
        <f t="shared" si="63"/>
        <v>51</v>
      </c>
      <c r="AB64" s="983">
        <v>12</v>
      </c>
      <c r="AC64" s="815">
        <v>21</v>
      </c>
      <c r="AD64" s="815">
        <v>10</v>
      </c>
      <c r="AE64" s="982">
        <f t="shared" si="64"/>
        <v>43</v>
      </c>
      <c r="AF64" s="983">
        <v>23</v>
      </c>
      <c r="AG64" s="815">
        <v>14</v>
      </c>
      <c r="AH64" s="815">
        <v>19</v>
      </c>
      <c r="AI64" s="984">
        <f t="shared" si="65"/>
        <v>56</v>
      </c>
      <c r="AJ64" s="983">
        <v>26</v>
      </c>
      <c r="AK64" s="815">
        <v>20</v>
      </c>
      <c r="AL64" s="848">
        <v>16</v>
      </c>
      <c r="AM64" s="984">
        <f t="shared" si="66"/>
        <v>62</v>
      </c>
      <c r="AN64" s="983">
        <v>26</v>
      </c>
      <c r="AO64" s="815">
        <v>25</v>
      </c>
      <c r="AP64" s="848">
        <v>12</v>
      </c>
      <c r="AQ64" s="984">
        <f t="shared" si="67"/>
        <v>63</v>
      </c>
      <c r="AR64" s="985">
        <v>14</v>
      </c>
      <c r="AS64" s="985">
        <v>27</v>
      </c>
      <c r="AT64" s="985">
        <v>17</v>
      </c>
      <c r="AU64" s="986">
        <f t="shared" si="6"/>
        <v>58</v>
      </c>
      <c r="AV64" s="985">
        <v>20</v>
      </c>
      <c r="AW64" s="985">
        <v>19</v>
      </c>
      <c r="AX64" s="985">
        <v>9</v>
      </c>
      <c r="AY64" s="986">
        <f t="shared" si="7"/>
        <v>48</v>
      </c>
      <c r="AZ64" s="987">
        <v>20</v>
      </c>
      <c r="BA64" s="985">
        <v>18</v>
      </c>
      <c r="BB64" s="985">
        <v>14</v>
      </c>
      <c r="BC64" s="986">
        <v>52</v>
      </c>
      <c r="BD64" s="987">
        <v>16</v>
      </c>
      <c r="BE64" s="985">
        <v>22</v>
      </c>
      <c r="BF64" s="985">
        <v>3</v>
      </c>
      <c r="BG64" s="986">
        <f t="shared" si="8"/>
        <v>41</v>
      </c>
      <c r="BH64" s="987">
        <v>18</v>
      </c>
      <c r="BI64" s="985">
        <v>18</v>
      </c>
      <c r="BJ64" s="985">
        <v>16</v>
      </c>
      <c r="BK64" s="986">
        <f t="shared" si="68"/>
        <v>52</v>
      </c>
      <c r="BL64" s="987">
        <v>21</v>
      </c>
      <c r="BM64" s="985">
        <v>22</v>
      </c>
      <c r="BN64" s="985">
        <v>21</v>
      </c>
      <c r="BO64" s="986">
        <f t="shared" si="69"/>
        <v>64</v>
      </c>
      <c r="BP64" s="987">
        <v>20</v>
      </c>
      <c r="BQ64" s="985">
        <v>14</v>
      </c>
      <c r="BR64" s="985">
        <v>22</v>
      </c>
      <c r="BS64" s="986">
        <f t="shared" si="70"/>
        <v>56</v>
      </c>
    </row>
    <row r="65" spans="1:71" s="980" customFormat="1" ht="15" customHeight="1" x14ac:dyDescent="0.25">
      <c r="A65" s="5063"/>
      <c r="B65" s="5208"/>
      <c r="C65" s="981" t="s">
        <v>486</v>
      </c>
      <c r="D65" s="814">
        <v>7</v>
      </c>
      <c r="E65" s="815">
        <v>7</v>
      </c>
      <c r="F65" s="815">
        <v>5</v>
      </c>
      <c r="G65" s="982">
        <v>19</v>
      </c>
      <c r="H65" s="814">
        <v>6</v>
      </c>
      <c r="I65" s="815">
        <v>4</v>
      </c>
      <c r="J65" s="815">
        <v>6</v>
      </c>
      <c r="K65" s="982">
        <v>16</v>
      </c>
      <c r="L65" s="814">
        <v>7</v>
      </c>
      <c r="M65" s="815">
        <v>8</v>
      </c>
      <c r="N65" s="815">
        <v>4</v>
      </c>
      <c r="O65" s="982">
        <v>19</v>
      </c>
      <c r="P65" s="814">
        <v>9</v>
      </c>
      <c r="Q65" s="815">
        <v>4</v>
      </c>
      <c r="R65" s="815">
        <v>10</v>
      </c>
      <c r="S65" s="984">
        <v>23</v>
      </c>
      <c r="T65" s="814">
        <v>3</v>
      </c>
      <c r="U65" s="815">
        <v>8</v>
      </c>
      <c r="V65" s="815">
        <v>5</v>
      </c>
      <c r="W65" s="982">
        <f t="shared" si="62"/>
        <v>16</v>
      </c>
      <c r="X65" s="814">
        <v>8</v>
      </c>
      <c r="Y65" s="815">
        <v>9</v>
      </c>
      <c r="Z65" s="815">
        <v>9</v>
      </c>
      <c r="AA65" s="982">
        <f t="shared" si="63"/>
        <v>26</v>
      </c>
      <c r="AB65" s="983">
        <v>7</v>
      </c>
      <c r="AC65" s="815">
        <v>7</v>
      </c>
      <c r="AD65" s="815">
        <v>11</v>
      </c>
      <c r="AE65" s="982">
        <f t="shared" si="64"/>
        <v>25</v>
      </c>
      <c r="AF65" s="983">
        <v>11</v>
      </c>
      <c r="AG65" s="815">
        <v>2</v>
      </c>
      <c r="AH65" s="815">
        <v>13</v>
      </c>
      <c r="AI65" s="984">
        <f t="shared" si="65"/>
        <v>26</v>
      </c>
      <c r="AJ65" s="983">
        <v>7</v>
      </c>
      <c r="AK65" s="815">
        <v>11</v>
      </c>
      <c r="AL65" s="848">
        <v>8</v>
      </c>
      <c r="AM65" s="984">
        <f t="shared" si="66"/>
        <v>26</v>
      </c>
      <c r="AN65" s="983">
        <v>7</v>
      </c>
      <c r="AO65" s="815">
        <v>6</v>
      </c>
      <c r="AP65" s="848">
        <v>14</v>
      </c>
      <c r="AQ65" s="984">
        <f t="shared" si="67"/>
        <v>27</v>
      </c>
      <c r="AR65" s="985">
        <v>9</v>
      </c>
      <c r="AS65" s="985">
        <v>6</v>
      </c>
      <c r="AT65" s="985">
        <v>3</v>
      </c>
      <c r="AU65" s="986">
        <f t="shared" si="6"/>
        <v>18</v>
      </c>
      <c r="AV65" s="985">
        <v>6</v>
      </c>
      <c r="AW65" s="985">
        <v>8</v>
      </c>
      <c r="AX65" s="985">
        <v>9</v>
      </c>
      <c r="AY65" s="986">
        <f t="shared" si="7"/>
        <v>23</v>
      </c>
      <c r="AZ65" s="987">
        <v>5</v>
      </c>
      <c r="BA65" s="985">
        <v>8</v>
      </c>
      <c r="BB65" s="985">
        <v>4</v>
      </c>
      <c r="BC65" s="986">
        <v>17</v>
      </c>
      <c r="BD65" s="987">
        <v>12</v>
      </c>
      <c r="BE65" s="985">
        <v>12</v>
      </c>
      <c r="BF65" s="985">
        <v>7</v>
      </c>
      <c r="BG65" s="986">
        <f t="shared" si="8"/>
        <v>31</v>
      </c>
      <c r="BH65" s="987">
        <v>9</v>
      </c>
      <c r="BI65" s="985">
        <v>12</v>
      </c>
      <c r="BJ65" s="985">
        <v>14</v>
      </c>
      <c r="BK65" s="986">
        <f t="shared" si="68"/>
        <v>35</v>
      </c>
      <c r="BL65" s="987">
        <v>6</v>
      </c>
      <c r="BM65" s="985">
        <v>12</v>
      </c>
      <c r="BN65" s="985">
        <v>2</v>
      </c>
      <c r="BO65" s="986">
        <f t="shared" si="69"/>
        <v>20</v>
      </c>
      <c r="BP65" s="987">
        <v>17</v>
      </c>
      <c r="BQ65" s="985">
        <v>9</v>
      </c>
      <c r="BR65" s="985">
        <v>15</v>
      </c>
      <c r="BS65" s="986">
        <f t="shared" si="70"/>
        <v>41</v>
      </c>
    </row>
    <row r="66" spans="1:71" s="980" customFormat="1" ht="15" customHeight="1" x14ac:dyDescent="0.25">
      <c r="A66" s="5063"/>
      <c r="B66" s="5208"/>
      <c r="C66" s="981" t="s">
        <v>487</v>
      </c>
      <c r="D66" s="814">
        <v>3</v>
      </c>
      <c r="E66" s="815">
        <v>0</v>
      </c>
      <c r="F66" s="815">
        <v>1</v>
      </c>
      <c r="G66" s="982">
        <v>4</v>
      </c>
      <c r="H66" s="814">
        <v>3</v>
      </c>
      <c r="I66" s="815">
        <v>3</v>
      </c>
      <c r="J66" s="815">
        <v>6</v>
      </c>
      <c r="K66" s="982">
        <v>12</v>
      </c>
      <c r="L66" s="814">
        <v>2</v>
      </c>
      <c r="M66" s="815">
        <v>6</v>
      </c>
      <c r="N66" s="815">
        <v>1</v>
      </c>
      <c r="O66" s="982">
        <v>9</v>
      </c>
      <c r="P66" s="814">
        <v>6</v>
      </c>
      <c r="Q66" s="815">
        <v>1</v>
      </c>
      <c r="R66" s="815">
        <v>7</v>
      </c>
      <c r="S66" s="984">
        <v>14</v>
      </c>
      <c r="T66" s="814">
        <v>2</v>
      </c>
      <c r="U66" s="815">
        <v>4</v>
      </c>
      <c r="V66" s="815">
        <v>6</v>
      </c>
      <c r="W66" s="982">
        <f t="shared" si="62"/>
        <v>12</v>
      </c>
      <c r="X66" s="814">
        <v>6</v>
      </c>
      <c r="Y66" s="815">
        <v>8</v>
      </c>
      <c r="Z66" s="815">
        <v>3</v>
      </c>
      <c r="AA66" s="982">
        <f t="shared" si="63"/>
        <v>17</v>
      </c>
      <c r="AB66" s="983">
        <v>5</v>
      </c>
      <c r="AC66" s="815">
        <v>6</v>
      </c>
      <c r="AD66" s="815">
        <v>2</v>
      </c>
      <c r="AE66" s="982">
        <f t="shared" si="64"/>
        <v>13</v>
      </c>
      <c r="AF66" s="983">
        <v>5</v>
      </c>
      <c r="AG66" s="815">
        <v>3</v>
      </c>
      <c r="AH66" s="815">
        <v>2</v>
      </c>
      <c r="AI66" s="984">
        <f t="shared" si="65"/>
        <v>10</v>
      </c>
      <c r="AJ66" s="983">
        <v>2</v>
      </c>
      <c r="AK66" s="815" t="s">
        <v>227</v>
      </c>
      <c r="AL66" s="848">
        <v>4</v>
      </c>
      <c r="AM66" s="984">
        <f t="shared" si="66"/>
        <v>6</v>
      </c>
      <c r="AN66" s="983">
        <v>7</v>
      </c>
      <c r="AO66" s="815">
        <v>4</v>
      </c>
      <c r="AP66" s="848">
        <v>1</v>
      </c>
      <c r="AQ66" s="984">
        <f t="shared" si="67"/>
        <v>12</v>
      </c>
      <c r="AR66" s="985">
        <v>2</v>
      </c>
      <c r="AS66" s="985">
        <v>3</v>
      </c>
      <c r="AT66" s="985">
        <v>1</v>
      </c>
      <c r="AU66" s="986">
        <f t="shared" si="6"/>
        <v>6</v>
      </c>
      <c r="AV66" s="985">
        <v>4</v>
      </c>
      <c r="AW66" s="985">
        <v>4</v>
      </c>
      <c r="AX66" s="985">
        <v>3</v>
      </c>
      <c r="AY66" s="986">
        <f t="shared" si="7"/>
        <v>11</v>
      </c>
      <c r="AZ66" s="987">
        <v>3</v>
      </c>
      <c r="BA66" s="985">
        <v>4</v>
      </c>
      <c r="BB66" s="985">
        <v>1</v>
      </c>
      <c r="BC66" s="986">
        <v>8</v>
      </c>
      <c r="BD66" s="987">
        <v>6</v>
      </c>
      <c r="BE66" s="985">
        <v>7</v>
      </c>
      <c r="BF66" s="985">
        <v>1</v>
      </c>
      <c r="BG66" s="986">
        <f t="shared" si="8"/>
        <v>14</v>
      </c>
      <c r="BH66" s="987">
        <v>2</v>
      </c>
      <c r="BI66" s="985">
        <v>8</v>
      </c>
      <c r="BJ66" s="985">
        <v>5</v>
      </c>
      <c r="BK66" s="986">
        <f t="shared" si="68"/>
        <v>15</v>
      </c>
      <c r="BL66" s="987">
        <v>4</v>
      </c>
      <c r="BM66" s="985">
        <v>5</v>
      </c>
      <c r="BN66" s="985">
        <v>5</v>
      </c>
      <c r="BO66" s="986">
        <f t="shared" si="69"/>
        <v>14</v>
      </c>
      <c r="BP66" s="987">
        <v>6</v>
      </c>
      <c r="BQ66" s="985">
        <v>8</v>
      </c>
      <c r="BR66" s="985">
        <v>11</v>
      </c>
      <c r="BS66" s="986">
        <f t="shared" si="70"/>
        <v>25</v>
      </c>
    </row>
    <row r="67" spans="1:71" s="980" customFormat="1" ht="15" customHeight="1" x14ac:dyDescent="0.25">
      <c r="A67" s="5063"/>
      <c r="B67" s="5208"/>
      <c r="C67" s="981" t="s">
        <v>520</v>
      </c>
      <c r="D67" s="814">
        <v>35</v>
      </c>
      <c r="E67" s="815">
        <v>12</v>
      </c>
      <c r="F67" s="815">
        <v>12</v>
      </c>
      <c r="G67" s="982">
        <v>59</v>
      </c>
      <c r="H67" s="814">
        <v>23</v>
      </c>
      <c r="I67" s="815">
        <v>13</v>
      </c>
      <c r="J67" s="815">
        <v>7</v>
      </c>
      <c r="K67" s="982">
        <v>43</v>
      </c>
      <c r="L67" s="814">
        <v>26</v>
      </c>
      <c r="M67" s="815">
        <v>24</v>
      </c>
      <c r="N67" s="815">
        <v>7</v>
      </c>
      <c r="O67" s="982">
        <v>57</v>
      </c>
      <c r="P67" s="814">
        <v>20</v>
      </c>
      <c r="Q67" s="815">
        <v>28</v>
      </c>
      <c r="R67" s="815">
        <v>9</v>
      </c>
      <c r="S67" s="984">
        <v>57</v>
      </c>
      <c r="T67" s="814">
        <v>17</v>
      </c>
      <c r="U67" s="815">
        <v>40</v>
      </c>
      <c r="V67" s="815">
        <v>19</v>
      </c>
      <c r="W67" s="982">
        <f t="shared" si="62"/>
        <v>76</v>
      </c>
      <c r="X67" s="814">
        <v>37</v>
      </c>
      <c r="Y67" s="815">
        <v>45</v>
      </c>
      <c r="Z67" s="815">
        <v>29</v>
      </c>
      <c r="AA67" s="982">
        <f t="shared" si="63"/>
        <v>111</v>
      </c>
      <c r="AB67" s="983">
        <v>46</v>
      </c>
      <c r="AC67" s="815">
        <v>35</v>
      </c>
      <c r="AD67" s="815">
        <v>20</v>
      </c>
      <c r="AE67" s="982">
        <f t="shared" si="64"/>
        <v>101</v>
      </c>
      <c r="AF67" s="983">
        <v>37</v>
      </c>
      <c r="AG67" s="815">
        <v>34</v>
      </c>
      <c r="AH67" s="815">
        <v>19</v>
      </c>
      <c r="AI67" s="984">
        <f t="shared" si="65"/>
        <v>90</v>
      </c>
      <c r="AJ67" s="983">
        <v>32</v>
      </c>
      <c r="AK67" s="815">
        <v>36</v>
      </c>
      <c r="AL67" s="848">
        <v>21</v>
      </c>
      <c r="AM67" s="984">
        <f t="shared" si="66"/>
        <v>89</v>
      </c>
      <c r="AN67" s="983">
        <v>25</v>
      </c>
      <c r="AO67" s="815">
        <v>28</v>
      </c>
      <c r="AP67" s="848">
        <v>16</v>
      </c>
      <c r="AQ67" s="984">
        <f t="shared" si="67"/>
        <v>69</v>
      </c>
      <c r="AR67" s="985">
        <v>17</v>
      </c>
      <c r="AS67" s="985">
        <v>16</v>
      </c>
      <c r="AT67" s="985">
        <v>12</v>
      </c>
      <c r="AU67" s="986">
        <f t="shared" si="6"/>
        <v>45</v>
      </c>
      <c r="AV67" s="985">
        <v>32</v>
      </c>
      <c r="AW67" s="985">
        <v>29</v>
      </c>
      <c r="AX67" s="985">
        <v>40</v>
      </c>
      <c r="AY67" s="986">
        <f t="shared" si="7"/>
        <v>101</v>
      </c>
      <c r="AZ67" s="987">
        <v>20</v>
      </c>
      <c r="BA67" s="985">
        <v>23</v>
      </c>
      <c r="BB67" s="985">
        <v>14</v>
      </c>
      <c r="BC67" s="986">
        <v>57</v>
      </c>
      <c r="BD67" s="987">
        <v>20</v>
      </c>
      <c r="BE67" s="985">
        <v>22</v>
      </c>
      <c r="BF67" s="985">
        <v>24</v>
      </c>
      <c r="BG67" s="986">
        <f t="shared" si="8"/>
        <v>66</v>
      </c>
      <c r="BH67" s="987">
        <v>13</v>
      </c>
      <c r="BI67" s="985">
        <v>27</v>
      </c>
      <c r="BJ67" s="985">
        <v>39</v>
      </c>
      <c r="BK67" s="986">
        <f t="shared" si="68"/>
        <v>79</v>
      </c>
      <c r="BL67" s="987">
        <v>29</v>
      </c>
      <c r="BM67" s="985">
        <v>29</v>
      </c>
      <c r="BN67" s="985">
        <v>18</v>
      </c>
      <c r="BO67" s="986">
        <f t="shared" si="69"/>
        <v>76</v>
      </c>
      <c r="BP67" s="987">
        <v>20</v>
      </c>
      <c r="BQ67" s="985">
        <v>31</v>
      </c>
      <c r="BR67" s="985">
        <v>34</v>
      </c>
      <c r="BS67" s="986">
        <f t="shared" si="70"/>
        <v>85</v>
      </c>
    </row>
    <row r="68" spans="1:71" s="980" customFormat="1" ht="15" customHeight="1" x14ac:dyDescent="0.25">
      <c r="A68" s="5063"/>
      <c r="B68" s="5208"/>
      <c r="C68" s="988" t="s">
        <v>489</v>
      </c>
      <c r="D68" s="823">
        <v>33</v>
      </c>
      <c r="E68" s="824">
        <v>19</v>
      </c>
      <c r="F68" s="824">
        <v>13</v>
      </c>
      <c r="G68" s="989">
        <v>65</v>
      </c>
      <c r="H68" s="823">
        <v>15</v>
      </c>
      <c r="I68" s="824">
        <v>13</v>
      </c>
      <c r="J68" s="824">
        <v>21</v>
      </c>
      <c r="K68" s="989">
        <v>49</v>
      </c>
      <c r="L68" s="823">
        <v>37</v>
      </c>
      <c r="M68" s="824">
        <v>17</v>
      </c>
      <c r="N68" s="824">
        <v>14</v>
      </c>
      <c r="O68" s="989">
        <v>68</v>
      </c>
      <c r="P68" s="823">
        <v>24</v>
      </c>
      <c r="Q68" s="824">
        <v>18</v>
      </c>
      <c r="R68" s="824">
        <v>12</v>
      </c>
      <c r="S68" s="991">
        <v>54</v>
      </c>
      <c r="T68" s="823">
        <v>33</v>
      </c>
      <c r="U68" s="824">
        <v>26</v>
      </c>
      <c r="V68" s="824">
        <v>36</v>
      </c>
      <c r="W68" s="989">
        <f t="shared" si="62"/>
        <v>95</v>
      </c>
      <c r="X68" s="823">
        <v>20</v>
      </c>
      <c r="Y68" s="824">
        <v>38</v>
      </c>
      <c r="Z68" s="824">
        <v>47</v>
      </c>
      <c r="AA68" s="989">
        <f t="shared" si="63"/>
        <v>105</v>
      </c>
      <c r="AB68" s="990">
        <v>32</v>
      </c>
      <c r="AC68" s="824">
        <v>33</v>
      </c>
      <c r="AD68" s="824">
        <v>34</v>
      </c>
      <c r="AE68" s="989">
        <f t="shared" si="64"/>
        <v>99</v>
      </c>
      <c r="AF68" s="990">
        <v>45</v>
      </c>
      <c r="AG68" s="824">
        <v>49</v>
      </c>
      <c r="AH68" s="824">
        <v>35</v>
      </c>
      <c r="AI68" s="991">
        <f t="shared" si="65"/>
        <v>129</v>
      </c>
      <c r="AJ68" s="990">
        <v>28</v>
      </c>
      <c r="AK68" s="824">
        <v>29</v>
      </c>
      <c r="AL68" s="873">
        <v>23</v>
      </c>
      <c r="AM68" s="991">
        <f t="shared" si="66"/>
        <v>80</v>
      </c>
      <c r="AN68" s="990">
        <v>31</v>
      </c>
      <c r="AO68" s="824">
        <v>37</v>
      </c>
      <c r="AP68" s="873">
        <v>53</v>
      </c>
      <c r="AQ68" s="991">
        <f t="shared" si="67"/>
        <v>121</v>
      </c>
      <c r="AR68" s="992">
        <v>33</v>
      </c>
      <c r="AS68" s="992">
        <v>16</v>
      </c>
      <c r="AT68" s="992">
        <v>15</v>
      </c>
      <c r="AU68" s="993">
        <f t="shared" si="6"/>
        <v>64</v>
      </c>
      <c r="AV68" s="992">
        <v>19</v>
      </c>
      <c r="AW68" s="992">
        <v>24</v>
      </c>
      <c r="AX68" s="992">
        <v>24</v>
      </c>
      <c r="AY68" s="993">
        <f t="shared" si="7"/>
        <v>67</v>
      </c>
      <c r="AZ68" s="994">
        <v>33</v>
      </c>
      <c r="BA68" s="992">
        <v>25</v>
      </c>
      <c r="BB68" s="992">
        <v>16</v>
      </c>
      <c r="BC68" s="993">
        <v>74</v>
      </c>
      <c r="BD68" s="994">
        <v>19</v>
      </c>
      <c r="BE68" s="992">
        <v>25</v>
      </c>
      <c r="BF68" s="992">
        <v>29</v>
      </c>
      <c r="BG68" s="993">
        <f t="shared" si="8"/>
        <v>73</v>
      </c>
      <c r="BH68" s="994">
        <v>23</v>
      </c>
      <c r="BI68" s="992">
        <v>35</v>
      </c>
      <c r="BJ68" s="992">
        <v>23</v>
      </c>
      <c r="BK68" s="993">
        <f t="shared" si="68"/>
        <v>81</v>
      </c>
      <c r="BL68" s="994">
        <v>22</v>
      </c>
      <c r="BM68" s="992">
        <v>48</v>
      </c>
      <c r="BN68" s="992">
        <v>18</v>
      </c>
      <c r="BO68" s="993">
        <f t="shared" si="69"/>
        <v>88</v>
      </c>
      <c r="BP68" s="994">
        <v>22</v>
      </c>
      <c r="BQ68" s="992">
        <v>31</v>
      </c>
      <c r="BR68" s="992">
        <v>30</v>
      </c>
      <c r="BS68" s="993">
        <f t="shared" si="70"/>
        <v>83</v>
      </c>
    </row>
    <row r="69" spans="1:71" s="980" customFormat="1" ht="15" customHeight="1" x14ac:dyDescent="0.25">
      <c r="A69" s="5063"/>
      <c r="B69" s="5209"/>
      <c r="C69" s="995" t="s">
        <v>160</v>
      </c>
      <c r="D69" s="996">
        <v>99</v>
      </c>
      <c r="E69" s="997">
        <v>55</v>
      </c>
      <c r="F69" s="997">
        <v>44</v>
      </c>
      <c r="G69" s="998">
        <v>198</v>
      </c>
      <c r="H69" s="996">
        <v>64</v>
      </c>
      <c r="I69" s="997">
        <v>44</v>
      </c>
      <c r="J69" s="997">
        <v>51</v>
      </c>
      <c r="K69" s="998">
        <v>159</v>
      </c>
      <c r="L69" s="996">
        <v>95</v>
      </c>
      <c r="M69" s="997">
        <v>87</v>
      </c>
      <c r="N69" s="997">
        <v>35</v>
      </c>
      <c r="O69" s="998">
        <v>217</v>
      </c>
      <c r="P69" s="996">
        <v>90</v>
      </c>
      <c r="Q69" s="997">
        <v>75</v>
      </c>
      <c r="R69" s="997">
        <v>63</v>
      </c>
      <c r="S69" s="998">
        <v>228</v>
      </c>
      <c r="T69" s="996">
        <f t="shared" ref="T69:BC69" si="71">SUM(T63:T68)</f>
        <v>89</v>
      </c>
      <c r="U69" s="997">
        <f t="shared" si="71"/>
        <v>125</v>
      </c>
      <c r="V69" s="997">
        <f t="shared" si="71"/>
        <v>86</v>
      </c>
      <c r="W69" s="998">
        <f t="shared" si="71"/>
        <v>300</v>
      </c>
      <c r="X69" s="996">
        <f t="shared" si="71"/>
        <v>118</v>
      </c>
      <c r="Y69" s="997">
        <f t="shared" si="71"/>
        <v>143</v>
      </c>
      <c r="Z69" s="997">
        <f t="shared" si="71"/>
        <v>120</v>
      </c>
      <c r="AA69" s="998">
        <f t="shared" si="71"/>
        <v>381</v>
      </c>
      <c r="AB69" s="996">
        <f t="shared" si="71"/>
        <v>124</v>
      </c>
      <c r="AC69" s="997">
        <f t="shared" si="71"/>
        <v>113</v>
      </c>
      <c r="AD69" s="997">
        <f t="shared" si="71"/>
        <v>106</v>
      </c>
      <c r="AE69" s="998">
        <f t="shared" si="71"/>
        <v>343</v>
      </c>
      <c r="AF69" s="996">
        <f t="shared" si="71"/>
        <v>150</v>
      </c>
      <c r="AG69" s="997">
        <f t="shared" si="71"/>
        <v>123</v>
      </c>
      <c r="AH69" s="997">
        <f t="shared" si="71"/>
        <v>100</v>
      </c>
      <c r="AI69" s="998">
        <f t="shared" si="71"/>
        <v>373</v>
      </c>
      <c r="AJ69" s="996">
        <f t="shared" si="71"/>
        <v>119</v>
      </c>
      <c r="AK69" s="997">
        <f t="shared" si="71"/>
        <v>114</v>
      </c>
      <c r="AL69" s="997">
        <f t="shared" si="71"/>
        <v>78</v>
      </c>
      <c r="AM69" s="998">
        <f t="shared" si="71"/>
        <v>311</v>
      </c>
      <c r="AN69" s="996">
        <f t="shared" si="71"/>
        <v>112</v>
      </c>
      <c r="AO69" s="997">
        <f t="shared" si="71"/>
        <v>124</v>
      </c>
      <c r="AP69" s="997">
        <f t="shared" si="71"/>
        <v>111</v>
      </c>
      <c r="AQ69" s="998">
        <f t="shared" si="71"/>
        <v>347</v>
      </c>
      <c r="AR69" s="996">
        <f t="shared" si="71"/>
        <v>92</v>
      </c>
      <c r="AS69" s="997">
        <f t="shared" si="71"/>
        <v>88</v>
      </c>
      <c r="AT69" s="997">
        <f t="shared" si="71"/>
        <v>67</v>
      </c>
      <c r="AU69" s="998">
        <f t="shared" si="6"/>
        <v>247</v>
      </c>
      <c r="AV69" s="996">
        <f t="shared" ref="AV69:AX69" si="72">SUM(AV63:AV68)</f>
        <v>111</v>
      </c>
      <c r="AW69" s="997">
        <f t="shared" si="72"/>
        <v>101</v>
      </c>
      <c r="AX69" s="997">
        <f t="shared" si="72"/>
        <v>91</v>
      </c>
      <c r="AY69" s="998">
        <f t="shared" si="7"/>
        <v>303</v>
      </c>
      <c r="AZ69" s="996">
        <f t="shared" si="71"/>
        <v>101</v>
      </c>
      <c r="BA69" s="997">
        <f t="shared" si="71"/>
        <v>93</v>
      </c>
      <c r="BB69" s="997">
        <f t="shared" si="71"/>
        <v>61</v>
      </c>
      <c r="BC69" s="998">
        <f t="shared" si="71"/>
        <v>255</v>
      </c>
      <c r="BD69" s="996">
        <f t="shared" ref="BD69:BK69" si="73">SUM(BD63:BD68)</f>
        <v>103</v>
      </c>
      <c r="BE69" s="997">
        <f t="shared" si="73"/>
        <v>117</v>
      </c>
      <c r="BF69" s="997">
        <f t="shared" si="73"/>
        <v>77</v>
      </c>
      <c r="BG69" s="998">
        <f t="shared" si="73"/>
        <v>297</v>
      </c>
      <c r="BH69" s="996">
        <f t="shared" si="73"/>
        <v>86</v>
      </c>
      <c r="BI69" s="997">
        <f t="shared" si="73"/>
        <v>125</v>
      </c>
      <c r="BJ69" s="997">
        <f t="shared" si="73"/>
        <v>143</v>
      </c>
      <c r="BK69" s="998">
        <f t="shared" si="73"/>
        <v>354</v>
      </c>
      <c r="BL69" s="996">
        <f t="shared" ref="BL69:BS69" si="74">SUM(BL63:BL68)</f>
        <v>109</v>
      </c>
      <c r="BM69" s="997">
        <f t="shared" si="74"/>
        <v>142</v>
      </c>
      <c r="BN69" s="997">
        <f t="shared" si="74"/>
        <v>94</v>
      </c>
      <c r="BO69" s="998">
        <f t="shared" si="74"/>
        <v>345</v>
      </c>
      <c r="BP69" s="996">
        <f t="shared" si="74"/>
        <v>107</v>
      </c>
      <c r="BQ69" s="997">
        <f t="shared" si="74"/>
        <v>127</v>
      </c>
      <c r="BR69" s="997">
        <f t="shared" si="74"/>
        <v>151</v>
      </c>
      <c r="BS69" s="998">
        <f t="shared" si="74"/>
        <v>385</v>
      </c>
    </row>
    <row r="70" spans="1:71" s="980" customFormat="1" ht="15" customHeight="1" x14ac:dyDescent="0.25">
      <c r="A70" s="5098"/>
      <c r="B70" s="4028"/>
      <c r="C70" s="4024" t="s">
        <v>450</v>
      </c>
      <c r="D70" s="4025">
        <v>369</v>
      </c>
      <c r="E70" s="4026">
        <v>378</v>
      </c>
      <c r="F70" s="4026">
        <v>243</v>
      </c>
      <c r="G70" s="4027">
        <v>990</v>
      </c>
      <c r="H70" s="4025">
        <v>288</v>
      </c>
      <c r="I70" s="4026">
        <v>315</v>
      </c>
      <c r="J70" s="4026">
        <v>249</v>
      </c>
      <c r="K70" s="4027">
        <v>852</v>
      </c>
      <c r="L70" s="4025">
        <v>359</v>
      </c>
      <c r="M70" s="4026">
        <v>364</v>
      </c>
      <c r="N70" s="4026">
        <v>220</v>
      </c>
      <c r="O70" s="4027">
        <v>943</v>
      </c>
      <c r="P70" s="4025">
        <v>340</v>
      </c>
      <c r="Q70" s="4026">
        <v>338</v>
      </c>
      <c r="R70" s="4026">
        <v>274</v>
      </c>
      <c r="S70" s="4027">
        <v>952</v>
      </c>
      <c r="T70" s="4025">
        <f t="shared" ref="T70:BC70" si="75">SUM(T69,T62,T50)</f>
        <v>360</v>
      </c>
      <c r="U70" s="4026">
        <f t="shared" si="75"/>
        <v>405</v>
      </c>
      <c r="V70" s="4026">
        <f t="shared" si="75"/>
        <v>275</v>
      </c>
      <c r="W70" s="4027">
        <f t="shared" si="75"/>
        <v>1040</v>
      </c>
      <c r="X70" s="4025">
        <f t="shared" si="75"/>
        <v>403</v>
      </c>
      <c r="Y70" s="4026">
        <f t="shared" si="75"/>
        <v>444</v>
      </c>
      <c r="Z70" s="4026">
        <f t="shared" si="75"/>
        <v>341</v>
      </c>
      <c r="AA70" s="4027">
        <f t="shared" si="75"/>
        <v>1188</v>
      </c>
      <c r="AB70" s="4025">
        <f t="shared" si="75"/>
        <v>435</v>
      </c>
      <c r="AC70" s="4026">
        <f t="shared" si="75"/>
        <v>382</v>
      </c>
      <c r="AD70" s="4026">
        <f t="shared" si="75"/>
        <v>280</v>
      </c>
      <c r="AE70" s="4027">
        <f t="shared" si="75"/>
        <v>1097</v>
      </c>
      <c r="AF70" s="4025">
        <f t="shared" si="75"/>
        <v>396</v>
      </c>
      <c r="AG70" s="4026">
        <f t="shared" si="75"/>
        <v>444</v>
      </c>
      <c r="AH70" s="4026">
        <f t="shared" si="75"/>
        <v>310</v>
      </c>
      <c r="AI70" s="4027">
        <f t="shared" si="75"/>
        <v>1150</v>
      </c>
      <c r="AJ70" s="4025">
        <f t="shared" si="75"/>
        <v>350</v>
      </c>
      <c r="AK70" s="4026">
        <f t="shared" si="75"/>
        <v>366</v>
      </c>
      <c r="AL70" s="4026">
        <f t="shared" si="75"/>
        <v>237</v>
      </c>
      <c r="AM70" s="4027">
        <f t="shared" si="75"/>
        <v>953</v>
      </c>
      <c r="AN70" s="4025">
        <f t="shared" si="75"/>
        <v>337</v>
      </c>
      <c r="AO70" s="4026">
        <f t="shared" si="75"/>
        <v>367</v>
      </c>
      <c r="AP70" s="4026">
        <f t="shared" si="75"/>
        <v>242</v>
      </c>
      <c r="AQ70" s="4027">
        <f t="shared" si="75"/>
        <v>946</v>
      </c>
      <c r="AR70" s="4213">
        <f t="shared" si="75"/>
        <v>322</v>
      </c>
      <c r="AS70" s="4214">
        <f t="shared" si="75"/>
        <v>374</v>
      </c>
      <c r="AT70" s="4214">
        <f t="shared" si="75"/>
        <v>200</v>
      </c>
      <c r="AU70" s="4215">
        <f t="shared" si="6"/>
        <v>896</v>
      </c>
      <c r="AV70" s="4213">
        <f t="shared" ref="AV70:AX70" si="76">SUM(AV69,AV62,AV50)</f>
        <v>366</v>
      </c>
      <c r="AW70" s="4214">
        <f t="shared" si="76"/>
        <v>449</v>
      </c>
      <c r="AX70" s="4214">
        <f t="shared" si="76"/>
        <v>274</v>
      </c>
      <c r="AY70" s="4215">
        <f t="shared" si="7"/>
        <v>1089</v>
      </c>
      <c r="AZ70" s="4025">
        <f t="shared" si="75"/>
        <v>330</v>
      </c>
      <c r="BA70" s="4026">
        <f t="shared" si="75"/>
        <v>328</v>
      </c>
      <c r="BB70" s="4026">
        <f t="shared" si="75"/>
        <v>258</v>
      </c>
      <c r="BC70" s="4027">
        <f t="shared" si="75"/>
        <v>916</v>
      </c>
      <c r="BD70" s="4025">
        <f t="shared" ref="BD70:BK70" si="77">SUM(BD69,BD62,BD50)</f>
        <v>365</v>
      </c>
      <c r="BE70" s="4026">
        <f t="shared" si="77"/>
        <v>423</v>
      </c>
      <c r="BF70" s="4026">
        <f t="shared" si="77"/>
        <v>276</v>
      </c>
      <c r="BG70" s="4027">
        <f t="shared" si="77"/>
        <v>1064</v>
      </c>
      <c r="BH70" s="4025">
        <f t="shared" si="77"/>
        <v>339</v>
      </c>
      <c r="BI70" s="4026">
        <f t="shared" si="77"/>
        <v>456</v>
      </c>
      <c r="BJ70" s="4026">
        <f t="shared" si="77"/>
        <v>390</v>
      </c>
      <c r="BK70" s="4027">
        <f t="shared" si="77"/>
        <v>1185</v>
      </c>
      <c r="BL70" s="4025">
        <f t="shared" ref="BL70:BS70" si="78">SUM(BL69,BL62,BL50)</f>
        <v>378</v>
      </c>
      <c r="BM70" s="4026">
        <f t="shared" si="78"/>
        <v>429</v>
      </c>
      <c r="BN70" s="4026">
        <f t="shared" si="78"/>
        <v>302</v>
      </c>
      <c r="BO70" s="4027">
        <f t="shared" si="78"/>
        <v>1109</v>
      </c>
      <c r="BP70" s="4025">
        <f t="shared" si="78"/>
        <v>352</v>
      </c>
      <c r="BQ70" s="4026">
        <f t="shared" si="78"/>
        <v>398</v>
      </c>
      <c r="BR70" s="4026">
        <f t="shared" si="78"/>
        <v>382</v>
      </c>
      <c r="BS70" s="4027">
        <f t="shared" si="78"/>
        <v>1132</v>
      </c>
    </row>
    <row r="71" spans="1:71" s="980" customFormat="1" ht="15" customHeight="1" x14ac:dyDescent="0.25">
      <c r="A71" s="5102" t="s">
        <v>326</v>
      </c>
      <c r="B71" s="5214" t="s">
        <v>5</v>
      </c>
      <c r="C71" s="988" t="s">
        <v>509</v>
      </c>
      <c r="D71" s="4753"/>
      <c r="E71" s="4754"/>
      <c r="F71" s="4754"/>
      <c r="G71" s="4754"/>
      <c r="H71" s="4753"/>
      <c r="I71" s="4754"/>
      <c r="J71" s="4754"/>
      <c r="K71" s="4754"/>
      <c r="L71" s="4753"/>
      <c r="M71" s="4754"/>
      <c r="N71" s="4754"/>
      <c r="O71" s="4754"/>
      <c r="P71" s="4753"/>
      <c r="Q71" s="4754"/>
      <c r="R71" s="4754"/>
      <c r="S71" s="4755"/>
      <c r="T71" s="4753"/>
      <c r="U71" s="4754"/>
      <c r="V71" s="4754"/>
      <c r="W71" s="4754"/>
      <c r="X71" s="4753"/>
      <c r="Y71" s="4754"/>
      <c r="Z71" s="4754"/>
      <c r="AA71" s="4754"/>
      <c r="AB71" s="4753"/>
      <c r="AC71" s="4754"/>
      <c r="AD71" s="4754"/>
      <c r="AE71" s="4754"/>
      <c r="AF71" s="4753"/>
      <c r="AG71" s="4754"/>
      <c r="AH71" s="4754"/>
      <c r="AI71" s="4755"/>
      <c r="AJ71" s="4753"/>
      <c r="AK71" s="4754"/>
      <c r="AL71" s="4754"/>
      <c r="AM71" s="4755"/>
      <c r="AN71" s="4753"/>
      <c r="AO71" s="4754"/>
      <c r="AP71" s="4754"/>
      <c r="AQ71" s="4755"/>
      <c r="AR71" s="4756"/>
      <c r="AS71" s="4756"/>
      <c r="AT71" s="4756"/>
      <c r="AU71" s="4757"/>
      <c r="AV71" s="4756"/>
      <c r="AW71" s="4756"/>
      <c r="AX71" s="4756"/>
      <c r="AY71" s="4757"/>
      <c r="AZ71" s="4753"/>
      <c r="BA71" s="4754"/>
      <c r="BB71" s="4754"/>
      <c r="BC71" s="4755"/>
      <c r="BD71" s="4753"/>
      <c r="BE71" s="4754"/>
      <c r="BF71" s="4754"/>
      <c r="BG71" s="4755"/>
      <c r="BH71" s="4753"/>
      <c r="BI71" s="4754"/>
      <c r="BJ71" s="4754"/>
      <c r="BK71" s="4755"/>
      <c r="BL71" s="4753"/>
      <c r="BM71" s="4754"/>
      <c r="BN71" s="4754"/>
      <c r="BO71" s="4755"/>
      <c r="BP71" s="4759">
        <v>8</v>
      </c>
      <c r="BQ71" s="4760">
        <v>9</v>
      </c>
      <c r="BR71" s="4760">
        <v>3</v>
      </c>
      <c r="BS71" s="4761">
        <f>SUM(BP71:BR71)</f>
        <v>20</v>
      </c>
    </row>
    <row r="72" spans="1:71" s="980" customFormat="1" ht="15" customHeight="1" x14ac:dyDescent="0.25">
      <c r="A72" s="5103"/>
      <c r="B72" s="5198"/>
      <c r="C72" s="995" t="s">
        <v>160</v>
      </c>
      <c r="D72" s="996"/>
      <c r="E72" s="997"/>
      <c r="F72" s="997"/>
      <c r="G72" s="998"/>
      <c r="H72" s="996"/>
      <c r="I72" s="997"/>
      <c r="J72" s="997"/>
      <c r="K72" s="998"/>
      <c r="L72" s="996"/>
      <c r="M72" s="997"/>
      <c r="N72" s="997"/>
      <c r="O72" s="998"/>
      <c r="P72" s="996"/>
      <c r="Q72" s="997"/>
      <c r="R72" s="997"/>
      <c r="S72" s="998"/>
      <c r="T72" s="996"/>
      <c r="U72" s="997"/>
      <c r="V72" s="997"/>
      <c r="W72" s="998"/>
      <c r="X72" s="996"/>
      <c r="Y72" s="997"/>
      <c r="Z72" s="997"/>
      <c r="AA72" s="998"/>
      <c r="AB72" s="996"/>
      <c r="AC72" s="997"/>
      <c r="AD72" s="997"/>
      <c r="AE72" s="998"/>
      <c r="AF72" s="996"/>
      <c r="AG72" s="997"/>
      <c r="AH72" s="997"/>
      <c r="AI72" s="998"/>
      <c r="AJ72" s="996"/>
      <c r="AK72" s="997"/>
      <c r="AL72" s="997"/>
      <c r="AM72" s="998"/>
      <c r="AN72" s="996"/>
      <c r="AO72" s="997"/>
      <c r="AP72" s="997"/>
      <c r="AQ72" s="998"/>
      <c r="AR72" s="996"/>
      <c r="AS72" s="997"/>
      <c r="AT72" s="997"/>
      <c r="AU72" s="998"/>
      <c r="AV72" s="996"/>
      <c r="AW72" s="997"/>
      <c r="AX72" s="997"/>
      <c r="AY72" s="998"/>
      <c r="AZ72" s="996"/>
      <c r="BA72" s="997"/>
      <c r="BB72" s="997"/>
      <c r="BC72" s="998"/>
      <c r="BD72" s="996"/>
      <c r="BE72" s="997"/>
      <c r="BF72" s="997"/>
      <c r="BG72" s="998"/>
      <c r="BH72" s="996"/>
      <c r="BI72" s="997"/>
      <c r="BJ72" s="997"/>
      <c r="BK72" s="998"/>
      <c r="BL72" s="996"/>
      <c r="BM72" s="997"/>
      <c r="BN72" s="997"/>
      <c r="BO72" s="998"/>
      <c r="BP72" s="996">
        <f>SUM(BP71)</f>
        <v>8</v>
      </c>
      <c r="BQ72" s="997">
        <f>SUM(BQ71)</f>
        <v>9</v>
      </c>
      <c r="BR72" s="997">
        <f t="shared" ref="BR72:BS72" si="79">SUM(BR71)</f>
        <v>3</v>
      </c>
      <c r="BS72" s="998">
        <f t="shared" si="79"/>
        <v>20</v>
      </c>
    </row>
    <row r="73" spans="1:71" s="980" customFormat="1" ht="15" customHeight="1" x14ac:dyDescent="0.25">
      <c r="A73" s="5103"/>
      <c r="B73" s="5196" t="s">
        <v>6</v>
      </c>
      <c r="C73" s="981" t="s">
        <v>510</v>
      </c>
      <c r="D73" s="814"/>
      <c r="E73" s="815"/>
      <c r="F73" s="815"/>
      <c r="G73" s="982"/>
      <c r="H73" s="814"/>
      <c r="I73" s="815"/>
      <c r="J73" s="815"/>
      <c r="K73" s="982"/>
      <c r="L73" s="814"/>
      <c r="M73" s="815"/>
      <c r="N73" s="815"/>
      <c r="O73" s="982"/>
      <c r="P73" s="814"/>
      <c r="Q73" s="815"/>
      <c r="R73" s="815"/>
      <c r="S73" s="984"/>
      <c r="T73" s="814"/>
      <c r="U73" s="815"/>
      <c r="V73" s="815"/>
      <c r="W73" s="982"/>
      <c r="X73" s="814"/>
      <c r="Y73" s="815"/>
      <c r="Z73" s="815"/>
      <c r="AA73" s="982"/>
      <c r="AB73" s="983"/>
      <c r="AC73" s="815"/>
      <c r="AD73" s="815"/>
      <c r="AE73" s="982"/>
      <c r="AF73" s="983"/>
      <c r="AG73" s="815"/>
      <c r="AH73" s="815"/>
      <c r="AI73" s="984"/>
      <c r="AJ73" s="983"/>
      <c r="AK73" s="815"/>
      <c r="AL73" s="848"/>
      <c r="AM73" s="984"/>
      <c r="AN73" s="983"/>
      <c r="AO73" s="815"/>
      <c r="AP73" s="848"/>
      <c r="AQ73" s="984"/>
      <c r="AR73" s="985"/>
      <c r="AS73" s="985"/>
      <c r="AT73" s="985"/>
      <c r="AU73" s="986"/>
      <c r="AV73" s="985"/>
      <c r="AW73" s="985"/>
      <c r="AX73" s="985"/>
      <c r="AY73" s="986"/>
      <c r="AZ73" s="987"/>
      <c r="BA73" s="985"/>
      <c r="BB73" s="985"/>
      <c r="BC73" s="986"/>
      <c r="BD73" s="987"/>
      <c r="BE73" s="985"/>
      <c r="BF73" s="985"/>
      <c r="BG73" s="986"/>
      <c r="BH73" s="987"/>
      <c r="BI73" s="985"/>
      <c r="BJ73" s="985"/>
      <c r="BK73" s="986"/>
      <c r="BL73" s="987"/>
      <c r="BM73" s="985"/>
      <c r="BN73" s="985"/>
      <c r="BO73" s="986"/>
      <c r="BP73" s="987">
        <v>10</v>
      </c>
      <c r="BQ73" s="985">
        <v>21</v>
      </c>
      <c r="BR73" s="985">
        <v>1</v>
      </c>
      <c r="BS73" s="986">
        <f>SUM(BP73:BR73)</f>
        <v>32</v>
      </c>
    </row>
    <row r="74" spans="1:71" s="980" customFormat="1" ht="15" customHeight="1" x14ac:dyDescent="0.25">
      <c r="A74" s="5103"/>
      <c r="B74" s="5197"/>
      <c r="C74" s="981" t="s">
        <v>625</v>
      </c>
      <c r="D74" s="814"/>
      <c r="E74" s="815"/>
      <c r="F74" s="815"/>
      <c r="G74" s="982"/>
      <c r="H74" s="814"/>
      <c r="I74" s="815"/>
      <c r="J74" s="815"/>
      <c r="K74" s="982"/>
      <c r="L74" s="814"/>
      <c r="M74" s="815"/>
      <c r="N74" s="815"/>
      <c r="O74" s="982"/>
      <c r="P74" s="814"/>
      <c r="Q74" s="815"/>
      <c r="R74" s="815"/>
      <c r="S74" s="984"/>
      <c r="T74" s="814"/>
      <c r="U74" s="815"/>
      <c r="V74" s="815"/>
      <c r="W74" s="982"/>
      <c r="X74" s="814"/>
      <c r="Y74" s="815"/>
      <c r="Z74" s="815"/>
      <c r="AA74" s="982"/>
      <c r="AB74" s="983"/>
      <c r="AC74" s="815"/>
      <c r="AD74" s="815"/>
      <c r="AE74" s="982"/>
      <c r="AF74" s="983"/>
      <c r="AG74" s="815"/>
      <c r="AH74" s="815"/>
      <c r="AI74" s="984"/>
      <c r="AJ74" s="983"/>
      <c r="AK74" s="815"/>
      <c r="AL74" s="848"/>
      <c r="AM74" s="984"/>
      <c r="AN74" s="983"/>
      <c r="AO74" s="815"/>
      <c r="AP74" s="848"/>
      <c r="AQ74" s="984"/>
      <c r="AR74" s="985"/>
      <c r="AS74" s="985"/>
      <c r="AT74" s="985"/>
      <c r="AU74" s="986"/>
      <c r="AV74" s="985"/>
      <c r="AW74" s="985"/>
      <c r="AX74" s="985"/>
      <c r="AY74" s="986"/>
      <c r="AZ74" s="987"/>
      <c r="BA74" s="985"/>
      <c r="BB74" s="985"/>
      <c r="BC74" s="986"/>
      <c r="BD74" s="987"/>
      <c r="BE74" s="985"/>
      <c r="BF74" s="985"/>
      <c r="BG74" s="986"/>
      <c r="BH74" s="987"/>
      <c r="BI74" s="985"/>
      <c r="BJ74" s="985"/>
      <c r="BK74" s="986"/>
      <c r="BL74" s="987"/>
      <c r="BM74" s="985"/>
      <c r="BN74" s="985"/>
      <c r="BO74" s="986"/>
      <c r="BP74" s="987"/>
      <c r="BQ74" s="985"/>
      <c r="BR74" s="985"/>
      <c r="BS74" s="986"/>
    </row>
    <row r="75" spans="1:71" s="980" customFormat="1" ht="15" customHeight="1" x14ac:dyDescent="0.25">
      <c r="A75" s="5103"/>
      <c r="B75" s="5198"/>
      <c r="C75" s="995" t="s">
        <v>160</v>
      </c>
      <c r="D75" s="996"/>
      <c r="E75" s="997"/>
      <c r="F75" s="997"/>
      <c r="G75" s="998"/>
      <c r="H75" s="996"/>
      <c r="I75" s="997"/>
      <c r="J75" s="997"/>
      <c r="K75" s="998"/>
      <c r="L75" s="996"/>
      <c r="M75" s="997"/>
      <c r="N75" s="997"/>
      <c r="O75" s="998"/>
      <c r="P75" s="996"/>
      <c r="Q75" s="997"/>
      <c r="R75" s="997"/>
      <c r="S75" s="998"/>
      <c r="T75" s="996"/>
      <c r="U75" s="997"/>
      <c r="V75" s="997"/>
      <c r="W75" s="998"/>
      <c r="X75" s="996"/>
      <c r="Y75" s="997"/>
      <c r="Z75" s="997"/>
      <c r="AA75" s="998"/>
      <c r="AB75" s="996"/>
      <c r="AC75" s="997"/>
      <c r="AD75" s="997"/>
      <c r="AE75" s="998"/>
      <c r="AF75" s="996"/>
      <c r="AG75" s="997"/>
      <c r="AH75" s="997"/>
      <c r="AI75" s="998"/>
      <c r="AJ75" s="996"/>
      <c r="AK75" s="997"/>
      <c r="AL75" s="997"/>
      <c r="AM75" s="998"/>
      <c r="AN75" s="996"/>
      <c r="AO75" s="997"/>
      <c r="AP75" s="997"/>
      <c r="AQ75" s="998"/>
      <c r="AR75" s="996"/>
      <c r="AS75" s="997"/>
      <c r="AT75" s="997"/>
      <c r="AU75" s="998"/>
      <c r="AV75" s="996"/>
      <c r="AW75" s="997"/>
      <c r="AX75" s="997"/>
      <c r="AY75" s="998"/>
      <c r="AZ75" s="996"/>
      <c r="BA75" s="997"/>
      <c r="BB75" s="997"/>
      <c r="BC75" s="998"/>
      <c r="BD75" s="996"/>
      <c r="BE75" s="997"/>
      <c r="BF75" s="997"/>
      <c r="BG75" s="998"/>
      <c r="BH75" s="996"/>
      <c r="BI75" s="997"/>
      <c r="BJ75" s="997"/>
      <c r="BK75" s="998"/>
      <c r="BL75" s="996"/>
      <c r="BM75" s="997"/>
      <c r="BN75" s="997"/>
      <c r="BO75" s="998"/>
      <c r="BP75" s="996">
        <f>SUM(BP73:BP74)</f>
        <v>10</v>
      </c>
      <c r="BQ75" s="997">
        <f t="shared" ref="BQ75:BS75" si="80">SUM(BQ73:BQ74)</f>
        <v>21</v>
      </c>
      <c r="BR75" s="997">
        <f t="shared" si="80"/>
        <v>1</v>
      </c>
      <c r="BS75" s="998">
        <f t="shared" si="80"/>
        <v>32</v>
      </c>
    </row>
    <row r="76" spans="1:71" s="980" customFormat="1" ht="15" customHeight="1" x14ac:dyDescent="0.25">
      <c r="A76" s="5213"/>
      <c r="B76" s="5214" t="s">
        <v>11</v>
      </c>
      <c r="C76" s="988" t="s">
        <v>511</v>
      </c>
      <c r="D76" s="4753"/>
      <c r="E76" s="4754"/>
      <c r="F76" s="4754"/>
      <c r="G76" s="4754"/>
      <c r="H76" s="4753"/>
      <c r="I76" s="4754"/>
      <c r="J76" s="4754"/>
      <c r="K76" s="4754"/>
      <c r="L76" s="4753"/>
      <c r="M76" s="4754"/>
      <c r="N76" s="4754"/>
      <c r="O76" s="4754"/>
      <c r="P76" s="4753"/>
      <c r="Q76" s="4754"/>
      <c r="R76" s="4754"/>
      <c r="S76" s="4755"/>
      <c r="T76" s="4753"/>
      <c r="U76" s="4754"/>
      <c r="V76" s="4754"/>
      <c r="W76" s="4754"/>
      <c r="X76" s="4753"/>
      <c r="Y76" s="4754"/>
      <c r="Z76" s="4754"/>
      <c r="AA76" s="4754"/>
      <c r="AB76" s="4753"/>
      <c r="AC76" s="4754"/>
      <c r="AD76" s="4754"/>
      <c r="AE76" s="4754"/>
      <c r="AF76" s="4753"/>
      <c r="AG76" s="4754"/>
      <c r="AH76" s="4754"/>
      <c r="AI76" s="4755"/>
      <c r="AJ76" s="4753"/>
      <c r="AK76" s="4754"/>
      <c r="AL76" s="4754"/>
      <c r="AM76" s="4755"/>
      <c r="AN76" s="4753"/>
      <c r="AO76" s="4754"/>
      <c r="AP76" s="4754"/>
      <c r="AQ76" s="4755"/>
      <c r="AR76" s="4756"/>
      <c r="AS76" s="4756"/>
      <c r="AT76" s="4756"/>
      <c r="AU76" s="4757"/>
      <c r="AV76" s="4756"/>
      <c r="AW76" s="4756"/>
      <c r="AX76" s="4756"/>
      <c r="AY76" s="4757"/>
      <c r="AZ76" s="4753"/>
      <c r="BA76" s="4754"/>
      <c r="BB76" s="4754"/>
      <c r="BC76" s="4755"/>
      <c r="BD76" s="4753"/>
      <c r="BE76" s="4754"/>
      <c r="BF76" s="4754"/>
      <c r="BG76" s="4755"/>
      <c r="BH76" s="4753"/>
      <c r="BI76" s="4754"/>
      <c r="BJ76" s="4754"/>
      <c r="BK76" s="4755"/>
      <c r="BL76" s="4753"/>
      <c r="BM76" s="4754"/>
      <c r="BN76" s="4754"/>
      <c r="BO76" s="4755"/>
      <c r="BP76" s="4759">
        <v>9</v>
      </c>
      <c r="BQ76" s="4760">
        <v>14</v>
      </c>
      <c r="BR76" s="4760"/>
      <c r="BS76" s="4761">
        <f>SUM(BP76:BR76)</f>
        <v>23</v>
      </c>
    </row>
    <row r="77" spans="1:71" s="980" customFormat="1" ht="15" customHeight="1" x14ac:dyDescent="0.25">
      <c r="A77" s="5213"/>
      <c r="B77" s="5198"/>
      <c r="C77" s="995" t="s">
        <v>160</v>
      </c>
      <c r="D77" s="996"/>
      <c r="E77" s="997"/>
      <c r="F77" s="997"/>
      <c r="G77" s="998"/>
      <c r="H77" s="996"/>
      <c r="I77" s="997"/>
      <c r="J77" s="997"/>
      <c r="K77" s="998"/>
      <c r="L77" s="996"/>
      <c r="M77" s="997"/>
      <c r="N77" s="997"/>
      <c r="O77" s="998"/>
      <c r="P77" s="996"/>
      <c r="Q77" s="997"/>
      <c r="R77" s="997"/>
      <c r="S77" s="998"/>
      <c r="T77" s="996"/>
      <c r="U77" s="997"/>
      <c r="V77" s="997"/>
      <c r="W77" s="998"/>
      <c r="X77" s="996"/>
      <c r="Y77" s="997"/>
      <c r="Z77" s="997"/>
      <c r="AA77" s="998"/>
      <c r="AB77" s="996"/>
      <c r="AC77" s="997"/>
      <c r="AD77" s="997"/>
      <c r="AE77" s="998"/>
      <c r="AF77" s="996"/>
      <c r="AG77" s="997"/>
      <c r="AH77" s="997"/>
      <c r="AI77" s="998"/>
      <c r="AJ77" s="996"/>
      <c r="AK77" s="997"/>
      <c r="AL77" s="997"/>
      <c r="AM77" s="998"/>
      <c r="AN77" s="996"/>
      <c r="AO77" s="997"/>
      <c r="AP77" s="997"/>
      <c r="AQ77" s="998"/>
      <c r="AR77" s="996"/>
      <c r="AS77" s="997"/>
      <c r="AT77" s="997"/>
      <c r="AU77" s="998"/>
      <c r="AV77" s="996"/>
      <c r="AW77" s="997"/>
      <c r="AX77" s="997"/>
      <c r="AY77" s="998"/>
      <c r="AZ77" s="996"/>
      <c r="BA77" s="997"/>
      <c r="BB77" s="997"/>
      <c r="BC77" s="998"/>
      <c r="BD77" s="996"/>
      <c r="BE77" s="997"/>
      <c r="BF77" s="997"/>
      <c r="BG77" s="998"/>
      <c r="BH77" s="996"/>
      <c r="BI77" s="997"/>
      <c r="BJ77" s="997"/>
      <c r="BK77" s="998"/>
      <c r="BL77" s="996"/>
      <c r="BM77" s="997"/>
      <c r="BN77" s="997"/>
      <c r="BO77" s="998"/>
      <c r="BP77" s="996">
        <f>SUM(BP76)</f>
        <v>9</v>
      </c>
      <c r="BQ77" s="997">
        <f t="shared" ref="BQ77:BS77" si="81">SUM(BQ76)</f>
        <v>14</v>
      </c>
      <c r="BR77" s="997">
        <f t="shared" si="81"/>
        <v>0</v>
      </c>
      <c r="BS77" s="998">
        <f t="shared" si="81"/>
        <v>23</v>
      </c>
    </row>
    <row r="78" spans="1:71" s="980" customFormat="1" ht="15" customHeight="1" x14ac:dyDescent="0.25">
      <c r="A78" s="5104"/>
      <c r="B78" s="4005"/>
      <c r="C78" s="2389" t="s">
        <v>516</v>
      </c>
      <c r="D78" s="4753"/>
      <c r="E78" s="4754"/>
      <c r="F78" s="4754"/>
      <c r="G78" s="4754"/>
      <c r="H78" s="4753"/>
      <c r="I78" s="4754"/>
      <c r="J78" s="4754"/>
      <c r="K78" s="4754"/>
      <c r="L78" s="4753"/>
      <c r="M78" s="4754"/>
      <c r="N78" s="4754"/>
      <c r="O78" s="4754"/>
      <c r="P78" s="4753"/>
      <c r="Q78" s="4754"/>
      <c r="R78" s="4754"/>
      <c r="S78" s="4755"/>
      <c r="T78" s="4753"/>
      <c r="U78" s="4754"/>
      <c r="V78" s="4754"/>
      <c r="W78" s="4754"/>
      <c r="X78" s="4753"/>
      <c r="Y78" s="4754"/>
      <c r="Z78" s="4754"/>
      <c r="AA78" s="4754"/>
      <c r="AB78" s="4753"/>
      <c r="AC78" s="4754"/>
      <c r="AD78" s="4754"/>
      <c r="AE78" s="4754"/>
      <c r="AF78" s="4753"/>
      <c r="AG78" s="4754"/>
      <c r="AH78" s="4754"/>
      <c r="AI78" s="4755"/>
      <c r="AJ78" s="4753"/>
      <c r="AK78" s="4754"/>
      <c r="AL78" s="4754"/>
      <c r="AM78" s="4755"/>
      <c r="AN78" s="4753"/>
      <c r="AO78" s="4754"/>
      <c r="AP78" s="4754"/>
      <c r="AQ78" s="4755"/>
      <c r="AR78" s="4756"/>
      <c r="AS78" s="4756"/>
      <c r="AT78" s="4756"/>
      <c r="AU78" s="4757"/>
      <c r="AV78" s="4756"/>
      <c r="AW78" s="4756"/>
      <c r="AX78" s="4756"/>
      <c r="AY78" s="4757"/>
      <c r="AZ78" s="4753"/>
      <c r="BA78" s="4754"/>
      <c r="BB78" s="4754"/>
      <c r="BC78" s="4755"/>
      <c r="BD78" s="4753"/>
      <c r="BE78" s="4754"/>
      <c r="BF78" s="4754"/>
      <c r="BG78" s="4755"/>
      <c r="BH78" s="4753"/>
      <c r="BI78" s="4754"/>
      <c r="BJ78" s="4754"/>
      <c r="BK78" s="4755"/>
      <c r="BL78" s="4753"/>
      <c r="BM78" s="4754"/>
      <c r="BN78" s="4754"/>
      <c r="BO78" s="4755"/>
      <c r="BP78" s="4762">
        <f>SUM(BP77,BP75,BP72)</f>
        <v>27</v>
      </c>
      <c r="BQ78" s="4763">
        <f t="shared" ref="BQ78:BS78" si="82">SUM(BQ77,BQ75,BQ72)</f>
        <v>44</v>
      </c>
      <c r="BR78" s="4763">
        <f t="shared" si="82"/>
        <v>4</v>
      </c>
      <c r="BS78" s="4764">
        <f t="shared" si="82"/>
        <v>75</v>
      </c>
    </row>
    <row r="79" spans="1:71" s="980" customFormat="1" ht="15" customHeight="1" x14ac:dyDescent="0.25">
      <c r="A79" s="5072" t="s">
        <v>10</v>
      </c>
      <c r="B79" s="5210" t="s">
        <v>6</v>
      </c>
      <c r="C79" s="973" t="s">
        <v>462</v>
      </c>
      <c r="D79" s="808">
        <v>72</v>
      </c>
      <c r="E79" s="809">
        <v>79</v>
      </c>
      <c r="F79" s="809"/>
      <c r="G79" s="974">
        <v>151</v>
      </c>
      <c r="H79" s="808">
        <v>55</v>
      </c>
      <c r="I79" s="809">
        <v>79</v>
      </c>
      <c r="J79" s="809"/>
      <c r="K79" s="974">
        <v>134</v>
      </c>
      <c r="L79" s="808">
        <v>47</v>
      </c>
      <c r="M79" s="809">
        <v>35</v>
      </c>
      <c r="N79" s="809"/>
      <c r="O79" s="974">
        <v>82</v>
      </c>
      <c r="P79" s="808">
        <v>76</v>
      </c>
      <c r="Q79" s="809">
        <v>61</v>
      </c>
      <c r="R79" s="809"/>
      <c r="S79" s="976">
        <v>137</v>
      </c>
      <c r="T79" s="808">
        <v>54</v>
      </c>
      <c r="U79" s="809">
        <v>60</v>
      </c>
      <c r="V79" s="809" t="s">
        <v>227</v>
      </c>
      <c r="W79" s="974">
        <f t="shared" ref="W79:W84" si="83">SUM(T79:V79)</f>
        <v>114</v>
      </c>
      <c r="X79" s="808">
        <v>53</v>
      </c>
      <c r="Y79" s="809">
        <v>59</v>
      </c>
      <c r="Z79" s="809" t="s">
        <v>227</v>
      </c>
      <c r="AA79" s="974">
        <f t="shared" ref="AA79:AA84" si="84">SUM(X79:Z79)</f>
        <v>112</v>
      </c>
      <c r="AB79" s="975">
        <v>46</v>
      </c>
      <c r="AC79" s="809">
        <v>49</v>
      </c>
      <c r="AD79" s="809" t="s">
        <v>227</v>
      </c>
      <c r="AE79" s="974">
        <f t="shared" ref="AE79:AE84" si="85">SUM(AB79:AD79)</f>
        <v>95</v>
      </c>
      <c r="AF79" s="975">
        <v>50</v>
      </c>
      <c r="AG79" s="809">
        <v>53</v>
      </c>
      <c r="AH79" s="809" t="s">
        <v>227</v>
      </c>
      <c r="AI79" s="976">
        <f t="shared" ref="AI79:AI84" si="86">SUM(AF79:AH79)</f>
        <v>103</v>
      </c>
      <c r="AJ79" s="975">
        <v>49</v>
      </c>
      <c r="AK79" s="809">
        <v>66</v>
      </c>
      <c r="AL79" s="809"/>
      <c r="AM79" s="976">
        <f t="shared" ref="AM79:AM84" si="87">SUM(AJ79:AL79)</f>
        <v>115</v>
      </c>
      <c r="AN79" s="975">
        <v>91</v>
      </c>
      <c r="AO79" s="809">
        <v>63</v>
      </c>
      <c r="AP79" s="809" t="s">
        <v>227</v>
      </c>
      <c r="AQ79" s="976">
        <f t="shared" ref="AQ79:AQ84" si="88">SUM(AN79:AP79)</f>
        <v>154</v>
      </c>
      <c r="AR79" s="977">
        <v>56</v>
      </c>
      <c r="AS79" s="977">
        <v>28</v>
      </c>
      <c r="AT79" s="977" t="s">
        <v>227</v>
      </c>
      <c r="AU79" s="978">
        <f t="shared" ref="AU79:AU100" si="89">SUM(AR79:AT79)</f>
        <v>84</v>
      </c>
      <c r="AV79" s="977">
        <v>55</v>
      </c>
      <c r="AW79" s="977">
        <v>58</v>
      </c>
      <c r="AX79" s="977" t="s">
        <v>227</v>
      </c>
      <c r="AY79" s="978">
        <f t="shared" ref="AY79:AY100" si="90">SUM(AV79:AX79)</f>
        <v>113</v>
      </c>
      <c r="AZ79" s="979">
        <v>59</v>
      </c>
      <c r="BA79" s="977">
        <v>60</v>
      </c>
      <c r="BB79" s="977"/>
      <c r="BC79" s="978">
        <f t="shared" ref="BC79:BC84" si="91">SUM(AZ79:BB79)</f>
        <v>119</v>
      </c>
      <c r="BD79" s="979">
        <v>51</v>
      </c>
      <c r="BE79" s="977">
        <v>76</v>
      </c>
      <c r="BF79" s="977">
        <v>3</v>
      </c>
      <c r="BG79" s="978">
        <f t="shared" si="8"/>
        <v>130</v>
      </c>
      <c r="BH79" s="979">
        <v>53</v>
      </c>
      <c r="BI79" s="977">
        <v>92</v>
      </c>
      <c r="BJ79" s="977">
        <v>4</v>
      </c>
      <c r="BK79" s="978">
        <f t="shared" ref="BK79:BK84" si="92">SUM(BH79:BJ79)</f>
        <v>149</v>
      </c>
      <c r="BL79" s="979">
        <v>41</v>
      </c>
      <c r="BM79" s="977">
        <v>65</v>
      </c>
      <c r="BN79" s="977"/>
      <c r="BO79" s="978">
        <f t="shared" ref="BO79:BO84" si="93">SUM(BL79:BN79)</f>
        <v>106</v>
      </c>
      <c r="BP79" s="979">
        <v>49</v>
      </c>
      <c r="BQ79" s="977">
        <v>62</v>
      </c>
      <c r="BR79" s="977">
        <v>1</v>
      </c>
      <c r="BS79" s="978">
        <f t="shared" ref="BS79:BS84" si="94">SUM(BP79:BR79)</f>
        <v>112</v>
      </c>
    </row>
    <row r="80" spans="1:71" s="980" customFormat="1" ht="15" customHeight="1" x14ac:dyDescent="0.25">
      <c r="A80" s="5073"/>
      <c r="B80" s="5211"/>
      <c r="C80" s="981" t="s">
        <v>490</v>
      </c>
      <c r="D80" s="814">
        <v>82</v>
      </c>
      <c r="E80" s="815">
        <v>80</v>
      </c>
      <c r="F80" s="815"/>
      <c r="G80" s="982">
        <v>162</v>
      </c>
      <c r="H80" s="814">
        <v>76</v>
      </c>
      <c r="I80" s="815">
        <v>101</v>
      </c>
      <c r="J80" s="815"/>
      <c r="K80" s="982">
        <v>177</v>
      </c>
      <c r="L80" s="814">
        <v>72</v>
      </c>
      <c r="M80" s="815">
        <v>124</v>
      </c>
      <c r="N80" s="815"/>
      <c r="O80" s="982">
        <v>196</v>
      </c>
      <c r="P80" s="814">
        <v>73</v>
      </c>
      <c r="Q80" s="815">
        <v>85</v>
      </c>
      <c r="R80" s="815"/>
      <c r="S80" s="984">
        <v>158</v>
      </c>
      <c r="T80" s="814">
        <v>66</v>
      </c>
      <c r="U80" s="815">
        <v>114</v>
      </c>
      <c r="V80" s="815" t="s">
        <v>227</v>
      </c>
      <c r="W80" s="982">
        <f t="shared" si="83"/>
        <v>180</v>
      </c>
      <c r="X80" s="814">
        <v>60</v>
      </c>
      <c r="Y80" s="815">
        <v>87</v>
      </c>
      <c r="Z80" s="815" t="s">
        <v>227</v>
      </c>
      <c r="AA80" s="982">
        <f t="shared" si="84"/>
        <v>147</v>
      </c>
      <c r="AB80" s="983">
        <v>50</v>
      </c>
      <c r="AC80" s="815">
        <v>87</v>
      </c>
      <c r="AD80" s="815" t="s">
        <v>227</v>
      </c>
      <c r="AE80" s="982">
        <f t="shared" si="85"/>
        <v>137</v>
      </c>
      <c r="AF80" s="983">
        <v>50</v>
      </c>
      <c r="AG80" s="815">
        <v>97</v>
      </c>
      <c r="AH80" s="815" t="s">
        <v>227</v>
      </c>
      <c r="AI80" s="984">
        <f t="shared" si="86"/>
        <v>147</v>
      </c>
      <c r="AJ80" s="983">
        <v>81</v>
      </c>
      <c r="AK80" s="815">
        <v>109</v>
      </c>
      <c r="AL80" s="815"/>
      <c r="AM80" s="984">
        <f t="shared" si="87"/>
        <v>190</v>
      </c>
      <c r="AN80" s="983">
        <v>111</v>
      </c>
      <c r="AO80" s="815">
        <v>110</v>
      </c>
      <c r="AP80" s="815" t="s">
        <v>227</v>
      </c>
      <c r="AQ80" s="984">
        <f t="shared" si="88"/>
        <v>221</v>
      </c>
      <c r="AR80" s="985">
        <v>66</v>
      </c>
      <c r="AS80" s="985">
        <v>127</v>
      </c>
      <c r="AT80" s="985" t="s">
        <v>227</v>
      </c>
      <c r="AU80" s="986">
        <f t="shared" si="89"/>
        <v>193</v>
      </c>
      <c r="AV80" s="985">
        <v>90</v>
      </c>
      <c r="AW80" s="985">
        <v>103</v>
      </c>
      <c r="AX80" s="985" t="s">
        <v>227</v>
      </c>
      <c r="AY80" s="986">
        <f t="shared" si="90"/>
        <v>193</v>
      </c>
      <c r="AZ80" s="987">
        <v>49</v>
      </c>
      <c r="BA80" s="985">
        <v>127</v>
      </c>
      <c r="BB80" s="985"/>
      <c r="BC80" s="986">
        <f t="shared" si="91"/>
        <v>176</v>
      </c>
      <c r="BD80" s="987">
        <v>75</v>
      </c>
      <c r="BE80" s="985">
        <v>95</v>
      </c>
      <c r="BF80" s="985">
        <v>0</v>
      </c>
      <c r="BG80" s="986">
        <f t="shared" si="8"/>
        <v>170</v>
      </c>
      <c r="BH80" s="987">
        <v>74</v>
      </c>
      <c r="BI80" s="985">
        <v>103</v>
      </c>
      <c r="BJ80" s="985">
        <v>0</v>
      </c>
      <c r="BK80" s="986">
        <f t="shared" si="92"/>
        <v>177</v>
      </c>
      <c r="BL80" s="987">
        <v>84</v>
      </c>
      <c r="BM80" s="985">
        <v>90</v>
      </c>
      <c r="BN80" s="985"/>
      <c r="BO80" s="986">
        <f t="shared" si="93"/>
        <v>174</v>
      </c>
      <c r="BP80" s="987">
        <v>48</v>
      </c>
      <c r="BQ80" s="985">
        <v>123</v>
      </c>
      <c r="BR80" s="985">
        <v>0</v>
      </c>
      <c r="BS80" s="986">
        <f t="shared" si="94"/>
        <v>171</v>
      </c>
    </row>
    <row r="81" spans="1:71" s="980" customFormat="1" ht="15" customHeight="1" x14ac:dyDescent="0.25">
      <c r="A81" s="5073"/>
      <c r="B81" s="5211"/>
      <c r="C81" s="981" t="s">
        <v>464</v>
      </c>
      <c r="D81" s="814">
        <v>32</v>
      </c>
      <c r="E81" s="815">
        <v>46</v>
      </c>
      <c r="F81" s="815"/>
      <c r="G81" s="982">
        <v>78</v>
      </c>
      <c r="H81" s="814">
        <v>29</v>
      </c>
      <c r="I81" s="815">
        <v>33</v>
      </c>
      <c r="J81" s="815"/>
      <c r="K81" s="982">
        <v>62</v>
      </c>
      <c r="L81" s="814">
        <v>24</v>
      </c>
      <c r="M81" s="815">
        <v>22</v>
      </c>
      <c r="N81" s="815"/>
      <c r="O81" s="982">
        <v>46</v>
      </c>
      <c r="P81" s="814">
        <v>26</v>
      </c>
      <c r="Q81" s="815">
        <v>48</v>
      </c>
      <c r="R81" s="815"/>
      <c r="S81" s="984">
        <v>74</v>
      </c>
      <c r="T81" s="814">
        <v>36</v>
      </c>
      <c r="U81" s="815">
        <v>33</v>
      </c>
      <c r="V81" s="815" t="s">
        <v>227</v>
      </c>
      <c r="W81" s="982">
        <f t="shared" si="83"/>
        <v>69</v>
      </c>
      <c r="X81" s="814">
        <v>23</v>
      </c>
      <c r="Y81" s="815">
        <v>25</v>
      </c>
      <c r="Z81" s="815" t="s">
        <v>227</v>
      </c>
      <c r="AA81" s="982">
        <f t="shared" si="84"/>
        <v>48</v>
      </c>
      <c r="AB81" s="983">
        <v>38</v>
      </c>
      <c r="AC81" s="815">
        <v>33</v>
      </c>
      <c r="AD81" s="815" t="s">
        <v>227</v>
      </c>
      <c r="AE81" s="982">
        <f t="shared" si="85"/>
        <v>71</v>
      </c>
      <c r="AF81" s="983">
        <v>28</v>
      </c>
      <c r="AG81" s="815">
        <v>18</v>
      </c>
      <c r="AH81" s="815" t="s">
        <v>227</v>
      </c>
      <c r="AI81" s="984">
        <f t="shared" si="86"/>
        <v>46</v>
      </c>
      <c r="AJ81" s="983">
        <v>27</v>
      </c>
      <c r="AK81" s="815">
        <v>36</v>
      </c>
      <c r="AL81" s="815"/>
      <c r="AM81" s="984">
        <f t="shared" si="87"/>
        <v>63</v>
      </c>
      <c r="AN81" s="983">
        <v>31</v>
      </c>
      <c r="AO81" s="815">
        <v>36</v>
      </c>
      <c r="AP81" s="815" t="s">
        <v>227</v>
      </c>
      <c r="AQ81" s="984">
        <f t="shared" si="88"/>
        <v>67</v>
      </c>
      <c r="AR81" s="985">
        <v>28</v>
      </c>
      <c r="AS81" s="985">
        <v>58</v>
      </c>
      <c r="AT81" s="985" t="s">
        <v>227</v>
      </c>
      <c r="AU81" s="986">
        <f t="shared" si="89"/>
        <v>86</v>
      </c>
      <c r="AV81" s="985">
        <v>86</v>
      </c>
      <c r="AW81" s="985">
        <v>40</v>
      </c>
      <c r="AX81" s="985" t="s">
        <v>227</v>
      </c>
      <c r="AY81" s="986">
        <f t="shared" si="90"/>
        <v>126</v>
      </c>
      <c r="AZ81" s="987">
        <v>37</v>
      </c>
      <c r="BA81" s="985">
        <v>39</v>
      </c>
      <c r="BB81" s="985">
        <v>2</v>
      </c>
      <c r="BC81" s="986">
        <f t="shared" si="91"/>
        <v>78</v>
      </c>
      <c r="BD81" s="987">
        <v>49</v>
      </c>
      <c r="BE81" s="985">
        <v>31</v>
      </c>
      <c r="BF81" s="985">
        <v>1</v>
      </c>
      <c r="BG81" s="986">
        <f t="shared" si="8"/>
        <v>81</v>
      </c>
      <c r="BH81" s="987">
        <v>23</v>
      </c>
      <c r="BI81" s="985">
        <v>34</v>
      </c>
      <c r="BJ81" s="985">
        <v>5</v>
      </c>
      <c r="BK81" s="986">
        <f t="shared" si="92"/>
        <v>62</v>
      </c>
      <c r="BL81" s="987">
        <v>26</v>
      </c>
      <c r="BM81" s="985">
        <v>44</v>
      </c>
      <c r="BN81" s="985">
        <v>4</v>
      </c>
      <c r="BO81" s="986">
        <f t="shared" si="93"/>
        <v>74</v>
      </c>
      <c r="BP81" s="987">
        <v>38</v>
      </c>
      <c r="BQ81" s="985">
        <v>39</v>
      </c>
      <c r="BR81" s="985">
        <v>4</v>
      </c>
      <c r="BS81" s="986">
        <f t="shared" si="94"/>
        <v>81</v>
      </c>
    </row>
    <row r="82" spans="1:71" s="980" customFormat="1" ht="15" customHeight="1" x14ac:dyDescent="0.25">
      <c r="A82" s="5073"/>
      <c r="B82" s="5211"/>
      <c r="C82" s="981" t="s">
        <v>491</v>
      </c>
      <c r="D82" s="814">
        <v>149</v>
      </c>
      <c r="E82" s="815">
        <v>141</v>
      </c>
      <c r="F82" s="815"/>
      <c r="G82" s="982">
        <v>290</v>
      </c>
      <c r="H82" s="814">
        <v>139</v>
      </c>
      <c r="I82" s="815">
        <v>173</v>
      </c>
      <c r="J82" s="815"/>
      <c r="K82" s="982">
        <v>312</v>
      </c>
      <c r="L82" s="814">
        <v>144</v>
      </c>
      <c r="M82" s="815">
        <v>181</v>
      </c>
      <c r="N82" s="815"/>
      <c r="O82" s="982">
        <v>325</v>
      </c>
      <c r="P82" s="814">
        <v>159</v>
      </c>
      <c r="Q82" s="815">
        <v>164</v>
      </c>
      <c r="R82" s="815"/>
      <c r="S82" s="984">
        <v>323</v>
      </c>
      <c r="T82" s="814">
        <v>165</v>
      </c>
      <c r="U82" s="815">
        <v>137</v>
      </c>
      <c r="V82" s="815" t="s">
        <v>227</v>
      </c>
      <c r="W82" s="982">
        <f t="shared" si="83"/>
        <v>302</v>
      </c>
      <c r="X82" s="814">
        <v>145</v>
      </c>
      <c r="Y82" s="815">
        <v>141</v>
      </c>
      <c r="Z82" s="815" t="s">
        <v>227</v>
      </c>
      <c r="AA82" s="982">
        <f t="shared" si="84"/>
        <v>286</v>
      </c>
      <c r="AB82" s="983">
        <v>120</v>
      </c>
      <c r="AC82" s="815">
        <v>157</v>
      </c>
      <c r="AD82" s="815" t="s">
        <v>227</v>
      </c>
      <c r="AE82" s="982">
        <f t="shared" si="85"/>
        <v>277</v>
      </c>
      <c r="AF82" s="983">
        <v>160</v>
      </c>
      <c r="AG82" s="815">
        <v>135</v>
      </c>
      <c r="AH82" s="815" t="s">
        <v>227</v>
      </c>
      <c r="AI82" s="984">
        <f t="shared" si="86"/>
        <v>295</v>
      </c>
      <c r="AJ82" s="983">
        <v>140</v>
      </c>
      <c r="AK82" s="815">
        <v>147</v>
      </c>
      <c r="AL82" s="815"/>
      <c r="AM82" s="984">
        <f t="shared" si="87"/>
        <v>287</v>
      </c>
      <c r="AN82" s="983">
        <v>185</v>
      </c>
      <c r="AO82" s="815">
        <v>180</v>
      </c>
      <c r="AP82" s="815" t="s">
        <v>227</v>
      </c>
      <c r="AQ82" s="984">
        <f t="shared" si="88"/>
        <v>365</v>
      </c>
      <c r="AR82" s="985">
        <v>184</v>
      </c>
      <c r="AS82" s="985">
        <v>200</v>
      </c>
      <c r="AT82" s="985" t="s">
        <v>227</v>
      </c>
      <c r="AU82" s="986">
        <f t="shared" si="89"/>
        <v>384</v>
      </c>
      <c r="AV82" s="985">
        <v>137</v>
      </c>
      <c r="AW82" s="985">
        <v>151</v>
      </c>
      <c r="AX82" s="985" t="s">
        <v>227</v>
      </c>
      <c r="AY82" s="986">
        <f t="shared" si="90"/>
        <v>288</v>
      </c>
      <c r="AZ82" s="987">
        <v>139</v>
      </c>
      <c r="BA82" s="985">
        <v>135</v>
      </c>
      <c r="BB82" s="985">
        <v>0</v>
      </c>
      <c r="BC82" s="986">
        <f t="shared" si="91"/>
        <v>274</v>
      </c>
      <c r="BD82" s="987">
        <v>109</v>
      </c>
      <c r="BE82" s="985">
        <v>151</v>
      </c>
      <c r="BF82" s="985">
        <v>0</v>
      </c>
      <c r="BG82" s="986">
        <f t="shared" si="8"/>
        <v>260</v>
      </c>
      <c r="BH82" s="987">
        <v>148</v>
      </c>
      <c r="BI82" s="985">
        <v>185</v>
      </c>
      <c r="BJ82" s="985">
        <v>0</v>
      </c>
      <c r="BK82" s="986">
        <f t="shared" si="92"/>
        <v>333</v>
      </c>
      <c r="BL82" s="987">
        <v>137</v>
      </c>
      <c r="BM82" s="985">
        <v>158</v>
      </c>
      <c r="BN82" s="985"/>
      <c r="BO82" s="986">
        <f t="shared" si="93"/>
        <v>295</v>
      </c>
      <c r="BP82" s="987">
        <v>153</v>
      </c>
      <c r="BQ82" s="985">
        <v>132</v>
      </c>
      <c r="BR82" s="985">
        <v>0</v>
      </c>
      <c r="BS82" s="986">
        <f t="shared" si="94"/>
        <v>285</v>
      </c>
    </row>
    <row r="83" spans="1:71" s="980" customFormat="1" ht="15" customHeight="1" x14ac:dyDescent="0.25">
      <c r="A83" s="5073"/>
      <c r="B83" s="5211"/>
      <c r="C83" s="981" t="s">
        <v>465</v>
      </c>
      <c r="D83" s="814">
        <v>40</v>
      </c>
      <c r="E83" s="815">
        <v>50</v>
      </c>
      <c r="F83" s="815"/>
      <c r="G83" s="982">
        <v>90</v>
      </c>
      <c r="H83" s="814">
        <v>44</v>
      </c>
      <c r="I83" s="815">
        <v>41</v>
      </c>
      <c r="J83" s="815"/>
      <c r="K83" s="982">
        <v>85</v>
      </c>
      <c r="L83" s="814">
        <v>44</v>
      </c>
      <c r="M83" s="815">
        <v>57</v>
      </c>
      <c r="N83" s="815"/>
      <c r="O83" s="982">
        <v>101</v>
      </c>
      <c r="P83" s="814">
        <v>66</v>
      </c>
      <c r="Q83" s="815">
        <v>87</v>
      </c>
      <c r="R83" s="815"/>
      <c r="S83" s="984">
        <v>153</v>
      </c>
      <c r="T83" s="814">
        <v>48</v>
      </c>
      <c r="U83" s="815">
        <v>66</v>
      </c>
      <c r="V83" s="815" t="s">
        <v>227</v>
      </c>
      <c r="W83" s="982">
        <f t="shared" si="83"/>
        <v>114</v>
      </c>
      <c r="X83" s="814">
        <v>47</v>
      </c>
      <c r="Y83" s="815">
        <v>54</v>
      </c>
      <c r="Z83" s="815" t="s">
        <v>227</v>
      </c>
      <c r="AA83" s="982">
        <f t="shared" si="84"/>
        <v>101</v>
      </c>
      <c r="AB83" s="983">
        <v>55</v>
      </c>
      <c r="AC83" s="815">
        <v>60</v>
      </c>
      <c r="AD83" s="815" t="s">
        <v>227</v>
      </c>
      <c r="AE83" s="982">
        <f t="shared" si="85"/>
        <v>115</v>
      </c>
      <c r="AF83" s="983">
        <v>78</v>
      </c>
      <c r="AG83" s="815">
        <v>65</v>
      </c>
      <c r="AH83" s="815" t="s">
        <v>227</v>
      </c>
      <c r="AI83" s="984">
        <f t="shared" si="86"/>
        <v>143</v>
      </c>
      <c r="AJ83" s="983">
        <v>31</v>
      </c>
      <c r="AK83" s="815">
        <v>71</v>
      </c>
      <c r="AL83" s="815"/>
      <c r="AM83" s="984">
        <f t="shared" si="87"/>
        <v>102</v>
      </c>
      <c r="AN83" s="983">
        <v>48</v>
      </c>
      <c r="AO83" s="815">
        <v>99</v>
      </c>
      <c r="AP83" s="815" t="s">
        <v>227</v>
      </c>
      <c r="AQ83" s="984">
        <f t="shared" si="88"/>
        <v>147</v>
      </c>
      <c r="AR83" s="985">
        <v>51</v>
      </c>
      <c r="AS83" s="985">
        <v>83</v>
      </c>
      <c r="AT83" s="985" t="s">
        <v>227</v>
      </c>
      <c r="AU83" s="986">
        <f t="shared" si="89"/>
        <v>134</v>
      </c>
      <c r="AV83" s="985">
        <v>46</v>
      </c>
      <c r="AW83" s="985">
        <v>73</v>
      </c>
      <c r="AX83" s="985" t="s">
        <v>227</v>
      </c>
      <c r="AY83" s="986">
        <f t="shared" si="90"/>
        <v>119</v>
      </c>
      <c r="AZ83" s="987">
        <v>48</v>
      </c>
      <c r="BA83" s="985">
        <v>67</v>
      </c>
      <c r="BB83" s="985">
        <v>1</v>
      </c>
      <c r="BC83" s="986">
        <f t="shared" si="91"/>
        <v>116</v>
      </c>
      <c r="BD83" s="987">
        <v>48</v>
      </c>
      <c r="BE83" s="985">
        <v>59</v>
      </c>
      <c r="BF83" s="985">
        <v>0</v>
      </c>
      <c r="BG83" s="986">
        <f t="shared" si="8"/>
        <v>107</v>
      </c>
      <c r="BH83" s="987">
        <v>71</v>
      </c>
      <c r="BI83" s="985">
        <v>63</v>
      </c>
      <c r="BJ83" s="985">
        <v>0</v>
      </c>
      <c r="BK83" s="986">
        <f t="shared" si="92"/>
        <v>134</v>
      </c>
      <c r="BL83" s="987">
        <v>53</v>
      </c>
      <c r="BM83" s="985">
        <v>64</v>
      </c>
      <c r="BN83" s="985"/>
      <c r="BO83" s="986">
        <f t="shared" si="93"/>
        <v>117</v>
      </c>
      <c r="BP83" s="987">
        <v>57</v>
      </c>
      <c r="BQ83" s="985">
        <v>70</v>
      </c>
      <c r="BR83" s="985">
        <v>0</v>
      </c>
      <c r="BS83" s="986">
        <f t="shared" si="94"/>
        <v>127</v>
      </c>
    </row>
    <row r="84" spans="1:71" s="980" customFormat="1" ht="15" customHeight="1" x14ac:dyDescent="0.25">
      <c r="A84" s="5073"/>
      <c r="B84" s="5211"/>
      <c r="C84" s="988" t="s">
        <v>492</v>
      </c>
      <c r="D84" s="823">
        <v>0</v>
      </c>
      <c r="E84" s="824">
        <v>0</v>
      </c>
      <c r="F84" s="824"/>
      <c r="G84" s="989">
        <v>0</v>
      </c>
      <c r="H84" s="823">
        <v>0</v>
      </c>
      <c r="I84" s="824">
        <v>0</v>
      </c>
      <c r="J84" s="824"/>
      <c r="K84" s="989">
        <v>0</v>
      </c>
      <c r="L84" s="823">
        <v>0</v>
      </c>
      <c r="M84" s="824">
        <v>13</v>
      </c>
      <c r="N84" s="824"/>
      <c r="O84" s="989">
        <v>13</v>
      </c>
      <c r="P84" s="823">
        <v>3</v>
      </c>
      <c r="Q84" s="824">
        <v>16</v>
      </c>
      <c r="R84" s="824"/>
      <c r="S84" s="991">
        <v>19</v>
      </c>
      <c r="T84" s="823">
        <v>21</v>
      </c>
      <c r="U84" s="824">
        <v>18</v>
      </c>
      <c r="V84" s="824" t="s">
        <v>227</v>
      </c>
      <c r="W84" s="989">
        <f t="shared" si="83"/>
        <v>39</v>
      </c>
      <c r="X84" s="823">
        <v>9</v>
      </c>
      <c r="Y84" s="824">
        <v>14</v>
      </c>
      <c r="Z84" s="824" t="s">
        <v>227</v>
      </c>
      <c r="AA84" s="989">
        <f t="shared" si="84"/>
        <v>23</v>
      </c>
      <c r="AB84" s="990">
        <v>12</v>
      </c>
      <c r="AC84" s="824">
        <v>25</v>
      </c>
      <c r="AD84" s="824" t="s">
        <v>227</v>
      </c>
      <c r="AE84" s="989">
        <f t="shared" si="85"/>
        <v>37</v>
      </c>
      <c r="AF84" s="990">
        <v>23</v>
      </c>
      <c r="AG84" s="824">
        <v>4</v>
      </c>
      <c r="AH84" s="824" t="s">
        <v>227</v>
      </c>
      <c r="AI84" s="991">
        <f t="shared" si="86"/>
        <v>27</v>
      </c>
      <c r="AJ84" s="990">
        <v>13</v>
      </c>
      <c r="AK84" s="824">
        <v>26</v>
      </c>
      <c r="AL84" s="873"/>
      <c r="AM84" s="991">
        <f t="shared" si="87"/>
        <v>39</v>
      </c>
      <c r="AN84" s="990">
        <v>19</v>
      </c>
      <c r="AO84" s="824">
        <v>20</v>
      </c>
      <c r="AP84" s="873" t="s">
        <v>227</v>
      </c>
      <c r="AQ84" s="991">
        <f t="shared" si="88"/>
        <v>39</v>
      </c>
      <c r="AR84" s="992">
        <v>21</v>
      </c>
      <c r="AS84" s="992">
        <v>24</v>
      </c>
      <c r="AT84" s="992">
        <v>1</v>
      </c>
      <c r="AU84" s="993">
        <f t="shared" si="89"/>
        <v>46</v>
      </c>
      <c r="AV84" s="992">
        <v>17</v>
      </c>
      <c r="AW84" s="992">
        <v>29</v>
      </c>
      <c r="AX84" s="992" t="s">
        <v>227</v>
      </c>
      <c r="AY84" s="993">
        <f t="shared" si="90"/>
        <v>46</v>
      </c>
      <c r="AZ84" s="994">
        <v>25</v>
      </c>
      <c r="BA84" s="992">
        <v>28</v>
      </c>
      <c r="BB84" s="992"/>
      <c r="BC84" s="993">
        <f t="shared" si="91"/>
        <v>53</v>
      </c>
      <c r="BD84" s="994">
        <v>19</v>
      </c>
      <c r="BE84" s="992">
        <v>27</v>
      </c>
      <c r="BF84" s="992">
        <v>0</v>
      </c>
      <c r="BG84" s="993">
        <f t="shared" si="8"/>
        <v>46</v>
      </c>
      <c r="BH84" s="994">
        <v>26</v>
      </c>
      <c r="BI84" s="992">
        <v>29</v>
      </c>
      <c r="BJ84" s="992">
        <v>0</v>
      </c>
      <c r="BK84" s="993">
        <f t="shared" si="92"/>
        <v>55</v>
      </c>
      <c r="BL84" s="994">
        <v>25</v>
      </c>
      <c r="BM84" s="992">
        <v>17</v>
      </c>
      <c r="BN84" s="992"/>
      <c r="BO84" s="993">
        <f t="shared" si="93"/>
        <v>42</v>
      </c>
      <c r="BP84" s="994">
        <v>17</v>
      </c>
      <c r="BQ84" s="992">
        <v>14</v>
      </c>
      <c r="BR84" s="992">
        <v>2</v>
      </c>
      <c r="BS84" s="993">
        <f t="shared" si="94"/>
        <v>33</v>
      </c>
    </row>
    <row r="85" spans="1:71" s="980" customFormat="1" ht="15" customHeight="1" x14ac:dyDescent="0.25">
      <c r="A85" s="5073"/>
      <c r="B85" s="5212"/>
      <c r="C85" s="995" t="s">
        <v>160</v>
      </c>
      <c r="D85" s="996">
        <v>375</v>
      </c>
      <c r="E85" s="997">
        <v>396</v>
      </c>
      <c r="F85" s="997"/>
      <c r="G85" s="998">
        <v>771</v>
      </c>
      <c r="H85" s="996">
        <v>343</v>
      </c>
      <c r="I85" s="997">
        <v>427</v>
      </c>
      <c r="J85" s="997"/>
      <c r="K85" s="998">
        <v>770</v>
      </c>
      <c r="L85" s="996">
        <v>331</v>
      </c>
      <c r="M85" s="997">
        <v>432</v>
      </c>
      <c r="N85" s="997"/>
      <c r="O85" s="998">
        <v>763</v>
      </c>
      <c r="P85" s="996">
        <v>403</v>
      </c>
      <c r="Q85" s="997">
        <v>461</v>
      </c>
      <c r="R85" s="997"/>
      <c r="S85" s="998">
        <v>864</v>
      </c>
      <c r="T85" s="996">
        <f t="shared" ref="T85:BB85" si="95">SUM(T79:T84)</f>
        <v>390</v>
      </c>
      <c r="U85" s="997">
        <f t="shared" si="95"/>
        <v>428</v>
      </c>
      <c r="V85" s="997">
        <f t="shared" si="95"/>
        <v>0</v>
      </c>
      <c r="W85" s="998">
        <f t="shared" si="95"/>
        <v>818</v>
      </c>
      <c r="X85" s="996">
        <f t="shared" si="95"/>
        <v>337</v>
      </c>
      <c r="Y85" s="997">
        <f t="shared" si="95"/>
        <v>380</v>
      </c>
      <c r="Z85" s="997">
        <f t="shared" si="95"/>
        <v>0</v>
      </c>
      <c r="AA85" s="998">
        <f t="shared" si="95"/>
        <v>717</v>
      </c>
      <c r="AB85" s="996">
        <f t="shared" si="95"/>
        <v>321</v>
      </c>
      <c r="AC85" s="997">
        <f t="shared" si="95"/>
        <v>411</v>
      </c>
      <c r="AD85" s="997">
        <f t="shared" si="95"/>
        <v>0</v>
      </c>
      <c r="AE85" s="998">
        <f t="shared" si="95"/>
        <v>732</v>
      </c>
      <c r="AF85" s="996">
        <f t="shared" si="95"/>
        <v>389</v>
      </c>
      <c r="AG85" s="997">
        <f t="shared" si="95"/>
        <v>372</v>
      </c>
      <c r="AH85" s="997">
        <f t="shared" si="95"/>
        <v>0</v>
      </c>
      <c r="AI85" s="998">
        <f t="shared" si="95"/>
        <v>761</v>
      </c>
      <c r="AJ85" s="996">
        <f t="shared" si="95"/>
        <v>341</v>
      </c>
      <c r="AK85" s="997">
        <f t="shared" si="95"/>
        <v>455</v>
      </c>
      <c r="AL85" s="997">
        <f t="shared" si="95"/>
        <v>0</v>
      </c>
      <c r="AM85" s="998">
        <f t="shared" si="95"/>
        <v>796</v>
      </c>
      <c r="AN85" s="996">
        <f t="shared" si="95"/>
        <v>485</v>
      </c>
      <c r="AO85" s="997">
        <f t="shared" si="95"/>
        <v>508</v>
      </c>
      <c r="AP85" s="997">
        <f t="shared" si="95"/>
        <v>0</v>
      </c>
      <c r="AQ85" s="998">
        <f t="shared" si="95"/>
        <v>993</v>
      </c>
      <c r="AR85" s="996">
        <f t="shared" si="95"/>
        <v>406</v>
      </c>
      <c r="AS85" s="997">
        <f t="shared" si="95"/>
        <v>520</v>
      </c>
      <c r="AT85" s="997">
        <f t="shared" si="95"/>
        <v>1</v>
      </c>
      <c r="AU85" s="998">
        <f t="shared" si="89"/>
        <v>927</v>
      </c>
      <c r="AV85" s="996">
        <f t="shared" ref="AV85:AX85" si="96">SUM(AV79:AV84)</f>
        <v>431</v>
      </c>
      <c r="AW85" s="997">
        <f t="shared" si="96"/>
        <v>454</v>
      </c>
      <c r="AX85" s="997">
        <f t="shared" si="96"/>
        <v>0</v>
      </c>
      <c r="AY85" s="998">
        <f t="shared" si="90"/>
        <v>885</v>
      </c>
      <c r="AZ85" s="996">
        <f t="shared" si="95"/>
        <v>357</v>
      </c>
      <c r="BA85" s="997">
        <f t="shared" si="95"/>
        <v>456</v>
      </c>
      <c r="BB85" s="997">
        <f t="shared" si="95"/>
        <v>3</v>
      </c>
      <c r="BC85" s="998">
        <f t="shared" ref="BC85:BK85" si="97">SUM(BC79:BC84)</f>
        <v>816</v>
      </c>
      <c r="BD85" s="996">
        <f t="shared" si="97"/>
        <v>351</v>
      </c>
      <c r="BE85" s="997">
        <f t="shared" si="97"/>
        <v>439</v>
      </c>
      <c r="BF85" s="997">
        <f t="shared" si="97"/>
        <v>4</v>
      </c>
      <c r="BG85" s="998">
        <f t="shared" si="97"/>
        <v>794</v>
      </c>
      <c r="BH85" s="996">
        <f t="shared" si="97"/>
        <v>395</v>
      </c>
      <c r="BI85" s="997">
        <f t="shared" si="97"/>
        <v>506</v>
      </c>
      <c r="BJ85" s="997">
        <f t="shared" si="97"/>
        <v>9</v>
      </c>
      <c r="BK85" s="998">
        <f t="shared" si="97"/>
        <v>910</v>
      </c>
      <c r="BL85" s="996">
        <f t="shared" ref="BL85:BS85" si="98">SUM(BL79:BL84)</f>
        <v>366</v>
      </c>
      <c r="BM85" s="997">
        <f t="shared" si="98"/>
        <v>438</v>
      </c>
      <c r="BN85" s="997">
        <f t="shared" si="98"/>
        <v>4</v>
      </c>
      <c r="BO85" s="998">
        <f t="shared" si="98"/>
        <v>808</v>
      </c>
      <c r="BP85" s="996">
        <f t="shared" si="98"/>
        <v>362</v>
      </c>
      <c r="BQ85" s="997">
        <f t="shared" si="98"/>
        <v>440</v>
      </c>
      <c r="BR85" s="997">
        <f t="shared" si="98"/>
        <v>7</v>
      </c>
      <c r="BS85" s="998">
        <f t="shared" si="98"/>
        <v>809</v>
      </c>
    </row>
    <row r="86" spans="1:71" s="980" customFormat="1" ht="15" customHeight="1" x14ac:dyDescent="0.25">
      <c r="A86" s="5073"/>
      <c r="B86" s="5211" t="s">
        <v>11</v>
      </c>
      <c r="C86" s="973" t="s">
        <v>484</v>
      </c>
      <c r="D86" s="808">
        <v>25</v>
      </c>
      <c r="E86" s="809">
        <v>62</v>
      </c>
      <c r="F86" s="809">
        <v>35</v>
      </c>
      <c r="G86" s="974">
        <v>122</v>
      </c>
      <c r="H86" s="808">
        <v>52</v>
      </c>
      <c r="I86" s="809">
        <v>77</v>
      </c>
      <c r="J86" s="809">
        <v>33</v>
      </c>
      <c r="K86" s="974">
        <v>162</v>
      </c>
      <c r="L86" s="808">
        <v>43</v>
      </c>
      <c r="M86" s="809">
        <v>50</v>
      </c>
      <c r="N86" s="809">
        <v>61</v>
      </c>
      <c r="O86" s="974">
        <v>154</v>
      </c>
      <c r="P86" s="808">
        <v>37</v>
      </c>
      <c r="Q86" s="809">
        <v>65</v>
      </c>
      <c r="R86" s="809">
        <v>37</v>
      </c>
      <c r="S86" s="976">
        <v>139</v>
      </c>
      <c r="T86" s="808">
        <v>36</v>
      </c>
      <c r="U86" s="809">
        <v>42</v>
      </c>
      <c r="V86" s="809">
        <v>24</v>
      </c>
      <c r="W86" s="974">
        <f t="shared" si="0"/>
        <v>102</v>
      </c>
      <c r="X86" s="808">
        <v>33</v>
      </c>
      <c r="Y86" s="809">
        <v>45</v>
      </c>
      <c r="Z86" s="809">
        <v>27</v>
      </c>
      <c r="AA86" s="974">
        <f t="shared" si="1"/>
        <v>105</v>
      </c>
      <c r="AB86" s="975">
        <v>28</v>
      </c>
      <c r="AC86" s="809">
        <v>50</v>
      </c>
      <c r="AD86" s="809">
        <v>25</v>
      </c>
      <c r="AE86" s="974">
        <f t="shared" si="2"/>
        <v>103</v>
      </c>
      <c r="AF86" s="975">
        <v>36</v>
      </c>
      <c r="AG86" s="809">
        <v>41</v>
      </c>
      <c r="AH86" s="809">
        <v>31</v>
      </c>
      <c r="AI86" s="976">
        <f t="shared" si="3"/>
        <v>108</v>
      </c>
      <c r="AJ86" s="975">
        <v>39</v>
      </c>
      <c r="AK86" s="809">
        <v>51</v>
      </c>
      <c r="AL86" s="846">
        <v>18</v>
      </c>
      <c r="AM86" s="976">
        <f t="shared" si="4"/>
        <v>108</v>
      </c>
      <c r="AN86" s="975">
        <v>36</v>
      </c>
      <c r="AO86" s="809">
        <v>39</v>
      </c>
      <c r="AP86" s="846">
        <v>47</v>
      </c>
      <c r="AQ86" s="976">
        <f t="shared" si="5"/>
        <v>122</v>
      </c>
      <c r="AR86" s="977">
        <v>18</v>
      </c>
      <c r="AS86" s="977">
        <v>95</v>
      </c>
      <c r="AT86" s="977">
        <v>47</v>
      </c>
      <c r="AU86" s="978">
        <f t="shared" si="89"/>
        <v>160</v>
      </c>
      <c r="AV86" s="977">
        <v>42</v>
      </c>
      <c r="AW86" s="977">
        <v>70</v>
      </c>
      <c r="AX86" s="977">
        <v>33</v>
      </c>
      <c r="AY86" s="978">
        <f t="shared" si="90"/>
        <v>145</v>
      </c>
      <c r="AZ86" s="979">
        <v>48</v>
      </c>
      <c r="BA86" s="977">
        <v>70</v>
      </c>
      <c r="BB86" s="977">
        <v>31</v>
      </c>
      <c r="BC86" s="978">
        <f>SUM(AZ86:BB86)</f>
        <v>149</v>
      </c>
      <c r="BD86" s="979">
        <v>53</v>
      </c>
      <c r="BE86" s="977">
        <v>64</v>
      </c>
      <c r="BF86" s="977">
        <v>34</v>
      </c>
      <c r="BG86" s="978">
        <f t="shared" si="8"/>
        <v>151</v>
      </c>
      <c r="BH86" s="979">
        <v>57</v>
      </c>
      <c r="BI86" s="977">
        <v>55</v>
      </c>
      <c r="BJ86" s="977">
        <v>33</v>
      </c>
      <c r="BK86" s="978">
        <f t="shared" ref="BK86:BK93" si="99">SUM(BH86:BJ86)</f>
        <v>145</v>
      </c>
      <c r="BL86" s="979">
        <v>45</v>
      </c>
      <c r="BM86" s="977">
        <v>66</v>
      </c>
      <c r="BN86" s="977">
        <v>49</v>
      </c>
      <c r="BO86" s="978">
        <f t="shared" ref="BO86:BO93" si="100">SUM(BL86:BN86)</f>
        <v>160</v>
      </c>
      <c r="BP86" s="979">
        <v>42</v>
      </c>
      <c r="BQ86" s="977">
        <v>41</v>
      </c>
      <c r="BR86" s="977">
        <v>28</v>
      </c>
      <c r="BS86" s="978">
        <f t="shared" ref="BS86:BS93" si="101">SUM(BP86:BR86)</f>
        <v>111</v>
      </c>
    </row>
    <row r="87" spans="1:71" s="980" customFormat="1" ht="15" customHeight="1" x14ac:dyDescent="0.25">
      <c r="A87" s="5073"/>
      <c r="B87" s="5211"/>
      <c r="C87" s="981" t="s">
        <v>493</v>
      </c>
      <c r="D87" s="814">
        <v>18</v>
      </c>
      <c r="E87" s="815">
        <v>35</v>
      </c>
      <c r="F87" s="815">
        <v>0</v>
      </c>
      <c r="G87" s="982">
        <v>53</v>
      </c>
      <c r="H87" s="814">
        <v>31</v>
      </c>
      <c r="I87" s="815">
        <v>39</v>
      </c>
      <c r="J87" s="815">
        <v>44</v>
      </c>
      <c r="K87" s="982">
        <v>114</v>
      </c>
      <c r="L87" s="814">
        <v>26</v>
      </c>
      <c r="M87" s="815">
        <v>35</v>
      </c>
      <c r="N87" s="815">
        <v>16</v>
      </c>
      <c r="O87" s="982">
        <v>77</v>
      </c>
      <c r="P87" s="814">
        <v>35</v>
      </c>
      <c r="Q87" s="815">
        <v>67</v>
      </c>
      <c r="R87" s="815">
        <v>16</v>
      </c>
      <c r="S87" s="984">
        <v>118</v>
      </c>
      <c r="T87" s="814">
        <v>26</v>
      </c>
      <c r="U87" s="815">
        <v>39</v>
      </c>
      <c r="V87" s="815">
        <v>16</v>
      </c>
      <c r="W87" s="982">
        <f t="shared" si="0"/>
        <v>81</v>
      </c>
      <c r="X87" s="814">
        <v>23</v>
      </c>
      <c r="Y87" s="815">
        <v>28</v>
      </c>
      <c r="Z87" s="815">
        <v>15</v>
      </c>
      <c r="AA87" s="982">
        <f t="shared" si="1"/>
        <v>66</v>
      </c>
      <c r="AB87" s="983">
        <v>16</v>
      </c>
      <c r="AC87" s="815">
        <v>22</v>
      </c>
      <c r="AD87" s="815">
        <v>2</v>
      </c>
      <c r="AE87" s="982">
        <f t="shared" si="2"/>
        <v>40</v>
      </c>
      <c r="AF87" s="983">
        <v>32</v>
      </c>
      <c r="AG87" s="815">
        <v>32</v>
      </c>
      <c r="AH87" s="815">
        <v>7</v>
      </c>
      <c r="AI87" s="984">
        <f t="shared" si="3"/>
        <v>71</v>
      </c>
      <c r="AJ87" s="983">
        <v>22</v>
      </c>
      <c r="AK87" s="815">
        <v>39</v>
      </c>
      <c r="AL87" s="848">
        <v>22</v>
      </c>
      <c r="AM87" s="984">
        <f t="shared" si="4"/>
        <v>83</v>
      </c>
      <c r="AN87" s="983">
        <v>44</v>
      </c>
      <c r="AO87" s="815">
        <v>52</v>
      </c>
      <c r="AP87" s="848">
        <v>26</v>
      </c>
      <c r="AQ87" s="984">
        <f t="shared" si="5"/>
        <v>122</v>
      </c>
      <c r="AR87" s="985">
        <v>41</v>
      </c>
      <c r="AS87" s="985">
        <v>44</v>
      </c>
      <c r="AT87" s="985">
        <v>7</v>
      </c>
      <c r="AU87" s="986">
        <f t="shared" si="89"/>
        <v>92</v>
      </c>
      <c r="AV87" s="985">
        <v>44</v>
      </c>
      <c r="AW87" s="985">
        <v>49</v>
      </c>
      <c r="AX87" s="985">
        <v>20</v>
      </c>
      <c r="AY87" s="986">
        <f t="shared" si="90"/>
        <v>113</v>
      </c>
      <c r="AZ87" s="987">
        <v>47</v>
      </c>
      <c r="BA87" s="985">
        <v>46</v>
      </c>
      <c r="BB87" s="985">
        <v>19</v>
      </c>
      <c r="BC87" s="986">
        <f>SUM(AZ87:BB87)</f>
        <v>112</v>
      </c>
      <c r="BD87" s="987">
        <v>52</v>
      </c>
      <c r="BE87" s="985">
        <v>63</v>
      </c>
      <c r="BF87" s="985">
        <v>25</v>
      </c>
      <c r="BG87" s="986">
        <f t="shared" si="8"/>
        <v>140</v>
      </c>
      <c r="BH87" s="987">
        <v>41</v>
      </c>
      <c r="BI87" s="985">
        <v>62</v>
      </c>
      <c r="BJ87" s="985">
        <v>23</v>
      </c>
      <c r="BK87" s="986">
        <f t="shared" si="99"/>
        <v>126</v>
      </c>
      <c r="BL87" s="987">
        <v>19</v>
      </c>
      <c r="BM87" s="985">
        <v>74</v>
      </c>
      <c r="BN87" s="985">
        <v>19</v>
      </c>
      <c r="BO87" s="986">
        <f t="shared" si="100"/>
        <v>112</v>
      </c>
      <c r="BP87" s="987">
        <v>29</v>
      </c>
      <c r="BQ87" s="985">
        <v>53</v>
      </c>
      <c r="BR87" s="985">
        <v>27</v>
      </c>
      <c r="BS87" s="986">
        <f t="shared" si="101"/>
        <v>109</v>
      </c>
    </row>
    <row r="88" spans="1:71" s="980" customFormat="1" ht="15" customHeight="1" x14ac:dyDescent="0.25">
      <c r="A88" s="5073"/>
      <c r="B88" s="5211"/>
      <c r="C88" s="981" t="s">
        <v>494</v>
      </c>
      <c r="D88" s="814">
        <v>87</v>
      </c>
      <c r="E88" s="815">
        <v>95</v>
      </c>
      <c r="F88" s="815">
        <v>54</v>
      </c>
      <c r="G88" s="982">
        <v>236</v>
      </c>
      <c r="H88" s="814">
        <v>84</v>
      </c>
      <c r="I88" s="815">
        <v>96</v>
      </c>
      <c r="J88" s="815">
        <v>63</v>
      </c>
      <c r="K88" s="982">
        <v>243</v>
      </c>
      <c r="L88" s="814">
        <v>77</v>
      </c>
      <c r="M88" s="815">
        <v>108</v>
      </c>
      <c r="N88" s="815">
        <v>52</v>
      </c>
      <c r="O88" s="982">
        <v>237</v>
      </c>
      <c r="P88" s="814">
        <v>72</v>
      </c>
      <c r="Q88" s="815">
        <v>102</v>
      </c>
      <c r="R88" s="815">
        <v>62</v>
      </c>
      <c r="S88" s="984">
        <v>236</v>
      </c>
      <c r="T88" s="814">
        <v>78</v>
      </c>
      <c r="U88" s="815">
        <v>75</v>
      </c>
      <c r="V88" s="815">
        <v>59</v>
      </c>
      <c r="W88" s="982">
        <f t="shared" si="0"/>
        <v>212</v>
      </c>
      <c r="X88" s="814">
        <v>39</v>
      </c>
      <c r="Y88" s="815">
        <v>68</v>
      </c>
      <c r="Z88" s="815">
        <v>32</v>
      </c>
      <c r="AA88" s="982">
        <f t="shared" si="1"/>
        <v>139</v>
      </c>
      <c r="AB88" s="983">
        <v>54</v>
      </c>
      <c r="AC88" s="815">
        <v>69</v>
      </c>
      <c r="AD88" s="815">
        <v>22</v>
      </c>
      <c r="AE88" s="982">
        <f t="shared" si="2"/>
        <v>145</v>
      </c>
      <c r="AF88" s="983">
        <v>47</v>
      </c>
      <c r="AG88" s="815">
        <v>66</v>
      </c>
      <c r="AH88" s="815">
        <v>31</v>
      </c>
      <c r="AI88" s="984">
        <f t="shared" si="3"/>
        <v>144</v>
      </c>
      <c r="AJ88" s="983">
        <v>56</v>
      </c>
      <c r="AK88" s="815">
        <v>87</v>
      </c>
      <c r="AL88" s="848">
        <v>55</v>
      </c>
      <c r="AM88" s="984">
        <f t="shared" si="4"/>
        <v>198</v>
      </c>
      <c r="AN88" s="983">
        <v>109</v>
      </c>
      <c r="AO88" s="815">
        <v>112</v>
      </c>
      <c r="AP88" s="848">
        <v>58</v>
      </c>
      <c r="AQ88" s="984">
        <f t="shared" si="5"/>
        <v>279</v>
      </c>
      <c r="AR88" s="985">
        <v>97</v>
      </c>
      <c r="AS88" s="985">
        <v>95</v>
      </c>
      <c r="AT88" s="985">
        <v>53</v>
      </c>
      <c r="AU88" s="986">
        <f t="shared" si="89"/>
        <v>245</v>
      </c>
      <c r="AV88" s="985">
        <v>65</v>
      </c>
      <c r="AW88" s="985">
        <v>84</v>
      </c>
      <c r="AX88" s="985">
        <v>42</v>
      </c>
      <c r="AY88" s="986">
        <f t="shared" si="90"/>
        <v>191</v>
      </c>
      <c r="AZ88" s="987">
        <v>59</v>
      </c>
      <c r="BA88" s="985">
        <v>75</v>
      </c>
      <c r="BB88" s="985">
        <v>19</v>
      </c>
      <c r="BC88" s="986">
        <f t="shared" ref="BC88:BC93" si="102">SUM(AZ88:BB88)</f>
        <v>153</v>
      </c>
      <c r="BD88" s="987">
        <v>60</v>
      </c>
      <c r="BE88" s="985">
        <v>71</v>
      </c>
      <c r="BF88" s="985">
        <v>32</v>
      </c>
      <c r="BG88" s="986">
        <f t="shared" si="8"/>
        <v>163</v>
      </c>
      <c r="BH88" s="987">
        <v>48</v>
      </c>
      <c r="BI88" s="985">
        <v>57</v>
      </c>
      <c r="BJ88" s="985">
        <v>28</v>
      </c>
      <c r="BK88" s="986">
        <f t="shared" si="99"/>
        <v>133</v>
      </c>
      <c r="BL88" s="987">
        <v>57</v>
      </c>
      <c r="BM88" s="985">
        <v>74</v>
      </c>
      <c r="BN88" s="985">
        <v>14</v>
      </c>
      <c r="BO88" s="986">
        <f t="shared" si="100"/>
        <v>145</v>
      </c>
      <c r="BP88" s="987">
        <v>69</v>
      </c>
      <c r="BQ88" s="985">
        <v>58</v>
      </c>
      <c r="BR88" s="985">
        <v>29</v>
      </c>
      <c r="BS88" s="986">
        <f t="shared" si="101"/>
        <v>156</v>
      </c>
    </row>
    <row r="89" spans="1:71" s="980" customFormat="1" ht="15" customHeight="1" x14ac:dyDescent="0.25">
      <c r="A89" s="5073"/>
      <c r="B89" s="5211"/>
      <c r="C89" s="981" t="s">
        <v>495</v>
      </c>
      <c r="D89" s="814">
        <v>66</v>
      </c>
      <c r="E89" s="815">
        <v>35</v>
      </c>
      <c r="F89" s="815">
        <v>72</v>
      </c>
      <c r="G89" s="982">
        <v>173</v>
      </c>
      <c r="H89" s="814">
        <v>61</v>
      </c>
      <c r="I89" s="815">
        <v>52</v>
      </c>
      <c r="J89" s="815">
        <v>54</v>
      </c>
      <c r="K89" s="982">
        <v>167</v>
      </c>
      <c r="L89" s="814">
        <v>50</v>
      </c>
      <c r="M89" s="815">
        <v>54</v>
      </c>
      <c r="N89" s="815">
        <v>61</v>
      </c>
      <c r="O89" s="982">
        <v>165</v>
      </c>
      <c r="P89" s="814">
        <v>57</v>
      </c>
      <c r="Q89" s="815">
        <v>61</v>
      </c>
      <c r="R89" s="815">
        <v>76</v>
      </c>
      <c r="S89" s="984">
        <v>194</v>
      </c>
      <c r="T89" s="814">
        <v>42</v>
      </c>
      <c r="U89" s="815">
        <v>58</v>
      </c>
      <c r="V89" s="815">
        <v>54</v>
      </c>
      <c r="W89" s="982">
        <f t="shared" si="0"/>
        <v>154</v>
      </c>
      <c r="X89" s="814">
        <v>50</v>
      </c>
      <c r="Y89" s="815">
        <v>66</v>
      </c>
      <c r="Z89" s="815">
        <v>43</v>
      </c>
      <c r="AA89" s="982">
        <f t="shared" si="1"/>
        <v>159</v>
      </c>
      <c r="AB89" s="983">
        <v>36</v>
      </c>
      <c r="AC89" s="815">
        <v>64</v>
      </c>
      <c r="AD89" s="815">
        <v>62</v>
      </c>
      <c r="AE89" s="982">
        <f t="shared" si="2"/>
        <v>162</v>
      </c>
      <c r="AF89" s="983">
        <v>36</v>
      </c>
      <c r="AG89" s="815">
        <v>61</v>
      </c>
      <c r="AH89" s="815">
        <v>73</v>
      </c>
      <c r="AI89" s="984">
        <f t="shared" si="3"/>
        <v>170</v>
      </c>
      <c r="AJ89" s="983">
        <v>44</v>
      </c>
      <c r="AK89" s="815">
        <v>71</v>
      </c>
      <c r="AL89" s="848">
        <v>67</v>
      </c>
      <c r="AM89" s="984">
        <f t="shared" si="4"/>
        <v>182</v>
      </c>
      <c r="AN89" s="983">
        <v>45</v>
      </c>
      <c r="AO89" s="815">
        <v>83</v>
      </c>
      <c r="AP89" s="848">
        <v>60</v>
      </c>
      <c r="AQ89" s="984">
        <f t="shared" si="5"/>
        <v>188</v>
      </c>
      <c r="AR89" s="985">
        <v>41</v>
      </c>
      <c r="AS89" s="985">
        <v>74</v>
      </c>
      <c r="AT89" s="985">
        <v>54</v>
      </c>
      <c r="AU89" s="986">
        <f t="shared" si="89"/>
        <v>169</v>
      </c>
      <c r="AV89" s="985">
        <v>56</v>
      </c>
      <c r="AW89" s="985">
        <v>71</v>
      </c>
      <c r="AX89" s="985">
        <v>77</v>
      </c>
      <c r="AY89" s="986">
        <f t="shared" si="90"/>
        <v>204</v>
      </c>
      <c r="AZ89" s="987">
        <v>50</v>
      </c>
      <c r="BA89" s="985">
        <v>73</v>
      </c>
      <c r="BB89" s="985">
        <v>51</v>
      </c>
      <c r="BC89" s="986">
        <f t="shared" si="102"/>
        <v>174</v>
      </c>
      <c r="BD89" s="987">
        <v>58</v>
      </c>
      <c r="BE89" s="985">
        <v>86</v>
      </c>
      <c r="BF89" s="985">
        <v>84</v>
      </c>
      <c r="BG89" s="986">
        <f t="shared" si="8"/>
        <v>228</v>
      </c>
      <c r="BH89" s="987">
        <v>56</v>
      </c>
      <c r="BI89" s="985">
        <v>70</v>
      </c>
      <c r="BJ89" s="985">
        <v>52</v>
      </c>
      <c r="BK89" s="986">
        <f t="shared" si="99"/>
        <v>178</v>
      </c>
      <c r="BL89" s="987">
        <v>47</v>
      </c>
      <c r="BM89" s="985">
        <v>54</v>
      </c>
      <c r="BN89" s="985">
        <v>57</v>
      </c>
      <c r="BO89" s="986">
        <f t="shared" si="100"/>
        <v>158</v>
      </c>
      <c r="BP89" s="987">
        <v>43</v>
      </c>
      <c r="BQ89" s="985">
        <v>65</v>
      </c>
      <c r="BR89" s="985">
        <v>64</v>
      </c>
      <c r="BS89" s="986">
        <f t="shared" si="101"/>
        <v>172</v>
      </c>
    </row>
    <row r="90" spans="1:71" s="980" customFormat="1" ht="15" customHeight="1" x14ac:dyDescent="0.25">
      <c r="A90" s="5073"/>
      <c r="B90" s="5211"/>
      <c r="C90" s="981" t="s">
        <v>496</v>
      </c>
      <c r="D90" s="814">
        <v>46</v>
      </c>
      <c r="E90" s="815">
        <v>63</v>
      </c>
      <c r="F90" s="815">
        <v>30</v>
      </c>
      <c r="G90" s="982">
        <v>139</v>
      </c>
      <c r="H90" s="814">
        <v>48</v>
      </c>
      <c r="I90" s="815">
        <v>58</v>
      </c>
      <c r="J90" s="815">
        <v>35</v>
      </c>
      <c r="K90" s="982">
        <v>141</v>
      </c>
      <c r="L90" s="814">
        <v>52</v>
      </c>
      <c r="M90" s="815">
        <v>55</v>
      </c>
      <c r="N90" s="815">
        <v>60</v>
      </c>
      <c r="O90" s="982">
        <v>167</v>
      </c>
      <c r="P90" s="814">
        <v>49</v>
      </c>
      <c r="Q90" s="815">
        <v>82</v>
      </c>
      <c r="R90" s="815">
        <v>64</v>
      </c>
      <c r="S90" s="984">
        <v>195</v>
      </c>
      <c r="T90" s="814">
        <v>49</v>
      </c>
      <c r="U90" s="815">
        <v>62</v>
      </c>
      <c r="V90" s="815">
        <v>46</v>
      </c>
      <c r="W90" s="982">
        <f t="shared" si="0"/>
        <v>157</v>
      </c>
      <c r="X90" s="814">
        <v>33</v>
      </c>
      <c r="Y90" s="815">
        <v>60</v>
      </c>
      <c r="Z90" s="815">
        <v>25</v>
      </c>
      <c r="AA90" s="982">
        <f t="shared" si="1"/>
        <v>118</v>
      </c>
      <c r="AB90" s="983">
        <v>49</v>
      </c>
      <c r="AC90" s="815">
        <v>73</v>
      </c>
      <c r="AD90" s="815">
        <v>56</v>
      </c>
      <c r="AE90" s="982">
        <f t="shared" si="2"/>
        <v>178</v>
      </c>
      <c r="AF90" s="983">
        <v>38</v>
      </c>
      <c r="AG90" s="815">
        <v>77</v>
      </c>
      <c r="AH90" s="815">
        <v>55</v>
      </c>
      <c r="AI90" s="984">
        <f t="shared" si="3"/>
        <v>170</v>
      </c>
      <c r="AJ90" s="983">
        <v>66</v>
      </c>
      <c r="AK90" s="815">
        <v>66</v>
      </c>
      <c r="AL90" s="848">
        <v>63</v>
      </c>
      <c r="AM90" s="984">
        <f t="shared" si="4"/>
        <v>195</v>
      </c>
      <c r="AN90" s="983">
        <v>65</v>
      </c>
      <c r="AO90" s="815">
        <v>73</v>
      </c>
      <c r="AP90" s="848">
        <v>71</v>
      </c>
      <c r="AQ90" s="984">
        <f t="shared" si="5"/>
        <v>209</v>
      </c>
      <c r="AR90" s="985">
        <v>59</v>
      </c>
      <c r="AS90" s="985">
        <v>78</v>
      </c>
      <c r="AT90" s="985">
        <v>67</v>
      </c>
      <c r="AU90" s="986">
        <f t="shared" si="89"/>
        <v>204</v>
      </c>
      <c r="AV90" s="985">
        <v>54</v>
      </c>
      <c r="AW90" s="985">
        <v>71</v>
      </c>
      <c r="AX90" s="985">
        <v>68</v>
      </c>
      <c r="AY90" s="986">
        <f t="shared" si="90"/>
        <v>193</v>
      </c>
      <c r="AZ90" s="987">
        <v>65</v>
      </c>
      <c r="BA90" s="985">
        <v>72</v>
      </c>
      <c r="BB90" s="985">
        <v>65</v>
      </c>
      <c r="BC90" s="986">
        <f t="shared" si="102"/>
        <v>202</v>
      </c>
      <c r="BD90" s="987">
        <v>49</v>
      </c>
      <c r="BE90" s="985">
        <v>64</v>
      </c>
      <c r="BF90" s="985">
        <v>38</v>
      </c>
      <c r="BG90" s="986">
        <f t="shared" si="8"/>
        <v>151</v>
      </c>
      <c r="BH90" s="987">
        <v>43</v>
      </c>
      <c r="BI90" s="985">
        <v>50</v>
      </c>
      <c r="BJ90" s="985">
        <v>54</v>
      </c>
      <c r="BK90" s="986">
        <f t="shared" si="99"/>
        <v>147</v>
      </c>
      <c r="BL90" s="987">
        <v>48</v>
      </c>
      <c r="BM90" s="985">
        <v>60</v>
      </c>
      <c r="BN90" s="985">
        <v>51</v>
      </c>
      <c r="BO90" s="986">
        <f t="shared" si="100"/>
        <v>159</v>
      </c>
      <c r="BP90" s="987">
        <v>52</v>
      </c>
      <c r="BQ90" s="985">
        <v>48</v>
      </c>
      <c r="BR90" s="985">
        <v>49</v>
      </c>
      <c r="BS90" s="986">
        <f t="shared" si="101"/>
        <v>149</v>
      </c>
    </row>
    <row r="91" spans="1:71" s="980" customFormat="1" ht="15" customHeight="1" x14ac:dyDescent="0.25">
      <c r="A91" s="5073"/>
      <c r="B91" s="5211"/>
      <c r="C91" s="981" t="s">
        <v>497</v>
      </c>
      <c r="D91" s="814">
        <v>21</v>
      </c>
      <c r="E91" s="815">
        <v>20</v>
      </c>
      <c r="F91" s="815">
        <v>14</v>
      </c>
      <c r="G91" s="982">
        <v>55</v>
      </c>
      <c r="H91" s="814">
        <v>25</v>
      </c>
      <c r="I91" s="815">
        <v>30</v>
      </c>
      <c r="J91" s="815">
        <v>21</v>
      </c>
      <c r="K91" s="982">
        <v>76</v>
      </c>
      <c r="L91" s="814">
        <v>22</v>
      </c>
      <c r="M91" s="815">
        <v>31</v>
      </c>
      <c r="N91" s="815">
        <v>12</v>
      </c>
      <c r="O91" s="982">
        <v>65</v>
      </c>
      <c r="P91" s="814">
        <v>23</v>
      </c>
      <c r="Q91" s="815">
        <v>42</v>
      </c>
      <c r="R91" s="815">
        <v>27</v>
      </c>
      <c r="S91" s="984">
        <v>92</v>
      </c>
      <c r="T91" s="814">
        <v>20</v>
      </c>
      <c r="U91" s="815">
        <v>33</v>
      </c>
      <c r="V91" s="815">
        <v>16</v>
      </c>
      <c r="W91" s="982">
        <f t="shared" si="0"/>
        <v>69</v>
      </c>
      <c r="X91" s="814">
        <v>21</v>
      </c>
      <c r="Y91" s="815">
        <v>22</v>
      </c>
      <c r="Z91" s="815">
        <v>7</v>
      </c>
      <c r="AA91" s="982">
        <f t="shared" si="1"/>
        <v>50</v>
      </c>
      <c r="AB91" s="983">
        <v>15</v>
      </c>
      <c r="AC91" s="815">
        <v>15</v>
      </c>
      <c r="AD91" s="815">
        <v>12</v>
      </c>
      <c r="AE91" s="982">
        <f t="shared" si="2"/>
        <v>42</v>
      </c>
      <c r="AF91" s="983">
        <v>15</v>
      </c>
      <c r="AG91" s="815">
        <v>30</v>
      </c>
      <c r="AH91" s="815">
        <v>16</v>
      </c>
      <c r="AI91" s="984">
        <f t="shared" si="3"/>
        <v>61</v>
      </c>
      <c r="AJ91" s="983">
        <v>45</v>
      </c>
      <c r="AK91" s="815">
        <v>20</v>
      </c>
      <c r="AL91" s="848">
        <v>9</v>
      </c>
      <c r="AM91" s="984">
        <f t="shared" si="4"/>
        <v>74</v>
      </c>
      <c r="AN91" s="983">
        <v>13</v>
      </c>
      <c r="AO91" s="815">
        <v>19</v>
      </c>
      <c r="AP91" s="848">
        <v>10</v>
      </c>
      <c r="AQ91" s="984">
        <f t="shared" si="5"/>
        <v>42</v>
      </c>
      <c r="AR91" s="985">
        <v>8</v>
      </c>
      <c r="AS91" s="985">
        <v>20</v>
      </c>
      <c r="AT91" s="985">
        <v>15</v>
      </c>
      <c r="AU91" s="986">
        <f t="shared" si="89"/>
        <v>43</v>
      </c>
      <c r="AV91" s="985">
        <v>20</v>
      </c>
      <c r="AW91" s="985">
        <v>30</v>
      </c>
      <c r="AX91" s="985">
        <v>19</v>
      </c>
      <c r="AY91" s="986">
        <f t="shared" si="90"/>
        <v>69</v>
      </c>
      <c r="AZ91" s="987">
        <v>27</v>
      </c>
      <c r="BA91" s="985">
        <v>36</v>
      </c>
      <c r="BB91" s="985">
        <v>21</v>
      </c>
      <c r="BC91" s="986">
        <f t="shared" si="102"/>
        <v>84</v>
      </c>
      <c r="BD91" s="987">
        <v>37</v>
      </c>
      <c r="BE91" s="985">
        <v>55</v>
      </c>
      <c r="BF91" s="985">
        <v>19</v>
      </c>
      <c r="BG91" s="986">
        <f t="shared" si="8"/>
        <v>111</v>
      </c>
      <c r="BH91" s="987">
        <v>33</v>
      </c>
      <c r="BI91" s="985">
        <v>50</v>
      </c>
      <c r="BJ91" s="985">
        <v>30</v>
      </c>
      <c r="BK91" s="986">
        <f t="shared" si="99"/>
        <v>113</v>
      </c>
      <c r="BL91" s="987">
        <v>32</v>
      </c>
      <c r="BM91" s="985">
        <v>49</v>
      </c>
      <c r="BN91" s="985">
        <v>29</v>
      </c>
      <c r="BO91" s="986">
        <f t="shared" si="100"/>
        <v>110</v>
      </c>
      <c r="BP91" s="987">
        <v>51</v>
      </c>
      <c r="BQ91" s="985">
        <v>56</v>
      </c>
      <c r="BR91" s="985">
        <v>20</v>
      </c>
      <c r="BS91" s="986">
        <f t="shared" si="101"/>
        <v>127</v>
      </c>
    </row>
    <row r="92" spans="1:71" s="980" customFormat="1" ht="15" customHeight="1" x14ac:dyDescent="0.25">
      <c r="A92" s="5073"/>
      <c r="B92" s="5211"/>
      <c r="C92" s="981" t="s">
        <v>498</v>
      </c>
      <c r="D92" s="814">
        <v>9</v>
      </c>
      <c r="E92" s="815">
        <v>99</v>
      </c>
      <c r="F92" s="815">
        <v>60</v>
      </c>
      <c r="G92" s="982">
        <v>168</v>
      </c>
      <c r="H92" s="814">
        <v>18</v>
      </c>
      <c r="I92" s="815">
        <v>105</v>
      </c>
      <c r="J92" s="815">
        <v>57</v>
      </c>
      <c r="K92" s="982">
        <v>180</v>
      </c>
      <c r="L92" s="814">
        <v>8</v>
      </c>
      <c r="M92" s="815">
        <v>51</v>
      </c>
      <c r="N92" s="815">
        <v>74</v>
      </c>
      <c r="O92" s="982">
        <v>133</v>
      </c>
      <c r="P92" s="814">
        <v>26</v>
      </c>
      <c r="Q92" s="815">
        <v>65</v>
      </c>
      <c r="R92" s="815">
        <v>54</v>
      </c>
      <c r="S92" s="984">
        <v>145</v>
      </c>
      <c r="T92" s="814">
        <v>63</v>
      </c>
      <c r="U92" s="815" t="s">
        <v>227</v>
      </c>
      <c r="V92" s="815">
        <v>84</v>
      </c>
      <c r="W92" s="982">
        <f t="shared" si="0"/>
        <v>147</v>
      </c>
      <c r="X92" s="814" t="s">
        <v>227</v>
      </c>
      <c r="Y92" s="815">
        <v>45</v>
      </c>
      <c r="Z92" s="815">
        <v>124</v>
      </c>
      <c r="AA92" s="982">
        <f t="shared" si="1"/>
        <v>169</v>
      </c>
      <c r="AB92" s="983" t="s">
        <v>227</v>
      </c>
      <c r="AC92" s="815">
        <v>51</v>
      </c>
      <c r="AD92" s="815">
        <v>87</v>
      </c>
      <c r="AE92" s="982">
        <f t="shared" si="2"/>
        <v>138</v>
      </c>
      <c r="AF92" s="983" t="s">
        <v>227</v>
      </c>
      <c r="AG92" s="815">
        <v>49</v>
      </c>
      <c r="AH92" s="815">
        <v>78</v>
      </c>
      <c r="AI92" s="984">
        <f t="shared" si="3"/>
        <v>127</v>
      </c>
      <c r="AJ92" s="983" t="s">
        <v>227</v>
      </c>
      <c r="AK92" s="815">
        <v>42</v>
      </c>
      <c r="AL92" s="848">
        <v>96</v>
      </c>
      <c r="AM92" s="984">
        <f t="shared" si="4"/>
        <v>138</v>
      </c>
      <c r="AN92" s="983">
        <v>65</v>
      </c>
      <c r="AO92" s="815">
        <v>1</v>
      </c>
      <c r="AP92" s="848">
        <v>82</v>
      </c>
      <c r="AQ92" s="984">
        <f t="shared" si="5"/>
        <v>148</v>
      </c>
      <c r="AR92" s="985" t="s">
        <v>227</v>
      </c>
      <c r="AS92" s="985">
        <v>71</v>
      </c>
      <c r="AT92" s="985">
        <v>104</v>
      </c>
      <c r="AU92" s="986">
        <f t="shared" si="89"/>
        <v>175</v>
      </c>
      <c r="AV92" s="985" t="s">
        <v>227</v>
      </c>
      <c r="AW92" s="985">
        <v>91</v>
      </c>
      <c r="AX92" s="985">
        <v>99</v>
      </c>
      <c r="AY92" s="986">
        <f t="shared" si="90"/>
        <v>190</v>
      </c>
      <c r="AZ92" s="987"/>
      <c r="BA92" s="985">
        <v>63</v>
      </c>
      <c r="BB92" s="985">
        <v>101</v>
      </c>
      <c r="BC92" s="986">
        <f t="shared" si="102"/>
        <v>164</v>
      </c>
      <c r="BD92" s="987">
        <v>1</v>
      </c>
      <c r="BE92" s="985">
        <v>66</v>
      </c>
      <c r="BF92" s="985">
        <v>67</v>
      </c>
      <c r="BG92" s="986">
        <f t="shared" si="8"/>
        <v>134</v>
      </c>
      <c r="BH92" s="987">
        <v>2</v>
      </c>
      <c r="BI92" s="985">
        <v>57</v>
      </c>
      <c r="BJ92" s="985">
        <v>121</v>
      </c>
      <c r="BK92" s="986">
        <f t="shared" si="99"/>
        <v>180</v>
      </c>
      <c r="BL92" s="987">
        <v>0</v>
      </c>
      <c r="BM92" s="985">
        <v>62</v>
      </c>
      <c r="BN92" s="985">
        <v>106</v>
      </c>
      <c r="BO92" s="986">
        <f t="shared" si="100"/>
        <v>168</v>
      </c>
      <c r="BP92" s="987">
        <v>0</v>
      </c>
      <c r="BQ92" s="985">
        <v>73</v>
      </c>
      <c r="BR92" s="985">
        <v>115</v>
      </c>
      <c r="BS92" s="986">
        <f t="shared" si="101"/>
        <v>188</v>
      </c>
    </row>
    <row r="93" spans="1:71" s="980" customFormat="1" ht="15" customHeight="1" x14ac:dyDescent="0.25">
      <c r="A93" s="5073"/>
      <c r="B93" s="5211"/>
      <c r="C93" s="988" t="s">
        <v>499</v>
      </c>
      <c r="D93" s="823">
        <v>29</v>
      </c>
      <c r="E93" s="824">
        <v>44</v>
      </c>
      <c r="F93" s="824">
        <v>24</v>
      </c>
      <c r="G93" s="989">
        <v>97</v>
      </c>
      <c r="H93" s="823">
        <v>27</v>
      </c>
      <c r="I93" s="824">
        <v>44</v>
      </c>
      <c r="J93" s="824">
        <v>23</v>
      </c>
      <c r="K93" s="989">
        <v>94</v>
      </c>
      <c r="L93" s="823">
        <v>27</v>
      </c>
      <c r="M93" s="824">
        <v>51</v>
      </c>
      <c r="N93" s="824">
        <v>23</v>
      </c>
      <c r="O93" s="989">
        <v>101</v>
      </c>
      <c r="P93" s="823">
        <v>42</v>
      </c>
      <c r="Q93" s="824">
        <v>71</v>
      </c>
      <c r="R93" s="824">
        <v>21</v>
      </c>
      <c r="S93" s="991">
        <v>134</v>
      </c>
      <c r="T93" s="823">
        <v>29</v>
      </c>
      <c r="U93" s="824">
        <v>42</v>
      </c>
      <c r="V93" s="824">
        <v>20</v>
      </c>
      <c r="W93" s="989">
        <f t="shared" si="0"/>
        <v>91</v>
      </c>
      <c r="X93" s="823">
        <v>36</v>
      </c>
      <c r="Y93" s="824">
        <v>44</v>
      </c>
      <c r="Z93" s="824">
        <v>18</v>
      </c>
      <c r="AA93" s="989">
        <f t="shared" si="1"/>
        <v>98</v>
      </c>
      <c r="AB93" s="990">
        <v>25</v>
      </c>
      <c r="AC93" s="824">
        <v>39</v>
      </c>
      <c r="AD93" s="824">
        <v>22</v>
      </c>
      <c r="AE93" s="989">
        <f t="shared" si="2"/>
        <v>86</v>
      </c>
      <c r="AF93" s="990">
        <v>40</v>
      </c>
      <c r="AG93" s="824">
        <v>55</v>
      </c>
      <c r="AH93" s="824">
        <v>12</v>
      </c>
      <c r="AI93" s="991">
        <f t="shared" si="3"/>
        <v>107</v>
      </c>
      <c r="AJ93" s="990">
        <v>56</v>
      </c>
      <c r="AK93" s="824">
        <v>42</v>
      </c>
      <c r="AL93" s="873">
        <v>30</v>
      </c>
      <c r="AM93" s="991">
        <f t="shared" si="4"/>
        <v>128</v>
      </c>
      <c r="AN93" s="990">
        <v>51</v>
      </c>
      <c r="AO93" s="824">
        <v>53</v>
      </c>
      <c r="AP93" s="873">
        <v>12</v>
      </c>
      <c r="AQ93" s="991">
        <f t="shared" si="5"/>
        <v>116</v>
      </c>
      <c r="AR93" s="992">
        <v>59</v>
      </c>
      <c r="AS93" s="992">
        <v>86</v>
      </c>
      <c r="AT93" s="992">
        <v>51</v>
      </c>
      <c r="AU93" s="993">
        <f t="shared" si="89"/>
        <v>196</v>
      </c>
      <c r="AV93" s="992">
        <v>61</v>
      </c>
      <c r="AW93" s="992">
        <v>9</v>
      </c>
      <c r="AX93" s="992">
        <v>15</v>
      </c>
      <c r="AY93" s="993">
        <f t="shared" si="90"/>
        <v>85</v>
      </c>
      <c r="AZ93" s="994">
        <v>52</v>
      </c>
      <c r="BA93" s="992">
        <v>42</v>
      </c>
      <c r="BB93" s="992">
        <v>28</v>
      </c>
      <c r="BC93" s="993">
        <f t="shared" si="102"/>
        <v>122</v>
      </c>
      <c r="BD93" s="994">
        <v>42</v>
      </c>
      <c r="BE93" s="992">
        <v>54</v>
      </c>
      <c r="BF93" s="992">
        <v>11</v>
      </c>
      <c r="BG93" s="993">
        <f t="shared" si="8"/>
        <v>107</v>
      </c>
      <c r="BH93" s="994">
        <v>44</v>
      </c>
      <c r="BI93" s="992">
        <v>49</v>
      </c>
      <c r="BJ93" s="992">
        <v>30</v>
      </c>
      <c r="BK93" s="993">
        <f t="shared" si="99"/>
        <v>123</v>
      </c>
      <c r="BL93" s="994">
        <v>33</v>
      </c>
      <c r="BM93" s="992">
        <v>50</v>
      </c>
      <c r="BN93" s="992">
        <v>32</v>
      </c>
      <c r="BO93" s="993">
        <f t="shared" si="100"/>
        <v>115</v>
      </c>
      <c r="BP93" s="994">
        <v>55</v>
      </c>
      <c r="BQ93" s="992">
        <v>50</v>
      </c>
      <c r="BR93" s="992">
        <v>26</v>
      </c>
      <c r="BS93" s="993">
        <f t="shared" si="101"/>
        <v>131</v>
      </c>
    </row>
    <row r="94" spans="1:71" s="980" customFormat="1" ht="15" customHeight="1" x14ac:dyDescent="0.25">
      <c r="A94" s="5073"/>
      <c r="B94" s="5212"/>
      <c r="C94" s="995" t="s">
        <v>160</v>
      </c>
      <c r="D94" s="996">
        <v>301</v>
      </c>
      <c r="E94" s="997">
        <v>453</v>
      </c>
      <c r="F94" s="997">
        <v>289</v>
      </c>
      <c r="G94" s="998">
        <v>1043</v>
      </c>
      <c r="H94" s="996">
        <v>346</v>
      </c>
      <c r="I94" s="997">
        <v>501</v>
      </c>
      <c r="J94" s="997">
        <v>330</v>
      </c>
      <c r="K94" s="998">
        <v>1177</v>
      </c>
      <c r="L94" s="996">
        <v>305</v>
      </c>
      <c r="M94" s="997">
        <v>435</v>
      </c>
      <c r="N94" s="997">
        <v>359</v>
      </c>
      <c r="O94" s="998">
        <v>1099</v>
      </c>
      <c r="P94" s="996">
        <v>341</v>
      </c>
      <c r="Q94" s="997">
        <v>555</v>
      </c>
      <c r="R94" s="997">
        <v>357</v>
      </c>
      <c r="S94" s="998">
        <v>1253</v>
      </c>
      <c r="T94" s="996">
        <f t="shared" ref="T94:BB94" si="103">SUM(T86:T93)</f>
        <v>343</v>
      </c>
      <c r="U94" s="997">
        <f t="shared" si="103"/>
        <v>351</v>
      </c>
      <c r="V94" s="997">
        <f t="shared" si="103"/>
        <v>319</v>
      </c>
      <c r="W94" s="998">
        <f t="shared" si="103"/>
        <v>1013</v>
      </c>
      <c r="X94" s="996">
        <f t="shared" si="103"/>
        <v>235</v>
      </c>
      <c r="Y94" s="997">
        <f t="shared" si="103"/>
        <v>378</v>
      </c>
      <c r="Z94" s="997">
        <f t="shared" si="103"/>
        <v>291</v>
      </c>
      <c r="AA94" s="998">
        <f t="shared" si="103"/>
        <v>904</v>
      </c>
      <c r="AB94" s="996">
        <f t="shared" si="103"/>
        <v>223</v>
      </c>
      <c r="AC94" s="997">
        <f t="shared" si="103"/>
        <v>383</v>
      </c>
      <c r="AD94" s="997">
        <f t="shared" si="103"/>
        <v>288</v>
      </c>
      <c r="AE94" s="998">
        <f t="shared" si="103"/>
        <v>894</v>
      </c>
      <c r="AF94" s="996">
        <f t="shared" si="103"/>
        <v>244</v>
      </c>
      <c r="AG94" s="997">
        <f t="shared" si="103"/>
        <v>411</v>
      </c>
      <c r="AH94" s="997">
        <f t="shared" si="103"/>
        <v>303</v>
      </c>
      <c r="AI94" s="998">
        <f t="shared" si="103"/>
        <v>958</v>
      </c>
      <c r="AJ94" s="996">
        <f t="shared" si="103"/>
        <v>328</v>
      </c>
      <c r="AK94" s="997">
        <f t="shared" si="103"/>
        <v>418</v>
      </c>
      <c r="AL94" s="997">
        <f t="shared" si="103"/>
        <v>360</v>
      </c>
      <c r="AM94" s="998">
        <f t="shared" si="103"/>
        <v>1106</v>
      </c>
      <c r="AN94" s="996">
        <f t="shared" si="103"/>
        <v>428</v>
      </c>
      <c r="AO94" s="997">
        <f t="shared" si="103"/>
        <v>432</v>
      </c>
      <c r="AP94" s="997">
        <f t="shared" si="103"/>
        <v>366</v>
      </c>
      <c r="AQ94" s="998">
        <f t="shared" si="103"/>
        <v>1226</v>
      </c>
      <c r="AR94" s="996">
        <f t="shared" si="103"/>
        <v>323</v>
      </c>
      <c r="AS94" s="997">
        <f t="shared" si="103"/>
        <v>563</v>
      </c>
      <c r="AT94" s="997">
        <f t="shared" si="103"/>
        <v>398</v>
      </c>
      <c r="AU94" s="998">
        <f t="shared" si="89"/>
        <v>1284</v>
      </c>
      <c r="AV94" s="996">
        <f t="shared" ref="AV94:AX94" si="104">SUM(AV86:AV93)</f>
        <v>342</v>
      </c>
      <c r="AW94" s="997">
        <f t="shared" si="104"/>
        <v>475</v>
      </c>
      <c r="AX94" s="997">
        <f t="shared" si="104"/>
        <v>373</v>
      </c>
      <c r="AY94" s="998">
        <f t="shared" si="90"/>
        <v>1190</v>
      </c>
      <c r="AZ94" s="996">
        <f t="shared" si="103"/>
        <v>348</v>
      </c>
      <c r="BA94" s="997">
        <f t="shared" si="103"/>
        <v>477</v>
      </c>
      <c r="BB94" s="997">
        <f t="shared" si="103"/>
        <v>335</v>
      </c>
      <c r="BC94" s="998">
        <f t="shared" ref="BC94:BK94" si="105">SUM(BC86:BC93)</f>
        <v>1160</v>
      </c>
      <c r="BD94" s="996">
        <f t="shared" si="105"/>
        <v>352</v>
      </c>
      <c r="BE94" s="997">
        <f t="shared" si="105"/>
        <v>523</v>
      </c>
      <c r="BF94" s="997">
        <f t="shared" si="105"/>
        <v>310</v>
      </c>
      <c r="BG94" s="998">
        <f t="shared" si="105"/>
        <v>1185</v>
      </c>
      <c r="BH94" s="996">
        <f t="shared" si="105"/>
        <v>324</v>
      </c>
      <c r="BI94" s="997">
        <f t="shared" si="105"/>
        <v>450</v>
      </c>
      <c r="BJ94" s="997">
        <f t="shared" si="105"/>
        <v>371</v>
      </c>
      <c r="BK94" s="998">
        <f t="shared" si="105"/>
        <v>1145</v>
      </c>
      <c r="BL94" s="996">
        <f t="shared" ref="BL94:BS94" si="106">SUM(BL86:BL93)</f>
        <v>281</v>
      </c>
      <c r="BM94" s="997">
        <f t="shared" si="106"/>
        <v>489</v>
      </c>
      <c r="BN94" s="997">
        <f t="shared" si="106"/>
        <v>357</v>
      </c>
      <c r="BO94" s="998">
        <f t="shared" si="106"/>
        <v>1127</v>
      </c>
      <c r="BP94" s="996">
        <f t="shared" si="106"/>
        <v>341</v>
      </c>
      <c r="BQ94" s="997">
        <f t="shared" si="106"/>
        <v>444</v>
      </c>
      <c r="BR94" s="997">
        <f t="shared" si="106"/>
        <v>358</v>
      </c>
      <c r="BS94" s="998">
        <f t="shared" si="106"/>
        <v>1143</v>
      </c>
    </row>
    <row r="95" spans="1:71" s="980" customFormat="1" ht="15" customHeight="1" x14ac:dyDescent="0.25">
      <c r="A95" s="5073"/>
      <c r="B95" s="5210" t="s">
        <v>7</v>
      </c>
      <c r="C95" s="973" t="s">
        <v>466</v>
      </c>
      <c r="D95" s="808">
        <v>48</v>
      </c>
      <c r="E95" s="809">
        <v>35</v>
      </c>
      <c r="F95" s="809"/>
      <c r="G95" s="974">
        <v>83</v>
      </c>
      <c r="H95" s="808">
        <v>57</v>
      </c>
      <c r="I95" s="809">
        <v>86</v>
      </c>
      <c r="J95" s="809"/>
      <c r="K95" s="974">
        <v>143</v>
      </c>
      <c r="L95" s="808">
        <v>33</v>
      </c>
      <c r="M95" s="809">
        <v>78</v>
      </c>
      <c r="N95" s="809"/>
      <c r="O95" s="974">
        <v>111</v>
      </c>
      <c r="P95" s="808">
        <v>74</v>
      </c>
      <c r="Q95" s="809">
        <v>34</v>
      </c>
      <c r="R95" s="809"/>
      <c r="S95" s="976">
        <v>108</v>
      </c>
      <c r="T95" s="808">
        <v>73</v>
      </c>
      <c r="U95" s="809">
        <v>68</v>
      </c>
      <c r="V95" s="809" t="s">
        <v>227</v>
      </c>
      <c r="W95" s="974">
        <f>SUM(T95:V95)</f>
        <v>141</v>
      </c>
      <c r="X95" s="808">
        <v>54</v>
      </c>
      <c r="Y95" s="809">
        <v>93</v>
      </c>
      <c r="Z95" s="809" t="s">
        <v>227</v>
      </c>
      <c r="AA95" s="974">
        <f>SUM(X95:Z95)</f>
        <v>147</v>
      </c>
      <c r="AB95" s="975">
        <v>49</v>
      </c>
      <c r="AC95" s="809">
        <v>105</v>
      </c>
      <c r="AD95" s="809" t="s">
        <v>227</v>
      </c>
      <c r="AE95" s="974">
        <f>SUM(AB95:AD95)</f>
        <v>154</v>
      </c>
      <c r="AF95" s="975">
        <v>60</v>
      </c>
      <c r="AG95" s="809">
        <v>117</v>
      </c>
      <c r="AH95" s="809" t="s">
        <v>227</v>
      </c>
      <c r="AI95" s="976">
        <f>SUM(AF95:AH95)</f>
        <v>177</v>
      </c>
      <c r="AJ95" s="975">
        <v>48</v>
      </c>
      <c r="AK95" s="809">
        <v>82</v>
      </c>
      <c r="AL95" s="809"/>
      <c r="AM95" s="976">
        <f>SUM(AJ95:AL95)</f>
        <v>130</v>
      </c>
      <c r="AN95" s="975">
        <v>67</v>
      </c>
      <c r="AO95" s="809">
        <v>144</v>
      </c>
      <c r="AP95" s="809" t="s">
        <v>227</v>
      </c>
      <c r="AQ95" s="976">
        <f>SUM(AN95:AP95)</f>
        <v>211</v>
      </c>
      <c r="AR95" s="977">
        <v>86</v>
      </c>
      <c r="AS95" s="977">
        <v>124</v>
      </c>
      <c r="AT95" s="977" t="s">
        <v>227</v>
      </c>
      <c r="AU95" s="978">
        <f t="shared" si="89"/>
        <v>210</v>
      </c>
      <c r="AV95" s="977">
        <v>103</v>
      </c>
      <c r="AW95" s="977">
        <v>105</v>
      </c>
      <c r="AX95" s="977"/>
      <c r="AY95" s="978">
        <f t="shared" si="90"/>
        <v>208</v>
      </c>
      <c r="AZ95" s="979">
        <v>89</v>
      </c>
      <c r="BA95" s="977">
        <v>100</v>
      </c>
      <c r="BB95" s="977"/>
      <c r="BC95" s="978">
        <v>189</v>
      </c>
      <c r="BD95" s="979">
        <v>78</v>
      </c>
      <c r="BE95" s="977">
        <v>103</v>
      </c>
      <c r="BF95" s="977"/>
      <c r="BG95" s="978">
        <f>SUM(BD95:BF95)</f>
        <v>181</v>
      </c>
      <c r="BH95" s="979">
        <v>88</v>
      </c>
      <c r="BI95" s="977">
        <v>82</v>
      </c>
      <c r="BJ95" s="977"/>
      <c r="BK95" s="978">
        <f>SUM(BH95:BJ95)</f>
        <v>170</v>
      </c>
      <c r="BL95" s="979">
        <v>116</v>
      </c>
      <c r="BM95" s="977">
        <v>93</v>
      </c>
      <c r="BN95" s="977"/>
      <c r="BO95" s="978">
        <f>SUM(BL95:BN95)</f>
        <v>209</v>
      </c>
      <c r="BP95" s="979">
        <v>105</v>
      </c>
      <c r="BQ95" s="977">
        <v>63</v>
      </c>
      <c r="BR95" s="977"/>
      <c r="BS95" s="978">
        <f>SUM(BP95:BR95)</f>
        <v>168</v>
      </c>
    </row>
    <row r="96" spans="1:71" s="980" customFormat="1" ht="15" customHeight="1" x14ac:dyDescent="0.25">
      <c r="A96" s="5073"/>
      <c r="B96" s="5211"/>
      <c r="C96" s="981" t="s">
        <v>467</v>
      </c>
      <c r="D96" s="814">
        <v>51</v>
      </c>
      <c r="E96" s="815">
        <v>45</v>
      </c>
      <c r="F96" s="815"/>
      <c r="G96" s="982">
        <v>96</v>
      </c>
      <c r="H96" s="814">
        <v>48</v>
      </c>
      <c r="I96" s="815">
        <v>59</v>
      </c>
      <c r="J96" s="815"/>
      <c r="K96" s="982">
        <v>107</v>
      </c>
      <c r="L96" s="814">
        <v>59</v>
      </c>
      <c r="M96" s="815">
        <v>57</v>
      </c>
      <c r="N96" s="815"/>
      <c r="O96" s="982">
        <v>116</v>
      </c>
      <c r="P96" s="814">
        <v>74</v>
      </c>
      <c r="Q96" s="815">
        <v>69</v>
      </c>
      <c r="R96" s="815"/>
      <c r="S96" s="984">
        <v>143</v>
      </c>
      <c r="T96" s="814">
        <v>35</v>
      </c>
      <c r="U96" s="815">
        <v>38</v>
      </c>
      <c r="V96" s="815" t="s">
        <v>227</v>
      </c>
      <c r="W96" s="982">
        <f>SUM(T96:V96)</f>
        <v>73</v>
      </c>
      <c r="X96" s="814">
        <v>31</v>
      </c>
      <c r="Y96" s="815">
        <v>72</v>
      </c>
      <c r="Z96" s="815" t="s">
        <v>227</v>
      </c>
      <c r="AA96" s="982">
        <f>SUM(X96:Z96)</f>
        <v>103</v>
      </c>
      <c r="AB96" s="983">
        <v>55</v>
      </c>
      <c r="AC96" s="815">
        <v>61</v>
      </c>
      <c r="AD96" s="815" t="s">
        <v>227</v>
      </c>
      <c r="AE96" s="982">
        <f>SUM(AB96:AD96)</f>
        <v>116</v>
      </c>
      <c r="AF96" s="983">
        <v>55</v>
      </c>
      <c r="AG96" s="815">
        <v>60</v>
      </c>
      <c r="AH96" s="815" t="s">
        <v>227</v>
      </c>
      <c r="AI96" s="984">
        <f>SUM(AF96:AH96)</f>
        <v>115</v>
      </c>
      <c r="AJ96" s="983">
        <v>41</v>
      </c>
      <c r="AK96" s="815">
        <v>81</v>
      </c>
      <c r="AL96" s="815"/>
      <c r="AM96" s="984">
        <f>SUM(AJ96:AL96)</f>
        <v>122</v>
      </c>
      <c r="AN96" s="983">
        <v>56</v>
      </c>
      <c r="AO96" s="815">
        <v>79</v>
      </c>
      <c r="AP96" s="815" t="s">
        <v>227</v>
      </c>
      <c r="AQ96" s="984">
        <f>SUM(AN96:AP96)</f>
        <v>135</v>
      </c>
      <c r="AR96" s="985">
        <v>48</v>
      </c>
      <c r="AS96" s="985">
        <v>54</v>
      </c>
      <c r="AT96" s="985" t="s">
        <v>227</v>
      </c>
      <c r="AU96" s="986">
        <f t="shared" si="89"/>
        <v>102</v>
      </c>
      <c r="AV96" s="985">
        <v>40</v>
      </c>
      <c r="AW96" s="985">
        <v>52</v>
      </c>
      <c r="AX96" s="985"/>
      <c r="AY96" s="986">
        <f t="shared" si="90"/>
        <v>92</v>
      </c>
      <c r="AZ96" s="987">
        <v>43</v>
      </c>
      <c r="BA96" s="985">
        <v>29</v>
      </c>
      <c r="BB96" s="985"/>
      <c r="BC96" s="986">
        <v>72</v>
      </c>
      <c r="BD96" s="987">
        <v>42</v>
      </c>
      <c r="BE96" s="985">
        <v>52</v>
      </c>
      <c r="BF96" s="985"/>
      <c r="BG96" s="986">
        <f>SUM(BD96:BF96)</f>
        <v>94</v>
      </c>
      <c r="BH96" s="987">
        <v>55</v>
      </c>
      <c r="BI96" s="985">
        <v>56</v>
      </c>
      <c r="BJ96" s="985"/>
      <c r="BK96" s="986">
        <f>SUM(BH96:BJ96)</f>
        <v>111</v>
      </c>
      <c r="BL96" s="987">
        <v>55</v>
      </c>
      <c r="BM96" s="985">
        <v>66</v>
      </c>
      <c r="BN96" s="985"/>
      <c r="BO96" s="986">
        <f>SUM(BL96:BN96)</f>
        <v>121</v>
      </c>
      <c r="BP96" s="987">
        <v>42</v>
      </c>
      <c r="BQ96" s="985">
        <v>53</v>
      </c>
      <c r="BR96" s="985"/>
      <c r="BS96" s="986">
        <f>SUM(BP96:BR96)</f>
        <v>95</v>
      </c>
    </row>
    <row r="97" spans="1:71" s="980" customFormat="1" ht="15" customHeight="1" x14ac:dyDescent="0.25">
      <c r="A97" s="5073"/>
      <c r="B97" s="5211"/>
      <c r="C97" s="981" t="s">
        <v>468</v>
      </c>
      <c r="D97" s="814">
        <v>44</v>
      </c>
      <c r="E97" s="815">
        <v>48</v>
      </c>
      <c r="F97" s="815"/>
      <c r="G97" s="982">
        <v>92</v>
      </c>
      <c r="H97" s="814">
        <v>22</v>
      </c>
      <c r="I97" s="815">
        <v>73</v>
      </c>
      <c r="J97" s="815"/>
      <c r="K97" s="982">
        <v>95</v>
      </c>
      <c r="L97" s="814">
        <v>57</v>
      </c>
      <c r="M97" s="815">
        <v>51</v>
      </c>
      <c r="N97" s="815"/>
      <c r="O97" s="982">
        <v>108</v>
      </c>
      <c r="P97" s="814">
        <v>63</v>
      </c>
      <c r="Q97" s="815">
        <v>55</v>
      </c>
      <c r="R97" s="815"/>
      <c r="S97" s="984">
        <v>118</v>
      </c>
      <c r="T97" s="814">
        <v>55</v>
      </c>
      <c r="U97" s="815">
        <v>42</v>
      </c>
      <c r="V97" s="815" t="s">
        <v>227</v>
      </c>
      <c r="W97" s="982">
        <f>SUM(T97:V97)</f>
        <v>97</v>
      </c>
      <c r="X97" s="814">
        <v>30</v>
      </c>
      <c r="Y97" s="815">
        <v>48</v>
      </c>
      <c r="Z97" s="815" t="s">
        <v>227</v>
      </c>
      <c r="AA97" s="982">
        <f>SUM(X97:Z97)</f>
        <v>78</v>
      </c>
      <c r="AB97" s="983">
        <v>41</v>
      </c>
      <c r="AC97" s="815">
        <v>62</v>
      </c>
      <c r="AD97" s="815" t="s">
        <v>227</v>
      </c>
      <c r="AE97" s="982">
        <f>SUM(AB97:AD97)</f>
        <v>103</v>
      </c>
      <c r="AF97" s="983">
        <v>41</v>
      </c>
      <c r="AG97" s="815">
        <v>45</v>
      </c>
      <c r="AH97" s="815" t="s">
        <v>227</v>
      </c>
      <c r="AI97" s="984">
        <f>SUM(AF97:AH97)</f>
        <v>86</v>
      </c>
      <c r="AJ97" s="983">
        <v>23</v>
      </c>
      <c r="AK97" s="815">
        <v>67</v>
      </c>
      <c r="AL97" s="815"/>
      <c r="AM97" s="984">
        <f>SUM(AJ97:AL97)</f>
        <v>90</v>
      </c>
      <c r="AN97" s="983">
        <v>36</v>
      </c>
      <c r="AO97" s="815">
        <v>62</v>
      </c>
      <c r="AP97" s="815" t="s">
        <v>227</v>
      </c>
      <c r="AQ97" s="984">
        <f>SUM(AN97:AP97)</f>
        <v>98</v>
      </c>
      <c r="AR97" s="985">
        <v>57</v>
      </c>
      <c r="AS97" s="985">
        <v>50</v>
      </c>
      <c r="AT97" s="985" t="s">
        <v>227</v>
      </c>
      <c r="AU97" s="986">
        <f t="shared" si="89"/>
        <v>107</v>
      </c>
      <c r="AV97" s="985">
        <v>28</v>
      </c>
      <c r="AW97" s="985">
        <v>51</v>
      </c>
      <c r="AX97" s="985"/>
      <c r="AY97" s="986">
        <f t="shared" si="90"/>
        <v>79</v>
      </c>
      <c r="AZ97" s="987">
        <v>31</v>
      </c>
      <c r="BA97" s="985">
        <v>44</v>
      </c>
      <c r="BB97" s="985"/>
      <c r="BC97" s="986">
        <v>75</v>
      </c>
      <c r="BD97" s="987">
        <v>24</v>
      </c>
      <c r="BE97" s="985">
        <v>22</v>
      </c>
      <c r="BF97" s="985"/>
      <c r="BG97" s="986">
        <f>SUM(BD97:BF97)</f>
        <v>46</v>
      </c>
      <c r="BH97" s="987">
        <v>45</v>
      </c>
      <c r="BI97" s="985">
        <v>31</v>
      </c>
      <c r="BJ97" s="985"/>
      <c r="BK97" s="986">
        <f>SUM(BH97:BJ97)</f>
        <v>76</v>
      </c>
      <c r="BL97" s="987">
        <v>24</v>
      </c>
      <c r="BM97" s="985">
        <v>49</v>
      </c>
      <c r="BN97" s="985"/>
      <c r="BO97" s="986">
        <f>SUM(BL97:BN97)</f>
        <v>73</v>
      </c>
      <c r="BP97" s="987">
        <v>22</v>
      </c>
      <c r="BQ97" s="985">
        <v>50</v>
      </c>
      <c r="BR97" s="985"/>
      <c r="BS97" s="986">
        <f>SUM(BP97:BR97)</f>
        <v>72</v>
      </c>
    </row>
    <row r="98" spans="1:71" s="980" customFormat="1" ht="15" customHeight="1" x14ac:dyDescent="0.25">
      <c r="A98" s="5073"/>
      <c r="B98" s="5211"/>
      <c r="C98" s="988" t="s">
        <v>500</v>
      </c>
      <c r="D98" s="823">
        <v>20</v>
      </c>
      <c r="E98" s="824">
        <v>22</v>
      </c>
      <c r="F98" s="824"/>
      <c r="G98" s="989">
        <v>42</v>
      </c>
      <c r="H98" s="823">
        <v>28</v>
      </c>
      <c r="I98" s="824">
        <v>24</v>
      </c>
      <c r="J98" s="824"/>
      <c r="K98" s="989">
        <v>52</v>
      </c>
      <c r="L98" s="823">
        <v>17</v>
      </c>
      <c r="M98" s="824">
        <v>38</v>
      </c>
      <c r="N98" s="824"/>
      <c r="O98" s="989">
        <v>55</v>
      </c>
      <c r="P98" s="823">
        <v>20</v>
      </c>
      <c r="Q98" s="824">
        <v>16</v>
      </c>
      <c r="R98" s="824"/>
      <c r="S98" s="991">
        <v>36</v>
      </c>
      <c r="T98" s="823">
        <v>24</v>
      </c>
      <c r="U98" s="824">
        <v>20</v>
      </c>
      <c r="V98" s="824" t="s">
        <v>227</v>
      </c>
      <c r="W98" s="989">
        <f>SUM(T98:V98)</f>
        <v>44</v>
      </c>
      <c r="X98" s="823">
        <v>17</v>
      </c>
      <c r="Y98" s="824">
        <v>13</v>
      </c>
      <c r="Z98" s="824" t="s">
        <v>227</v>
      </c>
      <c r="AA98" s="989">
        <f>SUM(X98:Z98)</f>
        <v>30</v>
      </c>
      <c r="AB98" s="990">
        <v>19</v>
      </c>
      <c r="AC98" s="824">
        <v>28</v>
      </c>
      <c r="AD98" s="824" t="s">
        <v>227</v>
      </c>
      <c r="AE98" s="989">
        <f>SUM(AB98:AD98)</f>
        <v>47</v>
      </c>
      <c r="AF98" s="990">
        <v>21</v>
      </c>
      <c r="AG98" s="824">
        <v>25</v>
      </c>
      <c r="AH98" s="824" t="s">
        <v>227</v>
      </c>
      <c r="AI98" s="991">
        <f>SUM(AF98:AH98)</f>
        <v>46</v>
      </c>
      <c r="AJ98" s="990">
        <v>10</v>
      </c>
      <c r="AK98" s="824">
        <v>23</v>
      </c>
      <c r="AL98" s="873"/>
      <c r="AM98" s="991">
        <f>SUM(AJ98:AL98)</f>
        <v>33</v>
      </c>
      <c r="AN98" s="990">
        <v>24</v>
      </c>
      <c r="AO98" s="824">
        <v>31</v>
      </c>
      <c r="AP98" s="873" t="s">
        <v>227</v>
      </c>
      <c r="AQ98" s="991">
        <f>SUM(AN98:AP98)</f>
        <v>55</v>
      </c>
      <c r="AR98" s="992">
        <v>14</v>
      </c>
      <c r="AS98" s="992">
        <v>30</v>
      </c>
      <c r="AT98" s="992" t="s">
        <v>227</v>
      </c>
      <c r="AU98" s="993">
        <f t="shared" si="89"/>
        <v>44</v>
      </c>
      <c r="AV98" s="992">
        <v>30</v>
      </c>
      <c r="AW98" s="992">
        <v>36</v>
      </c>
      <c r="AX98" s="992"/>
      <c r="AY98" s="993">
        <f t="shared" si="90"/>
        <v>66</v>
      </c>
      <c r="AZ98" s="994">
        <v>19</v>
      </c>
      <c r="BA98" s="992">
        <v>22</v>
      </c>
      <c r="BB98" s="992"/>
      <c r="BC98" s="993">
        <v>41</v>
      </c>
      <c r="BD98" s="994">
        <v>24</v>
      </c>
      <c r="BE98" s="992">
        <v>27</v>
      </c>
      <c r="BF98" s="992"/>
      <c r="BG98" s="993">
        <f>SUM(BD98:BF98)</f>
        <v>51</v>
      </c>
      <c r="BH98" s="994">
        <v>35</v>
      </c>
      <c r="BI98" s="992">
        <v>44</v>
      </c>
      <c r="BJ98" s="992"/>
      <c r="BK98" s="993">
        <f>SUM(BH98:BJ98)</f>
        <v>79</v>
      </c>
      <c r="BL98" s="994">
        <v>14</v>
      </c>
      <c r="BM98" s="992">
        <v>36</v>
      </c>
      <c r="BN98" s="992"/>
      <c r="BO98" s="993">
        <f>SUM(BL98:BN98)</f>
        <v>50</v>
      </c>
      <c r="BP98" s="994">
        <v>52</v>
      </c>
      <c r="BQ98" s="992">
        <v>21</v>
      </c>
      <c r="BR98" s="992"/>
      <c r="BS98" s="993">
        <f>SUM(BP98:BR98)</f>
        <v>73</v>
      </c>
    </row>
    <row r="99" spans="1:71" s="980" customFormat="1" ht="15" customHeight="1" x14ac:dyDescent="0.25">
      <c r="A99" s="5073"/>
      <c r="B99" s="5212"/>
      <c r="C99" s="995" t="s">
        <v>160</v>
      </c>
      <c r="D99" s="996">
        <v>163</v>
      </c>
      <c r="E99" s="997">
        <v>150</v>
      </c>
      <c r="F99" s="997"/>
      <c r="G99" s="998">
        <v>313</v>
      </c>
      <c r="H99" s="996">
        <v>155</v>
      </c>
      <c r="I99" s="997">
        <v>242</v>
      </c>
      <c r="J99" s="997"/>
      <c r="K99" s="998">
        <v>397</v>
      </c>
      <c r="L99" s="996">
        <v>166</v>
      </c>
      <c r="M99" s="997">
        <v>224</v>
      </c>
      <c r="N99" s="997"/>
      <c r="O99" s="998">
        <v>390</v>
      </c>
      <c r="P99" s="996">
        <v>231</v>
      </c>
      <c r="Q99" s="997">
        <v>174</v>
      </c>
      <c r="R99" s="997"/>
      <c r="S99" s="998">
        <v>405</v>
      </c>
      <c r="T99" s="996">
        <f t="shared" ref="T99:BB99" si="107">SUM(T95:T98)</f>
        <v>187</v>
      </c>
      <c r="U99" s="997">
        <f t="shared" si="107"/>
        <v>168</v>
      </c>
      <c r="V99" s="997">
        <f t="shared" si="107"/>
        <v>0</v>
      </c>
      <c r="W99" s="998">
        <f t="shared" si="107"/>
        <v>355</v>
      </c>
      <c r="X99" s="996">
        <f t="shared" si="107"/>
        <v>132</v>
      </c>
      <c r="Y99" s="997">
        <f t="shared" si="107"/>
        <v>226</v>
      </c>
      <c r="Z99" s="997">
        <f t="shared" si="107"/>
        <v>0</v>
      </c>
      <c r="AA99" s="998">
        <f t="shared" si="107"/>
        <v>358</v>
      </c>
      <c r="AB99" s="996">
        <f t="shared" si="107"/>
        <v>164</v>
      </c>
      <c r="AC99" s="997">
        <f t="shared" si="107"/>
        <v>256</v>
      </c>
      <c r="AD99" s="997">
        <f t="shared" si="107"/>
        <v>0</v>
      </c>
      <c r="AE99" s="998">
        <f t="shared" si="107"/>
        <v>420</v>
      </c>
      <c r="AF99" s="996">
        <f t="shared" si="107"/>
        <v>177</v>
      </c>
      <c r="AG99" s="997">
        <f t="shared" si="107"/>
        <v>247</v>
      </c>
      <c r="AH99" s="997">
        <f t="shared" si="107"/>
        <v>0</v>
      </c>
      <c r="AI99" s="998">
        <f t="shared" si="107"/>
        <v>424</v>
      </c>
      <c r="AJ99" s="996">
        <f t="shared" si="107"/>
        <v>122</v>
      </c>
      <c r="AK99" s="997">
        <f t="shared" si="107"/>
        <v>253</v>
      </c>
      <c r="AL99" s="997">
        <f t="shared" si="107"/>
        <v>0</v>
      </c>
      <c r="AM99" s="998">
        <f t="shared" si="107"/>
        <v>375</v>
      </c>
      <c r="AN99" s="996">
        <f t="shared" si="107"/>
        <v>183</v>
      </c>
      <c r="AO99" s="997">
        <f t="shared" si="107"/>
        <v>316</v>
      </c>
      <c r="AP99" s="997">
        <f t="shared" si="107"/>
        <v>0</v>
      </c>
      <c r="AQ99" s="998">
        <f t="shared" si="107"/>
        <v>499</v>
      </c>
      <c r="AR99" s="996">
        <f t="shared" si="107"/>
        <v>205</v>
      </c>
      <c r="AS99" s="997">
        <f t="shared" si="107"/>
        <v>258</v>
      </c>
      <c r="AT99" s="997">
        <f t="shared" si="107"/>
        <v>0</v>
      </c>
      <c r="AU99" s="998">
        <f t="shared" si="89"/>
        <v>463</v>
      </c>
      <c r="AV99" s="996">
        <f t="shared" ref="AV99:AX99" si="108">SUM(AV95:AV98)</f>
        <v>201</v>
      </c>
      <c r="AW99" s="997">
        <f t="shared" si="108"/>
        <v>244</v>
      </c>
      <c r="AX99" s="997">
        <f t="shared" si="108"/>
        <v>0</v>
      </c>
      <c r="AY99" s="998">
        <f t="shared" si="90"/>
        <v>445</v>
      </c>
      <c r="AZ99" s="996">
        <f t="shared" si="107"/>
        <v>182</v>
      </c>
      <c r="BA99" s="997">
        <f t="shared" si="107"/>
        <v>195</v>
      </c>
      <c r="BB99" s="997">
        <f t="shared" si="107"/>
        <v>0</v>
      </c>
      <c r="BC99" s="998">
        <f t="shared" ref="BC99:BK99" si="109">SUM(BC95:BC98)</f>
        <v>377</v>
      </c>
      <c r="BD99" s="996">
        <f t="shared" si="109"/>
        <v>168</v>
      </c>
      <c r="BE99" s="997">
        <f t="shared" si="109"/>
        <v>204</v>
      </c>
      <c r="BF99" s="997">
        <f t="shared" si="109"/>
        <v>0</v>
      </c>
      <c r="BG99" s="998">
        <f t="shared" si="109"/>
        <v>372</v>
      </c>
      <c r="BH99" s="996">
        <f t="shared" si="109"/>
        <v>223</v>
      </c>
      <c r="BI99" s="997">
        <f t="shared" si="109"/>
        <v>213</v>
      </c>
      <c r="BJ99" s="997">
        <f t="shared" si="109"/>
        <v>0</v>
      </c>
      <c r="BK99" s="998">
        <f t="shared" si="109"/>
        <v>436</v>
      </c>
      <c r="BL99" s="996">
        <f t="shared" ref="BL99:BS99" si="110">SUM(BL95:BL98)</f>
        <v>209</v>
      </c>
      <c r="BM99" s="997">
        <f t="shared" si="110"/>
        <v>244</v>
      </c>
      <c r="BN99" s="997">
        <f t="shared" si="110"/>
        <v>0</v>
      </c>
      <c r="BO99" s="998">
        <f t="shared" si="110"/>
        <v>453</v>
      </c>
      <c r="BP99" s="996">
        <f t="shared" si="110"/>
        <v>221</v>
      </c>
      <c r="BQ99" s="997">
        <f t="shared" si="110"/>
        <v>187</v>
      </c>
      <c r="BR99" s="997">
        <f t="shared" si="110"/>
        <v>0</v>
      </c>
      <c r="BS99" s="998">
        <f t="shared" si="110"/>
        <v>408</v>
      </c>
    </row>
    <row r="100" spans="1:71" s="980" customFormat="1" ht="15" customHeight="1" x14ac:dyDescent="0.25">
      <c r="A100" s="5100"/>
      <c r="B100" s="4033"/>
      <c r="C100" s="4029" t="s">
        <v>450</v>
      </c>
      <c r="D100" s="4030">
        <v>839</v>
      </c>
      <c r="E100" s="4031">
        <v>999</v>
      </c>
      <c r="F100" s="4031">
        <v>289</v>
      </c>
      <c r="G100" s="4032">
        <v>2127</v>
      </c>
      <c r="H100" s="4030">
        <v>844</v>
      </c>
      <c r="I100" s="4031">
        <v>1170</v>
      </c>
      <c r="J100" s="4031">
        <v>330</v>
      </c>
      <c r="K100" s="4032">
        <v>2344</v>
      </c>
      <c r="L100" s="4030">
        <v>802</v>
      </c>
      <c r="M100" s="4031">
        <v>1091</v>
      </c>
      <c r="N100" s="4031">
        <v>359</v>
      </c>
      <c r="O100" s="4032">
        <v>2252</v>
      </c>
      <c r="P100" s="4030">
        <v>975</v>
      </c>
      <c r="Q100" s="4031">
        <v>1190</v>
      </c>
      <c r="R100" s="4031">
        <v>357</v>
      </c>
      <c r="S100" s="4032">
        <v>2522</v>
      </c>
      <c r="T100" s="4030">
        <f t="shared" ref="T100:BB100" si="111">SUM(T99,T94,T85)</f>
        <v>920</v>
      </c>
      <c r="U100" s="4031">
        <f t="shared" si="111"/>
        <v>947</v>
      </c>
      <c r="V100" s="4031">
        <f t="shared" si="111"/>
        <v>319</v>
      </c>
      <c r="W100" s="4032">
        <f t="shared" si="111"/>
        <v>2186</v>
      </c>
      <c r="X100" s="4030">
        <f t="shared" si="111"/>
        <v>704</v>
      </c>
      <c r="Y100" s="4031">
        <f t="shared" si="111"/>
        <v>984</v>
      </c>
      <c r="Z100" s="4031">
        <f t="shared" si="111"/>
        <v>291</v>
      </c>
      <c r="AA100" s="4032">
        <f t="shared" si="111"/>
        <v>1979</v>
      </c>
      <c r="AB100" s="4030">
        <f t="shared" si="111"/>
        <v>708</v>
      </c>
      <c r="AC100" s="4031">
        <f t="shared" si="111"/>
        <v>1050</v>
      </c>
      <c r="AD100" s="4031">
        <f t="shared" si="111"/>
        <v>288</v>
      </c>
      <c r="AE100" s="4032">
        <f t="shared" si="111"/>
        <v>2046</v>
      </c>
      <c r="AF100" s="4030">
        <f t="shared" si="111"/>
        <v>810</v>
      </c>
      <c r="AG100" s="4031">
        <f t="shared" si="111"/>
        <v>1030</v>
      </c>
      <c r="AH100" s="4031">
        <f t="shared" si="111"/>
        <v>303</v>
      </c>
      <c r="AI100" s="4032">
        <f t="shared" si="111"/>
        <v>2143</v>
      </c>
      <c r="AJ100" s="4030">
        <f t="shared" si="111"/>
        <v>791</v>
      </c>
      <c r="AK100" s="4031">
        <f t="shared" si="111"/>
        <v>1126</v>
      </c>
      <c r="AL100" s="4031">
        <f t="shared" si="111"/>
        <v>360</v>
      </c>
      <c r="AM100" s="4032">
        <f t="shared" si="111"/>
        <v>2277</v>
      </c>
      <c r="AN100" s="4030">
        <f t="shared" si="111"/>
        <v>1096</v>
      </c>
      <c r="AO100" s="4031">
        <f t="shared" si="111"/>
        <v>1256</v>
      </c>
      <c r="AP100" s="4031">
        <f t="shared" si="111"/>
        <v>366</v>
      </c>
      <c r="AQ100" s="4032">
        <f t="shared" si="111"/>
        <v>2718</v>
      </c>
      <c r="AR100" s="4216">
        <f t="shared" si="111"/>
        <v>934</v>
      </c>
      <c r="AS100" s="4217">
        <f t="shared" si="111"/>
        <v>1341</v>
      </c>
      <c r="AT100" s="4217">
        <f t="shared" si="111"/>
        <v>399</v>
      </c>
      <c r="AU100" s="4218">
        <f t="shared" si="89"/>
        <v>2674</v>
      </c>
      <c r="AV100" s="4216">
        <f t="shared" ref="AV100:AX100" si="112">SUM(AV99,AV94,AV85)</f>
        <v>974</v>
      </c>
      <c r="AW100" s="4217">
        <f t="shared" si="112"/>
        <v>1173</v>
      </c>
      <c r="AX100" s="4217">
        <f t="shared" si="112"/>
        <v>373</v>
      </c>
      <c r="AY100" s="4218">
        <f t="shared" si="90"/>
        <v>2520</v>
      </c>
      <c r="AZ100" s="4030">
        <f t="shared" si="111"/>
        <v>887</v>
      </c>
      <c r="BA100" s="4031">
        <f t="shared" si="111"/>
        <v>1128</v>
      </c>
      <c r="BB100" s="4031">
        <f t="shared" si="111"/>
        <v>338</v>
      </c>
      <c r="BC100" s="4032">
        <f>SUM(BC85,BC94,BC99)</f>
        <v>2353</v>
      </c>
      <c r="BD100" s="4030">
        <f t="shared" ref="BD100:BK100" si="113">SUM(BD99,BD94,BD85)</f>
        <v>871</v>
      </c>
      <c r="BE100" s="4031">
        <f t="shared" si="113"/>
        <v>1166</v>
      </c>
      <c r="BF100" s="4031">
        <f t="shared" si="113"/>
        <v>314</v>
      </c>
      <c r="BG100" s="4032">
        <f t="shared" si="113"/>
        <v>2351</v>
      </c>
      <c r="BH100" s="4030">
        <f t="shared" si="113"/>
        <v>942</v>
      </c>
      <c r="BI100" s="4031">
        <f t="shared" si="113"/>
        <v>1169</v>
      </c>
      <c r="BJ100" s="4031">
        <f t="shared" si="113"/>
        <v>380</v>
      </c>
      <c r="BK100" s="4032">
        <f t="shared" si="113"/>
        <v>2491</v>
      </c>
      <c r="BL100" s="4030">
        <f t="shared" ref="BL100:BS100" si="114">SUM(BL99,BL94,BL85)</f>
        <v>856</v>
      </c>
      <c r="BM100" s="4031">
        <f t="shared" si="114"/>
        <v>1171</v>
      </c>
      <c r="BN100" s="4031">
        <f t="shared" si="114"/>
        <v>361</v>
      </c>
      <c r="BO100" s="4032">
        <f t="shared" si="114"/>
        <v>2388</v>
      </c>
      <c r="BP100" s="4030">
        <f t="shared" si="114"/>
        <v>924</v>
      </c>
      <c r="BQ100" s="4031">
        <f t="shared" si="114"/>
        <v>1071</v>
      </c>
      <c r="BR100" s="4031">
        <f t="shared" si="114"/>
        <v>365</v>
      </c>
      <c r="BS100" s="4032">
        <f t="shared" si="114"/>
        <v>2360</v>
      </c>
    </row>
    <row r="101" spans="1:71" s="980" customFormat="1" ht="15" customHeight="1" x14ac:dyDescent="0.2"/>
    <row r="102" spans="1:71" s="980" customFormat="1" ht="15" customHeight="1" x14ac:dyDescent="0.25">
      <c r="A102" s="188"/>
      <c r="B102" s="5205" t="s">
        <v>76</v>
      </c>
      <c r="C102" s="5206"/>
      <c r="D102" s="1014">
        <f t="shared" ref="D102:AT102" si="115">SUM(D25,D40,D70,D100)</f>
        <v>1681</v>
      </c>
      <c r="E102" s="1015">
        <f t="shared" si="115"/>
        <v>1864</v>
      </c>
      <c r="F102" s="1015">
        <f t="shared" si="115"/>
        <v>981</v>
      </c>
      <c r="G102" s="1016">
        <f t="shared" si="115"/>
        <v>4526</v>
      </c>
      <c r="H102" s="1014">
        <f t="shared" si="115"/>
        <v>1629</v>
      </c>
      <c r="I102" s="1015">
        <f t="shared" si="115"/>
        <v>1923</v>
      </c>
      <c r="J102" s="1015">
        <f t="shared" si="115"/>
        <v>1010</v>
      </c>
      <c r="K102" s="1016">
        <f t="shared" si="115"/>
        <v>4562</v>
      </c>
      <c r="L102" s="1014">
        <f t="shared" si="115"/>
        <v>1616</v>
      </c>
      <c r="M102" s="1015">
        <f t="shared" si="115"/>
        <v>1869</v>
      </c>
      <c r="N102" s="1015">
        <f t="shared" si="115"/>
        <v>1006</v>
      </c>
      <c r="O102" s="1016">
        <f t="shared" si="115"/>
        <v>4491</v>
      </c>
      <c r="P102" s="1014">
        <f t="shared" si="115"/>
        <v>1722</v>
      </c>
      <c r="Q102" s="1015">
        <f t="shared" si="115"/>
        <v>1967</v>
      </c>
      <c r="R102" s="1015">
        <f t="shared" si="115"/>
        <v>1043</v>
      </c>
      <c r="S102" s="1016">
        <f t="shared" si="115"/>
        <v>4732</v>
      </c>
      <c r="T102" s="1014">
        <f t="shared" si="115"/>
        <v>1757</v>
      </c>
      <c r="U102" s="1015">
        <f t="shared" si="115"/>
        <v>1913</v>
      </c>
      <c r="V102" s="1015">
        <f t="shared" si="115"/>
        <v>1023</v>
      </c>
      <c r="W102" s="1016">
        <f t="shared" si="115"/>
        <v>4693</v>
      </c>
      <c r="X102" s="1014">
        <f t="shared" si="115"/>
        <v>1514</v>
      </c>
      <c r="Y102" s="1015">
        <f t="shared" si="115"/>
        <v>1926</v>
      </c>
      <c r="Z102" s="1015">
        <f t="shared" si="115"/>
        <v>1005</v>
      </c>
      <c r="AA102" s="1016">
        <f t="shared" si="115"/>
        <v>4445</v>
      </c>
      <c r="AB102" s="1014">
        <f t="shared" si="115"/>
        <v>1549</v>
      </c>
      <c r="AC102" s="1015">
        <f t="shared" si="115"/>
        <v>1929</v>
      </c>
      <c r="AD102" s="1015">
        <f t="shared" si="115"/>
        <v>956</v>
      </c>
      <c r="AE102" s="1016">
        <f t="shared" si="115"/>
        <v>4434</v>
      </c>
      <c r="AF102" s="1014">
        <f t="shared" si="115"/>
        <v>1631</v>
      </c>
      <c r="AG102" s="1015">
        <f t="shared" si="115"/>
        <v>1902</v>
      </c>
      <c r="AH102" s="1015">
        <f t="shared" si="115"/>
        <v>1007</v>
      </c>
      <c r="AI102" s="1016">
        <f t="shared" si="115"/>
        <v>4540</v>
      </c>
      <c r="AJ102" s="1014">
        <f t="shared" si="115"/>
        <v>1551</v>
      </c>
      <c r="AK102" s="1015">
        <f t="shared" si="115"/>
        <v>1943</v>
      </c>
      <c r="AL102" s="1015">
        <f t="shared" si="115"/>
        <v>932</v>
      </c>
      <c r="AM102" s="1016">
        <f t="shared" si="115"/>
        <v>4426</v>
      </c>
      <c r="AN102" s="1014">
        <f t="shared" si="115"/>
        <v>1814</v>
      </c>
      <c r="AO102" s="1015">
        <f t="shared" si="115"/>
        <v>2082</v>
      </c>
      <c r="AP102" s="1015">
        <f t="shared" si="115"/>
        <v>961</v>
      </c>
      <c r="AQ102" s="1016">
        <f t="shared" si="115"/>
        <v>4857</v>
      </c>
      <c r="AR102" s="1014">
        <f t="shared" si="115"/>
        <v>1680</v>
      </c>
      <c r="AS102" s="1015">
        <f t="shared" si="115"/>
        <v>2222</v>
      </c>
      <c r="AT102" s="1015">
        <f t="shared" si="115"/>
        <v>949</v>
      </c>
      <c r="AU102" s="1016">
        <f t="shared" ref="AU102" si="116">SUM(AR102:AT102)</f>
        <v>4851</v>
      </c>
      <c r="AV102" s="1014">
        <f>SUM(AV25,AV40,AV70,AV100)</f>
        <v>1713</v>
      </c>
      <c r="AW102" s="1015">
        <f>SUM(AW25,AW40,AW70,AW100)</f>
        <v>2119</v>
      </c>
      <c r="AX102" s="1015">
        <f>SUM(AX25,AX40,AX70,AX100)</f>
        <v>1022</v>
      </c>
      <c r="AY102" s="1016">
        <f t="shared" ref="AY102" si="117">SUM(AV102:AX102)</f>
        <v>4854</v>
      </c>
      <c r="AZ102" s="1014">
        <f t="shared" ref="AZ102:BO102" si="118">SUM(AZ25,AZ40,AZ70,AZ100)</f>
        <v>1595</v>
      </c>
      <c r="BA102" s="1015">
        <f t="shared" si="118"/>
        <v>1959</v>
      </c>
      <c r="BB102" s="1015">
        <f t="shared" si="118"/>
        <v>894</v>
      </c>
      <c r="BC102" s="1016">
        <f t="shared" si="118"/>
        <v>4448</v>
      </c>
      <c r="BD102" s="1014">
        <f t="shared" si="118"/>
        <v>1620</v>
      </c>
      <c r="BE102" s="1015">
        <f t="shared" si="118"/>
        <v>2108</v>
      </c>
      <c r="BF102" s="1015">
        <f t="shared" si="118"/>
        <v>946</v>
      </c>
      <c r="BG102" s="1016">
        <f t="shared" si="118"/>
        <v>4674</v>
      </c>
      <c r="BH102" s="1014">
        <f t="shared" si="118"/>
        <v>1807</v>
      </c>
      <c r="BI102" s="1015">
        <f t="shared" si="118"/>
        <v>2329</v>
      </c>
      <c r="BJ102" s="1015">
        <f t="shared" si="118"/>
        <v>1198</v>
      </c>
      <c r="BK102" s="1016">
        <f t="shared" si="118"/>
        <v>5334</v>
      </c>
      <c r="BL102" s="1014">
        <f t="shared" si="118"/>
        <v>1785</v>
      </c>
      <c r="BM102" s="1015">
        <f t="shared" si="118"/>
        <v>2239</v>
      </c>
      <c r="BN102" s="1015">
        <f t="shared" si="118"/>
        <v>1039</v>
      </c>
      <c r="BO102" s="1016">
        <f t="shared" si="118"/>
        <v>5063</v>
      </c>
      <c r="BP102" s="1014">
        <f>SUM(BP25,BP40,BP70,BP78,BP100)</f>
        <v>1798</v>
      </c>
      <c r="BQ102" s="1015">
        <f t="shared" ref="BQ102:BS102" si="119">SUM(BQ25,BQ40,BQ70,BQ78,BQ100)</f>
        <v>2134</v>
      </c>
      <c r="BR102" s="1015">
        <f t="shared" si="119"/>
        <v>1215</v>
      </c>
      <c r="BS102" s="1016">
        <f t="shared" si="119"/>
        <v>5147</v>
      </c>
    </row>
    <row r="103" spans="1:71" ht="15" x14ac:dyDescent="0.2">
      <c r="A103" s="188"/>
      <c r="B103" s="1017"/>
      <c r="C103" s="1018"/>
      <c r="D103" s="1018"/>
      <c r="E103" s="1018"/>
      <c r="F103" s="1018"/>
      <c r="G103" s="1018"/>
      <c r="H103" s="1018"/>
      <c r="I103" s="1018"/>
      <c r="J103" s="1018"/>
      <c r="K103" s="1018"/>
      <c r="L103" s="1018"/>
      <c r="M103" s="1018"/>
      <c r="N103" s="1018"/>
      <c r="O103" s="1018"/>
      <c r="P103" s="1018"/>
      <c r="Q103" s="1018"/>
      <c r="R103" s="1018"/>
      <c r="S103" s="1018"/>
      <c r="T103" s="980"/>
      <c r="U103" s="980"/>
      <c r="V103" s="980"/>
      <c r="W103" s="980"/>
      <c r="X103" s="980"/>
      <c r="Y103" s="980"/>
      <c r="Z103" s="980"/>
      <c r="AA103" s="980"/>
      <c r="AB103" s="980"/>
      <c r="AC103" s="980"/>
      <c r="AD103" s="980"/>
      <c r="AE103" s="980"/>
      <c r="AF103" s="980"/>
      <c r="AG103" s="980"/>
      <c r="AH103" s="980"/>
      <c r="AI103" s="980"/>
      <c r="AJ103" s="980"/>
      <c r="AK103" s="980"/>
      <c r="AL103" s="980"/>
      <c r="AM103" s="980"/>
      <c r="AN103" s="980"/>
      <c r="AO103" s="980"/>
      <c r="AP103" s="980"/>
      <c r="AQ103" s="980"/>
      <c r="AR103" s="980"/>
      <c r="AS103" s="980"/>
      <c r="AT103" s="980"/>
      <c r="AU103" s="980"/>
      <c r="AV103" s="980"/>
      <c r="AW103" s="980"/>
      <c r="AX103" s="980"/>
      <c r="AY103" s="980"/>
      <c r="AZ103" s="1019"/>
    </row>
    <row r="104" spans="1:71" s="1019" customFormat="1" ht="15" x14ac:dyDescent="0.2">
      <c r="A104" s="188"/>
      <c r="B104" s="327" t="s">
        <v>132</v>
      </c>
      <c r="C104" s="1020"/>
      <c r="D104" s="1020"/>
      <c r="E104" s="1020"/>
      <c r="F104" s="1020"/>
      <c r="G104" s="1020"/>
      <c r="H104" s="1020"/>
      <c r="I104" s="1020"/>
      <c r="J104" s="1020"/>
      <c r="K104" s="1020"/>
      <c r="L104" s="1020"/>
      <c r="M104" s="1020"/>
      <c r="N104" s="1020"/>
      <c r="O104" s="1020"/>
      <c r="P104" s="1020"/>
      <c r="Q104" s="1020"/>
      <c r="R104" s="1020"/>
      <c r="S104" s="1020"/>
      <c r="T104" s="1020"/>
      <c r="U104" s="1020"/>
      <c r="V104" s="1020"/>
      <c r="W104" s="1020"/>
      <c r="X104" s="1020"/>
      <c r="Y104" s="1020"/>
      <c r="Z104" s="1020"/>
      <c r="AA104" s="1020"/>
      <c r="AB104" s="1020"/>
      <c r="AC104" s="1020"/>
      <c r="AD104" s="1020"/>
      <c r="AE104" s="1020"/>
      <c r="AF104" s="1020"/>
      <c r="AG104" s="1020"/>
      <c r="AH104" s="1020"/>
      <c r="AI104" s="1020"/>
      <c r="AJ104" s="1020"/>
      <c r="AK104" s="1020"/>
      <c r="AL104" s="1020"/>
      <c r="AM104" s="1020"/>
      <c r="AN104" s="1020"/>
      <c r="AO104" s="1020"/>
      <c r="AP104" s="1020"/>
      <c r="AQ104" s="1020"/>
      <c r="AR104" s="1020"/>
      <c r="AS104" s="1020"/>
      <c r="AT104" s="1020"/>
      <c r="AU104" s="1020"/>
      <c r="AV104" s="1020"/>
      <c r="AW104" s="1020"/>
      <c r="AX104" s="1020"/>
      <c r="AY104" s="1020"/>
      <c r="AZ104" s="980"/>
    </row>
    <row r="105" spans="1:71" s="980" customFormat="1" ht="15" x14ac:dyDescent="0.2">
      <c r="A105" s="1019"/>
      <c r="B105" s="327" t="s">
        <v>664</v>
      </c>
      <c r="C105" s="1020"/>
      <c r="D105" s="1020"/>
      <c r="E105" s="1020"/>
      <c r="F105" s="1020"/>
      <c r="G105" s="1020"/>
      <c r="H105" s="1020"/>
      <c r="I105" s="1020"/>
      <c r="J105" s="1020"/>
      <c r="K105" s="1020"/>
      <c r="L105" s="1020"/>
      <c r="M105" s="1020"/>
      <c r="N105" s="1020"/>
      <c r="O105" s="1020"/>
      <c r="P105" s="1020"/>
      <c r="Q105" s="1020"/>
      <c r="R105" s="1020"/>
      <c r="S105" s="1020"/>
      <c r="T105" s="1020"/>
      <c r="U105" s="1020"/>
      <c r="V105" s="1020"/>
      <c r="W105" s="1020"/>
      <c r="X105" s="1020"/>
      <c r="Y105" s="1020"/>
      <c r="Z105" s="1020"/>
      <c r="AA105" s="1020"/>
      <c r="AB105" s="1020"/>
      <c r="AC105" s="1020"/>
      <c r="AD105" s="1020"/>
      <c r="AE105" s="1020"/>
      <c r="AF105" s="1020"/>
      <c r="AG105" s="1020"/>
      <c r="AH105" s="1020"/>
      <c r="AI105" s="1020"/>
      <c r="AJ105" s="1020"/>
      <c r="AK105" s="1020"/>
      <c r="AL105" s="1020"/>
      <c r="AM105" s="1020"/>
      <c r="AN105" s="1020"/>
      <c r="AO105" s="1020"/>
      <c r="AP105" s="1020"/>
      <c r="AQ105" s="1020"/>
      <c r="AR105" s="1020"/>
      <c r="AS105" s="1020"/>
      <c r="AT105" s="1020"/>
      <c r="AU105" s="1020"/>
      <c r="AV105" s="1020"/>
      <c r="AW105" s="1020"/>
      <c r="AX105" s="1020"/>
      <c r="AY105" s="1020"/>
      <c r="AZ105" s="1020"/>
    </row>
  </sheetData>
  <mergeCells count="42">
    <mergeCell ref="BP3:BS3"/>
    <mergeCell ref="BL3:BO3"/>
    <mergeCell ref="BH3:BK3"/>
    <mergeCell ref="A26:A40"/>
    <mergeCell ref="B26:B30"/>
    <mergeCell ref="AZ3:BC3"/>
    <mergeCell ref="B31:B34"/>
    <mergeCell ref="B35:B39"/>
    <mergeCell ref="A5:A25"/>
    <mergeCell ref="B5:B15"/>
    <mergeCell ref="B16:B20"/>
    <mergeCell ref="B21:B24"/>
    <mergeCell ref="BD3:BG3"/>
    <mergeCell ref="A3:A4"/>
    <mergeCell ref="B3:B4"/>
    <mergeCell ref="C3:C4"/>
    <mergeCell ref="D3:G3"/>
    <mergeCell ref="H3:K3"/>
    <mergeCell ref="AJ3:AM3"/>
    <mergeCell ref="AN3:AQ3"/>
    <mergeCell ref="AR3:AU3"/>
    <mergeCell ref="L3:O3"/>
    <mergeCell ref="P3:S3"/>
    <mergeCell ref="AV3:AY3"/>
    <mergeCell ref="X3:AA3"/>
    <mergeCell ref="AB3:AE3"/>
    <mergeCell ref="AF3:AI3"/>
    <mergeCell ref="T3:W3"/>
    <mergeCell ref="A1:C1"/>
    <mergeCell ref="B102:C102"/>
    <mergeCell ref="A41:A70"/>
    <mergeCell ref="B41:B50"/>
    <mergeCell ref="B51:B62"/>
    <mergeCell ref="B63:B69"/>
    <mergeCell ref="A79:A100"/>
    <mergeCell ref="B79:B85"/>
    <mergeCell ref="B86:B94"/>
    <mergeCell ref="B95:B99"/>
    <mergeCell ref="A71:A78"/>
    <mergeCell ref="B73:B75"/>
    <mergeCell ref="B71:B72"/>
    <mergeCell ref="B76:B77"/>
  </mergeCells>
  <printOptions horizontalCentered="1" verticalCentered="1"/>
  <pageMargins left="0.55118110236220474" right="0.47244094488188981" top="0.11811023622047245" bottom="0.19685039370078741" header="0" footer="0.31496062992125984"/>
  <pageSetup scale="60" pageOrder="overThenDown" orientation="landscape" horizontalDpi="1200" verticalDpi="1200" r:id="rId1"/>
  <headerFooter alignWithMargins="0"/>
  <rowBreaks count="1" manualBreakCount="1">
    <brk id="40" max="16383" man="1"/>
  </rowBreaks>
  <colBreaks count="3" manualBreakCount="3">
    <brk id="19" max="1048575" man="1"/>
    <brk id="35" max="1048575" man="1"/>
    <brk id="51" max="1048575" man="1"/>
  </colBreaks>
  <ignoredErrors>
    <ignoredError sqref="BG5:BG14 BG95:BG100 BG21:BG24 BC79:BC84 BC86:BC93 W5:W14 W21:W23" formulaRange="1"/>
    <ignoredError sqref="BG39 BG15:BG20 BC85 W15:W20 BG28:BG37 BG79:BG94 BG26 BG41:BG70" formula="1" formulaRange="1"/>
    <ignoredError sqref="BC100 AA15:AI20 BK15 BK20 BK30:BK34 BK62 BK85:BK94 BO15:BO24 BO79:BO94 BO28:BO39 AM15:AQ20 AU102 AY101:AY102 BO26 BS15:BS20 BS50:BS62 BS85:BS94 BS30:BS34 BO41:BO70 BS72" formula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BR123"/>
  <sheetViews>
    <sheetView showGridLines="0" zoomScaleNormal="100" zoomScaleSheetLayoutView="70" workbookViewId="0">
      <pane xSplit="2" ySplit="5" topLeftCell="AZ21" activePane="bottomRight" state="frozen"/>
      <selection pane="topRight" activeCell="D1" sqref="D1"/>
      <selection pane="bottomLeft" activeCell="A8" sqref="A8"/>
      <selection pane="bottomRight" activeCell="BC1" sqref="BC1"/>
    </sheetView>
  </sheetViews>
  <sheetFormatPr baseColWidth="10" defaultRowHeight="12.75" x14ac:dyDescent="0.2"/>
  <cols>
    <col min="1" max="1" width="16" style="23" customWidth="1"/>
    <col min="2" max="2" width="9.140625" style="23" bestFit="1" customWidth="1"/>
    <col min="3" max="18" width="9.140625" style="23" customWidth="1"/>
    <col min="19" max="34" width="8.7109375" style="23" customWidth="1"/>
    <col min="35" max="37" width="7.7109375" style="23" customWidth="1"/>
    <col min="38" max="38" width="8.7109375" style="23" customWidth="1"/>
    <col min="39" max="41" width="7.7109375" style="23" customWidth="1"/>
    <col min="42" max="42" width="8.7109375" style="23" customWidth="1"/>
    <col min="43" max="45" width="7.7109375" style="23" customWidth="1"/>
    <col min="46" max="46" width="8.7109375" style="23" customWidth="1"/>
    <col min="47" max="49" width="7.7109375" style="23" customWidth="1"/>
    <col min="50" max="50" width="8.7109375" style="23" customWidth="1"/>
    <col min="51" max="53" width="7.7109375" style="23" customWidth="1"/>
    <col min="54" max="54" width="8.7109375" style="23" customWidth="1"/>
    <col min="55" max="70" width="7.7109375" style="23" customWidth="1"/>
    <col min="71" max="16384" width="11.42578125" style="23"/>
  </cols>
  <sheetData>
    <row r="1" spans="1:70" s="6" customFormat="1" ht="63.75" customHeight="1" x14ac:dyDescent="0.2">
      <c r="A1" s="5225" t="s">
        <v>1360</v>
      </c>
      <c r="B1" s="5225"/>
      <c r="C1" s="692"/>
      <c r="D1" s="692"/>
      <c r="E1" s="692"/>
      <c r="F1" s="692"/>
      <c r="G1" s="692"/>
      <c r="H1" s="692"/>
      <c r="I1" s="692"/>
      <c r="J1" s="692"/>
      <c r="K1" s="692"/>
      <c r="L1" s="692"/>
      <c r="M1" s="692"/>
      <c r="N1" s="692"/>
      <c r="O1" s="692"/>
      <c r="P1" s="692"/>
      <c r="Q1" s="692"/>
      <c r="R1" s="692"/>
      <c r="S1" s="692"/>
      <c r="T1" s="692"/>
      <c r="U1" s="692"/>
      <c r="V1" s="692"/>
      <c r="W1" s="692"/>
      <c r="X1" s="692"/>
      <c r="Y1" s="692"/>
      <c r="Z1" s="692"/>
      <c r="AA1" s="692"/>
      <c r="AB1" s="692"/>
      <c r="AC1" s="692"/>
      <c r="AD1" s="692"/>
      <c r="AE1" s="692"/>
      <c r="AF1" s="692"/>
      <c r="AG1" s="692"/>
      <c r="AH1" s="692"/>
      <c r="AI1" s="692"/>
      <c r="AJ1" s="692"/>
      <c r="AK1" s="692"/>
      <c r="AL1" s="692"/>
      <c r="AM1" s="692"/>
      <c r="AN1" s="692"/>
      <c r="AO1" s="692"/>
      <c r="AP1" s="692"/>
      <c r="BC1" s="806"/>
      <c r="BD1" s="806"/>
      <c r="BE1" s="806"/>
    </row>
    <row r="2" spans="1:70" s="6" customFormat="1" ht="15.75" x14ac:dyDescent="0.2">
      <c r="A2" s="692"/>
      <c r="B2" s="692"/>
      <c r="C2" s="692"/>
      <c r="D2" s="692"/>
      <c r="E2" s="692"/>
      <c r="F2" s="692"/>
      <c r="G2" s="692"/>
      <c r="H2" s="692"/>
      <c r="I2" s="692"/>
      <c r="J2" s="692"/>
      <c r="K2" s="692"/>
      <c r="L2" s="692"/>
      <c r="M2" s="692"/>
      <c r="N2" s="692"/>
      <c r="O2" s="692"/>
      <c r="P2" s="692"/>
      <c r="Q2" s="692"/>
      <c r="R2" s="692"/>
      <c r="S2" s="692"/>
      <c r="T2" s="692"/>
      <c r="U2" s="692"/>
      <c r="V2" s="692"/>
      <c r="W2" s="692"/>
      <c r="X2" s="692"/>
      <c r="Y2" s="692"/>
      <c r="Z2" s="692"/>
      <c r="AA2" s="692"/>
      <c r="AB2" s="692"/>
      <c r="AC2" s="692"/>
      <c r="AD2" s="692"/>
      <c r="AE2" s="692"/>
      <c r="AF2" s="692"/>
      <c r="AG2" s="692"/>
      <c r="AH2" s="692"/>
      <c r="AI2" s="692"/>
      <c r="AJ2" s="692"/>
      <c r="AK2" s="692"/>
      <c r="AL2" s="692"/>
      <c r="AM2" s="692"/>
      <c r="AN2" s="692"/>
      <c r="AO2" s="692"/>
      <c r="AP2" s="692"/>
    </row>
    <row r="3" spans="1:70" s="6" customFormat="1" ht="14.25" x14ac:dyDescent="0.2">
      <c r="A3" s="5106" t="s">
        <v>16</v>
      </c>
      <c r="B3" s="5106" t="s">
        <v>4</v>
      </c>
      <c r="C3" s="5215">
        <v>1999</v>
      </c>
      <c r="D3" s="5216"/>
      <c r="E3" s="5216"/>
      <c r="F3" s="5217"/>
      <c r="G3" s="5215">
        <v>2000</v>
      </c>
      <c r="H3" s="5216"/>
      <c r="I3" s="5216"/>
      <c r="J3" s="5217"/>
      <c r="K3" s="5215">
        <v>2001</v>
      </c>
      <c r="L3" s="5216"/>
      <c r="M3" s="5216"/>
      <c r="N3" s="5217"/>
      <c r="O3" s="5215">
        <v>2002</v>
      </c>
      <c r="P3" s="5216"/>
      <c r="Q3" s="5216"/>
      <c r="R3" s="5217"/>
      <c r="S3" s="5215">
        <v>2003</v>
      </c>
      <c r="T3" s="5216"/>
      <c r="U3" s="5216"/>
      <c r="V3" s="5217"/>
      <c r="W3" s="5215">
        <v>2004</v>
      </c>
      <c r="X3" s="5216"/>
      <c r="Y3" s="5216"/>
      <c r="Z3" s="5217"/>
      <c r="AA3" s="5215">
        <v>2005</v>
      </c>
      <c r="AB3" s="5216"/>
      <c r="AC3" s="5216"/>
      <c r="AD3" s="5217"/>
      <c r="AE3" s="5215">
        <v>2006</v>
      </c>
      <c r="AF3" s="5216"/>
      <c r="AG3" s="5216"/>
      <c r="AH3" s="5217"/>
      <c r="AI3" s="5215">
        <v>2007</v>
      </c>
      <c r="AJ3" s="5216"/>
      <c r="AK3" s="5216"/>
      <c r="AL3" s="5217"/>
      <c r="AM3" s="5215">
        <v>2008</v>
      </c>
      <c r="AN3" s="5216"/>
      <c r="AO3" s="5216"/>
      <c r="AP3" s="5217"/>
      <c r="AQ3" s="5215">
        <v>2009</v>
      </c>
      <c r="AR3" s="5216"/>
      <c r="AS3" s="5216"/>
      <c r="AT3" s="5217"/>
      <c r="AU3" s="5215">
        <v>2010</v>
      </c>
      <c r="AV3" s="5216"/>
      <c r="AW3" s="5216"/>
      <c r="AX3" s="5217"/>
      <c r="AY3" s="5215">
        <v>2011</v>
      </c>
      <c r="AZ3" s="5216"/>
      <c r="BA3" s="5216"/>
      <c r="BB3" s="5217"/>
      <c r="BC3" s="5215">
        <v>2012</v>
      </c>
      <c r="BD3" s="5216"/>
      <c r="BE3" s="5216"/>
      <c r="BF3" s="5217"/>
      <c r="BG3" s="5215">
        <v>2013</v>
      </c>
      <c r="BH3" s="5216"/>
      <c r="BI3" s="5216"/>
      <c r="BJ3" s="5217"/>
      <c r="BK3" s="5215">
        <v>2014</v>
      </c>
      <c r="BL3" s="5216"/>
      <c r="BM3" s="5216"/>
      <c r="BN3" s="5217"/>
      <c r="BO3" s="5215">
        <v>2015</v>
      </c>
      <c r="BP3" s="5216"/>
      <c r="BQ3" s="5216"/>
      <c r="BR3" s="5217"/>
    </row>
    <row r="4" spans="1:70" s="36" customFormat="1" ht="15.75" x14ac:dyDescent="0.2">
      <c r="A4" s="5106"/>
      <c r="B4" s="5106"/>
      <c r="C4" s="963" t="s">
        <v>523</v>
      </c>
      <c r="D4" s="965" t="s">
        <v>524</v>
      </c>
      <c r="E4" s="964" t="s">
        <v>525</v>
      </c>
      <c r="F4" s="1030" t="s">
        <v>160</v>
      </c>
      <c r="G4" s="963" t="s">
        <v>523</v>
      </c>
      <c r="H4" s="965" t="s">
        <v>524</v>
      </c>
      <c r="I4" s="964" t="s">
        <v>525</v>
      </c>
      <c r="J4" s="1030" t="s">
        <v>160</v>
      </c>
      <c r="K4" s="963" t="s">
        <v>670</v>
      </c>
      <c r="L4" s="965" t="s">
        <v>668</v>
      </c>
      <c r="M4" s="964" t="s">
        <v>669</v>
      </c>
      <c r="N4" s="1030" t="s">
        <v>160</v>
      </c>
      <c r="O4" s="1835" t="s">
        <v>670</v>
      </c>
      <c r="P4" s="1837" t="s">
        <v>668</v>
      </c>
      <c r="Q4" s="1836" t="s">
        <v>669</v>
      </c>
      <c r="R4" s="1030" t="s">
        <v>160</v>
      </c>
      <c r="S4" s="1835" t="s">
        <v>670</v>
      </c>
      <c r="T4" s="1837" t="s">
        <v>668</v>
      </c>
      <c r="U4" s="1836" t="s">
        <v>669</v>
      </c>
      <c r="V4" s="1030" t="s">
        <v>160</v>
      </c>
      <c r="W4" s="1835" t="s">
        <v>670</v>
      </c>
      <c r="X4" s="1837" t="s">
        <v>668</v>
      </c>
      <c r="Y4" s="1836" t="s">
        <v>669</v>
      </c>
      <c r="Z4" s="1030" t="s">
        <v>160</v>
      </c>
      <c r="AA4" s="1835" t="s">
        <v>670</v>
      </c>
      <c r="AB4" s="1837" t="s">
        <v>668</v>
      </c>
      <c r="AC4" s="1836" t="s">
        <v>669</v>
      </c>
      <c r="AD4" s="1030" t="s">
        <v>160</v>
      </c>
      <c r="AE4" s="1835" t="s">
        <v>670</v>
      </c>
      <c r="AF4" s="1837" t="s">
        <v>668</v>
      </c>
      <c r="AG4" s="1836" t="s">
        <v>669</v>
      </c>
      <c r="AH4" s="1030" t="s">
        <v>160</v>
      </c>
      <c r="AI4" s="1835" t="s">
        <v>670</v>
      </c>
      <c r="AJ4" s="1837" t="s">
        <v>668</v>
      </c>
      <c r="AK4" s="1836" t="s">
        <v>669</v>
      </c>
      <c r="AL4" s="1030" t="s">
        <v>160</v>
      </c>
      <c r="AM4" s="1835" t="s">
        <v>670</v>
      </c>
      <c r="AN4" s="1837" t="s">
        <v>668</v>
      </c>
      <c r="AO4" s="1836" t="s">
        <v>669</v>
      </c>
      <c r="AP4" s="1030" t="s">
        <v>160</v>
      </c>
      <c r="AQ4" s="1835" t="s">
        <v>670</v>
      </c>
      <c r="AR4" s="1837" t="s">
        <v>668</v>
      </c>
      <c r="AS4" s="1836" t="s">
        <v>669</v>
      </c>
      <c r="AT4" s="1030" t="s">
        <v>160</v>
      </c>
      <c r="AU4" s="1835" t="s">
        <v>670</v>
      </c>
      <c r="AV4" s="1837" t="s">
        <v>668</v>
      </c>
      <c r="AW4" s="1836" t="s">
        <v>669</v>
      </c>
      <c r="AX4" s="1030" t="s">
        <v>160</v>
      </c>
      <c r="AY4" s="1835" t="s">
        <v>670</v>
      </c>
      <c r="AZ4" s="1837" t="s">
        <v>668</v>
      </c>
      <c r="BA4" s="1836" t="s">
        <v>669</v>
      </c>
      <c r="BB4" s="1030" t="s">
        <v>160</v>
      </c>
      <c r="BC4" s="1835" t="s">
        <v>670</v>
      </c>
      <c r="BD4" s="1837" t="s">
        <v>668</v>
      </c>
      <c r="BE4" s="1836" t="s">
        <v>669</v>
      </c>
      <c r="BF4" s="1030" t="s">
        <v>160</v>
      </c>
      <c r="BG4" s="1835" t="s">
        <v>670</v>
      </c>
      <c r="BH4" s="1837" t="s">
        <v>668</v>
      </c>
      <c r="BI4" s="1836" t="s">
        <v>669</v>
      </c>
      <c r="BJ4" s="1030" t="s">
        <v>160</v>
      </c>
      <c r="BK4" s="2060" t="s">
        <v>670</v>
      </c>
      <c r="BL4" s="2063" t="s">
        <v>668</v>
      </c>
      <c r="BM4" s="2061" t="s">
        <v>669</v>
      </c>
      <c r="BN4" s="1030" t="s">
        <v>160</v>
      </c>
      <c r="BO4" s="2060" t="s">
        <v>670</v>
      </c>
      <c r="BP4" s="2063" t="s">
        <v>668</v>
      </c>
      <c r="BQ4" s="2061" t="s">
        <v>669</v>
      </c>
      <c r="BR4" s="1030" t="s">
        <v>160</v>
      </c>
    </row>
    <row r="5" spans="1:70" s="6" customFormat="1" ht="15" x14ac:dyDescent="0.2">
      <c r="A5" s="741"/>
      <c r="B5" s="741"/>
      <c r="C5" s="741"/>
      <c r="D5" s="741"/>
      <c r="E5" s="741"/>
      <c r="F5" s="741"/>
      <c r="G5" s="741"/>
      <c r="H5" s="741"/>
      <c r="I5" s="741"/>
      <c r="J5" s="741"/>
      <c r="K5" s="741"/>
      <c r="L5" s="741"/>
      <c r="M5" s="741"/>
      <c r="N5" s="741"/>
      <c r="O5" s="741"/>
      <c r="P5" s="741"/>
      <c r="Q5" s="741"/>
      <c r="R5" s="741"/>
      <c r="S5" s="741"/>
      <c r="T5" s="741"/>
      <c r="U5" s="741"/>
      <c r="V5" s="741"/>
      <c r="W5" s="741"/>
      <c r="X5" s="741"/>
      <c r="Y5" s="741"/>
      <c r="Z5" s="741"/>
      <c r="AA5" s="741"/>
      <c r="AB5" s="741"/>
      <c r="AC5" s="741"/>
      <c r="AD5" s="741"/>
      <c r="AE5" s="741"/>
      <c r="AF5" s="741"/>
      <c r="AG5" s="741"/>
      <c r="AH5" s="741"/>
      <c r="AI5" s="741"/>
      <c r="AJ5" s="741"/>
      <c r="AK5" s="741"/>
      <c r="AL5" s="741"/>
      <c r="AM5" s="741"/>
      <c r="AN5" s="741"/>
      <c r="AO5" s="741"/>
      <c r="AP5" s="741"/>
      <c r="AQ5" s="741"/>
      <c r="AR5" s="741"/>
      <c r="AS5" s="741"/>
      <c r="AT5" s="741"/>
      <c r="AU5" s="741"/>
      <c r="AV5" s="741"/>
      <c r="AW5" s="741"/>
      <c r="AX5" s="741"/>
      <c r="AY5" s="741"/>
      <c r="AZ5" s="741"/>
      <c r="BA5" s="741"/>
      <c r="BB5" s="741"/>
      <c r="BC5" s="741"/>
      <c r="BD5" s="741"/>
      <c r="BE5" s="741"/>
      <c r="BF5" s="741"/>
      <c r="BG5" s="741"/>
      <c r="BH5" s="741"/>
      <c r="BI5" s="741"/>
      <c r="BJ5" s="741"/>
      <c r="BK5" s="741"/>
      <c r="BL5" s="741"/>
      <c r="BM5" s="741"/>
      <c r="BN5" s="741"/>
      <c r="BO5" s="741"/>
      <c r="BP5" s="741"/>
      <c r="BQ5" s="741"/>
      <c r="BR5" s="741"/>
    </row>
    <row r="6" spans="1:70" s="6" customFormat="1" ht="15" customHeight="1" x14ac:dyDescent="0.2">
      <c r="A6" s="5146" t="s">
        <v>161</v>
      </c>
      <c r="B6" s="246" t="s">
        <v>5</v>
      </c>
      <c r="C6" s="742">
        <f>SUM('EGRESO plan'!D5:D14)</f>
        <v>146</v>
      </c>
      <c r="D6" s="743">
        <f>SUM('EGRESO plan'!E5:E14)</f>
        <v>143</v>
      </c>
      <c r="E6" s="743">
        <f>SUM('EGRESO plan'!F5:F14)</f>
        <v>124</v>
      </c>
      <c r="F6" s="744">
        <f>SUM('EGRESO plan'!G5:G14)</f>
        <v>413</v>
      </c>
      <c r="G6" s="742">
        <f>SUM('EGRESO plan'!H5:H14)</f>
        <v>104</v>
      </c>
      <c r="H6" s="743">
        <f>SUM('EGRESO plan'!I5:I14)</f>
        <v>121</v>
      </c>
      <c r="I6" s="743">
        <f>SUM('EGRESO plan'!J5:J14)</f>
        <v>110</v>
      </c>
      <c r="J6" s="744">
        <f>SUM('EGRESO plan'!K5:K14)</f>
        <v>335</v>
      </c>
      <c r="K6" s="742">
        <f>SUM('EGRESO plan'!L5:L14)</f>
        <v>119</v>
      </c>
      <c r="L6" s="743">
        <f>SUM('EGRESO plan'!M5:M14)</f>
        <v>107</v>
      </c>
      <c r="M6" s="743">
        <f>SUM('EGRESO plan'!N5:N14)</f>
        <v>92</v>
      </c>
      <c r="N6" s="744">
        <f>SUM('EGRESO plan'!O5:O14)</f>
        <v>318</v>
      </c>
      <c r="O6" s="742">
        <f>SUM('EGRESO plan'!P5:P14)</f>
        <v>103</v>
      </c>
      <c r="P6" s="743">
        <f>SUM('EGRESO plan'!Q5:Q14)</f>
        <v>133</v>
      </c>
      <c r="Q6" s="743">
        <f>SUM('EGRESO plan'!R5:R14)</f>
        <v>115</v>
      </c>
      <c r="R6" s="744">
        <f>SUM('EGRESO plan'!S5:S14)</f>
        <v>351</v>
      </c>
      <c r="S6" s="742">
        <f>SUM('EGRESO plan'!T5:T14)</f>
        <v>162</v>
      </c>
      <c r="T6" s="743">
        <f>SUM('EGRESO plan'!U5:U14)</f>
        <v>150</v>
      </c>
      <c r="U6" s="743">
        <f>SUM('EGRESO plan'!V5:V14)</f>
        <v>108</v>
      </c>
      <c r="V6" s="744">
        <f>SUM('EGRESO plan'!W5:W14)</f>
        <v>420</v>
      </c>
      <c r="W6" s="742">
        <f>SUM('EGRESO plan'!X5:X14)</f>
        <v>105</v>
      </c>
      <c r="X6" s="743">
        <f>SUM('EGRESO plan'!Y5:Y14)</f>
        <v>144</v>
      </c>
      <c r="Y6" s="743">
        <f>SUM('EGRESO plan'!Z5:Z14)</f>
        <v>119</v>
      </c>
      <c r="Z6" s="744">
        <f>SUM('EGRESO plan'!AA5:AA14)</f>
        <v>368</v>
      </c>
      <c r="AA6" s="742">
        <f>SUM('EGRESO plan'!AB5:AB14)</f>
        <v>119</v>
      </c>
      <c r="AB6" s="743">
        <f>SUM('EGRESO plan'!AC5:AC14)</f>
        <v>150</v>
      </c>
      <c r="AC6" s="743">
        <f>SUM('EGRESO plan'!AD5:AD14)</f>
        <v>133</v>
      </c>
      <c r="AD6" s="744">
        <f>SUM('EGRESO plan'!AE5:AE14)</f>
        <v>402</v>
      </c>
      <c r="AE6" s="742">
        <f>SUM('EGRESO plan'!AF5:AF14)</f>
        <v>131</v>
      </c>
      <c r="AF6" s="743">
        <f>SUM('EGRESO plan'!AG5:AG14)</f>
        <v>133</v>
      </c>
      <c r="AG6" s="743">
        <f>SUM('EGRESO plan'!AH5:AH14)</f>
        <v>124</v>
      </c>
      <c r="AH6" s="744">
        <f>SUM('EGRESO plan'!AI5:AI14)</f>
        <v>388</v>
      </c>
      <c r="AI6" s="742">
        <f>SUM('EGRESO plan'!AJ5:AJ14)</f>
        <v>102</v>
      </c>
      <c r="AJ6" s="743">
        <f>SUM('EGRESO plan'!AK5:AK14)</f>
        <v>141</v>
      </c>
      <c r="AK6" s="743">
        <f>SUM('EGRESO plan'!AL5:AL14)</f>
        <v>96</v>
      </c>
      <c r="AL6" s="744">
        <f>SUM('EGRESO plan'!AM5:AM14)</f>
        <v>339</v>
      </c>
      <c r="AM6" s="742">
        <f>SUM('EGRESO plan'!AN5:AN14)</f>
        <v>126</v>
      </c>
      <c r="AN6" s="743">
        <f>SUM('EGRESO plan'!AO5:AO14)</f>
        <v>134</v>
      </c>
      <c r="AO6" s="743">
        <f>SUM('EGRESO plan'!AP5:AP14)</f>
        <v>102</v>
      </c>
      <c r="AP6" s="744">
        <f>SUM('EGRESO plan'!AQ5:AQ14)</f>
        <v>362</v>
      </c>
      <c r="AQ6" s="742">
        <f>SUM('EGRESO plan'!AR5:AR14)</f>
        <v>105</v>
      </c>
      <c r="AR6" s="743">
        <f>SUM('EGRESO plan'!AS5:AS14)</f>
        <v>135</v>
      </c>
      <c r="AS6" s="743">
        <f>SUM('EGRESO plan'!AT5:AT14)</f>
        <v>110</v>
      </c>
      <c r="AT6" s="744">
        <f>SUM('EGRESO plan'!AU5:AU14)</f>
        <v>350</v>
      </c>
      <c r="AU6" s="742">
        <f>SUM('EGRESO plan'!AV5:AV14)</f>
        <v>124</v>
      </c>
      <c r="AV6" s="743">
        <f>SUM('EGRESO plan'!AW5:AW14)</f>
        <v>149</v>
      </c>
      <c r="AW6" s="743">
        <f>SUM('EGRESO plan'!AX5:AX14)</f>
        <v>95</v>
      </c>
      <c r="AX6" s="744">
        <f>SUM('EGRESO plan'!AY5:AY14)</f>
        <v>368</v>
      </c>
      <c r="AY6" s="742">
        <f>SUM('EGRESO plan'!AZ5:AZ14)</f>
        <v>129</v>
      </c>
      <c r="AZ6" s="743">
        <f>SUM('EGRESO plan'!BA5:BA14)</f>
        <v>151</v>
      </c>
      <c r="BA6" s="743">
        <f>SUM('EGRESO plan'!BB5:BB14)</f>
        <v>124</v>
      </c>
      <c r="BB6" s="744">
        <f>SUM('EGRESO plan'!BC5:BC14)</f>
        <v>404</v>
      </c>
      <c r="BC6" s="742">
        <f>SUM('EGRESO plan'!BD5:BD14)</f>
        <v>110</v>
      </c>
      <c r="BD6" s="743">
        <f>SUM('EGRESO plan'!BE5:BE14)</f>
        <v>135</v>
      </c>
      <c r="BE6" s="743">
        <f>SUM('EGRESO plan'!BF5:BF14)</f>
        <v>117</v>
      </c>
      <c r="BF6" s="744">
        <f>SUM('EGRESO plan'!BG5:BG14)</f>
        <v>362</v>
      </c>
      <c r="BG6" s="742">
        <f>SUM('EGRESO plan'!BH5:BH14)</f>
        <v>143</v>
      </c>
      <c r="BH6" s="743">
        <f>SUM('EGRESO plan'!BI5:BI14)</f>
        <v>205</v>
      </c>
      <c r="BI6" s="743">
        <f>SUM('EGRESO plan'!BJ5:BJ14)</f>
        <v>174</v>
      </c>
      <c r="BJ6" s="744">
        <f>SUM('EGRESO plan'!BK5:BK14)</f>
        <v>522</v>
      </c>
      <c r="BK6" s="742">
        <f>SUM('EGRESO plan'!BL5:BL14)</f>
        <v>231</v>
      </c>
      <c r="BL6" s="743">
        <f>SUM('EGRESO plan'!BM5:BM14)</f>
        <v>201</v>
      </c>
      <c r="BM6" s="743">
        <f>SUM('EGRESO plan'!BN5:BN14)</f>
        <v>142</v>
      </c>
      <c r="BN6" s="744">
        <f>SUM('EGRESO plan'!BO5:BO14)</f>
        <v>574</v>
      </c>
      <c r="BO6" s="742">
        <f>SUM('EGRESO plan'!BP5:BP14)</f>
        <v>178</v>
      </c>
      <c r="BP6" s="743">
        <f>SUM('EGRESO plan'!BQ5:BQ14)</f>
        <v>174</v>
      </c>
      <c r="BQ6" s="743">
        <f>SUM('EGRESO plan'!BR5:BR14)</f>
        <v>175</v>
      </c>
      <c r="BR6" s="744">
        <f>SUM('EGRESO plan'!BS5:BS14)</f>
        <v>527</v>
      </c>
    </row>
    <row r="7" spans="1:70" s="6" customFormat="1" ht="15" customHeight="1" x14ac:dyDescent="0.2">
      <c r="A7" s="5147"/>
      <c r="B7" s="247" t="s">
        <v>6</v>
      </c>
      <c r="C7" s="745">
        <f>SUM('EGRESO plan'!D16:D19)</f>
        <v>198</v>
      </c>
      <c r="D7" s="746">
        <f>SUM('EGRESO plan'!E16:E19)</f>
        <v>234</v>
      </c>
      <c r="E7" s="746">
        <f>SUM('EGRESO plan'!F16:F19)</f>
        <v>179</v>
      </c>
      <c r="F7" s="747">
        <f>SUM('EGRESO plan'!G16:G19)</f>
        <v>611</v>
      </c>
      <c r="G7" s="745">
        <f>SUM('EGRESO plan'!H16:H19)</f>
        <v>235</v>
      </c>
      <c r="H7" s="746">
        <f>SUM('EGRESO plan'!I16:I19)</f>
        <v>219</v>
      </c>
      <c r="I7" s="746">
        <f>SUM('EGRESO plan'!J16:J19)</f>
        <v>166</v>
      </c>
      <c r="J7" s="747">
        <f>SUM('EGRESO plan'!K16:K19)</f>
        <v>620</v>
      </c>
      <c r="K7" s="745">
        <f>SUM('EGRESO plan'!L16:L19)</f>
        <v>201</v>
      </c>
      <c r="L7" s="746">
        <f>SUM('EGRESO plan'!M16:M19)</f>
        <v>193</v>
      </c>
      <c r="M7" s="746">
        <f>SUM('EGRESO plan'!N16:N19)</f>
        <v>214</v>
      </c>
      <c r="N7" s="747">
        <f>SUM('EGRESO plan'!O16:O19)</f>
        <v>608</v>
      </c>
      <c r="O7" s="745">
        <f>SUM('EGRESO plan'!P16:P19)</f>
        <v>198</v>
      </c>
      <c r="P7" s="746">
        <f>SUM('EGRESO plan'!Q16:Q19)</f>
        <v>202</v>
      </c>
      <c r="Q7" s="746">
        <f>SUM('EGRESO plan'!R16:R19)</f>
        <v>185</v>
      </c>
      <c r="R7" s="747">
        <f>SUM('EGRESO plan'!S16:S19)</f>
        <v>585</v>
      </c>
      <c r="S7" s="745">
        <f>SUM('EGRESO plan'!T16:T19)</f>
        <v>180</v>
      </c>
      <c r="T7" s="746">
        <f>SUM('EGRESO plan'!U16:U19)</f>
        <v>258</v>
      </c>
      <c r="U7" s="746">
        <f>SUM('EGRESO plan'!V16:V19)</f>
        <v>189</v>
      </c>
      <c r="V7" s="747">
        <f>SUM('EGRESO plan'!W16:W19)</f>
        <v>627</v>
      </c>
      <c r="W7" s="745">
        <f>SUM('EGRESO plan'!X16:X19)</f>
        <v>192</v>
      </c>
      <c r="X7" s="746">
        <f>SUM('EGRESO plan'!Y16:Y19)</f>
        <v>238</v>
      </c>
      <c r="Y7" s="746">
        <f>SUM('EGRESO plan'!Z16:Z19)</f>
        <v>161</v>
      </c>
      <c r="Z7" s="747">
        <f>SUM('EGRESO plan'!AA16:AA19)</f>
        <v>591</v>
      </c>
      <c r="AA7" s="745">
        <f>SUM('EGRESO plan'!AB16:AB19)</f>
        <v>189</v>
      </c>
      <c r="AB7" s="746">
        <f>SUM('EGRESO plan'!AC16:AC19)</f>
        <v>203</v>
      </c>
      <c r="AC7" s="746">
        <f>SUM('EGRESO plan'!AD16:AD19)</f>
        <v>145</v>
      </c>
      <c r="AD7" s="747">
        <f>SUM('EGRESO plan'!AE16:AE19)</f>
        <v>537</v>
      </c>
      <c r="AE7" s="745">
        <f>SUM('EGRESO plan'!AF16:AF19)</f>
        <v>166</v>
      </c>
      <c r="AF7" s="746">
        <f>SUM('EGRESO plan'!AG16:AG19)</f>
        <v>176</v>
      </c>
      <c r="AG7" s="746">
        <f>SUM('EGRESO plan'!AH16:AH19)</f>
        <v>159</v>
      </c>
      <c r="AH7" s="747">
        <f>SUM('EGRESO plan'!AI16:AI19)</f>
        <v>501</v>
      </c>
      <c r="AI7" s="745">
        <f>SUM('EGRESO plan'!AJ16:AJ19)</f>
        <v>156</v>
      </c>
      <c r="AJ7" s="746">
        <f>SUM('EGRESO plan'!AK16:AK19)</f>
        <v>184</v>
      </c>
      <c r="AK7" s="746">
        <f>SUM('EGRESO plan'!AL16:AL19)</f>
        <v>148</v>
      </c>
      <c r="AL7" s="747">
        <f>SUM('EGRESO plan'!AM16:AM19)</f>
        <v>488</v>
      </c>
      <c r="AM7" s="745">
        <f>SUM('EGRESO plan'!AN16:AN19)</f>
        <v>170</v>
      </c>
      <c r="AN7" s="746">
        <f>SUM('EGRESO plan'!AO16:AO19)</f>
        <v>180</v>
      </c>
      <c r="AO7" s="746">
        <f>SUM('EGRESO plan'!AP16:AP19)</f>
        <v>139</v>
      </c>
      <c r="AP7" s="747">
        <f>SUM('EGRESO plan'!AQ16:AQ19)</f>
        <v>489</v>
      </c>
      <c r="AQ7" s="745">
        <f>SUM('EGRESO plan'!AR16:AR19)</f>
        <v>172</v>
      </c>
      <c r="AR7" s="746">
        <f>SUM('EGRESO plan'!AS16:AS19)</f>
        <v>202</v>
      </c>
      <c r="AS7" s="746">
        <f>SUM('EGRESO plan'!AT16:AT19)</f>
        <v>126</v>
      </c>
      <c r="AT7" s="747">
        <f>SUM('EGRESO plan'!AU16:AU19)</f>
        <v>500</v>
      </c>
      <c r="AU7" s="745">
        <f>SUM('EGRESO plan'!AV16:AV19)</f>
        <v>139</v>
      </c>
      <c r="AV7" s="746">
        <f>SUM('EGRESO plan'!AW16:AW19)</f>
        <v>235</v>
      </c>
      <c r="AW7" s="746">
        <f>SUM('EGRESO plan'!AX16:AX19)</f>
        <v>129</v>
      </c>
      <c r="AX7" s="747">
        <f>SUM('EGRESO plan'!AY16:AY19)</f>
        <v>503</v>
      </c>
      <c r="AY7" s="745">
        <f>SUM('EGRESO plan'!AZ16:AZ19)</f>
        <v>156</v>
      </c>
      <c r="AZ7" s="746">
        <f>SUM('EGRESO plan'!BA16:BA19)</f>
        <v>162</v>
      </c>
      <c r="BA7" s="746">
        <f>SUM('EGRESO plan'!BB16:BB19)</f>
        <v>121</v>
      </c>
      <c r="BB7" s="747">
        <f>SUM('EGRESO plan'!BC16:BC19)</f>
        <v>439</v>
      </c>
      <c r="BC7" s="745">
        <f>SUM('EGRESO plan'!BD16:BD19)</f>
        <v>160</v>
      </c>
      <c r="BD7" s="746">
        <f>SUM('EGRESO plan'!BE16:BE19)</f>
        <v>198</v>
      </c>
      <c r="BE7" s="746">
        <f>SUM('EGRESO plan'!BF16:BF19)</f>
        <v>166</v>
      </c>
      <c r="BF7" s="747">
        <f>SUM('EGRESO plan'!BG16:BG19)</f>
        <v>524</v>
      </c>
      <c r="BG7" s="745">
        <f>SUM('EGRESO plan'!BH16:BH19)</f>
        <v>243</v>
      </c>
      <c r="BH7" s="746">
        <f>SUM('EGRESO plan'!BI16:BI19)</f>
        <v>281</v>
      </c>
      <c r="BI7" s="746">
        <f>SUM('EGRESO plan'!BJ16:BJ19)</f>
        <v>200</v>
      </c>
      <c r="BJ7" s="747">
        <f>SUM('EGRESO plan'!BK16:BK19)</f>
        <v>724</v>
      </c>
      <c r="BK7" s="745">
        <f>SUM('EGRESO plan'!BL16:BL19)</f>
        <v>177</v>
      </c>
      <c r="BL7" s="746">
        <f>SUM('EGRESO plan'!BM16:BM19)</f>
        <v>224</v>
      </c>
      <c r="BM7" s="746">
        <f>SUM('EGRESO plan'!BN16:BN19)</f>
        <v>160</v>
      </c>
      <c r="BN7" s="747">
        <f>SUM('EGRESO plan'!BO16:BO19)</f>
        <v>561</v>
      </c>
      <c r="BO7" s="745">
        <f>SUM('EGRESO plan'!BP16:BP19)</f>
        <v>164</v>
      </c>
      <c r="BP7" s="746">
        <f>SUM('EGRESO plan'!BQ16:BQ19)</f>
        <v>258</v>
      </c>
      <c r="BQ7" s="746">
        <f>SUM('EGRESO plan'!BR16:BR19)</f>
        <v>207</v>
      </c>
      <c r="BR7" s="747">
        <f>SUM('EGRESO plan'!BS16:BS19)</f>
        <v>629</v>
      </c>
    </row>
    <row r="8" spans="1:70" s="6" customFormat="1" ht="15" customHeight="1" x14ac:dyDescent="0.2">
      <c r="A8" s="5147"/>
      <c r="B8" s="247" t="s">
        <v>7</v>
      </c>
      <c r="C8" s="745">
        <f>SUM('EGRESO plan'!D21:D23)</f>
        <v>129</v>
      </c>
      <c r="D8" s="746">
        <f>SUM('EGRESO plan'!E21:E23)</f>
        <v>110</v>
      </c>
      <c r="E8" s="746">
        <f>SUM('EGRESO plan'!F21:F23)</f>
        <v>146</v>
      </c>
      <c r="F8" s="747">
        <f>SUM('EGRESO plan'!G21:G23)</f>
        <v>385</v>
      </c>
      <c r="G8" s="745">
        <f>SUM('EGRESO plan'!H21:H23)</f>
        <v>158</v>
      </c>
      <c r="H8" s="746">
        <f>SUM('EGRESO plan'!I21:I23)</f>
        <v>98</v>
      </c>
      <c r="I8" s="746">
        <f>SUM('EGRESO plan'!J21:J23)</f>
        <v>155</v>
      </c>
      <c r="J8" s="747">
        <f>SUM('EGRESO plan'!K21:K23)</f>
        <v>411</v>
      </c>
      <c r="K8" s="745">
        <f>SUM('EGRESO plan'!L21:L23)</f>
        <v>135</v>
      </c>
      <c r="L8" s="746">
        <f>SUM('EGRESO plan'!M21:M23)</f>
        <v>114</v>
      </c>
      <c r="M8" s="746">
        <f>SUM('EGRESO plan'!N21:N23)</f>
        <v>121</v>
      </c>
      <c r="N8" s="747">
        <f>SUM('EGRESO plan'!O21:O23)</f>
        <v>370</v>
      </c>
      <c r="O8" s="745">
        <f>SUM('EGRESO plan'!P21:P23)</f>
        <v>106</v>
      </c>
      <c r="P8" s="746">
        <f>SUM('EGRESO plan'!Q21:Q23)</f>
        <v>104</v>
      </c>
      <c r="Q8" s="746">
        <f>SUM('EGRESO plan'!R21:R23)</f>
        <v>112</v>
      </c>
      <c r="R8" s="747">
        <f>SUM('EGRESO plan'!S21:S23)</f>
        <v>322</v>
      </c>
      <c r="S8" s="745">
        <f>SUM('EGRESO plan'!T21:T23)</f>
        <v>135</v>
      </c>
      <c r="T8" s="746">
        <f>SUM('EGRESO plan'!U21:U23)</f>
        <v>153</v>
      </c>
      <c r="U8" s="746">
        <f>SUM('EGRESO plan'!V21:V23)</f>
        <v>132</v>
      </c>
      <c r="V8" s="747">
        <f>SUM('EGRESO plan'!W21:W23)</f>
        <v>420</v>
      </c>
      <c r="W8" s="745">
        <f>SUM('EGRESO plan'!X21:X23)</f>
        <v>110</v>
      </c>
      <c r="X8" s="746">
        <f>SUM('EGRESO plan'!Y21:Y23)</f>
        <v>116</v>
      </c>
      <c r="Y8" s="746">
        <f>SUM('EGRESO plan'!Z21:Z23)</f>
        <v>93</v>
      </c>
      <c r="Z8" s="747">
        <f>SUM('EGRESO plan'!AA21:AA23)</f>
        <v>319</v>
      </c>
      <c r="AA8" s="745">
        <f>SUM('EGRESO plan'!AB21:AB23)</f>
        <v>98</v>
      </c>
      <c r="AB8" s="746">
        <f>SUM('EGRESO plan'!AC21:AC23)</f>
        <v>144</v>
      </c>
      <c r="AC8" s="746">
        <f>SUM('EGRESO plan'!AD21:AD23)</f>
        <v>110</v>
      </c>
      <c r="AD8" s="747">
        <f>SUM('EGRESO plan'!AE21:AE23)</f>
        <v>352</v>
      </c>
      <c r="AE8" s="745">
        <f>SUM('EGRESO plan'!AF21:AF23)</f>
        <v>128</v>
      </c>
      <c r="AF8" s="746">
        <f>SUM('EGRESO plan'!AG21:AG23)</f>
        <v>119</v>
      </c>
      <c r="AG8" s="746">
        <f>SUM('EGRESO plan'!AH21:AH23)</f>
        <v>111</v>
      </c>
      <c r="AH8" s="747">
        <f>SUM('EGRESO plan'!AI21:AI23)</f>
        <v>358</v>
      </c>
      <c r="AI8" s="745">
        <f>SUM('EGRESO plan'!AJ21:AJ23)</f>
        <v>152</v>
      </c>
      <c r="AJ8" s="746">
        <f>SUM('EGRESO plan'!AK21:AK23)</f>
        <v>126</v>
      </c>
      <c r="AK8" s="746">
        <f>SUM('EGRESO plan'!AL21:AL23)</f>
        <v>91</v>
      </c>
      <c r="AL8" s="747">
        <f>SUM('EGRESO plan'!AM21:AM23)</f>
        <v>369</v>
      </c>
      <c r="AM8" s="745">
        <f>SUM('EGRESO plan'!AN21:AN23)</f>
        <v>85</v>
      </c>
      <c r="AN8" s="746">
        <f>SUM('EGRESO plan'!AO21:AO23)</f>
        <v>145</v>
      </c>
      <c r="AO8" s="746">
        <f>SUM('EGRESO plan'!AP21:AP23)</f>
        <v>112</v>
      </c>
      <c r="AP8" s="747">
        <f>SUM('EGRESO plan'!AQ21:AQ23)</f>
        <v>342</v>
      </c>
      <c r="AQ8" s="745">
        <f>SUM('EGRESO plan'!AR21:AR23)</f>
        <v>147</v>
      </c>
      <c r="AR8" s="746">
        <f>SUM('EGRESO plan'!AS21:AS23)</f>
        <v>143</v>
      </c>
      <c r="AS8" s="746">
        <f>SUM('EGRESO plan'!AT21:AT23)</f>
        <v>74</v>
      </c>
      <c r="AT8" s="747">
        <f>SUM('EGRESO plan'!AU21:AU23)</f>
        <v>364</v>
      </c>
      <c r="AU8" s="745">
        <f>SUM('EGRESO plan'!AV21:AV23)</f>
        <v>108</v>
      </c>
      <c r="AV8" s="746">
        <f>SUM('EGRESO plan'!AW21:AW23)</f>
        <v>100</v>
      </c>
      <c r="AW8" s="746">
        <f>SUM('EGRESO plan'!AX21:AX23)</f>
        <v>113</v>
      </c>
      <c r="AX8" s="747">
        <f>SUM('EGRESO plan'!AY21:AY23)</f>
        <v>321</v>
      </c>
      <c r="AY8" s="745">
        <f>SUM('EGRESO plan'!AZ21:AZ23)</f>
        <v>83</v>
      </c>
      <c r="AZ8" s="746">
        <f>SUM('EGRESO plan'!BA21:BA23)</f>
        <v>128</v>
      </c>
      <c r="BA8" s="746">
        <f>SUM('EGRESO plan'!BB21:BB23)</f>
        <v>31</v>
      </c>
      <c r="BB8" s="747">
        <f>SUM('EGRESO plan'!BC21:BC23)</f>
        <v>242</v>
      </c>
      <c r="BC8" s="745">
        <f>SUM('EGRESO plan'!BD21:BD23)</f>
        <v>96</v>
      </c>
      <c r="BD8" s="746">
        <f>SUM('EGRESO plan'!BE21:BE23)</f>
        <v>120</v>
      </c>
      <c r="BE8" s="746">
        <f>SUM('EGRESO plan'!BF21:BF23)</f>
        <v>37</v>
      </c>
      <c r="BF8" s="747">
        <f>SUM('EGRESO plan'!BG21:BG23)</f>
        <v>253</v>
      </c>
      <c r="BG8" s="745">
        <f>SUM('EGRESO plan'!BH21:BH23)</f>
        <v>113</v>
      </c>
      <c r="BH8" s="746">
        <f>SUM('EGRESO plan'!BI21:BI23)</f>
        <v>171</v>
      </c>
      <c r="BI8" s="746">
        <f>SUM('EGRESO plan'!BJ21:BJ23)</f>
        <v>49</v>
      </c>
      <c r="BJ8" s="747">
        <f>SUM('EGRESO plan'!BK21:BK23)</f>
        <v>333</v>
      </c>
      <c r="BK8" s="745">
        <f>SUM('EGRESO plan'!BL21:BL23)</f>
        <v>127</v>
      </c>
      <c r="BL8" s="746">
        <f>SUM('EGRESO plan'!BM21:BM23)</f>
        <v>165</v>
      </c>
      <c r="BM8" s="746">
        <f>SUM('EGRESO plan'!BN21:BN23)</f>
        <v>53</v>
      </c>
      <c r="BN8" s="747">
        <f>SUM('EGRESO plan'!BO21:BO23)</f>
        <v>345</v>
      </c>
      <c r="BO8" s="745">
        <f>SUM('EGRESO plan'!BP21:BP23)</f>
        <v>131</v>
      </c>
      <c r="BP8" s="746">
        <f>SUM('EGRESO plan'!BQ21:BQ23)</f>
        <v>144</v>
      </c>
      <c r="BQ8" s="746">
        <f>SUM('EGRESO plan'!BR21:BR23)</f>
        <v>68</v>
      </c>
      <c r="BR8" s="747">
        <f>SUM('EGRESO plan'!BS21:BS23)</f>
        <v>343</v>
      </c>
    </row>
    <row r="9" spans="1:70" s="37" customFormat="1" ht="15" x14ac:dyDescent="0.2">
      <c r="A9" s="5226"/>
      <c r="B9" s="2359" t="s">
        <v>12</v>
      </c>
      <c r="C9" s="2360">
        <f t="shared" ref="C9:R9" si="0">SUM(C6:C8)</f>
        <v>473</v>
      </c>
      <c r="D9" s="2361">
        <f t="shared" si="0"/>
        <v>487</v>
      </c>
      <c r="E9" s="2361">
        <f t="shared" si="0"/>
        <v>449</v>
      </c>
      <c r="F9" s="2362">
        <f t="shared" si="0"/>
        <v>1409</v>
      </c>
      <c r="G9" s="2360">
        <f t="shared" si="0"/>
        <v>497</v>
      </c>
      <c r="H9" s="2361">
        <f t="shared" si="0"/>
        <v>438</v>
      </c>
      <c r="I9" s="2361">
        <f t="shared" si="0"/>
        <v>431</v>
      </c>
      <c r="J9" s="2362">
        <f t="shared" si="0"/>
        <v>1366</v>
      </c>
      <c r="K9" s="2360">
        <f t="shared" si="0"/>
        <v>455</v>
      </c>
      <c r="L9" s="2361">
        <f t="shared" si="0"/>
        <v>414</v>
      </c>
      <c r="M9" s="2361">
        <f t="shared" si="0"/>
        <v>427</v>
      </c>
      <c r="N9" s="2362">
        <f t="shared" si="0"/>
        <v>1296</v>
      </c>
      <c r="O9" s="2360">
        <f t="shared" si="0"/>
        <v>407</v>
      </c>
      <c r="P9" s="2361">
        <f t="shared" si="0"/>
        <v>439</v>
      </c>
      <c r="Q9" s="2361">
        <f t="shared" si="0"/>
        <v>412</v>
      </c>
      <c r="R9" s="2362">
        <f t="shared" si="0"/>
        <v>1258</v>
      </c>
      <c r="S9" s="2360">
        <f t="shared" ref="S9:BJ9" si="1">SUM(S6:S8)</f>
        <v>477</v>
      </c>
      <c r="T9" s="2361">
        <f t="shared" si="1"/>
        <v>561</v>
      </c>
      <c r="U9" s="2361">
        <f t="shared" si="1"/>
        <v>429</v>
      </c>
      <c r="V9" s="2362">
        <f t="shared" si="1"/>
        <v>1467</v>
      </c>
      <c r="W9" s="2360">
        <f t="shared" si="1"/>
        <v>407</v>
      </c>
      <c r="X9" s="2361">
        <f t="shared" si="1"/>
        <v>498</v>
      </c>
      <c r="Y9" s="2361">
        <f t="shared" si="1"/>
        <v>373</v>
      </c>
      <c r="Z9" s="2362">
        <f t="shared" si="1"/>
        <v>1278</v>
      </c>
      <c r="AA9" s="2360">
        <f t="shared" si="1"/>
        <v>406</v>
      </c>
      <c r="AB9" s="2361">
        <f t="shared" si="1"/>
        <v>497</v>
      </c>
      <c r="AC9" s="2361">
        <f t="shared" si="1"/>
        <v>388</v>
      </c>
      <c r="AD9" s="2362">
        <f t="shared" si="1"/>
        <v>1291</v>
      </c>
      <c r="AE9" s="2360">
        <f t="shared" si="1"/>
        <v>425</v>
      </c>
      <c r="AF9" s="2361">
        <f t="shared" si="1"/>
        <v>428</v>
      </c>
      <c r="AG9" s="2361">
        <f t="shared" si="1"/>
        <v>394</v>
      </c>
      <c r="AH9" s="2362">
        <f t="shared" si="1"/>
        <v>1247</v>
      </c>
      <c r="AI9" s="2360">
        <f t="shared" si="1"/>
        <v>410</v>
      </c>
      <c r="AJ9" s="2361">
        <f t="shared" si="1"/>
        <v>451</v>
      </c>
      <c r="AK9" s="2361">
        <f t="shared" si="1"/>
        <v>335</v>
      </c>
      <c r="AL9" s="2362">
        <f t="shared" si="1"/>
        <v>1196</v>
      </c>
      <c r="AM9" s="2360">
        <f t="shared" si="1"/>
        <v>381</v>
      </c>
      <c r="AN9" s="2361">
        <f t="shared" si="1"/>
        <v>459</v>
      </c>
      <c r="AO9" s="2361">
        <f t="shared" si="1"/>
        <v>353</v>
      </c>
      <c r="AP9" s="2362">
        <f t="shared" si="1"/>
        <v>1193</v>
      </c>
      <c r="AQ9" s="2360">
        <f t="shared" si="1"/>
        <v>424</v>
      </c>
      <c r="AR9" s="2361">
        <f t="shared" si="1"/>
        <v>480</v>
      </c>
      <c r="AS9" s="2361">
        <f t="shared" si="1"/>
        <v>310</v>
      </c>
      <c r="AT9" s="2362">
        <f t="shared" si="1"/>
        <v>1214</v>
      </c>
      <c r="AU9" s="2360">
        <f t="shared" si="1"/>
        <v>371</v>
      </c>
      <c r="AV9" s="2361">
        <f t="shared" si="1"/>
        <v>484</v>
      </c>
      <c r="AW9" s="2361">
        <f t="shared" si="1"/>
        <v>337</v>
      </c>
      <c r="AX9" s="2362">
        <f t="shared" si="1"/>
        <v>1192</v>
      </c>
      <c r="AY9" s="2360">
        <f t="shared" si="1"/>
        <v>368</v>
      </c>
      <c r="AZ9" s="2361">
        <f t="shared" si="1"/>
        <v>441</v>
      </c>
      <c r="BA9" s="2361">
        <f t="shared" si="1"/>
        <v>276</v>
      </c>
      <c r="BB9" s="2362">
        <f t="shared" si="1"/>
        <v>1085</v>
      </c>
      <c r="BC9" s="2360">
        <f t="shared" si="1"/>
        <v>366</v>
      </c>
      <c r="BD9" s="2361">
        <f t="shared" si="1"/>
        <v>453</v>
      </c>
      <c r="BE9" s="2361">
        <f t="shared" si="1"/>
        <v>320</v>
      </c>
      <c r="BF9" s="2362">
        <f t="shared" si="1"/>
        <v>1139</v>
      </c>
      <c r="BG9" s="2360">
        <f t="shared" si="1"/>
        <v>499</v>
      </c>
      <c r="BH9" s="2361">
        <f t="shared" si="1"/>
        <v>657</v>
      </c>
      <c r="BI9" s="2361">
        <f t="shared" si="1"/>
        <v>423</v>
      </c>
      <c r="BJ9" s="2362">
        <f t="shared" si="1"/>
        <v>1579</v>
      </c>
      <c r="BK9" s="2360">
        <f t="shared" ref="BK9:BN9" si="2">SUM(BK6:BK8)</f>
        <v>535</v>
      </c>
      <c r="BL9" s="2361">
        <f t="shared" si="2"/>
        <v>590</v>
      </c>
      <c r="BM9" s="2361">
        <f t="shared" si="2"/>
        <v>355</v>
      </c>
      <c r="BN9" s="2362">
        <f t="shared" si="2"/>
        <v>1480</v>
      </c>
      <c r="BO9" s="2360">
        <f t="shared" ref="BO9:BR9" si="3">SUM(BO6:BO8)</f>
        <v>473</v>
      </c>
      <c r="BP9" s="2361">
        <f t="shared" si="3"/>
        <v>576</v>
      </c>
      <c r="BQ9" s="2361">
        <f t="shared" si="3"/>
        <v>450</v>
      </c>
      <c r="BR9" s="2362">
        <f t="shared" si="3"/>
        <v>1499</v>
      </c>
    </row>
    <row r="10" spans="1:70" s="37" customFormat="1" ht="15.75" x14ac:dyDescent="0.2">
      <c r="A10" s="692"/>
    </row>
    <row r="11" spans="1:70" s="37" customFormat="1" ht="15" x14ac:dyDescent="0.2">
      <c r="A11" s="5149" t="s">
        <v>410</v>
      </c>
      <c r="B11" s="246" t="s">
        <v>6</v>
      </c>
      <c r="C11" s="749"/>
      <c r="D11" s="750"/>
      <c r="E11" s="750"/>
      <c r="F11" s="751"/>
      <c r="G11" s="749"/>
      <c r="H11" s="750"/>
      <c r="I11" s="750"/>
      <c r="J11" s="751"/>
      <c r="K11" s="749"/>
      <c r="L11" s="750"/>
      <c r="M11" s="750"/>
      <c r="N11" s="751"/>
      <c r="O11" s="749"/>
      <c r="P11" s="750"/>
      <c r="Q11" s="750"/>
      <c r="R11" s="751"/>
      <c r="S11" s="749"/>
      <c r="T11" s="750"/>
      <c r="U11" s="750"/>
      <c r="V11" s="751"/>
      <c r="W11" s="749"/>
      <c r="X11" s="750"/>
      <c r="Y11" s="750"/>
      <c r="Z11" s="751"/>
      <c r="AA11" s="749"/>
      <c r="AB11" s="750"/>
      <c r="AC11" s="750"/>
      <c r="AD11" s="751"/>
      <c r="AE11" s="749"/>
      <c r="AF11" s="750"/>
      <c r="AG11" s="750"/>
      <c r="AH11" s="751"/>
      <c r="AI11" s="749"/>
      <c r="AJ11" s="750"/>
      <c r="AK11" s="750"/>
      <c r="AL11" s="751"/>
      <c r="AM11" s="749"/>
      <c r="AN11" s="750"/>
      <c r="AO11" s="750"/>
      <c r="AP11" s="751"/>
      <c r="AQ11" s="742"/>
      <c r="AR11" s="743">
        <f>SUM('EGRESO plan'!AS26:AS29)</f>
        <v>16</v>
      </c>
      <c r="AS11" s="743">
        <f>SUM('EGRESO plan'!AT26:AT29)</f>
        <v>31</v>
      </c>
      <c r="AT11" s="744">
        <f>SUM('EGRESO plan'!AU26:AU29)</f>
        <v>47</v>
      </c>
      <c r="AU11" s="742">
        <f>SUM('EGRESO plan'!AV26:AV29)</f>
        <v>1</v>
      </c>
      <c r="AV11" s="743">
        <f>SUM('EGRESO plan'!AW26:AW29)</f>
        <v>3</v>
      </c>
      <c r="AW11" s="743">
        <f>SUM('EGRESO plan'!AX26:AX29)</f>
        <v>24</v>
      </c>
      <c r="AX11" s="744">
        <f>SUM('EGRESO plan'!AY26:AY29)</f>
        <v>28</v>
      </c>
      <c r="AY11" s="742">
        <f>SUM('EGRESO plan'!AZ26:AZ29)</f>
        <v>5</v>
      </c>
      <c r="AZ11" s="743">
        <f>SUM('EGRESO plan'!BA26:BA29)</f>
        <v>39</v>
      </c>
      <c r="BA11" s="743">
        <f>SUM('EGRESO plan'!BB26:BB29)</f>
        <v>7</v>
      </c>
      <c r="BB11" s="744">
        <f>SUM('EGRESO plan'!BC26:BC29)</f>
        <v>51</v>
      </c>
      <c r="BC11" s="742">
        <f>SUM('EGRESO plan'!BD26:BD29)</f>
        <v>12</v>
      </c>
      <c r="BD11" s="743">
        <f>SUM('EGRESO plan'!BE26:BE29)</f>
        <v>29</v>
      </c>
      <c r="BE11" s="743">
        <f>SUM('EGRESO plan'!BF26:BF29)</f>
        <v>13</v>
      </c>
      <c r="BF11" s="744">
        <f>SUM('EGRESO plan'!BG26:BG29)</f>
        <v>54</v>
      </c>
      <c r="BG11" s="742">
        <f>SUM('EGRESO plan'!BH26:BH29)</f>
        <v>17</v>
      </c>
      <c r="BH11" s="743">
        <f>SUM('EGRESO plan'!BI26:BI29)</f>
        <v>24</v>
      </c>
      <c r="BI11" s="743">
        <f>SUM('EGRESO plan'!BJ26:BJ29)</f>
        <v>2</v>
      </c>
      <c r="BJ11" s="744">
        <f>SUM('EGRESO plan'!BK26:BK29)</f>
        <v>43</v>
      </c>
      <c r="BK11" s="742">
        <f>SUM('EGRESO plan'!BL26:BL29)</f>
        <v>5</v>
      </c>
      <c r="BL11" s="743">
        <f>SUM('EGRESO plan'!BM26:BM29)</f>
        <v>20</v>
      </c>
      <c r="BM11" s="743">
        <f>SUM('EGRESO plan'!BN26:BN29)</f>
        <v>8</v>
      </c>
      <c r="BN11" s="744">
        <f>SUM('EGRESO plan'!BO26:BO29)</f>
        <v>33</v>
      </c>
      <c r="BO11" s="742">
        <f>SUM('EGRESO plan'!BP26:BP29)</f>
        <v>6</v>
      </c>
      <c r="BP11" s="743">
        <f>SUM('EGRESO plan'!BQ26:BQ29)</f>
        <v>18</v>
      </c>
      <c r="BQ11" s="743">
        <f>SUM('EGRESO plan'!BR26:BR29)</f>
        <v>4</v>
      </c>
      <c r="BR11" s="744">
        <f>SUM('EGRESO plan'!BS26:BS29)</f>
        <v>28</v>
      </c>
    </row>
    <row r="12" spans="1:70" s="37" customFormat="1" ht="15" x14ac:dyDescent="0.2">
      <c r="A12" s="5150"/>
      <c r="B12" s="247" t="s">
        <v>9</v>
      </c>
      <c r="C12" s="752"/>
      <c r="D12" s="753"/>
      <c r="E12" s="753"/>
      <c r="F12" s="754"/>
      <c r="G12" s="752"/>
      <c r="H12" s="753"/>
      <c r="I12" s="753"/>
      <c r="J12" s="754"/>
      <c r="K12" s="752"/>
      <c r="L12" s="753"/>
      <c r="M12" s="753"/>
      <c r="N12" s="754"/>
      <c r="O12" s="752"/>
      <c r="P12" s="753"/>
      <c r="Q12" s="753"/>
      <c r="R12" s="754"/>
      <c r="S12" s="752"/>
      <c r="T12" s="753"/>
      <c r="U12" s="753"/>
      <c r="V12" s="754"/>
      <c r="W12" s="752"/>
      <c r="X12" s="753"/>
      <c r="Y12" s="753"/>
      <c r="Z12" s="754"/>
      <c r="AA12" s="752"/>
      <c r="AB12" s="753"/>
      <c r="AC12" s="753"/>
      <c r="AD12" s="754"/>
      <c r="AE12" s="752"/>
      <c r="AF12" s="753"/>
      <c r="AG12" s="753"/>
      <c r="AH12" s="754"/>
      <c r="AI12" s="752"/>
      <c r="AJ12" s="753"/>
      <c r="AK12" s="753"/>
      <c r="AL12" s="754"/>
      <c r="AM12" s="752"/>
      <c r="AN12" s="753"/>
      <c r="AO12" s="753"/>
      <c r="AP12" s="754"/>
      <c r="AQ12" s="745"/>
      <c r="AR12" s="746">
        <f>SUM('EGRESO plan'!AS31:AS33)</f>
        <v>0</v>
      </c>
      <c r="AS12" s="746">
        <f>SUM('EGRESO plan'!AT31:AT33)</f>
        <v>9</v>
      </c>
      <c r="AT12" s="747">
        <f>SUM('EGRESO plan'!AU31:AU33)</f>
        <v>9</v>
      </c>
      <c r="AU12" s="745">
        <f>SUM('EGRESO plan'!AV31:AV33)</f>
        <v>0</v>
      </c>
      <c r="AV12" s="746">
        <f>SUM('EGRESO plan'!AW31:AW33)</f>
        <v>4</v>
      </c>
      <c r="AW12" s="746">
        <f>SUM('EGRESO plan'!AX31:AX33)</f>
        <v>11</v>
      </c>
      <c r="AX12" s="747">
        <f>SUM('EGRESO plan'!AY31:AY33)</f>
        <v>15</v>
      </c>
      <c r="AY12" s="745">
        <f>SUM('EGRESO plan'!AZ31:AZ33)</f>
        <v>2</v>
      </c>
      <c r="AZ12" s="746">
        <f>SUM('EGRESO plan'!BA31:BA33)</f>
        <v>16</v>
      </c>
      <c r="BA12" s="746">
        <f>SUM('EGRESO plan'!BB31:BB33)</f>
        <v>14</v>
      </c>
      <c r="BB12" s="747">
        <f>SUM('EGRESO plan'!BC31:BC33)</f>
        <v>32</v>
      </c>
      <c r="BC12" s="745">
        <f>SUM('EGRESO plan'!BD31:BD33)</f>
        <v>5</v>
      </c>
      <c r="BD12" s="746">
        <f>SUM('EGRESO plan'!BE31:BE33)</f>
        <v>32</v>
      </c>
      <c r="BE12" s="746">
        <f>SUM('EGRESO plan'!BF31:BF33)</f>
        <v>11</v>
      </c>
      <c r="BF12" s="747">
        <f>SUM('EGRESO plan'!BG31:BG33)</f>
        <v>48</v>
      </c>
      <c r="BG12" s="745">
        <f>SUM('EGRESO plan'!BH31:BH33)</f>
        <v>4</v>
      </c>
      <c r="BH12" s="746">
        <f>SUM('EGRESO plan'!BI31:BI33)</f>
        <v>16</v>
      </c>
      <c r="BI12" s="746">
        <f>SUM('EGRESO plan'!BJ31:BJ33)</f>
        <v>1</v>
      </c>
      <c r="BJ12" s="747">
        <f>SUM('EGRESO plan'!BK31:BK33)</f>
        <v>21</v>
      </c>
      <c r="BK12" s="745">
        <f>SUM('EGRESO plan'!BL31:BL33)</f>
        <v>5</v>
      </c>
      <c r="BL12" s="746">
        <f>SUM('EGRESO plan'!BM31:BM33)</f>
        <v>20</v>
      </c>
      <c r="BM12" s="746">
        <f>SUM('EGRESO plan'!BN31:BN33)</f>
        <v>6</v>
      </c>
      <c r="BN12" s="747">
        <f>SUM('EGRESO plan'!BO31:BO33)</f>
        <v>31</v>
      </c>
      <c r="BO12" s="745">
        <f>SUM('EGRESO plan'!BP31:BP33)</f>
        <v>10</v>
      </c>
      <c r="BP12" s="746">
        <f>SUM('EGRESO plan'!BQ31:BQ33)</f>
        <v>17</v>
      </c>
      <c r="BQ12" s="746">
        <f>SUM('EGRESO plan'!BR31:BR33)</f>
        <v>2</v>
      </c>
      <c r="BR12" s="747">
        <f>SUM('EGRESO plan'!BS31:BS33)</f>
        <v>29</v>
      </c>
    </row>
    <row r="13" spans="1:70" s="37" customFormat="1" ht="15" x14ac:dyDescent="0.2">
      <c r="A13" s="5150"/>
      <c r="B13" s="247" t="s">
        <v>74</v>
      </c>
      <c r="C13" s="752"/>
      <c r="D13" s="753"/>
      <c r="E13" s="753"/>
      <c r="F13" s="754"/>
      <c r="G13" s="752"/>
      <c r="H13" s="753"/>
      <c r="I13" s="753"/>
      <c r="J13" s="754"/>
      <c r="K13" s="752"/>
      <c r="L13" s="753"/>
      <c r="M13" s="753"/>
      <c r="N13" s="754"/>
      <c r="O13" s="752"/>
      <c r="P13" s="753"/>
      <c r="Q13" s="753"/>
      <c r="R13" s="754"/>
      <c r="S13" s="752"/>
      <c r="T13" s="753"/>
      <c r="U13" s="753"/>
      <c r="V13" s="754"/>
      <c r="W13" s="752"/>
      <c r="X13" s="753"/>
      <c r="Y13" s="753"/>
      <c r="Z13" s="754"/>
      <c r="AA13" s="752"/>
      <c r="AB13" s="753"/>
      <c r="AC13" s="753"/>
      <c r="AD13" s="754"/>
      <c r="AE13" s="752"/>
      <c r="AF13" s="753"/>
      <c r="AG13" s="753"/>
      <c r="AH13" s="754"/>
      <c r="AI13" s="752"/>
      <c r="AJ13" s="753"/>
      <c r="AK13" s="753"/>
      <c r="AL13" s="754"/>
      <c r="AM13" s="752"/>
      <c r="AN13" s="753"/>
      <c r="AO13" s="753"/>
      <c r="AP13" s="754"/>
      <c r="AQ13" s="745"/>
      <c r="AR13" s="746">
        <f>SUM('EGRESO plan'!AS35:AS37)</f>
        <v>11</v>
      </c>
      <c r="AS13" s="746">
        <f>SUM('EGRESO plan'!AT35:AT37)</f>
        <v>0</v>
      </c>
      <c r="AT13" s="747">
        <f>SUM('EGRESO plan'!AU35:AU37)</f>
        <v>11</v>
      </c>
      <c r="AU13" s="745">
        <f>SUM('EGRESO plan'!AV35:AV37)</f>
        <v>1</v>
      </c>
      <c r="AV13" s="746">
        <f>SUM('EGRESO plan'!AW35:AW37)</f>
        <v>6</v>
      </c>
      <c r="AW13" s="746">
        <f>SUM('EGRESO plan'!AX35:AX37)</f>
        <v>3</v>
      </c>
      <c r="AX13" s="747">
        <f>SUM('EGRESO plan'!AY35:AY37)</f>
        <v>10</v>
      </c>
      <c r="AY13" s="745">
        <f>SUM('EGRESO plan'!AZ35:AZ37)</f>
        <v>3</v>
      </c>
      <c r="AZ13" s="746">
        <f>SUM('EGRESO plan'!BA35:BA37)</f>
        <v>7</v>
      </c>
      <c r="BA13" s="746">
        <f>SUM('EGRESO plan'!BB35:BB37)</f>
        <v>1</v>
      </c>
      <c r="BB13" s="747">
        <f>SUM('EGRESO plan'!BC35:BC37)</f>
        <v>11</v>
      </c>
      <c r="BC13" s="745">
        <f>SUM('EGRESO plan'!BD35:BD37)</f>
        <v>1</v>
      </c>
      <c r="BD13" s="746">
        <f>SUM('EGRESO plan'!BE35:BE37)</f>
        <v>5</v>
      </c>
      <c r="BE13" s="746">
        <f>SUM('EGRESO plan'!BF35:BF37)</f>
        <v>12</v>
      </c>
      <c r="BF13" s="747">
        <f>SUM('EGRESO plan'!BG35:BG37)</f>
        <v>18</v>
      </c>
      <c r="BG13" s="745">
        <f>SUM('EGRESO plan'!BH35:BH37)</f>
        <v>6</v>
      </c>
      <c r="BH13" s="746">
        <f>SUM('EGRESO plan'!BI35:BI37)</f>
        <v>7</v>
      </c>
      <c r="BI13" s="746">
        <f>SUM('EGRESO plan'!BJ35:BJ37)</f>
        <v>2</v>
      </c>
      <c r="BJ13" s="747">
        <f>SUM('EGRESO plan'!BK35:BK37)</f>
        <v>15</v>
      </c>
      <c r="BK13" s="745">
        <f>SUM('EGRESO plan'!BL39)</f>
        <v>6</v>
      </c>
      <c r="BL13" s="746">
        <f>SUM('EGRESO plan'!BM39)</f>
        <v>9</v>
      </c>
      <c r="BM13" s="746">
        <f>SUM('EGRESO plan'!BN39)</f>
        <v>7</v>
      </c>
      <c r="BN13" s="747">
        <f>SUM('EGRESO plan'!BO39)</f>
        <v>22</v>
      </c>
      <c r="BO13" s="745">
        <f>SUM('EGRESO plan'!BP39)</f>
        <v>6</v>
      </c>
      <c r="BP13" s="746">
        <f>SUM('EGRESO plan'!BQ39)</f>
        <v>10</v>
      </c>
      <c r="BQ13" s="746">
        <f>SUM('EGRESO plan'!BR39)</f>
        <v>8</v>
      </c>
      <c r="BR13" s="747">
        <f>SUM('EGRESO plan'!BS39)</f>
        <v>24</v>
      </c>
    </row>
    <row r="14" spans="1:70" s="37" customFormat="1" ht="15" x14ac:dyDescent="0.2">
      <c r="A14" s="5229"/>
      <c r="B14" s="2363" t="s">
        <v>12</v>
      </c>
      <c r="C14" s="2364"/>
      <c r="D14" s="2365"/>
      <c r="E14" s="2365"/>
      <c r="F14" s="2366"/>
      <c r="G14" s="2364"/>
      <c r="H14" s="2365"/>
      <c r="I14" s="2365"/>
      <c r="J14" s="2366"/>
      <c r="K14" s="2364"/>
      <c r="L14" s="2365"/>
      <c r="M14" s="2365"/>
      <c r="N14" s="2366"/>
      <c r="O14" s="2364"/>
      <c r="P14" s="2365"/>
      <c r="Q14" s="2365"/>
      <c r="R14" s="2366"/>
      <c r="S14" s="2364"/>
      <c r="T14" s="2365"/>
      <c r="U14" s="2365"/>
      <c r="V14" s="2366"/>
      <c r="W14" s="2364"/>
      <c r="X14" s="2365"/>
      <c r="Y14" s="2365"/>
      <c r="Z14" s="2366"/>
      <c r="AA14" s="2364"/>
      <c r="AB14" s="2365"/>
      <c r="AC14" s="2365"/>
      <c r="AD14" s="2366"/>
      <c r="AE14" s="2364"/>
      <c r="AF14" s="2365"/>
      <c r="AG14" s="2365"/>
      <c r="AH14" s="2366"/>
      <c r="AI14" s="2364"/>
      <c r="AJ14" s="2365"/>
      <c r="AK14" s="2365"/>
      <c r="AL14" s="2366"/>
      <c r="AM14" s="2364"/>
      <c r="AN14" s="2365"/>
      <c r="AO14" s="2365"/>
      <c r="AP14" s="2366"/>
      <c r="AQ14" s="2367"/>
      <c r="AR14" s="2368">
        <f t="shared" ref="AR14:BJ14" si="4">SUM(AR11:AR13)</f>
        <v>27</v>
      </c>
      <c r="AS14" s="2368">
        <f t="shared" si="4"/>
        <v>40</v>
      </c>
      <c r="AT14" s="2369">
        <f t="shared" si="4"/>
        <v>67</v>
      </c>
      <c r="AU14" s="2367">
        <f t="shared" si="4"/>
        <v>2</v>
      </c>
      <c r="AV14" s="2368">
        <f t="shared" si="4"/>
        <v>13</v>
      </c>
      <c r="AW14" s="2368">
        <f t="shared" si="4"/>
        <v>38</v>
      </c>
      <c r="AX14" s="2369">
        <f t="shared" si="4"/>
        <v>53</v>
      </c>
      <c r="AY14" s="2367">
        <f t="shared" si="4"/>
        <v>10</v>
      </c>
      <c r="AZ14" s="2368">
        <f t="shared" si="4"/>
        <v>62</v>
      </c>
      <c r="BA14" s="2368">
        <f t="shared" si="4"/>
        <v>22</v>
      </c>
      <c r="BB14" s="2369">
        <f t="shared" si="4"/>
        <v>94</v>
      </c>
      <c r="BC14" s="2367">
        <f t="shared" si="4"/>
        <v>18</v>
      </c>
      <c r="BD14" s="2368">
        <f t="shared" si="4"/>
        <v>66</v>
      </c>
      <c r="BE14" s="2368">
        <f t="shared" si="4"/>
        <v>36</v>
      </c>
      <c r="BF14" s="2369">
        <f t="shared" si="4"/>
        <v>120</v>
      </c>
      <c r="BG14" s="2367">
        <f t="shared" si="4"/>
        <v>27</v>
      </c>
      <c r="BH14" s="2368">
        <f t="shared" si="4"/>
        <v>47</v>
      </c>
      <c r="BI14" s="2368">
        <f t="shared" si="4"/>
        <v>5</v>
      </c>
      <c r="BJ14" s="2369">
        <f t="shared" si="4"/>
        <v>79</v>
      </c>
      <c r="BK14" s="2367">
        <f t="shared" ref="BK14:BN14" si="5">SUM(BK11:BK13)</f>
        <v>16</v>
      </c>
      <c r="BL14" s="2368">
        <f t="shared" si="5"/>
        <v>49</v>
      </c>
      <c r="BM14" s="2368">
        <f t="shared" si="5"/>
        <v>21</v>
      </c>
      <c r="BN14" s="2369">
        <f t="shared" si="5"/>
        <v>86</v>
      </c>
      <c r="BO14" s="2367">
        <f t="shared" ref="BO14:BR14" si="6">SUM(BO11:BO13)</f>
        <v>22</v>
      </c>
      <c r="BP14" s="2368">
        <f t="shared" si="6"/>
        <v>45</v>
      </c>
      <c r="BQ14" s="2368">
        <f t="shared" si="6"/>
        <v>14</v>
      </c>
      <c r="BR14" s="2369">
        <f t="shared" si="6"/>
        <v>81</v>
      </c>
    </row>
    <row r="15" spans="1:70" s="37" customFormat="1" ht="15.75" x14ac:dyDescent="0.2">
      <c r="A15" s="1924"/>
      <c r="B15" s="748"/>
      <c r="C15" s="748"/>
      <c r="D15" s="748"/>
      <c r="E15" s="748"/>
      <c r="F15" s="748"/>
      <c r="G15" s="748"/>
      <c r="H15" s="748"/>
      <c r="I15" s="748"/>
      <c r="J15" s="748"/>
      <c r="K15" s="748"/>
      <c r="L15" s="748"/>
      <c r="M15" s="748"/>
      <c r="N15" s="748"/>
      <c r="O15" s="748"/>
      <c r="P15" s="748"/>
      <c r="Q15" s="748"/>
      <c r="R15" s="748"/>
      <c r="S15" s="748"/>
      <c r="T15" s="748"/>
      <c r="U15" s="748"/>
      <c r="V15" s="748"/>
      <c r="W15" s="748"/>
      <c r="X15" s="748"/>
      <c r="Y15" s="748"/>
      <c r="Z15" s="748"/>
      <c r="AA15" s="748"/>
      <c r="AB15" s="748"/>
      <c r="AC15" s="748"/>
      <c r="AD15" s="748"/>
      <c r="AE15" s="748"/>
      <c r="AF15" s="748"/>
      <c r="AG15" s="748"/>
      <c r="AH15" s="748"/>
      <c r="AI15" s="748"/>
      <c r="AJ15" s="748"/>
      <c r="AK15" s="748"/>
      <c r="AL15" s="748"/>
      <c r="AM15" s="748"/>
      <c r="AN15" s="748"/>
      <c r="AO15" s="748"/>
      <c r="AP15" s="748"/>
      <c r="AQ15" s="748"/>
      <c r="AR15" s="748"/>
      <c r="AS15" s="748"/>
      <c r="AT15" s="748"/>
      <c r="AU15" s="748"/>
      <c r="AV15" s="748"/>
      <c r="AW15" s="748"/>
      <c r="AX15" s="748"/>
      <c r="AY15" s="748"/>
      <c r="AZ15" s="748"/>
      <c r="BA15" s="748"/>
      <c r="BB15" s="748"/>
      <c r="BC15" s="748"/>
      <c r="BD15" s="748"/>
      <c r="BE15" s="748"/>
      <c r="BF15" s="748"/>
      <c r="BG15" s="748"/>
      <c r="BH15" s="748"/>
      <c r="BI15" s="748"/>
      <c r="BJ15" s="748"/>
      <c r="BK15" s="748"/>
      <c r="BL15" s="748"/>
      <c r="BM15" s="748"/>
      <c r="BN15" s="748"/>
      <c r="BO15" s="748"/>
      <c r="BP15" s="748"/>
      <c r="BQ15" s="748"/>
      <c r="BR15" s="748"/>
    </row>
    <row r="16" spans="1:70" s="6" customFormat="1" ht="15" customHeight="1" x14ac:dyDescent="0.2">
      <c r="A16" s="5143" t="s">
        <v>162</v>
      </c>
      <c r="B16" s="246" t="s">
        <v>5</v>
      </c>
      <c r="C16" s="742">
        <f>SUM('EGRESO plan'!D41:D49)</f>
        <v>83</v>
      </c>
      <c r="D16" s="743">
        <f>SUM('EGRESO plan'!E41:E49)</f>
        <v>96</v>
      </c>
      <c r="E16" s="743">
        <f>SUM('EGRESO plan'!F41:F49)</f>
        <v>73</v>
      </c>
      <c r="F16" s="744">
        <f>SUM('EGRESO plan'!G41:G49)</f>
        <v>252</v>
      </c>
      <c r="G16" s="742">
        <f>SUM('EGRESO plan'!H41:H49)</f>
        <v>78</v>
      </c>
      <c r="H16" s="743">
        <f>SUM('EGRESO plan'!I41:I49)</f>
        <v>69</v>
      </c>
      <c r="I16" s="743">
        <f>SUM('EGRESO plan'!J41:J49)</f>
        <v>48</v>
      </c>
      <c r="J16" s="744">
        <f>SUM('EGRESO plan'!K41:K49)</f>
        <v>195</v>
      </c>
      <c r="K16" s="742">
        <f>SUM('EGRESO plan'!L41:L49)</f>
        <v>85</v>
      </c>
      <c r="L16" s="743">
        <f>SUM('EGRESO plan'!M41:M49)</f>
        <v>94</v>
      </c>
      <c r="M16" s="743">
        <f>SUM('EGRESO plan'!N41:N49)</f>
        <v>79</v>
      </c>
      <c r="N16" s="744">
        <f>SUM('EGRESO plan'!O41:O49)</f>
        <v>258</v>
      </c>
      <c r="O16" s="742">
        <f>SUM('EGRESO plan'!P41:P49)</f>
        <v>54</v>
      </c>
      <c r="P16" s="743">
        <f>SUM('EGRESO plan'!Q41:Q49)</f>
        <v>63</v>
      </c>
      <c r="Q16" s="743">
        <f>SUM('EGRESO plan'!R41:R49)</f>
        <v>65</v>
      </c>
      <c r="R16" s="744">
        <f>SUM('EGRESO plan'!S41:S49)</f>
        <v>182</v>
      </c>
      <c r="S16" s="742">
        <f>SUM('EGRESO plan'!T41:T49)</f>
        <v>78</v>
      </c>
      <c r="T16" s="743">
        <f>SUM('EGRESO plan'!U41:U49)</f>
        <v>79</v>
      </c>
      <c r="U16" s="743">
        <f>SUM('EGRESO plan'!V41:V49)</f>
        <v>65</v>
      </c>
      <c r="V16" s="744">
        <f>SUM('EGRESO plan'!W41:W49)</f>
        <v>222</v>
      </c>
      <c r="W16" s="742">
        <f>SUM('EGRESO plan'!X41:X49)</f>
        <v>87</v>
      </c>
      <c r="X16" s="743">
        <f>SUM('EGRESO plan'!Y41:Y49)</f>
        <v>93</v>
      </c>
      <c r="Y16" s="743">
        <f>SUM('EGRESO plan'!Z41:Z49)</f>
        <v>66</v>
      </c>
      <c r="Z16" s="744">
        <f>SUM('EGRESO plan'!AA41:AA49)</f>
        <v>246</v>
      </c>
      <c r="AA16" s="742">
        <f>SUM('EGRESO plan'!AB41:AB49)</f>
        <v>93</v>
      </c>
      <c r="AB16" s="743">
        <f>SUM('EGRESO plan'!AC41:AC49)</f>
        <v>86</v>
      </c>
      <c r="AC16" s="743">
        <f>SUM('EGRESO plan'!AD41:AD49)</f>
        <v>64</v>
      </c>
      <c r="AD16" s="744">
        <f>SUM('EGRESO plan'!AE41:AE49)</f>
        <v>243</v>
      </c>
      <c r="AE16" s="742">
        <f>SUM('EGRESO plan'!AF41:AF49)</f>
        <v>93</v>
      </c>
      <c r="AF16" s="743">
        <f>SUM('EGRESO plan'!AG41:AG49)</f>
        <v>104</v>
      </c>
      <c r="AG16" s="743">
        <f>SUM('EGRESO plan'!AH41:AH49)</f>
        <v>79</v>
      </c>
      <c r="AH16" s="744">
        <f>SUM('EGRESO plan'!AI41:AI49)</f>
        <v>276</v>
      </c>
      <c r="AI16" s="742">
        <f>SUM('EGRESO plan'!AJ41:AJ49)</f>
        <v>54</v>
      </c>
      <c r="AJ16" s="743">
        <f>SUM('EGRESO plan'!AK41:AK49)</f>
        <v>71</v>
      </c>
      <c r="AK16" s="743">
        <f>SUM('EGRESO plan'!AL41:AL49)</f>
        <v>48</v>
      </c>
      <c r="AL16" s="744">
        <f>SUM('EGRESO plan'!AM41:AM49)</f>
        <v>173</v>
      </c>
      <c r="AM16" s="742">
        <f>SUM('EGRESO plan'!AN41:AN49)</f>
        <v>68</v>
      </c>
      <c r="AN16" s="743">
        <f>SUM('EGRESO plan'!AO41:AO49)</f>
        <v>59</v>
      </c>
      <c r="AO16" s="743">
        <f>SUM('EGRESO plan'!AP41:AP49)</f>
        <v>36</v>
      </c>
      <c r="AP16" s="744">
        <f>SUM('EGRESO plan'!AQ41:AQ49)</f>
        <v>163</v>
      </c>
      <c r="AQ16" s="742">
        <f>SUM('EGRESO plan'!AR41:AR49)</f>
        <v>58</v>
      </c>
      <c r="AR16" s="743">
        <f>SUM('EGRESO plan'!AS41:AS49)</f>
        <v>70</v>
      </c>
      <c r="AS16" s="743">
        <f>SUM('EGRESO plan'!AT41:AT49)</f>
        <v>39</v>
      </c>
      <c r="AT16" s="744">
        <f>SUM('EGRESO plan'!AU41:AU49)</f>
        <v>167</v>
      </c>
      <c r="AU16" s="742">
        <f>SUM('EGRESO plan'!AV41:AV49)</f>
        <v>63</v>
      </c>
      <c r="AV16" s="743">
        <f>SUM('EGRESO plan'!AW41:AW49)</f>
        <v>112</v>
      </c>
      <c r="AW16" s="743">
        <f>SUM('EGRESO plan'!AX41:AX49)</f>
        <v>64</v>
      </c>
      <c r="AX16" s="744">
        <f>SUM('EGRESO plan'!AY41:AY49)</f>
        <v>239</v>
      </c>
      <c r="AY16" s="742">
        <f>SUM('EGRESO plan'!AZ41:AZ49)</f>
        <v>57</v>
      </c>
      <c r="AZ16" s="743">
        <f>SUM('EGRESO plan'!BA41:BA49)</f>
        <v>57</v>
      </c>
      <c r="BA16" s="743">
        <f>SUM('EGRESO plan'!BB41:BB49)</f>
        <v>65</v>
      </c>
      <c r="BB16" s="744">
        <f>SUM('EGRESO plan'!BC41:BC49)</f>
        <v>179</v>
      </c>
      <c r="BC16" s="742">
        <f>SUM('EGRESO plan'!BD41:BD49)</f>
        <v>67</v>
      </c>
      <c r="BD16" s="743">
        <f>SUM('EGRESO plan'!BE41:BE49)</f>
        <v>85</v>
      </c>
      <c r="BE16" s="743">
        <f>SUM('EGRESO plan'!BF41:BF49)</f>
        <v>50</v>
      </c>
      <c r="BF16" s="744">
        <f>SUM('EGRESO plan'!BG41:BG49)</f>
        <v>202</v>
      </c>
      <c r="BG16" s="742">
        <f>SUM('EGRESO plan'!BH41:BH49)</f>
        <v>44</v>
      </c>
      <c r="BH16" s="743">
        <f>SUM('EGRESO plan'!BI41:BI49)</f>
        <v>58</v>
      </c>
      <c r="BI16" s="743">
        <f>SUM('EGRESO plan'!BJ41:BJ49)</f>
        <v>61</v>
      </c>
      <c r="BJ16" s="744">
        <f>SUM('EGRESO plan'!BK41:BK49)</f>
        <v>163</v>
      </c>
      <c r="BK16" s="742">
        <f>SUM('EGRESO plan'!BL41:BL49)</f>
        <v>58</v>
      </c>
      <c r="BL16" s="743">
        <f>SUM('EGRESO plan'!BM41:BM49)</f>
        <v>86</v>
      </c>
      <c r="BM16" s="743">
        <f>SUM('EGRESO plan'!BN41:BN49)</f>
        <v>68</v>
      </c>
      <c r="BN16" s="744">
        <f>SUM('EGRESO plan'!BO41:BO49)</f>
        <v>212</v>
      </c>
      <c r="BO16" s="742">
        <f>SUM('EGRESO plan'!BP41:BP49)</f>
        <v>46</v>
      </c>
      <c r="BP16" s="743">
        <f>SUM('EGRESO plan'!BQ41:BQ49)</f>
        <v>63</v>
      </c>
      <c r="BQ16" s="743">
        <f>SUM('EGRESO plan'!BR41:BR49)</f>
        <v>64</v>
      </c>
      <c r="BR16" s="744">
        <f>SUM('EGRESO plan'!BS41:BS49)</f>
        <v>173</v>
      </c>
    </row>
    <row r="17" spans="1:70" s="6" customFormat="1" ht="15" customHeight="1" x14ac:dyDescent="0.2">
      <c r="A17" s="5144"/>
      <c r="B17" s="247" t="s">
        <v>6</v>
      </c>
      <c r="C17" s="745">
        <f>SUM('EGRESO plan'!D51:D61)</f>
        <v>187</v>
      </c>
      <c r="D17" s="746">
        <f>SUM('EGRESO plan'!E51:E61)</f>
        <v>227</v>
      </c>
      <c r="E17" s="746">
        <f>SUM('EGRESO plan'!F51:F61)</f>
        <v>126</v>
      </c>
      <c r="F17" s="747">
        <f>SUM('EGRESO plan'!G51:G61)</f>
        <v>540</v>
      </c>
      <c r="G17" s="745">
        <f>SUM('EGRESO plan'!H51:H61)</f>
        <v>146</v>
      </c>
      <c r="H17" s="746">
        <f>SUM('EGRESO plan'!I51:I61)</f>
        <v>202</v>
      </c>
      <c r="I17" s="746">
        <f>SUM('EGRESO plan'!J51:J61)</f>
        <v>150</v>
      </c>
      <c r="J17" s="747">
        <f>SUM('EGRESO plan'!K51:K61)</f>
        <v>498</v>
      </c>
      <c r="K17" s="745">
        <f>SUM('EGRESO plan'!L51:L61)</f>
        <v>179</v>
      </c>
      <c r="L17" s="746">
        <f>SUM('EGRESO plan'!M51:M61)</f>
        <v>183</v>
      </c>
      <c r="M17" s="746">
        <f>SUM('EGRESO plan'!N51:N61)</f>
        <v>106</v>
      </c>
      <c r="N17" s="747">
        <f>SUM('EGRESO plan'!O51:O61)</f>
        <v>468</v>
      </c>
      <c r="O17" s="745">
        <f>SUM('EGRESO plan'!P51:P61)</f>
        <v>196</v>
      </c>
      <c r="P17" s="746">
        <f>SUM('EGRESO plan'!Q51:Q61)</f>
        <v>200</v>
      </c>
      <c r="Q17" s="746">
        <f>SUM('EGRESO plan'!R51:R61)</f>
        <v>146</v>
      </c>
      <c r="R17" s="747">
        <f>SUM('EGRESO plan'!S51:S61)</f>
        <v>542</v>
      </c>
      <c r="S17" s="745">
        <f>SUM('EGRESO plan'!T51:T61)</f>
        <v>193</v>
      </c>
      <c r="T17" s="746">
        <f>SUM('EGRESO plan'!U51:U61)</f>
        <v>201</v>
      </c>
      <c r="U17" s="746">
        <f>SUM('EGRESO plan'!V51:V61)</f>
        <v>124</v>
      </c>
      <c r="V17" s="747">
        <f>SUM('EGRESO plan'!W51:W61)</f>
        <v>518</v>
      </c>
      <c r="W17" s="745">
        <f>SUM('EGRESO plan'!X51:X61)</f>
        <v>198</v>
      </c>
      <c r="X17" s="746">
        <f>SUM('EGRESO plan'!Y51:Y61)</f>
        <v>208</v>
      </c>
      <c r="Y17" s="746">
        <f>SUM('EGRESO plan'!Z51:Z61)</f>
        <v>155</v>
      </c>
      <c r="Z17" s="747">
        <f>SUM('EGRESO plan'!AA51:AA61)</f>
        <v>561</v>
      </c>
      <c r="AA17" s="745">
        <f>SUM('EGRESO plan'!AB51:AB61)</f>
        <v>218</v>
      </c>
      <c r="AB17" s="746">
        <f>SUM('EGRESO plan'!AC51:AC61)</f>
        <v>183</v>
      </c>
      <c r="AC17" s="746">
        <f>SUM('EGRESO plan'!AD51:AD61)</f>
        <v>110</v>
      </c>
      <c r="AD17" s="747">
        <f>SUM('EGRESO plan'!AE51:AE61)</f>
        <v>511</v>
      </c>
      <c r="AE17" s="745">
        <f>SUM('EGRESO plan'!AF51:AF61)</f>
        <v>153</v>
      </c>
      <c r="AF17" s="746">
        <f>SUM('EGRESO plan'!AG51:AG61)</f>
        <v>217</v>
      </c>
      <c r="AG17" s="746">
        <f>SUM('EGRESO plan'!AH51:AH61)</f>
        <v>131</v>
      </c>
      <c r="AH17" s="747">
        <f>SUM('EGRESO plan'!AI51:AI61)</f>
        <v>501</v>
      </c>
      <c r="AI17" s="745">
        <f>SUM('EGRESO plan'!AJ51:AJ61)</f>
        <v>177</v>
      </c>
      <c r="AJ17" s="746">
        <f>SUM('EGRESO plan'!AK51:AK61)</f>
        <v>181</v>
      </c>
      <c r="AK17" s="746">
        <f>SUM('EGRESO plan'!AL51:AL61)</f>
        <v>111</v>
      </c>
      <c r="AL17" s="747">
        <f>SUM('EGRESO plan'!AM51:AM61)</f>
        <v>469</v>
      </c>
      <c r="AM17" s="745">
        <f>SUM('EGRESO plan'!AN51:AN61)</f>
        <v>157</v>
      </c>
      <c r="AN17" s="746">
        <f>SUM('EGRESO plan'!AO51:AO61)</f>
        <v>184</v>
      </c>
      <c r="AO17" s="746">
        <f>SUM('EGRESO plan'!AP51:AP61)</f>
        <v>95</v>
      </c>
      <c r="AP17" s="747">
        <f>SUM('EGRESO plan'!AQ51:AQ61)</f>
        <v>436</v>
      </c>
      <c r="AQ17" s="745">
        <f>SUM('EGRESO plan'!AR51:AR61)</f>
        <v>172</v>
      </c>
      <c r="AR17" s="746">
        <f>SUM('EGRESO plan'!AS51:AS61)</f>
        <v>216</v>
      </c>
      <c r="AS17" s="746">
        <f>SUM('EGRESO plan'!AT51:AT61)</f>
        <v>94</v>
      </c>
      <c r="AT17" s="747">
        <f>SUM('EGRESO plan'!AU51:AU61)</f>
        <v>482</v>
      </c>
      <c r="AU17" s="745">
        <f>SUM('EGRESO plan'!AV51:AV61)</f>
        <v>192</v>
      </c>
      <c r="AV17" s="746">
        <f>SUM('EGRESO plan'!AW51:AW61)</f>
        <v>236</v>
      </c>
      <c r="AW17" s="746">
        <f>SUM('EGRESO plan'!AX51:AX61)</f>
        <v>119</v>
      </c>
      <c r="AX17" s="747">
        <f>SUM('EGRESO plan'!AY51:AY61)</f>
        <v>547</v>
      </c>
      <c r="AY17" s="745">
        <f>SUM('EGRESO plan'!AZ51:AZ61)</f>
        <v>172</v>
      </c>
      <c r="AZ17" s="746">
        <f>SUM('EGRESO plan'!BA51:BA61)</f>
        <v>178</v>
      </c>
      <c r="BA17" s="746">
        <f>SUM('EGRESO plan'!BB51:BB61)</f>
        <v>132</v>
      </c>
      <c r="BB17" s="747">
        <f>SUM('EGRESO plan'!BC51:BC61)</f>
        <v>482</v>
      </c>
      <c r="BC17" s="745">
        <f>SUM('EGRESO plan'!BD51:BD61)</f>
        <v>195</v>
      </c>
      <c r="BD17" s="746">
        <f>SUM('EGRESO plan'!BE51:BE61)</f>
        <v>221</v>
      </c>
      <c r="BE17" s="746">
        <f>SUM('EGRESO plan'!BF51:BF61)</f>
        <v>149</v>
      </c>
      <c r="BF17" s="747">
        <f>SUM('EGRESO plan'!BG51:BG61)</f>
        <v>565</v>
      </c>
      <c r="BG17" s="745">
        <f>SUM('EGRESO plan'!BH51:BH61)</f>
        <v>209</v>
      </c>
      <c r="BH17" s="746">
        <f>SUM('EGRESO plan'!BI51:BI61)</f>
        <v>273</v>
      </c>
      <c r="BI17" s="746">
        <f>SUM('EGRESO plan'!BJ51:BJ61)</f>
        <v>186</v>
      </c>
      <c r="BJ17" s="747">
        <f>SUM('EGRESO plan'!BK51:BK61)</f>
        <v>668</v>
      </c>
      <c r="BK17" s="745">
        <f>SUM('EGRESO plan'!BL51:BL61)</f>
        <v>211</v>
      </c>
      <c r="BL17" s="746">
        <f>SUM('EGRESO plan'!BM51:BM61)</f>
        <v>201</v>
      </c>
      <c r="BM17" s="746">
        <f>SUM('EGRESO plan'!BN51:BN61)</f>
        <v>140</v>
      </c>
      <c r="BN17" s="747">
        <f>SUM('EGRESO plan'!BO51:BO61)</f>
        <v>552</v>
      </c>
      <c r="BO17" s="745">
        <f>SUM('EGRESO plan'!BP51:BP61)</f>
        <v>199</v>
      </c>
      <c r="BP17" s="746">
        <f>SUM('EGRESO plan'!BQ51:BQ61)</f>
        <v>208</v>
      </c>
      <c r="BQ17" s="746">
        <f>SUM('EGRESO plan'!BR51:BR61)</f>
        <v>167</v>
      </c>
      <c r="BR17" s="747">
        <f>SUM('EGRESO plan'!BS51:BS61)</f>
        <v>574</v>
      </c>
    </row>
    <row r="18" spans="1:70" s="6" customFormat="1" ht="15" customHeight="1" x14ac:dyDescent="0.2">
      <c r="A18" s="5144"/>
      <c r="B18" s="247" t="s">
        <v>11</v>
      </c>
      <c r="C18" s="745">
        <f>SUM('EGRESO plan'!D63:D68)</f>
        <v>99</v>
      </c>
      <c r="D18" s="746">
        <f>SUM('EGRESO plan'!E63:E68)</f>
        <v>55</v>
      </c>
      <c r="E18" s="746">
        <f>SUM('EGRESO plan'!F63:F68)</f>
        <v>44</v>
      </c>
      <c r="F18" s="747">
        <f>SUM('EGRESO plan'!G63:G68)</f>
        <v>198</v>
      </c>
      <c r="G18" s="745">
        <f>SUM('EGRESO plan'!H63:H68)</f>
        <v>64</v>
      </c>
      <c r="H18" s="746">
        <f>SUM('EGRESO plan'!I63:I68)</f>
        <v>44</v>
      </c>
      <c r="I18" s="746">
        <f>SUM('EGRESO plan'!J63:J68)</f>
        <v>51</v>
      </c>
      <c r="J18" s="747">
        <f>SUM('EGRESO plan'!K63:K68)</f>
        <v>159</v>
      </c>
      <c r="K18" s="745">
        <f>SUM('EGRESO plan'!L63:L68)</f>
        <v>95</v>
      </c>
      <c r="L18" s="746">
        <f>SUM('EGRESO plan'!M63:M68)</f>
        <v>87</v>
      </c>
      <c r="M18" s="746">
        <f>SUM('EGRESO plan'!N63:N68)</f>
        <v>35</v>
      </c>
      <c r="N18" s="747">
        <f>SUM('EGRESO plan'!O63:O68)</f>
        <v>217</v>
      </c>
      <c r="O18" s="745">
        <f>SUM('EGRESO plan'!P63:P68)</f>
        <v>90</v>
      </c>
      <c r="P18" s="746">
        <f>SUM('EGRESO plan'!Q63:Q68)</f>
        <v>75</v>
      </c>
      <c r="Q18" s="746">
        <f>SUM('EGRESO plan'!R63:R68)</f>
        <v>63</v>
      </c>
      <c r="R18" s="747">
        <f>SUM('EGRESO plan'!S63:S68)</f>
        <v>228</v>
      </c>
      <c r="S18" s="745">
        <f>SUM('EGRESO plan'!T63:T68)</f>
        <v>89</v>
      </c>
      <c r="T18" s="746">
        <f>SUM('EGRESO plan'!U63:U68)</f>
        <v>125</v>
      </c>
      <c r="U18" s="746">
        <f>SUM('EGRESO plan'!V63:V68)</f>
        <v>86</v>
      </c>
      <c r="V18" s="747">
        <f>SUM('EGRESO plan'!W63:W68)</f>
        <v>300</v>
      </c>
      <c r="W18" s="745">
        <f>SUM('EGRESO plan'!X63:X68)</f>
        <v>118</v>
      </c>
      <c r="X18" s="746">
        <f>SUM('EGRESO plan'!Y63:Y68)</f>
        <v>143</v>
      </c>
      <c r="Y18" s="746">
        <f>SUM('EGRESO plan'!Z63:Z68)</f>
        <v>120</v>
      </c>
      <c r="Z18" s="747">
        <f>SUM('EGRESO plan'!AA63:AA68)</f>
        <v>381</v>
      </c>
      <c r="AA18" s="745">
        <f>SUM('EGRESO plan'!AB63:AB68)</f>
        <v>124</v>
      </c>
      <c r="AB18" s="746">
        <f>SUM('EGRESO plan'!AC63:AC68)</f>
        <v>113</v>
      </c>
      <c r="AC18" s="746">
        <f>SUM('EGRESO plan'!AD63:AD68)</f>
        <v>106</v>
      </c>
      <c r="AD18" s="747">
        <f>SUM('EGRESO plan'!AE63:AE68)</f>
        <v>343</v>
      </c>
      <c r="AE18" s="745">
        <f>SUM('EGRESO plan'!AF63:AF68)</f>
        <v>150</v>
      </c>
      <c r="AF18" s="746">
        <f>SUM('EGRESO plan'!AG63:AG68)</f>
        <v>123</v>
      </c>
      <c r="AG18" s="746">
        <f>SUM('EGRESO plan'!AH63:AH68)</f>
        <v>100</v>
      </c>
      <c r="AH18" s="747">
        <f>SUM('EGRESO plan'!AI63:AI68)</f>
        <v>373</v>
      </c>
      <c r="AI18" s="745">
        <f>SUM('EGRESO plan'!AJ63:AJ68)</f>
        <v>119</v>
      </c>
      <c r="AJ18" s="746">
        <f>SUM('EGRESO plan'!AK63:AK68)</f>
        <v>114</v>
      </c>
      <c r="AK18" s="746">
        <f>SUM('EGRESO plan'!AL63:AL68)</f>
        <v>78</v>
      </c>
      <c r="AL18" s="747">
        <f>SUM('EGRESO plan'!AM63:AM68)</f>
        <v>311</v>
      </c>
      <c r="AM18" s="745">
        <f>SUM('EGRESO plan'!AN63:AN68)</f>
        <v>112</v>
      </c>
      <c r="AN18" s="746">
        <f>SUM('EGRESO plan'!AO63:AO68)</f>
        <v>124</v>
      </c>
      <c r="AO18" s="746">
        <f>SUM('EGRESO plan'!AP63:AP68)</f>
        <v>111</v>
      </c>
      <c r="AP18" s="747">
        <f>SUM('EGRESO plan'!AQ63:AQ68)</f>
        <v>347</v>
      </c>
      <c r="AQ18" s="745">
        <f>SUM('EGRESO plan'!AR63:AR68)</f>
        <v>92</v>
      </c>
      <c r="AR18" s="746">
        <f>SUM('EGRESO plan'!AS63:AS68)</f>
        <v>88</v>
      </c>
      <c r="AS18" s="746">
        <f>SUM('EGRESO plan'!AT63:AT68)</f>
        <v>67</v>
      </c>
      <c r="AT18" s="747">
        <f>SUM('EGRESO plan'!AU63:AU68)</f>
        <v>247</v>
      </c>
      <c r="AU18" s="745">
        <f>SUM('EGRESO plan'!AV63:AV68)</f>
        <v>111</v>
      </c>
      <c r="AV18" s="746">
        <f>SUM('EGRESO plan'!AW63:AW68)</f>
        <v>101</v>
      </c>
      <c r="AW18" s="746">
        <f>SUM('EGRESO plan'!AX63:AX68)</f>
        <v>91</v>
      </c>
      <c r="AX18" s="747">
        <f>SUM('EGRESO plan'!AY63:AY68)</f>
        <v>303</v>
      </c>
      <c r="AY18" s="745">
        <f>SUM('EGRESO plan'!AZ63:AZ68)</f>
        <v>101</v>
      </c>
      <c r="AZ18" s="746">
        <f>SUM('EGRESO plan'!BA63:BA68)</f>
        <v>93</v>
      </c>
      <c r="BA18" s="746">
        <f>SUM('EGRESO plan'!BB63:BB68)</f>
        <v>61</v>
      </c>
      <c r="BB18" s="747">
        <f>SUM('EGRESO plan'!BC63:BC68)</f>
        <v>255</v>
      </c>
      <c r="BC18" s="745">
        <f>SUM('EGRESO plan'!BD63:BD68)</f>
        <v>103</v>
      </c>
      <c r="BD18" s="746">
        <f>SUM('EGRESO plan'!BE63:BE68)</f>
        <v>117</v>
      </c>
      <c r="BE18" s="746">
        <f>SUM('EGRESO plan'!BF63:BF68)</f>
        <v>77</v>
      </c>
      <c r="BF18" s="747">
        <f>SUM('EGRESO plan'!BG63:BG68)</f>
        <v>297</v>
      </c>
      <c r="BG18" s="745">
        <f>SUM('EGRESO plan'!BH63:BH68)</f>
        <v>86</v>
      </c>
      <c r="BH18" s="746">
        <f>SUM('EGRESO plan'!BI63:BI68)</f>
        <v>125</v>
      </c>
      <c r="BI18" s="746">
        <f>SUM('EGRESO plan'!BJ63:BJ68)</f>
        <v>143</v>
      </c>
      <c r="BJ18" s="747">
        <f>SUM('EGRESO plan'!BK63:BK68)</f>
        <v>354</v>
      </c>
      <c r="BK18" s="745">
        <f>SUM('EGRESO plan'!BL63:BL68)</f>
        <v>109</v>
      </c>
      <c r="BL18" s="746">
        <f>SUM('EGRESO plan'!BM63:BM68)</f>
        <v>142</v>
      </c>
      <c r="BM18" s="746">
        <f>SUM('EGRESO plan'!BN63:BN68)</f>
        <v>94</v>
      </c>
      <c r="BN18" s="747">
        <f>SUM('EGRESO plan'!BO63:BO68)</f>
        <v>345</v>
      </c>
      <c r="BO18" s="745">
        <f>SUM('EGRESO plan'!BP63:BP68)</f>
        <v>107</v>
      </c>
      <c r="BP18" s="746">
        <f>SUM('EGRESO plan'!BQ63:BQ68)</f>
        <v>127</v>
      </c>
      <c r="BQ18" s="746">
        <f>SUM('EGRESO plan'!BR63:BR68)</f>
        <v>151</v>
      </c>
      <c r="BR18" s="747">
        <f>SUM('EGRESO plan'!BS63:BS68)</f>
        <v>385</v>
      </c>
    </row>
    <row r="19" spans="1:70" s="37" customFormat="1" ht="15" x14ac:dyDescent="0.2">
      <c r="A19" s="5227"/>
      <c r="B19" s="2355" t="s">
        <v>12</v>
      </c>
      <c r="C19" s="2356">
        <f t="shared" ref="C19:R19" si="7">SUM(C16:C18)</f>
        <v>369</v>
      </c>
      <c r="D19" s="2357">
        <f t="shared" si="7"/>
        <v>378</v>
      </c>
      <c r="E19" s="2357">
        <f t="shared" si="7"/>
        <v>243</v>
      </c>
      <c r="F19" s="2358">
        <f t="shared" si="7"/>
        <v>990</v>
      </c>
      <c r="G19" s="2356">
        <f t="shared" si="7"/>
        <v>288</v>
      </c>
      <c r="H19" s="2357">
        <f t="shared" si="7"/>
        <v>315</v>
      </c>
      <c r="I19" s="2357">
        <f t="shared" si="7"/>
        <v>249</v>
      </c>
      <c r="J19" s="2358">
        <f t="shared" si="7"/>
        <v>852</v>
      </c>
      <c r="K19" s="2356">
        <f t="shared" si="7"/>
        <v>359</v>
      </c>
      <c r="L19" s="2357">
        <f t="shared" si="7"/>
        <v>364</v>
      </c>
      <c r="M19" s="2357">
        <f t="shared" si="7"/>
        <v>220</v>
      </c>
      <c r="N19" s="2358">
        <f t="shared" si="7"/>
        <v>943</v>
      </c>
      <c r="O19" s="2356">
        <f t="shared" si="7"/>
        <v>340</v>
      </c>
      <c r="P19" s="2357">
        <f t="shared" si="7"/>
        <v>338</v>
      </c>
      <c r="Q19" s="2357">
        <f t="shared" si="7"/>
        <v>274</v>
      </c>
      <c r="R19" s="2358">
        <f t="shared" si="7"/>
        <v>952</v>
      </c>
      <c r="S19" s="2356">
        <f t="shared" ref="S19:BJ19" si="8">SUM(S16:S18)</f>
        <v>360</v>
      </c>
      <c r="T19" s="2357">
        <f t="shared" si="8"/>
        <v>405</v>
      </c>
      <c r="U19" s="2357">
        <f t="shared" si="8"/>
        <v>275</v>
      </c>
      <c r="V19" s="2358">
        <f t="shared" si="8"/>
        <v>1040</v>
      </c>
      <c r="W19" s="2356">
        <f t="shared" si="8"/>
        <v>403</v>
      </c>
      <c r="X19" s="2357">
        <f t="shared" si="8"/>
        <v>444</v>
      </c>
      <c r="Y19" s="2357">
        <f t="shared" si="8"/>
        <v>341</v>
      </c>
      <c r="Z19" s="2358">
        <f t="shared" si="8"/>
        <v>1188</v>
      </c>
      <c r="AA19" s="2356">
        <f t="shared" si="8"/>
        <v>435</v>
      </c>
      <c r="AB19" s="2357">
        <f t="shared" si="8"/>
        <v>382</v>
      </c>
      <c r="AC19" s="2357">
        <f t="shared" si="8"/>
        <v>280</v>
      </c>
      <c r="AD19" s="2358">
        <f t="shared" si="8"/>
        <v>1097</v>
      </c>
      <c r="AE19" s="2356">
        <f t="shared" si="8"/>
        <v>396</v>
      </c>
      <c r="AF19" s="2357">
        <f t="shared" si="8"/>
        <v>444</v>
      </c>
      <c r="AG19" s="2357">
        <f t="shared" si="8"/>
        <v>310</v>
      </c>
      <c r="AH19" s="2358">
        <f t="shared" si="8"/>
        <v>1150</v>
      </c>
      <c r="AI19" s="2356">
        <f t="shared" si="8"/>
        <v>350</v>
      </c>
      <c r="AJ19" s="2357">
        <f t="shared" si="8"/>
        <v>366</v>
      </c>
      <c r="AK19" s="2357">
        <f t="shared" si="8"/>
        <v>237</v>
      </c>
      <c r="AL19" s="2358">
        <f t="shared" si="8"/>
        <v>953</v>
      </c>
      <c r="AM19" s="2356">
        <f t="shared" si="8"/>
        <v>337</v>
      </c>
      <c r="AN19" s="2357">
        <f t="shared" si="8"/>
        <v>367</v>
      </c>
      <c r="AO19" s="2357">
        <f t="shared" si="8"/>
        <v>242</v>
      </c>
      <c r="AP19" s="2358">
        <f t="shared" si="8"/>
        <v>946</v>
      </c>
      <c r="AQ19" s="2356">
        <f t="shared" si="8"/>
        <v>322</v>
      </c>
      <c r="AR19" s="2357">
        <f t="shared" si="8"/>
        <v>374</v>
      </c>
      <c r="AS19" s="2357">
        <f t="shared" si="8"/>
        <v>200</v>
      </c>
      <c r="AT19" s="2358">
        <f t="shared" si="8"/>
        <v>896</v>
      </c>
      <c r="AU19" s="2356">
        <f t="shared" si="8"/>
        <v>366</v>
      </c>
      <c r="AV19" s="2357">
        <f t="shared" si="8"/>
        <v>449</v>
      </c>
      <c r="AW19" s="2357">
        <f t="shared" si="8"/>
        <v>274</v>
      </c>
      <c r="AX19" s="2358">
        <f t="shared" si="8"/>
        <v>1089</v>
      </c>
      <c r="AY19" s="2356">
        <f t="shared" si="8"/>
        <v>330</v>
      </c>
      <c r="AZ19" s="2357">
        <f t="shared" si="8"/>
        <v>328</v>
      </c>
      <c r="BA19" s="2357">
        <f t="shared" si="8"/>
        <v>258</v>
      </c>
      <c r="BB19" s="2358">
        <f t="shared" si="8"/>
        <v>916</v>
      </c>
      <c r="BC19" s="2356">
        <f t="shared" si="8"/>
        <v>365</v>
      </c>
      <c r="BD19" s="2357">
        <f t="shared" si="8"/>
        <v>423</v>
      </c>
      <c r="BE19" s="2357">
        <f t="shared" si="8"/>
        <v>276</v>
      </c>
      <c r="BF19" s="2358">
        <f t="shared" si="8"/>
        <v>1064</v>
      </c>
      <c r="BG19" s="2356">
        <f t="shared" si="8"/>
        <v>339</v>
      </c>
      <c r="BH19" s="2357">
        <f t="shared" si="8"/>
        <v>456</v>
      </c>
      <c r="BI19" s="2357">
        <f t="shared" si="8"/>
        <v>390</v>
      </c>
      <c r="BJ19" s="2358">
        <f t="shared" si="8"/>
        <v>1185</v>
      </c>
      <c r="BK19" s="2356">
        <f t="shared" ref="BK19:BN19" si="9">SUM(BK16:BK18)</f>
        <v>378</v>
      </c>
      <c r="BL19" s="2357">
        <f t="shared" si="9"/>
        <v>429</v>
      </c>
      <c r="BM19" s="2357">
        <f t="shared" si="9"/>
        <v>302</v>
      </c>
      <c r="BN19" s="2358">
        <f t="shared" si="9"/>
        <v>1109</v>
      </c>
      <c r="BO19" s="2356">
        <f t="shared" ref="BO19:BR19" si="10">SUM(BO16:BO18)</f>
        <v>352</v>
      </c>
      <c r="BP19" s="2357">
        <f t="shared" si="10"/>
        <v>398</v>
      </c>
      <c r="BQ19" s="2357">
        <f t="shared" si="10"/>
        <v>382</v>
      </c>
      <c r="BR19" s="2358">
        <f t="shared" si="10"/>
        <v>1132</v>
      </c>
    </row>
    <row r="20" spans="1:70" s="37" customFormat="1" ht="15" x14ac:dyDescent="0.2"/>
    <row r="21" spans="1:70" s="37" customFormat="1" ht="15" x14ac:dyDescent="0.2">
      <c r="A21" s="5155" t="s">
        <v>411</v>
      </c>
      <c r="B21" s="246" t="s">
        <v>5</v>
      </c>
      <c r="C21" s="742"/>
      <c r="D21" s="743"/>
      <c r="E21" s="743"/>
      <c r="F21" s="744"/>
      <c r="G21" s="742"/>
      <c r="H21" s="743"/>
      <c r="I21" s="743"/>
      <c r="J21" s="744"/>
      <c r="K21" s="742"/>
      <c r="L21" s="743"/>
      <c r="M21" s="743"/>
      <c r="N21" s="744"/>
      <c r="O21" s="742"/>
      <c r="P21" s="743"/>
      <c r="Q21" s="743"/>
      <c r="R21" s="744"/>
      <c r="S21" s="742"/>
      <c r="T21" s="743"/>
      <c r="U21" s="743"/>
      <c r="V21" s="744"/>
      <c r="W21" s="742"/>
      <c r="X21" s="743"/>
      <c r="Y21" s="743"/>
      <c r="Z21" s="744"/>
      <c r="AA21" s="742"/>
      <c r="AB21" s="743"/>
      <c r="AC21" s="743"/>
      <c r="AD21" s="744"/>
      <c r="AE21" s="742"/>
      <c r="AF21" s="743"/>
      <c r="AG21" s="743"/>
      <c r="AH21" s="744"/>
      <c r="AI21" s="742"/>
      <c r="AJ21" s="743"/>
      <c r="AK21" s="743"/>
      <c r="AL21" s="744"/>
      <c r="AM21" s="742"/>
      <c r="AN21" s="743"/>
      <c r="AO21" s="743"/>
      <c r="AP21" s="744"/>
      <c r="AQ21" s="742"/>
      <c r="AR21" s="743"/>
      <c r="AS21" s="743"/>
      <c r="AT21" s="744"/>
      <c r="AU21" s="742"/>
      <c r="AV21" s="743"/>
      <c r="AW21" s="743"/>
      <c r="AX21" s="744"/>
      <c r="AY21" s="742"/>
      <c r="AZ21" s="743"/>
      <c r="BA21" s="743"/>
      <c r="BB21" s="744"/>
      <c r="BC21" s="742"/>
      <c r="BD21" s="743"/>
      <c r="BE21" s="743"/>
      <c r="BF21" s="744"/>
      <c r="BG21" s="742"/>
      <c r="BH21" s="743"/>
      <c r="BI21" s="743"/>
      <c r="BJ21" s="744"/>
      <c r="BK21" s="742"/>
      <c r="BL21" s="743"/>
      <c r="BM21" s="743"/>
      <c r="BN21" s="744"/>
      <c r="BO21" s="742">
        <f>+'EGRESO plan'!BP72</f>
        <v>8</v>
      </c>
      <c r="BP21" s="743">
        <f>+'EGRESO plan'!BQ72</f>
        <v>9</v>
      </c>
      <c r="BQ21" s="743">
        <f>+'EGRESO plan'!BR72</f>
        <v>3</v>
      </c>
      <c r="BR21" s="744">
        <f>+'EGRESO plan'!BS72</f>
        <v>20</v>
      </c>
    </row>
    <row r="22" spans="1:70" s="37" customFormat="1" ht="15" x14ac:dyDescent="0.2">
      <c r="A22" s="5156"/>
      <c r="B22" s="247" t="s">
        <v>6</v>
      </c>
      <c r="C22" s="745"/>
      <c r="D22" s="746"/>
      <c r="E22" s="746"/>
      <c r="F22" s="747"/>
      <c r="G22" s="745"/>
      <c r="H22" s="746"/>
      <c r="I22" s="746"/>
      <c r="J22" s="747"/>
      <c r="K22" s="745"/>
      <c r="L22" s="746"/>
      <c r="M22" s="746"/>
      <c r="N22" s="747"/>
      <c r="O22" s="745"/>
      <c r="P22" s="746"/>
      <c r="Q22" s="746"/>
      <c r="R22" s="747"/>
      <c r="S22" s="745"/>
      <c r="T22" s="746"/>
      <c r="U22" s="746"/>
      <c r="V22" s="747"/>
      <c r="W22" s="745"/>
      <c r="X22" s="746"/>
      <c r="Y22" s="746"/>
      <c r="Z22" s="747"/>
      <c r="AA22" s="745"/>
      <c r="AB22" s="746"/>
      <c r="AC22" s="746"/>
      <c r="AD22" s="747"/>
      <c r="AE22" s="745"/>
      <c r="AF22" s="746"/>
      <c r="AG22" s="746"/>
      <c r="AH22" s="747"/>
      <c r="AI22" s="745"/>
      <c r="AJ22" s="746"/>
      <c r="AK22" s="746"/>
      <c r="AL22" s="747"/>
      <c r="AM22" s="745"/>
      <c r="AN22" s="746"/>
      <c r="AO22" s="746"/>
      <c r="AP22" s="747"/>
      <c r="AQ22" s="745"/>
      <c r="AR22" s="746"/>
      <c r="AS22" s="746"/>
      <c r="AT22" s="747"/>
      <c r="AU22" s="745"/>
      <c r="AV22" s="746"/>
      <c r="AW22" s="746"/>
      <c r="AX22" s="747"/>
      <c r="AY22" s="745"/>
      <c r="AZ22" s="746"/>
      <c r="BA22" s="746"/>
      <c r="BB22" s="747"/>
      <c r="BC22" s="745"/>
      <c r="BD22" s="746"/>
      <c r="BE22" s="746"/>
      <c r="BF22" s="747"/>
      <c r="BG22" s="745"/>
      <c r="BH22" s="746"/>
      <c r="BI22" s="746"/>
      <c r="BJ22" s="747"/>
      <c r="BK22" s="745"/>
      <c r="BL22" s="746"/>
      <c r="BM22" s="746"/>
      <c r="BN22" s="747"/>
      <c r="BO22" s="745">
        <f>+'EGRESO plan'!BP75</f>
        <v>10</v>
      </c>
      <c r="BP22" s="746">
        <f>+'EGRESO plan'!BQ75</f>
        <v>21</v>
      </c>
      <c r="BQ22" s="746">
        <f>+'EGRESO plan'!BR75</f>
        <v>1</v>
      </c>
      <c r="BR22" s="747">
        <f>+'EGRESO plan'!BS75</f>
        <v>32</v>
      </c>
    </row>
    <row r="23" spans="1:70" s="37" customFormat="1" ht="15" x14ac:dyDescent="0.2">
      <c r="A23" s="5156"/>
      <c r="B23" s="247" t="s">
        <v>11</v>
      </c>
      <c r="C23" s="745"/>
      <c r="D23" s="746"/>
      <c r="E23" s="746"/>
      <c r="F23" s="747"/>
      <c r="G23" s="745"/>
      <c r="H23" s="746"/>
      <c r="I23" s="746"/>
      <c r="J23" s="747"/>
      <c r="K23" s="745"/>
      <c r="L23" s="746"/>
      <c r="M23" s="746"/>
      <c r="N23" s="747"/>
      <c r="O23" s="745"/>
      <c r="P23" s="746"/>
      <c r="Q23" s="746"/>
      <c r="R23" s="747"/>
      <c r="S23" s="745"/>
      <c r="T23" s="746"/>
      <c r="U23" s="746"/>
      <c r="V23" s="747"/>
      <c r="W23" s="745"/>
      <c r="X23" s="746"/>
      <c r="Y23" s="746"/>
      <c r="Z23" s="747"/>
      <c r="AA23" s="745"/>
      <c r="AB23" s="746"/>
      <c r="AC23" s="746"/>
      <c r="AD23" s="747"/>
      <c r="AE23" s="745"/>
      <c r="AF23" s="746"/>
      <c r="AG23" s="746"/>
      <c r="AH23" s="747"/>
      <c r="AI23" s="745"/>
      <c r="AJ23" s="746"/>
      <c r="AK23" s="746"/>
      <c r="AL23" s="747"/>
      <c r="AM23" s="745"/>
      <c r="AN23" s="746"/>
      <c r="AO23" s="746"/>
      <c r="AP23" s="747"/>
      <c r="AQ23" s="745"/>
      <c r="AR23" s="746"/>
      <c r="AS23" s="746"/>
      <c r="AT23" s="747"/>
      <c r="AU23" s="745"/>
      <c r="AV23" s="746"/>
      <c r="AW23" s="746"/>
      <c r="AX23" s="747"/>
      <c r="AY23" s="745"/>
      <c r="AZ23" s="746"/>
      <c r="BA23" s="746"/>
      <c r="BB23" s="747"/>
      <c r="BC23" s="745"/>
      <c r="BD23" s="746"/>
      <c r="BE23" s="746"/>
      <c r="BF23" s="747"/>
      <c r="BG23" s="745"/>
      <c r="BH23" s="746"/>
      <c r="BI23" s="746"/>
      <c r="BJ23" s="747"/>
      <c r="BK23" s="745"/>
      <c r="BL23" s="746"/>
      <c r="BM23" s="746"/>
      <c r="BN23" s="747"/>
      <c r="BO23" s="745">
        <f>+'EGRESO plan'!BP77</f>
        <v>9</v>
      </c>
      <c r="BP23" s="746">
        <f>+'EGRESO plan'!BQ77</f>
        <v>14</v>
      </c>
      <c r="BQ23" s="746">
        <f>+'EGRESO plan'!BR77</f>
        <v>0</v>
      </c>
      <c r="BR23" s="747">
        <f>+'EGRESO plan'!BS77</f>
        <v>23</v>
      </c>
    </row>
    <row r="24" spans="1:70" s="37" customFormat="1" ht="15" x14ac:dyDescent="0.2">
      <c r="A24" s="5230"/>
      <c r="B24" s="2421" t="s">
        <v>12</v>
      </c>
      <c r="C24" s="4765"/>
      <c r="D24" s="4766"/>
      <c r="E24" s="4766"/>
      <c r="F24" s="4767"/>
      <c r="G24" s="4765"/>
      <c r="H24" s="4766"/>
      <c r="I24" s="4766"/>
      <c r="J24" s="4767"/>
      <c r="K24" s="4765"/>
      <c r="L24" s="4766"/>
      <c r="M24" s="4766"/>
      <c r="N24" s="4767"/>
      <c r="O24" s="4765"/>
      <c r="P24" s="4766"/>
      <c r="Q24" s="4766"/>
      <c r="R24" s="4767"/>
      <c r="S24" s="4765"/>
      <c r="T24" s="4766"/>
      <c r="U24" s="4766"/>
      <c r="V24" s="4767"/>
      <c r="W24" s="4765"/>
      <c r="X24" s="4766"/>
      <c r="Y24" s="4766"/>
      <c r="Z24" s="4767"/>
      <c r="AA24" s="4765"/>
      <c r="AB24" s="4766"/>
      <c r="AC24" s="4766"/>
      <c r="AD24" s="4767"/>
      <c r="AE24" s="4765"/>
      <c r="AF24" s="4766"/>
      <c r="AG24" s="4766"/>
      <c r="AH24" s="4767"/>
      <c r="AI24" s="4765"/>
      <c r="AJ24" s="4766"/>
      <c r="AK24" s="4766"/>
      <c r="AL24" s="4767"/>
      <c r="AM24" s="4765"/>
      <c r="AN24" s="4766"/>
      <c r="AO24" s="4766"/>
      <c r="AP24" s="4767"/>
      <c r="AQ24" s="4765"/>
      <c r="AR24" s="4766"/>
      <c r="AS24" s="4766"/>
      <c r="AT24" s="4767"/>
      <c r="AU24" s="4765"/>
      <c r="AV24" s="4766"/>
      <c r="AW24" s="4766"/>
      <c r="AX24" s="4767"/>
      <c r="AY24" s="4765"/>
      <c r="AZ24" s="4766"/>
      <c r="BA24" s="4766"/>
      <c r="BB24" s="4767"/>
      <c r="BC24" s="4765"/>
      <c r="BD24" s="4766"/>
      <c r="BE24" s="4766"/>
      <c r="BF24" s="4767"/>
      <c r="BG24" s="4765"/>
      <c r="BH24" s="4766"/>
      <c r="BI24" s="4766"/>
      <c r="BJ24" s="4767"/>
      <c r="BK24" s="4765"/>
      <c r="BL24" s="4766"/>
      <c r="BM24" s="4766"/>
      <c r="BN24" s="4767"/>
      <c r="BO24" s="4765">
        <f>SUM(BO21:BO23)</f>
        <v>27</v>
      </c>
      <c r="BP24" s="4766">
        <f t="shared" ref="BP24:BR24" si="11">SUM(BP21:BP23)</f>
        <v>44</v>
      </c>
      <c r="BQ24" s="4766">
        <f t="shared" si="11"/>
        <v>4</v>
      </c>
      <c r="BR24" s="4767">
        <f t="shared" si="11"/>
        <v>75</v>
      </c>
    </row>
    <row r="25" spans="1:70" s="37" customFormat="1" ht="15.75" x14ac:dyDescent="0.2">
      <c r="A25" s="1924"/>
      <c r="B25" s="748"/>
      <c r="C25" s="748"/>
      <c r="D25" s="748"/>
      <c r="E25" s="748"/>
      <c r="F25" s="748"/>
      <c r="G25" s="748"/>
      <c r="H25" s="748"/>
      <c r="I25" s="748"/>
      <c r="J25" s="748"/>
      <c r="K25" s="748"/>
      <c r="L25" s="748"/>
      <c r="M25" s="748"/>
      <c r="N25" s="748"/>
      <c r="O25" s="748"/>
      <c r="P25" s="748"/>
      <c r="Q25" s="748"/>
      <c r="R25" s="748"/>
      <c r="S25" s="748"/>
      <c r="T25" s="748"/>
      <c r="U25" s="748"/>
      <c r="V25" s="748"/>
      <c r="W25" s="748"/>
      <c r="X25" s="748"/>
      <c r="Y25" s="748"/>
      <c r="Z25" s="748"/>
      <c r="AA25" s="748"/>
      <c r="AB25" s="748"/>
      <c r="AC25" s="748"/>
      <c r="AD25" s="748"/>
      <c r="AE25" s="748"/>
      <c r="AF25" s="748"/>
      <c r="AG25" s="748"/>
      <c r="AH25" s="748"/>
      <c r="AI25" s="748"/>
      <c r="AJ25" s="748"/>
      <c r="AK25" s="748"/>
      <c r="AL25" s="748"/>
      <c r="AM25" s="748"/>
      <c r="AN25" s="748"/>
      <c r="AO25" s="748"/>
      <c r="AP25" s="748"/>
      <c r="AQ25" s="748"/>
      <c r="AR25" s="748"/>
      <c r="AS25" s="748"/>
      <c r="AT25" s="748"/>
      <c r="AU25" s="748"/>
      <c r="AV25" s="748"/>
      <c r="AW25" s="748"/>
      <c r="AX25" s="748"/>
      <c r="AY25" s="748"/>
      <c r="AZ25" s="748"/>
      <c r="BA25" s="748"/>
      <c r="BB25" s="748"/>
      <c r="BC25" s="748"/>
      <c r="BD25" s="748"/>
      <c r="BE25" s="748"/>
      <c r="BF25" s="748"/>
      <c r="BG25" s="748"/>
      <c r="BH25" s="748"/>
      <c r="BI25" s="748"/>
      <c r="BJ25" s="748"/>
      <c r="BK25" s="748"/>
      <c r="BL25" s="748"/>
      <c r="BM25" s="748"/>
      <c r="BN25" s="748"/>
      <c r="BO25" s="748"/>
      <c r="BP25" s="748"/>
      <c r="BQ25" s="748"/>
      <c r="BR25" s="748"/>
    </row>
    <row r="26" spans="1:70" s="6" customFormat="1" ht="15" customHeight="1" x14ac:dyDescent="0.2">
      <c r="A26" s="5161" t="s">
        <v>163</v>
      </c>
      <c r="B26" s="246" t="s">
        <v>6</v>
      </c>
      <c r="C26" s="742">
        <f>SUM('EGRESO plan'!D79:D84)</f>
        <v>375</v>
      </c>
      <c r="D26" s="743">
        <f>SUM('EGRESO plan'!E79:E84)</f>
        <v>396</v>
      </c>
      <c r="E26" s="743">
        <f>SUM('EGRESO plan'!F79:F84)</f>
        <v>0</v>
      </c>
      <c r="F26" s="744">
        <f>SUM('EGRESO plan'!G79:G84)</f>
        <v>771</v>
      </c>
      <c r="G26" s="742">
        <f>SUM('EGRESO plan'!H79:H84)</f>
        <v>343</v>
      </c>
      <c r="H26" s="743">
        <f>SUM('EGRESO plan'!I79:I84)</f>
        <v>427</v>
      </c>
      <c r="I26" s="743">
        <f>SUM('EGRESO plan'!J79:J84)</f>
        <v>0</v>
      </c>
      <c r="J26" s="744">
        <f>SUM('EGRESO plan'!K79:K84)</f>
        <v>770</v>
      </c>
      <c r="K26" s="742">
        <f>SUM('EGRESO plan'!L79:L84)</f>
        <v>331</v>
      </c>
      <c r="L26" s="743">
        <f>SUM('EGRESO plan'!M79:M84)</f>
        <v>432</v>
      </c>
      <c r="M26" s="743">
        <f>SUM('EGRESO plan'!N79:N84)</f>
        <v>0</v>
      </c>
      <c r="N26" s="744">
        <f>SUM('EGRESO plan'!O79:O84)</f>
        <v>763</v>
      </c>
      <c r="O26" s="742">
        <f>SUM('EGRESO plan'!P79:P84)</f>
        <v>403</v>
      </c>
      <c r="P26" s="743">
        <f>SUM('EGRESO plan'!Q79:Q84)</f>
        <v>461</v>
      </c>
      <c r="Q26" s="743">
        <f>SUM('EGRESO plan'!R79:R84)</f>
        <v>0</v>
      </c>
      <c r="R26" s="744">
        <f>SUM('EGRESO plan'!S79:S84)</f>
        <v>864</v>
      </c>
      <c r="S26" s="742">
        <f>SUM('EGRESO plan'!T79:T84)</f>
        <v>390</v>
      </c>
      <c r="T26" s="743">
        <f>SUM('EGRESO plan'!U79:U84)</f>
        <v>428</v>
      </c>
      <c r="U26" s="743">
        <f>SUM('EGRESO plan'!V79:V84)</f>
        <v>0</v>
      </c>
      <c r="V26" s="744">
        <f>SUM('EGRESO plan'!W79:W84)</f>
        <v>818</v>
      </c>
      <c r="W26" s="742">
        <f>SUM('EGRESO plan'!X79:X84)</f>
        <v>337</v>
      </c>
      <c r="X26" s="743">
        <f>SUM('EGRESO plan'!Y79:Y84)</f>
        <v>380</v>
      </c>
      <c r="Y26" s="743">
        <f>SUM('EGRESO plan'!Z79:Z84)</f>
        <v>0</v>
      </c>
      <c r="Z26" s="744">
        <f>SUM('EGRESO plan'!AA79:AA84)</f>
        <v>717</v>
      </c>
      <c r="AA26" s="742">
        <f>SUM('EGRESO plan'!AB79:AB84)</f>
        <v>321</v>
      </c>
      <c r="AB26" s="743">
        <f>SUM('EGRESO plan'!AC79:AC84)</f>
        <v>411</v>
      </c>
      <c r="AC26" s="743">
        <f>SUM('EGRESO plan'!AD79:AD84)</f>
        <v>0</v>
      </c>
      <c r="AD26" s="744">
        <f>SUM('EGRESO plan'!AE79:AE84)</f>
        <v>732</v>
      </c>
      <c r="AE26" s="742">
        <f>SUM('EGRESO plan'!AF79:AF84)</f>
        <v>389</v>
      </c>
      <c r="AF26" s="743">
        <f>SUM('EGRESO plan'!AG79:AG84)</f>
        <v>372</v>
      </c>
      <c r="AG26" s="743">
        <f>SUM('EGRESO plan'!AH79:AH84)</f>
        <v>0</v>
      </c>
      <c r="AH26" s="744">
        <f>SUM('EGRESO plan'!AI79:AI84)</f>
        <v>761</v>
      </c>
      <c r="AI26" s="742">
        <f>SUM('EGRESO plan'!AJ79:AJ84)</f>
        <v>341</v>
      </c>
      <c r="AJ26" s="743">
        <f>SUM('EGRESO plan'!AK79:AK84)</f>
        <v>455</v>
      </c>
      <c r="AK26" s="743">
        <f>SUM('EGRESO plan'!AL79:AL84)</f>
        <v>0</v>
      </c>
      <c r="AL26" s="744">
        <f>SUM('EGRESO plan'!AM79:AM84)</f>
        <v>796</v>
      </c>
      <c r="AM26" s="742">
        <f>SUM('EGRESO plan'!AN79:AN84)</f>
        <v>485</v>
      </c>
      <c r="AN26" s="743">
        <f>SUM('EGRESO plan'!AO79:AO84)</f>
        <v>508</v>
      </c>
      <c r="AO26" s="743">
        <f>SUM('EGRESO plan'!AP79:AP84)</f>
        <v>0</v>
      </c>
      <c r="AP26" s="744">
        <f>SUM('EGRESO plan'!AQ79:AQ84)</f>
        <v>993</v>
      </c>
      <c r="AQ26" s="742">
        <f>SUM('EGRESO plan'!AR79:AR84)</f>
        <v>406</v>
      </c>
      <c r="AR26" s="743">
        <f>SUM('EGRESO plan'!AS79:AS84)</f>
        <v>520</v>
      </c>
      <c r="AS26" s="743">
        <f>SUM('EGRESO plan'!AT79:AT84)</f>
        <v>1</v>
      </c>
      <c r="AT26" s="744">
        <f>SUM('EGRESO plan'!AU79:AU84)</f>
        <v>927</v>
      </c>
      <c r="AU26" s="742">
        <f>SUM('EGRESO plan'!AV79:AV84)</f>
        <v>431</v>
      </c>
      <c r="AV26" s="743">
        <f>SUM('EGRESO plan'!AW79:AW84)</f>
        <v>454</v>
      </c>
      <c r="AW26" s="743">
        <f>SUM('EGRESO plan'!AX79:AX84)</f>
        <v>0</v>
      </c>
      <c r="AX26" s="744">
        <f>SUM('EGRESO plan'!AY79:AY84)</f>
        <v>885</v>
      </c>
      <c r="AY26" s="742">
        <f>SUM('EGRESO plan'!AZ79:AZ84)</f>
        <v>357</v>
      </c>
      <c r="AZ26" s="743">
        <f>SUM('EGRESO plan'!BA79:BA84)</f>
        <v>456</v>
      </c>
      <c r="BA26" s="743">
        <f>SUM('EGRESO plan'!BB79:BB84)</f>
        <v>3</v>
      </c>
      <c r="BB26" s="744">
        <f>SUM('EGRESO plan'!BC79:BC84)</f>
        <v>816</v>
      </c>
      <c r="BC26" s="742">
        <f>SUM('EGRESO plan'!BD79:BD84)</f>
        <v>351</v>
      </c>
      <c r="BD26" s="743">
        <f>SUM('EGRESO plan'!BE79:BE84)</f>
        <v>439</v>
      </c>
      <c r="BE26" s="743">
        <f>SUM('EGRESO plan'!BF79:BF84)</f>
        <v>4</v>
      </c>
      <c r="BF26" s="744">
        <f>SUM('EGRESO plan'!BG79:BG84)</f>
        <v>794</v>
      </c>
      <c r="BG26" s="742">
        <f>SUM('EGRESO plan'!BH79:BH84)</f>
        <v>395</v>
      </c>
      <c r="BH26" s="743">
        <f>SUM('EGRESO plan'!BI79:BI84)</f>
        <v>506</v>
      </c>
      <c r="BI26" s="743">
        <f>SUM('EGRESO plan'!BJ79:BJ84)</f>
        <v>9</v>
      </c>
      <c r="BJ26" s="744">
        <f>SUM('EGRESO plan'!BK79:BK84)</f>
        <v>910</v>
      </c>
      <c r="BK26" s="742">
        <f>SUM('EGRESO plan'!BL79:BL84)</f>
        <v>366</v>
      </c>
      <c r="BL26" s="743">
        <f>SUM('EGRESO plan'!BM79:BM84)</f>
        <v>438</v>
      </c>
      <c r="BM26" s="743">
        <f>SUM('EGRESO plan'!BN79:BN84)</f>
        <v>4</v>
      </c>
      <c r="BN26" s="744">
        <f>SUM('EGRESO plan'!BO79:BO84)</f>
        <v>808</v>
      </c>
      <c r="BO26" s="742">
        <f>SUM('EGRESO plan'!BP79:BP84)</f>
        <v>362</v>
      </c>
      <c r="BP26" s="743">
        <f>SUM('EGRESO plan'!BQ79:BQ84)</f>
        <v>440</v>
      </c>
      <c r="BQ26" s="743">
        <f>SUM('EGRESO plan'!BR79:BR84)</f>
        <v>7</v>
      </c>
      <c r="BR26" s="744">
        <f>SUM('EGRESO plan'!BS79:BS84)</f>
        <v>809</v>
      </c>
    </row>
    <row r="27" spans="1:70" s="6" customFormat="1" ht="15" customHeight="1" x14ac:dyDescent="0.2">
      <c r="A27" s="5162"/>
      <c r="B27" s="247" t="s">
        <v>11</v>
      </c>
      <c r="C27" s="745">
        <f>SUM('EGRESO plan'!D86:D93)</f>
        <v>301</v>
      </c>
      <c r="D27" s="746">
        <f>SUM('EGRESO plan'!E86:E93)</f>
        <v>453</v>
      </c>
      <c r="E27" s="746">
        <f>SUM('EGRESO plan'!F86:F93)</f>
        <v>289</v>
      </c>
      <c r="F27" s="747">
        <f>SUM('EGRESO plan'!G86:G93)</f>
        <v>1043</v>
      </c>
      <c r="G27" s="745">
        <f>SUM('EGRESO plan'!H86:H93)</f>
        <v>346</v>
      </c>
      <c r="H27" s="746">
        <f>SUM('EGRESO plan'!I86:I93)</f>
        <v>501</v>
      </c>
      <c r="I27" s="746">
        <f>SUM('EGRESO plan'!J86:J93)</f>
        <v>330</v>
      </c>
      <c r="J27" s="747">
        <f>SUM('EGRESO plan'!K86:K93)</f>
        <v>1177</v>
      </c>
      <c r="K27" s="745">
        <f>SUM('EGRESO plan'!L86:L93)</f>
        <v>305</v>
      </c>
      <c r="L27" s="746">
        <f>SUM('EGRESO plan'!M86:M93)</f>
        <v>435</v>
      </c>
      <c r="M27" s="746">
        <f>SUM('EGRESO plan'!N86:N93)</f>
        <v>359</v>
      </c>
      <c r="N27" s="747">
        <f>SUM('EGRESO plan'!O86:O93)</f>
        <v>1099</v>
      </c>
      <c r="O27" s="745">
        <f>SUM('EGRESO plan'!P86:P93)</f>
        <v>341</v>
      </c>
      <c r="P27" s="746">
        <f>SUM('EGRESO plan'!Q86:Q93)</f>
        <v>555</v>
      </c>
      <c r="Q27" s="746">
        <f>SUM('EGRESO plan'!R86:R93)</f>
        <v>357</v>
      </c>
      <c r="R27" s="747">
        <f>SUM('EGRESO plan'!S86:S93)</f>
        <v>1253</v>
      </c>
      <c r="S27" s="745">
        <f>SUM('EGRESO plan'!T86:T93)</f>
        <v>343</v>
      </c>
      <c r="T27" s="746">
        <f>SUM('EGRESO plan'!U86:U93)</f>
        <v>351</v>
      </c>
      <c r="U27" s="746">
        <f>SUM('EGRESO plan'!V86:V93)</f>
        <v>319</v>
      </c>
      <c r="V27" s="747">
        <f>SUM('EGRESO plan'!W86:W93)</f>
        <v>1013</v>
      </c>
      <c r="W27" s="745">
        <f>SUM('EGRESO plan'!X86:X93)</f>
        <v>235</v>
      </c>
      <c r="X27" s="746">
        <f>SUM('EGRESO plan'!Y86:Y93)</f>
        <v>378</v>
      </c>
      <c r="Y27" s="746">
        <f>SUM('EGRESO plan'!Z86:Z93)</f>
        <v>291</v>
      </c>
      <c r="Z27" s="747">
        <f>SUM('EGRESO plan'!AA86:AA93)</f>
        <v>904</v>
      </c>
      <c r="AA27" s="745">
        <f>SUM('EGRESO plan'!AB86:AB93)</f>
        <v>223</v>
      </c>
      <c r="AB27" s="746">
        <f>SUM('EGRESO plan'!AC86:AC93)</f>
        <v>383</v>
      </c>
      <c r="AC27" s="746">
        <f>SUM('EGRESO plan'!AD86:AD93)</f>
        <v>288</v>
      </c>
      <c r="AD27" s="747">
        <f>SUM('EGRESO plan'!AE86:AE93)</f>
        <v>894</v>
      </c>
      <c r="AE27" s="745">
        <f>SUM('EGRESO plan'!AF86:AF93)</f>
        <v>244</v>
      </c>
      <c r="AF27" s="746">
        <f>SUM('EGRESO plan'!AG86:AG93)</f>
        <v>411</v>
      </c>
      <c r="AG27" s="746">
        <f>SUM('EGRESO plan'!AH86:AH93)</f>
        <v>303</v>
      </c>
      <c r="AH27" s="747">
        <f>SUM('EGRESO plan'!AI86:AI93)</f>
        <v>958</v>
      </c>
      <c r="AI27" s="745">
        <f>SUM('EGRESO plan'!AJ86:AJ93)</f>
        <v>328</v>
      </c>
      <c r="AJ27" s="746">
        <f>SUM('EGRESO plan'!AK86:AK93)</f>
        <v>418</v>
      </c>
      <c r="AK27" s="746">
        <f>SUM('EGRESO plan'!AL86:AL93)</f>
        <v>360</v>
      </c>
      <c r="AL27" s="747">
        <f>SUM('EGRESO plan'!AM86:AM93)</f>
        <v>1106</v>
      </c>
      <c r="AM27" s="745">
        <f>SUM('EGRESO plan'!AN86:AN93)</f>
        <v>428</v>
      </c>
      <c r="AN27" s="746">
        <f>SUM('EGRESO plan'!AO86:AO93)</f>
        <v>432</v>
      </c>
      <c r="AO27" s="746">
        <f>SUM('EGRESO plan'!AP86:AP93)</f>
        <v>366</v>
      </c>
      <c r="AP27" s="747">
        <f>SUM('EGRESO plan'!AQ86:AQ93)</f>
        <v>1226</v>
      </c>
      <c r="AQ27" s="745">
        <f>SUM('EGRESO plan'!AR86:AR93)</f>
        <v>323</v>
      </c>
      <c r="AR27" s="746">
        <f>SUM('EGRESO plan'!AS86:AS93)</f>
        <v>563</v>
      </c>
      <c r="AS27" s="746">
        <f>SUM('EGRESO plan'!AT86:AT93)</f>
        <v>398</v>
      </c>
      <c r="AT27" s="747">
        <f>SUM('EGRESO plan'!AU86:AU93)</f>
        <v>1284</v>
      </c>
      <c r="AU27" s="745">
        <f>SUM('EGRESO plan'!AV86:AV93)</f>
        <v>342</v>
      </c>
      <c r="AV27" s="746">
        <f>SUM('EGRESO plan'!AW86:AW93)</f>
        <v>475</v>
      </c>
      <c r="AW27" s="746">
        <f>SUM('EGRESO plan'!AX86:AX93)</f>
        <v>373</v>
      </c>
      <c r="AX27" s="747">
        <f>SUM('EGRESO plan'!AY86:AY93)</f>
        <v>1190</v>
      </c>
      <c r="AY27" s="745">
        <f>SUM('EGRESO plan'!AZ86:AZ93)</f>
        <v>348</v>
      </c>
      <c r="AZ27" s="746">
        <f>SUM('EGRESO plan'!BA86:BA93)</f>
        <v>477</v>
      </c>
      <c r="BA27" s="746">
        <f>SUM('EGRESO plan'!BB86:BB93)</f>
        <v>335</v>
      </c>
      <c r="BB27" s="747">
        <f>SUM('EGRESO plan'!BC86:BC93)</f>
        <v>1160</v>
      </c>
      <c r="BC27" s="745">
        <f>SUM('EGRESO plan'!BD86:BD93)</f>
        <v>352</v>
      </c>
      <c r="BD27" s="746">
        <f>SUM('EGRESO plan'!BE86:BE93)</f>
        <v>523</v>
      </c>
      <c r="BE27" s="746">
        <f>SUM('EGRESO plan'!BF86:BF93)</f>
        <v>310</v>
      </c>
      <c r="BF27" s="747">
        <f>SUM('EGRESO plan'!BG86:BG93)</f>
        <v>1185</v>
      </c>
      <c r="BG27" s="745">
        <f>SUM('EGRESO plan'!BH86:BH93)</f>
        <v>324</v>
      </c>
      <c r="BH27" s="746">
        <f>SUM('EGRESO plan'!BI86:BI93)</f>
        <v>450</v>
      </c>
      <c r="BI27" s="746">
        <f>SUM('EGRESO plan'!BJ86:BJ93)</f>
        <v>371</v>
      </c>
      <c r="BJ27" s="747">
        <f>SUM('EGRESO plan'!BK86:BK93)</f>
        <v>1145</v>
      </c>
      <c r="BK27" s="745">
        <f>SUM('EGRESO plan'!BL86:BL93)</f>
        <v>281</v>
      </c>
      <c r="BL27" s="746">
        <f>SUM('EGRESO plan'!BM86:BM93)</f>
        <v>489</v>
      </c>
      <c r="BM27" s="746">
        <f>SUM('EGRESO plan'!BN86:BN93)</f>
        <v>357</v>
      </c>
      <c r="BN27" s="747">
        <f>SUM('EGRESO plan'!BO86:BO93)</f>
        <v>1127</v>
      </c>
      <c r="BO27" s="745">
        <f>SUM('EGRESO plan'!BP86:BP93)</f>
        <v>341</v>
      </c>
      <c r="BP27" s="746">
        <f>SUM('EGRESO plan'!BQ86:BQ93)</f>
        <v>444</v>
      </c>
      <c r="BQ27" s="746">
        <f>SUM('EGRESO plan'!BR86:BR93)</f>
        <v>358</v>
      </c>
      <c r="BR27" s="747">
        <f>SUM('EGRESO plan'!BS86:BS93)</f>
        <v>1143</v>
      </c>
    </row>
    <row r="28" spans="1:70" s="6" customFormat="1" ht="15" customHeight="1" x14ac:dyDescent="0.2">
      <c r="A28" s="5162"/>
      <c r="B28" s="247" t="s">
        <v>7</v>
      </c>
      <c r="C28" s="745">
        <f>SUM('EGRESO plan'!D95:D98)</f>
        <v>163</v>
      </c>
      <c r="D28" s="746">
        <f>SUM('EGRESO plan'!E95:E98)</f>
        <v>150</v>
      </c>
      <c r="E28" s="746">
        <f>SUM('EGRESO plan'!F95:F98)</f>
        <v>0</v>
      </c>
      <c r="F28" s="747">
        <f>SUM('EGRESO plan'!G95:G98)</f>
        <v>313</v>
      </c>
      <c r="G28" s="745">
        <f>SUM('EGRESO plan'!H95:H98)</f>
        <v>155</v>
      </c>
      <c r="H28" s="746">
        <f>SUM('EGRESO plan'!I95:I98)</f>
        <v>242</v>
      </c>
      <c r="I28" s="746">
        <f>SUM('EGRESO plan'!J95:J98)</f>
        <v>0</v>
      </c>
      <c r="J28" s="747">
        <f>SUM('EGRESO plan'!K95:K98)</f>
        <v>397</v>
      </c>
      <c r="K28" s="745">
        <f>SUM('EGRESO plan'!L95:L98)</f>
        <v>166</v>
      </c>
      <c r="L28" s="746">
        <f>SUM('EGRESO plan'!M95:M98)</f>
        <v>224</v>
      </c>
      <c r="M28" s="746">
        <f>SUM('EGRESO plan'!N95:N98)</f>
        <v>0</v>
      </c>
      <c r="N28" s="747">
        <f>SUM('EGRESO plan'!O95:O98)</f>
        <v>390</v>
      </c>
      <c r="O28" s="745">
        <f>SUM('EGRESO plan'!P95:P98)</f>
        <v>231</v>
      </c>
      <c r="P28" s="746">
        <f>SUM('EGRESO plan'!Q95:Q98)</f>
        <v>174</v>
      </c>
      <c r="Q28" s="746">
        <f>SUM('EGRESO plan'!R95:R98)</f>
        <v>0</v>
      </c>
      <c r="R28" s="747">
        <f>SUM('EGRESO plan'!S95:S98)</f>
        <v>405</v>
      </c>
      <c r="S28" s="745">
        <f>SUM('EGRESO plan'!T95:T98)</f>
        <v>187</v>
      </c>
      <c r="T28" s="746">
        <f>SUM('EGRESO plan'!U95:U98)</f>
        <v>168</v>
      </c>
      <c r="U28" s="746">
        <f>SUM('EGRESO plan'!V95:V98)</f>
        <v>0</v>
      </c>
      <c r="V28" s="747">
        <f>SUM('EGRESO plan'!W95:W98)</f>
        <v>355</v>
      </c>
      <c r="W28" s="745">
        <f>SUM('EGRESO plan'!X95:X98)</f>
        <v>132</v>
      </c>
      <c r="X28" s="746">
        <f>SUM('EGRESO plan'!Y95:Y98)</f>
        <v>226</v>
      </c>
      <c r="Y28" s="746">
        <f>SUM('EGRESO plan'!Z95:Z98)</f>
        <v>0</v>
      </c>
      <c r="Z28" s="747">
        <f>SUM('EGRESO plan'!AA95:AA98)</f>
        <v>358</v>
      </c>
      <c r="AA28" s="745">
        <f>SUM('EGRESO plan'!AB95:AB98)</f>
        <v>164</v>
      </c>
      <c r="AB28" s="746">
        <f>SUM('EGRESO plan'!AC95:AC98)</f>
        <v>256</v>
      </c>
      <c r="AC28" s="746">
        <f>SUM('EGRESO plan'!AD95:AD98)</f>
        <v>0</v>
      </c>
      <c r="AD28" s="747">
        <f>SUM('EGRESO plan'!AE95:AE98)</f>
        <v>420</v>
      </c>
      <c r="AE28" s="745">
        <f>SUM('EGRESO plan'!AF95:AF98)</f>
        <v>177</v>
      </c>
      <c r="AF28" s="746">
        <f>SUM('EGRESO plan'!AG95:AG98)</f>
        <v>247</v>
      </c>
      <c r="AG28" s="746">
        <f>SUM('EGRESO plan'!AH95:AH98)</f>
        <v>0</v>
      </c>
      <c r="AH28" s="747">
        <f>SUM('EGRESO plan'!AI95:AI98)</f>
        <v>424</v>
      </c>
      <c r="AI28" s="745">
        <f>SUM('EGRESO plan'!AJ95:AJ98)</f>
        <v>122</v>
      </c>
      <c r="AJ28" s="746">
        <f>SUM('EGRESO plan'!AK95:AK98)</f>
        <v>253</v>
      </c>
      <c r="AK28" s="746">
        <f>SUM('EGRESO plan'!AL95:AL98)</f>
        <v>0</v>
      </c>
      <c r="AL28" s="747">
        <f>SUM('EGRESO plan'!AM95:AM98)</f>
        <v>375</v>
      </c>
      <c r="AM28" s="745">
        <f>SUM('EGRESO plan'!AN95:AN98)</f>
        <v>183</v>
      </c>
      <c r="AN28" s="746">
        <f>SUM('EGRESO plan'!AO95:AO98)</f>
        <v>316</v>
      </c>
      <c r="AO28" s="746">
        <f>SUM('EGRESO plan'!AP95:AP98)</f>
        <v>0</v>
      </c>
      <c r="AP28" s="747">
        <f>SUM('EGRESO plan'!AQ95:AQ98)</f>
        <v>499</v>
      </c>
      <c r="AQ28" s="745">
        <f>SUM('EGRESO plan'!AR95:AR98)</f>
        <v>205</v>
      </c>
      <c r="AR28" s="746">
        <f>SUM('EGRESO plan'!AS95:AS98)</f>
        <v>258</v>
      </c>
      <c r="AS28" s="746">
        <f>SUM('EGRESO plan'!AT95:AT98)</f>
        <v>0</v>
      </c>
      <c r="AT28" s="747">
        <f>SUM('EGRESO plan'!AU95:AU98)</f>
        <v>463</v>
      </c>
      <c r="AU28" s="745">
        <f>SUM('EGRESO plan'!AV95:AV98)</f>
        <v>201</v>
      </c>
      <c r="AV28" s="746">
        <f>SUM('EGRESO plan'!AW95:AW98)</f>
        <v>244</v>
      </c>
      <c r="AW28" s="746">
        <f>SUM('EGRESO plan'!AX95:AX98)</f>
        <v>0</v>
      </c>
      <c r="AX28" s="747">
        <f>SUM('EGRESO plan'!AY95:AY98)</f>
        <v>445</v>
      </c>
      <c r="AY28" s="745">
        <f>SUM('EGRESO plan'!AZ95:AZ98)</f>
        <v>182</v>
      </c>
      <c r="AZ28" s="746">
        <f>SUM('EGRESO plan'!BA95:BA98)</f>
        <v>195</v>
      </c>
      <c r="BA28" s="746">
        <f>SUM('EGRESO plan'!BB95:BB98)</f>
        <v>0</v>
      </c>
      <c r="BB28" s="747">
        <f>SUM('EGRESO plan'!BC95:BC98)</f>
        <v>377</v>
      </c>
      <c r="BC28" s="745">
        <f>SUM('EGRESO plan'!BD95:BD98)</f>
        <v>168</v>
      </c>
      <c r="BD28" s="746">
        <f>SUM('EGRESO plan'!BE95:BE98)</f>
        <v>204</v>
      </c>
      <c r="BE28" s="746">
        <f>SUM('EGRESO plan'!BF95:BF98)</f>
        <v>0</v>
      </c>
      <c r="BF28" s="747">
        <f>SUM('EGRESO plan'!BG95:BG98)</f>
        <v>372</v>
      </c>
      <c r="BG28" s="745">
        <f>SUM('EGRESO plan'!BH95:BH98)</f>
        <v>223</v>
      </c>
      <c r="BH28" s="746">
        <f>SUM('EGRESO plan'!BI95:BI98)</f>
        <v>213</v>
      </c>
      <c r="BI28" s="746">
        <f>SUM('EGRESO plan'!BJ95:BJ98)</f>
        <v>0</v>
      </c>
      <c r="BJ28" s="747">
        <f>SUM('EGRESO plan'!BK95:BK98)</f>
        <v>436</v>
      </c>
      <c r="BK28" s="745">
        <f>SUM('EGRESO plan'!BL95:BL98)</f>
        <v>209</v>
      </c>
      <c r="BL28" s="746">
        <f>SUM('EGRESO plan'!BM95:BM98)</f>
        <v>244</v>
      </c>
      <c r="BM28" s="746">
        <f>SUM('EGRESO plan'!BN95:BN98)</f>
        <v>0</v>
      </c>
      <c r="BN28" s="747">
        <f>SUM('EGRESO plan'!BO95:BO98)</f>
        <v>453</v>
      </c>
      <c r="BO28" s="745">
        <f>SUM('EGRESO plan'!BP95:BP98)</f>
        <v>221</v>
      </c>
      <c r="BP28" s="746">
        <f>SUM('EGRESO plan'!BQ95:BQ98)</f>
        <v>187</v>
      </c>
      <c r="BQ28" s="746">
        <f>SUM('EGRESO plan'!BR95:BR98)</f>
        <v>0</v>
      </c>
      <c r="BR28" s="747">
        <f>SUM('EGRESO plan'!BS95:BS98)</f>
        <v>408</v>
      </c>
    </row>
    <row r="29" spans="1:70" s="37" customFormat="1" ht="15" x14ac:dyDescent="0.2">
      <c r="A29" s="5228"/>
      <c r="B29" s="2351" t="s">
        <v>12</v>
      </c>
      <c r="C29" s="2352">
        <f t="shared" ref="C29:R29" si="12">SUM(C26:C28)</f>
        <v>839</v>
      </c>
      <c r="D29" s="2353">
        <f t="shared" si="12"/>
        <v>999</v>
      </c>
      <c r="E29" s="2353">
        <f t="shared" si="12"/>
        <v>289</v>
      </c>
      <c r="F29" s="2354">
        <f t="shared" si="12"/>
        <v>2127</v>
      </c>
      <c r="G29" s="2352">
        <f t="shared" si="12"/>
        <v>844</v>
      </c>
      <c r="H29" s="2353">
        <f t="shared" si="12"/>
        <v>1170</v>
      </c>
      <c r="I29" s="2353">
        <f t="shared" si="12"/>
        <v>330</v>
      </c>
      <c r="J29" s="2354">
        <f t="shared" si="12"/>
        <v>2344</v>
      </c>
      <c r="K29" s="2352">
        <f t="shared" si="12"/>
        <v>802</v>
      </c>
      <c r="L29" s="2353">
        <f t="shared" si="12"/>
        <v>1091</v>
      </c>
      <c r="M29" s="2353">
        <f t="shared" si="12"/>
        <v>359</v>
      </c>
      <c r="N29" s="2354">
        <f t="shared" si="12"/>
        <v>2252</v>
      </c>
      <c r="O29" s="2352">
        <f t="shared" si="12"/>
        <v>975</v>
      </c>
      <c r="P29" s="2353">
        <f t="shared" si="12"/>
        <v>1190</v>
      </c>
      <c r="Q29" s="2353">
        <f t="shared" si="12"/>
        <v>357</v>
      </c>
      <c r="R29" s="2354">
        <f t="shared" si="12"/>
        <v>2522</v>
      </c>
      <c r="S29" s="2352">
        <f t="shared" ref="S29:BJ29" si="13">SUM(S26:S28)</f>
        <v>920</v>
      </c>
      <c r="T29" s="2353">
        <f t="shared" si="13"/>
        <v>947</v>
      </c>
      <c r="U29" s="2353">
        <f t="shared" si="13"/>
        <v>319</v>
      </c>
      <c r="V29" s="2354">
        <f t="shared" si="13"/>
        <v>2186</v>
      </c>
      <c r="W29" s="2352">
        <f t="shared" si="13"/>
        <v>704</v>
      </c>
      <c r="X29" s="2353">
        <f t="shared" si="13"/>
        <v>984</v>
      </c>
      <c r="Y29" s="2353">
        <f t="shared" si="13"/>
        <v>291</v>
      </c>
      <c r="Z29" s="2354">
        <f t="shared" si="13"/>
        <v>1979</v>
      </c>
      <c r="AA29" s="2352">
        <f t="shared" si="13"/>
        <v>708</v>
      </c>
      <c r="AB29" s="2353">
        <f t="shared" si="13"/>
        <v>1050</v>
      </c>
      <c r="AC29" s="2353">
        <f t="shared" si="13"/>
        <v>288</v>
      </c>
      <c r="AD29" s="2354">
        <f t="shared" si="13"/>
        <v>2046</v>
      </c>
      <c r="AE29" s="2352">
        <f t="shared" si="13"/>
        <v>810</v>
      </c>
      <c r="AF29" s="2353">
        <f t="shared" si="13"/>
        <v>1030</v>
      </c>
      <c r="AG29" s="2353">
        <f t="shared" si="13"/>
        <v>303</v>
      </c>
      <c r="AH29" s="2354">
        <f t="shared" si="13"/>
        <v>2143</v>
      </c>
      <c r="AI29" s="2352">
        <f t="shared" si="13"/>
        <v>791</v>
      </c>
      <c r="AJ29" s="2353">
        <f t="shared" si="13"/>
        <v>1126</v>
      </c>
      <c r="AK29" s="2353">
        <f t="shared" si="13"/>
        <v>360</v>
      </c>
      <c r="AL29" s="2354">
        <f t="shared" si="13"/>
        <v>2277</v>
      </c>
      <c r="AM29" s="2352">
        <f t="shared" si="13"/>
        <v>1096</v>
      </c>
      <c r="AN29" s="2353">
        <f t="shared" si="13"/>
        <v>1256</v>
      </c>
      <c r="AO29" s="2353">
        <f t="shared" si="13"/>
        <v>366</v>
      </c>
      <c r="AP29" s="2354">
        <f t="shared" si="13"/>
        <v>2718</v>
      </c>
      <c r="AQ29" s="2352">
        <f t="shared" si="13"/>
        <v>934</v>
      </c>
      <c r="AR29" s="2353">
        <f t="shared" si="13"/>
        <v>1341</v>
      </c>
      <c r="AS29" s="2353">
        <f t="shared" si="13"/>
        <v>399</v>
      </c>
      <c r="AT29" s="2354">
        <f t="shared" si="13"/>
        <v>2674</v>
      </c>
      <c r="AU29" s="2352">
        <f t="shared" si="13"/>
        <v>974</v>
      </c>
      <c r="AV29" s="2353">
        <f t="shared" si="13"/>
        <v>1173</v>
      </c>
      <c r="AW29" s="2353">
        <f t="shared" si="13"/>
        <v>373</v>
      </c>
      <c r="AX29" s="2354">
        <f t="shared" si="13"/>
        <v>2520</v>
      </c>
      <c r="AY29" s="2352">
        <f t="shared" si="13"/>
        <v>887</v>
      </c>
      <c r="AZ29" s="2353">
        <f t="shared" si="13"/>
        <v>1128</v>
      </c>
      <c r="BA29" s="2353">
        <f t="shared" si="13"/>
        <v>338</v>
      </c>
      <c r="BB29" s="2354">
        <f t="shared" si="13"/>
        <v>2353</v>
      </c>
      <c r="BC29" s="2352">
        <f t="shared" si="13"/>
        <v>871</v>
      </c>
      <c r="BD29" s="2353">
        <f t="shared" si="13"/>
        <v>1166</v>
      </c>
      <c r="BE29" s="2353">
        <f t="shared" si="13"/>
        <v>314</v>
      </c>
      <c r="BF29" s="2354">
        <f t="shared" si="13"/>
        <v>2351</v>
      </c>
      <c r="BG29" s="2352">
        <f t="shared" si="13"/>
        <v>942</v>
      </c>
      <c r="BH29" s="2353">
        <f t="shared" si="13"/>
        <v>1169</v>
      </c>
      <c r="BI29" s="2353">
        <f t="shared" si="13"/>
        <v>380</v>
      </c>
      <c r="BJ29" s="2354">
        <f t="shared" si="13"/>
        <v>2491</v>
      </c>
      <c r="BK29" s="2352">
        <f t="shared" ref="BK29:BN29" si="14">SUM(BK26:BK28)</f>
        <v>856</v>
      </c>
      <c r="BL29" s="2353">
        <f t="shared" si="14"/>
        <v>1171</v>
      </c>
      <c r="BM29" s="2353">
        <f t="shared" si="14"/>
        <v>361</v>
      </c>
      <c r="BN29" s="2354">
        <f t="shared" si="14"/>
        <v>2388</v>
      </c>
      <c r="BO29" s="2352">
        <f t="shared" ref="BO29:BR29" si="15">SUM(BO26:BO28)</f>
        <v>924</v>
      </c>
      <c r="BP29" s="2353">
        <f t="shared" si="15"/>
        <v>1071</v>
      </c>
      <c r="BQ29" s="2353">
        <f t="shared" si="15"/>
        <v>365</v>
      </c>
      <c r="BR29" s="2354">
        <f t="shared" si="15"/>
        <v>2360</v>
      </c>
    </row>
    <row r="30" spans="1:70" s="6" customFormat="1" ht="14.25" x14ac:dyDescent="0.2"/>
    <row r="31" spans="1:70" s="6" customFormat="1" ht="15" customHeight="1" x14ac:dyDescent="0.2">
      <c r="A31" s="5168" t="s">
        <v>60</v>
      </c>
      <c r="B31" s="246" t="s">
        <v>5</v>
      </c>
      <c r="C31" s="742">
        <f t="shared" ref="C31:AH31" si="16">SUM(C6,C16)</f>
        <v>229</v>
      </c>
      <c r="D31" s="743">
        <f t="shared" si="16"/>
        <v>239</v>
      </c>
      <c r="E31" s="743">
        <f t="shared" si="16"/>
        <v>197</v>
      </c>
      <c r="F31" s="744">
        <f t="shared" si="16"/>
        <v>665</v>
      </c>
      <c r="G31" s="742">
        <f t="shared" si="16"/>
        <v>182</v>
      </c>
      <c r="H31" s="743">
        <f t="shared" si="16"/>
        <v>190</v>
      </c>
      <c r="I31" s="743">
        <f t="shared" si="16"/>
        <v>158</v>
      </c>
      <c r="J31" s="744">
        <f t="shared" si="16"/>
        <v>530</v>
      </c>
      <c r="K31" s="742">
        <f t="shared" si="16"/>
        <v>204</v>
      </c>
      <c r="L31" s="743">
        <f t="shared" si="16"/>
        <v>201</v>
      </c>
      <c r="M31" s="743">
        <f t="shared" si="16"/>
        <v>171</v>
      </c>
      <c r="N31" s="744">
        <f t="shared" si="16"/>
        <v>576</v>
      </c>
      <c r="O31" s="742">
        <f t="shared" si="16"/>
        <v>157</v>
      </c>
      <c r="P31" s="743">
        <f t="shared" si="16"/>
        <v>196</v>
      </c>
      <c r="Q31" s="743">
        <f t="shared" si="16"/>
        <v>180</v>
      </c>
      <c r="R31" s="744">
        <f t="shared" si="16"/>
        <v>533</v>
      </c>
      <c r="S31" s="742">
        <f t="shared" si="16"/>
        <v>240</v>
      </c>
      <c r="T31" s="743">
        <f t="shared" si="16"/>
        <v>229</v>
      </c>
      <c r="U31" s="743">
        <f t="shared" si="16"/>
        <v>173</v>
      </c>
      <c r="V31" s="744">
        <f t="shared" si="16"/>
        <v>642</v>
      </c>
      <c r="W31" s="742">
        <f t="shared" si="16"/>
        <v>192</v>
      </c>
      <c r="X31" s="743">
        <f t="shared" si="16"/>
        <v>237</v>
      </c>
      <c r="Y31" s="743">
        <f t="shared" si="16"/>
        <v>185</v>
      </c>
      <c r="Z31" s="744">
        <f t="shared" si="16"/>
        <v>614</v>
      </c>
      <c r="AA31" s="742">
        <f t="shared" si="16"/>
        <v>212</v>
      </c>
      <c r="AB31" s="743">
        <f t="shared" si="16"/>
        <v>236</v>
      </c>
      <c r="AC31" s="743">
        <f t="shared" si="16"/>
        <v>197</v>
      </c>
      <c r="AD31" s="744">
        <f t="shared" si="16"/>
        <v>645</v>
      </c>
      <c r="AE31" s="742">
        <f t="shared" si="16"/>
        <v>224</v>
      </c>
      <c r="AF31" s="743">
        <f t="shared" si="16"/>
        <v>237</v>
      </c>
      <c r="AG31" s="743">
        <f t="shared" si="16"/>
        <v>203</v>
      </c>
      <c r="AH31" s="744">
        <f t="shared" si="16"/>
        <v>664</v>
      </c>
      <c r="AI31" s="742">
        <f t="shared" ref="AI31:BN31" si="17">SUM(AI6,AI16)</f>
        <v>156</v>
      </c>
      <c r="AJ31" s="743">
        <f t="shared" si="17"/>
        <v>212</v>
      </c>
      <c r="AK31" s="743">
        <f t="shared" si="17"/>
        <v>144</v>
      </c>
      <c r="AL31" s="744">
        <f t="shared" si="17"/>
        <v>512</v>
      </c>
      <c r="AM31" s="742">
        <f t="shared" si="17"/>
        <v>194</v>
      </c>
      <c r="AN31" s="743">
        <f t="shared" si="17"/>
        <v>193</v>
      </c>
      <c r="AO31" s="743">
        <f t="shared" si="17"/>
        <v>138</v>
      </c>
      <c r="AP31" s="743">
        <f t="shared" si="17"/>
        <v>525</v>
      </c>
      <c r="AQ31" s="742">
        <f t="shared" si="17"/>
        <v>163</v>
      </c>
      <c r="AR31" s="743">
        <f t="shared" si="17"/>
        <v>205</v>
      </c>
      <c r="AS31" s="743">
        <f t="shared" si="17"/>
        <v>149</v>
      </c>
      <c r="AT31" s="744">
        <f t="shared" si="17"/>
        <v>517</v>
      </c>
      <c r="AU31" s="742">
        <f t="shared" si="17"/>
        <v>187</v>
      </c>
      <c r="AV31" s="743">
        <f t="shared" si="17"/>
        <v>261</v>
      </c>
      <c r="AW31" s="743">
        <f t="shared" si="17"/>
        <v>159</v>
      </c>
      <c r="AX31" s="744">
        <f t="shared" si="17"/>
        <v>607</v>
      </c>
      <c r="AY31" s="742">
        <f t="shared" si="17"/>
        <v>186</v>
      </c>
      <c r="AZ31" s="743">
        <f t="shared" si="17"/>
        <v>208</v>
      </c>
      <c r="BA31" s="743">
        <f t="shared" si="17"/>
        <v>189</v>
      </c>
      <c r="BB31" s="744">
        <f t="shared" si="17"/>
        <v>583</v>
      </c>
      <c r="BC31" s="742">
        <f t="shared" si="17"/>
        <v>177</v>
      </c>
      <c r="BD31" s="743">
        <f t="shared" si="17"/>
        <v>220</v>
      </c>
      <c r="BE31" s="743">
        <f t="shared" si="17"/>
        <v>167</v>
      </c>
      <c r="BF31" s="744">
        <f t="shared" si="17"/>
        <v>564</v>
      </c>
      <c r="BG31" s="742">
        <f t="shared" si="17"/>
        <v>187</v>
      </c>
      <c r="BH31" s="743">
        <f t="shared" si="17"/>
        <v>263</v>
      </c>
      <c r="BI31" s="743">
        <f t="shared" si="17"/>
        <v>235</v>
      </c>
      <c r="BJ31" s="744">
        <f t="shared" si="17"/>
        <v>685</v>
      </c>
      <c r="BK31" s="742">
        <f t="shared" si="17"/>
        <v>289</v>
      </c>
      <c r="BL31" s="743">
        <f t="shared" si="17"/>
        <v>287</v>
      </c>
      <c r="BM31" s="743">
        <f t="shared" si="17"/>
        <v>210</v>
      </c>
      <c r="BN31" s="744">
        <f t="shared" si="17"/>
        <v>786</v>
      </c>
      <c r="BO31" s="742">
        <f>SUM(BO6,BO16,BO21)</f>
        <v>232</v>
      </c>
      <c r="BP31" s="743">
        <f t="shared" ref="BP31:BR31" si="18">SUM(BP6,BP16,BP21)</f>
        <v>246</v>
      </c>
      <c r="BQ31" s="743">
        <f t="shared" si="18"/>
        <v>242</v>
      </c>
      <c r="BR31" s="744">
        <f t="shared" si="18"/>
        <v>720</v>
      </c>
    </row>
    <row r="32" spans="1:70" s="6" customFormat="1" ht="14.25" customHeight="1" x14ac:dyDescent="0.2">
      <c r="A32" s="5169"/>
      <c r="B32" s="247" t="s">
        <v>6</v>
      </c>
      <c r="C32" s="745">
        <f t="shared" ref="C32:AH32" si="19">SUM(C7,C17,C11,C26)</f>
        <v>760</v>
      </c>
      <c r="D32" s="746">
        <f t="shared" si="19"/>
        <v>857</v>
      </c>
      <c r="E32" s="746">
        <f t="shared" si="19"/>
        <v>305</v>
      </c>
      <c r="F32" s="747">
        <f t="shared" si="19"/>
        <v>1922</v>
      </c>
      <c r="G32" s="745">
        <f t="shared" si="19"/>
        <v>724</v>
      </c>
      <c r="H32" s="746">
        <f t="shared" si="19"/>
        <v>848</v>
      </c>
      <c r="I32" s="746">
        <f t="shared" si="19"/>
        <v>316</v>
      </c>
      <c r="J32" s="747">
        <f t="shared" si="19"/>
        <v>1888</v>
      </c>
      <c r="K32" s="745">
        <f t="shared" si="19"/>
        <v>711</v>
      </c>
      <c r="L32" s="746">
        <f t="shared" si="19"/>
        <v>808</v>
      </c>
      <c r="M32" s="746">
        <f t="shared" si="19"/>
        <v>320</v>
      </c>
      <c r="N32" s="747">
        <f t="shared" si="19"/>
        <v>1839</v>
      </c>
      <c r="O32" s="745">
        <f t="shared" si="19"/>
        <v>797</v>
      </c>
      <c r="P32" s="746">
        <f t="shared" si="19"/>
        <v>863</v>
      </c>
      <c r="Q32" s="746">
        <f t="shared" si="19"/>
        <v>331</v>
      </c>
      <c r="R32" s="747">
        <f t="shared" si="19"/>
        <v>1991</v>
      </c>
      <c r="S32" s="745">
        <f t="shared" si="19"/>
        <v>763</v>
      </c>
      <c r="T32" s="746">
        <f t="shared" si="19"/>
        <v>887</v>
      </c>
      <c r="U32" s="746">
        <f t="shared" si="19"/>
        <v>313</v>
      </c>
      <c r="V32" s="747">
        <f t="shared" si="19"/>
        <v>1963</v>
      </c>
      <c r="W32" s="745">
        <f t="shared" si="19"/>
        <v>727</v>
      </c>
      <c r="X32" s="746">
        <f t="shared" si="19"/>
        <v>826</v>
      </c>
      <c r="Y32" s="746">
        <f t="shared" si="19"/>
        <v>316</v>
      </c>
      <c r="Z32" s="747">
        <f t="shared" si="19"/>
        <v>1869</v>
      </c>
      <c r="AA32" s="745">
        <f t="shared" si="19"/>
        <v>728</v>
      </c>
      <c r="AB32" s="746">
        <f t="shared" si="19"/>
        <v>797</v>
      </c>
      <c r="AC32" s="746">
        <f t="shared" si="19"/>
        <v>255</v>
      </c>
      <c r="AD32" s="747">
        <f t="shared" si="19"/>
        <v>1780</v>
      </c>
      <c r="AE32" s="745">
        <f t="shared" si="19"/>
        <v>708</v>
      </c>
      <c r="AF32" s="746">
        <f t="shared" si="19"/>
        <v>765</v>
      </c>
      <c r="AG32" s="746">
        <f t="shared" si="19"/>
        <v>290</v>
      </c>
      <c r="AH32" s="747">
        <f t="shared" si="19"/>
        <v>1763</v>
      </c>
      <c r="AI32" s="745">
        <f t="shared" ref="AI32:BN32" si="20">SUM(AI7,AI17,AI11,AI26)</f>
        <v>674</v>
      </c>
      <c r="AJ32" s="746">
        <f t="shared" si="20"/>
        <v>820</v>
      </c>
      <c r="AK32" s="746">
        <f t="shared" si="20"/>
        <v>259</v>
      </c>
      <c r="AL32" s="747">
        <f t="shared" si="20"/>
        <v>1753</v>
      </c>
      <c r="AM32" s="745">
        <f t="shared" si="20"/>
        <v>812</v>
      </c>
      <c r="AN32" s="746">
        <f t="shared" si="20"/>
        <v>872</v>
      </c>
      <c r="AO32" s="746">
        <f t="shared" si="20"/>
        <v>234</v>
      </c>
      <c r="AP32" s="746">
        <f t="shared" si="20"/>
        <v>1918</v>
      </c>
      <c r="AQ32" s="745">
        <f t="shared" si="20"/>
        <v>750</v>
      </c>
      <c r="AR32" s="746">
        <f t="shared" si="20"/>
        <v>954</v>
      </c>
      <c r="AS32" s="746">
        <f t="shared" si="20"/>
        <v>252</v>
      </c>
      <c r="AT32" s="747">
        <f t="shared" si="20"/>
        <v>1956</v>
      </c>
      <c r="AU32" s="745">
        <f t="shared" si="20"/>
        <v>763</v>
      </c>
      <c r="AV32" s="746">
        <f t="shared" si="20"/>
        <v>928</v>
      </c>
      <c r="AW32" s="746">
        <f t="shared" si="20"/>
        <v>272</v>
      </c>
      <c r="AX32" s="747">
        <f t="shared" si="20"/>
        <v>1963</v>
      </c>
      <c r="AY32" s="745">
        <f t="shared" si="20"/>
        <v>690</v>
      </c>
      <c r="AZ32" s="746">
        <f t="shared" si="20"/>
        <v>835</v>
      </c>
      <c r="BA32" s="746">
        <f t="shared" si="20"/>
        <v>263</v>
      </c>
      <c r="BB32" s="747">
        <f t="shared" si="20"/>
        <v>1788</v>
      </c>
      <c r="BC32" s="745">
        <f t="shared" si="20"/>
        <v>718</v>
      </c>
      <c r="BD32" s="746">
        <f t="shared" si="20"/>
        <v>887</v>
      </c>
      <c r="BE32" s="746">
        <f t="shared" si="20"/>
        <v>332</v>
      </c>
      <c r="BF32" s="747">
        <f t="shared" si="20"/>
        <v>1937</v>
      </c>
      <c r="BG32" s="745">
        <f t="shared" si="20"/>
        <v>864</v>
      </c>
      <c r="BH32" s="746">
        <f t="shared" si="20"/>
        <v>1084</v>
      </c>
      <c r="BI32" s="746">
        <f t="shared" si="20"/>
        <v>397</v>
      </c>
      <c r="BJ32" s="747">
        <f t="shared" si="20"/>
        <v>2345</v>
      </c>
      <c r="BK32" s="745">
        <f t="shared" si="20"/>
        <v>759</v>
      </c>
      <c r="BL32" s="746">
        <f t="shared" si="20"/>
        <v>883</v>
      </c>
      <c r="BM32" s="746">
        <f t="shared" si="20"/>
        <v>312</v>
      </c>
      <c r="BN32" s="747">
        <f t="shared" si="20"/>
        <v>1954</v>
      </c>
      <c r="BO32" s="745">
        <f>SUM(BO7,BO11,BO17,BO22,BO26)</f>
        <v>741</v>
      </c>
      <c r="BP32" s="746">
        <f t="shared" ref="BP32:BR32" si="21">SUM(BP7,BP11,BP17,BP22,BP26)</f>
        <v>945</v>
      </c>
      <c r="BQ32" s="746">
        <f t="shared" si="21"/>
        <v>386</v>
      </c>
      <c r="BR32" s="747">
        <f t="shared" si="21"/>
        <v>2072</v>
      </c>
    </row>
    <row r="33" spans="1:70" s="6" customFormat="1" ht="14.25" customHeight="1" x14ac:dyDescent="0.2">
      <c r="A33" s="5169"/>
      <c r="B33" s="247" t="s">
        <v>11</v>
      </c>
      <c r="C33" s="745">
        <f t="shared" ref="C33:AH33" si="22">SUM(C18,C27)</f>
        <v>400</v>
      </c>
      <c r="D33" s="746">
        <f t="shared" si="22"/>
        <v>508</v>
      </c>
      <c r="E33" s="746">
        <f t="shared" si="22"/>
        <v>333</v>
      </c>
      <c r="F33" s="747">
        <f t="shared" si="22"/>
        <v>1241</v>
      </c>
      <c r="G33" s="745">
        <f t="shared" si="22"/>
        <v>410</v>
      </c>
      <c r="H33" s="746">
        <f t="shared" si="22"/>
        <v>545</v>
      </c>
      <c r="I33" s="746">
        <f t="shared" si="22"/>
        <v>381</v>
      </c>
      <c r="J33" s="747">
        <f t="shared" si="22"/>
        <v>1336</v>
      </c>
      <c r="K33" s="745">
        <f t="shared" si="22"/>
        <v>400</v>
      </c>
      <c r="L33" s="746">
        <f t="shared" si="22"/>
        <v>522</v>
      </c>
      <c r="M33" s="746">
        <f t="shared" si="22"/>
        <v>394</v>
      </c>
      <c r="N33" s="747">
        <f t="shared" si="22"/>
        <v>1316</v>
      </c>
      <c r="O33" s="745">
        <f t="shared" si="22"/>
        <v>431</v>
      </c>
      <c r="P33" s="746">
        <f t="shared" si="22"/>
        <v>630</v>
      </c>
      <c r="Q33" s="746">
        <f t="shared" si="22"/>
        <v>420</v>
      </c>
      <c r="R33" s="747">
        <f t="shared" si="22"/>
        <v>1481</v>
      </c>
      <c r="S33" s="745">
        <f t="shared" si="22"/>
        <v>432</v>
      </c>
      <c r="T33" s="746">
        <f t="shared" si="22"/>
        <v>476</v>
      </c>
      <c r="U33" s="746">
        <f t="shared" si="22"/>
        <v>405</v>
      </c>
      <c r="V33" s="747">
        <f t="shared" si="22"/>
        <v>1313</v>
      </c>
      <c r="W33" s="745">
        <f t="shared" si="22"/>
        <v>353</v>
      </c>
      <c r="X33" s="746">
        <f t="shared" si="22"/>
        <v>521</v>
      </c>
      <c r="Y33" s="746">
        <f t="shared" si="22"/>
        <v>411</v>
      </c>
      <c r="Z33" s="747">
        <f t="shared" si="22"/>
        <v>1285</v>
      </c>
      <c r="AA33" s="745">
        <f t="shared" si="22"/>
        <v>347</v>
      </c>
      <c r="AB33" s="746">
        <f t="shared" si="22"/>
        <v>496</v>
      </c>
      <c r="AC33" s="746">
        <f t="shared" si="22"/>
        <v>394</v>
      </c>
      <c r="AD33" s="747">
        <f t="shared" si="22"/>
        <v>1237</v>
      </c>
      <c r="AE33" s="745">
        <f t="shared" si="22"/>
        <v>394</v>
      </c>
      <c r="AF33" s="746">
        <f t="shared" si="22"/>
        <v>534</v>
      </c>
      <c r="AG33" s="746">
        <f t="shared" si="22"/>
        <v>403</v>
      </c>
      <c r="AH33" s="747">
        <f t="shared" si="22"/>
        <v>1331</v>
      </c>
      <c r="AI33" s="745">
        <f t="shared" ref="AI33:BN33" si="23">SUM(AI18,AI27)</f>
        <v>447</v>
      </c>
      <c r="AJ33" s="746">
        <f t="shared" si="23"/>
        <v>532</v>
      </c>
      <c r="AK33" s="746">
        <f t="shared" si="23"/>
        <v>438</v>
      </c>
      <c r="AL33" s="747">
        <f t="shared" si="23"/>
        <v>1417</v>
      </c>
      <c r="AM33" s="745">
        <f t="shared" si="23"/>
        <v>540</v>
      </c>
      <c r="AN33" s="746">
        <f t="shared" si="23"/>
        <v>556</v>
      </c>
      <c r="AO33" s="746">
        <f t="shared" si="23"/>
        <v>477</v>
      </c>
      <c r="AP33" s="746">
        <f t="shared" si="23"/>
        <v>1573</v>
      </c>
      <c r="AQ33" s="745">
        <f t="shared" si="23"/>
        <v>415</v>
      </c>
      <c r="AR33" s="746">
        <f t="shared" si="23"/>
        <v>651</v>
      </c>
      <c r="AS33" s="746">
        <f t="shared" si="23"/>
        <v>465</v>
      </c>
      <c r="AT33" s="747">
        <f t="shared" si="23"/>
        <v>1531</v>
      </c>
      <c r="AU33" s="745">
        <f t="shared" si="23"/>
        <v>453</v>
      </c>
      <c r="AV33" s="746">
        <f t="shared" si="23"/>
        <v>576</v>
      </c>
      <c r="AW33" s="746">
        <f t="shared" si="23"/>
        <v>464</v>
      </c>
      <c r="AX33" s="747">
        <f t="shared" si="23"/>
        <v>1493</v>
      </c>
      <c r="AY33" s="745">
        <f t="shared" si="23"/>
        <v>449</v>
      </c>
      <c r="AZ33" s="746">
        <f t="shared" si="23"/>
        <v>570</v>
      </c>
      <c r="BA33" s="746">
        <f t="shared" si="23"/>
        <v>396</v>
      </c>
      <c r="BB33" s="747">
        <f t="shared" si="23"/>
        <v>1415</v>
      </c>
      <c r="BC33" s="745">
        <f t="shared" si="23"/>
        <v>455</v>
      </c>
      <c r="BD33" s="746">
        <f t="shared" si="23"/>
        <v>640</v>
      </c>
      <c r="BE33" s="746">
        <f t="shared" si="23"/>
        <v>387</v>
      </c>
      <c r="BF33" s="747">
        <f t="shared" si="23"/>
        <v>1482</v>
      </c>
      <c r="BG33" s="745">
        <f t="shared" si="23"/>
        <v>410</v>
      </c>
      <c r="BH33" s="746">
        <f t="shared" si="23"/>
        <v>575</v>
      </c>
      <c r="BI33" s="746">
        <f t="shared" si="23"/>
        <v>514</v>
      </c>
      <c r="BJ33" s="747">
        <f t="shared" si="23"/>
        <v>1499</v>
      </c>
      <c r="BK33" s="745">
        <f t="shared" si="23"/>
        <v>390</v>
      </c>
      <c r="BL33" s="746">
        <f t="shared" si="23"/>
        <v>631</v>
      </c>
      <c r="BM33" s="746">
        <f t="shared" si="23"/>
        <v>451</v>
      </c>
      <c r="BN33" s="747">
        <f t="shared" si="23"/>
        <v>1472</v>
      </c>
      <c r="BO33" s="745">
        <f>SUM(BO18,BO23,BO27)</f>
        <v>457</v>
      </c>
      <c r="BP33" s="746">
        <f t="shared" ref="BP33:BR33" si="24">SUM(BP18,BP23,BP27)</f>
        <v>585</v>
      </c>
      <c r="BQ33" s="746">
        <f t="shared" si="24"/>
        <v>509</v>
      </c>
      <c r="BR33" s="747">
        <f t="shared" si="24"/>
        <v>1551</v>
      </c>
    </row>
    <row r="34" spans="1:70" s="6" customFormat="1" ht="14.25" customHeight="1" x14ac:dyDescent="0.2">
      <c r="A34" s="5169"/>
      <c r="B34" s="247" t="s">
        <v>7</v>
      </c>
      <c r="C34" s="745">
        <f t="shared" ref="C34:AH34" si="25">SUM(C8,C28)</f>
        <v>292</v>
      </c>
      <c r="D34" s="746">
        <f t="shared" si="25"/>
        <v>260</v>
      </c>
      <c r="E34" s="746">
        <f t="shared" si="25"/>
        <v>146</v>
      </c>
      <c r="F34" s="747">
        <f t="shared" si="25"/>
        <v>698</v>
      </c>
      <c r="G34" s="745">
        <f t="shared" si="25"/>
        <v>313</v>
      </c>
      <c r="H34" s="746">
        <f t="shared" si="25"/>
        <v>340</v>
      </c>
      <c r="I34" s="746">
        <f t="shared" si="25"/>
        <v>155</v>
      </c>
      <c r="J34" s="747">
        <f t="shared" si="25"/>
        <v>808</v>
      </c>
      <c r="K34" s="745">
        <f t="shared" si="25"/>
        <v>301</v>
      </c>
      <c r="L34" s="746">
        <f t="shared" si="25"/>
        <v>338</v>
      </c>
      <c r="M34" s="746">
        <f t="shared" si="25"/>
        <v>121</v>
      </c>
      <c r="N34" s="747">
        <f t="shared" si="25"/>
        <v>760</v>
      </c>
      <c r="O34" s="745">
        <f t="shared" si="25"/>
        <v>337</v>
      </c>
      <c r="P34" s="746">
        <f t="shared" si="25"/>
        <v>278</v>
      </c>
      <c r="Q34" s="746">
        <f t="shared" si="25"/>
        <v>112</v>
      </c>
      <c r="R34" s="747">
        <f t="shared" si="25"/>
        <v>727</v>
      </c>
      <c r="S34" s="745">
        <f t="shared" si="25"/>
        <v>322</v>
      </c>
      <c r="T34" s="746">
        <f t="shared" si="25"/>
        <v>321</v>
      </c>
      <c r="U34" s="746">
        <f t="shared" si="25"/>
        <v>132</v>
      </c>
      <c r="V34" s="747">
        <f t="shared" si="25"/>
        <v>775</v>
      </c>
      <c r="W34" s="745">
        <f t="shared" si="25"/>
        <v>242</v>
      </c>
      <c r="X34" s="746">
        <f t="shared" si="25"/>
        <v>342</v>
      </c>
      <c r="Y34" s="746">
        <f t="shared" si="25"/>
        <v>93</v>
      </c>
      <c r="Z34" s="747">
        <f t="shared" si="25"/>
        <v>677</v>
      </c>
      <c r="AA34" s="745">
        <f t="shared" si="25"/>
        <v>262</v>
      </c>
      <c r="AB34" s="746">
        <f t="shared" si="25"/>
        <v>400</v>
      </c>
      <c r="AC34" s="746">
        <f t="shared" si="25"/>
        <v>110</v>
      </c>
      <c r="AD34" s="747">
        <f t="shared" si="25"/>
        <v>772</v>
      </c>
      <c r="AE34" s="745">
        <f t="shared" si="25"/>
        <v>305</v>
      </c>
      <c r="AF34" s="746">
        <f t="shared" si="25"/>
        <v>366</v>
      </c>
      <c r="AG34" s="746">
        <f t="shared" si="25"/>
        <v>111</v>
      </c>
      <c r="AH34" s="747">
        <f t="shared" si="25"/>
        <v>782</v>
      </c>
      <c r="AI34" s="745">
        <f t="shared" ref="AI34:BO34" si="26">SUM(AI8,AI28)</f>
        <v>274</v>
      </c>
      <c r="AJ34" s="746">
        <f t="shared" si="26"/>
        <v>379</v>
      </c>
      <c r="AK34" s="746">
        <f t="shared" si="26"/>
        <v>91</v>
      </c>
      <c r="AL34" s="747">
        <f t="shared" si="26"/>
        <v>744</v>
      </c>
      <c r="AM34" s="745">
        <f t="shared" si="26"/>
        <v>268</v>
      </c>
      <c r="AN34" s="746">
        <f t="shared" si="26"/>
        <v>461</v>
      </c>
      <c r="AO34" s="746">
        <f t="shared" si="26"/>
        <v>112</v>
      </c>
      <c r="AP34" s="746">
        <f t="shared" si="26"/>
        <v>841</v>
      </c>
      <c r="AQ34" s="745">
        <f t="shared" si="26"/>
        <v>352</v>
      </c>
      <c r="AR34" s="746">
        <f t="shared" si="26"/>
        <v>401</v>
      </c>
      <c r="AS34" s="746">
        <f t="shared" si="26"/>
        <v>74</v>
      </c>
      <c r="AT34" s="747">
        <f t="shared" si="26"/>
        <v>827</v>
      </c>
      <c r="AU34" s="745">
        <f t="shared" si="26"/>
        <v>309</v>
      </c>
      <c r="AV34" s="746">
        <f t="shared" si="26"/>
        <v>344</v>
      </c>
      <c r="AW34" s="746">
        <f t="shared" si="26"/>
        <v>113</v>
      </c>
      <c r="AX34" s="747">
        <f t="shared" si="26"/>
        <v>766</v>
      </c>
      <c r="AY34" s="745">
        <f t="shared" si="26"/>
        <v>265</v>
      </c>
      <c r="AZ34" s="746">
        <f t="shared" si="26"/>
        <v>323</v>
      </c>
      <c r="BA34" s="746">
        <f t="shared" si="26"/>
        <v>31</v>
      </c>
      <c r="BB34" s="747">
        <f t="shared" si="26"/>
        <v>619</v>
      </c>
      <c r="BC34" s="745">
        <f t="shared" si="26"/>
        <v>264</v>
      </c>
      <c r="BD34" s="746">
        <f t="shared" si="26"/>
        <v>324</v>
      </c>
      <c r="BE34" s="746">
        <f t="shared" si="26"/>
        <v>37</v>
      </c>
      <c r="BF34" s="747">
        <f t="shared" si="26"/>
        <v>625</v>
      </c>
      <c r="BG34" s="745">
        <f t="shared" si="26"/>
        <v>336</v>
      </c>
      <c r="BH34" s="746">
        <f t="shared" si="26"/>
        <v>384</v>
      </c>
      <c r="BI34" s="746">
        <f t="shared" si="26"/>
        <v>49</v>
      </c>
      <c r="BJ34" s="747">
        <f t="shared" si="26"/>
        <v>769</v>
      </c>
      <c r="BK34" s="745">
        <f t="shared" si="26"/>
        <v>336</v>
      </c>
      <c r="BL34" s="746">
        <f t="shared" si="26"/>
        <v>409</v>
      </c>
      <c r="BM34" s="746">
        <f t="shared" si="26"/>
        <v>53</v>
      </c>
      <c r="BN34" s="747">
        <f t="shared" si="26"/>
        <v>798</v>
      </c>
      <c r="BO34" s="745">
        <f t="shared" si="26"/>
        <v>352</v>
      </c>
      <c r="BP34" s="746">
        <f t="shared" ref="BP34:BR34" si="27">SUM(BP8,BP28)</f>
        <v>331</v>
      </c>
      <c r="BQ34" s="746">
        <f t="shared" si="27"/>
        <v>68</v>
      </c>
      <c r="BR34" s="747">
        <f t="shared" si="27"/>
        <v>751</v>
      </c>
    </row>
    <row r="35" spans="1:70" s="6" customFormat="1" ht="14.25" customHeight="1" x14ac:dyDescent="0.2">
      <c r="A35" s="5169"/>
      <c r="B35" s="247" t="s">
        <v>9</v>
      </c>
      <c r="C35" s="745"/>
      <c r="D35" s="746"/>
      <c r="E35" s="746"/>
      <c r="F35" s="747"/>
      <c r="G35" s="745"/>
      <c r="H35" s="746"/>
      <c r="I35" s="746"/>
      <c r="J35" s="747"/>
      <c r="K35" s="745"/>
      <c r="L35" s="746"/>
      <c r="M35" s="746"/>
      <c r="N35" s="747"/>
      <c r="O35" s="745"/>
      <c r="P35" s="746"/>
      <c r="Q35" s="746"/>
      <c r="R35" s="747"/>
      <c r="S35" s="745"/>
      <c r="T35" s="746"/>
      <c r="U35" s="746"/>
      <c r="V35" s="747"/>
      <c r="W35" s="745"/>
      <c r="X35" s="746"/>
      <c r="Y35" s="746"/>
      <c r="Z35" s="747"/>
      <c r="AA35" s="745"/>
      <c r="AB35" s="746"/>
      <c r="AC35" s="746"/>
      <c r="AD35" s="747"/>
      <c r="AE35" s="745"/>
      <c r="AF35" s="746"/>
      <c r="AG35" s="746"/>
      <c r="AH35" s="747"/>
      <c r="AI35" s="745"/>
      <c r="AJ35" s="746"/>
      <c r="AK35" s="746"/>
      <c r="AL35" s="747"/>
      <c r="AM35" s="745"/>
      <c r="AN35" s="746"/>
      <c r="AO35" s="746"/>
      <c r="AP35" s="746"/>
      <c r="AQ35" s="745"/>
      <c r="AR35" s="746">
        <f t="shared" ref="AR35:BO35" si="28">SUM(AR12)</f>
        <v>0</v>
      </c>
      <c r="AS35" s="746">
        <f t="shared" si="28"/>
        <v>9</v>
      </c>
      <c r="AT35" s="747">
        <f t="shared" si="28"/>
        <v>9</v>
      </c>
      <c r="AU35" s="745">
        <f t="shared" si="28"/>
        <v>0</v>
      </c>
      <c r="AV35" s="746">
        <f t="shared" si="28"/>
        <v>4</v>
      </c>
      <c r="AW35" s="746">
        <f t="shared" si="28"/>
        <v>11</v>
      </c>
      <c r="AX35" s="747">
        <f t="shared" si="28"/>
        <v>15</v>
      </c>
      <c r="AY35" s="745">
        <f t="shared" si="28"/>
        <v>2</v>
      </c>
      <c r="AZ35" s="746">
        <f t="shared" si="28"/>
        <v>16</v>
      </c>
      <c r="BA35" s="746">
        <f t="shared" si="28"/>
        <v>14</v>
      </c>
      <c r="BB35" s="747">
        <f t="shared" si="28"/>
        <v>32</v>
      </c>
      <c r="BC35" s="745">
        <f t="shared" si="28"/>
        <v>5</v>
      </c>
      <c r="BD35" s="746">
        <f t="shared" si="28"/>
        <v>32</v>
      </c>
      <c r="BE35" s="746">
        <f t="shared" si="28"/>
        <v>11</v>
      </c>
      <c r="BF35" s="747">
        <f t="shared" si="28"/>
        <v>48</v>
      </c>
      <c r="BG35" s="745">
        <f t="shared" si="28"/>
        <v>4</v>
      </c>
      <c r="BH35" s="746">
        <f t="shared" si="28"/>
        <v>16</v>
      </c>
      <c r="BI35" s="746">
        <f t="shared" si="28"/>
        <v>1</v>
      </c>
      <c r="BJ35" s="747">
        <f t="shared" si="28"/>
        <v>21</v>
      </c>
      <c r="BK35" s="745">
        <f t="shared" si="28"/>
        <v>5</v>
      </c>
      <c r="BL35" s="746">
        <f t="shared" si="28"/>
        <v>20</v>
      </c>
      <c r="BM35" s="746">
        <f t="shared" si="28"/>
        <v>6</v>
      </c>
      <c r="BN35" s="747">
        <f t="shared" si="28"/>
        <v>31</v>
      </c>
      <c r="BO35" s="745">
        <f t="shared" si="28"/>
        <v>10</v>
      </c>
      <c r="BP35" s="746">
        <f t="shared" ref="BP35:BR35" si="29">SUM(BP12)</f>
        <v>17</v>
      </c>
      <c r="BQ35" s="746">
        <f t="shared" si="29"/>
        <v>2</v>
      </c>
      <c r="BR35" s="747">
        <f t="shared" si="29"/>
        <v>29</v>
      </c>
    </row>
    <row r="36" spans="1:70" s="6" customFormat="1" ht="14.25" customHeight="1" x14ac:dyDescent="0.2">
      <c r="A36" s="5169"/>
      <c r="B36" s="248" t="s">
        <v>74</v>
      </c>
      <c r="C36" s="755"/>
      <c r="D36" s="756"/>
      <c r="E36" s="756"/>
      <c r="F36" s="757"/>
      <c r="G36" s="755"/>
      <c r="H36" s="756"/>
      <c r="I36" s="756"/>
      <c r="J36" s="757"/>
      <c r="K36" s="755"/>
      <c r="L36" s="756"/>
      <c r="M36" s="756"/>
      <c r="N36" s="757"/>
      <c r="O36" s="755"/>
      <c r="P36" s="756"/>
      <c r="Q36" s="756"/>
      <c r="R36" s="757"/>
      <c r="S36" s="755"/>
      <c r="T36" s="756"/>
      <c r="U36" s="756"/>
      <c r="V36" s="757"/>
      <c r="W36" s="755"/>
      <c r="X36" s="756"/>
      <c r="Y36" s="756"/>
      <c r="Z36" s="757"/>
      <c r="AA36" s="755"/>
      <c r="AB36" s="756"/>
      <c r="AC36" s="756"/>
      <c r="AD36" s="757"/>
      <c r="AE36" s="755"/>
      <c r="AF36" s="756"/>
      <c r="AG36" s="756"/>
      <c r="AH36" s="757"/>
      <c r="AI36" s="755"/>
      <c r="AJ36" s="756"/>
      <c r="AK36" s="756"/>
      <c r="AL36" s="757"/>
      <c r="AM36" s="755"/>
      <c r="AN36" s="756"/>
      <c r="AO36" s="756"/>
      <c r="AP36" s="756"/>
      <c r="AQ36" s="755"/>
      <c r="AR36" s="756">
        <f t="shared" ref="AR36:BO36" si="30">SUM(AR13)</f>
        <v>11</v>
      </c>
      <c r="AS36" s="756">
        <f t="shared" si="30"/>
        <v>0</v>
      </c>
      <c r="AT36" s="757">
        <f t="shared" si="30"/>
        <v>11</v>
      </c>
      <c r="AU36" s="755">
        <f t="shared" si="30"/>
        <v>1</v>
      </c>
      <c r="AV36" s="756">
        <f t="shared" si="30"/>
        <v>6</v>
      </c>
      <c r="AW36" s="756">
        <f t="shared" si="30"/>
        <v>3</v>
      </c>
      <c r="AX36" s="757">
        <f t="shared" si="30"/>
        <v>10</v>
      </c>
      <c r="AY36" s="755">
        <f t="shared" si="30"/>
        <v>3</v>
      </c>
      <c r="AZ36" s="756">
        <f t="shared" si="30"/>
        <v>7</v>
      </c>
      <c r="BA36" s="756">
        <f t="shared" si="30"/>
        <v>1</v>
      </c>
      <c r="BB36" s="757">
        <f t="shared" si="30"/>
        <v>11</v>
      </c>
      <c r="BC36" s="755">
        <f t="shared" si="30"/>
        <v>1</v>
      </c>
      <c r="BD36" s="756">
        <f t="shared" si="30"/>
        <v>5</v>
      </c>
      <c r="BE36" s="756">
        <f t="shared" si="30"/>
        <v>12</v>
      </c>
      <c r="BF36" s="757">
        <f t="shared" si="30"/>
        <v>18</v>
      </c>
      <c r="BG36" s="755">
        <f t="shared" si="30"/>
        <v>6</v>
      </c>
      <c r="BH36" s="756">
        <f t="shared" si="30"/>
        <v>7</v>
      </c>
      <c r="BI36" s="756">
        <f t="shared" si="30"/>
        <v>2</v>
      </c>
      <c r="BJ36" s="757">
        <f t="shared" si="30"/>
        <v>15</v>
      </c>
      <c r="BK36" s="755">
        <f t="shared" si="30"/>
        <v>6</v>
      </c>
      <c r="BL36" s="756">
        <f t="shared" si="30"/>
        <v>9</v>
      </c>
      <c r="BM36" s="756">
        <f t="shared" si="30"/>
        <v>7</v>
      </c>
      <c r="BN36" s="757">
        <f t="shared" si="30"/>
        <v>22</v>
      </c>
      <c r="BO36" s="755">
        <f t="shared" si="30"/>
        <v>6</v>
      </c>
      <c r="BP36" s="756">
        <f t="shared" ref="BP36:BR36" si="31">SUM(BP13)</f>
        <v>10</v>
      </c>
      <c r="BQ36" s="756">
        <f t="shared" si="31"/>
        <v>8</v>
      </c>
      <c r="BR36" s="757">
        <f t="shared" si="31"/>
        <v>24</v>
      </c>
    </row>
    <row r="37" spans="1:70" s="37" customFormat="1" ht="15" x14ac:dyDescent="0.2">
      <c r="A37" s="5170"/>
      <c r="B37" s="602" t="s">
        <v>12</v>
      </c>
      <c r="C37" s="603">
        <f t="shared" ref="C37:R37" si="32">SUM(C31:C36)</f>
        <v>1681</v>
      </c>
      <c r="D37" s="640">
        <f t="shared" si="32"/>
        <v>1864</v>
      </c>
      <c r="E37" s="640">
        <f t="shared" si="32"/>
        <v>981</v>
      </c>
      <c r="F37" s="640">
        <f t="shared" si="32"/>
        <v>4526</v>
      </c>
      <c r="G37" s="603">
        <f t="shared" si="32"/>
        <v>1629</v>
      </c>
      <c r="H37" s="640">
        <f t="shared" si="32"/>
        <v>1923</v>
      </c>
      <c r="I37" s="640">
        <f t="shared" si="32"/>
        <v>1010</v>
      </c>
      <c r="J37" s="640">
        <f t="shared" si="32"/>
        <v>4562</v>
      </c>
      <c r="K37" s="603">
        <f t="shared" si="32"/>
        <v>1616</v>
      </c>
      <c r="L37" s="640">
        <f t="shared" si="32"/>
        <v>1869</v>
      </c>
      <c r="M37" s="640">
        <f t="shared" si="32"/>
        <v>1006</v>
      </c>
      <c r="N37" s="640">
        <f t="shared" si="32"/>
        <v>4491</v>
      </c>
      <c r="O37" s="603">
        <f t="shared" si="32"/>
        <v>1722</v>
      </c>
      <c r="P37" s="640">
        <f t="shared" si="32"/>
        <v>1967</v>
      </c>
      <c r="Q37" s="640">
        <f t="shared" si="32"/>
        <v>1043</v>
      </c>
      <c r="R37" s="640">
        <f t="shared" si="32"/>
        <v>4732</v>
      </c>
      <c r="S37" s="603">
        <f t="shared" ref="S37:BJ37" si="33">SUM(S31:S36)</f>
        <v>1757</v>
      </c>
      <c r="T37" s="640">
        <f t="shared" si="33"/>
        <v>1913</v>
      </c>
      <c r="U37" s="640">
        <f t="shared" si="33"/>
        <v>1023</v>
      </c>
      <c r="V37" s="640">
        <f t="shared" si="33"/>
        <v>4693</v>
      </c>
      <c r="W37" s="603">
        <f t="shared" si="33"/>
        <v>1514</v>
      </c>
      <c r="X37" s="640">
        <f t="shared" si="33"/>
        <v>1926</v>
      </c>
      <c r="Y37" s="640">
        <f t="shared" si="33"/>
        <v>1005</v>
      </c>
      <c r="Z37" s="640">
        <f t="shared" si="33"/>
        <v>4445</v>
      </c>
      <c r="AA37" s="603">
        <f t="shared" si="33"/>
        <v>1549</v>
      </c>
      <c r="AB37" s="640">
        <f t="shared" si="33"/>
        <v>1929</v>
      </c>
      <c r="AC37" s="640">
        <f t="shared" si="33"/>
        <v>956</v>
      </c>
      <c r="AD37" s="640">
        <f t="shared" si="33"/>
        <v>4434</v>
      </c>
      <c r="AE37" s="603">
        <f t="shared" si="33"/>
        <v>1631</v>
      </c>
      <c r="AF37" s="640">
        <f t="shared" si="33"/>
        <v>1902</v>
      </c>
      <c r="AG37" s="640">
        <f t="shared" si="33"/>
        <v>1007</v>
      </c>
      <c r="AH37" s="640">
        <f t="shared" si="33"/>
        <v>4540</v>
      </c>
      <c r="AI37" s="603">
        <f t="shared" si="33"/>
        <v>1551</v>
      </c>
      <c r="AJ37" s="640">
        <f t="shared" si="33"/>
        <v>1943</v>
      </c>
      <c r="AK37" s="640">
        <f t="shared" si="33"/>
        <v>932</v>
      </c>
      <c r="AL37" s="640">
        <f t="shared" si="33"/>
        <v>4426</v>
      </c>
      <c r="AM37" s="603">
        <f t="shared" si="33"/>
        <v>1814</v>
      </c>
      <c r="AN37" s="640">
        <f t="shared" si="33"/>
        <v>2082</v>
      </c>
      <c r="AO37" s="640">
        <f t="shared" si="33"/>
        <v>961</v>
      </c>
      <c r="AP37" s="640">
        <f t="shared" si="33"/>
        <v>4857</v>
      </c>
      <c r="AQ37" s="603">
        <f t="shared" si="33"/>
        <v>1680</v>
      </c>
      <c r="AR37" s="640">
        <f t="shared" si="33"/>
        <v>2222</v>
      </c>
      <c r="AS37" s="640">
        <f t="shared" si="33"/>
        <v>949</v>
      </c>
      <c r="AT37" s="604">
        <f t="shared" si="33"/>
        <v>4851</v>
      </c>
      <c r="AU37" s="603">
        <f t="shared" si="33"/>
        <v>1713</v>
      </c>
      <c r="AV37" s="640">
        <f t="shared" si="33"/>
        <v>2119</v>
      </c>
      <c r="AW37" s="640">
        <f t="shared" si="33"/>
        <v>1022</v>
      </c>
      <c r="AX37" s="604">
        <f t="shared" si="33"/>
        <v>4854</v>
      </c>
      <c r="AY37" s="603">
        <f t="shared" si="33"/>
        <v>1595</v>
      </c>
      <c r="AZ37" s="640">
        <f t="shared" si="33"/>
        <v>1959</v>
      </c>
      <c r="BA37" s="640">
        <f t="shared" si="33"/>
        <v>894</v>
      </c>
      <c r="BB37" s="604">
        <f t="shared" si="33"/>
        <v>4448</v>
      </c>
      <c r="BC37" s="603">
        <f t="shared" si="33"/>
        <v>1620</v>
      </c>
      <c r="BD37" s="640">
        <f t="shared" si="33"/>
        <v>2108</v>
      </c>
      <c r="BE37" s="640">
        <f t="shared" si="33"/>
        <v>946</v>
      </c>
      <c r="BF37" s="604">
        <f t="shared" si="33"/>
        <v>4674</v>
      </c>
      <c r="BG37" s="603">
        <f t="shared" si="33"/>
        <v>1807</v>
      </c>
      <c r="BH37" s="640">
        <f t="shared" si="33"/>
        <v>2329</v>
      </c>
      <c r="BI37" s="640">
        <f t="shared" si="33"/>
        <v>1198</v>
      </c>
      <c r="BJ37" s="604">
        <f t="shared" si="33"/>
        <v>5334</v>
      </c>
      <c r="BK37" s="603">
        <f t="shared" ref="BK37:BN37" si="34">SUM(BK31:BK36)</f>
        <v>1785</v>
      </c>
      <c r="BL37" s="640">
        <f t="shared" si="34"/>
        <v>2239</v>
      </c>
      <c r="BM37" s="640">
        <f t="shared" si="34"/>
        <v>1039</v>
      </c>
      <c r="BN37" s="604">
        <f t="shared" si="34"/>
        <v>5063</v>
      </c>
      <c r="BO37" s="603">
        <f t="shared" ref="BO37:BR37" si="35">SUM(BO31:BO36)</f>
        <v>1798</v>
      </c>
      <c r="BP37" s="640">
        <f t="shared" si="35"/>
        <v>2134</v>
      </c>
      <c r="BQ37" s="640">
        <f t="shared" si="35"/>
        <v>1215</v>
      </c>
      <c r="BR37" s="604">
        <f t="shared" si="35"/>
        <v>5147</v>
      </c>
    </row>
    <row r="38" spans="1:70" s="39" customFormat="1" ht="15" x14ac:dyDescent="0.2">
      <c r="C38" s="2053"/>
      <c r="D38" s="2053"/>
      <c r="E38" s="2053"/>
      <c r="F38" s="2053"/>
      <c r="G38" s="2053"/>
      <c r="H38" s="2053"/>
      <c r="I38" s="2053"/>
      <c r="J38" s="2053"/>
      <c r="K38" s="2053"/>
      <c r="L38" s="2053"/>
      <c r="M38" s="2053"/>
      <c r="N38" s="2053"/>
      <c r="O38" s="2053"/>
      <c r="P38" s="2053"/>
      <c r="Q38" s="2053"/>
      <c r="R38" s="2053"/>
      <c r="S38" s="2053"/>
      <c r="T38" s="2053"/>
      <c r="U38" s="2053"/>
      <c r="V38" s="2053"/>
      <c r="W38" s="2053"/>
      <c r="X38" s="2053"/>
      <c r="Y38" s="2053"/>
      <c r="Z38" s="2053"/>
      <c r="AA38" s="2053"/>
      <c r="AB38" s="2053"/>
      <c r="AC38" s="2053"/>
      <c r="AD38" s="2053"/>
      <c r="AE38" s="2053"/>
      <c r="AF38" s="2053"/>
      <c r="AG38" s="2053"/>
      <c r="AH38" s="2053"/>
      <c r="AI38" s="2053"/>
      <c r="AJ38" s="2053"/>
      <c r="AK38" s="2053"/>
      <c r="AL38" s="2053"/>
      <c r="AM38" s="2053"/>
      <c r="AN38" s="2053"/>
      <c r="AO38" s="2053"/>
      <c r="AP38" s="2053"/>
      <c r="AQ38" s="2053"/>
      <c r="AR38" s="2053"/>
      <c r="AS38" s="2053"/>
      <c r="AT38" s="2053"/>
      <c r="AU38" s="2053"/>
      <c r="AV38" s="2053"/>
      <c r="AW38" s="2053"/>
      <c r="AX38" s="2053"/>
      <c r="AY38" s="2053"/>
      <c r="AZ38" s="2053"/>
      <c r="BA38" s="2053"/>
      <c r="BB38" s="2053"/>
      <c r="BC38" s="2053"/>
      <c r="BD38" s="2053"/>
      <c r="BE38" s="2053"/>
      <c r="BF38" s="2053"/>
      <c r="BG38" s="2053"/>
      <c r="BH38" s="2053"/>
      <c r="BI38" s="2053"/>
      <c r="BJ38" s="2053"/>
    </row>
    <row r="39" spans="1:70" s="39" customFormat="1" ht="15" x14ac:dyDescent="0.2">
      <c r="A39" s="327" t="s">
        <v>664</v>
      </c>
    </row>
    <row r="41" spans="1:70" x14ac:dyDescent="0.2">
      <c r="F41"/>
    </row>
    <row r="42" spans="1:70" x14ac:dyDescent="0.2"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</row>
    <row r="44" spans="1:70" ht="12.75" customHeight="1" x14ac:dyDescent="0.2">
      <c r="A44" s="257"/>
    </row>
    <row r="45" spans="1:70" x14ac:dyDescent="0.2">
      <c r="AP45">
        <v>1999</v>
      </c>
    </row>
    <row r="46" spans="1:70" x14ac:dyDescent="0.2">
      <c r="AP46">
        <v>2000</v>
      </c>
    </row>
    <row r="47" spans="1:70" x14ac:dyDescent="0.2">
      <c r="AP47">
        <v>2001</v>
      </c>
    </row>
    <row r="48" spans="1:70" x14ac:dyDescent="0.2">
      <c r="AP48">
        <v>2002</v>
      </c>
    </row>
    <row r="49" spans="42:42" x14ac:dyDescent="0.2">
      <c r="AP49">
        <v>2003</v>
      </c>
    </row>
    <row r="50" spans="42:42" x14ac:dyDescent="0.2">
      <c r="AP50">
        <v>2004</v>
      </c>
    </row>
    <row r="51" spans="42:42" x14ac:dyDescent="0.2">
      <c r="AP51">
        <v>2005</v>
      </c>
    </row>
    <row r="52" spans="42:42" x14ac:dyDescent="0.2">
      <c r="AP52">
        <v>2006</v>
      </c>
    </row>
    <row r="53" spans="42:42" x14ac:dyDescent="0.2">
      <c r="AP53">
        <v>2007</v>
      </c>
    </row>
    <row r="54" spans="42:42" x14ac:dyDescent="0.2">
      <c r="AP54">
        <v>2008</v>
      </c>
    </row>
    <row r="55" spans="42:42" x14ac:dyDescent="0.2">
      <c r="AP55">
        <v>2009</v>
      </c>
    </row>
    <row r="56" spans="42:42" x14ac:dyDescent="0.2">
      <c r="AP56">
        <v>2010</v>
      </c>
    </row>
    <row r="57" spans="42:42" x14ac:dyDescent="0.2">
      <c r="AP57">
        <v>2011</v>
      </c>
    </row>
    <row r="58" spans="42:42" x14ac:dyDescent="0.2">
      <c r="AP58">
        <v>2012</v>
      </c>
    </row>
    <row r="59" spans="42:42" x14ac:dyDescent="0.2">
      <c r="AP59">
        <v>2013</v>
      </c>
    </row>
    <row r="60" spans="42:42" x14ac:dyDescent="0.2">
      <c r="AP60" s="23">
        <v>2014</v>
      </c>
    </row>
    <row r="61" spans="42:42" x14ac:dyDescent="0.2">
      <c r="AP61">
        <v>2015</v>
      </c>
    </row>
    <row r="67" spans="42:42" x14ac:dyDescent="0.2">
      <c r="AP67" s="23" t="s">
        <v>161</v>
      </c>
    </row>
    <row r="68" spans="42:42" x14ac:dyDescent="0.2">
      <c r="AP68" s="23" t="s">
        <v>410</v>
      </c>
    </row>
    <row r="69" spans="42:42" x14ac:dyDescent="0.2">
      <c r="AP69" s="23" t="s">
        <v>162</v>
      </c>
    </row>
    <row r="70" spans="42:42" x14ac:dyDescent="0.2">
      <c r="AP70" s="23" t="s">
        <v>163</v>
      </c>
    </row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</sheetData>
  <mergeCells count="26">
    <mergeCell ref="BO3:BR3"/>
    <mergeCell ref="BK3:BN3"/>
    <mergeCell ref="BG3:BJ3"/>
    <mergeCell ref="BC3:BF3"/>
    <mergeCell ref="A3:A4"/>
    <mergeCell ref="B3:B4"/>
    <mergeCell ref="C3:F3"/>
    <mergeCell ref="G3:J3"/>
    <mergeCell ref="K3:N3"/>
    <mergeCell ref="O3:R3"/>
    <mergeCell ref="S3:V3"/>
    <mergeCell ref="W3:Z3"/>
    <mergeCell ref="AA3:AD3"/>
    <mergeCell ref="AE3:AH3"/>
    <mergeCell ref="AI3:AL3"/>
    <mergeCell ref="AM3:AP3"/>
    <mergeCell ref="AQ3:AT3"/>
    <mergeCell ref="A1:B1"/>
    <mergeCell ref="AU3:AX3"/>
    <mergeCell ref="AY3:BB3"/>
    <mergeCell ref="A31:A37"/>
    <mergeCell ref="A6:A9"/>
    <mergeCell ref="A16:A19"/>
    <mergeCell ref="A26:A29"/>
    <mergeCell ref="A11:A14"/>
    <mergeCell ref="A21:A24"/>
  </mergeCells>
  <printOptions horizontalCentered="1" verticalCentered="1"/>
  <pageMargins left="0.35433070866141736" right="0.27559055118110237" top="0.51181102362204722" bottom="0.19685039370078741" header="0" footer="0.31496062992125984"/>
  <pageSetup scale="63" pageOrder="overThenDown" orientation="landscape" horizontalDpi="1200" verticalDpi="1200" r:id="rId1"/>
  <headerFooter alignWithMargins="0">
    <oddFooter>&amp;R44</oddFooter>
  </headerFooter>
  <colBreaks count="1" manualBreakCount="1">
    <brk id="42" max="33" man="1"/>
  </colBreaks>
  <ignoredErrors>
    <ignoredError sqref="AQ15:AT15 AQ25:AT25 C25:R28 C6:R19" formulaRange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AF59"/>
  <sheetViews>
    <sheetView showGridLines="0" zoomScaleNormal="100" workbookViewId="0">
      <pane xSplit="2" ySplit="5" topLeftCell="P18" activePane="bottomRight" state="frozen"/>
      <selection pane="topRight" activeCell="C1" sqref="C1"/>
      <selection pane="bottomLeft" activeCell="A7" sqref="A7"/>
      <selection pane="bottomRight" activeCell="S64" sqref="S64"/>
    </sheetView>
  </sheetViews>
  <sheetFormatPr baseColWidth="10" defaultRowHeight="15" x14ac:dyDescent="0.25"/>
  <cols>
    <col min="1" max="1" width="17.140625" style="1838" customWidth="1"/>
    <col min="2" max="2" width="9.140625" style="1838" bestFit="1" customWidth="1"/>
    <col min="3" max="45" width="9.7109375" style="1838" customWidth="1"/>
    <col min="46" max="16384" width="11.42578125" style="1838"/>
  </cols>
  <sheetData>
    <row r="1" spans="1:32" s="4034" customFormat="1" ht="75" customHeight="1" x14ac:dyDescent="0.25">
      <c r="A1" s="5142" t="s">
        <v>1361</v>
      </c>
      <c r="B1" s="5142"/>
    </row>
    <row r="3" spans="1:32" x14ac:dyDescent="0.25">
      <c r="A3" s="5249" t="s">
        <v>16</v>
      </c>
      <c r="B3" s="5020" t="s">
        <v>4</v>
      </c>
      <c r="C3" s="5094">
        <v>2006</v>
      </c>
      <c r="D3" s="5095"/>
      <c r="E3" s="5096"/>
      <c r="F3" s="5094">
        <v>2007</v>
      </c>
      <c r="G3" s="5095"/>
      <c r="H3" s="5096"/>
      <c r="I3" s="5094">
        <v>2008</v>
      </c>
      <c r="J3" s="5095"/>
      <c r="K3" s="5096"/>
      <c r="L3" s="5094">
        <v>2009</v>
      </c>
      <c r="M3" s="5095"/>
      <c r="N3" s="5096"/>
      <c r="O3" s="5094">
        <v>2010</v>
      </c>
      <c r="P3" s="5095"/>
      <c r="Q3" s="5096"/>
      <c r="R3" s="5094">
        <v>2011</v>
      </c>
      <c r="S3" s="5095"/>
      <c r="T3" s="5096"/>
      <c r="U3" s="5094">
        <v>2012</v>
      </c>
      <c r="V3" s="5095"/>
      <c r="W3" s="5096"/>
      <c r="X3" s="5094">
        <v>2013</v>
      </c>
      <c r="Y3" s="5095"/>
      <c r="Z3" s="5096"/>
      <c r="AA3" s="5094">
        <v>2014</v>
      </c>
      <c r="AB3" s="5095"/>
      <c r="AC3" s="5096"/>
      <c r="AD3" s="5094">
        <v>2015</v>
      </c>
      <c r="AE3" s="5095"/>
      <c r="AF3" s="5096"/>
    </row>
    <row r="4" spans="1:32" x14ac:dyDescent="0.25">
      <c r="A4" s="5250"/>
      <c r="B4" s="5021"/>
      <c r="C4" s="1839" t="s">
        <v>675</v>
      </c>
      <c r="D4" s="1839" t="s">
        <v>676</v>
      </c>
      <c r="E4" s="1840" t="s">
        <v>160</v>
      </c>
      <c r="F4" s="1839" t="s">
        <v>675</v>
      </c>
      <c r="G4" s="1839" t="s">
        <v>676</v>
      </c>
      <c r="H4" s="1840" t="s">
        <v>160</v>
      </c>
      <c r="I4" s="1839" t="s">
        <v>675</v>
      </c>
      <c r="J4" s="1839" t="s">
        <v>676</v>
      </c>
      <c r="K4" s="1840" t="s">
        <v>160</v>
      </c>
      <c r="L4" s="1839" t="s">
        <v>675</v>
      </c>
      <c r="M4" s="1839" t="s">
        <v>676</v>
      </c>
      <c r="N4" s="1840" t="s">
        <v>160</v>
      </c>
      <c r="O4" s="1839" t="s">
        <v>675</v>
      </c>
      <c r="P4" s="1839" t="s">
        <v>676</v>
      </c>
      <c r="Q4" s="1840" t="s">
        <v>160</v>
      </c>
      <c r="R4" s="1839" t="s">
        <v>675</v>
      </c>
      <c r="S4" s="1839" t="s">
        <v>676</v>
      </c>
      <c r="T4" s="1840" t="s">
        <v>160</v>
      </c>
      <c r="U4" s="1839" t="s">
        <v>675</v>
      </c>
      <c r="V4" s="1839" t="s">
        <v>676</v>
      </c>
      <c r="W4" s="1840" t="s">
        <v>160</v>
      </c>
      <c r="X4" s="1839" t="s">
        <v>675</v>
      </c>
      <c r="Y4" s="1839" t="s">
        <v>676</v>
      </c>
      <c r="Z4" s="1840" t="s">
        <v>160</v>
      </c>
      <c r="AA4" s="1839" t="s">
        <v>675</v>
      </c>
      <c r="AB4" s="1839" t="s">
        <v>676</v>
      </c>
      <c r="AC4" s="1840" t="s">
        <v>160</v>
      </c>
      <c r="AD4" s="1839" t="s">
        <v>675</v>
      </c>
      <c r="AE4" s="1839" t="s">
        <v>676</v>
      </c>
      <c r="AF4" s="1840" t="s">
        <v>160</v>
      </c>
    </row>
    <row r="5" spans="1:32" x14ac:dyDescent="0.25">
      <c r="A5" s="1875"/>
      <c r="B5" s="1875"/>
      <c r="C5" s="1875"/>
      <c r="D5" s="1875"/>
      <c r="E5" s="1875"/>
      <c r="F5" s="1875"/>
      <c r="G5" s="1875"/>
      <c r="H5" s="1875"/>
      <c r="I5" s="1875"/>
      <c r="J5" s="1875"/>
      <c r="K5" s="1875"/>
      <c r="L5" s="1875"/>
      <c r="M5" s="1875"/>
      <c r="N5" s="1875"/>
      <c r="O5" s="1875"/>
      <c r="P5" s="1875"/>
      <c r="Q5" s="1875"/>
      <c r="R5" s="1875"/>
      <c r="S5" s="1875"/>
      <c r="T5" s="1875"/>
      <c r="U5" s="1875"/>
      <c r="V5" s="1875"/>
      <c r="W5" s="1875"/>
    </row>
    <row r="6" spans="1:32" x14ac:dyDescent="0.25">
      <c r="A6" s="5246" t="s">
        <v>3</v>
      </c>
      <c r="B6" s="1841" t="s">
        <v>5</v>
      </c>
      <c r="C6" s="1843">
        <v>85</v>
      </c>
      <c r="D6" s="1842">
        <v>300</v>
      </c>
      <c r="E6" s="1844">
        <f>SUM(C6:D6)</f>
        <v>385</v>
      </c>
      <c r="F6" s="1842">
        <v>84</v>
      </c>
      <c r="G6" s="1842">
        <v>255</v>
      </c>
      <c r="H6" s="1842">
        <f>SUM(F6:G6)</f>
        <v>339</v>
      </c>
      <c r="I6" s="1843">
        <v>96</v>
      </c>
      <c r="J6" s="1842">
        <v>266</v>
      </c>
      <c r="K6" s="1844">
        <f>SUM(I6:J6)</f>
        <v>362</v>
      </c>
      <c r="L6" s="1876">
        <v>87</v>
      </c>
      <c r="M6" s="1876">
        <v>263</v>
      </c>
      <c r="N6" s="1877">
        <f>SUM(L6:M6)</f>
        <v>350</v>
      </c>
      <c r="O6" s="1876">
        <v>87</v>
      </c>
      <c r="P6" s="1876">
        <v>281</v>
      </c>
      <c r="Q6" s="1877">
        <f>SUM(O6:P6)</f>
        <v>368</v>
      </c>
      <c r="R6" s="1876">
        <v>105</v>
      </c>
      <c r="S6" s="1876">
        <v>299</v>
      </c>
      <c r="T6" s="1877">
        <f>SUM(R6:S6)</f>
        <v>404</v>
      </c>
      <c r="U6" s="1876">
        <v>102</v>
      </c>
      <c r="V6" s="1876">
        <v>260</v>
      </c>
      <c r="W6" s="1877">
        <f>SUM(U6:V6)</f>
        <v>362</v>
      </c>
      <c r="X6" s="1876">
        <v>152</v>
      </c>
      <c r="Y6" s="1876">
        <v>370</v>
      </c>
      <c r="Z6" s="1877">
        <f>SUM(X6:Y6)</f>
        <v>522</v>
      </c>
      <c r="AA6" s="1876">
        <v>172</v>
      </c>
      <c r="AB6" s="1876">
        <v>402</v>
      </c>
      <c r="AC6" s="1877">
        <v>574</v>
      </c>
      <c r="AD6" s="1880">
        <v>165</v>
      </c>
      <c r="AE6" s="1876">
        <v>362</v>
      </c>
      <c r="AF6" s="1877">
        <f>SUM(AD6:AE6)</f>
        <v>527</v>
      </c>
    </row>
    <row r="7" spans="1:32" x14ac:dyDescent="0.25">
      <c r="A7" s="5247"/>
      <c r="B7" s="1847" t="s">
        <v>6</v>
      </c>
      <c r="C7" s="1849">
        <v>241</v>
      </c>
      <c r="D7" s="1848">
        <v>245</v>
      </c>
      <c r="E7" s="1850">
        <f>SUM(C7:D7)</f>
        <v>486</v>
      </c>
      <c r="F7" s="1848">
        <v>264</v>
      </c>
      <c r="G7" s="1848">
        <v>224</v>
      </c>
      <c r="H7" s="1848">
        <f>SUM(F7:G7)</f>
        <v>488</v>
      </c>
      <c r="I7" s="1849">
        <v>256</v>
      </c>
      <c r="J7" s="1848">
        <v>233</v>
      </c>
      <c r="K7" s="1850">
        <f>SUM(I7:J7)</f>
        <v>489</v>
      </c>
      <c r="L7" s="1878">
        <v>259</v>
      </c>
      <c r="M7" s="1878">
        <v>241</v>
      </c>
      <c r="N7" s="1879">
        <f>SUM(L7:M7)</f>
        <v>500</v>
      </c>
      <c r="O7" s="1878">
        <v>266</v>
      </c>
      <c r="P7" s="1878">
        <v>237</v>
      </c>
      <c r="Q7" s="1879">
        <f>SUM(O7:P7)</f>
        <v>503</v>
      </c>
      <c r="R7" s="1878">
        <v>237</v>
      </c>
      <c r="S7" s="1878">
        <v>202</v>
      </c>
      <c r="T7" s="1879">
        <f>SUM(R7:S7)</f>
        <v>439</v>
      </c>
      <c r="U7" s="1878">
        <v>266</v>
      </c>
      <c r="V7" s="1878">
        <v>258</v>
      </c>
      <c r="W7" s="1879">
        <f>SUM(U7:V7)</f>
        <v>524</v>
      </c>
      <c r="X7" s="1878">
        <v>408</v>
      </c>
      <c r="Y7" s="1878">
        <v>316</v>
      </c>
      <c r="Z7" s="1879">
        <f>SUM(X7:Y7)</f>
        <v>724</v>
      </c>
      <c r="AA7" s="1878">
        <v>322</v>
      </c>
      <c r="AB7" s="1878">
        <v>241</v>
      </c>
      <c r="AC7" s="1879">
        <v>563</v>
      </c>
      <c r="AD7" s="1849">
        <v>375</v>
      </c>
      <c r="AE7" s="1878">
        <v>254</v>
      </c>
      <c r="AF7" s="1879">
        <f t="shared" ref="AF7:AF8" si="0">SUM(AD7:AE7)</f>
        <v>629</v>
      </c>
    </row>
    <row r="8" spans="1:32" x14ac:dyDescent="0.25">
      <c r="A8" s="5247"/>
      <c r="B8" s="1847" t="s">
        <v>7</v>
      </c>
      <c r="C8" s="1849">
        <v>129</v>
      </c>
      <c r="D8" s="1848">
        <v>225</v>
      </c>
      <c r="E8" s="1850">
        <f>SUM(C8:D8)</f>
        <v>354</v>
      </c>
      <c r="F8" s="1848">
        <v>159</v>
      </c>
      <c r="G8" s="1848">
        <v>210</v>
      </c>
      <c r="H8" s="1848">
        <f>SUM(F8:G8)</f>
        <v>369</v>
      </c>
      <c r="I8" s="1849">
        <v>132</v>
      </c>
      <c r="J8" s="1848">
        <v>210</v>
      </c>
      <c r="K8" s="1850">
        <f>SUM(I8:J8)</f>
        <v>342</v>
      </c>
      <c r="L8" s="1878">
        <v>130</v>
      </c>
      <c r="M8" s="1878">
        <v>234</v>
      </c>
      <c r="N8" s="1879">
        <f>SUM(L8:M8)</f>
        <v>364</v>
      </c>
      <c r="O8" s="1878">
        <v>144</v>
      </c>
      <c r="P8" s="1878">
        <v>177</v>
      </c>
      <c r="Q8" s="1879">
        <f>SUM(O8:P8)</f>
        <v>321</v>
      </c>
      <c r="R8" s="1878">
        <v>100</v>
      </c>
      <c r="S8" s="1878">
        <v>142</v>
      </c>
      <c r="T8" s="1879">
        <f>SUM(R8:S8)</f>
        <v>242</v>
      </c>
      <c r="U8" s="1878">
        <v>95</v>
      </c>
      <c r="V8" s="1878">
        <v>158</v>
      </c>
      <c r="W8" s="1879">
        <f>SUM(U8:V8)</f>
        <v>253</v>
      </c>
      <c r="X8" s="1878">
        <v>154</v>
      </c>
      <c r="Y8" s="1878">
        <v>179</v>
      </c>
      <c r="Z8" s="1879">
        <f>SUM(X8:Y8)</f>
        <v>333</v>
      </c>
      <c r="AA8" s="1878">
        <v>181</v>
      </c>
      <c r="AB8" s="1878">
        <v>164</v>
      </c>
      <c r="AC8" s="1879">
        <v>345</v>
      </c>
      <c r="AD8" s="1849">
        <v>165</v>
      </c>
      <c r="AE8" s="1848">
        <v>178</v>
      </c>
      <c r="AF8" s="1879">
        <f t="shared" si="0"/>
        <v>343</v>
      </c>
    </row>
    <row r="9" spans="1:32" x14ac:dyDescent="0.25">
      <c r="A9" s="5248"/>
      <c r="B9" s="2499" t="s">
        <v>12</v>
      </c>
      <c r="C9" s="2500">
        <f t="shared" ref="C9:Z9" si="1">SUM(C6:C8)</f>
        <v>455</v>
      </c>
      <c r="D9" s="2501">
        <f t="shared" si="1"/>
        <v>770</v>
      </c>
      <c r="E9" s="2502">
        <f t="shared" si="1"/>
        <v>1225</v>
      </c>
      <c r="F9" s="2501">
        <f t="shared" si="1"/>
        <v>507</v>
      </c>
      <c r="G9" s="2501">
        <f t="shared" si="1"/>
        <v>689</v>
      </c>
      <c r="H9" s="2501">
        <f t="shared" si="1"/>
        <v>1196</v>
      </c>
      <c r="I9" s="2500">
        <f t="shared" si="1"/>
        <v>484</v>
      </c>
      <c r="J9" s="2501">
        <f t="shared" si="1"/>
        <v>709</v>
      </c>
      <c r="K9" s="2502">
        <f t="shared" si="1"/>
        <v>1193</v>
      </c>
      <c r="L9" s="2501">
        <f t="shared" si="1"/>
        <v>476</v>
      </c>
      <c r="M9" s="2501">
        <f t="shared" si="1"/>
        <v>738</v>
      </c>
      <c r="N9" s="2502">
        <f t="shared" si="1"/>
        <v>1214</v>
      </c>
      <c r="O9" s="2501">
        <f t="shared" si="1"/>
        <v>497</v>
      </c>
      <c r="P9" s="2501">
        <f t="shared" si="1"/>
        <v>695</v>
      </c>
      <c r="Q9" s="2502">
        <f t="shared" si="1"/>
        <v>1192</v>
      </c>
      <c r="R9" s="2501">
        <f t="shared" si="1"/>
        <v>442</v>
      </c>
      <c r="S9" s="2501">
        <f t="shared" si="1"/>
        <v>643</v>
      </c>
      <c r="T9" s="2502">
        <f t="shared" si="1"/>
        <v>1085</v>
      </c>
      <c r="U9" s="2501">
        <f t="shared" si="1"/>
        <v>463</v>
      </c>
      <c r="V9" s="2501">
        <f t="shared" si="1"/>
        <v>676</v>
      </c>
      <c r="W9" s="2502">
        <f t="shared" si="1"/>
        <v>1139</v>
      </c>
      <c r="X9" s="2501">
        <f t="shared" si="1"/>
        <v>714</v>
      </c>
      <c r="Y9" s="2501">
        <f t="shared" si="1"/>
        <v>865</v>
      </c>
      <c r="Z9" s="2502">
        <f t="shared" si="1"/>
        <v>1579</v>
      </c>
      <c r="AA9" s="2501">
        <f t="shared" ref="AA9:AF9" si="2">SUM(AA6:AA8)</f>
        <v>675</v>
      </c>
      <c r="AB9" s="2501">
        <f t="shared" si="2"/>
        <v>807</v>
      </c>
      <c r="AC9" s="2502">
        <f t="shared" si="2"/>
        <v>1482</v>
      </c>
      <c r="AD9" s="2501">
        <f t="shared" si="2"/>
        <v>705</v>
      </c>
      <c r="AE9" s="2501">
        <f t="shared" si="2"/>
        <v>794</v>
      </c>
      <c r="AF9" s="2502">
        <f t="shared" si="2"/>
        <v>1499</v>
      </c>
    </row>
    <row r="11" spans="1:32" x14ac:dyDescent="0.25">
      <c r="A11" s="5240" t="s">
        <v>8</v>
      </c>
      <c r="B11" s="1841" t="s">
        <v>6</v>
      </c>
      <c r="C11" s="1843"/>
      <c r="D11" s="1842"/>
      <c r="E11" s="1842"/>
      <c r="F11" s="1842"/>
      <c r="G11" s="1842"/>
      <c r="H11" s="1842"/>
      <c r="I11" s="1842"/>
      <c r="J11" s="1842"/>
      <c r="K11" s="1844"/>
      <c r="L11" s="1876">
        <v>29</v>
      </c>
      <c r="M11" s="1876">
        <v>18</v>
      </c>
      <c r="N11" s="1877">
        <f>SUM(L11:M11)</f>
        <v>47</v>
      </c>
      <c r="O11" s="1876">
        <f>16+1</f>
        <v>17</v>
      </c>
      <c r="P11" s="1876">
        <f>12+1</f>
        <v>13</v>
      </c>
      <c r="Q11" s="1877">
        <f>SUM(O11:P11)</f>
        <v>30</v>
      </c>
      <c r="R11" s="1876">
        <v>31</v>
      </c>
      <c r="S11" s="1876">
        <v>20</v>
      </c>
      <c r="T11" s="1877">
        <f>SUM(R11:S11)</f>
        <v>51</v>
      </c>
      <c r="U11" s="1876">
        <v>34</v>
      </c>
      <c r="V11" s="1876">
        <v>20</v>
      </c>
      <c r="W11" s="1877">
        <f>SUM(U11:V11)</f>
        <v>54</v>
      </c>
      <c r="X11" s="1880">
        <v>28</v>
      </c>
      <c r="Y11" s="1876">
        <v>15</v>
      </c>
      <c r="Z11" s="1877">
        <f>SUM(X11:Y11)</f>
        <v>43</v>
      </c>
      <c r="AA11" s="1880">
        <v>14</v>
      </c>
      <c r="AB11" s="1876">
        <v>17</v>
      </c>
      <c r="AC11" s="1877">
        <f>SUM(AA11:AB11)</f>
        <v>31</v>
      </c>
      <c r="AD11" s="1880">
        <v>14</v>
      </c>
      <c r="AE11" s="1876">
        <v>14</v>
      </c>
      <c r="AF11" s="1877">
        <f>SUM(AD11:AE11)</f>
        <v>28</v>
      </c>
    </row>
    <row r="12" spans="1:32" x14ac:dyDescent="0.25">
      <c r="A12" s="5241"/>
      <c r="B12" s="1847" t="s">
        <v>9</v>
      </c>
      <c r="C12" s="1849"/>
      <c r="D12" s="1848"/>
      <c r="E12" s="1848"/>
      <c r="F12" s="1848"/>
      <c r="G12" s="1848"/>
      <c r="H12" s="1848"/>
      <c r="I12" s="1848"/>
      <c r="J12" s="1848"/>
      <c r="K12" s="1850"/>
      <c r="L12" s="1848">
        <v>5</v>
      </c>
      <c r="M12" s="1878">
        <v>4</v>
      </c>
      <c r="N12" s="1879">
        <f>SUM(L12:M12)</f>
        <v>9</v>
      </c>
      <c r="O12" s="1848">
        <v>8</v>
      </c>
      <c r="P12" s="1878">
        <v>7</v>
      </c>
      <c r="Q12" s="1879">
        <f>SUM(O12:P12)</f>
        <v>15</v>
      </c>
      <c r="R12" s="1848">
        <v>21</v>
      </c>
      <c r="S12" s="1878">
        <v>11</v>
      </c>
      <c r="T12" s="1879">
        <f>SUM(R12:S12)</f>
        <v>32</v>
      </c>
      <c r="U12" s="1848">
        <v>23</v>
      </c>
      <c r="V12" s="1878">
        <v>25</v>
      </c>
      <c r="W12" s="1879">
        <f>SUM(U12:V12)</f>
        <v>48</v>
      </c>
      <c r="X12" s="1849">
        <v>15</v>
      </c>
      <c r="Y12" s="1878">
        <v>6</v>
      </c>
      <c r="Z12" s="1879">
        <f>SUM(X12:Y12)</f>
        <v>21</v>
      </c>
      <c r="AA12" s="1849">
        <v>16</v>
      </c>
      <c r="AB12" s="1878">
        <v>15</v>
      </c>
      <c r="AC12" s="1879">
        <f>SUM(AA12:AB12)</f>
        <v>31</v>
      </c>
      <c r="AD12" s="1849">
        <v>18</v>
      </c>
      <c r="AE12" s="1878">
        <v>11</v>
      </c>
      <c r="AF12" s="1879">
        <f>SUM(AD12:AE12)</f>
        <v>29</v>
      </c>
    </row>
    <row r="13" spans="1:32" x14ac:dyDescent="0.25">
      <c r="A13" s="5241"/>
      <c r="B13" s="1847" t="s">
        <v>74</v>
      </c>
      <c r="C13" s="1849"/>
      <c r="D13" s="1848"/>
      <c r="E13" s="1848"/>
      <c r="F13" s="1848"/>
      <c r="G13" s="1848"/>
      <c r="H13" s="1848"/>
      <c r="I13" s="1848"/>
      <c r="J13" s="1848"/>
      <c r="K13" s="1850"/>
      <c r="L13" s="1848">
        <v>3</v>
      </c>
      <c r="M13" s="1848">
        <v>8</v>
      </c>
      <c r="N13" s="1879">
        <f>SUM(L13:M13)</f>
        <v>11</v>
      </c>
      <c r="O13" s="1848">
        <v>1</v>
      </c>
      <c r="P13" s="1848">
        <v>9</v>
      </c>
      <c r="Q13" s="1879">
        <f>SUM(O13:P13)</f>
        <v>10</v>
      </c>
      <c r="R13" s="1848">
        <v>2</v>
      </c>
      <c r="S13" s="1848">
        <v>9</v>
      </c>
      <c r="T13" s="1879">
        <f>SUM(R13:S13)</f>
        <v>11</v>
      </c>
      <c r="U13" s="1848">
        <v>8</v>
      </c>
      <c r="V13" s="1848">
        <v>10</v>
      </c>
      <c r="W13" s="1879">
        <f>SUM(U13:V13)</f>
        <v>18</v>
      </c>
      <c r="X13" s="1849">
        <v>4</v>
      </c>
      <c r="Y13" s="1848">
        <v>11</v>
      </c>
      <c r="Z13" s="1879">
        <f>SUM(X13:Y13)</f>
        <v>15</v>
      </c>
      <c r="AA13" s="1849">
        <v>9</v>
      </c>
      <c r="AB13" s="1848">
        <v>13</v>
      </c>
      <c r="AC13" s="1879">
        <f>SUM(AA13:AB13)</f>
        <v>22</v>
      </c>
      <c r="AD13" s="1849">
        <v>11</v>
      </c>
      <c r="AE13" s="1848">
        <v>13</v>
      </c>
      <c r="AF13" s="1879">
        <f>SUM(AD13:AE13)</f>
        <v>24</v>
      </c>
    </row>
    <row r="14" spans="1:32" x14ac:dyDescent="0.25">
      <c r="A14" s="5242"/>
      <c r="B14" s="2507" t="s">
        <v>12</v>
      </c>
      <c r="C14" s="2508"/>
      <c r="D14" s="2509"/>
      <c r="E14" s="2509"/>
      <c r="F14" s="2509"/>
      <c r="G14" s="2509"/>
      <c r="H14" s="2509"/>
      <c r="I14" s="2509"/>
      <c r="J14" s="2509"/>
      <c r="K14" s="2510"/>
      <c r="L14" s="2509">
        <f t="shared" ref="L14:Z14" si="3">SUM(L11:L13)</f>
        <v>37</v>
      </c>
      <c r="M14" s="2509">
        <f t="shared" si="3"/>
        <v>30</v>
      </c>
      <c r="N14" s="2510">
        <f t="shared" si="3"/>
        <v>67</v>
      </c>
      <c r="O14" s="2509">
        <f t="shared" si="3"/>
        <v>26</v>
      </c>
      <c r="P14" s="2509">
        <f t="shared" si="3"/>
        <v>29</v>
      </c>
      <c r="Q14" s="2510">
        <f t="shared" si="3"/>
        <v>55</v>
      </c>
      <c r="R14" s="2509">
        <f t="shared" si="3"/>
        <v>54</v>
      </c>
      <c r="S14" s="2509">
        <f t="shared" si="3"/>
        <v>40</v>
      </c>
      <c r="T14" s="2510">
        <f t="shared" si="3"/>
        <v>94</v>
      </c>
      <c r="U14" s="2509">
        <f t="shared" si="3"/>
        <v>65</v>
      </c>
      <c r="V14" s="2509">
        <f t="shared" si="3"/>
        <v>55</v>
      </c>
      <c r="W14" s="2510">
        <f t="shared" si="3"/>
        <v>120</v>
      </c>
      <c r="X14" s="2508">
        <f t="shared" si="3"/>
        <v>47</v>
      </c>
      <c r="Y14" s="2509">
        <f t="shared" si="3"/>
        <v>32</v>
      </c>
      <c r="Z14" s="2510">
        <f t="shared" si="3"/>
        <v>79</v>
      </c>
      <c r="AA14" s="2508">
        <f t="shared" ref="AA14:AF14" si="4">SUM(AA11:AA13)</f>
        <v>39</v>
      </c>
      <c r="AB14" s="2509">
        <f t="shared" si="4"/>
        <v>45</v>
      </c>
      <c r="AC14" s="2510">
        <f t="shared" si="4"/>
        <v>84</v>
      </c>
      <c r="AD14" s="2508">
        <f t="shared" si="4"/>
        <v>43</v>
      </c>
      <c r="AE14" s="2509">
        <f t="shared" si="4"/>
        <v>38</v>
      </c>
      <c r="AF14" s="2510">
        <f t="shared" si="4"/>
        <v>81</v>
      </c>
    </row>
    <row r="16" spans="1:32" x14ac:dyDescent="0.25">
      <c r="A16" s="5231" t="s">
        <v>75</v>
      </c>
      <c r="B16" s="1841" t="s">
        <v>5</v>
      </c>
      <c r="C16" s="1843">
        <v>64</v>
      </c>
      <c r="D16" s="1842">
        <v>203</v>
      </c>
      <c r="E16" s="1844">
        <f>SUM(C16:D16)</f>
        <v>267</v>
      </c>
      <c r="F16" s="1842">
        <v>45</v>
      </c>
      <c r="G16" s="1842">
        <v>128</v>
      </c>
      <c r="H16" s="1842">
        <f>SUM(F16:G16)</f>
        <v>173</v>
      </c>
      <c r="I16" s="1843">
        <v>48</v>
      </c>
      <c r="J16" s="1842">
        <v>115</v>
      </c>
      <c r="K16" s="1844">
        <f>SUM(I16:J16)</f>
        <v>163</v>
      </c>
      <c r="L16" s="1876">
        <v>51</v>
      </c>
      <c r="M16" s="1876">
        <v>116</v>
      </c>
      <c r="N16" s="1877">
        <f>SUM(L16:M16)</f>
        <v>167</v>
      </c>
      <c r="O16" s="1876">
        <v>61</v>
      </c>
      <c r="P16" s="1876">
        <v>178</v>
      </c>
      <c r="Q16" s="1877">
        <f>SUM(O16:P16)</f>
        <v>239</v>
      </c>
      <c r="R16" s="1876">
        <v>58</v>
      </c>
      <c r="S16" s="1876">
        <v>121</v>
      </c>
      <c r="T16" s="1877">
        <f>SUM(R16:S16)</f>
        <v>179</v>
      </c>
      <c r="U16" s="1876">
        <v>54</v>
      </c>
      <c r="V16" s="1876">
        <v>148</v>
      </c>
      <c r="W16" s="1877">
        <f>SUM(U16:V16)</f>
        <v>202</v>
      </c>
      <c r="X16" s="1880">
        <v>53</v>
      </c>
      <c r="Y16" s="1876">
        <v>110</v>
      </c>
      <c r="Z16" s="1877">
        <f>SUM(X16:Y16)</f>
        <v>163</v>
      </c>
      <c r="AA16" s="1880">
        <v>67</v>
      </c>
      <c r="AB16" s="1876">
        <v>145</v>
      </c>
      <c r="AC16" s="1877">
        <f>SUM(AA16:AB16)</f>
        <v>212</v>
      </c>
      <c r="AD16" s="1880">
        <v>61</v>
      </c>
      <c r="AE16" s="1876">
        <v>112</v>
      </c>
      <c r="AF16" s="1877">
        <f>SUM(AD16:AE16)</f>
        <v>173</v>
      </c>
    </row>
    <row r="17" spans="1:32" x14ac:dyDescent="0.25">
      <c r="A17" s="5232"/>
      <c r="B17" s="1847" t="s">
        <v>6</v>
      </c>
      <c r="C17" s="1849">
        <v>274</v>
      </c>
      <c r="D17" s="1848">
        <v>219</v>
      </c>
      <c r="E17" s="1850">
        <f>SUM(C17:D17)</f>
        <v>493</v>
      </c>
      <c r="F17" s="1848">
        <v>257</v>
      </c>
      <c r="G17" s="1848">
        <v>212</v>
      </c>
      <c r="H17" s="1848">
        <f>SUM(F17:G17)</f>
        <v>469</v>
      </c>
      <c r="I17" s="1849">
        <v>254</v>
      </c>
      <c r="J17" s="1848">
        <v>182</v>
      </c>
      <c r="K17" s="1850">
        <f>SUM(I17:J17)</f>
        <v>436</v>
      </c>
      <c r="L17" s="1878">
        <v>286</v>
      </c>
      <c r="M17" s="1878">
        <v>196</v>
      </c>
      <c r="N17" s="1879">
        <f>SUM(L17:M17)</f>
        <v>482</v>
      </c>
      <c r="O17" s="1878">
        <v>312</v>
      </c>
      <c r="P17" s="1878">
        <v>235</v>
      </c>
      <c r="Q17" s="1879">
        <f>SUM(O17:P17)</f>
        <v>547</v>
      </c>
      <c r="R17" s="1878">
        <v>242</v>
      </c>
      <c r="S17" s="1878">
        <v>240</v>
      </c>
      <c r="T17" s="1879">
        <f>SUM(R17:S17)</f>
        <v>482</v>
      </c>
      <c r="U17" s="1878">
        <v>328</v>
      </c>
      <c r="V17" s="1878">
        <v>237</v>
      </c>
      <c r="W17" s="1879">
        <f>SUM(U17:V17)</f>
        <v>565</v>
      </c>
      <c r="X17" s="1881">
        <v>392</v>
      </c>
      <c r="Y17" s="1878">
        <v>276</v>
      </c>
      <c r="Z17" s="1879">
        <f>SUM(X17:Y17)</f>
        <v>668</v>
      </c>
      <c r="AA17" s="1881">
        <v>331</v>
      </c>
      <c r="AB17" s="1878">
        <v>221</v>
      </c>
      <c r="AC17" s="1879">
        <f>SUM(AA17:AB17)</f>
        <v>552</v>
      </c>
      <c r="AD17" s="1881">
        <v>339</v>
      </c>
      <c r="AE17" s="1878">
        <v>235</v>
      </c>
      <c r="AF17" s="1879">
        <f>SUM(AD17:AE17)</f>
        <v>574</v>
      </c>
    </row>
    <row r="18" spans="1:32" x14ac:dyDescent="0.25">
      <c r="A18" s="5232"/>
      <c r="B18" s="1847" t="s">
        <v>11</v>
      </c>
      <c r="C18" s="1849">
        <v>229</v>
      </c>
      <c r="D18" s="1848">
        <v>141</v>
      </c>
      <c r="E18" s="1850">
        <f>SUM(C18:D18)</f>
        <v>370</v>
      </c>
      <c r="F18" s="1848">
        <v>201</v>
      </c>
      <c r="G18" s="1848">
        <v>110</v>
      </c>
      <c r="H18" s="1848">
        <f>SUM(F18:G18)</f>
        <v>311</v>
      </c>
      <c r="I18" s="1849">
        <v>225</v>
      </c>
      <c r="J18" s="1848">
        <v>122</v>
      </c>
      <c r="K18" s="1850">
        <f>SUM(I18:J18)</f>
        <v>347</v>
      </c>
      <c r="L18" s="1878">
        <v>152</v>
      </c>
      <c r="M18" s="1878">
        <v>95</v>
      </c>
      <c r="N18" s="1879">
        <f>SUM(L18:M18)</f>
        <v>247</v>
      </c>
      <c r="O18" s="1878">
        <v>184</v>
      </c>
      <c r="P18" s="1878">
        <v>119</v>
      </c>
      <c r="Q18" s="1879">
        <f>SUM(O18:P18)</f>
        <v>303</v>
      </c>
      <c r="R18" s="1878">
        <v>170</v>
      </c>
      <c r="S18" s="1878">
        <v>85</v>
      </c>
      <c r="T18" s="1879">
        <f>SUM(R18:S18)</f>
        <v>255</v>
      </c>
      <c r="U18" s="1878">
        <v>180</v>
      </c>
      <c r="V18" s="1878">
        <v>117</v>
      </c>
      <c r="W18" s="1879">
        <f>SUM(U18:V18)</f>
        <v>297</v>
      </c>
      <c r="X18" s="1881">
        <v>230</v>
      </c>
      <c r="Y18" s="1878">
        <v>124</v>
      </c>
      <c r="Z18" s="1879">
        <f>SUM(X18:Y18)</f>
        <v>354</v>
      </c>
      <c r="AA18" s="1881">
        <v>218</v>
      </c>
      <c r="AB18" s="1878">
        <v>127</v>
      </c>
      <c r="AC18" s="1879">
        <f>SUM(AA18:AB18)</f>
        <v>345</v>
      </c>
      <c r="AD18" s="1881">
        <v>243</v>
      </c>
      <c r="AE18" s="1878">
        <v>142</v>
      </c>
      <c r="AF18" s="1879">
        <f>SUM(AD18:AE18)</f>
        <v>385</v>
      </c>
    </row>
    <row r="19" spans="1:32" x14ac:dyDescent="0.25">
      <c r="A19" s="5233"/>
      <c r="B19" s="2495" t="s">
        <v>12</v>
      </c>
      <c r="C19" s="2496">
        <f t="shared" ref="C19:Z19" si="5">SUM(C16:C18)</f>
        <v>567</v>
      </c>
      <c r="D19" s="2497">
        <f t="shared" si="5"/>
        <v>563</v>
      </c>
      <c r="E19" s="2498">
        <f t="shared" si="5"/>
        <v>1130</v>
      </c>
      <c r="F19" s="2497">
        <f t="shared" si="5"/>
        <v>503</v>
      </c>
      <c r="G19" s="2497">
        <f t="shared" si="5"/>
        <v>450</v>
      </c>
      <c r="H19" s="2497">
        <f t="shared" si="5"/>
        <v>953</v>
      </c>
      <c r="I19" s="2496">
        <f t="shared" si="5"/>
        <v>527</v>
      </c>
      <c r="J19" s="2497">
        <f t="shared" si="5"/>
        <v>419</v>
      </c>
      <c r="K19" s="2498">
        <f t="shared" si="5"/>
        <v>946</v>
      </c>
      <c r="L19" s="2497">
        <f t="shared" si="5"/>
        <v>489</v>
      </c>
      <c r="M19" s="2497">
        <f t="shared" si="5"/>
        <v>407</v>
      </c>
      <c r="N19" s="2498">
        <f t="shared" si="5"/>
        <v>896</v>
      </c>
      <c r="O19" s="2497">
        <f t="shared" si="5"/>
        <v>557</v>
      </c>
      <c r="P19" s="2497">
        <f t="shared" si="5"/>
        <v>532</v>
      </c>
      <c r="Q19" s="2498">
        <f t="shared" si="5"/>
        <v>1089</v>
      </c>
      <c r="R19" s="2497">
        <f t="shared" si="5"/>
        <v>470</v>
      </c>
      <c r="S19" s="2497">
        <f t="shared" si="5"/>
        <v>446</v>
      </c>
      <c r="T19" s="2498">
        <f t="shared" si="5"/>
        <v>916</v>
      </c>
      <c r="U19" s="2497">
        <f t="shared" si="5"/>
        <v>562</v>
      </c>
      <c r="V19" s="2497">
        <f t="shared" si="5"/>
        <v>502</v>
      </c>
      <c r="W19" s="2498">
        <f t="shared" si="5"/>
        <v>1064</v>
      </c>
      <c r="X19" s="2496">
        <f t="shared" si="5"/>
        <v>675</v>
      </c>
      <c r="Y19" s="2497">
        <f t="shared" si="5"/>
        <v>510</v>
      </c>
      <c r="Z19" s="2498">
        <f t="shared" si="5"/>
        <v>1185</v>
      </c>
      <c r="AA19" s="2496">
        <f t="shared" ref="AA19:AF19" si="6">SUM(AA16:AA18)</f>
        <v>616</v>
      </c>
      <c r="AB19" s="2497">
        <f t="shared" si="6"/>
        <v>493</v>
      </c>
      <c r="AC19" s="2498">
        <f t="shared" si="6"/>
        <v>1109</v>
      </c>
      <c r="AD19" s="2496">
        <f t="shared" si="6"/>
        <v>643</v>
      </c>
      <c r="AE19" s="2497">
        <f t="shared" si="6"/>
        <v>489</v>
      </c>
      <c r="AF19" s="2498">
        <f t="shared" si="6"/>
        <v>1132</v>
      </c>
    </row>
    <row r="20" spans="1:32" x14ac:dyDescent="0.25">
      <c r="A20" s="4768"/>
      <c r="B20" s="4769"/>
      <c r="C20" s="4770"/>
      <c r="D20" s="4770"/>
      <c r="E20" s="4770"/>
      <c r="F20" s="4770"/>
      <c r="G20" s="4770"/>
      <c r="H20" s="4770"/>
      <c r="I20" s="4770"/>
      <c r="J20" s="4770"/>
      <c r="K20" s="4770"/>
      <c r="L20" s="4770"/>
      <c r="M20" s="4770"/>
      <c r="N20" s="4770"/>
      <c r="O20" s="4770"/>
      <c r="P20" s="4770"/>
      <c r="Q20" s="4770"/>
      <c r="R20" s="4770"/>
      <c r="S20" s="4770"/>
      <c r="T20" s="4770"/>
      <c r="U20" s="4770"/>
      <c r="V20" s="4770"/>
      <c r="W20" s="4770"/>
      <c r="X20" s="4770"/>
      <c r="Y20" s="4770"/>
      <c r="Z20" s="4770"/>
      <c r="AA20" s="4770"/>
      <c r="AB20" s="4770"/>
      <c r="AC20" s="4770"/>
      <c r="AD20" s="4770"/>
      <c r="AE20" s="4770"/>
      <c r="AF20" s="4770"/>
    </row>
    <row r="21" spans="1:32" x14ac:dyDescent="0.25">
      <c r="A21" s="5243" t="s">
        <v>326</v>
      </c>
      <c r="B21" s="1841" t="s">
        <v>5</v>
      </c>
      <c r="C21" s="1843"/>
      <c r="D21" s="1842"/>
      <c r="E21" s="1844"/>
      <c r="F21" s="1842"/>
      <c r="G21" s="1842"/>
      <c r="H21" s="1842"/>
      <c r="I21" s="1843"/>
      <c r="J21" s="1842"/>
      <c r="K21" s="1844"/>
      <c r="L21" s="1876"/>
      <c r="M21" s="1876"/>
      <c r="N21" s="1877"/>
      <c r="O21" s="1876"/>
      <c r="P21" s="1876"/>
      <c r="Q21" s="1877"/>
      <c r="R21" s="1876"/>
      <c r="S21" s="1876"/>
      <c r="T21" s="1877"/>
      <c r="U21" s="1876"/>
      <c r="V21" s="1876"/>
      <c r="W21" s="1877"/>
      <c r="X21" s="1880"/>
      <c r="Y21" s="1876"/>
      <c r="Z21" s="1877"/>
      <c r="AA21" s="1880"/>
      <c r="AB21" s="1876"/>
      <c r="AC21" s="1877"/>
      <c r="AD21" s="1880">
        <v>9</v>
      </c>
      <c r="AE21" s="1876">
        <v>11</v>
      </c>
      <c r="AF21" s="1877">
        <f>SUM(AD21:AE21)</f>
        <v>20</v>
      </c>
    </row>
    <row r="22" spans="1:32" x14ac:dyDescent="0.25">
      <c r="A22" s="5244"/>
      <c r="B22" s="1847" t="s">
        <v>6</v>
      </c>
      <c r="C22" s="1849"/>
      <c r="D22" s="1848"/>
      <c r="E22" s="1850"/>
      <c r="F22" s="1848"/>
      <c r="G22" s="1848"/>
      <c r="H22" s="1848"/>
      <c r="I22" s="1849"/>
      <c r="J22" s="1848"/>
      <c r="K22" s="1850"/>
      <c r="L22" s="1878"/>
      <c r="M22" s="1878"/>
      <c r="N22" s="1879"/>
      <c r="O22" s="1878"/>
      <c r="P22" s="1878"/>
      <c r="Q22" s="1879"/>
      <c r="R22" s="1878"/>
      <c r="S22" s="1878"/>
      <c r="T22" s="1879"/>
      <c r="U22" s="1878"/>
      <c r="V22" s="1878"/>
      <c r="W22" s="1879"/>
      <c r="X22" s="1881"/>
      <c r="Y22" s="1878"/>
      <c r="Z22" s="1879"/>
      <c r="AA22" s="1881"/>
      <c r="AB22" s="1878"/>
      <c r="AC22" s="1879"/>
      <c r="AD22" s="1881">
        <v>22</v>
      </c>
      <c r="AE22" s="1878">
        <v>10</v>
      </c>
      <c r="AF22" s="1879">
        <f>SUM(AD22:AE22)</f>
        <v>32</v>
      </c>
    </row>
    <row r="23" spans="1:32" x14ac:dyDescent="0.25">
      <c r="A23" s="5244"/>
      <c r="B23" s="1847" t="s">
        <v>11</v>
      </c>
      <c r="C23" s="1849"/>
      <c r="D23" s="1848"/>
      <c r="E23" s="1850"/>
      <c r="F23" s="1848"/>
      <c r="G23" s="1848"/>
      <c r="H23" s="1848"/>
      <c r="I23" s="1849"/>
      <c r="J23" s="1848"/>
      <c r="K23" s="1850"/>
      <c r="L23" s="1878"/>
      <c r="M23" s="1878"/>
      <c r="N23" s="1879"/>
      <c r="O23" s="1878"/>
      <c r="P23" s="1878"/>
      <c r="Q23" s="1879"/>
      <c r="R23" s="1878"/>
      <c r="S23" s="1878"/>
      <c r="T23" s="1879"/>
      <c r="U23" s="1878"/>
      <c r="V23" s="1878"/>
      <c r="W23" s="1879"/>
      <c r="X23" s="1881"/>
      <c r="Y23" s="1878"/>
      <c r="Z23" s="1879"/>
      <c r="AA23" s="1881"/>
      <c r="AB23" s="1878"/>
      <c r="AC23" s="1879"/>
      <c r="AD23" s="1881">
        <v>21</v>
      </c>
      <c r="AE23" s="1878">
        <v>2</v>
      </c>
      <c r="AF23" s="1879">
        <f>SUM(AD23:AE23)</f>
        <v>23</v>
      </c>
    </row>
    <row r="24" spans="1:32" x14ac:dyDescent="0.25">
      <c r="A24" s="5245"/>
      <c r="B24" s="4336" t="s">
        <v>12</v>
      </c>
      <c r="C24" s="4338"/>
      <c r="D24" s="4337"/>
      <c r="E24" s="4339"/>
      <c r="F24" s="4337"/>
      <c r="G24" s="4337"/>
      <c r="H24" s="4337"/>
      <c r="I24" s="4338"/>
      <c r="J24" s="4337"/>
      <c r="K24" s="4339"/>
      <c r="L24" s="4337"/>
      <c r="M24" s="4337"/>
      <c r="N24" s="4339"/>
      <c r="O24" s="4337"/>
      <c r="P24" s="4337"/>
      <c r="Q24" s="4339"/>
      <c r="R24" s="4337"/>
      <c r="S24" s="4337"/>
      <c r="T24" s="4339"/>
      <c r="U24" s="4337"/>
      <c r="V24" s="4337"/>
      <c r="W24" s="4339"/>
      <c r="X24" s="4338"/>
      <c r="Y24" s="4337"/>
      <c r="Z24" s="4339"/>
      <c r="AA24" s="4338"/>
      <c r="AB24" s="4337"/>
      <c r="AC24" s="4339"/>
      <c r="AD24" s="4338">
        <f>SUM(AD21:AD23)</f>
        <v>52</v>
      </c>
      <c r="AE24" s="4337">
        <f>SUM(AE21:AE23)</f>
        <v>23</v>
      </c>
      <c r="AF24" s="4339">
        <f>SUM(AF21:AF23)</f>
        <v>75</v>
      </c>
    </row>
    <row r="26" spans="1:32" x14ac:dyDescent="0.25">
      <c r="A26" s="5234" t="s">
        <v>10</v>
      </c>
      <c r="B26" s="1841" t="s">
        <v>6</v>
      </c>
      <c r="C26" s="1843">
        <v>421</v>
      </c>
      <c r="D26" s="1842">
        <v>340</v>
      </c>
      <c r="E26" s="1844">
        <f>SUM(C26:D26)</f>
        <v>761</v>
      </c>
      <c r="F26" s="1842">
        <v>466</v>
      </c>
      <c r="G26" s="1842">
        <v>330</v>
      </c>
      <c r="H26" s="1842">
        <f>SUM(F26:G26)</f>
        <v>796</v>
      </c>
      <c r="I26" s="1843">
        <v>587</v>
      </c>
      <c r="J26" s="1842">
        <v>406</v>
      </c>
      <c r="K26" s="1844">
        <f>SUM(I26:J26)</f>
        <v>993</v>
      </c>
      <c r="L26" s="1876">
        <v>565</v>
      </c>
      <c r="M26" s="1876">
        <v>362</v>
      </c>
      <c r="N26" s="1877">
        <f>SUM(L26:M26)</f>
        <v>927</v>
      </c>
      <c r="O26" s="1876">
        <v>497</v>
      </c>
      <c r="P26" s="1876">
        <v>388</v>
      </c>
      <c r="Q26" s="1877">
        <f>SUM(O26:P26)</f>
        <v>885</v>
      </c>
      <c r="R26" s="1876">
        <v>446</v>
      </c>
      <c r="S26" s="1876">
        <v>370</v>
      </c>
      <c r="T26" s="1877">
        <f>SUM(R26:S26)</f>
        <v>816</v>
      </c>
      <c r="U26" s="1876">
        <v>468</v>
      </c>
      <c r="V26" s="1876">
        <v>326</v>
      </c>
      <c r="W26" s="1877">
        <f>SUM(U26:V26)</f>
        <v>794</v>
      </c>
      <c r="X26" s="1880">
        <v>554</v>
      </c>
      <c r="Y26" s="1876">
        <v>356</v>
      </c>
      <c r="Z26" s="1877">
        <f>SUM(X26:Y26)</f>
        <v>910</v>
      </c>
      <c r="AA26" s="1880">
        <v>470</v>
      </c>
      <c r="AB26" s="1876">
        <v>338</v>
      </c>
      <c r="AC26" s="1877">
        <f>SUM(AA26:AB26)</f>
        <v>808</v>
      </c>
      <c r="AD26" s="1880">
        <v>477</v>
      </c>
      <c r="AE26" s="1876">
        <v>332</v>
      </c>
      <c r="AF26" s="1877">
        <f>SUM(AD26:AE26)</f>
        <v>809</v>
      </c>
    </row>
    <row r="27" spans="1:32" x14ac:dyDescent="0.25">
      <c r="A27" s="5235"/>
      <c r="B27" s="1847" t="s">
        <v>11</v>
      </c>
      <c r="C27" s="1849">
        <v>576</v>
      </c>
      <c r="D27" s="1848">
        <v>382</v>
      </c>
      <c r="E27" s="1850">
        <f>SUM(C27:D27)</f>
        <v>958</v>
      </c>
      <c r="F27" s="1848">
        <v>701</v>
      </c>
      <c r="G27" s="1848">
        <v>405</v>
      </c>
      <c r="H27" s="1848">
        <f>SUM(F27:G27)</f>
        <v>1106</v>
      </c>
      <c r="I27" s="1849">
        <v>785</v>
      </c>
      <c r="J27" s="1848">
        <v>441</v>
      </c>
      <c r="K27" s="1850">
        <f>SUM(I27:J27)</f>
        <v>1226</v>
      </c>
      <c r="L27" s="1878">
        <v>834</v>
      </c>
      <c r="M27" s="1878">
        <v>450</v>
      </c>
      <c r="N27" s="1879">
        <f>SUM(L27:M27)</f>
        <v>1284</v>
      </c>
      <c r="O27" s="1878">
        <v>728</v>
      </c>
      <c r="P27" s="1878">
        <v>462</v>
      </c>
      <c r="Q27" s="1879">
        <f>SUM(O27:P27)</f>
        <v>1190</v>
      </c>
      <c r="R27" s="1878">
        <v>721</v>
      </c>
      <c r="S27" s="1878">
        <v>439</v>
      </c>
      <c r="T27" s="1879">
        <f>SUM(R27:S27)</f>
        <v>1160</v>
      </c>
      <c r="U27" s="1878">
        <v>765</v>
      </c>
      <c r="V27" s="1878">
        <v>420</v>
      </c>
      <c r="W27" s="1879">
        <f>SUM(U27:V27)</f>
        <v>1185</v>
      </c>
      <c r="X27" s="1881">
        <v>699</v>
      </c>
      <c r="Y27" s="1878">
        <v>446</v>
      </c>
      <c r="Z27" s="1879">
        <f>SUM(X27:Y27)</f>
        <v>1145</v>
      </c>
      <c r="AA27" s="1881">
        <v>717</v>
      </c>
      <c r="AB27" s="1878">
        <v>410</v>
      </c>
      <c r="AC27" s="1879">
        <f>SUM(AA27:AB27)</f>
        <v>1127</v>
      </c>
      <c r="AD27" s="1881">
        <v>725</v>
      </c>
      <c r="AE27" s="1878">
        <v>418</v>
      </c>
      <c r="AF27" s="1879">
        <f>SUM(AD27:AE27)</f>
        <v>1143</v>
      </c>
    </row>
    <row r="28" spans="1:32" x14ac:dyDescent="0.25">
      <c r="A28" s="5235"/>
      <c r="B28" s="1847" t="s">
        <v>7</v>
      </c>
      <c r="C28" s="1849">
        <v>141</v>
      </c>
      <c r="D28" s="1848">
        <v>283</v>
      </c>
      <c r="E28" s="1850">
        <f>SUM(C28:D28)</f>
        <v>424</v>
      </c>
      <c r="F28" s="1848">
        <v>110</v>
      </c>
      <c r="G28" s="1848">
        <v>265</v>
      </c>
      <c r="H28" s="1848">
        <f>SUM(F28:G28)</f>
        <v>375</v>
      </c>
      <c r="I28" s="1849">
        <v>173</v>
      </c>
      <c r="J28" s="1848">
        <v>326</v>
      </c>
      <c r="K28" s="1850">
        <f>SUM(I28:J28)</f>
        <v>499</v>
      </c>
      <c r="L28" s="1878">
        <v>156</v>
      </c>
      <c r="M28" s="1878">
        <v>307</v>
      </c>
      <c r="N28" s="1879">
        <f>SUM(L28:M28)</f>
        <v>463</v>
      </c>
      <c r="O28" s="1878">
        <v>157</v>
      </c>
      <c r="P28" s="1878">
        <v>288</v>
      </c>
      <c r="Q28" s="1879">
        <f>SUM(O28:P28)</f>
        <v>445</v>
      </c>
      <c r="R28" s="1878">
        <v>132</v>
      </c>
      <c r="S28" s="1878">
        <v>245</v>
      </c>
      <c r="T28" s="1879">
        <f>SUM(R28:S28)</f>
        <v>377</v>
      </c>
      <c r="U28" s="1878">
        <v>139</v>
      </c>
      <c r="V28" s="1878">
        <v>233</v>
      </c>
      <c r="W28" s="1879">
        <f>SUM(U28:V28)</f>
        <v>372</v>
      </c>
      <c r="X28" s="1881">
        <v>170</v>
      </c>
      <c r="Y28" s="1878">
        <v>266</v>
      </c>
      <c r="Z28" s="1879">
        <f>SUM(X28:Y28)</f>
        <v>436</v>
      </c>
      <c r="AA28" s="1881">
        <v>168</v>
      </c>
      <c r="AB28" s="1878">
        <v>285</v>
      </c>
      <c r="AC28" s="1879">
        <f>SUM(AA28:AB28)</f>
        <v>453</v>
      </c>
      <c r="AD28" s="1881">
        <v>187</v>
      </c>
      <c r="AE28" s="1878">
        <v>221</v>
      </c>
      <c r="AF28" s="1879">
        <f>SUM(AD28:AE28)</f>
        <v>408</v>
      </c>
    </row>
    <row r="29" spans="1:32" x14ac:dyDescent="0.25">
      <c r="A29" s="5236"/>
      <c r="B29" s="2503" t="s">
        <v>12</v>
      </c>
      <c r="C29" s="2504">
        <f t="shared" ref="C29:Z29" si="7">SUM(C26:C28)</f>
        <v>1138</v>
      </c>
      <c r="D29" s="2505">
        <f t="shared" si="7"/>
        <v>1005</v>
      </c>
      <c r="E29" s="2506">
        <f t="shared" si="7"/>
        <v>2143</v>
      </c>
      <c r="F29" s="2505">
        <f t="shared" si="7"/>
        <v>1277</v>
      </c>
      <c r="G29" s="2505">
        <f t="shared" si="7"/>
        <v>1000</v>
      </c>
      <c r="H29" s="2505">
        <f t="shared" si="7"/>
        <v>2277</v>
      </c>
      <c r="I29" s="2504">
        <f t="shared" si="7"/>
        <v>1545</v>
      </c>
      <c r="J29" s="2505">
        <f t="shared" si="7"/>
        <v>1173</v>
      </c>
      <c r="K29" s="2506">
        <f t="shared" si="7"/>
        <v>2718</v>
      </c>
      <c r="L29" s="2505">
        <f t="shared" si="7"/>
        <v>1555</v>
      </c>
      <c r="M29" s="2505">
        <f t="shared" si="7"/>
        <v>1119</v>
      </c>
      <c r="N29" s="2506">
        <f t="shared" si="7"/>
        <v>2674</v>
      </c>
      <c r="O29" s="2505">
        <f t="shared" si="7"/>
        <v>1382</v>
      </c>
      <c r="P29" s="2505">
        <f t="shared" si="7"/>
        <v>1138</v>
      </c>
      <c r="Q29" s="2506">
        <f t="shared" si="7"/>
        <v>2520</v>
      </c>
      <c r="R29" s="2505">
        <f t="shared" si="7"/>
        <v>1299</v>
      </c>
      <c r="S29" s="2505">
        <f t="shared" si="7"/>
        <v>1054</v>
      </c>
      <c r="T29" s="2506">
        <f t="shared" si="7"/>
        <v>2353</v>
      </c>
      <c r="U29" s="2505">
        <f t="shared" si="7"/>
        <v>1372</v>
      </c>
      <c r="V29" s="2505">
        <f t="shared" si="7"/>
        <v>979</v>
      </c>
      <c r="W29" s="2506">
        <f t="shared" si="7"/>
        <v>2351</v>
      </c>
      <c r="X29" s="2504">
        <f t="shared" si="7"/>
        <v>1423</v>
      </c>
      <c r="Y29" s="2505">
        <f t="shared" si="7"/>
        <v>1068</v>
      </c>
      <c r="Z29" s="2506">
        <f t="shared" si="7"/>
        <v>2491</v>
      </c>
      <c r="AA29" s="2504">
        <f t="shared" ref="AA29:AF29" si="8">SUM(AA26:AA28)</f>
        <v>1355</v>
      </c>
      <c r="AB29" s="2505">
        <f t="shared" si="8"/>
        <v>1033</v>
      </c>
      <c r="AC29" s="2506">
        <f t="shared" si="8"/>
        <v>2388</v>
      </c>
      <c r="AD29" s="2504">
        <f t="shared" si="8"/>
        <v>1389</v>
      </c>
      <c r="AE29" s="2505">
        <f t="shared" si="8"/>
        <v>971</v>
      </c>
      <c r="AF29" s="2506">
        <f t="shared" si="8"/>
        <v>2360</v>
      </c>
    </row>
    <row r="30" spans="1:32" x14ac:dyDescent="0.25">
      <c r="A30" s="1882"/>
      <c r="B30" s="1882"/>
      <c r="C30" s="1883"/>
      <c r="D30" s="1883"/>
      <c r="E30" s="1883"/>
      <c r="F30" s="1883"/>
      <c r="G30" s="1883"/>
      <c r="H30" s="1883"/>
      <c r="I30" s="1883"/>
      <c r="J30" s="1883"/>
      <c r="K30" s="1883"/>
      <c r="L30" s="1884"/>
      <c r="M30" s="1884"/>
      <c r="N30" s="1884"/>
      <c r="O30" s="1884"/>
      <c r="P30" s="1884"/>
      <c r="Q30" s="1884"/>
      <c r="R30" s="1884"/>
      <c r="S30" s="1884"/>
      <c r="T30" s="1884"/>
      <c r="U30" s="1884"/>
      <c r="V30" s="1884"/>
      <c r="W30" s="1884"/>
      <c r="X30" s="1884"/>
      <c r="Y30" s="1884"/>
      <c r="Z30" s="1884"/>
      <c r="AA30" s="1884"/>
      <c r="AB30" s="1884"/>
      <c r="AC30" s="1884"/>
      <c r="AD30" s="1884"/>
      <c r="AE30" s="1884"/>
      <c r="AF30" s="1884"/>
    </row>
    <row r="31" spans="1:32" x14ac:dyDescent="0.25">
      <c r="A31" s="5237" t="s">
        <v>60</v>
      </c>
      <c r="B31" s="1841" t="s">
        <v>5</v>
      </c>
      <c r="C31" s="1843">
        <f t="shared" ref="C31:AC31" si="9">SUM(C6,C16)</f>
        <v>149</v>
      </c>
      <c r="D31" s="1842">
        <f t="shared" si="9"/>
        <v>503</v>
      </c>
      <c r="E31" s="1844">
        <f t="shared" si="9"/>
        <v>652</v>
      </c>
      <c r="F31" s="1842">
        <f t="shared" si="9"/>
        <v>129</v>
      </c>
      <c r="G31" s="1842">
        <f t="shared" si="9"/>
        <v>383</v>
      </c>
      <c r="H31" s="1842">
        <f t="shared" si="9"/>
        <v>512</v>
      </c>
      <c r="I31" s="1843">
        <f t="shared" si="9"/>
        <v>144</v>
      </c>
      <c r="J31" s="1842">
        <f t="shared" si="9"/>
        <v>381</v>
      </c>
      <c r="K31" s="1844">
        <f t="shared" si="9"/>
        <v>525</v>
      </c>
      <c r="L31" s="1843">
        <f t="shared" si="9"/>
        <v>138</v>
      </c>
      <c r="M31" s="1842">
        <f t="shared" si="9"/>
        <v>379</v>
      </c>
      <c r="N31" s="1844">
        <f t="shared" si="9"/>
        <v>517</v>
      </c>
      <c r="O31" s="1843">
        <f t="shared" si="9"/>
        <v>148</v>
      </c>
      <c r="P31" s="1842">
        <f t="shared" si="9"/>
        <v>459</v>
      </c>
      <c r="Q31" s="1844">
        <f t="shared" si="9"/>
        <v>607</v>
      </c>
      <c r="R31" s="1843">
        <f t="shared" si="9"/>
        <v>163</v>
      </c>
      <c r="S31" s="1842">
        <f t="shared" si="9"/>
        <v>420</v>
      </c>
      <c r="T31" s="1844">
        <f t="shared" si="9"/>
        <v>583</v>
      </c>
      <c r="U31" s="1843">
        <f t="shared" si="9"/>
        <v>156</v>
      </c>
      <c r="V31" s="1842">
        <f t="shared" si="9"/>
        <v>408</v>
      </c>
      <c r="W31" s="1844">
        <f t="shared" si="9"/>
        <v>564</v>
      </c>
      <c r="X31" s="1843">
        <f t="shared" si="9"/>
        <v>205</v>
      </c>
      <c r="Y31" s="1842">
        <f t="shared" si="9"/>
        <v>480</v>
      </c>
      <c r="Z31" s="1844">
        <f t="shared" si="9"/>
        <v>685</v>
      </c>
      <c r="AA31" s="1843">
        <f t="shared" si="9"/>
        <v>239</v>
      </c>
      <c r="AB31" s="1842">
        <f t="shared" si="9"/>
        <v>547</v>
      </c>
      <c r="AC31" s="1844">
        <f t="shared" si="9"/>
        <v>786</v>
      </c>
      <c r="AD31" s="1843">
        <f>SUM(AD6,AD16,AD21)</f>
        <v>235</v>
      </c>
      <c r="AE31" s="1842">
        <f>SUM(AE6,AE16,AE21)</f>
        <v>485</v>
      </c>
      <c r="AF31" s="1844">
        <f>SUM(AD31:AE31)</f>
        <v>720</v>
      </c>
    </row>
    <row r="32" spans="1:32" x14ac:dyDescent="0.25">
      <c r="A32" s="5238"/>
      <c r="B32" s="1847" t="s">
        <v>6</v>
      </c>
      <c r="C32" s="1849">
        <f t="shared" ref="C32:AC32" si="10">SUM(C7,C11,C17,C26)</f>
        <v>936</v>
      </c>
      <c r="D32" s="1848">
        <f t="shared" si="10"/>
        <v>804</v>
      </c>
      <c r="E32" s="1850">
        <f t="shared" si="10"/>
        <v>1740</v>
      </c>
      <c r="F32" s="1848">
        <f t="shared" si="10"/>
        <v>987</v>
      </c>
      <c r="G32" s="1848">
        <f t="shared" si="10"/>
        <v>766</v>
      </c>
      <c r="H32" s="1848">
        <f t="shared" si="10"/>
        <v>1753</v>
      </c>
      <c r="I32" s="1849">
        <f t="shared" si="10"/>
        <v>1097</v>
      </c>
      <c r="J32" s="1848">
        <f t="shared" si="10"/>
        <v>821</v>
      </c>
      <c r="K32" s="1850">
        <f t="shared" si="10"/>
        <v>1918</v>
      </c>
      <c r="L32" s="1849">
        <f t="shared" si="10"/>
        <v>1139</v>
      </c>
      <c r="M32" s="1848">
        <f t="shared" si="10"/>
        <v>817</v>
      </c>
      <c r="N32" s="1850">
        <f t="shared" si="10"/>
        <v>1956</v>
      </c>
      <c r="O32" s="1849">
        <f t="shared" si="10"/>
        <v>1092</v>
      </c>
      <c r="P32" s="1848">
        <f t="shared" si="10"/>
        <v>873</v>
      </c>
      <c r="Q32" s="1850">
        <f t="shared" si="10"/>
        <v>1965</v>
      </c>
      <c r="R32" s="1849">
        <f t="shared" si="10"/>
        <v>956</v>
      </c>
      <c r="S32" s="1848">
        <f t="shared" si="10"/>
        <v>832</v>
      </c>
      <c r="T32" s="1850">
        <f t="shared" si="10"/>
        <v>1788</v>
      </c>
      <c r="U32" s="1849">
        <f t="shared" si="10"/>
        <v>1096</v>
      </c>
      <c r="V32" s="1848">
        <f t="shared" si="10"/>
        <v>841</v>
      </c>
      <c r="W32" s="1850">
        <f t="shared" si="10"/>
        <v>1937</v>
      </c>
      <c r="X32" s="1849">
        <f t="shared" si="10"/>
        <v>1382</v>
      </c>
      <c r="Y32" s="1848">
        <f t="shared" si="10"/>
        <v>963</v>
      </c>
      <c r="Z32" s="1850">
        <f t="shared" si="10"/>
        <v>2345</v>
      </c>
      <c r="AA32" s="1849">
        <f t="shared" si="10"/>
        <v>1137</v>
      </c>
      <c r="AB32" s="1848">
        <f t="shared" si="10"/>
        <v>817</v>
      </c>
      <c r="AC32" s="1850">
        <f t="shared" si="10"/>
        <v>1954</v>
      </c>
      <c r="AD32" s="1849">
        <f>SUM(AD7,AD11,AD17,AD22,AD26)</f>
        <v>1227</v>
      </c>
      <c r="AE32" s="1848">
        <f>SUM(AE7,AE11,AE17,AE22,AE26)</f>
        <v>845</v>
      </c>
      <c r="AF32" s="1850">
        <f t="shared" ref="AF32:AF36" si="11">SUM(AD32:AE32)</f>
        <v>2072</v>
      </c>
    </row>
    <row r="33" spans="1:32" x14ac:dyDescent="0.25">
      <c r="A33" s="5238"/>
      <c r="B33" s="1847" t="s">
        <v>11</v>
      </c>
      <c r="C33" s="1849">
        <f t="shared" ref="C33:AC33" si="12">SUM(C18,C27)</f>
        <v>805</v>
      </c>
      <c r="D33" s="1848">
        <f t="shared" si="12"/>
        <v>523</v>
      </c>
      <c r="E33" s="1850">
        <f t="shared" si="12"/>
        <v>1328</v>
      </c>
      <c r="F33" s="1848">
        <f t="shared" si="12"/>
        <v>902</v>
      </c>
      <c r="G33" s="1848">
        <f t="shared" si="12"/>
        <v>515</v>
      </c>
      <c r="H33" s="1848">
        <f t="shared" si="12"/>
        <v>1417</v>
      </c>
      <c r="I33" s="1849">
        <f t="shared" si="12"/>
        <v>1010</v>
      </c>
      <c r="J33" s="1848">
        <f t="shared" si="12"/>
        <v>563</v>
      </c>
      <c r="K33" s="1850">
        <f t="shared" si="12"/>
        <v>1573</v>
      </c>
      <c r="L33" s="1849">
        <f t="shared" si="12"/>
        <v>986</v>
      </c>
      <c r="M33" s="1848">
        <f t="shared" si="12"/>
        <v>545</v>
      </c>
      <c r="N33" s="1850">
        <f t="shared" si="12"/>
        <v>1531</v>
      </c>
      <c r="O33" s="1849">
        <f t="shared" si="12"/>
        <v>912</v>
      </c>
      <c r="P33" s="1848">
        <f t="shared" si="12"/>
        <v>581</v>
      </c>
      <c r="Q33" s="1850">
        <f t="shared" si="12"/>
        <v>1493</v>
      </c>
      <c r="R33" s="1849">
        <f t="shared" si="12"/>
        <v>891</v>
      </c>
      <c r="S33" s="1848">
        <f t="shared" si="12"/>
        <v>524</v>
      </c>
      <c r="T33" s="1850">
        <f t="shared" si="12"/>
        <v>1415</v>
      </c>
      <c r="U33" s="1849">
        <f t="shared" si="12"/>
        <v>945</v>
      </c>
      <c r="V33" s="1848">
        <f t="shared" si="12"/>
        <v>537</v>
      </c>
      <c r="W33" s="1850">
        <f t="shared" si="12"/>
        <v>1482</v>
      </c>
      <c r="X33" s="1849">
        <f t="shared" si="12"/>
        <v>929</v>
      </c>
      <c r="Y33" s="1848">
        <f t="shared" si="12"/>
        <v>570</v>
      </c>
      <c r="Z33" s="1850">
        <f t="shared" si="12"/>
        <v>1499</v>
      </c>
      <c r="AA33" s="1849">
        <f t="shared" si="12"/>
        <v>935</v>
      </c>
      <c r="AB33" s="1848">
        <f t="shared" si="12"/>
        <v>537</v>
      </c>
      <c r="AC33" s="1850">
        <f t="shared" si="12"/>
        <v>1472</v>
      </c>
      <c r="AD33" s="1849">
        <f>SUM(AD18,AD23,AD27)</f>
        <v>989</v>
      </c>
      <c r="AE33" s="1848">
        <f>SUM(AE18,AE23,AE27)</f>
        <v>562</v>
      </c>
      <c r="AF33" s="1850">
        <f t="shared" si="11"/>
        <v>1551</v>
      </c>
    </row>
    <row r="34" spans="1:32" x14ac:dyDescent="0.25">
      <c r="A34" s="5238"/>
      <c r="B34" s="1847" t="s">
        <v>7</v>
      </c>
      <c r="C34" s="1849">
        <f t="shared" ref="C34:AE34" si="13">SUM(C8,C28)</f>
        <v>270</v>
      </c>
      <c r="D34" s="1848">
        <f t="shared" si="13"/>
        <v>508</v>
      </c>
      <c r="E34" s="1850">
        <f t="shared" si="13"/>
        <v>778</v>
      </c>
      <c r="F34" s="1848">
        <f t="shared" si="13"/>
        <v>269</v>
      </c>
      <c r="G34" s="1848">
        <f t="shared" si="13"/>
        <v>475</v>
      </c>
      <c r="H34" s="1848">
        <f t="shared" si="13"/>
        <v>744</v>
      </c>
      <c r="I34" s="1849">
        <f t="shared" si="13"/>
        <v>305</v>
      </c>
      <c r="J34" s="1848">
        <f t="shared" si="13"/>
        <v>536</v>
      </c>
      <c r="K34" s="1850">
        <f t="shared" si="13"/>
        <v>841</v>
      </c>
      <c r="L34" s="1849">
        <f t="shared" si="13"/>
        <v>286</v>
      </c>
      <c r="M34" s="1848">
        <f t="shared" si="13"/>
        <v>541</v>
      </c>
      <c r="N34" s="1850">
        <f t="shared" si="13"/>
        <v>827</v>
      </c>
      <c r="O34" s="1849">
        <f t="shared" si="13"/>
        <v>301</v>
      </c>
      <c r="P34" s="1848">
        <f t="shared" si="13"/>
        <v>465</v>
      </c>
      <c r="Q34" s="1850">
        <f t="shared" si="13"/>
        <v>766</v>
      </c>
      <c r="R34" s="1849">
        <f t="shared" si="13"/>
        <v>232</v>
      </c>
      <c r="S34" s="1848">
        <f t="shared" si="13"/>
        <v>387</v>
      </c>
      <c r="T34" s="1850">
        <f t="shared" si="13"/>
        <v>619</v>
      </c>
      <c r="U34" s="1849">
        <f t="shared" si="13"/>
        <v>234</v>
      </c>
      <c r="V34" s="1848">
        <f t="shared" si="13"/>
        <v>391</v>
      </c>
      <c r="W34" s="1850">
        <f t="shared" si="13"/>
        <v>625</v>
      </c>
      <c r="X34" s="1849">
        <f t="shared" si="13"/>
        <v>324</v>
      </c>
      <c r="Y34" s="1848">
        <f t="shared" si="13"/>
        <v>445</v>
      </c>
      <c r="Z34" s="1850">
        <f t="shared" si="13"/>
        <v>769</v>
      </c>
      <c r="AA34" s="1849">
        <f t="shared" si="13"/>
        <v>349</v>
      </c>
      <c r="AB34" s="1848">
        <f t="shared" si="13"/>
        <v>449</v>
      </c>
      <c r="AC34" s="1850">
        <f t="shared" si="13"/>
        <v>798</v>
      </c>
      <c r="AD34" s="1849">
        <f t="shared" si="13"/>
        <v>352</v>
      </c>
      <c r="AE34" s="1848">
        <f t="shared" si="13"/>
        <v>399</v>
      </c>
      <c r="AF34" s="1850">
        <f t="shared" si="11"/>
        <v>751</v>
      </c>
    </row>
    <row r="35" spans="1:32" x14ac:dyDescent="0.25">
      <c r="A35" s="5238"/>
      <c r="B35" s="1847" t="s">
        <v>9</v>
      </c>
      <c r="C35" s="1849">
        <f t="shared" ref="C35:AE35" si="14">SUM(C12)</f>
        <v>0</v>
      </c>
      <c r="D35" s="1848">
        <f t="shared" si="14"/>
        <v>0</v>
      </c>
      <c r="E35" s="1850">
        <f t="shared" si="14"/>
        <v>0</v>
      </c>
      <c r="F35" s="1848">
        <f t="shared" si="14"/>
        <v>0</v>
      </c>
      <c r="G35" s="1848">
        <f t="shared" si="14"/>
        <v>0</v>
      </c>
      <c r="H35" s="1848">
        <f t="shared" si="14"/>
        <v>0</v>
      </c>
      <c r="I35" s="1849">
        <f t="shared" si="14"/>
        <v>0</v>
      </c>
      <c r="J35" s="1848">
        <f t="shared" si="14"/>
        <v>0</v>
      </c>
      <c r="K35" s="1850">
        <f t="shared" si="14"/>
        <v>0</v>
      </c>
      <c r="L35" s="1849">
        <f t="shared" si="14"/>
        <v>5</v>
      </c>
      <c r="M35" s="1848">
        <f t="shared" si="14"/>
        <v>4</v>
      </c>
      <c r="N35" s="1850">
        <f t="shared" si="14"/>
        <v>9</v>
      </c>
      <c r="O35" s="1849">
        <f t="shared" si="14"/>
        <v>8</v>
      </c>
      <c r="P35" s="1848">
        <f t="shared" si="14"/>
        <v>7</v>
      </c>
      <c r="Q35" s="1850">
        <f t="shared" si="14"/>
        <v>15</v>
      </c>
      <c r="R35" s="1849">
        <f t="shared" si="14"/>
        <v>21</v>
      </c>
      <c r="S35" s="1848">
        <f t="shared" si="14"/>
        <v>11</v>
      </c>
      <c r="T35" s="1850">
        <f t="shared" si="14"/>
        <v>32</v>
      </c>
      <c r="U35" s="1849">
        <f t="shared" si="14"/>
        <v>23</v>
      </c>
      <c r="V35" s="1848">
        <f t="shared" si="14"/>
        <v>25</v>
      </c>
      <c r="W35" s="1850">
        <f t="shared" si="14"/>
        <v>48</v>
      </c>
      <c r="X35" s="1849">
        <f t="shared" si="14"/>
        <v>15</v>
      </c>
      <c r="Y35" s="1848">
        <f t="shared" si="14"/>
        <v>6</v>
      </c>
      <c r="Z35" s="1850">
        <f t="shared" si="14"/>
        <v>21</v>
      </c>
      <c r="AA35" s="1849">
        <f t="shared" si="14"/>
        <v>16</v>
      </c>
      <c r="AB35" s="1848">
        <f t="shared" si="14"/>
        <v>15</v>
      </c>
      <c r="AC35" s="1850">
        <f t="shared" si="14"/>
        <v>31</v>
      </c>
      <c r="AD35" s="1849">
        <f t="shared" si="14"/>
        <v>18</v>
      </c>
      <c r="AE35" s="1848">
        <f t="shared" si="14"/>
        <v>11</v>
      </c>
      <c r="AF35" s="1850">
        <f t="shared" si="11"/>
        <v>29</v>
      </c>
    </row>
    <row r="36" spans="1:32" x14ac:dyDescent="0.25">
      <c r="A36" s="5238"/>
      <c r="B36" s="1885" t="s">
        <v>74</v>
      </c>
      <c r="C36" s="1886">
        <f t="shared" ref="C36:AE36" si="15">SUM(C13)</f>
        <v>0</v>
      </c>
      <c r="D36" s="1887">
        <f t="shared" si="15"/>
        <v>0</v>
      </c>
      <c r="E36" s="1888">
        <f t="shared" si="15"/>
        <v>0</v>
      </c>
      <c r="F36" s="1887">
        <f t="shared" si="15"/>
        <v>0</v>
      </c>
      <c r="G36" s="1887">
        <f t="shared" si="15"/>
        <v>0</v>
      </c>
      <c r="H36" s="1887">
        <f t="shared" si="15"/>
        <v>0</v>
      </c>
      <c r="I36" s="1886">
        <f t="shared" si="15"/>
        <v>0</v>
      </c>
      <c r="J36" s="1887">
        <f t="shared" si="15"/>
        <v>0</v>
      </c>
      <c r="K36" s="1888">
        <f t="shared" si="15"/>
        <v>0</v>
      </c>
      <c r="L36" s="1886">
        <f t="shared" si="15"/>
        <v>3</v>
      </c>
      <c r="M36" s="1887">
        <f t="shared" si="15"/>
        <v>8</v>
      </c>
      <c r="N36" s="1888">
        <f t="shared" si="15"/>
        <v>11</v>
      </c>
      <c r="O36" s="1886">
        <f t="shared" si="15"/>
        <v>1</v>
      </c>
      <c r="P36" s="1887">
        <f t="shared" si="15"/>
        <v>9</v>
      </c>
      <c r="Q36" s="1888">
        <f t="shared" si="15"/>
        <v>10</v>
      </c>
      <c r="R36" s="1886">
        <f t="shared" si="15"/>
        <v>2</v>
      </c>
      <c r="S36" s="1887">
        <f t="shared" si="15"/>
        <v>9</v>
      </c>
      <c r="T36" s="1888">
        <f t="shared" si="15"/>
        <v>11</v>
      </c>
      <c r="U36" s="1886">
        <f t="shared" si="15"/>
        <v>8</v>
      </c>
      <c r="V36" s="1887">
        <f t="shared" si="15"/>
        <v>10</v>
      </c>
      <c r="W36" s="1888">
        <f t="shared" si="15"/>
        <v>18</v>
      </c>
      <c r="X36" s="1886">
        <f t="shared" si="15"/>
        <v>4</v>
      </c>
      <c r="Y36" s="1887">
        <f t="shared" si="15"/>
        <v>11</v>
      </c>
      <c r="Z36" s="1888">
        <f t="shared" si="15"/>
        <v>15</v>
      </c>
      <c r="AA36" s="1886">
        <f t="shared" si="15"/>
        <v>9</v>
      </c>
      <c r="AB36" s="1887">
        <f t="shared" si="15"/>
        <v>13</v>
      </c>
      <c r="AC36" s="1888">
        <f t="shared" si="15"/>
        <v>22</v>
      </c>
      <c r="AD36" s="1886">
        <f t="shared" si="15"/>
        <v>11</v>
      </c>
      <c r="AE36" s="1887">
        <f t="shared" si="15"/>
        <v>13</v>
      </c>
      <c r="AF36" s="1888">
        <f t="shared" si="11"/>
        <v>24</v>
      </c>
    </row>
    <row r="37" spans="1:32" x14ac:dyDescent="0.25">
      <c r="A37" s="5239"/>
      <c r="B37" s="1889" t="s">
        <v>12</v>
      </c>
      <c r="C37" s="1855">
        <f t="shared" ref="C37:N37" si="16">SUM(C31:C36)</f>
        <v>2160</v>
      </c>
      <c r="D37" s="1854">
        <f t="shared" si="16"/>
        <v>2338</v>
      </c>
      <c r="E37" s="1856">
        <f t="shared" si="16"/>
        <v>4498</v>
      </c>
      <c r="F37" s="1854">
        <f t="shared" si="16"/>
        <v>2287</v>
      </c>
      <c r="G37" s="1854">
        <f t="shared" si="16"/>
        <v>2139</v>
      </c>
      <c r="H37" s="1854">
        <f t="shared" si="16"/>
        <v>4426</v>
      </c>
      <c r="I37" s="1855">
        <f t="shared" si="16"/>
        <v>2556</v>
      </c>
      <c r="J37" s="1854">
        <f t="shared" si="16"/>
        <v>2301</v>
      </c>
      <c r="K37" s="1856">
        <f t="shared" si="16"/>
        <v>4857</v>
      </c>
      <c r="L37" s="1854">
        <f t="shared" si="16"/>
        <v>2557</v>
      </c>
      <c r="M37" s="1854">
        <f t="shared" si="16"/>
        <v>2294</v>
      </c>
      <c r="N37" s="1856">
        <f t="shared" si="16"/>
        <v>4851</v>
      </c>
      <c r="O37" s="1854">
        <f t="shared" ref="O37:Z37" si="17">SUM(O31:O36)</f>
        <v>2462</v>
      </c>
      <c r="P37" s="1854">
        <f t="shared" si="17"/>
        <v>2394</v>
      </c>
      <c r="Q37" s="1856">
        <f t="shared" si="17"/>
        <v>4856</v>
      </c>
      <c r="R37" s="1854">
        <f t="shared" si="17"/>
        <v>2265</v>
      </c>
      <c r="S37" s="1854">
        <f t="shared" si="17"/>
        <v>2183</v>
      </c>
      <c r="T37" s="1856">
        <f t="shared" si="17"/>
        <v>4448</v>
      </c>
      <c r="U37" s="1854">
        <f t="shared" si="17"/>
        <v>2462</v>
      </c>
      <c r="V37" s="1854">
        <f t="shared" si="17"/>
        <v>2212</v>
      </c>
      <c r="W37" s="1856">
        <f t="shared" si="17"/>
        <v>4674</v>
      </c>
      <c r="X37" s="1854">
        <f t="shared" si="17"/>
        <v>2859</v>
      </c>
      <c r="Y37" s="1854">
        <f t="shared" si="17"/>
        <v>2475</v>
      </c>
      <c r="Z37" s="1856">
        <f t="shared" si="17"/>
        <v>5334</v>
      </c>
      <c r="AA37" s="1854">
        <f t="shared" ref="AA37:AF37" si="18">SUM(AA31:AA36)</f>
        <v>2685</v>
      </c>
      <c r="AB37" s="1854">
        <f t="shared" si="18"/>
        <v>2378</v>
      </c>
      <c r="AC37" s="1856">
        <f t="shared" si="18"/>
        <v>5063</v>
      </c>
      <c r="AD37" s="1854">
        <f t="shared" si="18"/>
        <v>2832</v>
      </c>
      <c r="AE37" s="1854">
        <f t="shared" si="18"/>
        <v>2315</v>
      </c>
      <c r="AF37" s="1856">
        <f t="shared" si="18"/>
        <v>5147</v>
      </c>
    </row>
    <row r="50" spans="19:19" x14ac:dyDescent="0.25">
      <c r="S50" s="4771">
        <v>2006</v>
      </c>
    </row>
    <row r="51" spans="19:19" x14ac:dyDescent="0.25">
      <c r="S51" s="4771">
        <v>2007</v>
      </c>
    </row>
    <row r="52" spans="19:19" x14ac:dyDescent="0.25">
      <c r="S52" s="4771">
        <v>2008</v>
      </c>
    </row>
    <row r="53" spans="19:19" x14ac:dyDescent="0.25">
      <c r="S53" s="4771">
        <v>2009</v>
      </c>
    </row>
    <row r="54" spans="19:19" x14ac:dyDescent="0.25">
      <c r="S54" s="4771">
        <v>2010</v>
      </c>
    </row>
    <row r="55" spans="19:19" x14ac:dyDescent="0.25">
      <c r="S55" s="4771">
        <v>2011</v>
      </c>
    </row>
    <row r="56" spans="19:19" x14ac:dyDescent="0.25">
      <c r="S56" s="4771">
        <v>2012</v>
      </c>
    </row>
    <row r="57" spans="19:19" x14ac:dyDescent="0.25">
      <c r="S57" s="4771">
        <v>2013</v>
      </c>
    </row>
    <row r="58" spans="19:19" x14ac:dyDescent="0.25">
      <c r="S58" s="4771">
        <v>2014</v>
      </c>
    </row>
    <row r="59" spans="19:19" x14ac:dyDescent="0.25">
      <c r="S59" s="4771">
        <v>2015</v>
      </c>
    </row>
  </sheetData>
  <mergeCells count="19">
    <mergeCell ref="AD3:AF3"/>
    <mergeCell ref="A21:A24"/>
    <mergeCell ref="R3:T3"/>
    <mergeCell ref="AA3:AC3"/>
    <mergeCell ref="U3:W3"/>
    <mergeCell ref="X3:Z3"/>
    <mergeCell ref="A6:A9"/>
    <mergeCell ref="A3:A4"/>
    <mergeCell ref="B3:B4"/>
    <mergeCell ref="C3:E3"/>
    <mergeCell ref="F3:H3"/>
    <mergeCell ref="I3:K3"/>
    <mergeCell ref="L3:N3"/>
    <mergeCell ref="A1:B1"/>
    <mergeCell ref="A16:A19"/>
    <mergeCell ref="A26:A29"/>
    <mergeCell ref="A31:A37"/>
    <mergeCell ref="O3:Q3"/>
    <mergeCell ref="A11:A1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70" pageOrder="overThenDown" orientation="landscape" r:id="rId1"/>
  <rowBreaks count="1" manualBreakCount="1">
    <brk id="38" max="16383" man="1"/>
  </rowBreaks>
  <colBreaks count="1" manualBreakCount="1">
    <brk id="17" max="1048575" man="1"/>
  </colBreaks>
  <ignoredErrors>
    <ignoredError sqref="AF6:AF8" formulaRange="1"/>
  </ignoredError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Q107"/>
  <sheetViews>
    <sheetView showGridLines="0" zoomScaleNormal="100" zoomScaleSheetLayoutView="80" workbookViewId="0">
      <pane xSplit="3" ySplit="3" topLeftCell="D79" activePane="bottomRight" state="frozen"/>
      <selection pane="topRight" activeCell="D1" sqref="D1"/>
      <selection pane="bottomLeft" activeCell="A6" sqref="A6"/>
      <selection pane="bottomRight" activeCell="O102" sqref="O102"/>
    </sheetView>
  </sheetViews>
  <sheetFormatPr baseColWidth="10" defaultRowHeight="12.75" x14ac:dyDescent="0.2"/>
  <cols>
    <col min="1" max="1" width="17.7109375" style="177" bestFit="1" customWidth="1"/>
    <col min="2" max="2" width="12.5703125" style="177" customWidth="1"/>
    <col min="3" max="3" width="35.42578125" style="177" bestFit="1" customWidth="1"/>
    <col min="4" max="7" width="11.42578125" style="177" customWidth="1"/>
    <col min="8" max="9" width="9.7109375" style="177" hidden="1" customWidth="1"/>
    <col min="10" max="10" width="9.7109375" style="177" customWidth="1"/>
    <col min="11" max="12" width="9.7109375" style="177" hidden="1" customWidth="1"/>
    <col min="13" max="15" width="9.7109375" style="177" customWidth="1"/>
    <col min="16" max="16384" width="11.42578125" style="177"/>
  </cols>
  <sheetData>
    <row r="1" spans="1:15" s="178" customFormat="1" ht="33.75" customHeight="1" x14ac:dyDescent="0.25">
      <c r="A1" s="5257" t="s">
        <v>340</v>
      </c>
      <c r="B1" s="5257"/>
      <c r="C1" s="5257"/>
      <c r="D1" s="696"/>
      <c r="E1" s="696"/>
      <c r="F1" s="696"/>
    </row>
    <row r="2" spans="1:15" ht="15.75" x14ac:dyDescent="0.2">
      <c r="A2" s="179"/>
      <c r="B2" s="180"/>
      <c r="H2" s="1759" t="s">
        <v>523</v>
      </c>
      <c r="I2" s="1759" t="s">
        <v>524</v>
      </c>
      <c r="J2" s="1759"/>
      <c r="K2" s="1759"/>
      <c r="L2" s="1759"/>
      <c r="M2" s="1759"/>
    </row>
    <row r="3" spans="1:15" s="181" customFormat="1" ht="20.100000000000001" customHeight="1" x14ac:dyDescent="0.25">
      <c r="A3" s="780" t="s">
        <v>16</v>
      </c>
      <c r="B3" s="780" t="s">
        <v>4</v>
      </c>
      <c r="C3" s="780" t="s">
        <v>167</v>
      </c>
      <c r="D3" s="1756">
        <v>2008</v>
      </c>
      <c r="E3" s="1756">
        <v>2009</v>
      </c>
      <c r="F3" s="1756">
        <v>2010</v>
      </c>
      <c r="G3" s="1756">
        <v>2011</v>
      </c>
      <c r="H3" s="1756">
        <v>2012</v>
      </c>
      <c r="I3" s="1756">
        <v>2012</v>
      </c>
      <c r="J3" s="1756">
        <v>2012</v>
      </c>
      <c r="K3" s="1756">
        <v>2013</v>
      </c>
      <c r="L3" s="1756">
        <v>2013</v>
      </c>
      <c r="M3" s="1756">
        <v>2013</v>
      </c>
      <c r="N3" s="1756">
        <v>2014</v>
      </c>
      <c r="O3" s="1756">
        <v>2015</v>
      </c>
    </row>
    <row r="4" spans="1:15" s="41" customFormat="1" ht="15" customHeight="1" x14ac:dyDescent="0.2">
      <c r="A4" s="5260" t="s">
        <v>3</v>
      </c>
      <c r="B4" s="5046" t="s">
        <v>5</v>
      </c>
      <c r="C4" s="2511" t="s">
        <v>452</v>
      </c>
      <c r="D4" s="2512">
        <v>530</v>
      </c>
      <c r="E4" s="2513">
        <v>561</v>
      </c>
      <c r="F4" s="2513">
        <v>589</v>
      </c>
      <c r="G4" s="2513">
        <v>633</v>
      </c>
      <c r="H4" s="2514">
        <v>642</v>
      </c>
      <c r="I4" s="2515">
        <v>652</v>
      </c>
      <c r="J4" s="2516">
        <v>674</v>
      </c>
      <c r="K4" s="2514">
        <v>689</v>
      </c>
      <c r="L4" s="2515">
        <v>710</v>
      </c>
      <c r="M4" s="2516">
        <v>731</v>
      </c>
      <c r="N4" s="2516">
        <v>789</v>
      </c>
      <c r="O4" s="2516">
        <v>853</v>
      </c>
    </row>
    <row r="5" spans="1:15" s="41" customFormat="1" ht="15" customHeight="1" x14ac:dyDescent="0.2">
      <c r="A5" s="5261"/>
      <c r="B5" s="5047"/>
      <c r="C5" s="2517" t="s">
        <v>453</v>
      </c>
      <c r="D5" s="2518">
        <v>1239</v>
      </c>
      <c r="E5" s="2519">
        <v>1274</v>
      </c>
      <c r="F5" s="2519">
        <v>1308</v>
      </c>
      <c r="G5" s="2519">
        <v>1345</v>
      </c>
      <c r="H5" s="2520">
        <v>1353</v>
      </c>
      <c r="I5" s="2521">
        <v>1357</v>
      </c>
      <c r="J5" s="2522">
        <v>1366</v>
      </c>
      <c r="K5" s="2520">
        <v>1381</v>
      </c>
      <c r="L5" s="2521">
        <v>1408</v>
      </c>
      <c r="M5" s="2522">
        <v>1426</v>
      </c>
      <c r="N5" s="2522">
        <v>1467</v>
      </c>
      <c r="O5" s="2522">
        <v>1535</v>
      </c>
    </row>
    <row r="6" spans="1:15" s="41" customFormat="1" ht="15" customHeight="1" x14ac:dyDescent="0.2">
      <c r="A6" s="5261"/>
      <c r="B6" s="5047"/>
      <c r="C6" s="2517" t="s">
        <v>454</v>
      </c>
      <c r="D6" s="2518">
        <v>675</v>
      </c>
      <c r="E6" s="2519">
        <v>693</v>
      </c>
      <c r="F6" s="2519">
        <v>703</v>
      </c>
      <c r="G6" s="2519">
        <v>719</v>
      </c>
      <c r="H6" s="2520">
        <v>720</v>
      </c>
      <c r="I6" s="2521">
        <v>728</v>
      </c>
      <c r="J6" s="2522">
        <v>729</v>
      </c>
      <c r="K6" s="2520">
        <v>735</v>
      </c>
      <c r="L6" s="2521">
        <v>741</v>
      </c>
      <c r="M6" s="2522">
        <v>746</v>
      </c>
      <c r="N6" s="2522">
        <v>767</v>
      </c>
      <c r="O6" s="2522">
        <v>789</v>
      </c>
    </row>
    <row r="7" spans="1:15" s="41" customFormat="1" ht="15" customHeight="1" x14ac:dyDescent="0.2">
      <c r="A7" s="5261"/>
      <c r="B7" s="5047"/>
      <c r="C7" s="2517" t="s">
        <v>455</v>
      </c>
      <c r="D7" s="2518">
        <v>359</v>
      </c>
      <c r="E7" s="2519">
        <v>382</v>
      </c>
      <c r="F7" s="2519">
        <v>402</v>
      </c>
      <c r="G7" s="2519">
        <v>415</v>
      </c>
      <c r="H7" s="2520">
        <v>419</v>
      </c>
      <c r="I7" s="2521">
        <v>427</v>
      </c>
      <c r="J7" s="2522">
        <v>432</v>
      </c>
      <c r="K7" s="2520">
        <v>435</v>
      </c>
      <c r="L7" s="2521">
        <v>442</v>
      </c>
      <c r="M7" s="2522">
        <v>452</v>
      </c>
      <c r="N7" s="2522">
        <v>486</v>
      </c>
      <c r="O7" s="2522">
        <v>506</v>
      </c>
    </row>
    <row r="8" spans="1:15" s="41" customFormat="1" ht="15" customHeight="1" x14ac:dyDescent="0.2">
      <c r="A8" s="5261"/>
      <c r="B8" s="5047"/>
      <c r="C8" s="2517" t="s">
        <v>456</v>
      </c>
      <c r="D8" s="2518">
        <v>1922</v>
      </c>
      <c r="E8" s="2519">
        <v>2010</v>
      </c>
      <c r="F8" s="2519">
        <v>2102</v>
      </c>
      <c r="G8" s="2519">
        <v>2173</v>
      </c>
      <c r="H8" s="2520">
        <v>2197</v>
      </c>
      <c r="I8" s="2521">
        <v>2216</v>
      </c>
      <c r="J8" s="2522">
        <v>2243</v>
      </c>
      <c r="K8" s="2520">
        <v>2271</v>
      </c>
      <c r="L8" s="2521">
        <v>2326</v>
      </c>
      <c r="M8" s="2522">
        <v>2365</v>
      </c>
      <c r="N8" s="2522">
        <v>2463</v>
      </c>
      <c r="O8" s="2522">
        <v>2548</v>
      </c>
    </row>
    <row r="9" spans="1:15" s="41" customFormat="1" ht="15" customHeight="1" x14ac:dyDescent="0.2">
      <c r="A9" s="5261"/>
      <c r="B9" s="5047"/>
      <c r="C9" s="2517" t="s">
        <v>457</v>
      </c>
      <c r="D9" s="2518">
        <v>1269</v>
      </c>
      <c r="E9" s="2519">
        <v>1313</v>
      </c>
      <c r="F9" s="2519">
        <v>1343</v>
      </c>
      <c r="G9" s="2519">
        <v>1386</v>
      </c>
      <c r="H9" s="2520">
        <v>1401</v>
      </c>
      <c r="I9" s="2521">
        <v>1414</v>
      </c>
      <c r="J9" s="2522">
        <v>1428</v>
      </c>
      <c r="K9" s="2520">
        <v>1441</v>
      </c>
      <c r="L9" s="2521">
        <v>1467</v>
      </c>
      <c r="M9" s="2522">
        <v>1486</v>
      </c>
      <c r="N9" s="2522">
        <v>1524</v>
      </c>
      <c r="O9" s="2522">
        <v>1567</v>
      </c>
    </row>
    <row r="10" spans="1:15" s="41" customFormat="1" ht="15" customHeight="1" x14ac:dyDescent="0.2">
      <c r="A10" s="5261"/>
      <c r="B10" s="5047"/>
      <c r="C10" s="2517" t="s">
        <v>458</v>
      </c>
      <c r="D10" s="2518">
        <v>381</v>
      </c>
      <c r="E10" s="2519">
        <v>387</v>
      </c>
      <c r="F10" s="2519">
        <v>392</v>
      </c>
      <c r="G10" s="2519">
        <v>397</v>
      </c>
      <c r="H10" s="2520">
        <v>399</v>
      </c>
      <c r="I10" s="2521">
        <v>400</v>
      </c>
      <c r="J10" s="2522">
        <v>401</v>
      </c>
      <c r="K10" s="2520">
        <v>402</v>
      </c>
      <c r="L10" s="2521">
        <v>405</v>
      </c>
      <c r="M10" s="2522">
        <v>411</v>
      </c>
      <c r="N10" s="2522">
        <v>430</v>
      </c>
      <c r="O10" s="2522">
        <v>448</v>
      </c>
    </row>
    <row r="11" spans="1:15" s="41" customFormat="1" ht="15" customHeight="1" x14ac:dyDescent="0.2">
      <c r="A11" s="5261"/>
      <c r="B11" s="5047"/>
      <c r="C11" s="2517" t="s">
        <v>459</v>
      </c>
      <c r="D11" s="2518">
        <v>1322</v>
      </c>
      <c r="E11" s="2519">
        <v>1355</v>
      </c>
      <c r="F11" s="2519">
        <v>1407</v>
      </c>
      <c r="G11" s="2519">
        <v>1454</v>
      </c>
      <c r="H11" s="2520">
        <v>1466</v>
      </c>
      <c r="I11" s="2521">
        <v>1486</v>
      </c>
      <c r="J11" s="2522">
        <v>1491</v>
      </c>
      <c r="K11" s="2520">
        <v>1507</v>
      </c>
      <c r="L11" s="2521">
        <v>1525</v>
      </c>
      <c r="M11" s="2522">
        <v>1546</v>
      </c>
      <c r="N11" s="2522">
        <v>1631</v>
      </c>
      <c r="O11" s="2522">
        <v>1701</v>
      </c>
    </row>
    <row r="12" spans="1:15" s="41" customFormat="1" ht="15" customHeight="1" x14ac:dyDescent="0.2">
      <c r="A12" s="5261"/>
      <c r="B12" s="5047"/>
      <c r="C12" s="2517" t="s">
        <v>460</v>
      </c>
      <c r="D12" s="2518">
        <v>2226</v>
      </c>
      <c r="E12" s="2519">
        <v>2301</v>
      </c>
      <c r="F12" s="2519">
        <v>2374</v>
      </c>
      <c r="G12" s="2519">
        <v>2449</v>
      </c>
      <c r="H12" s="2520">
        <v>2473</v>
      </c>
      <c r="I12" s="2521">
        <v>2505</v>
      </c>
      <c r="J12" s="2522">
        <v>2522</v>
      </c>
      <c r="K12" s="2520">
        <v>2544</v>
      </c>
      <c r="L12" s="2521">
        <v>2583</v>
      </c>
      <c r="M12" s="2522">
        <v>2599</v>
      </c>
      <c r="N12" s="2522">
        <v>2658</v>
      </c>
      <c r="O12" s="2522">
        <v>2699</v>
      </c>
    </row>
    <row r="13" spans="1:15" s="41" customFormat="1" ht="15" customHeight="1" x14ac:dyDescent="0.2">
      <c r="A13" s="5261"/>
      <c r="B13" s="5047"/>
      <c r="C13" s="2517" t="s">
        <v>461</v>
      </c>
      <c r="D13" s="2518">
        <v>19</v>
      </c>
      <c r="E13" s="2519">
        <v>42</v>
      </c>
      <c r="F13" s="2519">
        <v>101</v>
      </c>
      <c r="G13" s="2519">
        <v>165</v>
      </c>
      <c r="H13" s="2520">
        <v>180</v>
      </c>
      <c r="I13" s="2521">
        <v>199</v>
      </c>
      <c r="J13" s="2522">
        <v>220</v>
      </c>
      <c r="K13" s="2520">
        <v>241</v>
      </c>
      <c r="L13" s="2521">
        <v>270</v>
      </c>
      <c r="M13" s="2522">
        <v>295</v>
      </c>
      <c r="N13" s="2522">
        <v>417</v>
      </c>
      <c r="O13" s="2522">
        <v>498</v>
      </c>
    </row>
    <row r="14" spans="1:15" s="41" customFormat="1" ht="15" customHeight="1" x14ac:dyDescent="0.2">
      <c r="A14" s="5261"/>
      <c r="B14" s="5048"/>
      <c r="C14" s="2523" t="s">
        <v>160</v>
      </c>
      <c r="D14" s="2524">
        <f t="shared" ref="D14:M14" si="0">SUM(D4:D13)</f>
        <v>9942</v>
      </c>
      <c r="E14" s="2524">
        <f t="shared" si="0"/>
        <v>10318</v>
      </c>
      <c r="F14" s="2524">
        <f t="shared" si="0"/>
        <v>10721</v>
      </c>
      <c r="G14" s="2525">
        <f t="shared" si="0"/>
        <v>11136</v>
      </c>
      <c r="H14" s="2525">
        <f t="shared" si="0"/>
        <v>11250</v>
      </c>
      <c r="I14" s="2525">
        <f t="shared" si="0"/>
        <v>11384</v>
      </c>
      <c r="J14" s="2525">
        <f>SUM(J4:J13)</f>
        <v>11506</v>
      </c>
      <c r="K14" s="2525">
        <f t="shared" si="0"/>
        <v>11646</v>
      </c>
      <c r="L14" s="2525">
        <f t="shared" si="0"/>
        <v>11877</v>
      </c>
      <c r="M14" s="2525">
        <f t="shared" si="0"/>
        <v>12057</v>
      </c>
      <c r="N14" s="2525">
        <f>SUM(N4:N13)</f>
        <v>12632</v>
      </c>
      <c r="O14" s="2525">
        <f>SUM(O4:O13)</f>
        <v>13144</v>
      </c>
    </row>
    <row r="15" spans="1:15" s="41" customFormat="1" ht="15" customHeight="1" x14ac:dyDescent="0.2">
      <c r="A15" s="5261"/>
      <c r="B15" s="5046" t="s">
        <v>6</v>
      </c>
      <c r="C15" s="2517" t="s">
        <v>462</v>
      </c>
      <c r="D15" s="2518">
        <v>5139</v>
      </c>
      <c r="E15" s="2519">
        <v>5296</v>
      </c>
      <c r="F15" s="2519">
        <v>5433</v>
      </c>
      <c r="G15" s="2519">
        <v>5574</v>
      </c>
      <c r="H15" s="2520">
        <v>5642</v>
      </c>
      <c r="I15" s="2521">
        <v>5707</v>
      </c>
      <c r="J15" s="2522">
        <v>5757</v>
      </c>
      <c r="K15" s="2520">
        <v>5825</v>
      </c>
      <c r="L15" s="2521">
        <v>5900</v>
      </c>
      <c r="M15" s="2522">
        <v>5969</v>
      </c>
      <c r="N15" s="2522">
        <v>6148</v>
      </c>
      <c r="O15" s="2522">
        <v>6338</v>
      </c>
    </row>
    <row r="16" spans="1:15" s="41" customFormat="1" ht="15" customHeight="1" x14ac:dyDescent="0.2">
      <c r="A16" s="5261"/>
      <c r="B16" s="5047"/>
      <c r="C16" s="2517" t="s">
        <v>463</v>
      </c>
      <c r="D16" s="2518">
        <v>6421</v>
      </c>
      <c r="E16" s="2519">
        <f>6658</f>
        <v>6658</v>
      </c>
      <c r="F16" s="2519">
        <f>6898</f>
        <v>6898</v>
      </c>
      <c r="G16" s="2519">
        <f>7069</f>
        <v>7069</v>
      </c>
      <c r="H16" s="2520">
        <v>7127</v>
      </c>
      <c r="I16" s="2521">
        <v>7215</v>
      </c>
      <c r="J16" s="2522">
        <f>7302</f>
        <v>7302</v>
      </c>
      <c r="K16" s="2520">
        <v>7408</v>
      </c>
      <c r="L16" s="2521">
        <v>7563</v>
      </c>
      <c r="M16" s="2522">
        <f>7652</f>
        <v>7652</v>
      </c>
      <c r="N16" s="2522">
        <f>7916-25</f>
        <v>7891</v>
      </c>
      <c r="O16" s="2522">
        <v>8165</v>
      </c>
    </row>
    <row r="17" spans="1:17" s="41" customFormat="1" ht="15" customHeight="1" x14ac:dyDescent="0.2">
      <c r="A17" s="5261"/>
      <c r="B17" s="5047"/>
      <c r="C17" s="2517" t="s">
        <v>464</v>
      </c>
      <c r="D17" s="2518">
        <v>1847</v>
      </c>
      <c r="E17" s="2519">
        <v>1910</v>
      </c>
      <c r="F17" s="2519">
        <v>1987</v>
      </c>
      <c r="G17" s="2519">
        <v>2043</v>
      </c>
      <c r="H17" s="2520">
        <v>2066</v>
      </c>
      <c r="I17" s="2521">
        <v>2088</v>
      </c>
      <c r="J17" s="2522">
        <v>2112</v>
      </c>
      <c r="K17" s="2520">
        <v>2141</v>
      </c>
      <c r="L17" s="2521">
        <v>2175</v>
      </c>
      <c r="M17" s="2522">
        <v>2199</v>
      </c>
      <c r="N17" s="2522">
        <v>2263</v>
      </c>
      <c r="O17" s="2522">
        <v>2352</v>
      </c>
    </row>
    <row r="18" spans="1:17" s="41" customFormat="1" ht="15" customHeight="1" x14ac:dyDescent="0.2">
      <c r="A18" s="5261"/>
      <c r="B18" s="5047"/>
      <c r="C18" s="2517" t="s">
        <v>465</v>
      </c>
      <c r="D18" s="2518">
        <v>1590</v>
      </c>
      <c r="E18" s="2519">
        <v>1648</v>
      </c>
      <c r="F18" s="2519">
        <v>1721</v>
      </c>
      <c r="G18" s="2519">
        <v>1804</v>
      </c>
      <c r="H18" s="2520">
        <v>1824</v>
      </c>
      <c r="I18" s="2521">
        <v>1843</v>
      </c>
      <c r="J18" s="2522">
        <v>1866</v>
      </c>
      <c r="K18" s="2520">
        <v>1901</v>
      </c>
      <c r="L18" s="2521">
        <v>1944</v>
      </c>
      <c r="M18" s="2522">
        <v>1967</v>
      </c>
      <c r="N18" s="2522">
        <v>2057</v>
      </c>
      <c r="O18" s="2522">
        <v>2160</v>
      </c>
      <c r="Q18" s="3132"/>
    </row>
    <row r="19" spans="1:17" s="41" customFormat="1" ht="15" customHeight="1" x14ac:dyDescent="0.2">
      <c r="A19" s="5261"/>
      <c r="B19" s="5048"/>
      <c r="C19" s="2523" t="s">
        <v>160</v>
      </c>
      <c r="D19" s="2524">
        <f t="shared" ref="D19:J19" si="1">SUM(D15:D18)</f>
        <v>14997</v>
      </c>
      <c r="E19" s="2524">
        <f>SUM(E15:E18)</f>
        <v>15512</v>
      </c>
      <c r="F19" s="2524">
        <f t="shared" si="1"/>
        <v>16039</v>
      </c>
      <c r="G19" s="2525">
        <f t="shared" si="1"/>
        <v>16490</v>
      </c>
      <c r="H19" s="2524">
        <f t="shared" si="1"/>
        <v>16659</v>
      </c>
      <c r="I19" s="2526">
        <f t="shared" si="1"/>
        <v>16853</v>
      </c>
      <c r="J19" s="2527">
        <f t="shared" si="1"/>
        <v>17037</v>
      </c>
      <c r="K19" s="2524">
        <f>SUM(K15:K18)</f>
        <v>17275</v>
      </c>
      <c r="L19" s="2526">
        <f>SUM(L15:L18)</f>
        <v>17582</v>
      </c>
      <c r="M19" s="2527">
        <f>SUM(M15:M18)</f>
        <v>17787</v>
      </c>
      <c r="N19" s="2527">
        <f>SUM(N15:N18)</f>
        <v>18359</v>
      </c>
      <c r="O19" s="2527">
        <f>SUM(O15:O18)</f>
        <v>19015</v>
      </c>
    </row>
    <row r="20" spans="1:17" s="41" customFormat="1" ht="15" customHeight="1" x14ac:dyDescent="0.2">
      <c r="A20" s="5261"/>
      <c r="B20" s="5046" t="s">
        <v>7</v>
      </c>
      <c r="C20" s="813" t="s">
        <v>466</v>
      </c>
      <c r="D20" s="2518">
        <v>3600</v>
      </c>
      <c r="E20" s="2519">
        <v>3750</v>
      </c>
      <c r="F20" s="2519">
        <v>3867</v>
      </c>
      <c r="G20" s="2519">
        <v>3958</v>
      </c>
      <c r="H20" s="2520">
        <v>3987</v>
      </c>
      <c r="I20" s="2521">
        <v>4030</v>
      </c>
      <c r="J20" s="2522">
        <v>4043</v>
      </c>
      <c r="K20" s="2520">
        <v>4092</v>
      </c>
      <c r="L20" s="2521">
        <v>4153</v>
      </c>
      <c r="M20" s="2522">
        <v>4182</v>
      </c>
      <c r="N20" s="2522">
        <v>4300</v>
      </c>
      <c r="O20" s="2522">
        <v>4436</v>
      </c>
    </row>
    <row r="21" spans="1:17" s="41" customFormat="1" ht="15" customHeight="1" x14ac:dyDescent="0.2">
      <c r="A21" s="5261"/>
      <c r="B21" s="5047"/>
      <c r="C21" s="813" t="s">
        <v>467</v>
      </c>
      <c r="D21" s="2518">
        <v>3959</v>
      </c>
      <c r="E21" s="2519">
        <v>4118</v>
      </c>
      <c r="F21" s="2519">
        <v>4240</v>
      </c>
      <c r="G21" s="2519">
        <v>4323</v>
      </c>
      <c r="H21" s="2520">
        <v>4367</v>
      </c>
      <c r="I21" s="2521">
        <v>4412</v>
      </c>
      <c r="J21" s="2522">
        <v>4428</v>
      </c>
      <c r="K21" s="2520">
        <v>4464</v>
      </c>
      <c r="L21" s="2521">
        <v>4522</v>
      </c>
      <c r="M21" s="2522">
        <v>4535</v>
      </c>
      <c r="N21" s="2522">
        <v>4662</v>
      </c>
      <c r="O21" s="2522">
        <v>4773</v>
      </c>
    </row>
    <row r="22" spans="1:17" s="41" customFormat="1" ht="15" customHeight="1" x14ac:dyDescent="0.2">
      <c r="A22" s="5261"/>
      <c r="B22" s="5047"/>
      <c r="C22" s="2517" t="s">
        <v>468</v>
      </c>
      <c r="D22" s="2518">
        <v>1621</v>
      </c>
      <c r="E22" s="2519">
        <v>1677</v>
      </c>
      <c r="F22" s="2519">
        <v>1766</v>
      </c>
      <c r="G22" s="2519">
        <v>1836</v>
      </c>
      <c r="H22" s="2520">
        <v>1858</v>
      </c>
      <c r="I22" s="2521">
        <v>1890</v>
      </c>
      <c r="J22" s="2522">
        <v>1900</v>
      </c>
      <c r="K22" s="2520">
        <v>1929</v>
      </c>
      <c r="L22" s="2521">
        <v>1980</v>
      </c>
      <c r="M22" s="2522">
        <v>1990</v>
      </c>
      <c r="N22" s="2522">
        <v>2090</v>
      </c>
      <c r="O22" s="2522">
        <v>2187</v>
      </c>
    </row>
    <row r="23" spans="1:17" s="41" customFormat="1" ht="15" customHeight="1" x14ac:dyDescent="0.2">
      <c r="A23" s="5261"/>
      <c r="B23" s="5048"/>
      <c r="C23" s="874" t="s">
        <v>521</v>
      </c>
      <c r="D23" s="4040">
        <f t="shared" ref="D23:J23" si="2">SUM(D20:D22)</f>
        <v>9180</v>
      </c>
      <c r="E23" s="4040">
        <f t="shared" si="2"/>
        <v>9545</v>
      </c>
      <c r="F23" s="4040">
        <f t="shared" si="2"/>
        <v>9873</v>
      </c>
      <c r="G23" s="4041">
        <f t="shared" si="2"/>
        <v>10117</v>
      </c>
      <c r="H23" s="4040">
        <f t="shared" si="2"/>
        <v>10212</v>
      </c>
      <c r="I23" s="4042">
        <f t="shared" si="2"/>
        <v>10332</v>
      </c>
      <c r="J23" s="4043">
        <f t="shared" si="2"/>
        <v>10371</v>
      </c>
      <c r="K23" s="4040">
        <f>SUM(K20:K22)</f>
        <v>10485</v>
      </c>
      <c r="L23" s="4042">
        <f>SUM(L20:L22)</f>
        <v>10655</v>
      </c>
      <c r="M23" s="4043">
        <f>SUM(M20:M22)</f>
        <v>10707</v>
      </c>
      <c r="N23" s="4043">
        <f>SUM(N20:N22)</f>
        <v>11052</v>
      </c>
      <c r="O23" s="4043">
        <f>SUM(O20:O22)</f>
        <v>11396</v>
      </c>
    </row>
    <row r="24" spans="1:17" s="41" customFormat="1" ht="15" customHeight="1" x14ac:dyDescent="0.2">
      <c r="A24" s="5262"/>
      <c r="B24" s="4009"/>
      <c r="C24" s="4053" t="s">
        <v>450</v>
      </c>
      <c r="D24" s="4054">
        <f>SUM(D23,D19,D14)</f>
        <v>34119</v>
      </c>
      <c r="E24" s="4054">
        <f>SUM(E14,E19,E23)</f>
        <v>35375</v>
      </c>
      <c r="F24" s="4054">
        <f>SUM(F23,F19,F14)</f>
        <v>36633</v>
      </c>
      <c r="G24" s="4055">
        <f>SUM(G23,G19,G14)</f>
        <v>37743</v>
      </c>
      <c r="H24" s="4054">
        <f>SUM(H23,H19,H14)</f>
        <v>38121</v>
      </c>
      <c r="I24" s="4056">
        <f>SUM(I14,I19,I23)</f>
        <v>38569</v>
      </c>
      <c r="J24" s="4057">
        <f>SUM(J14,J19,J23)</f>
        <v>38914</v>
      </c>
      <c r="K24" s="4054">
        <f>SUM(K23,K19,K14)</f>
        <v>39406</v>
      </c>
      <c r="L24" s="4056">
        <f>SUM(L14,L19,L23)</f>
        <v>40114</v>
      </c>
      <c r="M24" s="4057">
        <f>SUM(M14,M19,M23)</f>
        <v>40551</v>
      </c>
      <c r="N24" s="4057">
        <f>SUM(N14,N19,N23)</f>
        <v>42043</v>
      </c>
      <c r="O24" s="4057">
        <f>SUM(O14,O19,O23)</f>
        <v>43555</v>
      </c>
    </row>
    <row r="25" spans="1:17" s="41" customFormat="1" ht="15" customHeight="1" x14ac:dyDescent="0.25">
      <c r="A25" s="5263" t="s">
        <v>8</v>
      </c>
      <c r="B25" s="5266" t="s">
        <v>6</v>
      </c>
      <c r="C25" s="2531" t="s">
        <v>462</v>
      </c>
      <c r="D25" s="2532"/>
      <c r="E25" s="2532">
        <v>30</v>
      </c>
      <c r="F25" s="2532">
        <v>54</v>
      </c>
      <c r="G25" s="2532">
        <v>95</v>
      </c>
      <c r="H25" s="2533">
        <v>102</v>
      </c>
      <c r="I25" s="2534">
        <v>117</v>
      </c>
      <c r="J25" s="2535">
        <v>125</v>
      </c>
      <c r="K25" s="2533">
        <v>128</v>
      </c>
      <c r="L25" s="2534">
        <v>141</v>
      </c>
      <c r="M25" s="2535">
        <v>157</v>
      </c>
      <c r="N25" s="2535">
        <v>187</v>
      </c>
      <c r="O25" s="2535">
        <v>204</v>
      </c>
    </row>
    <row r="26" spans="1:17" s="41" customFormat="1" ht="15" customHeight="1" x14ac:dyDescent="0.25">
      <c r="A26" s="5264"/>
      <c r="B26" s="5266"/>
      <c r="C26" s="2528" t="s">
        <v>463</v>
      </c>
      <c r="D26" s="2519"/>
      <c r="E26" s="2519">
        <v>17</v>
      </c>
      <c r="F26" s="2519">
        <v>23</v>
      </c>
      <c r="G26" s="2519">
        <v>23</v>
      </c>
      <c r="H26" s="2519">
        <v>23</v>
      </c>
      <c r="I26" s="2519">
        <v>23</v>
      </c>
      <c r="J26" s="2519">
        <v>23</v>
      </c>
      <c r="K26" s="2519">
        <v>23</v>
      </c>
      <c r="L26" s="2519">
        <v>23</v>
      </c>
      <c r="M26" s="2519">
        <v>23</v>
      </c>
      <c r="N26" s="2519">
        <v>25</v>
      </c>
      <c r="O26" s="2519">
        <v>25</v>
      </c>
    </row>
    <row r="27" spans="1:17" s="41" customFormat="1" ht="15" customHeight="1" x14ac:dyDescent="0.25">
      <c r="A27" s="5264"/>
      <c r="B27" s="5266"/>
      <c r="C27" s="2528" t="s">
        <v>501</v>
      </c>
      <c r="D27" s="2519"/>
      <c r="E27" s="2519"/>
      <c r="F27" s="2519"/>
      <c r="G27" s="2519">
        <v>8</v>
      </c>
      <c r="H27" s="2520">
        <v>9</v>
      </c>
      <c r="I27" s="2521">
        <v>21</v>
      </c>
      <c r="J27" s="2522">
        <v>25</v>
      </c>
      <c r="K27" s="2520">
        <v>26</v>
      </c>
      <c r="L27" s="2521">
        <v>30</v>
      </c>
      <c r="M27" s="2522">
        <v>30</v>
      </c>
      <c r="N27" s="2522">
        <v>38</v>
      </c>
      <c r="O27" s="2522">
        <v>41</v>
      </c>
    </row>
    <row r="28" spans="1:17" s="41" customFormat="1" ht="15" customHeight="1" x14ac:dyDescent="0.2">
      <c r="A28" s="5264"/>
      <c r="B28" s="5266"/>
      <c r="C28" s="2517" t="s">
        <v>502</v>
      </c>
      <c r="D28" s="2518"/>
      <c r="E28" s="2519"/>
      <c r="F28" s="2519"/>
      <c r="G28" s="2519">
        <v>3</v>
      </c>
      <c r="H28" s="2520">
        <v>7</v>
      </c>
      <c r="I28" s="2521">
        <v>9</v>
      </c>
      <c r="J28" s="2522">
        <v>10</v>
      </c>
      <c r="K28" s="2520">
        <v>11</v>
      </c>
      <c r="L28" s="2521">
        <v>13</v>
      </c>
      <c r="M28" s="2522">
        <v>17</v>
      </c>
      <c r="N28" s="2522">
        <v>20</v>
      </c>
      <c r="O28" s="2522">
        <v>31</v>
      </c>
    </row>
    <row r="29" spans="1:17" s="41" customFormat="1" ht="15" customHeight="1" x14ac:dyDescent="0.2">
      <c r="A29" s="5264"/>
      <c r="B29" s="5267"/>
      <c r="C29" s="2523" t="s">
        <v>160</v>
      </c>
      <c r="D29" s="2524">
        <f t="shared" ref="D29:O29" si="3">SUM(D25:D28)</f>
        <v>0</v>
      </c>
      <c r="E29" s="2524">
        <f t="shared" si="3"/>
        <v>47</v>
      </c>
      <c r="F29" s="2524">
        <f t="shared" si="3"/>
        <v>77</v>
      </c>
      <c r="G29" s="2524">
        <f t="shared" si="3"/>
        <v>129</v>
      </c>
      <c r="H29" s="2524">
        <f t="shared" si="3"/>
        <v>141</v>
      </c>
      <c r="I29" s="2524">
        <f t="shared" si="3"/>
        <v>170</v>
      </c>
      <c r="J29" s="2524">
        <f t="shared" si="3"/>
        <v>183</v>
      </c>
      <c r="K29" s="2524">
        <f t="shared" si="3"/>
        <v>188</v>
      </c>
      <c r="L29" s="2524">
        <f t="shared" si="3"/>
        <v>207</v>
      </c>
      <c r="M29" s="2524">
        <f t="shared" si="3"/>
        <v>227</v>
      </c>
      <c r="N29" s="2525">
        <f t="shared" si="3"/>
        <v>270</v>
      </c>
      <c r="O29" s="2525">
        <f t="shared" si="3"/>
        <v>301</v>
      </c>
    </row>
    <row r="30" spans="1:17" s="41" customFormat="1" ht="15" customHeight="1" x14ac:dyDescent="0.25">
      <c r="A30" s="5264"/>
      <c r="B30" s="5268" t="s">
        <v>9</v>
      </c>
      <c r="C30" s="2529" t="s">
        <v>503</v>
      </c>
      <c r="D30" s="2519"/>
      <c r="E30" s="2521">
        <v>9</v>
      </c>
      <c r="F30" s="2519">
        <v>24</v>
      </c>
      <c r="G30" s="2519">
        <v>39</v>
      </c>
      <c r="H30" s="2520">
        <v>42</v>
      </c>
      <c r="I30" s="2521">
        <v>53</v>
      </c>
      <c r="J30" s="2522">
        <v>60</v>
      </c>
      <c r="K30" s="2520">
        <v>61</v>
      </c>
      <c r="L30" s="2521">
        <v>64</v>
      </c>
      <c r="M30" s="2522">
        <v>68</v>
      </c>
      <c r="N30" s="2522">
        <v>79</v>
      </c>
      <c r="O30" s="2522">
        <v>92</v>
      </c>
    </row>
    <row r="31" spans="1:17" s="41" customFormat="1" ht="15" customHeight="1" x14ac:dyDescent="0.25">
      <c r="A31" s="5264"/>
      <c r="B31" s="5266"/>
      <c r="C31" s="2529" t="s">
        <v>504</v>
      </c>
      <c r="D31" s="2519"/>
      <c r="E31" s="2521"/>
      <c r="F31" s="2519"/>
      <c r="G31" s="2519">
        <v>2</v>
      </c>
      <c r="H31" s="2520">
        <v>2</v>
      </c>
      <c r="I31" s="2521">
        <v>3</v>
      </c>
      <c r="J31" s="2522">
        <v>4</v>
      </c>
      <c r="K31" s="2520">
        <v>5</v>
      </c>
      <c r="L31" s="2521">
        <v>5</v>
      </c>
      <c r="M31" s="2522">
        <v>5</v>
      </c>
      <c r="N31" s="2522">
        <v>8</v>
      </c>
      <c r="O31" s="2522">
        <v>19</v>
      </c>
    </row>
    <row r="32" spans="1:17" s="41" customFormat="1" ht="15" customHeight="1" x14ac:dyDescent="0.2">
      <c r="A32" s="5264"/>
      <c r="B32" s="5266"/>
      <c r="C32" s="2517" t="s">
        <v>505</v>
      </c>
      <c r="D32" s="2518"/>
      <c r="E32" s="2519"/>
      <c r="F32" s="2519"/>
      <c r="G32" s="2519">
        <v>15</v>
      </c>
      <c r="H32" s="2520">
        <v>19</v>
      </c>
      <c r="I32" s="2521">
        <v>35</v>
      </c>
      <c r="J32" s="2522">
        <v>42</v>
      </c>
      <c r="K32" s="2520">
        <v>42</v>
      </c>
      <c r="L32" s="2521">
        <v>45</v>
      </c>
      <c r="M32" s="2522">
        <v>57</v>
      </c>
      <c r="N32" s="2522">
        <v>80</v>
      </c>
      <c r="O32" s="2522">
        <v>97</v>
      </c>
    </row>
    <row r="33" spans="1:15" s="41" customFormat="1" ht="15" customHeight="1" x14ac:dyDescent="0.2">
      <c r="A33" s="5264"/>
      <c r="B33" s="5267"/>
      <c r="C33" s="2523" t="s">
        <v>160</v>
      </c>
      <c r="D33" s="2524">
        <f t="shared" ref="D33:J33" si="4">SUM(D30:D32)</f>
        <v>0</v>
      </c>
      <c r="E33" s="2524">
        <f t="shared" si="4"/>
        <v>9</v>
      </c>
      <c r="F33" s="2524">
        <f t="shared" si="4"/>
        <v>24</v>
      </c>
      <c r="G33" s="2525">
        <f t="shared" si="4"/>
        <v>56</v>
      </c>
      <c r="H33" s="2524">
        <f t="shared" si="4"/>
        <v>63</v>
      </c>
      <c r="I33" s="2526">
        <f t="shared" si="4"/>
        <v>91</v>
      </c>
      <c r="J33" s="2527">
        <f t="shared" si="4"/>
        <v>106</v>
      </c>
      <c r="K33" s="2524">
        <f>SUM(K30:K32)</f>
        <v>108</v>
      </c>
      <c r="L33" s="2526">
        <f>SUM(L30:L32)</f>
        <v>114</v>
      </c>
      <c r="M33" s="2527">
        <f>SUM(M30:M32)</f>
        <v>130</v>
      </c>
      <c r="N33" s="2527">
        <f>SUM(N30:N32)</f>
        <v>167</v>
      </c>
      <c r="O33" s="2527">
        <f>SUM(O30:O32)</f>
        <v>208</v>
      </c>
    </row>
    <row r="34" spans="1:15" s="41" customFormat="1" ht="15" customHeight="1" x14ac:dyDescent="0.25">
      <c r="A34" s="5264"/>
      <c r="B34" s="5268" t="s">
        <v>74</v>
      </c>
      <c r="C34" s="2528" t="s">
        <v>461</v>
      </c>
      <c r="D34" s="2519"/>
      <c r="E34" s="2519">
        <v>10</v>
      </c>
      <c r="F34" s="2519">
        <v>19</v>
      </c>
      <c r="G34" s="2519">
        <v>29</v>
      </c>
      <c r="H34" s="2520">
        <v>30</v>
      </c>
      <c r="I34" s="2521">
        <v>33</v>
      </c>
      <c r="J34" s="2522">
        <v>42</v>
      </c>
      <c r="K34" s="2520">
        <v>44</v>
      </c>
      <c r="L34" s="2521">
        <v>46</v>
      </c>
      <c r="M34" s="2522">
        <v>52</v>
      </c>
      <c r="N34" s="2522">
        <v>63</v>
      </c>
      <c r="O34" s="2522">
        <v>71</v>
      </c>
    </row>
    <row r="35" spans="1:15" s="41" customFormat="1" ht="15" customHeight="1" x14ac:dyDescent="0.2">
      <c r="A35" s="5264"/>
      <c r="B35" s="5266"/>
      <c r="C35" s="2517" t="s">
        <v>506</v>
      </c>
      <c r="D35" s="2518"/>
      <c r="E35" s="2519">
        <v>1</v>
      </c>
      <c r="F35" s="2519">
        <v>2</v>
      </c>
      <c r="G35" s="2519">
        <v>3</v>
      </c>
      <c r="H35" s="2520">
        <v>3</v>
      </c>
      <c r="I35" s="2521">
        <v>5</v>
      </c>
      <c r="J35" s="2522">
        <v>7</v>
      </c>
      <c r="K35" s="2520">
        <v>7</v>
      </c>
      <c r="L35" s="2521">
        <v>9</v>
      </c>
      <c r="M35" s="2522">
        <v>10</v>
      </c>
      <c r="N35" s="2522">
        <v>13</v>
      </c>
      <c r="O35" s="2522">
        <v>20</v>
      </c>
    </row>
    <row r="36" spans="1:15" s="41" customFormat="1" ht="15" customHeight="1" x14ac:dyDescent="0.2">
      <c r="A36" s="5264"/>
      <c r="B36" s="5266"/>
      <c r="C36" s="2517" t="s">
        <v>507</v>
      </c>
      <c r="D36" s="814"/>
      <c r="E36" s="2520"/>
      <c r="F36" s="2520"/>
      <c r="G36" s="2519"/>
      <c r="H36" s="2520"/>
      <c r="I36" s="2521"/>
      <c r="J36" s="2522">
        <v>1</v>
      </c>
      <c r="K36" s="2520">
        <v>1</v>
      </c>
      <c r="L36" s="2521">
        <v>3</v>
      </c>
      <c r="M36" s="2522">
        <v>3</v>
      </c>
      <c r="N36" s="2522">
        <v>9</v>
      </c>
      <c r="O36" s="2522">
        <v>16</v>
      </c>
    </row>
    <row r="37" spans="1:15" s="41" customFormat="1" ht="15" customHeight="1" x14ac:dyDescent="0.2">
      <c r="A37" s="5264"/>
      <c r="B37" s="5266"/>
      <c r="C37" s="2517" t="s">
        <v>508</v>
      </c>
      <c r="D37" s="814"/>
      <c r="E37" s="2520"/>
      <c r="F37" s="2520"/>
      <c r="G37" s="2519"/>
      <c r="H37" s="2520"/>
      <c r="I37" s="2521"/>
      <c r="J37" s="2522"/>
      <c r="K37" s="2520"/>
      <c r="L37" s="2521"/>
      <c r="M37" s="2522"/>
      <c r="N37" s="2522">
        <v>4</v>
      </c>
      <c r="O37" s="2522">
        <v>10</v>
      </c>
    </row>
    <row r="38" spans="1:15" s="41" customFormat="1" ht="15" customHeight="1" x14ac:dyDescent="0.2">
      <c r="A38" s="5264"/>
      <c r="B38" s="5266"/>
      <c r="C38" s="874" t="s">
        <v>160</v>
      </c>
      <c r="D38" s="4040">
        <f t="shared" ref="D38:I38" si="5">SUM(D34:D35)</f>
        <v>0</v>
      </c>
      <c r="E38" s="4040">
        <f t="shared" si="5"/>
        <v>11</v>
      </c>
      <c r="F38" s="4040">
        <f t="shared" si="5"/>
        <v>21</v>
      </c>
      <c r="G38" s="4041">
        <f t="shared" si="5"/>
        <v>32</v>
      </c>
      <c r="H38" s="4040">
        <f t="shared" si="5"/>
        <v>33</v>
      </c>
      <c r="I38" s="4042">
        <f t="shared" si="5"/>
        <v>38</v>
      </c>
      <c r="J38" s="4043">
        <f>SUM(J34:J36)</f>
        <v>50</v>
      </c>
      <c r="K38" s="4040">
        <f>SUM(K34:K36)</f>
        <v>52</v>
      </c>
      <c r="L38" s="4042">
        <f>SUM(L34:L36)</f>
        <v>58</v>
      </c>
      <c r="M38" s="4043">
        <f>SUM(M34:M36)</f>
        <v>65</v>
      </c>
      <c r="N38" s="4043">
        <f>SUM(N34:N37)</f>
        <v>89</v>
      </c>
      <c r="O38" s="4043">
        <f>SUM(O34:O37)</f>
        <v>117</v>
      </c>
    </row>
    <row r="39" spans="1:15" s="41" customFormat="1" ht="15" customHeight="1" x14ac:dyDescent="0.2">
      <c r="A39" s="5265"/>
      <c r="B39" s="3996"/>
      <c r="C39" s="4048" t="s">
        <v>450</v>
      </c>
      <c r="D39" s="4049">
        <f>SUM(D38,D33,D29)</f>
        <v>0</v>
      </c>
      <c r="E39" s="4049">
        <f>SUM(E38,E33,E29)</f>
        <v>67</v>
      </c>
      <c r="F39" s="4049">
        <f>SUM(F38,F33,F29)</f>
        <v>122</v>
      </c>
      <c r="G39" s="4050">
        <f>SUM(G38,G33,G29)</f>
        <v>217</v>
      </c>
      <c r="H39" s="4049">
        <f>SUM(H38,H33,H29)</f>
        <v>237</v>
      </c>
      <c r="I39" s="4051">
        <f>SUM(I29,I33,I38)</f>
        <v>299</v>
      </c>
      <c r="J39" s="4052">
        <f>SUM(J29,J33,J38)</f>
        <v>339</v>
      </c>
      <c r="K39" s="4049">
        <f>SUM(K38,K33,K29)</f>
        <v>348</v>
      </c>
      <c r="L39" s="4051">
        <f>SUM(L29,L33,L38)</f>
        <v>379</v>
      </c>
      <c r="M39" s="4052">
        <f>SUM(M29,M33,M38)</f>
        <v>422</v>
      </c>
      <c r="N39" s="4052">
        <f>SUM(N29,N33,N38)</f>
        <v>526</v>
      </c>
      <c r="O39" s="4052">
        <f>SUM(O29,O33,O38)</f>
        <v>626</v>
      </c>
    </row>
    <row r="40" spans="1:15" s="41" customFormat="1" ht="15" customHeight="1" x14ac:dyDescent="0.2">
      <c r="A40" s="5254" t="s">
        <v>75</v>
      </c>
      <c r="B40" s="5050" t="s">
        <v>5</v>
      </c>
      <c r="C40" s="827" t="s">
        <v>469</v>
      </c>
      <c r="D40" s="2536">
        <v>780</v>
      </c>
      <c r="E40" s="2532">
        <v>818</v>
      </c>
      <c r="F40" s="2532">
        <v>870</v>
      </c>
      <c r="G40" s="2532">
        <v>898</v>
      </c>
      <c r="H40" s="2533">
        <v>907</v>
      </c>
      <c r="I40" s="2534">
        <v>920</v>
      </c>
      <c r="J40" s="2535">
        <v>926</v>
      </c>
      <c r="K40" s="2533">
        <v>931</v>
      </c>
      <c r="L40" s="2534">
        <v>936</v>
      </c>
      <c r="M40" s="2535">
        <v>948</v>
      </c>
      <c r="N40" s="2535">
        <v>981</v>
      </c>
      <c r="O40" s="2535">
        <v>1004</v>
      </c>
    </row>
    <row r="41" spans="1:15" s="41" customFormat="1" ht="15" customHeight="1" x14ac:dyDescent="0.2">
      <c r="A41" s="5255"/>
      <c r="B41" s="5050"/>
      <c r="C41" s="813" t="s">
        <v>470</v>
      </c>
      <c r="D41" s="2518">
        <v>143</v>
      </c>
      <c r="E41" s="2519">
        <v>150</v>
      </c>
      <c r="F41" s="2519">
        <v>159</v>
      </c>
      <c r="G41" s="2519">
        <v>165</v>
      </c>
      <c r="H41" s="2520">
        <v>168</v>
      </c>
      <c r="I41" s="2521">
        <v>170</v>
      </c>
      <c r="J41" s="2522">
        <v>171</v>
      </c>
      <c r="K41" s="2520">
        <v>171</v>
      </c>
      <c r="L41" s="2521">
        <v>171</v>
      </c>
      <c r="M41" s="2522">
        <v>171</v>
      </c>
      <c r="N41" s="2522">
        <v>186</v>
      </c>
      <c r="O41" s="2522">
        <v>191</v>
      </c>
    </row>
    <row r="42" spans="1:15" s="41" customFormat="1" ht="15" customHeight="1" x14ac:dyDescent="0.2">
      <c r="A42" s="5255"/>
      <c r="B42" s="5050"/>
      <c r="C42" s="813" t="s">
        <v>459</v>
      </c>
      <c r="D42" s="2518">
        <v>626</v>
      </c>
      <c r="E42" s="2519">
        <v>643</v>
      </c>
      <c r="F42" s="2519">
        <v>665</v>
      </c>
      <c r="G42" s="2519">
        <v>691</v>
      </c>
      <c r="H42" s="2520">
        <v>698</v>
      </c>
      <c r="I42" s="2521">
        <v>706</v>
      </c>
      <c r="J42" s="2522">
        <v>717</v>
      </c>
      <c r="K42" s="2520">
        <v>724</v>
      </c>
      <c r="L42" s="2521">
        <v>731</v>
      </c>
      <c r="M42" s="2522">
        <v>738</v>
      </c>
      <c r="N42" s="2522">
        <v>750</v>
      </c>
      <c r="O42" s="2522">
        <v>772</v>
      </c>
    </row>
    <row r="43" spans="1:15" s="41" customFormat="1" ht="15" customHeight="1" x14ac:dyDescent="0.2">
      <c r="A43" s="5255"/>
      <c r="B43" s="5050"/>
      <c r="C43" s="813" t="s">
        <v>471</v>
      </c>
      <c r="D43" s="2518">
        <v>403</v>
      </c>
      <c r="E43" s="2519">
        <v>416</v>
      </c>
      <c r="F43" s="2519">
        <v>433</v>
      </c>
      <c r="G43" s="2519">
        <v>451</v>
      </c>
      <c r="H43" s="2520">
        <v>457</v>
      </c>
      <c r="I43" s="2521">
        <v>465</v>
      </c>
      <c r="J43" s="2522">
        <v>471</v>
      </c>
      <c r="K43" s="2520">
        <v>474</v>
      </c>
      <c r="L43" s="2521">
        <v>479</v>
      </c>
      <c r="M43" s="2522">
        <v>485</v>
      </c>
      <c r="N43" s="2522">
        <v>499</v>
      </c>
      <c r="O43" s="2522">
        <v>521</v>
      </c>
    </row>
    <row r="44" spans="1:15" s="41" customFormat="1" ht="15" customHeight="1" x14ac:dyDescent="0.2">
      <c r="A44" s="5255"/>
      <c r="B44" s="5050"/>
      <c r="C44" s="813" t="s">
        <v>472</v>
      </c>
      <c r="D44" s="2518">
        <v>258</v>
      </c>
      <c r="E44" s="2519">
        <v>264</v>
      </c>
      <c r="F44" s="2519">
        <v>277</v>
      </c>
      <c r="G44" s="2519">
        <v>288</v>
      </c>
      <c r="H44" s="2520">
        <v>293</v>
      </c>
      <c r="I44" s="2521">
        <v>296</v>
      </c>
      <c r="J44" s="2522">
        <v>298</v>
      </c>
      <c r="K44" s="2520">
        <v>302</v>
      </c>
      <c r="L44" s="2521">
        <v>308</v>
      </c>
      <c r="M44" s="2522">
        <v>310</v>
      </c>
      <c r="N44" s="2522">
        <v>327</v>
      </c>
      <c r="O44" s="2522">
        <v>346</v>
      </c>
    </row>
    <row r="45" spans="1:15" s="41" customFormat="1" ht="15" customHeight="1" x14ac:dyDescent="0.2">
      <c r="A45" s="5255"/>
      <c r="B45" s="5050"/>
      <c r="C45" s="813" t="s">
        <v>460</v>
      </c>
      <c r="D45" s="2518">
        <v>1628</v>
      </c>
      <c r="E45" s="2519">
        <v>1663</v>
      </c>
      <c r="F45" s="2519">
        <v>1714</v>
      </c>
      <c r="G45" s="2519">
        <v>1742</v>
      </c>
      <c r="H45" s="2520">
        <v>1756</v>
      </c>
      <c r="I45" s="2521">
        <v>1778</v>
      </c>
      <c r="J45" s="2522">
        <v>1788</v>
      </c>
      <c r="K45" s="2520">
        <v>1793</v>
      </c>
      <c r="L45" s="2521">
        <v>1802</v>
      </c>
      <c r="M45" s="2522">
        <v>1811</v>
      </c>
      <c r="N45" s="2522">
        <v>1848</v>
      </c>
      <c r="O45" s="2522">
        <v>1876</v>
      </c>
    </row>
    <row r="46" spans="1:15" s="41" customFormat="1" ht="15" customHeight="1" x14ac:dyDescent="0.2">
      <c r="A46" s="5255"/>
      <c r="B46" s="5050"/>
      <c r="C46" s="813" t="s">
        <v>473</v>
      </c>
      <c r="D46" s="2518">
        <v>329</v>
      </c>
      <c r="E46" s="2519">
        <v>339</v>
      </c>
      <c r="F46" s="2519">
        <v>358</v>
      </c>
      <c r="G46" s="2519">
        <v>374</v>
      </c>
      <c r="H46" s="2520">
        <v>376</v>
      </c>
      <c r="I46" s="2521">
        <v>386</v>
      </c>
      <c r="J46" s="2522">
        <v>391</v>
      </c>
      <c r="K46" s="2520">
        <v>397</v>
      </c>
      <c r="L46" s="2521">
        <v>404</v>
      </c>
      <c r="M46" s="2522">
        <v>417</v>
      </c>
      <c r="N46" s="2522">
        <v>456</v>
      </c>
      <c r="O46" s="2522">
        <v>461</v>
      </c>
    </row>
    <row r="47" spans="1:15" s="41" customFormat="1" ht="15" customHeight="1" x14ac:dyDescent="0.2">
      <c r="A47" s="5255"/>
      <c r="B47" s="5050"/>
      <c r="C47" s="813" t="s">
        <v>474</v>
      </c>
      <c r="D47" s="2518">
        <v>152</v>
      </c>
      <c r="E47" s="2519">
        <v>160</v>
      </c>
      <c r="F47" s="2519">
        <v>167</v>
      </c>
      <c r="G47" s="2519">
        <v>178</v>
      </c>
      <c r="H47" s="2520">
        <v>179</v>
      </c>
      <c r="I47" s="2521">
        <v>187</v>
      </c>
      <c r="J47" s="2522">
        <v>192</v>
      </c>
      <c r="K47" s="2520">
        <v>193</v>
      </c>
      <c r="L47" s="2521">
        <v>195</v>
      </c>
      <c r="M47" s="2522">
        <v>202</v>
      </c>
      <c r="N47" s="2522">
        <v>213</v>
      </c>
      <c r="O47" s="2522">
        <v>224</v>
      </c>
    </row>
    <row r="48" spans="1:15" s="41" customFormat="1" ht="15" customHeight="1" x14ac:dyDescent="0.2">
      <c r="A48" s="5255"/>
      <c r="B48" s="5050"/>
      <c r="C48" s="2517" t="s">
        <v>475</v>
      </c>
      <c r="D48" s="2518">
        <v>1175</v>
      </c>
      <c r="E48" s="2519">
        <v>1210</v>
      </c>
      <c r="F48" s="2519">
        <v>1275</v>
      </c>
      <c r="G48" s="2519">
        <v>1319</v>
      </c>
      <c r="H48" s="2520">
        <v>1342</v>
      </c>
      <c r="I48" s="2521">
        <v>1360</v>
      </c>
      <c r="J48" s="2522">
        <v>1364</v>
      </c>
      <c r="K48" s="2520">
        <v>1374</v>
      </c>
      <c r="L48" s="2521">
        <v>1391</v>
      </c>
      <c r="M48" s="2522">
        <v>1408</v>
      </c>
      <c r="N48" s="2522">
        <v>1444</v>
      </c>
      <c r="O48" s="2522">
        <v>1451</v>
      </c>
    </row>
    <row r="49" spans="1:15" s="41" customFormat="1" ht="15" customHeight="1" x14ac:dyDescent="0.2">
      <c r="A49" s="5255"/>
      <c r="B49" s="5051"/>
      <c r="C49" s="2523" t="s">
        <v>160</v>
      </c>
      <c r="D49" s="2524">
        <f t="shared" ref="D49:J49" si="6">SUM(D40:D48)</f>
        <v>5494</v>
      </c>
      <c r="E49" s="2524">
        <f t="shared" si="6"/>
        <v>5663</v>
      </c>
      <c r="F49" s="2524">
        <f t="shared" si="6"/>
        <v>5918</v>
      </c>
      <c r="G49" s="2525">
        <f t="shared" si="6"/>
        <v>6106</v>
      </c>
      <c r="H49" s="2524">
        <f t="shared" si="6"/>
        <v>6176</v>
      </c>
      <c r="I49" s="2526">
        <f t="shared" si="6"/>
        <v>6268</v>
      </c>
      <c r="J49" s="2527">
        <f t="shared" si="6"/>
        <v>6318</v>
      </c>
      <c r="K49" s="2524">
        <f>SUM(K40:K48)</f>
        <v>6359</v>
      </c>
      <c r="L49" s="2526">
        <f>SUM(L40:L48)</f>
        <v>6417</v>
      </c>
      <c r="M49" s="2527">
        <f>SUM(M40:M48)</f>
        <v>6490</v>
      </c>
      <c r="N49" s="2527">
        <f>SUM(N40:N48)</f>
        <v>6704</v>
      </c>
      <c r="O49" s="2527">
        <f>SUM(O40:O48)</f>
        <v>6846</v>
      </c>
    </row>
    <row r="50" spans="1:15" s="41" customFormat="1" ht="15" customHeight="1" x14ac:dyDescent="0.2">
      <c r="A50" s="5255"/>
      <c r="B50" s="5049" t="s">
        <v>6</v>
      </c>
      <c r="C50" s="2517" t="s">
        <v>462</v>
      </c>
      <c r="D50" s="2518">
        <v>4139</v>
      </c>
      <c r="E50" s="2519">
        <v>4252</v>
      </c>
      <c r="F50" s="2519">
        <v>4416</v>
      </c>
      <c r="G50" s="2519">
        <v>4544</v>
      </c>
      <c r="H50" s="2520">
        <v>4584</v>
      </c>
      <c r="I50" s="2521">
        <v>4642</v>
      </c>
      <c r="J50" s="2522">
        <v>4677</v>
      </c>
      <c r="K50" s="2520">
        <v>4749</v>
      </c>
      <c r="L50" s="2521">
        <v>4814</v>
      </c>
      <c r="M50" s="2522">
        <v>4868</v>
      </c>
      <c r="N50" s="2522">
        <v>5007</v>
      </c>
      <c r="O50" s="2522">
        <v>5162</v>
      </c>
    </row>
    <row r="51" spans="1:15" s="41" customFormat="1" ht="15" customHeight="1" x14ac:dyDescent="0.2">
      <c r="A51" s="5255"/>
      <c r="B51" s="5050"/>
      <c r="C51" s="2517" t="s">
        <v>476</v>
      </c>
      <c r="D51" s="2518">
        <v>605</v>
      </c>
      <c r="E51" s="2519">
        <v>629</v>
      </c>
      <c r="F51" s="2519">
        <v>648</v>
      </c>
      <c r="G51" s="2519">
        <v>672</v>
      </c>
      <c r="H51" s="2520">
        <v>680</v>
      </c>
      <c r="I51" s="2521">
        <v>696</v>
      </c>
      <c r="J51" s="2522">
        <v>712</v>
      </c>
      <c r="K51" s="2520">
        <v>726</v>
      </c>
      <c r="L51" s="2521">
        <v>734</v>
      </c>
      <c r="M51" s="2522">
        <v>746</v>
      </c>
      <c r="N51" s="2522">
        <v>775</v>
      </c>
      <c r="O51" s="2522">
        <v>809</v>
      </c>
    </row>
    <row r="52" spans="1:15" s="41" customFormat="1" ht="15" customHeight="1" x14ac:dyDescent="0.2">
      <c r="A52" s="5255"/>
      <c r="B52" s="5050"/>
      <c r="C52" s="2517" t="s">
        <v>477</v>
      </c>
      <c r="D52" s="2519">
        <v>337</v>
      </c>
      <c r="E52" s="2519">
        <v>367</v>
      </c>
      <c r="F52" s="2519">
        <v>399</v>
      </c>
      <c r="G52" s="2519">
        <v>433</v>
      </c>
      <c r="H52" s="2520">
        <v>450</v>
      </c>
      <c r="I52" s="2521">
        <v>464</v>
      </c>
      <c r="J52" s="2522">
        <v>474</v>
      </c>
      <c r="K52" s="2520">
        <v>488</v>
      </c>
      <c r="L52" s="2521">
        <v>501</v>
      </c>
      <c r="M52" s="2522">
        <v>515</v>
      </c>
      <c r="N52" s="2522">
        <v>536</v>
      </c>
      <c r="O52" s="2522">
        <v>570</v>
      </c>
    </row>
    <row r="53" spans="1:15" s="41" customFormat="1" ht="15" customHeight="1" x14ac:dyDescent="0.2">
      <c r="A53" s="5255"/>
      <c r="B53" s="5050"/>
      <c r="C53" s="2517" t="s">
        <v>478</v>
      </c>
      <c r="D53" s="2519">
        <v>310</v>
      </c>
      <c r="E53" s="2519">
        <v>341</v>
      </c>
      <c r="F53" s="2519">
        <v>382</v>
      </c>
      <c r="G53" s="2519">
        <v>423</v>
      </c>
      <c r="H53" s="2520">
        <v>432</v>
      </c>
      <c r="I53" s="2521">
        <v>439</v>
      </c>
      <c r="J53" s="2522">
        <v>448</v>
      </c>
      <c r="K53" s="2520">
        <v>462</v>
      </c>
      <c r="L53" s="2521">
        <v>479</v>
      </c>
      <c r="M53" s="2522">
        <v>492</v>
      </c>
      <c r="N53" s="2522">
        <v>520</v>
      </c>
      <c r="O53" s="2522">
        <v>563</v>
      </c>
    </row>
    <row r="54" spans="1:15" s="41" customFormat="1" ht="15" customHeight="1" x14ac:dyDescent="0.2">
      <c r="A54" s="5255"/>
      <c r="B54" s="5050"/>
      <c r="C54" s="2517" t="s">
        <v>464</v>
      </c>
      <c r="D54" s="2518">
        <v>1512</v>
      </c>
      <c r="E54" s="2519">
        <v>1559</v>
      </c>
      <c r="F54" s="2519">
        <v>1632</v>
      </c>
      <c r="G54" s="2519">
        <v>1666</v>
      </c>
      <c r="H54" s="2520">
        <v>1668</v>
      </c>
      <c r="I54" s="2521">
        <v>1687</v>
      </c>
      <c r="J54" s="2522">
        <v>1704</v>
      </c>
      <c r="K54" s="2520">
        <v>1711</v>
      </c>
      <c r="L54" s="2521">
        <v>1738</v>
      </c>
      <c r="M54" s="2522">
        <v>1761</v>
      </c>
      <c r="N54" s="2522">
        <v>1803</v>
      </c>
      <c r="O54" s="2522">
        <v>1863</v>
      </c>
    </row>
    <row r="55" spans="1:15" s="41" customFormat="1" ht="15" customHeight="1" x14ac:dyDescent="0.2">
      <c r="A55" s="5255"/>
      <c r="B55" s="5050"/>
      <c r="C55" s="2517" t="s">
        <v>465</v>
      </c>
      <c r="D55" s="2518">
        <v>1044</v>
      </c>
      <c r="E55" s="2519">
        <v>1072</v>
      </c>
      <c r="F55" s="2519">
        <v>1120</v>
      </c>
      <c r="G55" s="2519">
        <v>1159</v>
      </c>
      <c r="H55" s="2520">
        <v>1170</v>
      </c>
      <c r="I55" s="2521">
        <v>1177</v>
      </c>
      <c r="J55" s="2522">
        <v>1189</v>
      </c>
      <c r="K55" s="2520">
        <v>1202</v>
      </c>
      <c r="L55" s="2521">
        <v>1215</v>
      </c>
      <c r="M55" s="2522">
        <v>1235</v>
      </c>
      <c r="N55" s="2522">
        <v>1286</v>
      </c>
      <c r="O55" s="2522">
        <v>1330</v>
      </c>
    </row>
    <row r="56" spans="1:15" s="41" customFormat="1" ht="15" customHeight="1" x14ac:dyDescent="0.2">
      <c r="A56" s="5255"/>
      <c r="B56" s="5050"/>
      <c r="C56" s="2517" t="s">
        <v>479</v>
      </c>
      <c r="D56" s="2518">
        <v>419</v>
      </c>
      <c r="E56" s="2519">
        <v>453</v>
      </c>
      <c r="F56" s="2519">
        <v>499</v>
      </c>
      <c r="G56" s="2519">
        <v>530</v>
      </c>
      <c r="H56" s="2520">
        <v>542</v>
      </c>
      <c r="I56" s="2521">
        <v>558</v>
      </c>
      <c r="J56" s="2522">
        <v>568</v>
      </c>
      <c r="K56" s="2520">
        <v>576</v>
      </c>
      <c r="L56" s="2521">
        <v>592</v>
      </c>
      <c r="M56" s="2522">
        <v>605</v>
      </c>
      <c r="N56" s="2522">
        <v>641</v>
      </c>
      <c r="O56" s="2522">
        <v>682</v>
      </c>
    </row>
    <row r="57" spans="1:15" s="41" customFormat="1" ht="15" customHeight="1" x14ac:dyDescent="0.2">
      <c r="A57" s="5255"/>
      <c r="B57" s="5050"/>
      <c r="C57" s="2517" t="s">
        <v>480</v>
      </c>
      <c r="D57" s="2518">
        <v>138</v>
      </c>
      <c r="E57" s="2519">
        <v>152</v>
      </c>
      <c r="F57" s="2519">
        <v>162</v>
      </c>
      <c r="G57" s="2519">
        <v>175</v>
      </c>
      <c r="H57" s="2520">
        <v>180</v>
      </c>
      <c r="I57" s="2521">
        <v>187</v>
      </c>
      <c r="J57" s="2522">
        <v>192</v>
      </c>
      <c r="K57" s="2520">
        <v>195</v>
      </c>
      <c r="L57" s="2521">
        <v>203</v>
      </c>
      <c r="M57" s="2522">
        <v>208</v>
      </c>
      <c r="N57" s="2522">
        <v>219</v>
      </c>
      <c r="O57" s="2522">
        <v>241</v>
      </c>
    </row>
    <row r="58" spans="1:15" s="41" customFormat="1" ht="15" customHeight="1" x14ac:dyDescent="0.2">
      <c r="A58" s="5255"/>
      <c r="B58" s="5050"/>
      <c r="C58" s="2517" t="s">
        <v>481</v>
      </c>
      <c r="D58" s="2518">
        <v>1136</v>
      </c>
      <c r="E58" s="2519">
        <v>1170</v>
      </c>
      <c r="F58" s="2519">
        <v>1214</v>
      </c>
      <c r="G58" s="2519">
        <v>1261</v>
      </c>
      <c r="H58" s="2520">
        <v>1280</v>
      </c>
      <c r="I58" s="2521">
        <v>1299</v>
      </c>
      <c r="J58" s="2522">
        <v>1323</v>
      </c>
      <c r="K58" s="2520">
        <v>1340</v>
      </c>
      <c r="L58" s="2521">
        <v>1379</v>
      </c>
      <c r="M58" s="2522">
        <v>1403</v>
      </c>
      <c r="N58" s="2522">
        <v>1458</v>
      </c>
      <c r="O58" s="2522">
        <v>1519</v>
      </c>
    </row>
    <row r="59" spans="1:15" s="41" customFormat="1" ht="15" customHeight="1" x14ac:dyDescent="0.2">
      <c r="A59" s="5255"/>
      <c r="B59" s="5050"/>
      <c r="C59" s="2517" t="s">
        <v>482</v>
      </c>
      <c r="D59" s="2518">
        <v>2102</v>
      </c>
      <c r="E59" s="2519">
        <v>2224</v>
      </c>
      <c r="F59" s="2519">
        <v>2317</v>
      </c>
      <c r="G59" s="2519">
        <v>2421</v>
      </c>
      <c r="H59" s="2520">
        <v>2500</v>
      </c>
      <c r="I59" s="2521">
        <v>2556</v>
      </c>
      <c r="J59" s="2522">
        <v>2571</v>
      </c>
      <c r="K59" s="2520">
        <v>2618</v>
      </c>
      <c r="L59" s="2521">
        <v>2679</v>
      </c>
      <c r="M59" s="2522">
        <v>2691</v>
      </c>
      <c r="N59" s="2522">
        <v>2813</v>
      </c>
      <c r="O59" s="2522">
        <v>2902</v>
      </c>
    </row>
    <row r="60" spans="1:15" s="41" customFormat="1" ht="15" customHeight="1" x14ac:dyDescent="0.2">
      <c r="A60" s="5255"/>
      <c r="B60" s="5050"/>
      <c r="C60" s="2517" t="s">
        <v>483</v>
      </c>
      <c r="D60" s="2519">
        <v>17</v>
      </c>
      <c r="E60" s="2519">
        <v>25</v>
      </c>
      <c r="F60" s="2519">
        <v>28</v>
      </c>
      <c r="G60" s="2519">
        <v>32</v>
      </c>
      <c r="H60" s="2520">
        <v>176</v>
      </c>
      <c r="I60" s="2521">
        <v>176</v>
      </c>
      <c r="J60" s="2522">
        <v>39</v>
      </c>
      <c r="K60" s="2520">
        <v>176</v>
      </c>
      <c r="L60" s="2521">
        <v>176</v>
      </c>
      <c r="M60" s="2522">
        <v>46</v>
      </c>
      <c r="N60" s="2522">
        <v>55</v>
      </c>
      <c r="O60" s="2522">
        <v>176</v>
      </c>
    </row>
    <row r="61" spans="1:15" s="41" customFormat="1" ht="15" customHeight="1" x14ac:dyDescent="0.2">
      <c r="A61" s="5255"/>
      <c r="B61" s="5050"/>
      <c r="C61" s="2530" t="s">
        <v>502</v>
      </c>
      <c r="D61" s="2518">
        <v>176</v>
      </c>
      <c r="E61" s="2519">
        <v>176</v>
      </c>
      <c r="F61" s="2519">
        <v>176</v>
      </c>
      <c r="G61" s="2519">
        <v>176</v>
      </c>
      <c r="H61" s="2520">
        <v>34</v>
      </c>
      <c r="I61" s="2521">
        <v>37</v>
      </c>
      <c r="J61" s="2522">
        <v>176</v>
      </c>
      <c r="K61" s="2520">
        <v>40</v>
      </c>
      <c r="L61" s="2521">
        <v>41</v>
      </c>
      <c r="M61" s="2522">
        <v>176</v>
      </c>
      <c r="N61" s="2522">
        <v>176</v>
      </c>
      <c r="O61" s="2522">
        <v>67</v>
      </c>
    </row>
    <row r="62" spans="1:15" s="41" customFormat="1" ht="15" customHeight="1" x14ac:dyDescent="0.2">
      <c r="A62" s="5255"/>
      <c r="B62" s="5051"/>
      <c r="C62" s="2523" t="s">
        <v>160</v>
      </c>
      <c r="D62" s="2524">
        <f t="shared" ref="D62:J62" si="7">SUM(D50:D61)</f>
        <v>11935</v>
      </c>
      <c r="E62" s="2524">
        <f t="shared" si="7"/>
        <v>12420</v>
      </c>
      <c r="F62" s="2524">
        <f t="shared" si="7"/>
        <v>12993</v>
      </c>
      <c r="G62" s="2525">
        <f t="shared" si="7"/>
        <v>13492</v>
      </c>
      <c r="H62" s="2524">
        <f t="shared" si="7"/>
        <v>13696</v>
      </c>
      <c r="I62" s="2526">
        <f t="shared" si="7"/>
        <v>13918</v>
      </c>
      <c r="J62" s="2527">
        <f t="shared" si="7"/>
        <v>14073</v>
      </c>
      <c r="K62" s="2524">
        <f>SUM(K50:K61)</f>
        <v>14283</v>
      </c>
      <c r="L62" s="2526">
        <f>SUM(L50:L61)</f>
        <v>14551</v>
      </c>
      <c r="M62" s="2527">
        <f>SUM(M50:M61)</f>
        <v>14746</v>
      </c>
      <c r="N62" s="2527">
        <f>SUM(N50:N61)</f>
        <v>15289</v>
      </c>
      <c r="O62" s="2527">
        <f>SUM(O50:O61)</f>
        <v>15884</v>
      </c>
    </row>
    <row r="63" spans="1:15" s="41" customFormat="1" ht="15" customHeight="1" x14ac:dyDescent="0.2">
      <c r="A63" s="5255"/>
      <c r="B63" s="5049" t="s">
        <v>11</v>
      </c>
      <c r="C63" s="2517" t="s">
        <v>484</v>
      </c>
      <c r="D63" s="2518">
        <v>1568</v>
      </c>
      <c r="E63" s="2519">
        <v>1625</v>
      </c>
      <c r="F63" s="2519">
        <v>1678</v>
      </c>
      <c r="G63" s="2519">
        <v>1725</v>
      </c>
      <c r="H63" s="2520">
        <v>1753</v>
      </c>
      <c r="I63" s="2521">
        <v>1779</v>
      </c>
      <c r="J63" s="2522">
        <v>1797</v>
      </c>
      <c r="K63" s="2520">
        <v>1820</v>
      </c>
      <c r="L63" s="2521">
        <v>1843</v>
      </c>
      <c r="M63" s="2522">
        <v>1888</v>
      </c>
      <c r="N63" s="2522">
        <v>1971</v>
      </c>
      <c r="O63" s="2522">
        <v>2068</v>
      </c>
    </row>
    <row r="64" spans="1:15" s="41" customFormat="1" ht="15" customHeight="1" x14ac:dyDescent="0.2">
      <c r="A64" s="5255"/>
      <c r="B64" s="5050"/>
      <c r="C64" s="2517" t="s">
        <v>485</v>
      </c>
      <c r="D64" s="2518">
        <v>612</v>
      </c>
      <c r="E64" s="2519">
        <v>671</v>
      </c>
      <c r="F64" s="2519">
        <v>719</v>
      </c>
      <c r="G64" s="2519">
        <v>771</v>
      </c>
      <c r="H64" s="2520">
        <v>786</v>
      </c>
      <c r="I64" s="2521">
        <v>806</v>
      </c>
      <c r="J64" s="2522">
        <v>812</v>
      </c>
      <c r="K64" s="2520">
        <v>830</v>
      </c>
      <c r="L64" s="2521">
        <v>847</v>
      </c>
      <c r="M64" s="2522">
        <v>864</v>
      </c>
      <c r="N64" s="2522">
        <v>927</v>
      </c>
      <c r="O64" s="2522">
        <v>984</v>
      </c>
    </row>
    <row r="65" spans="1:15" s="41" customFormat="1" ht="15" customHeight="1" x14ac:dyDescent="0.2">
      <c r="A65" s="5255"/>
      <c r="B65" s="5050"/>
      <c r="C65" s="2517" t="s">
        <v>486</v>
      </c>
      <c r="D65" s="2518">
        <v>617</v>
      </c>
      <c r="E65" s="2519">
        <v>635</v>
      </c>
      <c r="F65" s="2519">
        <v>658</v>
      </c>
      <c r="G65" s="2519">
        <v>675</v>
      </c>
      <c r="H65" s="2520">
        <v>686</v>
      </c>
      <c r="I65" s="2521">
        <v>697</v>
      </c>
      <c r="J65" s="2522">
        <v>706</v>
      </c>
      <c r="K65" s="2520">
        <v>715</v>
      </c>
      <c r="L65" s="2521">
        <v>726</v>
      </c>
      <c r="M65" s="2522">
        <v>741</v>
      </c>
      <c r="N65" s="2522">
        <v>761</v>
      </c>
      <c r="O65" s="2522">
        <v>804</v>
      </c>
    </row>
    <row r="66" spans="1:15" s="41" customFormat="1" ht="15" customHeight="1" x14ac:dyDescent="0.2">
      <c r="A66" s="5255"/>
      <c r="B66" s="5050"/>
      <c r="C66" s="2517" t="s">
        <v>487</v>
      </c>
      <c r="D66" s="2518">
        <v>203</v>
      </c>
      <c r="E66" s="2519">
        <v>209</v>
      </c>
      <c r="F66" s="2519">
        <v>220</v>
      </c>
      <c r="G66" s="2519">
        <v>228</v>
      </c>
      <c r="H66" s="2520">
        <v>234</v>
      </c>
      <c r="I66" s="2521">
        <v>241</v>
      </c>
      <c r="J66" s="2522">
        <v>242</v>
      </c>
      <c r="K66" s="2520">
        <v>244</v>
      </c>
      <c r="L66" s="2521">
        <v>260</v>
      </c>
      <c r="M66" s="2522">
        <v>257</v>
      </c>
      <c r="N66" s="2522">
        <v>271</v>
      </c>
      <c r="O66" s="2522">
        <v>296</v>
      </c>
    </row>
    <row r="67" spans="1:15" s="41" customFormat="1" ht="15" customHeight="1" x14ac:dyDescent="0.2">
      <c r="A67" s="5255"/>
      <c r="B67" s="5050"/>
      <c r="C67" s="2517" t="s">
        <v>520</v>
      </c>
      <c r="D67" s="2518">
        <v>1659</v>
      </c>
      <c r="E67" s="2519">
        <v>1703</v>
      </c>
      <c r="F67" s="2519">
        <v>1804</v>
      </c>
      <c r="G67" s="2519">
        <v>1861</v>
      </c>
      <c r="H67" s="2520">
        <v>1880</v>
      </c>
      <c r="I67" s="2521">
        <v>1897</v>
      </c>
      <c r="J67" s="2522">
        <v>1928</v>
      </c>
      <c r="K67" s="2520">
        <v>1943</v>
      </c>
      <c r="L67" s="2521">
        <v>1971</v>
      </c>
      <c r="M67" s="2522">
        <v>2010</v>
      </c>
      <c r="N67" s="2522">
        <v>2086</v>
      </c>
      <c r="O67" s="2522">
        <v>2168</v>
      </c>
    </row>
    <row r="68" spans="1:15" s="41" customFormat="1" ht="15" customHeight="1" x14ac:dyDescent="0.2">
      <c r="A68" s="5255"/>
      <c r="B68" s="5050"/>
      <c r="C68" s="2517" t="s">
        <v>489</v>
      </c>
      <c r="D68" s="2518">
        <v>1959</v>
      </c>
      <c r="E68" s="2519">
        <v>2023</v>
      </c>
      <c r="F68" s="2519">
        <v>2092</v>
      </c>
      <c r="G68" s="2519">
        <v>2167</v>
      </c>
      <c r="H68" s="2520">
        <v>2185</v>
      </c>
      <c r="I68" s="2521">
        <v>2203</v>
      </c>
      <c r="J68" s="2522">
        <v>2240</v>
      </c>
      <c r="K68" s="2520">
        <v>2263</v>
      </c>
      <c r="L68" s="2521">
        <v>2295</v>
      </c>
      <c r="M68" s="2522">
        <v>2321</v>
      </c>
      <c r="N68" s="2522">
        <v>2407</v>
      </c>
      <c r="O68" s="2522">
        <v>2491</v>
      </c>
    </row>
    <row r="69" spans="1:15" s="41" customFormat="1" ht="15" customHeight="1" x14ac:dyDescent="0.2">
      <c r="A69" s="5255"/>
      <c r="B69" s="5051"/>
      <c r="C69" s="874" t="s">
        <v>160</v>
      </c>
      <c r="D69" s="4040">
        <f t="shared" ref="D69:I69" si="8">SUM(D63:D68)</f>
        <v>6618</v>
      </c>
      <c r="E69" s="4040">
        <f t="shared" si="8"/>
        <v>6866</v>
      </c>
      <c r="F69" s="4040">
        <f t="shared" si="8"/>
        <v>7171</v>
      </c>
      <c r="G69" s="4041">
        <f t="shared" si="8"/>
        <v>7427</v>
      </c>
      <c r="H69" s="4040">
        <f t="shared" si="8"/>
        <v>7524</v>
      </c>
      <c r="I69" s="4042">
        <f t="shared" si="8"/>
        <v>7623</v>
      </c>
      <c r="J69" s="4043">
        <f t="shared" ref="J69:O69" si="9">SUM(J63:J68)</f>
        <v>7725</v>
      </c>
      <c r="K69" s="4040">
        <f t="shared" si="9"/>
        <v>7815</v>
      </c>
      <c r="L69" s="4042">
        <f t="shared" si="9"/>
        <v>7942</v>
      </c>
      <c r="M69" s="4043">
        <f t="shared" si="9"/>
        <v>8081</v>
      </c>
      <c r="N69" s="4043">
        <f t="shared" si="9"/>
        <v>8423</v>
      </c>
      <c r="O69" s="4043">
        <f t="shared" si="9"/>
        <v>8811</v>
      </c>
    </row>
    <row r="70" spans="1:15" s="41" customFormat="1" ht="15" customHeight="1" x14ac:dyDescent="0.2">
      <c r="A70" s="5256"/>
      <c r="B70" s="4001"/>
      <c r="C70" s="4035" t="s">
        <v>450</v>
      </c>
      <c r="D70" s="4036">
        <f>SUM(D69,D62,D49)</f>
        <v>24047</v>
      </c>
      <c r="E70" s="4036">
        <f>SUM(E69,E62,E49)</f>
        <v>24949</v>
      </c>
      <c r="F70" s="4036">
        <f>SUM(F69,F62,F49)</f>
        <v>26082</v>
      </c>
      <c r="G70" s="4037">
        <f>SUM(G69,G62,G49)</f>
        <v>27025</v>
      </c>
      <c r="H70" s="4036">
        <f>SUM(H69,H62,H49)</f>
        <v>27396</v>
      </c>
      <c r="I70" s="4038">
        <f>SUM(I49,I62,I69)</f>
        <v>27809</v>
      </c>
      <c r="J70" s="4039">
        <f>SUM(J49,J62,J69)</f>
        <v>28116</v>
      </c>
      <c r="K70" s="4036">
        <f>SUM(K69,K62,K49)</f>
        <v>28457</v>
      </c>
      <c r="L70" s="4038">
        <f>SUM(L49,L62,L69)</f>
        <v>28910</v>
      </c>
      <c r="M70" s="4039">
        <f>SUM(M49,M62,M69)</f>
        <v>29317</v>
      </c>
      <c r="N70" s="4039">
        <f>SUM(N49,N62,N69)</f>
        <v>30416</v>
      </c>
      <c r="O70" s="4039">
        <f>SUM(O49,O62,O69)</f>
        <v>31541</v>
      </c>
    </row>
    <row r="71" spans="1:15" s="41" customFormat="1" ht="15" customHeight="1" x14ac:dyDescent="0.2">
      <c r="A71" s="5102" t="s">
        <v>326</v>
      </c>
      <c r="B71" s="5214" t="s">
        <v>5</v>
      </c>
      <c r="C71" s="988" t="s">
        <v>509</v>
      </c>
      <c r="D71" s="988"/>
      <c r="E71" s="988"/>
      <c r="F71" s="988"/>
      <c r="G71" s="988"/>
      <c r="H71" s="988"/>
      <c r="I71" s="988"/>
      <c r="J71" s="988"/>
      <c r="K71" s="988"/>
      <c r="L71" s="988"/>
      <c r="M71" s="988"/>
      <c r="N71" s="988"/>
      <c r="O71" s="4773">
        <v>20</v>
      </c>
    </row>
    <row r="72" spans="1:15" s="41" customFormat="1" ht="15" customHeight="1" x14ac:dyDescent="0.2">
      <c r="A72" s="5103"/>
      <c r="B72" s="5198"/>
      <c r="C72" s="995" t="s">
        <v>160</v>
      </c>
      <c r="D72" s="995"/>
      <c r="E72" s="995"/>
      <c r="F72" s="995"/>
      <c r="G72" s="995"/>
      <c r="H72" s="995"/>
      <c r="I72" s="995"/>
      <c r="J72" s="995"/>
      <c r="K72" s="995"/>
      <c r="L72" s="995"/>
      <c r="M72" s="995"/>
      <c r="N72" s="995"/>
      <c r="O72" s="4774">
        <f>SUM(O71)</f>
        <v>20</v>
      </c>
    </row>
    <row r="73" spans="1:15" s="41" customFormat="1" ht="15" customHeight="1" x14ac:dyDescent="0.2">
      <c r="A73" s="5103"/>
      <c r="B73" s="5196" t="s">
        <v>6</v>
      </c>
      <c r="C73" s="981" t="s">
        <v>510</v>
      </c>
      <c r="D73" s="981"/>
      <c r="E73" s="981"/>
      <c r="F73" s="981"/>
      <c r="G73" s="981"/>
      <c r="H73" s="981"/>
      <c r="I73" s="981"/>
      <c r="J73" s="981"/>
      <c r="K73" s="981"/>
      <c r="L73" s="981"/>
      <c r="M73" s="981"/>
      <c r="N73" s="981"/>
      <c r="O73" s="4775">
        <v>32</v>
      </c>
    </row>
    <row r="74" spans="1:15" s="41" customFormat="1" ht="15" customHeight="1" x14ac:dyDescent="0.2">
      <c r="A74" s="5103"/>
      <c r="B74" s="5197"/>
      <c r="C74" s="981" t="s">
        <v>625</v>
      </c>
      <c r="D74" s="981"/>
      <c r="E74" s="981"/>
      <c r="F74" s="981"/>
      <c r="G74" s="981"/>
      <c r="H74" s="981"/>
      <c r="I74" s="981"/>
      <c r="J74" s="981"/>
      <c r="K74" s="981"/>
      <c r="L74" s="981"/>
      <c r="M74" s="981"/>
      <c r="N74" s="981"/>
      <c r="O74" s="4775"/>
    </row>
    <row r="75" spans="1:15" s="41" customFormat="1" ht="15" customHeight="1" x14ac:dyDescent="0.2">
      <c r="A75" s="5103"/>
      <c r="B75" s="5198"/>
      <c r="C75" s="995" t="s">
        <v>160</v>
      </c>
      <c r="D75" s="995"/>
      <c r="E75" s="995"/>
      <c r="F75" s="995"/>
      <c r="G75" s="995"/>
      <c r="H75" s="995"/>
      <c r="I75" s="995"/>
      <c r="J75" s="995"/>
      <c r="K75" s="995"/>
      <c r="L75" s="995"/>
      <c r="M75" s="995"/>
      <c r="N75" s="995"/>
      <c r="O75" s="4774">
        <f>SUM(O73:O74)</f>
        <v>32</v>
      </c>
    </row>
    <row r="76" spans="1:15" s="41" customFormat="1" ht="15" customHeight="1" x14ac:dyDescent="0.2">
      <c r="A76" s="5213"/>
      <c r="B76" s="5214" t="s">
        <v>11</v>
      </c>
      <c r="C76" s="988" t="s">
        <v>511</v>
      </c>
      <c r="D76" s="988"/>
      <c r="E76" s="988"/>
      <c r="F76" s="988"/>
      <c r="G76" s="988"/>
      <c r="H76" s="988"/>
      <c r="I76" s="988"/>
      <c r="J76" s="988"/>
      <c r="K76" s="988"/>
      <c r="L76" s="988"/>
      <c r="M76" s="988"/>
      <c r="N76" s="988"/>
      <c r="O76" s="4776">
        <v>23</v>
      </c>
    </row>
    <row r="77" spans="1:15" s="41" customFormat="1" ht="15" customHeight="1" x14ac:dyDescent="0.2">
      <c r="A77" s="5213"/>
      <c r="B77" s="5198"/>
      <c r="C77" s="995" t="s">
        <v>160</v>
      </c>
      <c r="D77" s="995"/>
      <c r="E77" s="995"/>
      <c r="F77" s="995"/>
      <c r="G77" s="995"/>
      <c r="H77" s="995"/>
      <c r="I77" s="995"/>
      <c r="J77" s="995"/>
      <c r="K77" s="995"/>
      <c r="L77" s="995"/>
      <c r="M77" s="995"/>
      <c r="N77" s="995"/>
      <c r="O77" s="4774">
        <f>SUM(O76)</f>
        <v>23</v>
      </c>
    </row>
    <row r="78" spans="1:15" s="41" customFormat="1" ht="15" customHeight="1" x14ac:dyDescent="0.2">
      <c r="A78" s="5104"/>
      <c r="B78" s="4005"/>
      <c r="C78" s="2389" t="s">
        <v>516</v>
      </c>
      <c r="D78" s="2389"/>
      <c r="E78" s="2389"/>
      <c r="F78" s="2389"/>
      <c r="G78" s="2389"/>
      <c r="H78" s="2389"/>
      <c r="I78" s="2389"/>
      <c r="J78" s="2389"/>
      <c r="K78" s="2389"/>
      <c r="L78" s="2389"/>
      <c r="M78" s="2389"/>
      <c r="N78" s="2389"/>
      <c r="O78" s="4777">
        <f>SUM(O77,O75,O72)</f>
        <v>75</v>
      </c>
    </row>
    <row r="79" spans="1:15" s="41" customFormat="1" ht="15" customHeight="1" x14ac:dyDescent="0.2">
      <c r="A79" s="5251" t="s">
        <v>10</v>
      </c>
      <c r="B79" s="5159" t="s">
        <v>6</v>
      </c>
      <c r="C79" s="2537" t="s">
        <v>462</v>
      </c>
      <c r="D79" s="2536">
        <v>3297</v>
      </c>
      <c r="E79" s="2532">
        <v>3381</v>
      </c>
      <c r="F79" s="2532">
        <v>3494</v>
      </c>
      <c r="G79" s="2532">
        <v>3613</v>
      </c>
      <c r="H79" s="2533">
        <v>3664</v>
      </c>
      <c r="I79" s="2534">
        <v>3741</v>
      </c>
      <c r="J79" s="2535">
        <v>3743</v>
      </c>
      <c r="K79" s="2533">
        <v>3796</v>
      </c>
      <c r="L79" s="2534">
        <v>3889</v>
      </c>
      <c r="M79" s="2535">
        <v>3892</v>
      </c>
      <c r="N79" s="2535">
        <v>3998</v>
      </c>
      <c r="O79" s="2535">
        <v>4110</v>
      </c>
    </row>
    <row r="80" spans="1:15" s="41" customFormat="1" ht="15" customHeight="1" x14ac:dyDescent="0.2">
      <c r="A80" s="5252"/>
      <c r="B80" s="5159"/>
      <c r="C80" s="2517" t="s">
        <v>490</v>
      </c>
      <c r="D80" s="2518">
        <v>4765</v>
      </c>
      <c r="E80" s="2519">
        <v>4957</v>
      </c>
      <c r="F80" s="2519">
        <v>5151</v>
      </c>
      <c r="G80" s="2519">
        <v>5327</v>
      </c>
      <c r="H80" s="2520">
        <v>5402</v>
      </c>
      <c r="I80" s="2521">
        <v>5498</v>
      </c>
      <c r="J80" s="2522">
        <v>5498</v>
      </c>
      <c r="K80" s="2520">
        <v>5570</v>
      </c>
      <c r="L80" s="2521">
        <v>5681</v>
      </c>
      <c r="M80" s="2522">
        <v>5673</v>
      </c>
      <c r="N80" s="2522">
        <v>5847</v>
      </c>
      <c r="O80" s="2522">
        <v>6018</v>
      </c>
    </row>
    <row r="81" spans="1:15" s="41" customFormat="1" ht="15" customHeight="1" x14ac:dyDescent="0.2">
      <c r="A81" s="5252"/>
      <c r="B81" s="5159"/>
      <c r="C81" s="2517" t="s">
        <v>464</v>
      </c>
      <c r="D81" s="2518">
        <v>1894</v>
      </c>
      <c r="E81" s="2519">
        <v>1981</v>
      </c>
      <c r="F81" s="2519">
        <v>2107</v>
      </c>
      <c r="G81" s="2519">
        <v>2185</v>
      </c>
      <c r="H81" s="2520">
        <v>2234</v>
      </c>
      <c r="I81" s="2521">
        <v>2265</v>
      </c>
      <c r="J81" s="2522">
        <v>2266</v>
      </c>
      <c r="K81" s="2520">
        <v>2289</v>
      </c>
      <c r="L81" s="2521">
        <v>2323</v>
      </c>
      <c r="M81" s="2522">
        <v>2328</v>
      </c>
      <c r="N81" s="2522">
        <v>2403</v>
      </c>
      <c r="O81" s="2522">
        <v>2485</v>
      </c>
    </row>
    <row r="82" spans="1:15" s="41" customFormat="1" ht="15" customHeight="1" x14ac:dyDescent="0.2">
      <c r="A82" s="5252"/>
      <c r="B82" s="5159"/>
      <c r="C82" s="2517" t="s">
        <v>491</v>
      </c>
      <c r="D82" s="2518">
        <v>6886</v>
      </c>
      <c r="E82" s="2519">
        <v>7270</v>
      </c>
      <c r="F82" s="2519">
        <v>7558</v>
      </c>
      <c r="G82" s="2519">
        <v>7831</v>
      </c>
      <c r="H82" s="2520">
        <v>7940</v>
      </c>
      <c r="I82" s="2521">
        <v>8092</v>
      </c>
      <c r="J82" s="2522">
        <v>8092</v>
      </c>
      <c r="K82" s="2520">
        <v>8239</v>
      </c>
      <c r="L82" s="2521">
        <v>8423</v>
      </c>
      <c r="M82" s="2522">
        <v>8424</v>
      </c>
      <c r="N82" s="2522">
        <v>8719</v>
      </c>
      <c r="O82" s="2522">
        <v>9004</v>
      </c>
    </row>
    <row r="83" spans="1:15" s="41" customFormat="1" ht="15" customHeight="1" x14ac:dyDescent="0.2">
      <c r="A83" s="5252"/>
      <c r="B83" s="5159"/>
      <c r="C83" s="2517" t="s">
        <v>465</v>
      </c>
      <c r="D83" s="2518">
        <v>2297</v>
      </c>
      <c r="E83" s="2519">
        <v>2430</v>
      </c>
      <c r="F83" s="2519">
        <v>2549</v>
      </c>
      <c r="G83" s="2519">
        <v>2665</v>
      </c>
      <c r="H83" s="2520">
        <v>2713</v>
      </c>
      <c r="I83" s="2521">
        <v>2772</v>
      </c>
      <c r="J83" s="2522">
        <v>2773</v>
      </c>
      <c r="K83" s="2520">
        <v>2842</v>
      </c>
      <c r="L83" s="2521">
        <v>2906</v>
      </c>
      <c r="M83" s="2522">
        <v>2906</v>
      </c>
      <c r="N83" s="2522">
        <v>3023</v>
      </c>
      <c r="O83" s="2522">
        <v>3150</v>
      </c>
    </row>
    <row r="84" spans="1:15" s="41" customFormat="1" ht="15" customHeight="1" x14ac:dyDescent="0.2">
      <c r="A84" s="5252"/>
      <c r="B84" s="5159"/>
      <c r="C84" s="2517" t="s">
        <v>492</v>
      </c>
      <c r="D84" s="2518">
        <v>236</v>
      </c>
      <c r="E84" s="2519">
        <v>282</v>
      </c>
      <c r="F84" s="2519">
        <v>328</v>
      </c>
      <c r="G84" s="2519">
        <v>381</v>
      </c>
      <c r="H84" s="2520">
        <v>400</v>
      </c>
      <c r="I84" s="2521">
        <v>426</v>
      </c>
      <c r="J84" s="2522">
        <v>427</v>
      </c>
      <c r="K84" s="2520">
        <v>453</v>
      </c>
      <c r="L84" s="2521">
        <v>482</v>
      </c>
      <c r="M84" s="2522">
        <v>482</v>
      </c>
      <c r="N84" s="2522">
        <v>524</v>
      </c>
      <c r="O84" s="2522">
        <v>557</v>
      </c>
    </row>
    <row r="85" spans="1:15" s="41" customFormat="1" ht="15" customHeight="1" x14ac:dyDescent="0.2">
      <c r="A85" s="5252"/>
      <c r="B85" s="5160"/>
      <c r="C85" s="2523" t="s">
        <v>160</v>
      </c>
      <c r="D85" s="2524">
        <f t="shared" ref="D85:J85" si="10">SUM(D79:D84)</f>
        <v>19375</v>
      </c>
      <c r="E85" s="2524">
        <f t="shared" si="10"/>
        <v>20301</v>
      </c>
      <c r="F85" s="2524">
        <f t="shared" si="10"/>
        <v>21187</v>
      </c>
      <c r="G85" s="2525">
        <f t="shared" si="10"/>
        <v>22002</v>
      </c>
      <c r="H85" s="2524">
        <f t="shared" si="10"/>
        <v>22353</v>
      </c>
      <c r="I85" s="2526">
        <f t="shared" si="10"/>
        <v>22794</v>
      </c>
      <c r="J85" s="2527">
        <f t="shared" si="10"/>
        <v>22799</v>
      </c>
      <c r="K85" s="2524">
        <f>SUM(K79:K84)</f>
        <v>23189</v>
      </c>
      <c r="L85" s="2526">
        <f>SUM(L79:L84)</f>
        <v>23704</v>
      </c>
      <c r="M85" s="2527">
        <f>SUM(M79:M84)</f>
        <v>23705</v>
      </c>
      <c r="N85" s="2527">
        <f>SUM(N79:N84)</f>
        <v>24514</v>
      </c>
      <c r="O85" s="2527">
        <f>SUM(O79:O84)</f>
        <v>25324</v>
      </c>
    </row>
    <row r="86" spans="1:15" s="41" customFormat="1" ht="15" customHeight="1" x14ac:dyDescent="0.2">
      <c r="A86" s="5252"/>
      <c r="B86" s="5158" t="s">
        <v>11</v>
      </c>
      <c r="C86" s="2517" t="s">
        <v>484</v>
      </c>
      <c r="D86" s="2518">
        <v>2862</v>
      </c>
      <c r="E86" s="2519">
        <v>3022</v>
      </c>
      <c r="F86" s="2519">
        <v>3167</v>
      </c>
      <c r="G86" s="2519">
        <v>3316</v>
      </c>
      <c r="H86" s="2520">
        <v>3369</v>
      </c>
      <c r="I86" s="2521">
        <v>3433</v>
      </c>
      <c r="J86" s="2522">
        <v>3467</v>
      </c>
      <c r="K86" s="2520">
        <v>3524</v>
      </c>
      <c r="L86" s="2521">
        <v>3579</v>
      </c>
      <c r="M86" s="2522">
        <v>3612</v>
      </c>
      <c r="N86" s="2522">
        <v>3772</v>
      </c>
      <c r="O86" s="2522">
        <v>3883</v>
      </c>
    </row>
    <row r="87" spans="1:15" s="41" customFormat="1" ht="15" customHeight="1" x14ac:dyDescent="0.2">
      <c r="A87" s="5252"/>
      <c r="B87" s="5159"/>
      <c r="C87" s="2517" t="s">
        <v>493</v>
      </c>
      <c r="D87" s="2518">
        <v>1387</v>
      </c>
      <c r="E87" s="2519">
        <v>1479</v>
      </c>
      <c r="F87" s="2519">
        <v>1592</v>
      </c>
      <c r="G87" s="2519">
        <v>1704</v>
      </c>
      <c r="H87" s="2520">
        <v>1756</v>
      </c>
      <c r="I87" s="2521">
        <v>1819</v>
      </c>
      <c r="J87" s="2522">
        <v>1844</v>
      </c>
      <c r="K87" s="2520">
        <v>1885</v>
      </c>
      <c r="L87" s="2521">
        <v>1947</v>
      </c>
      <c r="M87" s="2522">
        <v>1970</v>
      </c>
      <c r="N87" s="2522">
        <v>2082</v>
      </c>
      <c r="O87" s="2522">
        <v>2191</v>
      </c>
    </row>
    <row r="88" spans="1:15" s="41" customFormat="1" ht="15" customHeight="1" x14ac:dyDescent="0.2">
      <c r="A88" s="5252"/>
      <c r="B88" s="5159"/>
      <c r="C88" s="2517" t="s">
        <v>494</v>
      </c>
      <c r="D88" s="2518">
        <v>5265</v>
      </c>
      <c r="E88" s="2519">
        <v>5510</v>
      </c>
      <c r="F88" s="2519">
        <v>5701</v>
      </c>
      <c r="G88" s="2519">
        <v>5854</v>
      </c>
      <c r="H88" s="2520">
        <v>5914</v>
      </c>
      <c r="I88" s="2521">
        <v>5985</v>
      </c>
      <c r="J88" s="2522">
        <v>6017</v>
      </c>
      <c r="K88" s="2520">
        <v>6065</v>
      </c>
      <c r="L88" s="2521">
        <v>6122</v>
      </c>
      <c r="M88" s="2522">
        <v>6150</v>
      </c>
      <c r="N88" s="2522">
        <v>6295</v>
      </c>
      <c r="O88" s="2522">
        <v>6451</v>
      </c>
    </row>
    <row r="89" spans="1:15" s="41" customFormat="1" ht="15" customHeight="1" x14ac:dyDescent="0.2">
      <c r="A89" s="5252"/>
      <c r="B89" s="5159"/>
      <c r="C89" s="2517" t="s">
        <v>495</v>
      </c>
      <c r="D89" s="2518">
        <v>3566</v>
      </c>
      <c r="E89" s="2519">
        <v>3735</v>
      </c>
      <c r="F89" s="2519">
        <v>3942</v>
      </c>
      <c r="G89" s="2519">
        <v>4116</v>
      </c>
      <c r="H89" s="2520">
        <v>4174</v>
      </c>
      <c r="I89" s="2521">
        <v>4260</v>
      </c>
      <c r="J89" s="2522">
        <v>4344</v>
      </c>
      <c r="K89" s="2520">
        <v>4400</v>
      </c>
      <c r="L89" s="2521">
        <v>4470</v>
      </c>
      <c r="M89" s="2522">
        <v>4522</v>
      </c>
      <c r="N89" s="2522">
        <v>4680</v>
      </c>
      <c r="O89" s="2522">
        <v>4853</v>
      </c>
    </row>
    <row r="90" spans="1:15" s="41" customFormat="1" ht="15" customHeight="1" x14ac:dyDescent="0.2">
      <c r="A90" s="5252"/>
      <c r="B90" s="5159"/>
      <c r="C90" s="2517" t="s">
        <v>496</v>
      </c>
      <c r="D90" s="2518">
        <v>4403</v>
      </c>
      <c r="E90" s="2519">
        <v>4605</v>
      </c>
      <c r="F90" s="2519">
        <v>4798</v>
      </c>
      <c r="G90" s="2519">
        <v>5000</v>
      </c>
      <c r="H90" s="2520">
        <v>5049</v>
      </c>
      <c r="I90" s="2521">
        <v>5113</v>
      </c>
      <c r="J90" s="2522">
        <v>5151</v>
      </c>
      <c r="K90" s="2520">
        <v>5194</v>
      </c>
      <c r="L90" s="2521">
        <v>5243</v>
      </c>
      <c r="M90" s="2522">
        <v>5297</v>
      </c>
      <c r="N90" s="2522">
        <v>5457</v>
      </c>
      <c r="O90" s="2522">
        <v>5606</v>
      </c>
    </row>
    <row r="91" spans="1:15" s="41" customFormat="1" ht="15" customHeight="1" x14ac:dyDescent="0.2">
      <c r="A91" s="5252"/>
      <c r="B91" s="5159"/>
      <c r="C91" s="2517" t="s">
        <v>497</v>
      </c>
      <c r="D91" s="2518">
        <v>2447</v>
      </c>
      <c r="E91" s="2519">
        <v>2490</v>
      </c>
      <c r="F91" s="2519">
        <v>2559</v>
      </c>
      <c r="G91" s="2519">
        <v>2643</v>
      </c>
      <c r="H91" s="2520">
        <v>2680</v>
      </c>
      <c r="I91" s="2521">
        <v>2735</v>
      </c>
      <c r="J91" s="2522">
        <v>2754</v>
      </c>
      <c r="K91" s="2520">
        <v>2787</v>
      </c>
      <c r="L91" s="2521">
        <v>2837</v>
      </c>
      <c r="M91" s="2522">
        <v>2867</v>
      </c>
      <c r="N91" s="2522">
        <v>2977</v>
      </c>
      <c r="O91" s="2522">
        <v>3105</v>
      </c>
    </row>
    <row r="92" spans="1:15" s="41" customFormat="1" ht="15" customHeight="1" x14ac:dyDescent="0.2">
      <c r="A92" s="5252"/>
      <c r="B92" s="5159"/>
      <c r="C92" s="2517" t="s">
        <v>498</v>
      </c>
      <c r="D92" s="2518">
        <v>4013</v>
      </c>
      <c r="E92" s="2519">
        <v>4188</v>
      </c>
      <c r="F92" s="2519">
        <v>4378</v>
      </c>
      <c r="G92" s="2519">
        <v>4542</v>
      </c>
      <c r="H92" s="2520">
        <v>4543</v>
      </c>
      <c r="I92" s="2521">
        <v>4609</v>
      </c>
      <c r="J92" s="2522">
        <v>4676</v>
      </c>
      <c r="K92" s="2520">
        <v>4678</v>
      </c>
      <c r="L92" s="2521">
        <v>4735</v>
      </c>
      <c r="M92" s="2522">
        <v>4856</v>
      </c>
      <c r="N92" s="2522">
        <v>5025</v>
      </c>
      <c r="O92" s="2522">
        <v>5213</v>
      </c>
    </row>
    <row r="93" spans="1:15" s="41" customFormat="1" ht="15" customHeight="1" x14ac:dyDescent="0.2">
      <c r="A93" s="5252"/>
      <c r="B93" s="5159"/>
      <c r="C93" s="2517" t="s">
        <v>499</v>
      </c>
      <c r="D93" s="2518">
        <v>1791</v>
      </c>
      <c r="E93" s="2519">
        <v>1999</v>
      </c>
      <c r="F93" s="2519">
        <v>2084</v>
      </c>
      <c r="G93" s="2519">
        <v>2207</v>
      </c>
      <c r="H93" s="2520">
        <v>2249</v>
      </c>
      <c r="I93" s="2521">
        <v>2303</v>
      </c>
      <c r="J93" s="2522">
        <v>2314</v>
      </c>
      <c r="K93" s="2520">
        <v>2358</v>
      </c>
      <c r="L93" s="2521">
        <v>2407</v>
      </c>
      <c r="M93" s="2522">
        <v>2437</v>
      </c>
      <c r="N93" s="2522">
        <v>2552</v>
      </c>
      <c r="O93" s="2522">
        <v>2683</v>
      </c>
    </row>
    <row r="94" spans="1:15" s="41" customFormat="1" ht="15" customHeight="1" x14ac:dyDescent="0.2">
      <c r="A94" s="5252"/>
      <c r="B94" s="5160"/>
      <c r="C94" s="2523" t="s">
        <v>160</v>
      </c>
      <c r="D94" s="2524">
        <f t="shared" ref="D94:J94" si="11">SUM(D86:D93)</f>
        <v>25734</v>
      </c>
      <c r="E94" s="2524">
        <f t="shared" si="11"/>
        <v>27028</v>
      </c>
      <c r="F94" s="2524">
        <f t="shared" si="11"/>
        <v>28221</v>
      </c>
      <c r="G94" s="2525">
        <f t="shared" si="11"/>
        <v>29382</v>
      </c>
      <c r="H94" s="2524">
        <f t="shared" si="11"/>
        <v>29734</v>
      </c>
      <c r="I94" s="2526">
        <f t="shared" si="11"/>
        <v>30257</v>
      </c>
      <c r="J94" s="2527">
        <f t="shared" si="11"/>
        <v>30567</v>
      </c>
      <c r="K94" s="2524">
        <f>SUM(K86:K93)</f>
        <v>30891</v>
      </c>
      <c r="L94" s="2526">
        <f>SUM(L86:L93)</f>
        <v>31340</v>
      </c>
      <c r="M94" s="2527">
        <f>SUM(M86:M93)</f>
        <v>31711</v>
      </c>
      <c r="N94" s="2527">
        <f>SUM(N86:N93)</f>
        <v>32840</v>
      </c>
      <c r="O94" s="2527">
        <f>SUM(O86:O93)</f>
        <v>33985</v>
      </c>
    </row>
    <row r="95" spans="1:15" s="41" customFormat="1" ht="15" customHeight="1" x14ac:dyDescent="0.2">
      <c r="A95" s="5252"/>
      <c r="B95" s="5052" t="s">
        <v>7</v>
      </c>
      <c r="C95" s="2517" t="s">
        <v>466</v>
      </c>
      <c r="D95" s="2518">
        <v>3187</v>
      </c>
      <c r="E95" s="2519">
        <v>3398</v>
      </c>
      <c r="F95" s="2519">
        <v>3607</v>
      </c>
      <c r="G95" s="2519">
        <v>3796</v>
      </c>
      <c r="H95" s="2520">
        <v>3873</v>
      </c>
      <c r="I95" s="2521">
        <v>3977</v>
      </c>
      <c r="J95" s="2522">
        <v>3979</v>
      </c>
      <c r="K95" s="2520">
        <v>4066</v>
      </c>
      <c r="L95" s="2521">
        <v>4141</v>
      </c>
      <c r="M95" s="2522">
        <v>4148</v>
      </c>
      <c r="N95" s="2522">
        <v>4357</v>
      </c>
      <c r="O95" s="2522">
        <v>4525</v>
      </c>
    </row>
    <row r="96" spans="1:15" s="41" customFormat="1" ht="15" customHeight="1" x14ac:dyDescent="0.2">
      <c r="A96" s="5252"/>
      <c r="B96" s="5053"/>
      <c r="C96" s="2517" t="s">
        <v>467</v>
      </c>
      <c r="D96" s="2518">
        <v>2511</v>
      </c>
      <c r="E96" s="2519">
        <v>2613</v>
      </c>
      <c r="F96" s="2519">
        <v>2705</v>
      </c>
      <c r="G96" s="2519">
        <v>2777</v>
      </c>
      <c r="H96" s="2520">
        <v>2819</v>
      </c>
      <c r="I96" s="2521">
        <v>2871</v>
      </c>
      <c r="J96" s="2522">
        <v>2871</v>
      </c>
      <c r="K96" s="2520">
        <v>2925</v>
      </c>
      <c r="L96" s="2521">
        <v>2974</v>
      </c>
      <c r="M96" s="2522">
        <v>2982</v>
      </c>
      <c r="N96" s="2522">
        <v>3103</v>
      </c>
      <c r="O96" s="2522">
        <v>3198</v>
      </c>
    </row>
    <row r="97" spans="1:15" s="41" customFormat="1" ht="15" customHeight="1" x14ac:dyDescent="0.2">
      <c r="A97" s="5252"/>
      <c r="B97" s="5053"/>
      <c r="C97" s="2517" t="s">
        <v>468</v>
      </c>
      <c r="D97" s="2518">
        <v>1848</v>
      </c>
      <c r="E97" s="2519">
        <v>1955</v>
      </c>
      <c r="F97" s="2519">
        <v>2034</v>
      </c>
      <c r="G97" s="2519">
        <v>2109</v>
      </c>
      <c r="H97" s="2520">
        <v>2133</v>
      </c>
      <c r="I97" s="2521">
        <v>2156</v>
      </c>
      <c r="J97" s="2522">
        <v>2156</v>
      </c>
      <c r="K97" s="2520">
        <v>2200</v>
      </c>
      <c r="L97" s="2521">
        <v>2231</v>
      </c>
      <c r="M97" s="2522">
        <v>2231</v>
      </c>
      <c r="N97" s="2522">
        <v>2304</v>
      </c>
      <c r="O97" s="2522">
        <v>2376</v>
      </c>
    </row>
    <row r="98" spans="1:15" s="41" customFormat="1" ht="15" customHeight="1" x14ac:dyDescent="0.2">
      <c r="A98" s="5252"/>
      <c r="B98" s="5053"/>
      <c r="C98" s="2517" t="s">
        <v>500</v>
      </c>
      <c r="D98" s="2518">
        <v>888</v>
      </c>
      <c r="E98" s="2519">
        <v>932</v>
      </c>
      <c r="F98" s="2519">
        <v>998</v>
      </c>
      <c r="G98" s="2519">
        <v>1039</v>
      </c>
      <c r="H98" s="2520">
        <v>1063</v>
      </c>
      <c r="I98" s="2521">
        <v>1090</v>
      </c>
      <c r="J98" s="2522">
        <v>1090</v>
      </c>
      <c r="K98" s="2520">
        <v>1124</v>
      </c>
      <c r="L98" s="2521">
        <v>1169</v>
      </c>
      <c r="M98" s="2522">
        <v>1169</v>
      </c>
      <c r="N98" s="2522">
        <v>1219</v>
      </c>
      <c r="O98" s="2522">
        <v>1292</v>
      </c>
    </row>
    <row r="99" spans="1:15" s="41" customFormat="1" ht="15" customHeight="1" x14ac:dyDescent="0.2">
      <c r="A99" s="5252"/>
      <c r="B99" s="5054"/>
      <c r="C99" s="874" t="s">
        <v>160</v>
      </c>
      <c r="D99" s="4040">
        <f t="shared" ref="D99:I99" si="12">SUM(D95:D98)</f>
        <v>8434</v>
      </c>
      <c r="E99" s="4040">
        <f t="shared" si="12"/>
        <v>8898</v>
      </c>
      <c r="F99" s="4040">
        <f t="shared" si="12"/>
        <v>9344</v>
      </c>
      <c r="G99" s="4041">
        <f t="shared" si="12"/>
        <v>9721</v>
      </c>
      <c r="H99" s="4040">
        <f t="shared" si="12"/>
        <v>9888</v>
      </c>
      <c r="I99" s="4042">
        <f t="shared" si="12"/>
        <v>10094</v>
      </c>
      <c r="J99" s="4043">
        <f t="shared" ref="J99:O99" si="13">SUM(J95:J98)</f>
        <v>10096</v>
      </c>
      <c r="K99" s="4040">
        <f t="shared" si="13"/>
        <v>10315</v>
      </c>
      <c r="L99" s="4042">
        <f t="shared" si="13"/>
        <v>10515</v>
      </c>
      <c r="M99" s="4043">
        <f t="shared" si="13"/>
        <v>10530</v>
      </c>
      <c r="N99" s="4043">
        <f t="shared" si="13"/>
        <v>10983</v>
      </c>
      <c r="O99" s="4043">
        <f t="shared" si="13"/>
        <v>11391</v>
      </c>
    </row>
    <row r="100" spans="1:15" s="41" customFormat="1" ht="15" customHeight="1" x14ac:dyDescent="0.2">
      <c r="A100" s="5253"/>
      <c r="B100" s="4009"/>
      <c r="C100" s="4010" t="s">
        <v>450</v>
      </c>
      <c r="D100" s="4044">
        <f>SUM(D99,D94,D85)</f>
        <v>53543</v>
      </c>
      <c r="E100" s="4044">
        <f>SUM(E99,E94,E85)</f>
        <v>56227</v>
      </c>
      <c r="F100" s="4044">
        <f>SUM(F99,F94,F85)</f>
        <v>58752</v>
      </c>
      <c r="G100" s="4045">
        <f>SUM(G99,G94,G85)</f>
        <v>61105</v>
      </c>
      <c r="H100" s="4044">
        <f>SUM(H99,H94,H85)</f>
        <v>61975</v>
      </c>
      <c r="I100" s="4046">
        <f>SUM(I85,I94,I99)</f>
        <v>63145</v>
      </c>
      <c r="J100" s="4047">
        <f>SUM(J85,J94,J99)</f>
        <v>63462</v>
      </c>
      <c r="K100" s="4044">
        <f>SUM(K99,K94,K85)</f>
        <v>64395</v>
      </c>
      <c r="L100" s="4046">
        <f>SUM(L85,L94,L99)</f>
        <v>65559</v>
      </c>
      <c r="M100" s="4047">
        <f>SUM(M85,M94,M99)</f>
        <v>65946</v>
      </c>
      <c r="N100" s="4047">
        <f>SUM(N85,N94,N99)</f>
        <v>68337</v>
      </c>
      <c r="O100" s="4047">
        <f>SUM(O85,O94,O99)</f>
        <v>70700</v>
      </c>
    </row>
    <row r="101" spans="1:15" s="41" customFormat="1" ht="15" customHeight="1" x14ac:dyDescent="0.2">
      <c r="A101" s="781"/>
      <c r="B101" s="788"/>
      <c r="C101" s="517"/>
      <c r="D101" s="519"/>
      <c r="E101" s="787"/>
      <c r="F101" s="787"/>
      <c r="G101" s="781"/>
      <c r="H101" s="781"/>
      <c r="I101" s="781"/>
      <c r="J101" s="781"/>
      <c r="K101" s="781"/>
      <c r="L101" s="781"/>
      <c r="M101" s="781"/>
      <c r="N101" s="781"/>
      <c r="O101" s="781"/>
    </row>
    <row r="102" spans="1:15" s="182" customFormat="1" ht="15" x14ac:dyDescent="0.25">
      <c r="B102" s="5258" t="s">
        <v>76</v>
      </c>
      <c r="C102" s="5259"/>
      <c r="D102" s="708">
        <f t="shared" ref="D102:J102" si="14">SUM(D24,D39,D70,D100)</f>
        <v>111709</v>
      </c>
      <c r="E102" s="708">
        <f>SUM(E24,E39,E70,E100)</f>
        <v>116618</v>
      </c>
      <c r="F102" s="708">
        <f t="shared" si="14"/>
        <v>121589</v>
      </c>
      <c r="G102" s="708">
        <f t="shared" si="14"/>
        <v>126090</v>
      </c>
      <c r="H102" s="568">
        <f t="shared" si="14"/>
        <v>127729</v>
      </c>
      <c r="I102" s="941">
        <f t="shared" si="14"/>
        <v>129822</v>
      </c>
      <c r="J102" s="942">
        <f t="shared" si="14"/>
        <v>130831</v>
      </c>
      <c r="K102" s="568">
        <f>SUM(K24,K39,K70,K100)</f>
        <v>132606</v>
      </c>
      <c r="L102" s="941">
        <f>SUM(L24,L39,L70,L100)</f>
        <v>134962</v>
      </c>
      <c r="M102" s="942">
        <f>SUM(M24,M39,M70,M100)</f>
        <v>136236</v>
      </c>
      <c r="N102" s="942">
        <f>SUM(N24,N39,N70,N100)</f>
        <v>141322</v>
      </c>
      <c r="O102" s="942">
        <f>SUM(O24,O39,O70,O78,O100)</f>
        <v>146497</v>
      </c>
    </row>
    <row r="103" spans="1:15" s="183" customFormat="1" ht="15" customHeight="1" x14ac:dyDescent="0.25">
      <c r="A103" s="789"/>
      <c r="C103" s="321"/>
      <c r="D103" s="321"/>
      <c r="E103" s="789"/>
      <c r="F103" s="789"/>
      <c r="G103" s="790"/>
    </row>
    <row r="104" spans="1:15" s="183" customFormat="1" ht="15" customHeight="1" x14ac:dyDescent="0.25">
      <c r="A104" s="789"/>
      <c r="B104" s="3439" t="s">
        <v>659</v>
      </c>
      <c r="C104" s="781"/>
      <c r="D104" s="781"/>
      <c r="E104" s="789"/>
      <c r="F104" s="789"/>
      <c r="G104" s="789"/>
    </row>
    <row r="105" spans="1:15" ht="15" x14ac:dyDescent="0.2">
      <c r="B105" s="781" t="s">
        <v>665</v>
      </c>
      <c r="E105" s="279"/>
      <c r="F105" s="279"/>
      <c r="M105" s="279"/>
    </row>
    <row r="106" spans="1:15" x14ac:dyDescent="0.2">
      <c r="F106" s="279"/>
      <c r="N106" s="279"/>
    </row>
    <row r="107" spans="1:15" x14ac:dyDescent="0.2">
      <c r="J107" s="279"/>
    </row>
  </sheetData>
  <mergeCells count="22">
    <mergeCell ref="B40:B49"/>
    <mergeCell ref="B86:B94"/>
    <mergeCell ref="A71:A78"/>
    <mergeCell ref="B71:B72"/>
    <mergeCell ref="B73:B75"/>
    <mergeCell ref="B76:B77"/>
    <mergeCell ref="B95:B99"/>
    <mergeCell ref="A79:A100"/>
    <mergeCell ref="A40:A70"/>
    <mergeCell ref="A1:C1"/>
    <mergeCell ref="B102:C102"/>
    <mergeCell ref="A4:A24"/>
    <mergeCell ref="A25:A39"/>
    <mergeCell ref="B25:B29"/>
    <mergeCell ref="B30:B33"/>
    <mergeCell ref="B34:B38"/>
    <mergeCell ref="B4:B14"/>
    <mergeCell ref="B15:B19"/>
    <mergeCell ref="B20:B23"/>
    <mergeCell ref="B50:B62"/>
    <mergeCell ref="B63:B69"/>
    <mergeCell ref="B79:B85"/>
  </mergeCells>
  <printOptions horizontalCentered="1" verticalCentered="1"/>
  <pageMargins left="0.27559055118110237" right="0.27559055118110237" top="0.39370078740157483" bottom="0.39370078740157483" header="0" footer="0"/>
  <pageSetup scale="65" orientation="portrait" horizontalDpi="1200" verticalDpi="1200" r:id="rId1"/>
  <headerFooter alignWithMargins="0"/>
  <rowBreaks count="1" manualBreakCount="1">
    <brk id="78" max="13" man="1"/>
  </rowBreaks>
  <ignoredErrors>
    <ignoredError sqref="H102 K24 K70 K100 J38 E24" formula="1"/>
    <ignoredError sqref="D14:G14 J14:N14" formulaRange="1"/>
    <ignoredError sqref="K39" formula="1" formulaRange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B1:R68"/>
  <sheetViews>
    <sheetView showGridLines="0" zoomScaleNormal="100" zoomScaleSheetLayoutView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Q60" sqref="Q60"/>
    </sheetView>
  </sheetViews>
  <sheetFormatPr baseColWidth="10" defaultRowHeight="12.75" x14ac:dyDescent="0.2"/>
  <cols>
    <col min="1" max="1" width="3.28515625" style="23" customWidth="1"/>
    <col min="2" max="2" width="17.42578125" style="23" customWidth="1"/>
    <col min="3" max="7" width="12.7109375" style="23" customWidth="1"/>
    <col min="8" max="9" width="9.7109375" style="23" hidden="1" customWidth="1"/>
    <col min="10" max="10" width="9.7109375" style="23" customWidth="1"/>
    <col min="11" max="12" width="9.7109375" style="23" hidden="1" customWidth="1"/>
    <col min="13" max="19" width="9.7109375" style="23" customWidth="1"/>
    <col min="20" max="20" width="6" style="23" customWidth="1"/>
    <col min="21" max="16384" width="11.42578125" style="23"/>
  </cols>
  <sheetData>
    <row r="1" spans="2:15" ht="15.75" x14ac:dyDescent="0.2">
      <c r="B1" s="695"/>
      <c r="C1" s="693"/>
      <c r="D1" s="693"/>
      <c r="E1" s="693"/>
      <c r="F1" s="693"/>
      <c r="H1" s="40"/>
      <c r="K1" s="40"/>
      <c r="O1" s="40"/>
    </row>
    <row r="2" spans="2:15" ht="15.75" x14ac:dyDescent="0.2">
      <c r="B2" s="693" t="s">
        <v>340</v>
      </c>
      <c r="C2" s="694"/>
      <c r="D2" s="694"/>
      <c r="E2" s="694"/>
      <c r="F2" s="694"/>
    </row>
    <row r="3" spans="2:15" ht="15" x14ac:dyDescent="0.2">
      <c r="B3" s="440"/>
      <c r="C3" s="440"/>
      <c r="D3" s="440"/>
    </row>
    <row r="4" spans="2:15" ht="15" x14ac:dyDescent="0.2">
      <c r="B4" s="2059" t="s">
        <v>16</v>
      </c>
      <c r="C4" s="571" t="s">
        <v>4</v>
      </c>
      <c r="D4" s="1756">
        <v>2008</v>
      </c>
      <c r="E4" s="1756">
        <v>2009</v>
      </c>
      <c r="F4" s="1756">
        <v>2010</v>
      </c>
      <c r="G4" s="1756">
        <v>2011</v>
      </c>
      <c r="H4" s="1756">
        <v>2012</v>
      </c>
      <c r="I4" s="1756">
        <v>2012</v>
      </c>
      <c r="J4" s="1756">
        <v>2012</v>
      </c>
      <c r="K4" s="1756">
        <v>2013</v>
      </c>
      <c r="L4" s="1756">
        <v>2013</v>
      </c>
      <c r="M4" s="1756">
        <v>2013</v>
      </c>
      <c r="N4" s="1756">
        <v>2014</v>
      </c>
      <c r="O4" s="1756">
        <v>2015</v>
      </c>
    </row>
    <row r="5" spans="2:15" x14ac:dyDescent="0.2">
      <c r="B5" s="262"/>
      <c r="C5" s="262"/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  <c r="O5" s="3292"/>
    </row>
    <row r="6" spans="2:15" ht="15" customHeight="1" x14ac:dyDescent="0.2">
      <c r="B6" s="5146" t="s">
        <v>161</v>
      </c>
      <c r="C6" s="793" t="s">
        <v>5</v>
      </c>
      <c r="D6" s="782">
        <f>SUM('EGRESO-ACUM plan'!D4:D13)</f>
        <v>9942</v>
      </c>
      <c r="E6" s="782">
        <f>SUM('EGRESO-ACUM plan'!E4:E13)</f>
        <v>10318</v>
      </c>
      <c r="F6" s="782">
        <f>SUM('EGRESO-ACUM plan'!F4:F13)</f>
        <v>10721</v>
      </c>
      <c r="G6" s="782">
        <f>SUM('EGRESO-ACUM plan'!G4:G13)</f>
        <v>11136</v>
      </c>
      <c r="H6" s="791">
        <f>SUM('EGRESO-ACUM plan'!H4:H13)</f>
        <v>11250</v>
      </c>
      <c r="I6" s="785">
        <f>SUM('EGRESO-ACUM plan'!I4:I13)</f>
        <v>11384</v>
      </c>
      <c r="J6" s="786">
        <f>SUM('EGRESO-ACUM plan'!J4:J13)</f>
        <v>11506</v>
      </c>
      <c r="K6" s="791">
        <f>SUM('EGRESO-ACUM plan'!K4:K13)</f>
        <v>11646</v>
      </c>
      <c r="L6" s="785">
        <f>SUM('EGRESO-ACUM plan'!L4:L13)</f>
        <v>11877</v>
      </c>
      <c r="M6" s="786">
        <f>SUM('EGRESO-ACUM plan'!M4:M13)</f>
        <v>12057</v>
      </c>
      <c r="N6" s="786">
        <f>SUM('EGRESO-ACUM plan'!N4:N13)</f>
        <v>12632</v>
      </c>
      <c r="O6" s="786">
        <f>SUM('EGRESO-ACUM plan'!O4:O13)</f>
        <v>13144</v>
      </c>
    </row>
    <row r="7" spans="2:15" ht="15" x14ac:dyDescent="0.2">
      <c r="B7" s="5147"/>
      <c r="C7" s="794" t="s">
        <v>6</v>
      </c>
      <c r="D7" s="783">
        <f>SUM('EGRESO-ACUM plan'!D15:D18)</f>
        <v>14997</v>
      </c>
      <c r="E7" s="783">
        <f>SUM('EGRESO-ACUM plan'!E15:E18)</f>
        <v>15512</v>
      </c>
      <c r="F7" s="783">
        <f>SUM('EGRESO-ACUM plan'!F15:F18)</f>
        <v>16039</v>
      </c>
      <c r="G7" s="783">
        <f>SUM('EGRESO-ACUM plan'!G15:G18)</f>
        <v>16490</v>
      </c>
      <c r="H7" s="792">
        <f>SUM('EGRESO-ACUM plan'!H15:H18)</f>
        <v>16659</v>
      </c>
      <c r="I7" s="787">
        <f>SUM('EGRESO-ACUM plan'!I15:I18)</f>
        <v>16853</v>
      </c>
      <c r="J7" s="784">
        <f>SUM('EGRESO-ACUM plan'!J15:J18)</f>
        <v>17037</v>
      </c>
      <c r="K7" s="792">
        <f>SUM('EGRESO-ACUM plan'!K15:K18)</f>
        <v>17275</v>
      </c>
      <c r="L7" s="787">
        <f>SUM('EGRESO-ACUM plan'!L15:L18)</f>
        <v>17582</v>
      </c>
      <c r="M7" s="784">
        <f>SUM('EGRESO-ACUM plan'!M15:M18)</f>
        <v>17787</v>
      </c>
      <c r="N7" s="784">
        <f>SUM('EGRESO-ACUM plan'!N15:N18)</f>
        <v>18359</v>
      </c>
      <c r="O7" s="784">
        <f>SUM('EGRESO-ACUM plan'!O15:O18)</f>
        <v>19015</v>
      </c>
    </row>
    <row r="8" spans="2:15" ht="15" customHeight="1" x14ac:dyDescent="0.2">
      <c r="B8" s="5147"/>
      <c r="C8" s="794" t="s">
        <v>7</v>
      </c>
      <c r="D8" s="783">
        <f>SUM('EGRESO-ACUM plan'!D20:D22)</f>
        <v>9180</v>
      </c>
      <c r="E8" s="783">
        <f>SUM('EGRESO-ACUM plan'!E20:E22)</f>
        <v>9545</v>
      </c>
      <c r="F8" s="783">
        <f>SUM('EGRESO-ACUM plan'!F20:F22)</f>
        <v>9873</v>
      </c>
      <c r="G8" s="783">
        <f>SUM('EGRESO-ACUM plan'!G20:G22)</f>
        <v>10117</v>
      </c>
      <c r="H8" s="792">
        <f>SUM('EGRESO-ACUM plan'!H20:H22)</f>
        <v>10212</v>
      </c>
      <c r="I8" s="787">
        <f>SUM('EGRESO-ACUM plan'!I20:I22)</f>
        <v>10332</v>
      </c>
      <c r="J8" s="784">
        <f>SUM('EGRESO-ACUM plan'!J20:J22)</f>
        <v>10371</v>
      </c>
      <c r="K8" s="792">
        <f>SUM('EGRESO-ACUM plan'!K20:K22)</f>
        <v>10485</v>
      </c>
      <c r="L8" s="787">
        <f>SUM('EGRESO-ACUM plan'!L20:L22)</f>
        <v>10655</v>
      </c>
      <c r="M8" s="784">
        <f>SUM('EGRESO-ACUM plan'!M20:M22)</f>
        <v>10707</v>
      </c>
      <c r="N8" s="784">
        <f>SUM('EGRESO-ACUM plan'!N20:N22)</f>
        <v>11052</v>
      </c>
      <c r="O8" s="784">
        <f>SUM('EGRESO-ACUM plan'!O20:O22)</f>
        <v>11396</v>
      </c>
    </row>
    <row r="9" spans="2:15" ht="15" x14ac:dyDescent="0.2">
      <c r="B9" s="5226"/>
      <c r="C9" s="2538" t="s">
        <v>12</v>
      </c>
      <c r="D9" s="2539">
        <f t="shared" ref="D9:J9" si="0">SUM(D6:D8)</f>
        <v>34119</v>
      </c>
      <c r="E9" s="2539">
        <f t="shared" si="0"/>
        <v>35375</v>
      </c>
      <c r="F9" s="2539">
        <f t="shared" si="0"/>
        <v>36633</v>
      </c>
      <c r="G9" s="2539">
        <f t="shared" si="0"/>
        <v>37743</v>
      </c>
      <c r="H9" s="2540">
        <f t="shared" si="0"/>
        <v>38121</v>
      </c>
      <c r="I9" s="2541">
        <f t="shared" si="0"/>
        <v>38569</v>
      </c>
      <c r="J9" s="2542">
        <f t="shared" si="0"/>
        <v>38914</v>
      </c>
      <c r="K9" s="2540">
        <f>SUM(K6:K8)</f>
        <v>39406</v>
      </c>
      <c r="L9" s="2541">
        <f>SUM(L6:L8)</f>
        <v>40114</v>
      </c>
      <c r="M9" s="2542">
        <f>SUM(M6:M8)</f>
        <v>40551</v>
      </c>
      <c r="N9" s="2542">
        <f>SUM(N6:N8)</f>
        <v>42043</v>
      </c>
      <c r="O9" s="2542">
        <f>SUM(O6:O8)</f>
        <v>43555</v>
      </c>
    </row>
    <row r="10" spans="2:15" ht="15.75" x14ac:dyDescent="0.2">
      <c r="B10" s="692"/>
    </row>
    <row r="11" spans="2:15" ht="15" x14ac:dyDescent="0.2">
      <c r="B11" s="5149" t="s">
        <v>410</v>
      </c>
      <c r="C11" s="793" t="s">
        <v>6</v>
      </c>
      <c r="D11" s="782"/>
      <c r="E11" s="782">
        <f>SUM('EGRESO-ACUM plan'!E25:E28)</f>
        <v>47</v>
      </c>
      <c r="F11" s="782">
        <f>SUM('EGRESO-ACUM plan'!F25:F28)</f>
        <v>77</v>
      </c>
      <c r="G11" s="782">
        <f>SUM('EGRESO-ACUM plan'!G25:G28)</f>
        <v>129</v>
      </c>
      <c r="H11" s="791">
        <f>SUM('EGRESO-ACUM plan'!H25:H28)</f>
        <v>141</v>
      </c>
      <c r="I11" s="785">
        <f>SUM('EGRESO-ACUM plan'!I25:I28)</f>
        <v>170</v>
      </c>
      <c r="J11" s="786">
        <f>SUM('EGRESO-ACUM plan'!J25:J28)</f>
        <v>183</v>
      </c>
      <c r="K11" s="791">
        <f>SUM('EGRESO-ACUM plan'!K25:K28)</f>
        <v>188</v>
      </c>
      <c r="L11" s="785">
        <f>SUM('EGRESO-ACUM plan'!L25:L28)</f>
        <v>207</v>
      </c>
      <c r="M11" s="786">
        <f>SUM('EGRESO-ACUM plan'!M25:M28)</f>
        <v>227</v>
      </c>
      <c r="N11" s="786">
        <f>SUM('EGRESO-ACUM plan'!N25:N28)</f>
        <v>270</v>
      </c>
      <c r="O11" s="786">
        <f>SUM('EGRESO-ACUM plan'!O25:O28)</f>
        <v>301</v>
      </c>
    </row>
    <row r="12" spans="2:15" ht="15" x14ac:dyDescent="0.2">
      <c r="B12" s="5150"/>
      <c r="C12" s="794" t="s">
        <v>9</v>
      </c>
      <c r="D12" s="783"/>
      <c r="E12" s="783">
        <f>SUM('EGRESO-ACUM plan'!E30:E32)</f>
        <v>9</v>
      </c>
      <c r="F12" s="783">
        <f>SUM('EGRESO-ACUM plan'!F30:F32)</f>
        <v>24</v>
      </c>
      <c r="G12" s="783">
        <f>SUM('EGRESO-ACUM plan'!G30:G32)</f>
        <v>56</v>
      </c>
      <c r="H12" s="792">
        <f>SUM('EGRESO-ACUM plan'!H30:H32)</f>
        <v>63</v>
      </c>
      <c r="I12" s="787">
        <f>SUM('EGRESO-ACUM plan'!I30:I32)</f>
        <v>91</v>
      </c>
      <c r="J12" s="784">
        <f>SUM('EGRESO-ACUM plan'!J30:J32)</f>
        <v>106</v>
      </c>
      <c r="K12" s="792">
        <f>SUM('EGRESO-ACUM plan'!K30:K32)</f>
        <v>108</v>
      </c>
      <c r="L12" s="787">
        <f>SUM('EGRESO-ACUM plan'!L30:L32)</f>
        <v>114</v>
      </c>
      <c r="M12" s="784">
        <f>SUM('EGRESO-ACUM plan'!M30:M32)</f>
        <v>130</v>
      </c>
      <c r="N12" s="784">
        <f>SUM('EGRESO-ACUM plan'!N30:N32)</f>
        <v>167</v>
      </c>
      <c r="O12" s="784">
        <f>SUM('EGRESO-ACUM plan'!O30:O32)</f>
        <v>208</v>
      </c>
    </row>
    <row r="13" spans="2:15" ht="15" x14ac:dyDescent="0.2">
      <c r="B13" s="5150"/>
      <c r="C13" s="794" t="s">
        <v>74</v>
      </c>
      <c r="D13" s="783"/>
      <c r="E13" s="783">
        <f>SUM('EGRESO-ACUM plan'!E34:E35)</f>
        <v>11</v>
      </c>
      <c r="F13" s="783">
        <f>SUM('EGRESO-ACUM plan'!F34:F35)</f>
        <v>21</v>
      </c>
      <c r="G13" s="783">
        <f>SUM('EGRESO-ACUM plan'!G34:G35)</f>
        <v>32</v>
      </c>
      <c r="H13" s="792">
        <f>SUM('EGRESO-ACUM plan'!H34:H36)</f>
        <v>33</v>
      </c>
      <c r="I13" s="787">
        <f>SUM('EGRESO-ACUM plan'!I34:I36)</f>
        <v>38</v>
      </c>
      <c r="J13" s="784">
        <f>SUM('EGRESO-ACUM plan'!J34:J36)</f>
        <v>50</v>
      </c>
      <c r="K13" s="792">
        <f>SUM('EGRESO-ACUM plan'!K34:K36)</f>
        <v>52</v>
      </c>
      <c r="L13" s="787">
        <f>SUM('EGRESO-ACUM plan'!L34:L36)</f>
        <v>58</v>
      </c>
      <c r="M13" s="784">
        <f>SUM('EGRESO-ACUM plan'!M34:M36)</f>
        <v>65</v>
      </c>
      <c r="N13" s="784">
        <f>SUM('EGRESO-ACUM plan'!N34:N37)</f>
        <v>89</v>
      </c>
      <c r="O13" s="784">
        <f>SUM('EGRESO-ACUM plan'!O34:O37)</f>
        <v>117</v>
      </c>
    </row>
    <row r="14" spans="2:15" ht="15" x14ac:dyDescent="0.2">
      <c r="B14" s="5229"/>
      <c r="C14" s="2548" t="s">
        <v>12</v>
      </c>
      <c r="D14" s="2549"/>
      <c r="E14" s="2549">
        <f t="shared" ref="E14:I14" si="1">SUM(E11:E13)</f>
        <v>67</v>
      </c>
      <c r="F14" s="2549">
        <f t="shared" si="1"/>
        <v>122</v>
      </c>
      <c r="G14" s="2549">
        <f t="shared" si="1"/>
        <v>217</v>
      </c>
      <c r="H14" s="2550">
        <f t="shared" si="1"/>
        <v>237</v>
      </c>
      <c r="I14" s="2551">
        <f t="shared" si="1"/>
        <v>299</v>
      </c>
      <c r="J14" s="2552"/>
      <c r="K14" s="2550">
        <f>SUM(K11:K13)</f>
        <v>348</v>
      </c>
      <c r="L14" s="2551">
        <f>SUM(L11:L13)</f>
        <v>379</v>
      </c>
      <c r="M14" s="2552">
        <f>SUM(M11:M13)</f>
        <v>422</v>
      </c>
      <c r="N14" s="2552">
        <f>SUM(N11:N13)</f>
        <v>526</v>
      </c>
      <c r="O14" s="2552">
        <f>SUM(O11:O13)</f>
        <v>626</v>
      </c>
    </row>
    <row r="15" spans="2:15" ht="15.75" x14ac:dyDescent="0.2">
      <c r="B15" s="1924"/>
      <c r="C15" s="262"/>
      <c r="D15" s="262"/>
      <c r="E15" s="262"/>
      <c r="F15" s="262"/>
      <c r="G15" s="262"/>
      <c r="H15" s="318"/>
      <c r="I15" s="318"/>
      <c r="J15" s="318"/>
      <c r="K15" s="318"/>
      <c r="L15" s="318"/>
      <c r="M15" s="318"/>
      <c r="N15" s="318"/>
      <c r="O15" s="318"/>
    </row>
    <row r="16" spans="2:15" ht="15" customHeight="1" x14ac:dyDescent="0.2">
      <c r="B16" s="5143" t="s">
        <v>162</v>
      </c>
      <c r="C16" s="793" t="s">
        <v>5</v>
      </c>
      <c r="D16" s="782">
        <f>SUM('EGRESO-ACUM plan'!D40:D48)</f>
        <v>5494</v>
      </c>
      <c r="E16" s="782">
        <f>SUM('EGRESO-ACUM plan'!E40:E48)</f>
        <v>5663</v>
      </c>
      <c r="F16" s="782">
        <f>SUM('EGRESO-ACUM plan'!F40:F48)</f>
        <v>5918</v>
      </c>
      <c r="G16" s="782">
        <f>SUM('EGRESO-ACUM plan'!G40:G48)</f>
        <v>6106</v>
      </c>
      <c r="H16" s="791">
        <f>SUM('EGRESO-ACUM plan'!H40:H48)</f>
        <v>6176</v>
      </c>
      <c r="I16" s="785">
        <f>SUM('EGRESO-ACUM plan'!I40:I48)</f>
        <v>6268</v>
      </c>
      <c r="J16" s="786">
        <f>SUM('EGRESO-ACUM plan'!J40:J48)</f>
        <v>6318</v>
      </c>
      <c r="K16" s="791">
        <f>SUM('EGRESO-ACUM plan'!K40:K48)</f>
        <v>6359</v>
      </c>
      <c r="L16" s="785">
        <f>SUM('EGRESO-ACUM plan'!L40:L48)</f>
        <v>6417</v>
      </c>
      <c r="M16" s="786">
        <f>SUM('EGRESO-ACUM plan'!M40:M48)</f>
        <v>6490</v>
      </c>
      <c r="N16" s="786">
        <f>SUM('EGRESO-ACUM plan'!N40:N48)</f>
        <v>6704</v>
      </c>
      <c r="O16" s="786">
        <f>SUM('EGRESO-ACUM plan'!O40:O48)</f>
        <v>6846</v>
      </c>
    </row>
    <row r="17" spans="2:15" ht="15" customHeight="1" x14ac:dyDescent="0.2">
      <c r="B17" s="5144"/>
      <c r="C17" s="794" t="s">
        <v>6</v>
      </c>
      <c r="D17" s="783">
        <f>SUM('EGRESO-ACUM plan'!D50:D61)</f>
        <v>11935</v>
      </c>
      <c r="E17" s="783">
        <f>SUM('EGRESO-ACUM plan'!E50:E61)</f>
        <v>12420</v>
      </c>
      <c r="F17" s="783">
        <f>SUM('EGRESO-ACUM plan'!F50:F61)</f>
        <v>12993</v>
      </c>
      <c r="G17" s="783">
        <f>SUM('EGRESO-ACUM plan'!G50:G61)</f>
        <v>13492</v>
      </c>
      <c r="H17" s="792">
        <f>SUM('EGRESO-ACUM plan'!H50:H61)</f>
        <v>13696</v>
      </c>
      <c r="I17" s="787">
        <f>SUM('EGRESO-ACUM plan'!I50:I61)</f>
        <v>13918</v>
      </c>
      <c r="J17" s="784">
        <f>SUM('EGRESO-ACUM plan'!J50:J61)</f>
        <v>14073</v>
      </c>
      <c r="K17" s="792">
        <f>SUM('EGRESO-ACUM plan'!K50:K61)</f>
        <v>14283</v>
      </c>
      <c r="L17" s="787">
        <f>SUM('EGRESO-ACUM plan'!L50:L61)</f>
        <v>14551</v>
      </c>
      <c r="M17" s="784">
        <f>SUM('EGRESO-ACUM plan'!M50:M61)</f>
        <v>14746</v>
      </c>
      <c r="N17" s="784">
        <f>SUM('EGRESO-ACUM plan'!N50:N61)</f>
        <v>15289</v>
      </c>
      <c r="O17" s="784">
        <f>SUM('EGRESO-ACUM plan'!O50:O61)</f>
        <v>15884</v>
      </c>
    </row>
    <row r="18" spans="2:15" ht="15" customHeight="1" x14ac:dyDescent="0.2">
      <c r="B18" s="5144"/>
      <c r="C18" s="794" t="s">
        <v>11</v>
      </c>
      <c r="D18" s="783">
        <f>SUM('EGRESO-ACUM plan'!D63:D68)</f>
        <v>6618</v>
      </c>
      <c r="E18" s="783">
        <f>SUM('EGRESO-ACUM plan'!E63:E68)</f>
        <v>6866</v>
      </c>
      <c r="F18" s="783">
        <f>SUM('EGRESO-ACUM plan'!F63:F68)</f>
        <v>7171</v>
      </c>
      <c r="G18" s="783">
        <f>SUM('EGRESO-ACUM plan'!G63:G68)</f>
        <v>7427</v>
      </c>
      <c r="H18" s="792">
        <f>SUM('EGRESO-ACUM plan'!H63:H68)</f>
        <v>7524</v>
      </c>
      <c r="I18" s="787">
        <f>SUM('EGRESO-ACUM plan'!I63:I68)</f>
        <v>7623</v>
      </c>
      <c r="J18" s="784">
        <f>SUM('EGRESO-ACUM plan'!J63:J68)</f>
        <v>7725</v>
      </c>
      <c r="K18" s="792">
        <f>SUM('EGRESO-ACUM plan'!K63:K68)</f>
        <v>7815</v>
      </c>
      <c r="L18" s="787">
        <f>SUM('EGRESO-ACUM plan'!L63:L68)</f>
        <v>7942</v>
      </c>
      <c r="M18" s="784">
        <f>SUM('EGRESO-ACUM plan'!M63:M68)</f>
        <v>8081</v>
      </c>
      <c r="N18" s="784">
        <f>SUM('EGRESO-ACUM plan'!N63:N68)</f>
        <v>8423</v>
      </c>
      <c r="O18" s="784">
        <f>SUM('EGRESO-ACUM plan'!O63:O68)</f>
        <v>8811</v>
      </c>
    </row>
    <row r="19" spans="2:15" ht="15" x14ac:dyDescent="0.2">
      <c r="B19" s="5227"/>
      <c r="C19" s="2543" t="s">
        <v>12</v>
      </c>
      <c r="D19" s="2544">
        <f t="shared" ref="D19:J19" si="2">SUM(D16:D18)</f>
        <v>24047</v>
      </c>
      <c r="E19" s="2544">
        <f t="shared" si="2"/>
        <v>24949</v>
      </c>
      <c r="F19" s="2544">
        <f t="shared" si="2"/>
        <v>26082</v>
      </c>
      <c r="G19" s="2544">
        <f t="shared" si="2"/>
        <v>27025</v>
      </c>
      <c r="H19" s="2545">
        <f t="shared" si="2"/>
        <v>27396</v>
      </c>
      <c r="I19" s="2546">
        <f t="shared" si="2"/>
        <v>27809</v>
      </c>
      <c r="J19" s="2547">
        <f t="shared" si="2"/>
        <v>28116</v>
      </c>
      <c r="K19" s="2545">
        <f>SUM(K16:K18)</f>
        <v>28457</v>
      </c>
      <c r="L19" s="2546">
        <f>SUM(L16:L18)</f>
        <v>28910</v>
      </c>
      <c r="M19" s="2547">
        <f>SUM(M16:M18)</f>
        <v>29317</v>
      </c>
      <c r="N19" s="2547">
        <f>SUM(N16:N18)</f>
        <v>30416</v>
      </c>
      <c r="O19" s="2547">
        <f>SUM(O16:O18)</f>
        <v>31541</v>
      </c>
    </row>
    <row r="21" spans="2:15" ht="15" x14ac:dyDescent="0.2">
      <c r="B21" s="5155" t="s">
        <v>411</v>
      </c>
      <c r="C21" s="793" t="s">
        <v>5</v>
      </c>
      <c r="D21" s="782"/>
      <c r="E21" s="782"/>
      <c r="F21" s="782"/>
      <c r="G21" s="782"/>
      <c r="H21" s="791"/>
      <c r="I21" s="785"/>
      <c r="J21" s="786"/>
      <c r="K21" s="791"/>
      <c r="L21" s="785"/>
      <c r="M21" s="786"/>
      <c r="N21" s="786"/>
      <c r="O21" s="786">
        <f>+'EGRESO-ACUM plan'!O72</f>
        <v>20</v>
      </c>
    </row>
    <row r="22" spans="2:15" ht="15" x14ac:dyDescent="0.2">
      <c r="B22" s="5156"/>
      <c r="C22" s="794" t="s">
        <v>6</v>
      </c>
      <c r="D22" s="783"/>
      <c r="E22" s="783"/>
      <c r="F22" s="783"/>
      <c r="G22" s="783"/>
      <c r="H22" s="792"/>
      <c r="I22" s="787"/>
      <c r="J22" s="784"/>
      <c r="K22" s="792"/>
      <c r="L22" s="787"/>
      <c r="M22" s="784"/>
      <c r="N22" s="784"/>
      <c r="O22" s="784">
        <f>+'EGRESO-ACUM plan'!O75</f>
        <v>32</v>
      </c>
    </row>
    <row r="23" spans="2:15" ht="15" x14ac:dyDescent="0.2">
      <c r="B23" s="5156"/>
      <c r="C23" s="794" t="s">
        <v>11</v>
      </c>
      <c r="D23" s="783"/>
      <c r="E23" s="783"/>
      <c r="F23" s="783"/>
      <c r="G23" s="783"/>
      <c r="H23" s="792"/>
      <c r="I23" s="787"/>
      <c r="J23" s="784"/>
      <c r="K23" s="792"/>
      <c r="L23" s="787"/>
      <c r="M23" s="784"/>
      <c r="N23" s="784"/>
      <c r="O23" s="784">
        <f>+'EGRESO-ACUM plan'!O77</f>
        <v>23</v>
      </c>
    </row>
    <row r="24" spans="2:15" ht="15" x14ac:dyDescent="0.2">
      <c r="B24" s="5230"/>
      <c r="C24" s="4782" t="s">
        <v>12</v>
      </c>
      <c r="D24" s="4778"/>
      <c r="E24" s="4778"/>
      <c r="F24" s="4778"/>
      <c r="G24" s="4778"/>
      <c r="H24" s="4779"/>
      <c r="I24" s="4780"/>
      <c r="J24" s="4781"/>
      <c r="K24" s="4779"/>
      <c r="L24" s="4780"/>
      <c r="M24" s="4781"/>
      <c r="N24" s="4781"/>
      <c r="O24" s="4781">
        <f>SUM(O21:O23)</f>
        <v>75</v>
      </c>
    </row>
    <row r="25" spans="2:15" ht="15.75" x14ac:dyDescent="0.2">
      <c r="B25" s="1924"/>
      <c r="C25" s="262"/>
      <c r="D25" s="262"/>
      <c r="E25" s="262"/>
      <c r="F25" s="262"/>
      <c r="G25" s="262"/>
      <c r="H25" s="262"/>
      <c r="I25" s="262"/>
      <c r="J25" s="262"/>
      <c r="K25" s="262"/>
      <c r="L25" s="262"/>
      <c r="M25" s="262"/>
      <c r="N25" s="262"/>
      <c r="O25" s="3292"/>
    </row>
    <row r="26" spans="2:15" ht="15" customHeight="1" x14ac:dyDescent="0.2">
      <c r="B26" s="5161" t="s">
        <v>163</v>
      </c>
      <c r="C26" s="793" t="s">
        <v>6</v>
      </c>
      <c r="D26" s="782">
        <f>SUM('EGRESO-ACUM plan'!D79:D84)</f>
        <v>19375</v>
      </c>
      <c r="E26" s="782">
        <f>SUM('EGRESO-ACUM plan'!E79:E84)</f>
        <v>20301</v>
      </c>
      <c r="F26" s="782">
        <f>SUM('EGRESO-ACUM plan'!F79:F84)</f>
        <v>21187</v>
      </c>
      <c r="G26" s="782">
        <f>SUM('EGRESO-ACUM plan'!G79:G84)</f>
        <v>22002</v>
      </c>
      <c r="H26" s="791">
        <f>SUM('EGRESO-ACUM plan'!H79:H84)</f>
        <v>22353</v>
      </c>
      <c r="I26" s="785">
        <f>SUM('EGRESO-ACUM plan'!I79:I84)</f>
        <v>22794</v>
      </c>
      <c r="J26" s="786">
        <f>SUM('EGRESO-ACUM plan'!J79:J84)</f>
        <v>22799</v>
      </c>
      <c r="K26" s="791">
        <f>SUM('EGRESO-ACUM plan'!K79:K84)</f>
        <v>23189</v>
      </c>
      <c r="L26" s="785">
        <f>SUM('EGRESO-ACUM plan'!L79:L84)</f>
        <v>23704</v>
      </c>
      <c r="M26" s="786">
        <f>SUM('EGRESO-ACUM plan'!M79:M84)</f>
        <v>23705</v>
      </c>
      <c r="N26" s="786">
        <f>SUM('EGRESO-ACUM plan'!N79:N84)</f>
        <v>24514</v>
      </c>
      <c r="O26" s="786">
        <f>SUM('EGRESO-ACUM plan'!O79:O84)</f>
        <v>25324</v>
      </c>
    </row>
    <row r="27" spans="2:15" ht="15" customHeight="1" x14ac:dyDescent="0.2">
      <c r="B27" s="5162"/>
      <c r="C27" s="794" t="s">
        <v>11</v>
      </c>
      <c r="D27" s="783">
        <f>SUM('EGRESO-ACUM plan'!D86:D93)</f>
        <v>25734</v>
      </c>
      <c r="E27" s="783">
        <f>SUM('EGRESO-ACUM plan'!E86:E93)</f>
        <v>27028</v>
      </c>
      <c r="F27" s="783">
        <f>SUM('EGRESO-ACUM plan'!F86:F93)</f>
        <v>28221</v>
      </c>
      <c r="G27" s="783">
        <f>SUM('EGRESO-ACUM plan'!G86:G93)</f>
        <v>29382</v>
      </c>
      <c r="H27" s="792">
        <f>SUM('EGRESO-ACUM plan'!H86:H93)</f>
        <v>29734</v>
      </c>
      <c r="I27" s="787">
        <f>SUM('EGRESO-ACUM plan'!I86:I93)</f>
        <v>30257</v>
      </c>
      <c r="J27" s="784">
        <f>SUM('EGRESO-ACUM plan'!J86:J93)</f>
        <v>30567</v>
      </c>
      <c r="K27" s="792">
        <f>SUM('EGRESO-ACUM plan'!K86:K93)</f>
        <v>30891</v>
      </c>
      <c r="L27" s="787">
        <f>SUM('EGRESO-ACUM plan'!L86:L93)</f>
        <v>31340</v>
      </c>
      <c r="M27" s="784">
        <f>SUM('EGRESO-ACUM plan'!M86:M93)</f>
        <v>31711</v>
      </c>
      <c r="N27" s="784">
        <f>SUM('EGRESO-ACUM plan'!N86:N93)</f>
        <v>32840</v>
      </c>
      <c r="O27" s="784">
        <f>SUM('EGRESO-ACUM plan'!O86:O93)</f>
        <v>33985</v>
      </c>
    </row>
    <row r="28" spans="2:15" ht="15" customHeight="1" x14ac:dyDescent="0.2">
      <c r="B28" s="5162"/>
      <c r="C28" s="794" t="s">
        <v>7</v>
      </c>
      <c r="D28" s="783">
        <f>SUM('EGRESO-ACUM plan'!D95:D98)</f>
        <v>8434</v>
      </c>
      <c r="E28" s="783">
        <f>SUM('EGRESO-ACUM plan'!E95:E98)</f>
        <v>8898</v>
      </c>
      <c r="F28" s="783">
        <f>SUM('EGRESO-ACUM plan'!F95:F98)</f>
        <v>9344</v>
      </c>
      <c r="G28" s="783">
        <f>SUM('EGRESO-ACUM plan'!G95:G98)</f>
        <v>9721</v>
      </c>
      <c r="H28" s="792">
        <f>SUM('EGRESO-ACUM plan'!H95:H98)</f>
        <v>9888</v>
      </c>
      <c r="I28" s="787">
        <f>SUM('EGRESO-ACUM plan'!I95:I98)</f>
        <v>10094</v>
      </c>
      <c r="J28" s="784">
        <f>SUM('EGRESO-ACUM plan'!J95:J98)</f>
        <v>10096</v>
      </c>
      <c r="K28" s="792">
        <f>SUM('EGRESO-ACUM plan'!K95:K98)</f>
        <v>10315</v>
      </c>
      <c r="L28" s="787">
        <f>SUM('EGRESO-ACUM plan'!L95:L98)</f>
        <v>10515</v>
      </c>
      <c r="M28" s="784">
        <f>SUM('EGRESO-ACUM plan'!M95:M98)</f>
        <v>10530</v>
      </c>
      <c r="N28" s="784">
        <f>SUM('EGRESO-ACUM plan'!N95:N98)</f>
        <v>10983</v>
      </c>
      <c r="O28" s="784">
        <f>SUM('EGRESO-ACUM plan'!O95:O98)</f>
        <v>11391</v>
      </c>
    </row>
    <row r="29" spans="2:15" ht="15" x14ac:dyDescent="0.2">
      <c r="B29" s="5228"/>
      <c r="C29" s="2553" t="s">
        <v>12</v>
      </c>
      <c r="D29" s="2554">
        <f t="shared" ref="D29:J29" si="3">SUM(D26:D28)</f>
        <v>53543</v>
      </c>
      <c r="E29" s="2554">
        <f t="shared" si="3"/>
        <v>56227</v>
      </c>
      <c r="F29" s="2554">
        <f t="shared" si="3"/>
        <v>58752</v>
      </c>
      <c r="G29" s="2554">
        <f t="shared" si="3"/>
        <v>61105</v>
      </c>
      <c r="H29" s="2555">
        <f t="shared" si="3"/>
        <v>61975</v>
      </c>
      <c r="I29" s="2556">
        <f t="shared" si="3"/>
        <v>63145</v>
      </c>
      <c r="J29" s="2557">
        <f t="shared" si="3"/>
        <v>63462</v>
      </c>
      <c r="K29" s="2555">
        <f>SUM(K26:K28)</f>
        <v>64395</v>
      </c>
      <c r="L29" s="2556">
        <f>SUM(L26:L28)</f>
        <v>65559</v>
      </c>
      <c r="M29" s="2557">
        <f>SUM(M26:M28)</f>
        <v>65946</v>
      </c>
      <c r="N29" s="2557">
        <f>SUM(N26:N28)</f>
        <v>68337</v>
      </c>
      <c r="O29" s="2557">
        <f>SUM(O26:O28)</f>
        <v>70700</v>
      </c>
    </row>
    <row r="30" spans="2:15" x14ac:dyDescent="0.2">
      <c r="B30" s="262"/>
      <c r="C30" s="262"/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3292"/>
    </row>
    <row r="31" spans="2:15" ht="15" customHeight="1" x14ac:dyDescent="0.2">
      <c r="B31" s="5269" t="s">
        <v>60</v>
      </c>
      <c r="C31" s="793" t="s">
        <v>5</v>
      </c>
      <c r="D31" s="625">
        <f t="shared" ref="D31:J31" si="4">SUM(D6,D16)</f>
        <v>15436</v>
      </c>
      <c r="E31" s="625">
        <f t="shared" si="4"/>
        <v>15981</v>
      </c>
      <c r="F31" s="625">
        <f t="shared" si="4"/>
        <v>16639</v>
      </c>
      <c r="G31" s="625">
        <f t="shared" si="4"/>
        <v>17242</v>
      </c>
      <c r="H31" s="624">
        <f t="shared" si="4"/>
        <v>17426</v>
      </c>
      <c r="I31" s="799">
        <f t="shared" si="4"/>
        <v>17652</v>
      </c>
      <c r="J31" s="626">
        <f t="shared" si="4"/>
        <v>17824</v>
      </c>
      <c r="K31" s="624">
        <f>SUM(K6,K16)</f>
        <v>18005</v>
      </c>
      <c r="L31" s="799">
        <f>SUM(L6,L16)</f>
        <v>18294</v>
      </c>
      <c r="M31" s="626">
        <f>SUM(M6,M16)</f>
        <v>18547</v>
      </c>
      <c r="N31" s="626">
        <f>SUM(N6,N16)</f>
        <v>19336</v>
      </c>
      <c r="O31" s="626">
        <f>SUM(O6,O16,O21)</f>
        <v>20010</v>
      </c>
    </row>
    <row r="32" spans="2:15" ht="15" x14ac:dyDescent="0.2">
      <c r="B32" s="5270"/>
      <c r="C32" s="794" t="s">
        <v>6</v>
      </c>
      <c r="D32" s="628">
        <f t="shared" ref="D32:J32" si="5">SUM(D7,D11,D17,D26)</f>
        <v>46307</v>
      </c>
      <c r="E32" s="628">
        <f t="shared" si="5"/>
        <v>48280</v>
      </c>
      <c r="F32" s="628">
        <f t="shared" si="5"/>
        <v>50296</v>
      </c>
      <c r="G32" s="628">
        <f t="shared" si="5"/>
        <v>52113</v>
      </c>
      <c r="H32" s="627">
        <f t="shared" si="5"/>
        <v>52849</v>
      </c>
      <c r="I32" s="800">
        <f t="shared" si="5"/>
        <v>53735</v>
      </c>
      <c r="J32" s="629">
        <f t="shared" si="5"/>
        <v>54092</v>
      </c>
      <c r="K32" s="627">
        <f>SUM(K7,K11,K17,K26)</f>
        <v>54935</v>
      </c>
      <c r="L32" s="800">
        <f>SUM(L7,L11,L17,L26)</f>
        <v>56044</v>
      </c>
      <c r="M32" s="629">
        <f>SUM(M7,M11,M17,M26)</f>
        <v>56465</v>
      </c>
      <c r="N32" s="629">
        <f>SUM(N7,N11,N17,N26)</f>
        <v>58432</v>
      </c>
      <c r="O32" s="629">
        <f>SUM(O7,O11,O17,O22,O26)</f>
        <v>60556</v>
      </c>
    </row>
    <row r="33" spans="2:15" ht="15" x14ac:dyDescent="0.2">
      <c r="B33" s="5270"/>
      <c r="C33" s="794" t="s">
        <v>11</v>
      </c>
      <c r="D33" s="628">
        <f t="shared" ref="D33:J33" si="6">SUM(D18,D27)</f>
        <v>32352</v>
      </c>
      <c r="E33" s="628">
        <f t="shared" si="6"/>
        <v>33894</v>
      </c>
      <c r="F33" s="628">
        <f t="shared" si="6"/>
        <v>35392</v>
      </c>
      <c r="G33" s="628">
        <f t="shared" si="6"/>
        <v>36809</v>
      </c>
      <c r="H33" s="627">
        <f t="shared" si="6"/>
        <v>37258</v>
      </c>
      <c r="I33" s="800">
        <f t="shared" si="6"/>
        <v>37880</v>
      </c>
      <c r="J33" s="629">
        <f t="shared" si="6"/>
        <v>38292</v>
      </c>
      <c r="K33" s="627">
        <f>SUM(K18,K27)</f>
        <v>38706</v>
      </c>
      <c r="L33" s="800">
        <f>SUM(L18,L27)</f>
        <v>39282</v>
      </c>
      <c r="M33" s="629">
        <f>SUM(M18,M27)</f>
        <v>39792</v>
      </c>
      <c r="N33" s="629">
        <f>SUM(N18,N27)</f>
        <v>41263</v>
      </c>
      <c r="O33" s="629">
        <f>SUM(O18,O23,O27)</f>
        <v>42819</v>
      </c>
    </row>
    <row r="34" spans="2:15" ht="15" x14ac:dyDescent="0.2">
      <c r="B34" s="5270"/>
      <c r="C34" s="794" t="s">
        <v>7</v>
      </c>
      <c r="D34" s="628">
        <f t="shared" ref="D34:J34" si="7">SUM(D8,D28)</f>
        <v>17614</v>
      </c>
      <c r="E34" s="628">
        <f t="shared" si="7"/>
        <v>18443</v>
      </c>
      <c r="F34" s="628">
        <f t="shared" si="7"/>
        <v>19217</v>
      </c>
      <c r="G34" s="628">
        <f t="shared" si="7"/>
        <v>19838</v>
      </c>
      <c r="H34" s="627">
        <f t="shared" si="7"/>
        <v>20100</v>
      </c>
      <c r="I34" s="800">
        <f t="shared" si="7"/>
        <v>20426</v>
      </c>
      <c r="J34" s="629">
        <f t="shared" si="7"/>
        <v>20467</v>
      </c>
      <c r="K34" s="627">
        <f>SUM(K8,K28)</f>
        <v>20800</v>
      </c>
      <c r="L34" s="800">
        <f>SUM(L8,L28)</f>
        <v>21170</v>
      </c>
      <c r="M34" s="629">
        <f>SUM(M8,M28)</f>
        <v>21237</v>
      </c>
      <c r="N34" s="629">
        <f>SUM(N8,N28)</f>
        <v>22035</v>
      </c>
      <c r="O34" s="629">
        <f>SUM(O8,O28)</f>
        <v>22787</v>
      </c>
    </row>
    <row r="35" spans="2:15" ht="15" x14ac:dyDescent="0.2">
      <c r="B35" s="5270"/>
      <c r="C35" s="794" t="s">
        <v>9</v>
      </c>
      <c r="D35" s="628">
        <f t="shared" ref="D35:O35" si="8">SUM(D12)</f>
        <v>0</v>
      </c>
      <c r="E35" s="628">
        <f t="shared" si="8"/>
        <v>9</v>
      </c>
      <c r="F35" s="628">
        <f t="shared" si="8"/>
        <v>24</v>
      </c>
      <c r="G35" s="628">
        <f t="shared" si="8"/>
        <v>56</v>
      </c>
      <c r="H35" s="627">
        <f t="shared" si="8"/>
        <v>63</v>
      </c>
      <c r="I35" s="800">
        <f t="shared" si="8"/>
        <v>91</v>
      </c>
      <c r="J35" s="629">
        <f t="shared" si="8"/>
        <v>106</v>
      </c>
      <c r="K35" s="627">
        <f t="shared" si="8"/>
        <v>108</v>
      </c>
      <c r="L35" s="800">
        <f t="shared" si="8"/>
        <v>114</v>
      </c>
      <c r="M35" s="629">
        <f t="shared" si="8"/>
        <v>130</v>
      </c>
      <c r="N35" s="629">
        <f t="shared" si="8"/>
        <v>167</v>
      </c>
      <c r="O35" s="629">
        <f t="shared" si="8"/>
        <v>208</v>
      </c>
    </row>
    <row r="36" spans="2:15" ht="15" x14ac:dyDescent="0.2">
      <c r="B36" s="5270"/>
      <c r="C36" s="794" t="s">
        <v>74</v>
      </c>
      <c r="D36" s="801">
        <f t="shared" ref="D36:O36" si="9">SUM(D13)</f>
        <v>0</v>
      </c>
      <c r="E36" s="801">
        <f t="shared" si="9"/>
        <v>11</v>
      </c>
      <c r="F36" s="801">
        <f t="shared" si="9"/>
        <v>21</v>
      </c>
      <c r="G36" s="801">
        <f t="shared" si="9"/>
        <v>32</v>
      </c>
      <c r="H36" s="802">
        <f t="shared" si="9"/>
        <v>33</v>
      </c>
      <c r="I36" s="803">
        <f t="shared" si="9"/>
        <v>38</v>
      </c>
      <c r="J36" s="804">
        <f t="shared" si="9"/>
        <v>50</v>
      </c>
      <c r="K36" s="802">
        <f t="shared" si="9"/>
        <v>52</v>
      </c>
      <c r="L36" s="803">
        <f t="shared" si="9"/>
        <v>58</v>
      </c>
      <c r="M36" s="804">
        <f t="shared" si="9"/>
        <v>65</v>
      </c>
      <c r="N36" s="804">
        <f t="shared" si="9"/>
        <v>89</v>
      </c>
      <c r="O36" s="804">
        <f t="shared" si="9"/>
        <v>117</v>
      </c>
    </row>
    <row r="37" spans="2:15" ht="15" x14ac:dyDescent="0.2">
      <c r="B37" s="5271"/>
      <c r="C37" s="805" t="s">
        <v>12</v>
      </c>
      <c r="D37" s="795">
        <f t="shared" ref="D37:M37" si="10">SUM(D31:D36)</f>
        <v>111709</v>
      </c>
      <c r="E37" s="795">
        <f t="shared" si="10"/>
        <v>116618</v>
      </c>
      <c r="F37" s="795">
        <f t="shared" si="10"/>
        <v>121589</v>
      </c>
      <c r="G37" s="795">
        <f t="shared" si="10"/>
        <v>126090</v>
      </c>
      <c r="H37" s="796">
        <f t="shared" si="10"/>
        <v>127729</v>
      </c>
      <c r="I37" s="797">
        <f t="shared" si="10"/>
        <v>129822</v>
      </c>
      <c r="J37" s="798">
        <f t="shared" si="10"/>
        <v>130831</v>
      </c>
      <c r="K37" s="796">
        <f t="shared" si="10"/>
        <v>132606</v>
      </c>
      <c r="L37" s="797">
        <f t="shared" si="10"/>
        <v>134962</v>
      </c>
      <c r="M37" s="798">
        <f t="shared" si="10"/>
        <v>136236</v>
      </c>
      <c r="N37" s="798">
        <f>SUM(N31:N36)</f>
        <v>141322</v>
      </c>
      <c r="O37" s="798">
        <f>SUM(O31:O36)</f>
        <v>146497</v>
      </c>
    </row>
    <row r="39" spans="2:15" x14ac:dyDescent="0.2">
      <c r="B39" s="1760" t="s">
        <v>729</v>
      </c>
      <c r="C39" s="258"/>
      <c r="D39" s="258"/>
    </row>
    <row r="40" spans="2:15" x14ac:dyDescent="0.2">
      <c r="B40" s="1758" t="s">
        <v>665</v>
      </c>
      <c r="C40" s="1758"/>
      <c r="D40" s="1758"/>
    </row>
    <row r="49" spans="18:18" x14ac:dyDescent="0.2">
      <c r="R49" s="4783">
        <v>2008</v>
      </c>
    </row>
    <row r="50" spans="18:18" x14ac:dyDescent="0.2">
      <c r="R50" s="4783">
        <v>2009</v>
      </c>
    </row>
    <row r="51" spans="18:18" x14ac:dyDescent="0.2">
      <c r="R51" s="4783">
        <v>2010</v>
      </c>
    </row>
    <row r="52" spans="18:18" x14ac:dyDescent="0.2">
      <c r="R52" s="4783">
        <v>2011</v>
      </c>
    </row>
    <row r="53" spans="18:18" x14ac:dyDescent="0.2">
      <c r="R53" s="4783">
        <v>2012</v>
      </c>
    </row>
    <row r="54" spans="18:18" x14ac:dyDescent="0.2">
      <c r="R54" s="4783">
        <v>2013</v>
      </c>
    </row>
    <row r="55" spans="18:18" x14ac:dyDescent="0.2">
      <c r="R55" s="4783">
        <v>2014</v>
      </c>
    </row>
    <row r="56" spans="18:18" x14ac:dyDescent="0.2">
      <c r="R56" s="4783">
        <v>2015</v>
      </c>
    </row>
    <row r="57" spans="18:18" x14ac:dyDescent="0.2">
      <c r="R57" s="4783"/>
    </row>
    <row r="58" spans="18:18" x14ac:dyDescent="0.2">
      <c r="R58" s="4783"/>
    </row>
    <row r="59" spans="18:18" x14ac:dyDescent="0.2">
      <c r="R59" s="4783"/>
    </row>
    <row r="60" spans="18:18" x14ac:dyDescent="0.2">
      <c r="R60" s="4783"/>
    </row>
    <row r="61" spans="18:18" x14ac:dyDescent="0.2">
      <c r="R61" s="4783"/>
    </row>
    <row r="62" spans="18:18" x14ac:dyDescent="0.2">
      <c r="R62" s="4783"/>
    </row>
    <row r="63" spans="18:18" x14ac:dyDescent="0.2">
      <c r="R63" s="4783"/>
    </row>
    <row r="64" spans="18:18" x14ac:dyDescent="0.2">
      <c r="R64" s="4783" t="s">
        <v>161</v>
      </c>
    </row>
    <row r="65" spans="18:18" x14ac:dyDescent="0.2">
      <c r="R65" s="4783" t="s">
        <v>410</v>
      </c>
    </row>
    <row r="66" spans="18:18" x14ac:dyDescent="0.2">
      <c r="R66" s="4783" t="s">
        <v>162</v>
      </c>
    </row>
    <row r="67" spans="18:18" x14ac:dyDescent="0.2">
      <c r="R67" s="4783" t="s">
        <v>411</v>
      </c>
    </row>
    <row r="68" spans="18:18" x14ac:dyDescent="0.2">
      <c r="R68" s="4783" t="s">
        <v>163</v>
      </c>
    </row>
  </sheetData>
  <mergeCells count="6">
    <mergeCell ref="B6:B9"/>
    <mergeCell ref="B16:B19"/>
    <mergeCell ref="B26:B29"/>
    <mergeCell ref="B31:B37"/>
    <mergeCell ref="B11:B14"/>
    <mergeCell ref="B21:B24"/>
  </mergeCells>
  <printOptions horizontalCentered="1" verticalCentered="1"/>
  <pageMargins left="0.35433070866141736" right="0.27559055118110237" top="0.51181102362204722" bottom="0.19685039370078741" header="0" footer="0.31496062992125984"/>
  <pageSetup orientation="landscape" horizontalDpi="1200" verticalDpi="1200" r:id="rId1"/>
  <headerFooter alignWithMargins="0"/>
  <rowBreaks count="1" manualBreakCount="1">
    <brk id="40" max="13" man="1"/>
  </rowBreaks>
  <ignoredErrors>
    <ignoredError sqref="D25:G30 D6:G9 D31:G36 E11:H12 H25:H28 H6:H8 E13:G13 J6:M6 M13 N6:N8 H16:H19 D15:G19 O6" formulaRange="1"/>
    <ignoredError sqref="D37:G37" evalError="1" formulaRange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X105"/>
  <sheetViews>
    <sheetView showGridLines="0" zoomScaleNormal="100" workbookViewId="0">
      <pane xSplit="7" ySplit="4" topLeftCell="H83" activePane="bottomRight" state="frozen"/>
      <selection pane="topRight" activeCell="H1" sqref="H1"/>
      <selection pane="bottomLeft" activeCell="A6" sqref="A6"/>
      <selection pane="bottomRight" activeCell="A94" sqref="A94:C101"/>
    </sheetView>
  </sheetViews>
  <sheetFormatPr baseColWidth="10" defaultRowHeight="12.75" x14ac:dyDescent="0.2"/>
  <cols>
    <col min="1" max="1" width="8" style="951" bestFit="1" customWidth="1"/>
    <col min="2" max="2" width="9.28515625" style="1024" bestFit="1" customWidth="1"/>
    <col min="3" max="3" width="37.5703125" style="951" customWidth="1"/>
    <col min="4" max="7" width="11.42578125" style="951" hidden="1" customWidth="1"/>
    <col min="8" max="24" width="9.7109375" style="951" customWidth="1"/>
    <col min="25" max="16384" width="11.42578125" style="951"/>
  </cols>
  <sheetData>
    <row r="1" spans="1:24" ht="15.75" x14ac:dyDescent="0.25">
      <c r="A1" s="1023" t="s">
        <v>513</v>
      </c>
      <c r="D1" s="1023"/>
      <c r="E1" s="1023"/>
      <c r="F1" s="1023"/>
      <c r="G1" s="1023"/>
      <c r="H1" s="1023"/>
      <c r="I1" s="1023"/>
      <c r="J1" s="1023"/>
      <c r="K1" s="1023"/>
      <c r="L1" s="1023"/>
      <c r="M1" s="1023"/>
      <c r="N1" s="1023"/>
      <c r="O1" s="1023"/>
      <c r="P1" s="1023"/>
      <c r="Q1" s="1023"/>
      <c r="R1" s="1023"/>
      <c r="S1" s="1023"/>
    </row>
    <row r="3" spans="1:24" ht="23.25" customHeight="1" x14ac:dyDescent="0.2">
      <c r="A3" s="2129" t="s">
        <v>16</v>
      </c>
      <c r="B3" s="2129" t="s">
        <v>4</v>
      </c>
      <c r="C3" s="2062" t="s">
        <v>351</v>
      </c>
      <c r="D3" s="2062">
        <v>2005</v>
      </c>
      <c r="E3" s="2062">
        <v>2006</v>
      </c>
      <c r="F3" s="2062">
        <v>2007</v>
      </c>
      <c r="G3" s="2062">
        <v>2008</v>
      </c>
      <c r="H3" s="2130">
        <v>1999</v>
      </c>
      <c r="I3" s="2130">
        <v>2000</v>
      </c>
      <c r="J3" s="2062">
        <v>2001</v>
      </c>
      <c r="K3" s="2130">
        <v>2002</v>
      </c>
      <c r="L3" s="2130">
        <v>2003</v>
      </c>
      <c r="M3" s="2130">
        <v>2004</v>
      </c>
      <c r="N3" s="2062">
        <v>2005</v>
      </c>
      <c r="O3" s="2130">
        <v>2006</v>
      </c>
      <c r="P3" s="2130">
        <v>2007</v>
      </c>
      <c r="Q3" s="2130">
        <v>2008</v>
      </c>
      <c r="R3" s="2062">
        <v>2009</v>
      </c>
      <c r="S3" s="2130">
        <v>2010</v>
      </c>
      <c r="T3" s="2130">
        <v>2011</v>
      </c>
      <c r="U3" s="2130">
        <v>2012</v>
      </c>
      <c r="V3" s="2130">
        <v>2013</v>
      </c>
      <c r="W3" s="2130">
        <v>2014</v>
      </c>
      <c r="X3" s="2130">
        <v>2015</v>
      </c>
    </row>
    <row r="4" spans="1:24" ht="15" x14ac:dyDescent="0.25">
      <c r="A4" s="1419"/>
      <c r="B4" s="1419"/>
      <c r="C4" s="1419"/>
      <c r="D4" s="1419"/>
      <c r="E4" s="1419"/>
      <c r="F4" s="1419"/>
      <c r="G4" s="1419"/>
      <c r="H4" s="1419"/>
      <c r="I4" s="1419"/>
      <c r="J4" s="1419"/>
      <c r="K4" s="1419"/>
      <c r="L4" s="1419"/>
      <c r="M4" s="1419"/>
      <c r="N4" s="1419"/>
      <c r="O4" s="1419"/>
      <c r="P4" s="1419"/>
      <c r="Q4" s="1419"/>
      <c r="R4" s="1419"/>
      <c r="S4" s="1419"/>
      <c r="T4" s="1419"/>
      <c r="U4" s="1419"/>
      <c r="V4" s="1419"/>
      <c r="W4" s="1419"/>
      <c r="X4" s="1419"/>
    </row>
    <row r="5" spans="1:24" ht="15" x14ac:dyDescent="0.2">
      <c r="A5" s="5272" t="s">
        <v>446</v>
      </c>
      <c r="B5" s="5275" t="s">
        <v>5</v>
      </c>
      <c r="C5" s="2131" t="s">
        <v>452</v>
      </c>
      <c r="D5" s="2132"/>
      <c r="E5" s="2132"/>
      <c r="F5" s="2132"/>
      <c r="G5" s="2132"/>
      <c r="H5" s="2133">
        <v>38</v>
      </c>
      <c r="I5" s="2133">
        <v>22</v>
      </c>
      <c r="J5" s="2133">
        <v>30</v>
      </c>
      <c r="K5" s="2133">
        <v>30</v>
      </c>
      <c r="L5" s="2133">
        <v>40</v>
      </c>
      <c r="M5" s="2133">
        <v>28</v>
      </c>
      <c r="N5" s="2133">
        <v>31</v>
      </c>
      <c r="O5" s="2133">
        <v>34</v>
      </c>
      <c r="P5" s="2133">
        <v>10</v>
      </c>
      <c r="Q5" s="2133">
        <v>18</v>
      </c>
      <c r="R5" s="2133">
        <v>22</v>
      </c>
      <c r="S5" s="2134">
        <v>29</v>
      </c>
      <c r="T5" s="2134">
        <v>32</v>
      </c>
      <c r="U5" s="2134">
        <v>33</v>
      </c>
      <c r="V5" s="2134">
        <v>49</v>
      </c>
      <c r="W5" s="2134">
        <v>59</v>
      </c>
      <c r="X5" s="2134">
        <v>44</v>
      </c>
    </row>
    <row r="6" spans="1:24" ht="15" x14ac:dyDescent="0.2">
      <c r="A6" s="5273"/>
      <c r="B6" s="5276"/>
      <c r="C6" s="2135" t="s">
        <v>453</v>
      </c>
      <c r="D6" s="2136"/>
      <c r="E6" s="2136"/>
      <c r="F6" s="2136"/>
      <c r="G6" s="2136"/>
      <c r="H6" s="2137">
        <v>45</v>
      </c>
      <c r="I6" s="2137">
        <v>42</v>
      </c>
      <c r="J6" s="2137">
        <v>48</v>
      </c>
      <c r="K6" s="2137">
        <v>39</v>
      </c>
      <c r="L6" s="2137">
        <v>33</v>
      </c>
      <c r="M6" s="2137">
        <v>34</v>
      </c>
      <c r="N6" s="2137">
        <v>22</v>
      </c>
      <c r="O6" s="2137">
        <v>30</v>
      </c>
      <c r="P6" s="2137">
        <v>26</v>
      </c>
      <c r="Q6" s="2137">
        <v>24</v>
      </c>
      <c r="R6" s="2137">
        <v>27</v>
      </c>
      <c r="S6" s="2138">
        <v>36</v>
      </c>
      <c r="T6" s="2138">
        <v>31</v>
      </c>
      <c r="U6" s="2138">
        <v>31</v>
      </c>
      <c r="V6" s="2138">
        <v>35</v>
      </c>
      <c r="W6" s="2138">
        <v>50</v>
      </c>
      <c r="X6" s="2138">
        <v>40</v>
      </c>
    </row>
    <row r="7" spans="1:24" ht="15" x14ac:dyDescent="0.2">
      <c r="A7" s="5273"/>
      <c r="B7" s="5276"/>
      <c r="C7" s="2135" t="s">
        <v>454</v>
      </c>
      <c r="D7" s="2136"/>
      <c r="E7" s="2136"/>
      <c r="F7" s="2136"/>
      <c r="G7" s="2136"/>
      <c r="H7" s="2137">
        <v>44</v>
      </c>
      <c r="I7" s="2137">
        <v>18</v>
      </c>
      <c r="J7" s="2137">
        <v>35</v>
      </c>
      <c r="K7" s="2137">
        <v>19</v>
      </c>
      <c r="L7" s="2137">
        <v>21</v>
      </c>
      <c r="M7" s="2137">
        <v>26</v>
      </c>
      <c r="N7" s="2137">
        <v>25</v>
      </c>
      <c r="O7" s="2137">
        <v>18</v>
      </c>
      <c r="P7" s="2137">
        <v>26</v>
      </c>
      <c r="Q7" s="2137">
        <v>21</v>
      </c>
      <c r="R7" s="2137">
        <v>16</v>
      </c>
      <c r="S7" s="2138">
        <v>11</v>
      </c>
      <c r="T7" s="2138">
        <v>13</v>
      </c>
      <c r="U7" s="2138">
        <v>9</v>
      </c>
      <c r="V7" s="2138">
        <v>10</v>
      </c>
      <c r="W7" s="2138">
        <v>18</v>
      </c>
      <c r="X7" s="2138">
        <v>20</v>
      </c>
    </row>
    <row r="8" spans="1:24" ht="15" x14ac:dyDescent="0.2">
      <c r="A8" s="5273"/>
      <c r="B8" s="5276"/>
      <c r="C8" s="2135" t="s">
        <v>455</v>
      </c>
      <c r="D8" s="2136"/>
      <c r="E8" s="2136"/>
      <c r="F8" s="2136"/>
      <c r="G8" s="2136"/>
      <c r="H8" s="2137">
        <v>22</v>
      </c>
      <c r="I8" s="2137">
        <v>11</v>
      </c>
      <c r="J8" s="2137">
        <v>9</v>
      </c>
      <c r="K8" s="2137">
        <v>10</v>
      </c>
      <c r="L8" s="2137">
        <v>9</v>
      </c>
      <c r="M8" s="2137">
        <v>13</v>
      </c>
      <c r="N8" s="2137">
        <v>7</v>
      </c>
      <c r="O8" s="2137">
        <v>28</v>
      </c>
      <c r="P8" s="2137">
        <v>17</v>
      </c>
      <c r="Q8" s="2137">
        <v>16</v>
      </c>
      <c r="R8" s="2137">
        <v>14</v>
      </c>
      <c r="S8" s="2138">
        <v>22</v>
      </c>
      <c r="T8" s="2138">
        <v>13</v>
      </c>
      <c r="U8" s="2138">
        <v>14</v>
      </c>
      <c r="V8" s="2138">
        <v>14</v>
      </c>
      <c r="W8" s="2138">
        <v>30</v>
      </c>
      <c r="X8" s="2138">
        <v>20</v>
      </c>
    </row>
    <row r="9" spans="1:24" ht="15" x14ac:dyDescent="0.2">
      <c r="A9" s="5273"/>
      <c r="B9" s="5276"/>
      <c r="C9" s="2135" t="s">
        <v>456</v>
      </c>
      <c r="D9" s="2136"/>
      <c r="E9" s="2136"/>
      <c r="F9" s="2136"/>
      <c r="G9" s="2136"/>
      <c r="H9" s="2137">
        <v>81</v>
      </c>
      <c r="I9" s="2137">
        <v>53</v>
      </c>
      <c r="J9" s="2137">
        <v>63</v>
      </c>
      <c r="K9" s="2137">
        <v>59</v>
      </c>
      <c r="L9" s="2137">
        <v>88</v>
      </c>
      <c r="M9" s="2137">
        <v>68</v>
      </c>
      <c r="N9" s="2137">
        <v>76</v>
      </c>
      <c r="O9" s="2137">
        <v>78</v>
      </c>
      <c r="P9" s="2137">
        <v>84</v>
      </c>
      <c r="Q9" s="2137">
        <v>83</v>
      </c>
      <c r="R9" s="2137">
        <v>79</v>
      </c>
      <c r="S9" s="2138">
        <v>81</v>
      </c>
      <c r="T9" s="2138">
        <v>75</v>
      </c>
      <c r="U9" s="2138">
        <v>64</v>
      </c>
      <c r="V9" s="2138">
        <v>80</v>
      </c>
      <c r="W9" s="2138">
        <v>104</v>
      </c>
      <c r="X9" s="2138">
        <v>53</v>
      </c>
    </row>
    <row r="10" spans="1:24" ht="15" x14ac:dyDescent="0.2">
      <c r="A10" s="5273"/>
      <c r="B10" s="5276"/>
      <c r="C10" s="2135" t="s">
        <v>457</v>
      </c>
      <c r="D10" s="2136"/>
      <c r="E10" s="2136"/>
      <c r="F10" s="2136"/>
      <c r="G10" s="2136"/>
      <c r="H10" s="2137">
        <v>45</v>
      </c>
      <c r="I10" s="2137">
        <v>51</v>
      </c>
      <c r="J10" s="2137">
        <v>25</v>
      </c>
      <c r="K10" s="2137">
        <v>50</v>
      </c>
      <c r="L10" s="2137">
        <v>67</v>
      </c>
      <c r="M10" s="2137">
        <v>38</v>
      </c>
      <c r="N10" s="2137">
        <v>31</v>
      </c>
      <c r="O10" s="2137">
        <v>53</v>
      </c>
      <c r="P10" s="2137">
        <v>60</v>
      </c>
      <c r="Q10" s="2137">
        <v>39</v>
      </c>
      <c r="R10" s="2137">
        <v>38</v>
      </c>
      <c r="S10" s="2138">
        <v>40</v>
      </c>
      <c r="T10" s="2138">
        <v>38</v>
      </c>
      <c r="U10" s="2138">
        <v>35</v>
      </c>
      <c r="V10" s="2138">
        <v>42</v>
      </c>
      <c r="W10" s="2138">
        <v>35</v>
      </c>
      <c r="X10" s="2138">
        <v>37</v>
      </c>
    </row>
    <row r="11" spans="1:24" ht="15" x14ac:dyDescent="0.2">
      <c r="A11" s="5273"/>
      <c r="B11" s="5276"/>
      <c r="C11" s="2135" t="s">
        <v>458</v>
      </c>
      <c r="D11" s="2136"/>
      <c r="E11" s="2136"/>
      <c r="F11" s="2136"/>
      <c r="G11" s="2136"/>
      <c r="H11" s="2137">
        <v>19</v>
      </c>
      <c r="I11" s="2137">
        <v>20</v>
      </c>
      <c r="J11" s="2137">
        <v>27</v>
      </c>
      <c r="K11" s="2137">
        <v>15</v>
      </c>
      <c r="L11" s="2137">
        <v>8</v>
      </c>
      <c r="M11" s="2137">
        <v>11</v>
      </c>
      <c r="N11" s="2137">
        <v>9</v>
      </c>
      <c r="O11" s="2137">
        <v>11</v>
      </c>
      <c r="P11" s="2137">
        <v>7</v>
      </c>
      <c r="Q11" s="2137">
        <v>1</v>
      </c>
      <c r="R11" s="2137">
        <v>7</v>
      </c>
      <c r="S11" s="2138">
        <v>6</v>
      </c>
      <c r="T11" s="2138">
        <v>3</v>
      </c>
      <c r="U11" s="2138">
        <v>5</v>
      </c>
      <c r="V11" s="2138">
        <v>6</v>
      </c>
      <c r="W11" s="2138">
        <v>13</v>
      </c>
      <c r="X11" s="2138">
        <v>13</v>
      </c>
    </row>
    <row r="12" spans="1:24" ht="15" x14ac:dyDescent="0.2">
      <c r="A12" s="5273"/>
      <c r="B12" s="5276"/>
      <c r="C12" s="2135" t="s">
        <v>459</v>
      </c>
      <c r="D12" s="2136"/>
      <c r="E12" s="2136"/>
      <c r="F12" s="2136"/>
      <c r="G12" s="2136"/>
      <c r="H12" s="2137">
        <v>59</v>
      </c>
      <c r="I12" s="2137">
        <v>40</v>
      </c>
      <c r="J12" s="2137">
        <v>43</v>
      </c>
      <c r="K12" s="2137">
        <v>39</v>
      </c>
      <c r="L12" s="2137">
        <v>42</v>
      </c>
      <c r="M12" s="2137">
        <v>43</v>
      </c>
      <c r="N12" s="2137">
        <v>49</v>
      </c>
      <c r="O12" s="2137">
        <v>38</v>
      </c>
      <c r="P12" s="2137">
        <v>52</v>
      </c>
      <c r="Q12" s="2137">
        <v>30</v>
      </c>
      <c r="R12" s="2137">
        <v>55</v>
      </c>
      <c r="S12" s="2138">
        <v>34</v>
      </c>
      <c r="T12" s="2138">
        <v>56</v>
      </c>
      <c r="U12" s="2138">
        <v>41</v>
      </c>
      <c r="V12" s="2138">
        <v>34</v>
      </c>
      <c r="W12" s="2138">
        <v>75</v>
      </c>
      <c r="X12" s="2138">
        <v>47</v>
      </c>
    </row>
    <row r="13" spans="1:24" ht="15" x14ac:dyDescent="0.2">
      <c r="A13" s="5273"/>
      <c r="B13" s="5276"/>
      <c r="C13" s="2135" t="s">
        <v>460</v>
      </c>
      <c r="D13" s="2136"/>
      <c r="E13" s="2136"/>
      <c r="F13" s="2136"/>
      <c r="G13" s="2136"/>
      <c r="H13" s="2137">
        <v>90</v>
      </c>
      <c r="I13" s="2137">
        <v>79</v>
      </c>
      <c r="J13" s="2137">
        <v>70</v>
      </c>
      <c r="K13" s="2137">
        <v>79</v>
      </c>
      <c r="L13" s="2137">
        <v>104</v>
      </c>
      <c r="M13" s="2137">
        <v>104</v>
      </c>
      <c r="N13" s="2137">
        <v>101</v>
      </c>
      <c r="O13" s="2137">
        <v>105</v>
      </c>
      <c r="P13" s="2137">
        <v>81</v>
      </c>
      <c r="Q13" s="2137">
        <v>64</v>
      </c>
      <c r="R13" s="2137">
        <v>80</v>
      </c>
      <c r="S13" s="2138">
        <v>67</v>
      </c>
      <c r="T13" s="2138">
        <v>51</v>
      </c>
      <c r="U13" s="2138">
        <v>66</v>
      </c>
      <c r="V13" s="2138">
        <v>64</v>
      </c>
      <c r="W13" s="2138">
        <v>64</v>
      </c>
      <c r="X13" s="2138">
        <v>43</v>
      </c>
    </row>
    <row r="14" spans="1:24" ht="15" x14ac:dyDescent="0.2">
      <c r="A14" s="5273"/>
      <c r="B14" s="5276"/>
      <c r="C14" s="2135" t="s">
        <v>461</v>
      </c>
      <c r="D14" s="2136"/>
      <c r="E14" s="2136"/>
      <c r="F14" s="2136"/>
      <c r="G14" s="2136"/>
      <c r="H14" s="2137"/>
      <c r="I14" s="2137"/>
      <c r="J14" s="2137"/>
      <c r="K14" s="2137"/>
      <c r="L14" s="2137"/>
      <c r="M14" s="2137"/>
      <c r="N14" s="2137"/>
      <c r="O14" s="2137"/>
      <c r="P14" s="2137"/>
      <c r="Q14" s="2137">
        <v>7</v>
      </c>
      <c r="R14" s="2137">
        <v>13</v>
      </c>
      <c r="S14" s="2138">
        <v>37</v>
      </c>
      <c r="T14" s="2138">
        <v>41</v>
      </c>
      <c r="U14" s="2138">
        <v>57</v>
      </c>
      <c r="V14" s="2138">
        <v>58</v>
      </c>
      <c r="W14" s="2138">
        <v>78</v>
      </c>
      <c r="X14" s="2138">
        <v>75</v>
      </c>
    </row>
    <row r="15" spans="1:24" ht="15" x14ac:dyDescent="0.2">
      <c r="A15" s="5273"/>
      <c r="B15" s="5277"/>
      <c r="C15" s="2139" t="s">
        <v>160</v>
      </c>
      <c r="D15" s="2140"/>
      <c r="E15" s="2140"/>
      <c r="F15" s="2140"/>
      <c r="G15" s="2140"/>
      <c r="H15" s="2141">
        <f t="shared" ref="H15:Q15" si="0">SUM(H5:H14)</f>
        <v>443</v>
      </c>
      <c r="I15" s="2141">
        <f t="shared" si="0"/>
        <v>336</v>
      </c>
      <c r="J15" s="2141">
        <f t="shared" si="0"/>
        <v>350</v>
      </c>
      <c r="K15" s="2141">
        <f t="shared" si="0"/>
        <v>340</v>
      </c>
      <c r="L15" s="2141">
        <f t="shared" si="0"/>
        <v>412</v>
      </c>
      <c r="M15" s="2141">
        <f t="shared" si="0"/>
        <v>365</v>
      </c>
      <c r="N15" s="2141">
        <f t="shared" si="0"/>
        <v>351</v>
      </c>
      <c r="O15" s="2141">
        <f t="shared" si="0"/>
        <v>395</v>
      </c>
      <c r="P15" s="2141">
        <f t="shared" si="0"/>
        <v>363</v>
      </c>
      <c r="Q15" s="2141">
        <f t="shared" si="0"/>
        <v>303</v>
      </c>
      <c r="R15" s="2141">
        <f t="shared" ref="R15:X15" si="1">SUM(R5:R14)</f>
        <v>351</v>
      </c>
      <c r="S15" s="2141">
        <f t="shared" si="1"/>
        <v>363</v>
      </c>
      <c r="T15" s="2141">
        <f t="shared" si="1"/>
        <v>353</v>
      </c>
      <c r="U15" s="2141">
        <f t="shared" si="1"/>
        <v>355</v>
      </c>
      <c r="V15" s="2141">
        <f t="shared" si="1"/>
        <v>392</v>
      </c>
      <c r="W15" s="2141">
        <f t="shared" si="1"/>
        <v>526</v>
      </c>
      <c r="X15" s="2141">
        <f t="shared" si="1"/>
        <v>392</v>
      </c>
    </row>
    <row r="16" spans="1:24" ht="15" x14ac:dyDescent="0.2">
      <c r="A16" s="5273"/>
      <c r="B16" s="5275" t="s">
        <v>6</v>
      </c>
      <c r="C16" s="2142" t="s">
        <v>462</v>
      </c>
      <c r="D16" s="2136"/>
      <c r="E16" s="2136"/>
      <c r="F16" s="2136"/>
      <c r="G16" s="2136"/>
      <c r="H16" s="2137">
        <v>195</v>
      </c>
      <c r="I16" s="2137">
        <v>201</v>
      </c>
      <c r="J16" s="2137">
        <v>160</v>
      </c>
      <c r="K16" s="2137">
        <v>151</v>
      </c>
      <c r="L16" s="2137">
        <v>225</v>
      </c>
      <c r="M16" s="2137">
        <v>144</v>
      </c>
      <c r="N16" s="2137">
        <v>118</v>
      </c>
      <c r="O16" s="2137">
        <v>125</v>
      </c>
      <c r="P16" s="2137">
        <v>98</v>
      </c>
      <c r="Q16" s="2137">
        <v>62</v>
      </c>
      <c r="R16" s="2137">
        <v>79</v>
      </c>
      <c r="S16" s="2138">
        <v>122</v>
      </c>
      <c r="T16" s="2138">
        <v>93</v>
      </c>
      <c r="U16" s="2138">
        <v>96</v>
      </c>
      <c r="V16" s="2138">
        <v>112</v>
      </c>
      <c r="W16" s="2138">
        <v>104</v>
      </c>
      <c r="X16" s="2138">
        <v>124</v>
      </c>
    </row>
    <row r="17" spans="1:24" ht="14.25" customHeight="1" x14ac:dyDescent="0.2">
      <c r="A17" s="5273"/>
      <c r="B17" s="5276"/>
      <c r="C17" s="2142" t="s">
        <v>463</v>
      </c>
      <c r="D17" s="2136"/>
      <c r="E17" s="2136"/>
      <c r="F17" s="2136"/>
      <c r="G17" s="2136"/>
      <c r="H17" s="2137">
        <v>255</v>
      </c>
      <c r="I17" s="2137">
        <v>207</v>
      </c>
      <c r="J17" s="2137">
        <v>237</v>
      </c>
      <c r="K17" s="2137">
        <v>252</v>
      </c>
      <c r="L17" s="2137">
        <v>201</v>
      </c>
      <c r="M17" s="2137">
        <v>172</v>
      </c>
      <c r="N17" s="2137">
        <v>191</v>
      </c>
      <c r="O17" s="2137">
        <v>211</v>
      </c>
      <c r="P17" s="2137">
        <v>205</v>
      </c>
      <c r="Q17" s="2137">
        <v>154</v>
      </c>
      <c r="R17" s="2137">
        <v>198</v>
      </c>
      <c r="S17" s="2138">
        <v>167</v>
      </c>
      <c r="T17" s="2138">
        <v>178</v>
      </c>
      <c r="U17" s="2138">
        <v>154</v>
      </c>
      <c r="V17" s="2138">
        <v>187</v>
      </c>
      <c r="W17" s="2138">
        <v>167</v>
      </c>
      <c r="X17" s="2138">
        <v>148</v>
      </c>
    </row>
    <row r="18" spans="1:24" ht="14.25" customHeight="1" x14ac:dyDescent="0.2">
      <c r="A18" s="5273"/>
      <c r="B18" s="5276"/>
      <c r="C18" s="2142" t="s">
        <v>464</v>
      </c>
      <c r="D18" s="2136"/>
      <c r="E18" s="2136"/>
      <c r="F18" s="2136"/>
      <c r="G18" s="2136"/>
      <c r="H18" s="2137">
        <v>91</v>
      </c>
      <c r="I18" s="2137">
        <v>86</v>
      </c>
      <c r="J18" s="2137">
        <v>109</v>
      </c>
      <c r="K18" s="2137">
        <v>77</v>
      </c>
      <c r="L18" s="2137">
        <v>91</v>
      </c>
      <c r="M18" s="2137">
        <v>105</v>
      </c>
      <c r="N18" s="2137">
        <v>72</v>
      </c>
      <c r="O18" s="2137">
        <v>63</v>
      </c>
      <c r="P18" s="2137">
        <v>78</v>
      </c>
      <c r="Q18" s="2137">
        <v>57</v>
      </c>
      <c r="R18" s="2137">
        <v>63</v>
      </c>
      <c r="S18" s="2138">
        <v>61</v>
      </c>
      <c r="T18" s="2138">
        <v>60</v>
      </c>
      <c r="U18" s="2138">
        <v>57</v>
      </c>
      <c r="V18" s="2138">
        <v>87</v>
      </c>
      <c r="W18" s="2138">
        <v>67</v>
      </c>
      <c r="X18" s="2138">
        <v>50</v>
      </c>
    </row>
    <row r="19" spans="1:24" ht="14.25" customHeight="1" x14ac:dyDescent="0.2">
      <c r="A19" s="5273"/>
      <c r="B19" s="5276"/>
      <c r="C19" s="2142" t="s">
        <v>465</v>
      </c>
      <c r="D19" s="2136"/>
      <c r="E19" s="2136"/>
      <c r="F19" s="2136"/>
      <c r="G19" s="2136"/>
      <c r="H19" s="2137">
        <v>61</v>
      </c>
      <c r="I19" s="2137">
        <v>59</v>
      </c>
      <c r="J19" s="2137">
        <v>79</v>
      </c>
      <c r="K19" s="2137">
        <v>86</v>
      </c>
      <c r="L19" s="2137">
        <v>85</v>
      </c>
      <c r="M19" s="2137">
        <v>82</v>
      </c>
      <c r="N19" s="2137">
        <v>70</v>
      </c>
      <c r="O19" s="2137">
        <v>45</v>
      </c>
      <c r="P19" s="2137">
        <v>68</v>
      </c>
      <c r="Q19" s="2137">
        <v>49</v>
      </c>
      <c r="R19" s="2137">
        <v>66</v>
      </c>
      <c r="S19" s="2138">
        <v>60</v>
      </c>
      <c r="T19" s="2138">
        <v>66</v>
      </c>
      <c r="U19" s="2138">
        <v>73</v>
      </c>
      <c r="V19" s="2138">
        <v>78</v>
      </c>
      <c r="W19" s="2138">
        <v>65</v>
      </c>
      <c r="X19" s="2138">
        <v>63</v>
      </c>
    </row>
    <row r="20" spans="1:24" ht="14.25" customHeight="1" x14ac:dyDescent="0.2">
      <c r="A20" s="5273"/>
      <c r="B20" s="5277"/>
      <c r="C20" s="2139" t="s">
        <v>160</v>
      </c>
      <c r="D20" s="2140"/>
      <c r="E20" s="2140"/>
      <c r="F20" s="2140"/>
      <c r="G20" s="2140"/>
      <c r="H20" s="2141">
        <f t="shared" ref="H20:Q20" si="2">SUM(H16:H19)</f>
        <v>602</v>
      </c>
      <c r="I20" s="2141">
        <f t="shared" si="2"/>
        <v>553</v>
      </c>
      <c r="J20" s="2141">
        <f t="shared" si="2"/>
        <v>585</v>
      </c>
      <c r="K20" s="2141">
        <f t="shared" si="2"/>
        <v>566</v>
      </c>
      <c r="L20" s="2141">
        <f t="shared" si="2"/>
        <v>602</v>
      </c>
      <c r="M20" s="2141">
        <f t="shared" si="2"/>
        <v>503</v>
      </c>
      <c r="N20" s="2141">
        <f t="shared" si="2"/>
        <v>451</v>
      </c>
      <c r="O20" s="2141">
        <f t="shared" si="2"/>
        <v>444</v>
      </c>
      <c r="P20" s="2141">
        <f t="shared" si="2"/>
        <v>449</v>
      </c>
      <c r="Q20" s="2141">
        <f t="shared" si="2"/>
        <v>322</v>
      </c>
      <c r="R20" s="2141">
        <f t="shared" ref="R20:X20" si="3">SUM(R16:R19)</f>
        <v>406</v>
      </c>
      <c r="S20" s="2141">
        <f t="shared" si="3"/>
        <v>410</v>
      </c>
      <c r="T20" s="2141">
        <f t="shared" si="3"/>
        <v>397</v>
      </c>
      <c r="U20" s="2141">
        <f t="shared" si="3"/>
        <v>380</v>
      </c>
      <c r="V20" s="2141">
        <f t="shared" si="3"/>
        <v>464</v>
      </c>
      <c r="W20" s="2141">
        <f t="shared" si="3"/>
        <v>403</v>
      </c>
      <c r="X20" s="2141">
        <f t="shared" si="3"/>
        <v>385</v>
      </c>
    </row>
    <row r="21" spans="1:24" ht="15" x14ac:dyDescent="0.2">
      <c r="A21" s="5273"/>
      <c r="B21" s="5275" t="s">
        <v>7</v>
      </c>
      <c r="C21" s="2131" t="s">
        <v>466</v>
      </c>
      <c r="D21" s="2132"/>
      <c r="E21" s="2132"/>
      <c r="F21" s="2132"/>
      <c r="G21" s="2132"/>
      <c r="H21" s="2133">
        <v>148</v>
      </c>
      <c r="I21" s="2133">
        <v>167</v>
      </c>
      <c r="J21" s="2133">
        <v>141</v>
      </c>
      <c r="K21" s="2133">
        <v>120</v>
      </c>
      <c r="L21" s="2133">
        <v>142</v>
      </c>
      <c r="M21" s="2133">
        <v>123</v>
      </c>
      <c r="N21" s="2133">
        <v>109</v>
      </c>
      <c r="O21" s="2133">
        <v>102</v>
      </c>
      <c r="P21" s="2133">
        <v>129</v>
      </c>
      <c r="Q21" s="2133">
        <v>110</v>
      </c>
      <c r="R21" s="2133">
        <v>160</v>
      </c>
      <c r="S21" s="2134">
        <v>141</v>
      </c>
      <c r="T21" s="2134">
        <v>98</v>
      </c>
      <c r="U21" s="2134">
        <v>73</v>
      </c>
      <c r="V21" s="2134">
        <v>98</v>
      </c>
      <c r="W21" s="2134">
        <v>119</v>
      </c>
      <c r="X21" s="2134">
        <v>89</v>
      </c>
    </row>
    <row r="22" spans="1:24" ht="14.25" customHeight="1" x14ac:dyDescent="0.2">
      <c r="A22" s="5273"/>
      <c r="B22" s="5276"/>
      <c r="C22" s="2135" t="s">
        <v>522</v>
      </c>
      <c r="D22" s="2136"/>
      <c r="E22" s="2136"/>
      <c r="F22" s="2136"/>
      <c r="G22" s="2136"/>
      <c r="H22" s="2137">
        <v>126</v>
      </c>
      <c r="I22" s="2137">
        <v>103</v>
      </c>
      <c r="J22" s="2137">
        <v>169</v>
      </c>
      <c r="K22" s="2137">
        <v>110</v>
      </c>
      <c r="L22" s="2137">
        <v>107</v>
      </c>
      <c r="M22" s="2137">
        <v>125</v>
      </c>
      <c r="N22" s="2137">
        <v>95</v>
      </c>
      <c r="O22" s="2137">
        <v>106</v>
      </c>
      <c r="P22" s="2137">
        <v>145</v>
      </c>
      <c r="Q22" s="2137">
        <v>93</v>
      </c>
      <c r="R22" s="2137">
        <v>158</v>
      </c>
      <c r="S22" s="2138">
        <v>123</v>
      </c>
      <c r="T22" s="2138">
        <v>100</v>
      </c>
      <c r="U22" s="2138">
        <v>82</v>
      </c>
      <c r="V22" s="2138">
        <v>95</v>
      </c>
      <c r="W22" s="2138">
        <v>114</v>
      </c>
      <c r="X22" s="2138">
        <v>82</v>
      </c>
    </row>
    <row r="23" spans="1:24" ht="14.25" customHeight="1" x14ac:dyDescent="0.2">
      <c r="A23" s="5273"/>
      <c r="B23" s="5276"/>
      <c r="C23" s="2135" t="s">
        <v>468</v>
      </c>
      <c r="D23" s="2136"/>
      <c r="E23" s="2136"/>
      <c r="F23" s="2136"/>
      <c r="G23" s="2136"/>
      <c r="H23" s="2137">
        <v>72</v>
      </c>
      <c r="I23" s="2137">
        <v>64</v>
      </c>
      <c r="J23" s="2137">
        <v>69</v>
      </c>
      <c r="K23" s="2137">
        <v>48</v>
      </c>
      <c r="L23" s="2137">
        <v>71</v>
      </c>
      <c r="M23" s="2137">
        <v>63</v>
      </c>
      <c r="N23" s="2137">
        <v>67</v>
      </c>
      <c r="O23" s="2137">
        <v>63</v>
      </c>
      <c r="P23" s="2137">
        <v>55</v>
      </c>
      <c r="Q23" s="2137">
        <v>42</v>
      </c>
      <c r="R23" s="2137">
        <v>68</v>
      </c>
      <c r="S23" s="2138">
        <v>47</v>
      </c>
      <c r="T23" s="2138">
        <v>79</v>
      </c>
      <c r="U23" s="2138">
        <v>44</v>
      </c>
      <c r="V23" s="2138">
        <v>69</v>
      </c>
      <c r="W23" s="2138">
        <v>79</v>
      </c>
      <c r="X23" s="2138">
        <v>53</v>
      </c>
    </row>
    <row r="24" spans="1:24" ht="14.25" customHeight="1" x14ac:dyDescent="0.2">
      <c r="A24" s="5273"/>
      <c r="B24" s="5277"/>
      <c r="C24" s="2139" t="s">
        <v>160</v>
      </c>
      <c r="D24" s="2140"/>
      <c r="E24" s="2140"/>
      <c r="F24" s="2140"/>
      <c r="G24" s="2140"/>
      <c r="H24" s="2141">
        <f t="shared" ref="H24:Q24" si="4">SUM(H21:H23)</f>
        <v>346</v>
      </c>
      <c r="I24" s="2141">
        <f t="shared" si="4"/>
        <v>334</v>
      </c>
      <c r="J24" s="2141">
        <f t="shared" si="4"/>
        <v>379</v>
      </c>
      <c r="K24" s="2141">
        <f t="shared" si="4"/>
        <v>278</v>
      </c>
      <c r="L24" s="2141">
        <f t="shared" si="4"/>
        <v>320</v>
      </c>
      <c r="M24" s="2141">
        <f t="shared" si="4"/>
        <v>311</v>
      </c>
      <c r="N24" s="2141">
        <f t="shared" si="4"/>
        <v>271</v>
      </c>
      <c r="O24" s="2141">
        <f t="shared" si="4"/>
        <v>271</v>
      </c>
      <c r="P24" s="2141">
        <f t="shared" si="4"/>
        <v>329</v>
      </c>
      <c r="Q24" s="2141">
        <f t="shared" si="4"/>
        <v>245</v>
      </c>
      <c r="R24" s="2141">
        <f t="shared" ref="R24:X24" si="5">SUM(R21:R23)</f>
        <v>386</v>
      </c>
      <c r="S24" s="2141">
        <f t="shared" si="5"/>
        <v>311</v>
      </c>
      <c r="T24" s="2141">
        <f t="shared" si="5"/>
        <v>277</v>
      </c>
      <c r="U24" s="2141">
        <f t="shared" si="5"/>
        <v>199</v>
      </c>
      <c r="V24" s="2141">
        <f t="shared" si="5"/>
        <v>262</v>
      </c>
      <c r="W24" s="2141">
        <f t="shared" si="5"/>
        <v>312</v>
      </c>
      <c r="X24" s="2141">
        <f t="shared" si="5"/>
        <v>224</v>
      </c>
    </row>
    <row r="25" spans="1:24" ht="14.25" customHeight="1" x14ac:dyDescent="0.2">
      <c r="A25" s="5274"/>
      <c r="B25" s="2558"/>
      <c r="C25" s="2559" t="s">
        <v>450</v>
      </c>
      <c r="D25" s="2560"/>
      <c r="E25" s="2560"/>
      <c r="F25" s="2560"/>
      <c r="G25" s="2560"/>
      <c r="H25" s="2561">
        <f t="shared" ref="H25:Q25" si="6">SUM(H24,H20,H15)</f>
        <v>1391</v>
      </c>
      <c r="I25" s="2561">
        <f t="shared" si="6"/>
        <v>1223</v>
      </c>
      <c r="J25" s="2561">
        <f t="shared" si="6"/>
        <v>1314</v>
      </c>
      <c r="K25" s="2561">
        <f t="shared" si="6"/>
        <v>1184</v>
      </c>
      <c r="L25" s="2561">
        <f t="shared" si="6"/>
        <v>1334</v>
      </c>
      <c r="M25" s="2561">
        <f t="shared" si="6"/>
        <v>1179</v>
      </c>
      <c r="N25" s="2561">
        <f t="shared" si="6"/>
        <v>1073</v>
      </c>
      <c r="O25" s="2561">
        <f t="shared" si="6"/>
        <v>1110</v>
      </c>
      <c r="P25" s="2561">
        <f t="shared" si="6"/>
        <v>1141</v>
      </c>
      <c r="Q25" s="2561">
        <f t="shared" si="6"/>
        <v>870</v>
      </c>
      <c r="R25" s="2561">
        <f t="shared" ref="R25:W25" si="7">SUM(R24,R20,R15)</f>
        <v>1143</v>
      </c>
      <c r="S25" s="2561">
        <f t="shared" si="7"/>
        <v>1084</v>
      </c>
      <c r="T25" s="2561">
        <f t="shared" si="7"/>
        <v>1027</v>
      </c>
      <c r="U25" s="2561">
        <f t="shared" si="7"/>
        <v>934</v>
      </c>
      <c r="V25" s="2561">
        <f t="shared" si="7"/>
        <v>1118</v>
      </c>
      <c r="W25" s="2561">
        <f t="shared" si="7"/>
        <v>1241</v>
      </c>
      <c r="X25" s="2561">
        <f t="shared" ref="X25" si="8">SUM(X24,X20,X15)</f>
        <v>1001</v>
      </c>
    </row>
    <row r="26" spans="1:24" ht="15" x14ac:dyDescent="0.2">
      <c r="A26" s="5278" t="s">
        <v>447</v>
      </c>
      <c r="B26" s="5281" t="s">
        <v>5</v>
      </c>
      <c r="C26" s="2142" t="s">
        <v>469</v>
      </c>
      <c r="D26" s="2136"/>
      <c r="E26" s="2136"/>
      <c r="F26" s="2136"/>
      <c r="G26" s="2136"/>
      <c r="H26" s="2137">
        <v>26</v>
      </c>
      <c r="I26" s="2137">
        <v>29</v>
      </c>
      <c r="J26" s="2137">
        <v>31</v>
      </c>
      <c r="K26" s="2137">
        <v>29</v>
      </c>
      <c r="L26" s="2137">
        <v>22</v>
      </c>
      <c r="M26" s="2137">
        <v>26</v>
      </c>
      <c r="N26" s="2137">
        <v>30</v>
      </c>
      <c r="O26" s="2137">
        <v>44</v>
      </c>
      <c r="P26" s="2137">
        <v>50</v>
      </c>
      <c r="Q26" s="2137">
        <v>38</v>
      </c>
      <c r="R26" s="2137">
        <v>28</v>
      </c>
      <c r="S26" s="2138">
        <v>57</v>
      </c>
      <c r="T26" s="2138">
        <v>36</v>
      </c>
      <c r="U26" s="2138">
        <v>36</v>
      </c>
      <c r="V26" s="2138">
        <v>22</v>
      </c>
      <c r="W26" s="2138">
        <v>31</v>
      </c>
      <c r="X26" s="2138">
        <v>25</v>
      </c>
    </row>
    <row r="27" spans="1:24" ht="14.25" customHeight="1" x14ac:dyDescent="0.2">
      <c r="A27" s="5279"/>
      <c r="B27" s="5282"/>
      <c r="C27" s="2142" t="s">
        <v>470</v>
      </c>
      <c r="D27" s="2136"/>
      <c r="E27" s="2136"/>
      <c r="F27" s="2136"/>
      <c r="G27" s="2136"/>
      <c r="H27" s="2137">
        <v>1</v>
      </c>
      <c r="I27" s="2137">
        <v>2</v>
      </c>
      <c r="J27" s="2137">
        <v>2</v>
      </c>
      <c r="K27" s="2137">
        <v>5</v>
      </c>
      <c r="L27" s="2137">
        <v>4</v>
      </c>
      <c r="M27" s="2137">
        <v>7</v>
      </c>
      <c r="N27" s="2137">
        <v>4</v>
      </c>
      <c r="O27" s="2137">
        <v>7</v>
      </c>
      <c r="P27" s="2137">
        <v>6</v>
      </c>
      <c r="Q27" s="2137">
        <v>4</v>
      </c>
      <c r="R27" s="2137">
        <v>5</v>
      </c>
      <c r="S27" s="2138">
        <v>5</v>
      </c>
      <c r="T27" s="2138">
        <v>6</v>
      </c>
      <c r="U27" s="2138">
        <v>8</v>
      </c>
      <c r="V27" s="2138">
        <v>3</v>
      </c>
      <c r="W27" s="2138">
        <v>1</v>
      </c>
      <c r="X27" s="2138">
        <v>18</v>
      </c>
    </row>
    <row r="28" spans="1:24" ht="14.25" customHeight="1" x14ac:dyDescent="0.2">
      <c r="A28" s="5279"/>
      <c r="B28" s="5282"/>
      <c r="C28" s="2142" t="s">
        <v>459</v>
      </c>
      <c r="D28" s="2136"/>
      <c r="E28" s="2136"/>
      <c r="F28" s="2136"/>
      <c r="G28" s="2136"/>
      <c r="H28" s="2137">
        <v>23</v>
      </c>
      <c r="I28" s="2137">
        <v>17</v>
      </c>
      <c r="J28" s="2137">
        <v>21</v>
      </c>
      <c r="K28" s="2137">
        <v>18</v>
      </c>
      <c r="L28" s="2137">
        <v>31</v>
      </c>
      <c r="M28" s="2137">
        <v>33</v>
      </c>
      <c r="N28" s="2137">
        <v>37</v>
      </c>
      <c r="O28" s="2137">
        <v>26</v>
      </c>
      <c r="P28" s="2137">
        <v>22</v>
      </c>
      <c r="Q28" s="2137">
        <v>25</v>
      </c>
      <c r="R28" s="2137">
        <v>16</v>
      </c>
      <c r="S28" s="2138">
        <v>19</v>
      </c>
      <c r="T28" s="2138">
        <v>23</v>
      </c>
      <c r="U28" s="2138">
        <v>21</v>
      </c>
      <c r="V28" s="2138">
        <v>24</v>
      </c>
      <c r="W28" s="2138">
        <v>24</v>
      </c>
      <c r="X28" s="2138">
        <v>17</v>
      </c>
    </row>
    <row r="29" spans="1:24" ht="14.25" customHeight="1" x14ac:dyDescent="0.2">
      <c r="A29" s="5279"/>
      <c r="B29" s="5282"/>
      <c r="C29" s="2142" t="s">
        <v>471</v>
      </c>
      <c r="D29" s="2136"/>
      <c r="E29" s="2136"/>
      <c r="F29" s="2136"/>
      <c r="G29" s="2136"/>
      <c r="H29" s="2137">
        <v>15</v>
      </c>
      <c r="I29" s="2137">
        <v>13</v>
      </c>
      <c r="J29" s="2137">
        <v>14</v>
      </c>
      <c r="K29" s="2137">
        <v>8</v>
      </c>
      <c r="L29" s="2137">
        <v>9</v>
      </c>
      <c r="M29" s="2137">
        <v>10</v>
      </c>
      <c r="N29" s="2137">
        <v>15</v>
      </c>
      <c r="O29" s="2137">
        <v>18</v>
      </c>
      <c r="P29" s="2137">
        <v>22</v>
      </c>
      <c r="Q29" s="2137">
        <v>14</v>
      </c>
      <c r="R29" s="2137">
        <v>13</v>
      </c>
      <c r="S29" s="2138">
        <v>9</v>
      </c>
      <c r="T29" s="2138">
        <v>10</v>
      </c>
      <c r="U29" s="2138">
        <v>17</v>
      </c>
      <c r="V29" s="2138">
        <v>16</v>
      </c>
      <c r="W29" s="2138">
        <v>21</v>
      </c>
      <c r="X29" s="2138">
        <v>23</v>
      </c>
    </row>
    <row r="30" spans="1:24" ht="15" x14ac:dyDescent="0.2">
      <c r="A30" s="5279"/>
      <c r="B30" s="5282"/>
      <c r="C30" s="2142" t="s">
        <v>472</v>
      </c>
      <c r="D30" s="2136"/>
      <c r="E30" s="2136"/>
      <c r="F30" s="2136"/>
      <c r="G30" s="2136"/>
      <c r="H30" s="2137">
        <v>4</v>
      </c>
      <c r="I30" s="2137">
        <v>6</v>
      </c>
      <c r="J30" s="2137">
        <v>8</v>
      </c>
      <c r="K30" s="2137">
        <v>6</v>
      </c>
      <c r="L30" s="2137">
        <v>5</v>
      </c>
      <c r="M30" s="2137">
        <v>10</v>
      </c>
      <c r="N30" s="2137">
        <v>11</v>
      </c>
      <c r="O30" s="2137">
        <v>12</v>
      </c>
      <c r="P30" s="2137">
        <v>8</v>
      </c>
      <c r="Q30" s="2137">
        <v>11</v>
      </c>
      <c r="R30" s="2137">
        <v>5</v>
      </c>
      <c r="S30" s="2138">
        <v>7</v>
      </c>
      <c r="T30" s="2138">
        <v>13</v>
      </c>
      <c r="U30" s="2138">
        <v>12</v>
      </c>
      <c r="V30" s="2138">
        <v>7</v>
      </c>
      <c r="W30" s="2138">
        <v>17</v>
      </c>
      <c r="X30" s="2138">
        <v>14</v>
      </c>
    </row>
    <row r="31" spans="1:24" ht="15" x14ac:dyDescent="0.2">
      <c r="A31" s="5279"/>
      <c r="B31" s="5282"/>
      <c r="C31" s="2142" t="s">
        <v>460</v>
      </c>
      <c r="D31" s="2136"/>
      <c r="E31" s="2136"/>
      <c r="F31" s="2136"/>
      <c r="G31" s="2136"/>
      <c r="H31" s="2137">
        <v>57</v>
      </c>
      <c r="I31" s="2137">
        <v>54</v>
      </c>
      <c r="J31" s="2137">
        <v>59</v>
      </c>
      <c r="K31" s="2137">
        <v>69</v>
      </c>
      <c r="L31" s="2137">
        <v>65</v>
      </c>
      <c r="M31" s="2137">
        <v>66</v>
      </c>
      <c r="N31" s="2137">
        <v>49</v>
      </c>
      <c r="O31" s="2137">
        <v>46</v>
      </c>
      <c r="P31" s="2137">
        <v>45</v>
      </c>
      <c r="Q31" s="2137">
        <v>50</v>
      </c>
      <c r="R31" s="2137">
        <v>36</v>
      </c>
      <c r="S31" s="2138">
        <v>48</v>
      </c>
      <c r="T31" s="2138">
        <v>38</v>
      </c>
      <c r="U31" s="2138">
        <v>31</v>
      </c>
      <c r="V31" s="2138">
        <v>32</v>
      </c>
      <c r="W31" s="2138">
        <v>33</v>
      </c>
      <c r="X31" s="2138">
        <v>35</v>
      </c>
    </row>
    <row r="32" spans="1:24" ht="14.25" customHeight="1" x14ac:dyDescent="0.2">
      <c r="A32" s="5279"/>
      <c r="B32" s="5282"/>
      <c r="C32" s="2142" t="s">
        <v>473</v>
      </c>
      <c r="D32" s="2136"/>
      <c r="E32" s="2136"/>
      <c r="F32" s="2136"/>
      <c r="G32" s="2136"/>
      <c r="H32" s="2137">
        <v>11</v>
      </c>
      <c r="I32" s="2137">
        <v>17</v>
      </c>
      <c r="J32" s="2137">
        <v>12</v>
      </c>
      <c r="K32" s="2137">
        <v>9</v>
      </c>
      <c r="L32" s="2137">
        <v>7</v>
      </c>
      <c r="M32" s="2137">
        <v>17</v>
      </c>
      <c r="N32" s="2137">
        <v>18</v>
      </c>
      <c r="O32" s="2137">
        <v>21</v>
      </c>
      <c r="P32" s="2137">
        <v>22</v>
      </c>
      <c r="Q32" s="2137">
        <v>13</v>
      </c>
      <c r="R32" s="2137">
        <v>7</v>
      </c>
      <c r="S32" s="2138">
        <v>12</v>
      </c>
      <c r="T32" s="2138">
        <v>16</v>
      </c>
      <c r="U32" s="2138">
        <v>17</v>
      </c>
      <c r="V32" s="2138">
        <v>18</v>
      </c>
      <c r="W32" s="2138">
        <v>38</v>
      </c>
      <c r="X32" s="2138">
        <v>18</v>
      </c>
    </row>
    <row r="33" spans="1:24" ht="14.25" customHeight="1" x14ac:dyDescent="0.2">
      <c r="A33" s="5279"/>
      <c r="B33" s="5282"/>
      <c r="C33" s="2142" t="s">
        <v>474</v>
      </c>
      <c r="D33" s="2136"/>
      <c r="E33" s="2136"/>
      <c r="F33" s="2136"/>
      <c r="G33" s="2136"/>
      <c r="H33" s="2137">
        <v>5</v>
      </c>
      <c r="I33" s="2137">
        <v>4</v>
      </c>
      <c r="J33" s="2137">
        <v>6</v>
      </c>
      <c r="K33" s="2137">
        <v>3</v>
      </c>
      <c r="L33" s="2137">
        <v>9</v>
      </c>
      <c r="M33" s="2137">
        <v>4</v>
      </c>
      <c r="N33" s="2137">
        <v>16</v>
      </c>
      <c r="O33" s="2137">
        <v>6</v>
      </c>
      <c r="P33" s="2137">
        <v>4</v>
      </c>
      <c r="Q33" s="2137">
        <v>2</v>
      </c>
      <c r="R33" s="2137">
        <v>8</v>
      </c>
      <c r="S33" s="2138">
        <v>7</v>
      </c>
      <c r="T33" s="2138">
        <v>5</v>
      </c>
      <c r="U33" s="2138">
        <v>12</v>
      </c>
      <c r="V33" s="2138">
        <v>10</v>
      </c>
      <c r="W33" s="2138">
        <v>11</v>
      </c>
      <c r="X33" s="2138">
        <v>9</v>
      </c>
    </row>
    <row r="34" spans="1:24" ht="14.25" customHeight="1" x14ac:dyDescent="0.2">
      <c r="A34" s="5279"/>
      <c r="B34" s="5282"/>
      <c r="C34" s="2142" t="s">
        <v>475</v>
      </c>
      <c r="D34" s="2136"/>
      <c r="E34" s="2136"/>
      <c r="F34" s="2136"/>
      <c r="G34" s="2136"/>
      <c r="H34" s="2137">
        <v>45</v>
      </c>
      <c r="I34" s="2137">
        <v>59</v>
      </c>
      <c r="J34" s="2137">
        <v>47</v>
      </c>
      <c r="K34" s="2137">
        <v>48</v>
      </c>
      <c r="L34" s="2137">
        <v>50</v>
      </c>
      <c r="M34" s="2137">
        <v>54</v>
      </c>
      <c r="N34" s="2137">
        <v>43</v>
      </c>
      <c r="O34" s="2137">
        <v>54</v>
      </c>
      <c r="P34" s="2137">
        <v>55</v>
      </c>
      <c r="Q34" s="2137">
        <v>36</v>
      </c>
      <c r="R34" s="2137">
        <v>35</v>
      </c>
      <c r="S34" s="2138">
        <v>36</v>
      </c>
      <c r="T34" s="2138">
        <v>54</v>
      </c>
      <c r="U34" s="2138">
        <v>50</v>
      </c>
      <c r="V34" s="2138">
        <v>42</v>
      </c>
      <c r="W34" s="2138">
        <v>42</v>
      </c>
      <c r="X34" s="2138">
        <v>24</v>
      </c>
    </row>
    <row r="35" spans="1:24" ht="14.25" customHeight="1" x14ac:dyDescent="0.2">
      <c r="A35" s="5279"/>
      <c r="B35" s="5283"/>
      <c r="C35" s="2139" t="s">
        <v>160</v>
      </c>
      <c r="D35" s="2140"/>
      <c r="E35" s="2140"/>
      <c r="F35" s="2140"/>
      <c r="G35" s="2140"/>
      <c r="H35" s="2141">
        <f t="shared" ref="H35:Q35" si="9">SUM(H26:H34)</f>
        <v>187</v>
      </c>
      <c r="I35" s="2141">
        <f t="shared" si="9"/>
        <v>201</v>
      </c>
      <c r="J35" s="2141">
        <f t="shared" si="9"/>
        <v>200</v>
      </c>
      <c r="K35" s="2141">
        <f t="shared" si="9"/>
        <v>195</v>
      </c>
      <c r="L35" s="2141">
        <f t="shared" si="9"/>
        <v>202</v>
      </c>
      <c r="M35" s="2141">
        <f t="shared" si="9"/>
        <v>227</v>
      </c>
      <c r="N35" s="2141">
        <f t="shared" si="9"/>
        <v>223</v>
      </c>
      <c r="O35" s="2141">
        <f t="shared" si="9"/>
        <v>234</v>
      </c>
      <c r="P35" s="2141">
        <f t="shared" si="9"/>
        <v>234</v>
      </c>
      <c r="Q35" s="2141">
        <f t="shared" si="9"/>
        <v>193</v>
      </c>
      <c r="R35" s="2141">
        <f t="shared" ref="R35:X35" si="10">SUM(R26:R34)</f>
        <v>153</v>
      </c>
      <c r="S35" s="2141">
        <f t="shared" si="10"/>
        <v>200</v>
      </c>
      <c r="T35" s="2141">
        <f t="shared" si="10"/>
        <v>201</v>
      </c>
      <c r="U35" s="2141">
        <f t="shared" si="10"/>
        <v>204</v>
      </c>
      <c r="V35" s="2141">
        <f t="shared" si="10"/>
        <v>174</v>
      </c>
      <c r="W35" s="2141">
        <f t="shared" si="10"/>
        <v>218</v>
      </c>
      <c r="X35" s="2141">
        <f t="shared" si="10"/>
        <v>183</v>
      </c>
    </row>
    <row r="36" spans="1:24" ht="15" x14ac:dyDescent="0.2">
      <c r="A36" s="5279"/>
      <c r="B36" s="5281" t="s">
        <v>6</v>
      </c>
      <c r="C36" s="2131" t="s">
        <v>462</v>
      </c>
      <c r="D36" s="2132"/>
      <c r="E36" s="2132"/>
      <c r="F36" s="2132"/>
      <c r="G36" s="2132"/>
      <c r="H36" s="2133">
        <v>119</v>
      </c>
      <c r="I36" s="2133">
        <v>129</v>
      </c>
      <c r="J36" s="2133">
        <v>115</v>
      </c>
      <c r="K36" s="2133">
        <v>133</v>
      </c>
      <c r="L36" s="2133">
        <v>135</v>
      </c>
      <c r="M36" s="2133">
        <v>131</v>
      </c>
      <c r="N36" s="2133">
        <v>139</v>
      </c>
      <c r="O36" s="2133">
        <v>154</v>
      </c>
      <c r="P36" s="2133">
        <v>124</v>
      </c>
      <c r="Q36" s="2133">
        <v>129</v>
      </c>
      <c r="R36" s="2133">
        <v>100</v>
      </c>
      <c r="S36" s="2134">
        <v>126</v>
      </c>
      <c r="T36" s="2134">
        <v>147</v>
      </c>
      <c r="U36" s="2134">
        <v>120</v>
      </c>
      <c r="V36" s="2134">
        <v>142</v>
      </c>
      <c r="W36" s="2134">
        <v>177</v>
      </c>
      <c r="X36" s="2134">
        <v>101</v>
      </c>
    </row>
    <row r="37" spans="1:24" ht="14.25" customHeight="1" x14ac:dyDescent="0.2">
      <c r="A37" s="5279"/>
      <c r="B37" s="5282"/>
      <c r="C37" s="2135" t="s">
        <v>476</v>
      </c>
      <c r="D37" s="2136"/>
      <c r="E37" s="2136"/>
      <c r="F37" s="2136"/>
      <c r="G37" s="2136"/>
      <c r="H37" s="2137">
        <v>32</v>
      </c>
      <c r="I37" s="2137">
        <v>37</v>
      </c>
      <c r="J37" s="2137">
        <v>30</v>
      </c>
      <c r="K37" s="2137">
        <v>26</v>
      </c>
      <c r="L37" s="2137">
        <v>40</v>
      </c>
      <c r="M37" s="2137">
        <v>48</v>
      </c>
      <c r="N37" s="2137">
        <v>29</v>
      </c>
      <c r="O37" s="2137">
        <v>19</v>
      </c>
      <c r="P37" s="2137">
        <v>28</v>
      </c>
      <c r="Q37" s="2137">
        <v>17</v>
      </c>
      <c r="R37" s="2137">
        <v>24</v>
      </c>
      <c r="S37" s="2138">
        <v>18</v>
      </c>
      <c r="T37" s="2138">
        <v>30</v>
      </c>
      <c r="U37" s="2138">
        <v>24</v>
      </c>
      <c r="V37" s="2138">
        <v>36</v>
      </c>
      <c r="W37" s="2138">
        <v>41</v>
      </c>
      <c r="X37" s="2138">
        <v>29</v>
      </c>
    </row>
    <row r="38" spans="1:24" ht="14.25" customHeight="1" x14ac:dyDescent="0.2">
      <c r="A38" s="5279"/>
      <c r="B38" s="5282"/>
      <c r="C38" s="2135" t="s">
        <v>477</v>
      </c>
      <c r="D38" s="2136"/>
      <c r="E38" s="2136"/>
      <c r="F38" s="2136"/>
      <c r="G38" s="2136"/>
      <c r="H38" s="2137">
        <v>15</v>
      </c>
      <c r="I38" s="2137">
        <v>13</v>
      </c>
      <c r="J38" s="2137">
        <v>25</v>
      </c>
      <c r="K38" s="2137">
        <v>16</v>
      </c>
      <c r="L38" s="2137">
        <v>21</v>
      </c>
      <c r="M38" s="2137">
        <v>21</v>
      </c>
      <c r="N38" s="2137">
        <v>28</v>
      </c>
      <c r="O38" s="2137">
        <v>33</v>
      </c>
      <c r="P38" s="2137">
        <v>28</v>
      </c>
      <c r="Q38" s="2137">
        <v>18</v>
      </c>
      <c r="R38" s="2137">
        <v>23</v>
      </c>
      <c r="S38" s="2138">
        <v>31</v>
      </c>
      <c r="T38" s="2138">
        <v>33</v>
      </c>
      <c r="U38" s="2138">
        <v>35</v>
      </c>
      <c r="V38" s="2138">
        <v>31</v>
      </c>
      <c r="W38" s="2138">
        <v>38</v>
      </c>
      <c r="X38" s="2138">
        <v>25</v>
      </c>
    </row>
    <row r="39" spans="1:24" ht="14.25" customHeight="1" x14ac:dyDescent="0.2">
      <c r="A39" s="5279"/>
      <c r="B39" s="5282"/>
      <c r="C39" s="2135" t="s">
        <v>478</v>
      </c>
      <c r="D39" s="2136"/>
      <c r="E39" s="2136"/>
      <c r="F39" s="2136"/>
      <c r="G39" s="2136"/>
      <c r="H39" s="2137">
        <v>14</v>
      </c>
      <c r="I39" s="2137">
        <v>16</v>
      </c>
      <c r="J39" s="2137">
        <v>22</v>
      </c>
      <c r="K39" s="2137">
        <v>20</v>
      </c>
      <c r="L39" s="2137">
        <v>17</v>
      </c>
      <c r="M39" s="2137">
        <v>15</v>
      </c>
      <c r="N39" s="2137">
        <v>20</v>
      </c>
      <c r="O39" s="2137">
        <v>25</v>
      </c>
      <c r="P39" s="2137">
        <v>36</v>
      </c>
      <c r="Q39" s="2137">
        <v>26</v>
      </c>
      <c r="R39" s="2137">
        <v>21</v>
      </c>
      <c r="S39" s="2138">
        <v>36</v>
      </c>
      <c r="T39" s="2138">
        <v>49</v>
      </c>
      <c r="U39" s="2138">
        <v>32</v>
      </c>
      <c r="V39" s="2138">
        <v>41</v>
      </c>
      <c r="W39" s="2138">
        <v>37</v>
      </c>
      <c r="X39" s="2138">
        <v>26</v>
      </c>
    </row>
    <row r="40" spans="1:24" ht="14.25" customHeight="1" x14ac:dyDescent="0.2">
      <c r="A40" s="5279"/>
      <c r="B40" s="5282"/>
      <c r="C40" s="2135" t="s">
        <v>464</v>
      </c>
      <c r="D40" s="2136"/>
      <c r="E40" s="2136"/>
      <c r="F40" s="2136"/>
      <c r="G40" s="2136"/>
      <c r="H40" s="2137">
        <v>56</v>
      </c>
      <c r="I40" s="2137">
        <v>65</v>
      </c>
      <c r="J40" s="2137">
        <v>61</v>
      </c>
      <c r="K40" s="2137">
        <v>40</v>
      </c>
      <c r="L40" s="2137">
        <v>47</v>
      </c>
      <c r="M40" s="2137">
        <v>45</v>
      </c>
      <c r="N40" s="2137">
        <v>39</v>
      </c>
      <c r="O40" s="2137">
        <v>39</v>
      </c>
      <c r="P40" s="2137">
        <v>47</v>
      </c>
      <c r="Q40" s="2137">
        <v>50</v>
      </c>
      <c r="R40" s="2137">
        <v>58</v>
      </c>
      <c r="S40" s="2138">
        <v>51</v>
      </c>
      <c r="T40" s="2138">
        <v>46</v>
      </c>
      <c r="U40" s="2138">
        <v>32</v>
      </c>
      <c r="V40" s="2138">
        <v>53</v>
      </c>
      <c r="W40" s="2138">
        <v>56</v>
      </c>
      <c r="X40" s="2138">
        <v>39</v>
      </c>
    </row>
    <row r="41" spans="1:24" ht="14.25" customHeight="1" x14ac:dyDescent="0.2">
      <c r="A41" s="5279"/>
      <c r="B41" s="5282"/>
      <c r="C41" s="2135" t="s">
        <v>465</v>
      </c>
      <c r="D41" s="2136"/>
      <c r="E41" s="2136"/>
      <c r="F41" s="2136"/>
      <c r="G41" s="2136"/>
      <c r="H41" s="2137">
        <v>30</v>
      </c>
      <c r="I41" s="2137">
        <v>43</v>
      </c>
      <c r="J41" s="2137">
        <v>67</v>
      </c>
      <c r="K41" s="2137">
        <v>63</v>
      </c>
      <c r="L41" s="2137">
        <v>57</v>
      </c>
      <c r="M41" s="2137">
        <v>53</v>
      </c>
      <c r="N41" s="2137">
        <v>48</v>
      </c>
      <c r="O41" s="2137">
        <v>36</v>
      </c>
      <c r="P41" s="2137">
        <v>46</v>
      </c>
      <c r="Q41" s="2137">
        <v>44</v>
      </c>
      <c r="R41" s="2137">
        <v>31</v>
      </c>
      <c r="S41" s="2138">
        <v>44</v>
      </c>
      <c r="T41" s="2138">
        <v>33</v>
      </c>
      <c r="U41" s="2138">
        <v>40</v>
      </c>
      <c r="V41" s="2138">
        <v>32</v>
      </c>
      <c r="W41" s="2138">
        <v>31</v>
      </c>
      <c r="X41" s="2138">
        <v>45</v>
      </c>
    </row>
    <row r="42" spans="1:24" ht="14.25" customHeight="1" x14ac:dyDescent="0.2">
      <c r="A42" s="5279"/>
      <c r="B42" s="5282"/>
      <c r="C42" s="2135" t="s">
        <v>479</v>
      </c>
      <c r="D42" s="2136"/>
      <c r="E42" s="2136"/>
      <c r="F42" s="2136"/>
      <c r="G42" s="2136"/>
      <c r="H42" s="2137">
        <v>12</v>
      </c>
      <c r="I42" s="2137">
        <v>31</v>
      </c>
      <c r="J42" s="2137">
        <v>24</v>
      </c>
      <c r="K42" s="2137">
        <v>31</v>
      </c>
      <c r="L42" s="2137">
        <v>34</v>
      </c>
      <c r="M42" s="2137">
        <v>38</v>
      </c>
      <c r="N42" s="2137">
        <v>45</v>
      </c>
      <c r="O42" s="2137">
        <v>32</v>
      </c>
      <c r="P42" s="2137">
        <v>35</v>
      </c>
      <c r="Q42" s="2137">
        <v>34</v>
      </c>
      <c r="R42" s="2137">
        <v>31</v>
      </c>
      <c r="S42" s="2138">
        <v>53</v>
      </c>
      <c r="T42" s="2138">
        <v>28</v>
      </c>
      <c r="U42" s="2138">
        <v>33</v>
      </c>
      <c r="V42" s="2138">
        <v>26</v>
      </c>
      <c r="W42" s="2138">
        <v>30</v>
      </c>
      <c r="X42" s="2138">
        <v>36</v>
      </c>
    </row>
    <row r="43" spans="1:24" ht="15" x14ac:dyDescent="0.2">
      <c r="A43" s="5279"/>
      <c r="B43" s="5282"/>
      <c r="C43" s="2135" t="s">
        <v>480</v>
      </c>
      <c r="D43" s="2136"/>
      <c r="E43" s="2136"/>
      <c r="F43" s="2136"/>
      <c r="G43" s="2136"/>
      <c r="H43" s="2137">
        <v>7</v>
      </c>
      <c r="I43" s="2137">
        <v>4</v>
      </c>
      <c r="J43" s="2137">
        <v>3</v>
      </c>
      <c r="K43" s="2137">
        <v>9</v>
      </c>
      <c r="L43" s="2137">
        <v>6</v>
      </c>
      <c r="M43" s="2137">
        <v>13</v>
      </c>
      <c r="N43" s="2137">
        <v>13</v>
      </c>
      <c r="O43" s="2137">
        <v>6</v>
      </c>
      <c r="P43" s="2137">
        <v>8</v>
      </c>
      <c r="Q43" s="2137">
        <v>20</v>
      </c>
      <c r="R43" s="2137">
        <v>9</v>
      </c>
      <c r="S43" s="2138">
        <v>15</v>
      </c>
      <c r="T43" s="2138">
        <v>8</v>
      </c>
      <c r="U43" s="2138">
        <v>12</v>
      </c>
      <c r="V43" s="2138">
        <v>10</v>
      </c>
      <c r="W43" s="2138">
        <v>21</v>
      </c>
      <c r="X43" s="2138">
        <v>9</v>
      </c>
    </row>
    <row r="44" spans="1:24" ht="15" x14ac:dyDescent="0.2">
      <c r="A44" s="5279"/>
      <c r="B44" s="5282"/>
      <c r="C44" s="2135" t="s">
        <v>481</v>
      </c>
      <c r="D44" s="2136"/>
      <c r="E44" s="2136"/>
      <c r="F44" s="2136"/>
      <c r="G44" s="2136"/>
      <c r="H44" s="2137">
        <v>56</v>
      </c>
      <c r="I44" s="2137">
        <v>72</v>
      </c>
      <c r="J44" s="2137">
        <v>55</v>
      </c>
      <c r="K44" s="2137">
        <v>40</v>
      </c>
      <c r="L44" s="2137">
        <v>82</v>
      </c>
      <c r="M44" s="2137">
        <v>62</v>
      </c>
      <c r="N44" s="2137">
        <v>63</v>
      </c>
      <c r="O44" s="2137">
        <v>57</v>
      </c>
      <c r="P44" s="2137">
        <v>48</v>
      </c>
      <c r="Q44" s="2137">
        <v>41</v>
      </c>
      <c r="R44" s="2137">
        <v>28</v>
      </c>
      <c r="S44" s="2138">
        <v>48</v>
      </c>
      <c r="T44" s="2138">
        <v>44</v>
      </c>
      <c r="U44" s="2138">
        <v>47</v>
      </c>
      <c r="V44" s="2138">
        <v>64</v>
      </c>
      <c r="W44" s="2138">
        <v>59</v>
      </c>
      <c r="X44" s="2138">
        <v>48</v>
      </c>
    </row>
    <row r="45" spans="1:24" ht="15" x14ac:dyDescent="0.2">
      <c r="A45" s="5279"/>
      <c r="B45" s="5282"/>
      <c r="C45" s="2135" t="s">
        <v>482</v>
      </c>
      <c r="D45" s="2136"/>
      <c r="E45" s="2136"/>
      <c r="F45" s="2136"/>
      <c r="G45" s="2136"/>
      <c r="H45" s="2137">
        <v>76</v>
      </c>
      <c r="I45" s="2137">
        <v>67</v>
      </c>
      <c r="J45" s="2137">
        <v>63</v>
      </c>
      <c r="K45" s="2137">
        <v>92</v>
      </c>
      <c r="L45" s="2137">
        <v>70</v>
      </c>
      <c r="M45" s="2137">
        <v>73</v>
      </c>
      <c r="N45" s="2137">
        <v>92</v>
      </c>
      <c r="O45" s="2137">
        <v>65</v>
      </c>
      <c r="P45" s="2137">
        <v>90</v>
      </c>
      <c r="Q45" s="2137">
        <v>102</v>
      </c>
      <c r="R45" s="2137">
        <v>92</v>
      </c>
      <c r="S45" s="2138">
        <v>116</v>
      </c>
      <c r="T45" s="2138">
        <v>107</v>
      </c>
      <c r="U45" s="2138">
        <v>134</v>
      </c>
      <c r="V45" s="2138">
        <v>99</v>
      </c>
      <c r="W45" s="2138">
        <v>125</v>
      </c>
      <c r="X45" s="2138">
        <v>86</v>
      </c>
    </row>
    <row r="46" spans="1:24" ht="15" x14ac:dyDescent="0.2">
      <c r="A46" s="5279"/>
      <c r="B46" s="5282"/>
      <c r="C46" s="2143" t="s">
        <v>502</v>
      </c>
      <c r="D46" s="2144"/>
      <c r="E46" s="2144"/>
      <c r="F46" s="2144"/>
      <c r="G46" s="2144"/>
      <c r="H46" s="2137"/>
      <c r="I46" s="2137">
        <v>1</v>
      </c>
      <c r="J46" s="2137"/>
      <c r="K46" s="2137"/>
      <c r="L46" s="2137"/>
      <c r="M46" s="2137">
        <v>1</v>
      </c>
      <c r="N46" s="2137"/>
      <c r="O46" s="2137"/>
      <c r="P46" s="2137">
        <v>1</v>
      </c>
      <c r="Q46" s="2137">
        <v>1</v>
      </c>
      <c r="R46" s="2137"/>
      <c r="S46" s="2138">
        <v>1</v>
      </c>
      <c r="T46" s="2138">
        <v>1</v>
      </c>
      <c r="U46" s="2138"/>
      <c r="V46" s="2138"/>
      <c r="W46" s="2138"/>
      <c r="X46" s="2138"/>
    </row>
    <row r="47" spans="1:24" ht="15" x14ac:dyDescent="0.2">
      <c r="A47" s="5279"/>
      <c r="B47" s="5282"/>
      <c r="C47" s="2135" t="s">
        <v>483</v>
      </c>
      <c r="D47" s="2136"/>
      <c r="E47" s="2136"/>
      <c r="F47" s="2136"/>
      <c r="G47" s="2136"/>
      <c r="H47" s="2137"/>
      <c r="I47" s="2137"/>
      <c r="J47" s="2137"/>
      <c r="K47" s="2137"/>
      <c r="L47" s="2137"/>
      <c r="M47" s="2137"/>
      <c r="N47" s="2137"/>
      <c r="O47" s="2137"/>
      <c r="P47" s="2137">
        <v>4</v>
      </c>
      <c r="Q47" s="2137">
        <v>5</v>
      </c>
      <c r="R47" s="2137">
        <v>10</v>
      </c>
      <c r="S47" s="2138">
        <v>6</v>
      </c>
      <c r="T47" s="2138">
        <v>5</v>
      </c>
      <c r="U47" s="2138">
        <v>4</v>
      </c>
      <c r="V47" s="2138">
        <v>4</v>
      </c>
      <c r="W47" s="2138">
        <v>9</v>
      </c>
      <c r="X47" s="2138">
        <v>4</v>
      </c>
    </row>
    <row r="48" spans="1:24" ht="15" x14ac:dyDescent="0.2">
      <c r="A48" s="5279"/>
      <c r="B48" s="5283"/>
      <c r="C48" s="2139" t="s">
        <v>160</v>
      </c>
      <c r="D48" s="2140"/>
      <c r="E48" s="2140"/>
      <c r="F48" s="2140"/>
      <c r="G48" s="2140"/>
      <c r="H48" s="2141">
        <f t="shared" ref="H48:Q48" si="11">SUM(H36:H47)</f>
        <v>417</v>
      </c>
      <c r="I48" s="2141">
        <f t="shared" si="11"/>
        <v>478</v>
      </c>
      <c r="J48" s="2141">
        <f t="shared" si="11"/>
        <v>465</v>
      </c>
      <c r="K48" s="2141">
        <f t="shared" si="11"/>
        <v>470</v>
      </c>
      <c r="L48" s="2141">
        <f t="shared" si="11"/>
        <v>509</v>
      </c>
      <c r="M48" s="2141">
        <f t="shared" si="11"/>
        <v>500</v>
      </c>
      <c r="N48" s="2141">
        <f t="shared" si="11"/>
        <v>516</v>
      </c>
      <c r="O48" s="2141">
        <f t="shared" si="11"/>
        <v>466</v>
      </c>
      <c r="P48" s="2141">
        <f t="shared" si="11"/>
        <v>495</v>
      </c>
      <c r="Q48" s="2141">
        <f t="shared" si="11"/>
        <v>487</v>
      </c>
      <c r="R48" s="2141">
        <f t="shared" ref="R48:X48" si="12">SUM(R36:R47)</f>
        <v>427</v>
      </c>
      <c r="S48" s="2141">
        <f t="shared" si="12"/>
        <v>545</v>
      </c>
      <c r="T48" s="2141">
        <f t="shared" si="12"/>
        <v>531</v>
      </c>
      <c r="U48" s="2141">
        <f t="shared" si="12"/>
        <v>513</v>
      </c>
      <c r="V48" s="2141">
        <f t="shared" si="12"/>
        <v>538</v>
      </c>
      <c r="W48" s="2141">
        <f t="shared" si="12"/>
        <v>624</v>
      </c>
      <c r="X48" s="2141">
        <f t="shared" si="12"/>
        <v>448</v>
      </c>
    </row>
    <row r="49" spans="1:24" ht="15" x14ac:dyDescent="0.2">
      <c r="A49" s="5279"/>
      <c r="B49" s="5281" t="s">
        <v>11</v>
      </c>
      <c r="C49" s="2142" t="s">
        <v>484</v>
      </c>
      <c r="D49" s="2136"/>
      <c r="E49" s="2136"/>
      <c r="F49" s="2136"/>
      <c r="G49" s="2136"/>
      <c r="H49" s="2137">
        <v>27</v>
      </c>
      <c r="I49" s="2137">
        <v>25</v>
      </c>
      <c r="J49" s="2137">
        <v>40</v>
      </c>
      <c r="K49" s="2137">
        <v>35</v>
      </c>
      <c r="L49" s="2137">
        <v>52</v>
      </c>
      <c r="M49" s="2137">
        <v>61</v>
      </c>
      <c r="N49" s="2137">
        <v>53</v>
      </c>
      <c r="O49" s="2137">
        <v>58</v>
      </c>
      <c r="P49" s="2137">
        <v>51</v>
      </c>
      <c r="Q49" s="2137">
        <v>42</v>
      </c>
      <c r="R49" s="2137">
        <v>61</v>
      </c>
      <c r="S49" s="2138">
        <v>50</v>
      </c>
      <c r="T49" s="2138">
        <v>59</v>
      </c>
      <c r="U49" s="2138">
        <v>56</v>
      </c>
      <c r="V49" s="2138">
        <v>56</v>
      </c>
      <c r="W49" s="2138">
        <v>94</v>
      </c>
      <c r="X49" s="2138">
        <v>50</v>
      </c>
    </row>
    <row r="50" spans="1:24" ht="15" x14ac:dyDescent="0.2">
      <c r="A50" s="5279"/>
      <c r="B50" s="5282"/>
      <c r="C50" s="2142" t="s">
        <v>485</v>
      </c>
      <c r="D50" s="2136"/>
      <c r="E50" s="2136"/>
      <c r="F50" s="2136"/>
      <c r="G50" s="2136"/>
      <c r="H50" s="2137">
        <v>16</v>
      </c>
      <c r="I50" s="2137">
        <v>14</v>
      </c>
      <c r="J50" s="2137">
        <v>21</v>
      </c>
      <c r="K50" s="2137">
        <v>25</v>
      </c>
      <c r="L50" s="2137">
        <v>50</v>
      </c>
      <c r="M50" s="2137">
        <v>43</v>
      </c>
      <c r="N50" s="2137">
        <v>45</v>
      </c>
      <c r="O50" s="2137">
        <v>54</v>
      </c>
      <c r="P50" s="2137">
        <v>56</v>
      </c>
      <c r="Q50" s="2137">
        <v>62</v>
      </c>
      <c r="R50" s="2137">
        <v>54</v>
      </c>
      <c r="S50" s="2138">
        <v>54</v>
      </c>
      <c r="T50" s="2138">
        <v>50</v>
      </c>
      <c r="U50" s="2138">
        <v>49</v>
      </c>
      <c r="V50" s="2138">
        <v>41</v>
      </c>
      <c r="W50" s="2138">
        <v>59</v>
      </c>
      <c r="X50" s="2138">
        <v>37</v>
      </c>
    </row>
    <row r="51" spans="1:24" ht="15" x14ac:dyDescent="0.2">
      <c r="A51" s="5279"/>
      <c r="B51" s="5282"/>
      <c r="C51" s="2142" t="s">
        <v>486</v>
      </c>
      <c r="D51" s="2136"/>
      <c r="E51" s="2136"/>
      <c r="F51" s="2136"/>
      <c r="G51" s="2136"/>
      <c r="H51" s="2137">
        <v>15</v>
      </c>
      <c r="I51" s="2137">
        <v>16</v>
      </c>
      <c r="J51" s="2137">
        <v>20</v>
      </c>
      <c r="K51" s="2137">
        <v>15</v>
      </c>
      <c r="L51" s="2137">
        <v>13</v>
      </c>
      <c r="M51" s="2137">
        <v>17</v>
      </c>
      <c r="N51" s="2137">
        <v>21</v>
      </c>
      <c r="O51" s="2137">
        <v>30</v>
      </c>
      <c r="P51" s="2137">
        <v>28</v>
      </c>
      <c r="Q51" s="2137">
        <v>18</v>
      </c>
      <c r="R51" s="2137">
        <v>22</v>
      </c>
      <c r="S51" s="2138">
        <v>22</v>
      </c>
      <c r="T51" s="2138">
        <v>21</v>
      </c>
      <c r="U51" s="2138">
        <v>24</v>
      </c>
      <c r="V51" s="2138">
        <v>25</v>
      </c>
      <c r="W51" s="2138">
        <v>30</v>
      </c>
      <c r="X51" s="2138">
        <v>24</v>
      </c>
    </row>
    <row r="52" spans="1:24" ht="15" x14ac:dyDescent="0.2">
      <c r="A52" s="5279"/>
      <c r="B52" s="5282"/>
      <c r="C52" s="2142" t="s">
        <v>487</v>
      </c>
      <c r="D52" s="2136"/>
      <c r="E52" s="2136"/>
      <c r="F52" s="2136"/>
      <c r="G52" s="2136"/>
      <c r="H52" s="2137">
        <v>9</v>
      </c>
      <c r="I52" s="2137">
        <v>5</v>
      </c>
      <c r="J52" s="2137">
        <v>9</v>
      </c>
      <c r="K52" s="2137">
        <v>9</v>
      </c>
      <c r="L52" s="2137">
        <v>16</v>
      </c>
      <c r="M52" s="2137">
        <v>14</v>
      </c>
      <c r="N52" s="2137">
        <v>7</v>
      </c>
      <c r="O52" s="2137">
        <v>17</v>
      </c>
      <c r="P52" s="2137">
        <v>4</v>
      </c>
      <c r="Q52" s="2137">
        <v>7</v>
      </c>
      <c r="R52" s="2137">
        <v>5</v>
      </c>
      <c r="S52" s="2138">
        <v>10</v>
      </c>
      <c r="T52" s="2138">
        <v>9</v>
      </c>
      <c r="U52" s="2138">
        <v>8</v>
      </c>
      <c r="V52" s="2138">
        <v>12</v>
      </c>
      <c r="W52" s="2138">
        <v>10</v>
      </c>
      <c r="X52" s="2138">
        <v>10</v>
      </c>
    </row>
    <row r="53" spans="1:24" ht="15" x14ac:dyDescent="0.2">
      <c r="A53" s="5279"/>
      <c r="B53" s="5282"/>
      <c r="C53" s="2142" t="s">
        <v>488</v>
      </c>
      <c r="D53" s="2136"/>
      <c r="E53" s="2136"/>
      <c r="F53" s="2136"/>
      <c r="G53" s="2136"/>
      <c r="H53" s="2137">
        <v>55</v>
      </c>
      <c r="I53" s="2137">
        <v>36</v>
      </c>
      <c r="J53" s="2137">
        <v>54</v>
      </c>
      <c r="K53" s="2137">
        <v>56</v>
      </c>
      <c r="L53" s="2137">
        <v>63</v>
      </c>
      <c r="M53" s="2137">
        <v>89</v>
      </c>
      <c r="N53" s="2137">
        <v>97</v>
      </c>
      <c r="O53" s="2137">
        <v>90</v>
      </c>
      <c r="P53" s="2137">
        <v>91</v>
      </c>
      <c r="Q53" s="2137">
        <v>49</v>
      </c>
      <c r="R53" s="2137">
        <v>66</v>
      </c>
      <c r="S53" s="2138">
        <v>59</v>
      </c>
      <c r="T53" s="2138">
        <v>82</v>
      </c>
      <c r="U53" s="2138">
        <v>52</v>
      </c>
      <c r="V53" s="2138">
        <v>60</v>
      </c>
      <c r="W53" s="2138">
        <v>92</v>
      </c>
      <c r="X53" s="2138">
        <v>62</v>
      </c>
    </row>
    <row r="54" spans="1:24" ht="15" x14ac:dyDescent="0.2">
      <c r="A54" s="5279"/>
      <c r="B54" s="5282"/>
      <c r="C54" s="2142" t="s">
        <v>489</v>
      </c>
      <c r="D54" s="2136"/>
      <c r="E54" s="2136"/>
      <c r="F54" s="2136"/>
      <c r="G54" s="2136"/>
      <c r="H54" s="2137">
        <v>65</v>
      </c>
      <c r="I54" s="2137">
        <v>46</v>
      </c>
      <c r="J54" s="2137">
        <v>56</v>
      </c>
      <c r="K54" s="2137">
        <v>51</v>
      </c>
      <c r="L54" s="2137">
        <v>67</v>
      </c>
      <c r="M54" s="2137">
        <v>86</v>
      </c>
      <c r="N54" s="2137">
        <v>100</v>
      </c>
      <c r="O54" s="2137">
        <v>87</v>
      </c>
      <c r="P54" s="2137">
        <v>97</v>
      </c>
      <c r="Q54" s="2137">
        <v>72</v>
      </c>
      <c r="R54" s="2137">
        <v>82</v>
      </c>
      <c r="S54" s="2138">
        <v>64</v>
      </c>
      <c r="T54" s="2138">
        <v>72</v>
      </c>
      <c r="U54" s="2138">
        <v>60</v>
      </c>
      <c r="V54" s="2138">
        <v>59</v>
      </c>
      <c r="W54" s="2138">
        <v>84</v>
      </c>
      <c r="X54" s="2138">
        <v>60</v>
      </c>
    </row>
    <row r="55" spans="1:24" ht="15" x14ac:dyDescent="0.2">
      <c r="A55" s="5279"/>
      <c r="B55" s="5283"/>
      <c r="C55" s="2139" t="s">
        <v>160</v>
      </c>
      <c r="D55" s="2140"/>
      <c r="E55" s="2140"/>
      <c r="F55" s="2140"/>
      <c r="G55" s="2140"/>
      <c r="H55" s="2141">
        <f t="shared" ref="H55:Q55" si="13">SUM(H49:H54)</f>
        <v>187</v>
      </c>
      <c r="I55" s="2141">
        <f t="shared" si="13"/>
        <v>142</v>
      </c>
      <c r="J55" s="2141">
        <f t="shared" si="13"/>
        <v>200</v>
      </c>
      <c r="K55" s="2141">
        <f t="shared" si="13"/>
        <v>191</v>
      </c>
      <c r="L55" s="2141">
        <f t="shared" si="13"/>
        <v>261</v>
      </c>
      <c r="M55" s="2141">
        <f t="shared" si="13"/>
        <v>310</v>
      </c>
      <c r="N55" s="2141">
        <f t="shared" si="13"/>
        <v>323</v>
      </c>
      <c r="O55" s="2141">
        <f t="shared" si="13"/>
        <v>336</v>
      </c>
      <c r="P55" s="2141">
        <f t="shared" si="13"/>
        <v>327</v>
      </c>
      <c r="Q55" s="2141">
        <f t="shared" si="13"/>
        <v>250</v>
      </c>
      <c r="R55" s="2141">
        <f t="shared" ref="R55:X55" si="14">SUM(R49:R54)</f>
        <v>290</v>
      </c>
      <c r="S55" s="2141">
        <f t="shared" si="14"/>
        <v>259</v>
      </c>
      <c r="T55" s="2141">
        <f t="shared" si="14"/>
        <v>293</v>
      </c>
      <c r="U55" s="2141">
        <f t="shared" si="14"/>
        <v>249</v>
      </c>
      <c r="V55" s="2141">
        <f t="shared" si="14"/>
        <v>253</v>
      </c>
      <c r="W55" s="2141">
        <f t="shared" si="14"/>
        <v>369</v>
      </c>
      <c r="X55" s="2141">
        <f t="shared" si="14"/>
        <v>243</v>
      </c>
    </row>
    <row r="56" spans="1:24" ht="15" x14ac:dyDescent="0.2">
      <c r="A56" s="5280"/>
      <c r="B56" s="2562"/>
      <c r="C56" s="2563" t="s">
        <v>450</v>
      </c>
      <c r="D56" s="2564"/>
      <c r="E56" s="2564"/>
      <c r="F56" s="2564"/>
      <c r="G56" s="2564"/>
      <c r="H56" s="2565">
        <f t="shared" ref="H56:Q56" si="15">SUM(H55,H48,H35)</f>
        <v>791</v>
      </c>
      <c r="I56" s="2565">
        <f t="shared" si="15"/>
        <v>821</v>
      </c>
      <c r="J56" s="2565">
        <f t="shared" si="15"/>
        <v>865</v>
      </c>
      <c r="K56" s="2565">
        <f t="shared" si="15"/>
        <v>856</v>
      </c>
      <c r="L56" s="2565">
        <f t="shared" si="15"/>
        <v>972</v>
      </c>
      <c r="M56" s="2565">
        <f t="shared" si="15"/>
        <v>1037</v>
      </c>
      <c r="N56" s="2565">
        <f t="shared" si="15"/>
        <v>1062</v>
      </c>
      <c r="O56" s="2565">
        <f t="shared" si="15"/>
        <v>1036</v>
      </c>
      <c r="P56" s="2565">
        <f t="shared" si="15"/>
        <v>1056</v>
      </c>
      <c r="Q56" s="2565">
        <f t="shared" si="15"/>
        <v>930</v>
      </c>
      <c r="R56" s="2565">
        <f t="shared" ref="R56:X56" si="16">SUM(R55,R48,R35)</f>
        <v>870</v>
      </c>
      <c r="S56" s="2565">
        <f t="shared" si="16"/>
        <v>1004</v>
      </c>
      <c r="T56" s="2565">
        <f t="shared" si="16"/>
        <v>1025</v>
      </c>
      <c r="U56" s="2565">
        <f t="shared" si="16"/>
        <v>966</v>
      </c>
      <c r="V56" s="2565">
        <f t="shared" si="16"/>
        <v>965</v>
      </c>
      <c r="W56" s="2565">
        <f t="shared" si="16"/>
        <v>1211</v>
      </c>
      <c r="X56" s="2565">
        <f t="shared" si="16"/>
        <v>874</v>
      </c>
    </row>
    <row r="57" spans="1:24" ht="15" x14ac:dyDescent="0.2">
      <c r="A57" s="5287" t="s">
        <v>448</v>
      </c>
      <c r="B57" s="5290" t="s">
        <v>6</v>
      </c>
      <c r="C57" s="2131" t="s">
        <v>462</v>
      </c>
      <c r="D57" s="2132"/>
      <c r="E57" s="2132"/>
      <c r="F57" s="2132"/>
      <c r="G57" s="2132"/>
      <c r="H57" s="2133">
        <v>126</v>
      </c>
      <c r="I57" s="2133">
        <v>137</v>
      </c>
      <c r="J57" s="2133">
        <v>101</v>
      </c>
      <c r="K57" s="2133">
        <v>104</v>
      </c>
      <c r="L57" s="2133">
        <v>123</v>
      </c>
      <c r="M57" s="2133">
        <v>104</v>
      </c>
      <c r="N57" s="2133">
        <v>102</v>
      </c>
      <c r="O57" s="2133">
        <v>83</v>
      </c>
      <c r="P57" s="2133">
        <v>103</v>
      </c>
      <c r="Q57" s="2133">
        <v>75</v>
      </c>
      <c r="R57" s="2133">
        <v>120</v>
      </c>
      <c r="S57" s="2134">
        <v>97</v>
      </c>
      <c r="T57" s="2134">
        <v>113</v>
      </c>
      <c r="U57" s="2134">
        <v>76</v>
      </c>
      <c r="V57" s="2134">
        <v>112</v>
      </c>
      <c r="W57" s="2134">
        <v>119</v>
      </c>
      <c r="X57" s="2134">
        <v>96</v>
      </c>
    </row>
    <row r="58" spans="1:24" ht="15" x14ac:dyDescent="0.2">
      <c r="A58" s="5288"/>
      <c r="B58" s="5291"/>
      <c r="C58" s="2135" t="s">
        <v>490</v>
      </c>
      <c r="D58" s="2136"/>
      <c r="E58" s="2136"/>
      <c r="F58" s="2136"/>
      <c r="G58" s="2136"/>
      <c r="H58" s="2137">
        <v>171</v>
      </c>
      <c r="I58" s="2137">
        <v>126</v>
      </c>
      <c r="J58" s="2137">
        <v>152</v>
      </c>
      <c r="K58" s="2137">
        <v>151</v>
      </c>
      <c r="L58" s="2137">
        <v>159</v>
      </c>
      <c r="M58" s="2137">
        <v>155</v>
      </c>
      <c r="N58" s="2137">
        <v>150</v>
      </c>
      <c r="O58" s="2137">
        <v>117</v>
      </c>
      <c r="P58" s="2137">
        <v>161</v>
      </c>
      <c r="Q58" s="2137">
        <v>107</v>
      </c>
      <c r="R58" s="2137">
        <v>153</v>
      </c>
      <c r="S58" s="2138">
        <v>155</v>
      </c>
      <c r="T58" s="2138">
        <v>166</v>
      </c>
      <c r="U58" s="2138">
        <v>154</v>
      </c>
      <c r="V58" s="2138">
        <v>131</v>
      </c>
      <c r="W58" s="2138">
        <v>147</v>
      </c>
      <c r="X58" s="2138">
        <v>148</v>
      </c>
    </row>
    <row r="59" spans="1:24" ht="15" x14ac:dyDescent="0.2">
      <c r="A59" s="5288"/>
      <c r="B59" s="5291"/>
      <c r="C59" s="2135" t="s">
        <v>464</v>
      </c>
      <c r="D59" s="2136"/>
      <c r="E59" s="2136"/>
      <c r="F59" s="2136"/>
      <c r="G59" s="2136"/>
      <c r="H59" s="2137">
        <v>72</v>
      </c>
      <c r="I59" s="2137">
        <v>40</v>
      </c>
      <c r="J59" s="2137">
        <v>73</v>
      </c>
      <c r="K59" s="2137">
        <v>49</v>
      </c>
      <c r="L59" s="2137">
        <v>61</v>
      </c>
      <c r="M59" s="2137">
        <v>54</v>
      </c>
      <c r="N59" s="2137">
        <v>53</v>
      </c>
      <c r="O59" s="2137">
        <v>68</v>
      </c>
      <c r="P59" s="2137">
        <v>55</v>
      </c>
      <c r="Q59" s="2137">
        <v>51</v>
      </c>
      <c r="R59" s="2137">
        <v>59</v>
      </c>
      <c r="S59" s="2138">
        <v>81</v>
      </c>
      <c r="T59" s="2138">
        <v>99</v>
      </c>
      <c r="U59" s="2138">
        <v>78</v>
      </c>
      <c r="V59" s="2138">
        <v>62</v>
      </c>
      <c r="W59" s="2138">
        <v>54</v>
      </c>
      <c r="X59" s="2138">
        <v>57</v>
      </c>
    </row>
    <row r="60" spans="1:24" ht="15" x14ac:dyDescent="0.2">
      <c r="A60" s="5288"/>
      <c r="B60" s="5291"/>
      <c r="C60" s="2135" t="s">
        <v>491</v>
      </c>
      <c r="D60" s="2136"/>
      <c r="E60" s="2136"/>
      <c r="F60" s="2136"/>
      <c r="G60" s="2136"/>
      <c r="H60" s="2137">
        <v>251</v>
      </c>
      <c r="I60" s="2137">
        <v>235</v>
      </c>
      <c r="J60" s="2137">
        <v>305</v>
      </c>
      <c r="K60" s="2137">
        <v>316</v>
      </c>
      <c r="L60" s="2137">
        <v>318</v>
      </c>
      <c r="M60" s="2137">
        <v>335</v>
      </c>
      <c r="N60" s="2137">
        <v>247</v>
      </c>
      <c r="O60" s="2137">
        <v>293</v>
      </c>
      <c r="P60" s="2137">
        <v>253</v>
      </c>
      <c r="Q60" s="2137">
        <v>272</v>
      </c>
      <c r="R60" s="2137">
        <v>303</v>
      </c>
      <c r="S60" s="2138">
        <v>340</v>
      </c>
      <c r="T60" s="2138">
        <v>304</v>
      </c>
      <c r="U60" s="2138">
        <v>290</v>
      </c>
      <c r="V60" s="2138">
        <v>237</v>
      </c>
      <c r="W60" s="2138">
        <v>272</v>
      </c>
      <c r="X60" s="2138">
        <v>237</v>
      </c>
    </row>
    <row r="61" spans="1:24" ht="15" x14ac:dyDescent="0.2">
      <c r="A61" s="5288"/>
      <c r="B61" s="5291"/>
      <c r="C61" s="2135" t="s">
        <v>465</v>
      </c>
      <c r="D61" s="2136"/>
      <c r="E61" s="2136"/>
      <c r="F61" s="2136"/>
      <c r="G61" s="2136"/>
      <c r="H61" s="2137">
        <v>59</v>
      </c>
      <c r="I61" s="2137">
        <v>81</v>
      </c>
      <c r="J61" s="2137">
        <v>80</v>
      </c>
      <c r="K61" s="2137">
        <v>120</v>
      </c>
      <c r="L61" s="2137">
        <v>123</v>
      </c>
      <c r="M61" s="2137">
        <v>109</v>
      </c>
      <c r="N61" s="2137">
        <v>103</v>
      </c>
      <c r="O61" s="2137">
        <v>85</v>
      </c>
      <c r="P61" s="2137">
        <v>108</v>
      </c>
      <c r="Q61" s="2137">
        <v>84</v>
      </c>
      <c r="R61" s="2137">
        <v>148</v>
      </c>
      <c r="S61" s="2138">
        <v>121</v>
      </c>
      <c r="T61" s="2138">
        <v>115</v>
      </c>
      <c r="U61" s="2138">
        <v>100</v>
      </c>
      <c r="V61" s="2138">
        <v>90</v>
      </c>
      <c r="W61" s="2138">
        <v>114</v>
      </c>
      <c r="X61" s="2138">
        <v>82</v>
      </c>
    </row>
    <row r="62" spans="1:24" ht="15" x14ac:dyDescent="0.2">
      <c r="A62" s="5288"/>
      <c r="B62" s="5291"/>
      <c r="C62" s="2135" t="s">
        <v>492</v>
      </c>
      <c r="D62" s="2136"/>
      <c r="E62" s="2136"/>
      <c r="F62" s="2136"/>
      <c r="G62" s="2136"/>
      <c r="H62" s="2137"/>
      <c r="I62" s="2137"/>
      <c r="J62" s="2137">
        <v>3</v>
      </c>
      <c r="K62" s="2137">
        <v>9</v>
      </c>
      <c r="L62" s="2137">
        <v>20</v>
      </c>
      <c r="M62" s="2137">
        <v>22</v>
      </c>
      <c r="N62" s="2137">
        <v>24</v>
      </c>
      <c r="O62" s="2137">
        <v>26</v>
      </c>
      <c r="P62" s="2137">
        <v>36</v>
      </c>
      <c r="Q62" s="2137">
        <v>30</v>
      </c>
      <c r="R62" s="2137">
        <v>28</v>
      </c>
      <c r="S62" s="2138">
        <v>41</v>
      </c>
      <c r="T62" s="2138">
        <v>51</v>
      </c>
      <c r="U62" s="2138">
        <v>42</v>
      </c>
      <c r="V62" s="2138">
        <v>33</v>
      </c>
      <c r="W62" s="2138">
        <v>44</v>
      </c>
      <c r="X62" s="2138">
        <v>35</v>
      </c>
    </row>
    <row r="63" spans="1:24" ht="15" x14ac:dyDescent="0.2">
      <c r="A63" s="5288"/>
      <c r="B63" s="5292"/>
      <c r="C63" s="2139" t="s">
        <v>160</v>
      </c>
      <c r="D63" s="2140"/>
      <c r="E63" s="2140"/>
      <c r="F63" s="2140"/>
      <c r="G63" s="2140"/>
      <c r="H63" s="2141">
        <f t="shared" ref="H63:Q63" si="17">SUM(H57:H62)</f>
        <v>679</v>
      </c>
      <c r="I63" s="2141">
        <f t="shared" si="17"/>
        <v>619</v>
      </c>
      <c r="J63" s="2141">
        <f t="shared" si="17"/>
        <v>714</v>
      </c>
      <c r="K63" s="2141">
        <f t="shared" si="17"/>
        <v>749</v>
      </c>
      <c r="L63" s="2141">
        <f t="shared" si="17"/>
        <v>804</v>
      </c>
      <c r="M63" s="2141">
        <f t="shared" si="17"/>
        <v>779</v>
      </c>
      <c r="N63" s="2141">
        <f t="shared" si="17"/>
        <v>679</v>
      </c>
      <c r="O63" s="2141">
        <f t="shared" si="17"/>
        <v>672</v>
      </c>
      <c r="P63" s="2141">
        <f t="shared" si="17"/>
        <v>716</v>
      </c>
      <c r="Q63" s="2141">
        <f t="shared" si="17"/>
        <v>619</v>
      </c>
      <c r="R63" s="2141">
        <f t="shared" ref="R63:W63" si="18">SUM(R57:R62)</f>
        <v>811</v>
      </c>
      <c r="S63" s="2141">
        <f t="shared" si="18"/>
        <v>835</v>
      </c>
      <c r="T63" s="2141">
        <f t="shared" si="18"/>
        <v>848</v>
      </c>
      <c r="U63" s="2141">
        <f t="shared" si="18"/>
        <v>740</v>
      </c>
      <c r="V63" s="2141">
        <f t="shared" si="18"/>
        <v>665</v>
      </c>
      <c r="W63" s="2141">
        <f t="shared" si="18"/>
        <v>750</v>
      </c>
      <c r="X63" s="2141">
        <v>655</v>
      </c>
    </row>
    <row r="64" spans="1:24" ht="15" x14ac:dyDescent="0.2">
      <c r="A64" s="5288"/>
      <c r="B64" s="5290" t="s">
        <v>11</v>
      </c>
      <c r="C64" s="2142" t="s">
        <v>484</v>
      </c>
      <c r="D64" s="2136"/>
      <c r="E64" s="2136"/>
      <c r="F64" s="2136"/>
      <c r="G64" s="2136"/>
      <c r="H64" s="2137">
        <v>66</v>
      </c>
      <c r="I64" s="2137">
        <v>92</v>
      </c>
      <c r="J64" s="2137">
        <v>104</v>
      </c>
      <c r="K64" s="2137">
        <v>121</v>
      </c>
      <c r="L64" s="2137">
        <v>94</v>
      </c>
      <c r="M64" s="2137">
        <v>102</v>
      </c>
      <c r="N64" s="2137">
        <v>105</v>
      </c>
      <c r="O64" s="2137">
        <v>84</v>
      </c>
      <c r="P64" s="2137">
        <v>96</v>
      </c>
      <c r="Q64" s="2137">
        <v>86</v>
      </c>
      <c r="R64" s="2137">
        <v>91</v>
      </c>
      <c r="S64" s="2138">
        <v>132</v>
      </c>
      <c r="T64" s="2138">
        <v>126</v>
      </c>
      <c r="U64" s="2138">
        <v>128</v>
      </c>
      <c r="V64" s="2138">
        <v>137</v>
      </c>
      <c r="W64" s="2138">
        <v>118</v>
      </c>
      <c r="X64" s="2138">
        <v>151</v>
      </c>
    </row>
    <row r="65" spans="1:24" ht="15" x14ac:dyDescent="0.2">
      <c r="A65" s="5288"/>
      <c r="B65" s="5291"/>
      <c r="C65" s="2142" t="s">
        <v>493</v>
      </c>
      <c r="D65" s="2136"/>
      <c r="E65" s="2136"/>
      <c r="F65" s="2136"/>
      <c r="G65" s="2136"/>
      <c r="H65" s="2137">
        <v>41</v>
      </c>
      <c r="I65" s="2137">
        <v>51</v>
      </c>
      <c r="J65" s="2137">
        <v>54</v>
      </c>
      <c r="K65" s="2137">
        <v>108</v>
      </c>
      <c r="L65" s="2137">
        <v>75</v>
      </c>
      <c r="M65" s="2137">
        <v>68</v>
      </c>
      <c r="N65" s="2137">
        <v>104</v>
      </c>
      <c r="O65" s="2137">
        <v>45</v>
      </c>
      <c r="P65" s="2137">
        <v>58</v>
      </c>
      <c r="Q65" s="2137">
        <v>70</v>
      </c>
      <c r="R65" s="2137">
        <v>67</v>
      </c>
      <c r="S65" s="2138">
        <v>121</v>
      </c>
      <c r="T65" s="2138">
        <v>109</v>
      </c>
      <c r="U65" s="2138">
        <v>88</v>
      </c>
      <c r="V65" s="2138">
        <v>114</v>
      </c>
      <c r="W65" s="2138">
        <v>138</v>
      </c>
      <c r="X65" s="2138">
        <v>116</v>
      </c>
    </row>
    <row r="66" spans="1:24" ht="15" x14ac:dyDescent="0.2">
      <c r="A66" s="5288"/>
      <c r="B66" s="5291"/>
      <c r="C66" s="2142" t="s">
        <v>494</v>
      </c>
      <c r="D66" s="2136"/>
      <c r="E66" s="2136"/>
      <c r="F66" s="2136"/>
      <c r="G66" s="2136"/>
      <c r="H66" s="2137">
        <v>235</v>
      </c>
      <c r="I66" s="2137">
        <v>205</v>
      </c>
      <c r="J66" s="2137">
        <v>186</v>
      </c>
      <c r="K66" s="2137">
        <v>218</v>
      </c>
      <c r="L66" s="2137">
        <v>234</v>
      </c>
      <c r="M66" s="2137">
        <v>148</v>
      </c>
      <c r="N66" s="2137">
        <v>192</v>
      </c>
      <c r="O66" s="2137">
        <v>99</v>
      </c>
      <c r="P66" s="2137">
        <v>121</v>
      </c>
      <c r="Q66" s="2137">
        <v>134</v>
      </c>
      <c r="R66" s="2137">
        <v>151</v>
      </c>
      <c r="S66" s="2138">
        <v>256</v>
      </c>
      <c r="T66" s="2138">
        <v>261</v>
      </c>
      <c r="U66" s="2138">
        <v>180</v>
      </c>
      <c r="V66" s="2138">
        <v>139</v>
      </c>
      <c r="W66" s="2138">
        <v>151</v>
      </c>
      <c r="X66" s="2138">
        <v>101</v>
      </c>
    </row>
    <row r="67" spans="1:24" ht="15" x14ac:dyDescent="0.2">
      <c r="A67" s="5288"/>
      <c r="B67" s="5291"/>
      <c r="C67" s="2142" t="s">
        <v>495</v>
      </c>
      <c r="D67" s="2136"/>
      <c r="E67" s="2136"/>
      <c r="F67" s="2136"/>
      <c r="G67" s="2136"/>
      <c r="H67" s="2137">
        <v>130</v>
      </c>
      <c r="I67" s="2137">
        <v>134</v>
      </c>
      <c r="J67" s="2137">
        <v>145</v>
      </c>
      <c r="K67" s="2137">
        <v>122</v>
      </c>
      <c r="L67" s="2137">
        <v>156</v>
      </c>
      <c r="M67" s="2137">
        <v>153</v>
      </c>
      <c r="N67" s="2137">
        <v>176</v>
      </c>
      <c r="O67" s="2137">
        <v>117</v>
      </c>
      <c r="P67" s="2137">
        <v>137</v>
      </c>
      <c r="Q67" s="2137">
        <v>144</v>
      </c>
      <c r="R67" s="2137">
        <v>193</v>
      </c>
      <c r="S67" s="2138">
        <v>182</v>
      </c>
      <c r="T67" s="2138">
        <v>180</v>
      </c>
      <c r="U67" s="2138">
        <v>192</v>
      </c>
      <c r="V67" s="2138">
        <v>201</v>
      </c>
      <c r="W67" s="2138">
        <v>178</v>
      </c>
      <c r="X67" s="2138">
        <v>154</v>
      </c>
    </row>
    <row r="68" spans="1:24" ht="15" x14ac:dyDescent="0.2">
      <c r="A68" s="5288"/>
      <c r="B68" s="5291"/>
      <c r="C68" s="2142" t="s">
        <v>496</v>
      </c>
      <c r="D68" s="2136"/>
      <c r="E68" s="2136"/>
      <c r="F68" s="2136"/>
      <c r="G68" s="2136"/>
      <c r="H68" s="2137">
        <v>129</v>
      </c>
      <c r="I68" s="2137">
        <v>141</v>
      </c>
      <c r="J68" s="2137">
        <v>128</v>
      </c>
      <c r="K68" s="2137">
        <v>124</v>
      </c>
      <c r="L68" s="2137">
        <v>135</v>
      </c>
      <c r="M68" s="2137">
        <v>164</v>
      </c>
      <c r="N68" s="2137">
        <v>126</v>
      </c>
      <c r="O68" s="2137">
        <v>129</v>
      </c>
      <c r="P68" s="2137">
        <v>132</v>
      </c>
      <c r="Q68" s="2137">
        <v>105</v>
      </c>
      <c r="R68" s="2137">
        <v>167</v>
      </c>
      <c r="S68" s="2138">
        <v>182</v>
      </c>
      <c r="T68" s="2138">
        <v>205</v>
      </c>
      <c r="U68" s="2138">
        <v>182</v>
      </c>
      <c r="V68" s="2138">
        <v>149</v>
      </c>
      <c r="W68" s="2138">
        <v>128</v>
      </c>
      <c r="X68" s="2138">
        <v>116</v>
      </c>
    </row>
    <row r="69" spans="1:24" ht="15" x14ac:dyDescent="0.2">
      <c r="A69" s="5288"/>
      <c r="B69" s="5291"/>
      <c r="C69" s="2142" t="s">
        <v>497</v>
      </c>
      <c r="D69" s="2136"/>
      <c r="E69" s="2136"/>
      <c r="F69" s="2136"/>
      <c r="G69" s="2136"/>
      <c r="H69" s="2137">
        <v>42</v>
      </c>
      <c r="I69" s="2137">
        <v>58</v>
      </c>
      <c r="J69" s="2137">
        <v>51</v>
      </c>
      <c r="K69" s="2137">
        <v>60</v>
      </c>
      <c r="L69" s="2137">
        <v>59</v>
      </c>
      <c r="M69" s="2137">
        <v>56</v>
      </c>
      <c r="N69" s="2137">
        <v>49</v>
      </c>
      <c r="O69" s="2137">
        <v>33</v>
      </c>
      <c r="P69" s="2137">
        <v>54</v>
      </c>
      <c r="Q69" s="2137">
        <v>38</v>
      </c>
      <c r="R69" s="2137">
        <v>41</v>
      </c>
      <c r="S69" s="2138">
        <v>46</v>
      </c>
      <c r="T69" s="2138">
        <v>59</v>
      </c>
      <c r="U69" s="2138">
        <v>86</v>
      </c>
      <c r="V69" s="2138">
        <v>94</v>
      </c>
      <c r="W69" s="2138">
        <v>77</v>
      </c>
      <c r="X69" s="2138">
        <v>80</v>
      </c>
    </row>
    <row r="70" spans="1:24" ht="15" x14ac:dyDescent="0.2">
      <c r="A70" s="5288"/>
      <c r="B70" s="5291"/>
      <c r="C70" s="2142" t="s">
        <v>498</v>
      </c>
      <c r="D70" s="2136"/>
      <c r="E70" s="2136"/>
      <c r="F70" s="2136"/>
      <c r="G70" s="2136"/>
      <c r="H70" s="2137">
        <v>163</v>
      </c>
      <c r="I70" s="2137">
        <v>139</v>
      </c>
      <c r="J70" s="2137">
        <v>130</v>
      </c>
      <c r="K70" s="2137">
        <v>146</v>
      </c>
      <c r="L70" s="2137">
        <v>110</v>
      </c>
      <c r="M70" s="2137">
        <v>99</v>
      </c>
      <c r="N70" s="2137">
        <v>124</v>
      </c>
      <c r="O70" s="2137">
        <v>96</v>
      </c>
      <c r="P70" s="2137">
        <v>146</v>
      </c>
      <c r="Q70" s="2137">
        <v>132</v>
      </c>
      <c r="R70" s="2137">
        <v>151</v>
      </c>
      <c r="S70" s="2138">
        <v>170</v>
      </c>
      <c r="T70" s="2138">
        <v>163</v>
      </c>
      <c r="U70" s="2138">
        <v>172</v>
      </c>
      <c r="V70" s="2138">
        <v>169</v>
      </c>
      <c r="W70" s="2138">
        <v>131</v>
      </c>
      <c r="X70" s="2138">
        <v>154</v>
      </c>
    </row>
    <row r="71" spans="1:24" ht="15" x14ac:dyDescent="0.2">
      <c r="A71" s="5288"/>
      <c r="B71" s="5291"/>
      <c r="C71" s="2142" t="s">
        <v>499</v>
      </c>
      <c r="D71" s="2136"/>
      <c r="E71" s="2136"/>
      <c r="F71" s="2136"/>
      <c r="G71" s="2136"/>
      <c r="H71" s="2137">
        <v>89</v>
      </c>
      <c r="I71" s="2137">
        <v>69</v>
      </c>
      <c r="J71" s="2137">
        <v>55</v>
      </c>
      <c r="K71" s="2137">
        <v>95</v>
      </c>
      <c r="L71" s="2137">
        <v>85</v>
      </c>
      <c r="M71" s="2137">
        <v>89</v>
      </c>
      <c r="N71" s="2137">
        <v>92</v>
      </c>
      <c r="O71" s="2137">
        <v>92</v>
      </c>
      <c r="P71" s="2137">
        <v>99</v>
      </c>
      <c r="Q71" s="2137">
        <v>99</v>
      </c>
      <c r="R71" s="2137">
        <v>126</v>
      </c>
      <c r="S71" s="2138">
        <v>127</v>
      </c>
      <c r="T71" s="2138">
        <v>125</v>
      </c>
      <c r="U71" s="2138">
        <v>116</v>
      </c>
      <c r="V71" s="2138">
        <v>106</v>
      </c>
      <c r="W71" s="2138">
        <v>110</v>
      </c>
      <c r="X71" s="2138">
        <v>72</v>
      </c>
    </row>
    <row r="72" spans="1:24" ht="15" x14ac:dyDescent="0.2">
      <c r="A72" s="5288"/>
      <c r="B72" s="5292"/>
      <c r="C72" s="2139" t="s">
        <v>160</v>
      </c>
      <c r="D72" s="2140"/>
      <c r="E72" s="2140"/>
      <c r="F72" s="2140"/>
      <c r="G72" s="2140"/>
      <c r="H72" s="2141">
        <f t="shared" ref="H72:Q72" si="19">SUM(H64:H71)</f>
        <v>895</v>
      </c>
      <c r="I72" s="2141">
        <f t="shared" si="19"/>
        <v>889</v>
      </c>
      <c r="J72" s="2141">
        <f t="shared" si="19"/>
        <v>853</v>
      </c>
      <c r="K72" s="2141">
        <f t="shared" si="19"/>
        <v>994</v>
      </c>
      <c r="L72" s="2141">
        <f t="shared" si="19"/>
        <v>948</v>
      </c>
      <c r="M72" s="2141">
        <f t="shared" si="19"/>
        <v>879</v>
      </c>
      <c r="N72" s="2141">
        <f t="shared" si="19"/>
        <v>968</v>
      </c>
      <c r="O72" s="2141">
        <f t="shared" si="19"/>
        <v>695</v>
      </c>
      <c r="P72" s="2141">
        <f t="shared" si="19"/>
        <v>843</v>
      </c>
      <c r="Q72" s="2141">
        <f t="shared" si="19"/>
        <v>808</v>
      </c>
      <c r="R72" s="2141">
        <f t="shared" ref="R72:W72" si="20">SUM(R64:R71)</f>
        <v>987</v>
      </c>
      <c r="S72" s="2141">
        <f t="shared" si="20"/>
        <v>1216</v>
      </c>
      <c r="T72" s="2141">
        <f t="shared" si="20"/>
        <v>1228</v>
      </c>
      <c r="U72" s="2141">
        <f t="shared" si="20"/>
        <v>1144</v>
      </c>
      <c r="V72" s="2141">
        <f t="shared" si="20"/>
        <v>1109</v>
      </c>
      <c r="W72" s="2141">
        <f t="shared" si="20"/>
        <v>1031</v>
      </c>
      <c r="X72" s="2141">
        <v>944</v>
      </c>
    </row>
    <row r="73" spans="1:24" ht="15" x14ac:dyDescent="0.2">
      <c r="A73" s="5288"/>
      <c r="B73" s="5290" t="s">
        <v>7</v>
      </c>
      <c r="C73" s="2131" t="s">
        <v>466</v>
      </c>
      <c r="D73" s="2132"/>
      <c r="E73" s="2132"/>
      <c r="F73" s="2132"/>
      <c r="G73" s="2132"/>
      <c r="H73" s="2133">
        <v>116</v>
      </c>
      <c r="I73" s="2133">
        <v>84</v>
      </c>
      <c r="J73" s="2133">
        <v>112</v>
      </c>
      <c r="K73" s="2133">
        <v>146</v>
      </c>
      <c r="L73" s="2133">
        <v>110</v>
      </c>
      <c r="M73" s="2133">
        <v>111</v>
      </c>
      <c r="N73" s="2133">
        <v>104</v>
      </c>
      <c r="O73" s="2133">
        <v>113</v>
      </c>
      <c r="P73" s="2133">
        <v>134</v>
      </c>
      <c r="Q73" s="2133">
        <v>103</v>
      </c>
      <c r="R73" s="2133">
        <v>168</v>
      </c>
      <c r="S73" s="2134">
        <v>209</v>
      </c>
      <c r="T73" s="2134">
        <v>175</v>
      </c>
      <c r="U73" s="2134">
        <v>158</v>
      </c>
      <c r="V73" s="2134">
        <v>155</v>
      </c>
      <c r="W73" s="2134">
        <v>182</v>
      </c>
      <c r="X73" s="2134">
        <v>178</v>
      </c>
    </row>
    <row r="74" spans="1:24" ht="15" x14ac:dyDescent="0.2">
      <c r="A74" s="5288"/>
      <c r="B74" s="5291"/>
      <c r="C74" s="2135" t="s">
        <v>522</v>
      </c>
      <c r="D74" s="2136"/>
      <c r="E74" s="2136"/>
      <c r="F74" s="2136"/>
      <c r="G74" s="2136"/>
      <c r="H74" s="2137">
        <v>66</v>
      </c>
      <c r="I74" s="2137">
        <v>70</v>
      </c>
      <c r="J74" s="2137">
        <v>89</v>
      </c>
      <c r="K74" s="2137">
        <v>107</v>
      </c>
      <c r="L74" s="2137">
        <v>100</v>
      </c>
      <c r="M74" s="2137">
        <v>70</v>
      </c>
      <c r="N74" s="2137">
        <v>83</v>
      </c>
      <c r="O74" s="2137">
        <v>86</v>
      </c>
      <c r="P74" s="2137">
        <v>83</v>
      </c>
      <c r="Q74" s="2137">
        <v>84</v>
      </c>
      <c r="R74" s="2137">
        <v>98</v>
      </c>
      <c r="S74" s="2138">
        <v>79</v>
      </c>
      <c r="T74" s="2138">
        <v>70</v>
      </c>
      <c r="U74" s="2138">
        <v>79</v>
      </c>
      <c r="V74" s="2138">
        <v>67</v>
      </c>
      <c r="W74" s="2138">
        <v>70</v>
      </c>
      <c r="X74" s="2138">
        <v>79</v>
      </c>
    </row>
    <row r="75" spans="1:24" ht="15" x14ac:dyDescent="0.2">
      <c r="A75" s="5288"/>
      <c r="B75" s="5291"/>
      <c r="C75" s="2135" t="s">
        <v>468</v>
      </c>
      <c r="D75" s="2136"/>
      <c r="E75" s="2136"/>
      <c r="F75" s="2136"/>
      <c r="G75" s="2136"/>
      <c r="H75" s="2137">
        <v>49</v>
      </c>
      <c r="I75" s="2137">
        <v>43</v>
      </c>
      <c r="J75" s="2137">
        <v>82</v>
      </c>
      <c r="K75" s="2137">
        <v>84</v>
      </c>
      <c r="L75" s="2137">
        <v>101</v>
      </c>
      <c r="M75" s="2137">
        <v>75</v>
      </c>
      <c r="N75" s="2137">
        <v>55</v>
      </c>
      <c r="O75" s="2137">
        <v>74</v>
      </c>
      <c r="P75" s="2137">
        <v>49</v>
      </c>
      <c r="Q75" s="2137">
        <v>53</v>
      </c>
      <c r="R75" s="2137">
        <v>53</v>
      </c>
      <c r="S75" s="2138">
        <v>48</v>
      </c>
      <c r="T75" s="2138">
        <v>48</v>
      </c>
      <c r="U75" s="2138">
        <v>58</v>
      </c>
      <c r="V75" s="2138">
        <v>52</v>
      </c>
      <c r="W75" s="2138">
        <v>56</v>
      </c>
      <c r="X75" s="2138">
        <v>49</v>
      </c>
    </row>
    <row r="76" spans="1:24" ht="15" x14ac:dyDescent="0.2">
      <c r="A76" s="5288"/>
      <c r="B76" s="5291"/>
      <c r="C76" s="2135" t="s">
        <v>500</v>
      </c>
      <c r="D76" s="2136"/>
      <c r="E76" s="2136"/>
      <c r="F76" s="2136"/>
      <c r="G76" s="2136"/>
      <c r="H76" s="2137">
        <v>27</v>
      </c>
      <c r="I76" s="2137">
        <v>39</v>
      </c>
      <c r="J76" s="2137">
        <v>44</v>
      </c>
      <c r="K76" s="2137">
        <v>37</v>
      </c>
      <c r="L76" s="2137">
        <v>37</v>
      </c>
      <c r="M76" s="2137">
        <v>29</v>
      </c>
      <c r="N76" s="2137">
        <v>26</v>
      </c>
      <c r="O76" s="2137">
        <v>27</v>
      </c>
      <c r="P76" s="2137">
        <v>26</v>
      </c>
      <c r="Q76" s="2137">
        <v>20</v>
      </c>
      <c r="R76" s="2137">
        <v>50</v>
      </c>
      <c r="S76" s="2138">
        <v>44</v>
      </c>
      <c r="T76" s="2138">
        <v>51</v>
      </c>
      <c r="U76" s="2138">
        <v>50</v>
      </c>
      <c r="V76" s="2138">
        <v>45</v>
      </c>
      <c r="W76" s="2138">
        <v>68</v>
      </c>
      <c r="X76" s="2138">
        <v>43</v>
      </c>
    </row>
    <row r="77" spans="1:24" ht="15" x14ac:dyDescent="0.2">
      <c r="A77" s="5288"/>
      <c r="B77" s="5292"/>
      <c r="C77" s="2139" t="s">
        <v>160</v>
      </c>
      <c r="D77" s="2140"/>
      <c r="E77" s="2140"/>
      <c r="F77" s="2140"/>
      <c r="G77" s="2140"/>
      <c r="H77" s="2141">
        <f t="shared" ref="H77:Q77" si="21">SUM(H73:H76)</f>
        <v>258</v>
      </c>
      <c r="I77" s="2141">
        <f t="shared" si="21"/>
        <v>236</v>
      </c>
      <c r="J77" s="2141">
        <f t="shared" si="21"/>
        <v>327</v>
      </c>
      <c r="K77" s="2141">
        <f t="shared" si="21"/>
        <v>374</v>
      </c>
      <c r="L77" s="2141">
        <f t="shared" si="21"/>
        <v>348</v>
      </c>
      <c r="M77" s="2141">
        <f t="shared" si="21"/>
        <v>285</v>
      </c>
      <c r="N77" s="2141">
        <f t="shared" si="21"/>
        <v>268</v>
      </c>
      <c r="O77" s="2141">
        <f t="shared" si="21"/>
        <v>300</v>
      </c>
      <c r="P77" s="2141">
        <f t="shared" si="21"/>
        <v>292</v>
      </c>
      <c r="Q77" s="2141">
        <f t="shared" si="21"/>
        <v>260</v>
      </c>
      <c r="R77" s="2141">
        <f t="shared" ref="R77:W77" si="22">SUM(R73:R76)</f>
        <v>369</v>
      </c>
      <c r="S77" s="2141">
        <f t="shared" si="22"/>
        <v>380</v>
      </c>
      <c r="T77" s="2141">
        <f t="shared" si="22"/>
        <v>344</v>
      </c>
      <c r="U77" s="2141">
        <f t="shared" si="22"/>
        <v>345</v>
      </c>
      <c r="V77" s="2141">
        <f t="shared" si="22"/>
        <v>319</v>
      </c>
      <c r="W77" s="2141">
        <f t="shared" si="22"/>
        <v>376</v>
      </c>
      <c r="X77" s="2141">
        <v>349</v>
      </c>
    </row>
    <row r="78" spans="1:24" ht="15" x14ac:dyDescent="0.2">
      <c r="A78" s="5289"/>
      <c r="B78" s="2566"/>
      <c r="C78" s="2567" t="s">
        <v>450</v>
      </c>
      <c r="D78" s="2568"/>
      <c r="E78" s="2568"/>
      <c r="F78" s="2568"/>
      <c r="G78" s="2568"/>
      <c r="H78" s="2569">
        <f t="shared" ref="H78:Q78" si="23">SUM(H77,H72,H63)</f>
        <v>1832</v>
      </c>
      <c r="I78" s="2569">
        <f t="shared" si="23"/>
        <v>1744</v>
      </c>
      <c r="J78" s="2569">
        <f t="shared" si="23"/>
        <v>1894</v>
      </c>
      <c r="K78" s="2569">
        <f t="shared" si="23"/>
        <v>2117</v>
      </c>
      <c r="L78" s="2569">
        <f t="shared" si="23"/>
        <v>2100</v>
      </c>
      <c r="M78" s="2569">
        <f t="shared" si="23"/>
        <v>1943</v>
      </c>
      <c r="N78" s="2569">
        <f t="shared" si="23"/>
        <v>1915</v>
      </c>
      <c r="O78" s="2569">
        <f t="shared" si="23"/>
        <v>1667</v>
      </c>
      <c r="P78" s="2569">
        <f t="shared" si="23"/>
        <v>1851</v>
      </c>
      <c r="Q78" s="2569">
        <f t="shared" si="23"/>
        <v>1687</v>
      </c>
      <c r="R78" s="2569">
        <f t="shared" ref="R78:W78" si="24">SUM(R77,R72,R63)</f>
        <v>2167</v>
      </c>
      <c r="S78" s="2569">
        <f t="shared" si="24"/>
        <v>2431</v>
      </c>
      <c r="T78" s="2569">
        <f t="shared" si="24"/>
        <v>2420</v>
      </c>
      <c r="U78" s="2569">
        <f t="shared" si="24"/>
        <v>2229</v>
      </c>
      <c r="V78" s="2569">
        <f t="shared" si="24"/>
        <v>2093</v>
      </c>
      <c r="W78" s="2569">
        <f t="shared" si="24"/>
        <v>2157</v>
      </c>
      <c r="X78" s="2569">
        <f t="shared" ref="X78" si="25">SUM(X77,X72,X63)</f>
        <v>1948</v>
      </c>
    </row>
    <row r="79" spans="1:24" ht="15" x14ac:dyDescent="0.2">
      <c r="A79" s="5293" t="s">
        <v>436</v>
      </c>
      <c r="B79" s="5218" t="s">
        <v>6</v>
      </c>
      <c r="C79" s="2145" t="s">
        <v>462</v>
      </c>
      <c r="D79" s="2132"/>
      <c r="E79" s="2132"/>
      <c r="F79" s="2132"/>
      <c r="G79" s="2133"/>
      <c r="H79" s="2133"/>
      <c r="I79" s="2133"/>
      <c r="J79" s="2133"/>
      <c r="K79" s="2133"/>
      <c r="L79" s="2133"/>
      <c r="M79" s="2133"/>
      <c r="N79" s="2133"/>
      <c r="O79" s="2133"/>
      <c r="P79" s="2133"/>
      <c r="Q79" s="2133"/>
      <c r="R79" s="2133"/>
      <c r="S79" s="2133">
        <v>7</v>
      </c>
      <c r="T79" s="2133">
        <v>48</v>
      </c>
      <c r="U79" s="2133">
        <v>25</v>
      </c>
      <c r="V79" s="2133">
        <v>25</v>
      </c>
      <c r="W79" s="2133">
        <v>23</v>
      </c>
      <c r="X79" s="2133">
        <v>21</v>
      </c>
    </row>
    <row r="80" spans="1:24" ht="15" x14ac:dyDescent="0.2">
      <c r="A80" s="5294"/>
      <c r="B80" s="5219"/>
      <c r="C80" s="2142" t="s">
        <v>463</v>
      </c>
      <c r="D80" s="2136"/>
      <c r="E80" s="2136"/>
      <c r="F80" s="2136"/>
      <c r="G80" s="2137"/>
      <c r="H80" s="2137"/>
      <c r="I80" s="2137"/>
      <c r="J80" s="2137"/>
      <c r="K80" s="2137"/>
      <c r="L80" s="2137"/>
      <c r="M80" s="2137"/>
      <c r="N80" s="2137"/>
      <c r="O80" s="2137"/>
      <c r="P80" s="2137"/>
      <c r="Q80" s="2137"/>
      <c r="R80" s="2137"/>
      <c r="S80" s="2137">
        <v>3</v>
      </c>
      <c r="T80" s="2137">
        <v>2</v>
      </c>
      <c r="U80" s="2137"/>
      <c r="V80" s="2137">
        <v>1</v>
      </c>
      <c r="W80" s="2137"/>
      <c r="X80" s="2137">
        <v>1</v>
      </c>
    </row>
    <row r="81" spans="1:24" ht="15" x14ac:dyDescent="0.2">
      <c r="A81" s="5294"/>
      <c r="B81" s="5219"/>
      <c r="C81" s="2146" t="s">
        <v>501</v>
      </c>
      <c r="D81" s="2144"/>
      <c r="E81" s="2144"/>
      <c r="F81" s="2144"/>
      <c r="G81" s="2137"/>
      <c r="H81" s="2137"/>
      <c r="I81" s="2137"/>
      <c r="J81" s="2137"/>
      <c r="K81" s="2137"/>
      <c r="L81" s="2137"/>
      <c r="M81" s="2137"/>
      <c r="N81" s="2137"/>
      <c r="O81" s="2137"/>
      <c r="P81" s="2137"/>
      <c r="Q81" s="2137"/>
      <c r="R81" s="2137"/>
      <c r="S81" s="2137"/>
      <c r="T81" s="2137">
        <v>1</v>
      </c>
      <c r="U81" s="2137">
        <v>12</v>
      </c>
      <c r="V81" s="2137">
        <v>3</v>
      </c>
      <c r="W81" s="2137">
        <v>4</v>
      </c>
      <c r="X81" s="2137">
        <v>6</v>
      </c>
    </row>
    <row r="82" spans="1:24" ht="15" x14ac:dyDescent="0.2">
      <c r="A82" s="5294"/>
      <c r="B82" s="5219"/>
      <c r="C82" s="2142" t="s">
        <v>514</v>
      </c>
      <c r="D82" s="2136"/>
      <c r="E82" s="2136"/>
      <c r="F82" s="2136"/>
      <c r="G82" s="2137"/>
      <c r="H82" s="2137"/>
      <c r="I82" s="2137"/>
      <c r="J82" s="2137"/>
      <c r="K82" s="2137"/>
      <c r="L82" s="2137"/>
      <c r="M82" s="2137"/>
      <c r="N82" s="2137"/>
      <c r="O82" s="2137"/>
      <c r="P82" s="2137"/>
      <c r="Q82" s="2137"/>
      <c r="R82" s="2137"/>
      <c r="S82" s="2137"/>
      <c r="T82" s="2137"/>
      <c r="U82" s="2137">
        <v>2</v>
      </c>
      <c r="V82" s="2137">
        <v>7</v>
      </c>
      <c r="W82" s="2137">
        <v>6</v>
      </c>
      <c r="X82" s="2137">
        <v>5</v>
      </c>
    </row>
    <row r="83" spans="1:24" ht="15" x14ac:dyDescent="0.2">
      <c r="A83" s="5294"/>
      <c r="B83" s="5220"/>
      <c r="C83" s="2139" t="s">
        <v>160</v>
      </c>
      <c r="D83" s="2140"/>
      <c r="E83" s="2140"/>
      <c r="F83" s="2140"/>
      <c r="G83" s="2140"/>
      <c r="H83" s="2141"/>
      <c r="I83" s="2141"/>
      <c r="J83" s="2141"/>
      <c r="K83" s="2141"/>
      <c r="L83" s="2141"/>
      <c r="M83" s="2141"/>
      <c r="N83" s="2141"/>
      <c r="O83" s="2141"/>
      <c r="P83" s="2141"/>
      <c r="Q83" s="2141"/>
      <c r="R83" s="2141"/>
      <c r="S83" s="2141">
        <f t="shared" ref="S83:W83" si="26">SUM(S79:S82)</f>
        <v>10</v>
      </c>
      <c r="T83" s="2141">
        <f t="shared" si="26"/>
        <v>51</v>
      </c>
      <c r="U83" s="2141">
        <f t="shared" si="26"/>
        <v>39</v>
      </c>
      <c r="V83" s="2141">
        <f t="shared" si="26"/>
        <v>36</v>
      </c>
      <c r="W83" s="2141">
        <f t="shared" si="26"/>
        <v>33</v>
      </c>
      <c r="X83" s="2141">
        <v>33</v>
      </c>
    </row>
    <row r="84" spans="1:24" ht="15" x14ac:dyDescent="0.2">
      <c r="A84" s="5294"/>
      <c r="B84" s="5296" t="s">
        <v>9</v>
      </c>
      <c r="C84" s="2131" t="s">
        <v>503</v>
      </c>
      <c r="D84" s="2132"/>
      <c r="E84" s="2132"/>
      <c r="F84" s="2132"/>
      <c r="G84" s="2132"/>
      <c r="H84" s="2133"/>
      <c r="I84" s="2133"/>
      <c r="J84" s="2133"/>
      <c r="K84" s="2133"/>
      <c r="L84" s="2133"/>
      <c r="M84" s="2133"/>
      <c r="N84" s="2133"/>
      <c r="O84" s="2133"/>
      <c r="P84" s="2133"/>
      <c r="Q84" s="2133"/>
      <c r="R84" s="2133"/>
      <c r="S84" s="2147">
        <v>3</v>
      </c>
      <c r="T84" s="2133">
        <v>7</v>
      </c>
      <c r="U84" s="2133">
        <v>17</v>
      </c>
      <c r="V84" s="2133">
        <v>13</v>
      </c>
      <c r="W84" s="2133">
        <v>16</v>
      </c>
      <c r="X84" s="2133">
        <v>8</v>
      </c>
    </row>
    <row r="85" spans="1:24" ht="15" x14ac:dyDescent="0.2">
      <c r="A85" s="5294"/>
      <c r="B85" s="5296"/>
      <c r="C85" s="2135" t="s">
        <v>504</v>
      </c>
      <c r="D85" s="2136"/>
      <c r="E85" s="2136"/>
      <c r="F85" s="2136"/>
      <c r="G85" s="2136"/>
      <c r="H85" s="2137"/>
      <c r="I85" s="2137"/>
      <c r="J85" s="2137"/>
      <c r="K85" s="2137"/>
      <c r="L85" s="2137"/>
      <c r="M85" s="2137"/>
      <c r="N85" s="2137"/>
      <c r="O85" s="2137"/>
      <c r="P85" s="2137"/>
      <c r="Q85" s="2137"/>
      <c r="R85" s="2137"/>
      <c r="S85" s="2148"/>
      <c r="T85" s="2137"/>
      <c r="U85" s="2137">
        <v>2</v>
      </c>
      <c r="V85" s="2137">
        <v>2</v>
      </c>
      <c r="W85" s="2137">
        <v>1</v>
      </c>
      <c r="X85" s="2137">
        <v>6</v>
      </c>
    </row>
    <row r="86" spans="1:24" ht="15" x14ac:dyDescent="0.2">
      <c r="A86" s="5294"/>
      <c r="B86" s="5296"/>
      <c r="C86" s="2142" t="s">
        <v>505</v>
      </c>
      <c r="D86" s="2136"/>
      <c r="E86" s="2136"/>
      <c r="F86" s="2136"/>
      <c r="G86" s="2137"/>
      <c r="H86" s="2137"/>
      <c r="I86" s="2137"/>
      <c r="J86" s="2137"/>
      <c r="K86" s="2137"/>
      <c r="L86" s="2137"/>
      <c r="M86" s="2137"/>
      <c r="N86" s="2137"/>
      <c r="O86" s="2137"/>
      <c r="P86" s="2137"/>
      <c r="Q86" s="2137"/>
      <c r="R86" s="2137"/>
      <c r="S86" s="2137"/>
      <c r="T86" s="2137"/>
      <c r="U86" s="2137">
        <v>12</v>
      </c>
      <c r="V86" s="2137">
        <v>22</v>
      </c>
      <c r="W86" s="2137">
        <v>13</v>
      </c>
      <c r="X86" s="2137">
        <v>21</v>
      </c>
    </row>
    <row r="87" spans="1:24" ht="15" x14ac:dyDescent="0.2">
      <c r="A87" s="5294"/>
      <c r="B87" s="5297"/>
      <c r="C87" s="2139" t="s">
        <v>160</v>
      </c>
      <c r="D87" s="2140"/>
      <c r="E87" s="2140"/>
      <c r="F87" s="2140"/>
      <c r="G87" s="2140"/>
      <c r="H87" s="2141"/>
      <c r="I87" s="2141"/>
      <c r="J87" s="2141"/>
      <c r="K87" s="2141"/>
      <c r="L87" s="2141"/>
      <c r="M87" s="2141"/>
      <c r="N87" s="2141"/>
      <c r="O87" s="2141"/>
      <c r="P87" s="2141"/>
      <c r="Q87" s="2141"/>
      <c r="R87" s="2141"/>
      <c r="S87" s="2141">
        <f t="shared" ref="S87:W87" si="27">SUM(S84:S86)</f>
        <v>3</v>
      </c>
      <c r="T87" s="2141">
        <f t="shared" si="27"/>
        <v>7</v>
      </c>
      <c r="U87" s="2141">
        <f t="shared" si="27"/>
        <v>31</v>
      </c>
      <c r="V87" s="2141">
        <f t="shared" si="27"/>
        <v>37</v>
      </c>
      <c r="W87" s="2141">
        <f t="shared" si="27"/>
        <v>30</v>
      </c>
      <c r="X87" s="2141">
        <v>35</v>
      </c>
    </row>
    <row r="88" spans="1:24" ht="15" x14ac:dyDescent="0.2">
      <c r="A88" s="5294"/>
      <c r="B88" s="5218" t="s">
        <v>74</v>
      </c>
      <c r="C88" s="2145" t="s">
        <v>461</v>
      </c>
      <c r="D88" s="2132"/>
      <c r="E88" s="2132"/>
      <c r="F88" s="2132"/>
      <c r="G88" s="2132"/>
      <c r="H88" s="2133"/>
      <c r="I88" s="2133"/>
      <c r="J88" s="2133"/>
      <c r="K88" s="2133"/>
      <c r="L88" s="2133"/>
      <c r="M88" s="2133"/>
      <c r="N88" s="2133"/>
      <c r="O88" s="2133"/>
      <c r="P88" s="2133"/>
      <c r="Q88" s="2133"/>
      <c r="R88" s="2133"/>
      <c r="S88" s="2147">
        <v>5</v>
      </c>
      <c r="T88" s="2133">
        <v>8</v>
      </c>
      <c r="U88" s="2133">
        <v>5</v>
      </c>
      <c r="V88" s="2133">
        <v>12</v>
      </c>
      <c r="W88" s="2133">
        <v>9</v>
      </c>
      <c r="X88" s="2133">
        <v>8</v>
      </c>
    </row>
    <row r="89" spans="1:24" ht="15" x14ac:dyDescent="0.2">
      <c r="A89" s="5294"/>
      <c r="B89" s="5219"/>
      <c r="C89" s="2142" t="s">
        <v>506</v>
      </c>
      <c r="D89" s="2136"/>
      <c r="E89" s="2136"/>
      <c r="F89" s="2136"/>
      <c r="G89" s="2137"/>
      <c r="H89" s="2137"/>
      <c r="I89" s="2137"/>
      <c r="J89" s="2137"/>
      <c r="K89" s="2137"/>
      <c r="L89" s="2137"/>
      <c r="M89" s="2137"/>
      <c r="N89" s="2137"/>
      <c r="O89" s="2137"/>
      <c r="P89" s="2137"/>
      <c r="Q89" s="2137"/>
      <c r="R89" s="2137"/>
      <c r="S89" s="2137"/>
      <c r="T89" s="2137">
        <v>1</v>
      </c>
      <c r="U89" s="2137">
        <v>1</v>
      </c>
      <c r="V89" s="2137">
        <v>6</v>
      </c>
      <c r="W89" s="2137">
        <v>1</v>
      </c>
      <c r="X89" s="2137">
        <v>2</v>
      </c>
    </row>
    <row r="90" spans="1:24" ht="15" x14ac:dyDescent="0.2">
      <c r="A90" s="5294"/>
      <c r="B90" s="5219"/>
      <c r="C90" s="2142" t="s">
        <v>507</v>
      </c>
      <c r="D90" s="2136"/>
      <c r="E90" s="2136"/>
      <c r="F90" s="2136"/>
      <c r="G90" s="2137"/>
      <c r="H90" s="2137"/>
      <c r="I90" s="2137"/>
      <c r="J90" s="2137"/>
      <c r="K90" s="2137"/>
      <c r="L90" s="2137"/>
      <c r="M90" s="2137"/>
      <c r="N90" s="2137"/>
      <c r="O90" s="2137"/>
      <c r="P90" s="2137"/>
      <c r="Q90" s="2137"/>
      <c r="R90" s="2137"/>
      <c r="S90" s="2137"/>
      <c r="T90" s="2137"/>
      <c r="U90" s="2137"/>
      <c r="V90" s="2137">
        <v>1</v>
      </c>
      <c r="W90" s="2137">
        <v>8</v>
      </c>
      <c r="X90" s="2137">
        <v>3</v>
      </c>
    </row>
    <row r="91" spans="1:24" ht="15" x14ac:dyDescent="0.2">
      <c r="A91" s="5294"/>
      <c r="B91" s="5219"/>
      <c r="C91" s="2142" t="s">
        <v>508</v>
      </c>
      <c r="D91" s="2136"/>
      <c r="E91" s="2136"/>
      <c r="F91" s="2136"/>
      <c r="G91" s="2137"/>
      <c r="H91" s="2137"/>
      <c r="I91" s="2137"/>
      <c r="J91" s="2137"/>
      <c r="K91" s="2137"/>
      <c r="L91" s="2137"/>
      <c r="M91" s="2137"/>
      <c r="N91" s="2137"/>
      <c r="O91" s="2137"/>
      <c r="P91" s="2137"/>
      <c r="Q91" s="2137"/>
      <c r="R91" s="2137"/>
      <c r="S91" s="2137"/>
      <c r="T91" s="2137"/>
      <c r="U91" s="2137"/>
      <c r="V91" s="2137"/>
      <c r="W91" s="2137"/>
      <c r="X91" s="2137">
        <v>7</v>
      </c>
    </row>
    <row r="92" spans="1:24" ht="15" x14ac:dyDescent="0.2">
      <c r="A92" s="5294"/>
      <c r="B92" s="5219"/>
      <c r="C92" s="2139" t="s">
        <v>160</v>
      </c>
      <c r="D92" s="2140"/>
      <c r="E92" s="2140"/>
      <c r="F92" s="2140"/>
      <c r="G92" s="2140"/>
      <c r="H92" s="2141"/>
      <c r="I92" s="2141"/>
      <c r="J92" s="2141"/>
      <c r="K92" s="2141"/>
      <c r="L92" s="2141"/>
      <c r="M92" s="2141"/>
      <c r="N92" s="2141"/>
      <c r="O92" s="2141"/>
      <c r="P92" s="2141"/>
      <c r="Q92" s="2141"/>
      <c r="R92" s="2141"/>
      <c r="S92" s="2141">
        <f>SUM(S88:S90)</f>
        <v>5</v>
      </c>
      <c r="T92" s="2141">
        <f>SUM(T88:T90)</f>
        <v>9</v>
      </c>
      <c r="U92" s="2141">
        <f>SUM(U88:U90)</f>
        <v>6</v>
      </c>
      <c r="V92" s="2141">
        <f>SUM(V88:V90)</f>
        <v>19</v>
      </c>
      <c r="W92" s="2141">
        <f>SUM(W88:W90)</f>
        <v>18</v>
      </c>
      <c r="X92" s="2141">
        <v>20</v>
      </c>
    </row>
    <row r="93" spans="1:24" ht="15" x14ac:dyDescent="0.2">
      <c r="A93" s="5295"/>
      <c r="B93" s="2570"/>
      <c r="C93" s="2571" t="s">
        <v>450</v>
      </c>
      <c r="D93" s="2572"/>
      <c r="E93" s="2572"/>
      <c r="F93" s="2572"/>
      <c r="G93" s="2572"/>
      <c r="H93" s="2573"/>
      <c r="I93" s="2573"/>
      <c r="J93" s="2573"/>
      <c r="K93" s="2573"/>
      <c r="L93" s="2573"/>
      <c r="M93" s="2573"/>
      <c r="N93" s="2573"/>
      <c r="O93" s="2573"/>
      <c r="P93" s="2573"/>
      <c r="Q93" s="2573"/>
      <c r="R93" s="2573"/>
      <c r="S93" s="2573">
        <f t="shared" ref="S93:X93" si="28">SUM(S92,S87,S83)</f>
        <v>18</v>
      </c>
      <c r="T93" s="2573">
        <f t="shared" si="28"/>
        <v>67</v>
      </c>
      <c r="U93" s="2573">
        <f t="shared" si="28"/>
        <v>76</v>
      </c>
      <c r="V93" s="2573">
        <f t="shared" si="28"/>
        <v>92</v>
      </c>
      <c r="W93" s="2573">
        <f t="shared" si="28"/>
        <v>81</v>
      </c>
      <c r="X93" s="2573">
        <f t="shared" si="28"/>
        <v>88</v>
      </c>
    </row>
    <row r="94" spans="1:24" ht="15" x14ac:dyDescent="0.2">
      <c r="A94" s="5102" t="s">
        <v>437</v>
      </c>
      <c r="B94" s="5214" t="s">
        <v>5</v>
      </c>
      <c r="C94" s="988" t="s">
        <v>509</v>
      </c>
      <c r="D94" s="4784"/>
      <c r="E94" s="4784"/>
      <c r="F94" s="4784"/>
      <c r="G94" s="4784"/>
      <c r="H94" s="988"/>
      <c r="I94" s="988"/>
      <c r="J94" s="988"/>
      <c r="K94" s="988"/>
      <c r="L94" s="988"/>
      <c r="M94" s="988"/>
      <c r="N94" s="988"/>
      <c r="O94" s="988"/>
      <c r="P94" s="988"/>
      <c r="Q94" s="988"/>
      <c r="R94" s="988"/>
      <c r="S94" s="988"/>
      <c r="T94" s="988"/>
      <c r="U94" s="988"/>
      <c r="V94" s="988"/>
      <c r="W94" s="988"/>
      <c r="X94" s="2137">
        <v>1</v>
      </c>
    </row>
    <row r="95" spans="1:24" ht="15" x14ac:dyDescent="0.2">
      <c r="A95" s="5103"/>
      <c r="B95" s="5198"/>
      <c r="C95" s="995" t="s">
        <v>160</v>
      </c>
      <c r="D95" s="4784"/>
      <c r="E95" s="4784"/>
      <c r="F95" s="4784"/>
      <c r="G95" s="4784"/>
      <c r="H95" s="995"/>
      <c r="I95" s="995"/>
      <c r="J95" s="995"/>
      <c r="K95" s="995"/>
      <c r="L95" s="995"/>
      <c r="M95" s="995"/>
      <c r="N95" s="995"/>
      <c r="O95" s="995"/>
      <c r="P95" s="995"/>
      <c r="Q95" s="995"/>
      <c r="R95" s="995"/>
      <c r="S95" s="995"/>
      <c r="T95" s="995"/>
      <c r="U95" s="995"/>
      <c r="V95" s="995"/>
      <c r="W95" s="995"/>
      <c r="X95" s="2141">
        <f>SUM(X94)</f>
        <v>1</v>
      </c>
    </row>
    <row r="96" spans="1:24" ht="15" x14ac:dyDescent="0.2">
      <c r="A96" s="5103"/>
      <c r="B96" s="5196" t="s">
        <v>6</v>
      </c>
      <c r="C96" s="981" t="s">
        <v>510</v>
      </c>
      <c r="D96" s="4784"/>
      <c r="E96" s="4784"/>
      <c r="F96" s="4784"/>
      <c r="G96" s="4784"/>
      <c r="H96" s="981"/>
      <c r="I96" s="981"/>
      <c r="J96" s="981"/>
      <c r="K96" s="981"/>
      <c r="L96" s="981"/>
      <c r="M96" s="981"/>
      <c r="N96" s="981"/>
      <c r="O96" s="981"/>
      <c r="P96" s="981"/>
      <c r="Q96" s="981"/>
      <c r="R96" s="981"/>
      <c r="S96" s="981"/>
      <c r="T96" s="981"/>
      <c r="U96" s="981"/>
      <c r="V96" s="981"/>
      <c r="W96" s="981"/>
      <c r="X96" s="2137">
        <v>5</v>
      </c>
    </row>
    <row r="97" spans="1:24" ht="15" x14ac:dyDescent="0.2">
      <c r="A97" s="5103"/>
      <c r="B97" s="5197"/>
      <c r="C97" s="981" t="s">
        <v>625</v>
      </c>
      <c r="D97" s="4784"/>
      <c r="E97" s="4784"/>
      <c r="F97" s="4784"/>
      <c r="G97" s="4784"/>
      <c r="H97" s="981"/>
      <c r="I97" s="981"/>
      <c r="J97" s="981"/>
      <c r="K97" s="981"/>
      <c r="L97" s="981"/>
      <c r="M97" s="981"/>
      <c r="N97" s="981"/>
      <c r="O97" s="981"/>
      <c r="P97" s="981"/>
      <c r="Q97" s="981"/>
      <c r="R97" s="981"/>
      <c r="S97" s="981"/>
      <c r="T97" s="981"/>
      <c r="U97" s="981"/>
      <c r="V97" s="981"/>
      <c r="W97" s="981"/>
      <c r="X97" s="4772"/>
    </row>
    <row r="98" spans="1:24" ht="15" x14ac:dyDescent="0.2">
      <c r="A98" s="5103"/>
      <c r="B98" s="5198"/>
      <c r="C98" s="995" t="s">
        <v>160</v>
      </c>
      <c r="D98" s="4784"/>
      <c r="E98" s="4784"/>
      <c r="F98" s="4784"/>
      <c r="G98" s="4784"/>
      <c r="H98" s="995"/>
      <c r="I98" s="995"/>
      <c r="J98" s="995"/>
      <c r="K98" s="995"/>
      <c r="L98" s="995"/>
      <c r="M98" s="995"/>
      <c r="N98" s="995"/>
      <c r="O98" s="995"/>
      <c r="P98" s="995"/>
      <c r="Q98" s="995"/>
      <c r="R98" s="995"/>
      <c r="S98" s="995"/>
      <c r="T98" s="995"/>
      <c r="U98" s="995"/>
      <c r="V98" s="995"/>
      <c r="W98" s="995"/>
      <c r="X98" s="2141">
        <f>SUM(X96:X97)</f>
        <v>5</v>
      </c>
    </row>
    <row r="99" spans="1:24" ht="15" x14ac:dyDescent="0.2">
      <c r="A99" s="5213"/>
      <c r="B99" s="5214" t="s">
        <v>11</v>
      </c>
      <c r="C99" s="988" t="s">
        <v>511</v>
      </c>
      <c r="D99" s="4784"/>
      <c r="E99" s="4784"/>
      <c r="F99" s="4784"/>
      <c r="G99" s="4784"/>
      <c r="H99" s="988"/>
      <c r="I99" s="988"/>
      <c r="J99" s="988"/>
      <c r="K99" s="988"/>
      <c r="L99" s="988"/>
      <c r="M99" s="988"/>
      <c r="N99" s="988"/>
      <c r="O99" s="988"/>
      <c r="P99" s="988"/>
      <c r="Q99" s="988"/>
      <c r="R99" s="988"/>
      <c r="S99" s="988"/>
      <c r="T99" s="988"/>
      <c r="U99" s="988"/>
      <c r="V99" s="988"/>
      <c r="W99" s="988"/>
      <c r="X99" s="2137">
        <v>6</v>
      </c>
    </row>
    <row r="100" spans="1:24" ht="15" x14ac:dyDescent="0.2">
      <c r="A100" s="5213"/>
      <c r="B100" s="5198"/>
      <c r="C100" s="995" t="s">
        <v>160</v>
      </c>
      <c r="D100" s="4784"/>
      <c r="E100" s="4784"/>
      <c r="F100" s="4784"/>
      <c r="G100" s="4784"/>
      <c r="H100" s="995"/>
      <c r="I100" s="995"/>
      <c r="J100" s="995"/>
      <c r="K100" s="995"/>
      <c r="L100" s="995"/>
      <c r="M100" s="995"/>
      <c r="N100" s="995"/>
      <c r="O100" s="995"/>
      <c r="P100" s="995"/>
      <c r="Q100" s="995"/>
      <c r="R100" s="995"/>
      <c r="S100" s="995"/>
      <c r="T100" s="995"/>
      <c r="U100" s="995"/>
      <c r="V100" s="995"/>
      <c r="W100" s="995"/>
      <c r="X100" s="2141">
        <f>SUM(X99)</f>
        <v>6</v>
      </c>
    </row>
    <row r="101" spans="1:24" ht="15" x14ac:dyDescent="0.2">
      <c r="A101" s="5104"/>
      <c r="B101" s="4005"/>
      <c r="C101" s="2389" t="s">
        <v>516</v>
      </c>
      <c r="D101" s="4784"/>
      <c r="E101" s="4784"/>
      <c r="F101" s="4784"/>
      <c r="G101" s="4784"/>
      <c r="H101" s="2389"/>
      <c r="I101" s="2389"/>
      <c r="J101" s="2389"/>
      <c r="K101" s="2389"/>
      <c r="L101" s="2389"/>
      <c r="M101" s="2389"/>
      <c r="N101" s="2389"/>
      <c r="O101" s="2389"/>
      <c r="P101" s="2389"/>
      <c r="Q101" s="2389"/>
      <c r="R101" s="2389"/>
      <c r="S101" s="2389"/>
      <c r="T101" s="2389"/>
      <c r="U101" s="2389"/>
      <c r="V101" s="2389"/>
      <c r="W101" s="2389"/>
      <c r="X101" s="4785">
        <f>SUM(X95,X98,X100)</f>
        <v>12</v>
      </c>
    </row>
    <row r="102" spans="1:24" ht="15" x14ac:dyDescent="0.25">
      <c r="A102" s="1419"/>
      <c r="B102" s="2149"/>
      <c r="C102" s="1329"/>
      <c r="D102" s="1329"/>
      <c r="E102" s="1329"/>
      <c r="F102" s="1329"/>
      <c r="G102" s="1329"/>
      <c r="H102" s="2150"/>
      <c r="I102" s="2150"/>
      <c r="J102" s="2150"/>
      <c r="K102" s="2150"/>
      <c r="L102" s="2150"/>
      <c r="M102" s="2150"/>
      <c r="N102" s="2150"/>
      <c r="O102" s="2150"/>
      <c r="P102" s="2150"/>
      <c r="Q102" s="2150"/>
      <c r="R102" s="2150"/>
      <c r="S102" s="2150"/>
      <c r="T102" s="2150"/>
      <c r="U102" s="2150"/>
      <c r="V102" s="2150"/>
      <c r="W102" s="2150"/>
      <c r="X102" s="2150"/>
    </row>
    <row r="103" spans="1:24" ht="20.25" customHeight="1" x14ac:dyDescent="0.2">
      <c r="A103" s="5284" t="s">
        <v>76</v>
      </c>
      <c r="B103" s="5285"/>
      <c r="C103" s="5286"/>
      <c r="D103" s="2151"/>
      <c r="E103" s="2151"/>
      <c r="F103" s="2151"/>
      <c r="G103" s="2151"/>
      <c r="H103" s="2152">
        <f t="shared" ref="H103:Q103" si="29">SUM(H93,H78,H56,H25)</f>
        <v>4014</v>
      </c>
      <c r="I103" s="2152">
        <f t="shared" si="29"/>
        <v>3788</v>
      </c>
      <c r="J103" s="2152">
        <f t="shared" si="29"/>
        <v>4073</v>
      </c>
      <c r="K103" s="2152">
        <f t="shared" si="29"/>
        <v>4157</v>
      </c>
      <c r="L103" s="2152">
        <f t="shared" si="29"/>
        <v>4406</v>
      </c>
      <c r="M103" s="2152">
        <f t="shared" si="29"/>
        <v>4159</v>
      </c>
      <c r="N103" s="2152">
        <f t="shared" si="29"/>
        <v>4050</v>
      </c>
      <c r="O103" s="2152">
        <f t="shared" si="29"/>
        <v>3813</v>
      </c>
      <c r="P103" s="2152">
        <f t="shared" si="29"/>
        <v>4048</v>
      </c>
      <c r="Q103" s="2152">
        <f t="shared" si="29"/>
        <v>3487</v>
      </c>
      <c r="R103" s="2152">
        <f t="shared" ref="R103:W103" si="30">SUM(R93,R78,R56,R25)</f>
        <v>4180</v>
      </c>
      <c r="S103" s="2152">
        <f t="shared" si="30"/>
        <v>4537</v>
      </c>
      <c r="T103" s="2152">
        <f t="shared" si="30"/>
        <v>4539</v>
      </c>
      <c r="U103" s="2152">
        <f t="shared" si="30"/>
        <v>4205</v>
      </c>
      <c r="V103" s="2152">
        <f t="shared" si="30"/>
        <v>4268</v>
      </c>
      <c r="W103" s="2152">
        <f t="shared" si="30"/>
        <v>4690</v>
      </c>
      <c r="X103" s="2152">
        <f>SUM(X25,X56,X78,X93,X101)</f>
        <v>3923</v>
      </c>
    </row>
    <row r="104" spans="1:24" x14ac:dyDescent="0.2">
      <c r="A104" s="1758" t="s">
        <v>665</v>
      </c>
    </row>
    <row r="105" spans="1:24" x14ac:dyDescent="0.2">
      <c r="B105" s="951"/>
    </row>
  </sheetData>
  <mergeCells count="21">
    <mergeCell ref="A103:C103"/>
    <mergeCell ref="A57:A78"/>
    <mergeCell ref="B57:B63"/>
    <mergeCell ref="B64:B72"/>
    <mergeCell ref="B73:B77"/>
    <mergeCell ref="A79:A93"/>
    <mergeCell ref="B79:B83"/>
    <mergeCell ref="B84:B87"/>
    <mergeCell ref="B88:B92"/>
    <mergeCell ref="A94:A101"/>
    <mergeCell ref="B94:B95"/>
    <mergeCell ref="B96:B98"/>
    <mergeCell ref="B99:B100"/>
    <mergeCell ref="A5:A25"/>
    <mergeCell ref="B5:B15"/>
    <mergeCell ref="B16:B20"/>
    <mergeCell ref="B21:B24"/>
    <mergeCell ref="A26:A56"/>
    <mergeCell ref="B26:B35"/>
    <mergeCell ref="B36:B48"/>
    <mergeCell ref="B49:B55"/>
  </mergeCells>
  <pageMargins left="0.51181102362204722" right="0.51181102362204722" top="0.74803149606299213" bottom="0.74803149606299213" header="0.31496062992125984" footer="0.31496062992125984"/>
  <pageSetup scale="59" pageOrder="overThenDown" orientation="landscape" r:id="rId1"/>
  <rowBreaks count="1" manualBreakCount="1">
    <brk id="56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X38"/>
  <sheetViews>
    <sheetView showGridLines="0" zoomScaleNormal="100" workbookViewId="0">
      <pane xSplit="7" ySplit="4" topLeftCell="H5" activePane="bottomRight" state="frozen"/>
      <selection pane="topRight" activeCell="I1" sqref="I1"/>
      <selection pane="bottomLeft" activeCell="A7" sqref="A7"/>
      <selection pane="bottomRight" activeCell="X50" sqref="X50"/>
    </sheetView>
  </sheetViews>
  <sheetFormatPr baseColWidth="10" defaultRowHeight="12.75" x14ac:dyDescent="0.2"/>
  <cols>
    <col min="1" max="1" width="18" bestFit="1" customWidth="1"/>
    <col min="3" max="7" width="0" hidden="1" customWidth="1"/>
    <col min="8" max="24" width="9.7109375" customWidth="1"/>
  </cols>
  <sheetData>
    <row r="1" spans="1:24" ht="15.75" x14ac:dyDescent="0.25">
      <c r="A1" s="1025" t="s">
        <v>1296</v>
      </c>
      <c r="B1" s="1025"/>
      <c r="C1" s="1025"/>
      <c r="D1" s="1025"/>
      <c r="E1" s="1025"/>
      <c r="F1" s="1025"/>
      <c r="G1" s="1025"/>
      <c r="H1" s="1025"/>
      <c r="I1" s="1025"/>
      <c r="J1" s="1025"/>
      <c r="K1" s="1025"/>
      <c r="L1" s="1025"/>
      <c r="M1" s="1025"/>
      <c r="N1" s="1025"/>
      <c r="O1" s="1025"/>
      <c r="P1" s="1025"/>
      <c r="Q1" s="1025"/>
      <c r="R1" s="1025"/>
      <c r="S1" s="1025"/>
    </row>
    <row r="3" spans="1:24" ht="20.25" customHeight="1" x14ac:dyDescent="0.2">
      <c r="A3" s="966" t="s">
        <v>16</v>
      </c>
      <c r="B3" s="571" t="s">
        <v>4</v>
      </c>
      <c r="C3" s="571">
        <v>2004</v>
      </c>
      <c r="D3" s="571">
        <v>2005</v>
      </c>
      <c r="E3" s="571">
        <v>2006</v>
      </c>
      <c r="F3" s="571">
        <v>2007</v>
      </c>
      <c r="G3" s="571">
        <v>2008</v>
      </c>
      <c r="H3" s="571">
        <v>1999</v>
      </c>
      <c r="I3" s="571">
        <v>2000</v>
      </c>
      <c r="J3" s="571">
        <v>2001</v>
      </c>
      <c r="K3" s="571">
        <v>2002</v>
      </c>
      <c r="L3" s="571">
        <v>2003</v>
      </c>
      <c r="M3" s="571">
        <v>2004</v>
      </c>
      <c r="N3" s="571">
        <v>2005</v>
      </c>
      <c r="O3" s="571">
        <v>2006</v>
      </c>
      <c r="P3" s="571">
        <v>2007</v>
      </c>
      <c r="Q3" s="571">
        <v>2008</v>
      </c>
      <c r="R3" s="571">
        <v>2009</v>
      </c>
      <c r="S3" s="571">
        <v>2010</v>
      </c>
      <c r="T3" s="571">
        <v>2011</v>
      </c>
      <c r="U3" s="571">
        <v>2012</v>
      </c>
      <c r="V3" s="571">
        <v>2013</v>
      </c>
      <c r="W3" s="571">
        <v>2014</v>
      </c>
      <c r="X3" s="571">
        <v>2015</v>
      </c>
    </row>
    <row r="4" spans="1:24" ht="15" x14ac:dyDescent="0.2">
      <c r="A4" s="741"/>
      <c r="B4" s="741"/>
      <c r="C4" s="741"/>
      <c r="D4" s="741"/>
      <c r="E4" s="741"/>
      <c r="F4" s="741"/>
      <c r="G4" s="741"/>
      <c r="H4" s="741"/>
      <c r="I4" s="741"/>
      <c r="J4" s="741"/>
      <c r="K4" s="741"/>
      <c r="L4" s="741"/>
      <c r="M4" s="741"/>
      <c r="N4" s="741"/>
      <c r="O4" s="741"/>
      <c r="P4" s="741"/>
      <c r="Q4" s="741"/>
      <c r="R4" s="967"/>
      <c r="S4" s="967"/>
      <c r="T4" s="967"/>
      <c r="U4" s="967"/>
      <c r="V4" s="1489"/>
      <c r="W4" s="2067"/>
      <c r="X4" s="4387"/>
    </row>
    <row r="5" spans="1:24" ht="15" x14ac:dyDescent="0.2">
      <c r="A5" s="5146" t="s">
        <v>161</v>
      </c>
      <c r="B5" s="1026" t="s">
        <v>5</v>
      </c>
      <c r="C5" s="1026"/>
      <c r="D5" s="1026"/>
      <c r="E5" s="1026"/>
      <c r="F5" s="1026"/>
      <c r="G5" s="1026"/>
      <c r="H5" s="2153">
        <f>SUM('TITULADOS plan'!H5:H14)</f>
        <v>443</v>
      </c>
      <c r="I5" s="2153">
        <f>SUM('TITULADOS plan'!I5:I14)</f>
        <v>336</v>
      </c>
      <c r="J5" s="2153">
        <f>SUM('TITULADOS plan'!J5:J14)</f>
        <v>350</v>
      </c>
      <c r="K5" s="2153">
        <f>SUM('TITULADOS plan'!K5:K14)</f>
        <v>340</v>
      </c>
      <c r="L5" s="2153">
        <f>SUM('TITULADOS plan'!L5:L14)</f>
        <v>412</v>
      </c>
      <c r="M5" s="2153">
        <f>SUM('TITULADOS plan'!M5:M14)</f>
        <v>365</v>
      </c>
      <c r="N5" s="2153">
        <f>SUM('TITULADOS plan'!N5:N14)</f>
        <v>351</v>
      </c>
      <c r="O5" s="2153">
        <f>SUM('TITULADOS plan'!O5:O14)</f>
        <v>395</v>
      </c>
      <c r="P5" s="2153">
        <f>SUM('TITULADOS plan'!P5:P14)</f>
        <v>363</v>
      </c>
      <c r="Q5" s="2153">
        <f>SUM('TITULADOS plan'!Q5:Q14)</f>
        <v>303</v>
      </c>
      <c r="R5" s="2153">
        <f>SUM('TITULADOS plan'!R5:R14)</f>
        <v>351</v>
      </c>
      <c r="S5" s="2153">
        <f>SUM('TITULADOS plan'!S5:S14)</f>
        <v>363</v>
      </c>
      <c r="T5" s="2153">
        <f>SUM('TITULADOS plan'!T5:T14)</f>
        <v>353</v>
      </c>
      <c r="U5" s="2153">
        <f>SUM('TITULADOS plan'!U5:U14)</f>
        <v>355</v>
      </c>
      <c r="V5" s="2153">
        <f>SUM('TITULADOS plan'!V5:V14)</f>
        <v>392</v>
      </c>
      <c r="W5" s="2153">
        <f>SUM('TITULADOS plan'!W5:W14)</f>
        <v>526</v>
      </c>
      <c r="X5" s="2153">
        <f>SUM('TITULADOS plan'!X5:X14)</f>
        <v>392</v>
      </c>
    </row>
    <row r="6" spans="1:24" ht="15" x14ac:dyDescent="0.2">
      <c r="A6" s="5147"/>
      <c r="B6" s="1027" t="s">
        <v>6</v>
      </c>
      <c r="C6" s="1027"/>
      <c r="D6" s="1027"/>
      <c r="E6" s="1027"/>
      <c r="F6" s="1027"/>
      <c r="G6" s="1027"/>
      <c r="H6" s="2154">
        <f>SUM('TITULADOS plan'!H16:H19)</f>
        <v>602</v>
      </c>
      <c r="I6" s="2154">
        <f>SUM('TITULADOS plan'!I16:I19)</f>
        <v>553</v>
      </c>
      <c r="J6" s="2154">
        <f>SUM('TITULADOS plan'!J16:J19)</f>
        <v>585</v>
      </c>
      <c r="K6" s="2154">
        <f>SUM('TITULADOS plan'!K16:K19)</f>
        <v>566</v>
      </c>
      <c r="L6" s="2154">
        <f>SUM('TITULADOS plan'!L16:L19)</f>
        <v>602</v>
      </c>
      <c r="M6" s="2154">
        <f>SUM('TITULADOS plan'!M16:M19)</f>
        <v>503</v>
      </c>
      <c r="N6" s="2154">
        <f>SUM('TITULADOS plan'!N16:N19)</f>
        <v>451</v>
      </c>
      <c r="O6" s="2154">
        <f>SUM('TITULADOS plan'!O16:O19)</f>
        <v>444</v>
      </c>
      <c r="P6" s="2154">
        <f>SUM('TITULADOS plan'!P16:P19)</f>
        <v>449</v>
      </c>
      <c r="Q6" s="2154">
        <f>SUM('TITULADOS plan'!Q16:Q19)</f>
        <v>322</v>
      </c>
      <c r="R6" s="2154">
        <f>SUM('TITULADOS plan'!R16:R19)</f>
        <v>406</v>
      </c>
      <c r="S6" s="2154">
        <f>SUM('TITULADOS plan'!S16:S19)</f>
        <v>410</v>
      </c>
      <c r="T6" s="2154">
        <f>SUM('TITULADOS plan'!T16:T19)</f>
        <v>397</v>
      </c>
      <c r="U6" s="2154">
        <f>SUM('TITULADOS plan'!U16:U19)</f>
        <v>380</v>
      </c>
      <c r="V6" s="2154">
        <f>SUM('TITULADOS plan'!V16:V19)</f>
        <v>464</v>
      </c>
      <c r="W6" s="2154">
        <f>SUM('TITULADOS plan'!W16:W19)</f>
        <v>403</v>
      </c>
      <c r="X6" s="2154">
        <f>SUM('TITULADOS plan'!X16:X19)</f>
        <v>385</v>
      </c>
    </row>
    <row r="7" spans="1:24" ht="15" x14ac:dyDescent="0.2">
      <c r="A7" s="5147"/>
      <c r="B7" s="1027" t="s">
        <v>7</v>
      </c>
      <c r="C7" s="1027"/>
      <c r="D7" s="1027"/>
      <c r="E7" s="1027"/>
      <c r="F7" s="1027"/>
      <c r="G7" s="1027"/>
      <c r="H7" s="2154">
        <f>SUM('TITULADOS plan'!H21:H23)</f>
        <v>346</v>
      </c>
      <c r="I7" s="2154">
        <f>SUM('TITULADOS plan'!I21:I23)</f>
        <v>334</v>
      </c>
      <c r="J7" s="2154">
        <f>SUM('TITULADOS plan'!J21:J23)</f>
        <v>379</v>
      </c>
      <c r="K7" s="2154">
        <f>SUM('TITULADOS plan'!K21:K23)</f>
        <v>278</v>
      </c>
      <c r="L7" s="2154">
        <f>SUM('TITULADOS plan'!L21:L23)</f>
        <v>320</v>
      </c>
      <c r="M7" s="2154">
        <f>SUM('TITULADOS plan'!M21:M23)</f>
        <v>311</v>
      </c>
      <c r="N7" s="2154">
        <f>SUM('TITULADOS plan'!N21:N23)</f>
        <v>271</v>
      </c>
      <c r="O7" s="2154">
        <f>SUM('TITULADOS plan'!O21:O23)</f>
        <v>271</v>
      </c>
      <c r="P7" s="2154">
        <f>SUM('TITULADOS plan'!P21:P23)</f>
        <v>329</v>
      </c>
      <c r="Q7" s="2154">
        <f>SUM('TITULADOS plan'!Q21:Q23)</f>
        <v>245</v>
      </c>
      <c r="R7" s="2154">
        <f>SUM('TITULADOS plan'!R21:R23)</f>
        <v>386</v>
      </c>
      <c r="S7" s="2154">
        <f>SUM('TITULADOS plan'!S21:S23)</f>
        <v>311</v>
      </c>
      <c r="T7" s="2154">
        <f>SUM('TITULADOS plan'!T21:T23)</f>
        <v>277</v>
      </c>
      <c r="U7" s="2154">
        <f>SUM('TITULADOS plan'!U21:U23)</f>
        <v>199</v>
      </c>
      <c r="V7" s="2154">
        <f>SUM('TITULADOS plan'!V21:V23)</f>
        <v>262</v>
      </c>
      <c r="W7" s="2154">
        <f>SUM('TITULADOS plan'!W21:W23)</f>
        <v>312</v>
      </c>
      <c r="X7" s="2154">
        <f>SUM('TITULADOS plan'!X21:X23)</f>
        <v>224</v>
      </c>
    </row>
    <row r="8" spans="1:24" ht="15" x14ac:dyDescent="0.2">
      <c r="A8" s="5226"/>
      <c r="B8" s="2578" t="s">
        <v>12</v>
      </c>
      <c r="C8" s="2578"/>
      <c r="D8" s="2578"/>
      <c r="E8" s="2578"/>
      <c r="F8" s="2578"/>
      <c r="G8" s="2578"/>
      <c r="H8" s="2579">
        <f t="shared" ref="H8:Q8" si="0">H5+H6+H7</f>
        <v>1391</v>
      </c>
      <c r="I8" s="2579">
        <f t="shared" si="0"/>
        <v>1223</v>
      </c>
      <c r="J8" s="2579">
        <f t="shared" si="0"/>
        <v>1314</v>
      </c>
      <c r="K8" s="2579">
        <f t="shared" si="0"/>
        <v>1184</v>
      </c>
      <c r="L8" s="2579">
        <f t="shared" si="0"/>
        <v>1334</v>
      </c>
      <c r="M8" s="2579">
        <f t="shared" si="0"/>
        <v>1179</v>
      </c>
      <c r="N8" s="2579">
        <f t="shared" si="0"/>
        <v>1073</v>
      </c>
      <c r="O8" s="2579">
        <f t="shared" si="0"/>
        <v>1110</v>
      </c>
      <c r="P8" s="2579">
        <f t="shared" si="0"/>
        <v>1141</v>
      </c>
      <c r="Q8" s="2579">
        <f t="shared" si="0"/>
        <v>870</v>
      </c>
      <c r="R8" s="2579">
        <f t="shared" ref="R8:W8" si="1">R5+R6+R7</f>
        <v>1143</v>
      </c>
      <c r="S8" s="2579">
        <f t="shared" si="1"/>
        <v>1084</v>
      </c>
      <c r="T8" s="2579">
        <f t="shared" si="1"/>
        <v>1027</v>
      </c>
      <c r="U8" s="2579">
        <f t="shared" si="1"/>
        <v>934</v>
      </c>
      <c r="V8" s="2579">
        <f t="shared" si="1"/>
        <v>1118</v>
      </c>
      <c r="W8" s="2579">
        <f t="shared" si="1"/>
        <v>1241</v>
      </c>
      <c r="X8" s="2579">
        <f t="shared" ref="X8" si="2">X5+X6+X7</f>
        <v>1001</v>
      </c>
    </row>
    <row r="9" spans="1:24" ht="15.75" x14ac:dyDescent="0.2">
      <c r="A9" s="692"/>
      <c r="B9" s="967"/>
      <c r="C9" s="967"/>
      <c r="D9" s="967"/>
      <c r="E9" s="967"/>
      <c r="F9" s="967"/>
      <c r="G9" s="967"/>
      <c r="H9" s="2155"/>
      <c r="I9" s="2155"/>
      <c r="J9" s="2155"/>
      <c r="K9" s="2155"/>
      <c r="L9" s="2155"/>
      <c r="M9" s="2155"/>
      <c r="N9" s="2155"/>
      <c r="O9" s="2155"/>
      <c r="P9" s="2155"/>
      <c r="Q9" s="2155"/>
      <c r="R9" s="2155"/>
      <c r="S9" s="2155"/>
      <c r="T9" s="2155"/>
      <c r="U9" s="2155"/>
      <c r="V9" s="2155"/>
      <c r="W9" s="2155"/>
      <c r="X9" s="2155"/>
    </row>
    <row r="10" spans="1:24" ht="15" x14ac:dyDescent="0.2">
      <c r="A10" s="5149" t="s">
        <v>410</v>
      </c>
      <c r="B10" s="246" t="s">
        <v>6</v>
      </c>
      <c r="C10" s="246"/>
      <c r="D10" s="246"/>
      <c r="E10" s="246"/>
      <c r="F10" s="246"/>
      <c r="G10" s="246"/>
      <c r="H10" s="2156"/>
      <c r="I10" s="2157"/>
      <c r="J10" s="2157"/>
      <c r="K10" s="2157"/>
      <c r="L10" s="2157"/>
      <c r="M10" s="2157"/>
      <c r="N10" s="2157"/>
      <c r="O10" s="2157"/>
      <c r="P10" s="2157"/>
      <c r="Q10" s="2157"/>
      <c r="R10" s="744"/>
      <c r="S10" s="2153">
        <f>SUM('TITULADOS plan'!S79:S82)</f>
        <v>10</v>
      </c>
      <c r="T10" s="2153">
        <f>SUM('TITULADOS plan'!T79:T82)</f>
        <v>51</v>
      </c>
      <c r="U10" s="2153">
        <f>SUM('TITULADOS plan'!U79:U82)</f>
        <v>39</v>
      </c>
      <c r="V10" s="2153">
        <f>SUM('TITULADOS plan'!V79:V82)</f>
        <v>36</v>
      </c>
      <c r="W10" s="2153">
        <f>SUM('TITULADOS plan'!W79:W82)</f>
        <v>33</v>
      </c>
      <c r="X10" s="2153">
        <f>SUM('TITULADOS plan'!X79:X82)</f>
        <v>33</v>
      </c>
    </row>
    <row r="11" spans="1:24" ht="15" x14ac:dyDescent="0.2">
      <c r="A11" s="5150"/>
      <c r="B11" s="247" t="s">
        <v>9</v>
      </c>
      <c r="C11" s="247"/>
      <c r="D11" s="247"/>
      <c r="E11" s="247"/>
      <c r="F11" s="247"/>
      <c r="G11" s="247"/>
      <c r="H11" s="2158"/>
      <c r="I11" s="2159"/>
      <c r="J11" s="2159"/>
      <c r="K11" s="2159"/>
      <c r="L11" s="2159"/>
      <c r="M11" s="2159"/>
      <c r="N11" s="2159"/>
      <c r="O11" s="2159"/>
      <c r="P11" s="2159"/>
      <c r="Q11" s="2159"/>
      <c r="R11" s="747"/>
      <c r="S11" s="2154">
        <f>SUM('TITULADOS plan'!S84:S86)</f>
        <v>3</v>
      </c>
      <c r="T11" s="2154">
        <f>SUM('TITULADOS plan'!T84:T86)</f>
        <v>7</v>
      </c>
      <c r="U11" s="2154">
        <f>SUM('TITULADOS plan'!U84:U86)</f>
        <v>31</v>
      </c>
      <c r="V11" s="2154">
        <f>SUM('TITULADOS plan'!V84:V86)</f>
        <v>37</v>
      </c>
      <c r="W11" s="2154">
        <f>SUM('TITULADOS plan'!W84:W86)</f>
        <v>30</v>
      </c>
      <c r="X11" s="2154">
        <f>SUM('TITULADOS plan'!X84:X86)</f>
        <v>35</v>
      </c>
    </row>
    <row r="12" spans="1:24" ht="15" x14ac:dyDescent="0.2">
      <c r="A12" s="5150"/>
      <c r="B12" s="247" t="s">
        <v>74</v>
      </c>
      <c r="C12" s="247"/>
      <c r="D12" s="247"/>
      <c r="E12" s="247"/>
      <c r="F12" s="247"/>
      <c r="G12" s="247"/>
      <c r="H12" s="2158"/>
      <c r="I12" s="2159"/>
      <c r="J12" s="2159"/>
      <c r="K12" s="2159"/>
      <c r="L12" s="2159"/>
      <c r="M12" s="2159"/>
      <c r="N12" s="2159"/>
      <c r="O12" s="2159"/>
      <c r="P12" s="2159"/>
      <c r="Q12" s="2159"/>
      <c r="R12" s="747"/>
      <c r="S12" s="2154">
        <f>SUM('TITULADOS plan'!S88:S89)</f>
        <v>5</v>
      </c>
      <c r="T12" s="2154">
        <f>SUM('TITULADOS plan'!T88:T89)</f>
        <v>9</v>
      </c>
      <c r="U12" s="2154">
        <f>SUM('TITULADOS plan'!U88:U89)</f>
        <v>6</v>
      </c>
      <c r="V12" s="2154">
        <f>SUM('TITULADOS plan'!V88:V90)</f>
        <v>19</v>
      </c>
      <c r="W12" s="2154">
        <f>SUM('TITULADOS plan'!W88:W90)</f>
        <v>18</v>
      </c>
      <c r="X12" s="2154">
        <f>SUM('TITULADOS plan'!X92)</f>
        <v>20</v>
      </c>
    </row>
    <row r="13" spans="1:24" ht="15" x14ac:dyDescent="0.2">
      <c r="A13" s="5229"/>
      <c r="B13" s="2580" t="s">
        <v>12</v>
      </c>
      <c r="C13" s="2580"/>
      <c r="D13" s="2580"/>
      <c r="E13" s="2580"/>
      <c r="F13" s="2580"/>
      <c r="G13" s="2580"/>
      <c r="H13" s="2581"/>
      <c r="I13" s="2582"/>
      <c r="J13" s="2582"/>
      <c r="K13" s="2582"/>
      <c r="L13" s="2582"/>
      <c r="M13" s="2582"/>
      <c r="N13" s="2582"/>
      <c r="O13" s="2582"/>
      <c r="P13" s="2582"/>
      <c r="Q13" s="2582"/>
      <c r="R13" s="2369"/>
      <c r="S13" s="2583">
        <f t="shared" ref="S13:X13" si="3">S10+S11+S12</f>
        <v>18</v>
      </c>
      <c r="T13" s="2583">
        <f t="shared" si="3"/>
        <v>67</v>
      </c>
      <c r="U13" s="2583">
        <f t="shared" si="3"/>
        <v>76</v>
      </c>
      <c r="V13" s="2583">
        <f t="shared" si="3"/>
        <v>92</v>
      </c>
      <c r="W13" s="2583">
        <f t="shared" si="3"/>
        <v>81</v>
      </c>
      <c r="X13" s="2583">
        <f t="shared" si="3"/>
        <v>88</v>
      </c>
    </row>
    <row r="14" spans="1:24" ht="15.75" customHeight="1" x14ac:dyDescent="0.2">
      <c r="A14" s="1924"/>
      <c r="B14" s="748"/>
      <c r="C14" s="748"/>
      <c r="D14" s="748"/>
      <c r="E14" s="748"/>
      <c r="F14" s="748"/>
      <c r="G14" s="748"/>
      <c r="H14" s="2160"/>
      <c r="I14" s="2160"/>
      <c r="J14" s="2160"/>
      <c r="K14" s="2160"/>
      <c r="L14" s="2160"/>
      <c r="M14" s="2160"/>
      <c r="N14" s="2160"/>
      <c r="O14" s="2160"/>
      <c r="P14" s="2160"/>
      <c r="Q14" s="2160"/>
      <c r="R14" s="753"/>
      <c r="S14" s="753"/>
      <c r="T14" s="753"/>
      <c r="U14" s="753"/>
      <c r="V14" s="753"/>
      <c r="W14" s="753"/>
      <c r="X14" s="753"/>
    </row>
    <row r="15" spans="1:24" ht="15" x14ac:dyDescent="0.2">
      <c r="A15" s="5143" t="s">
        <v>162</v>
      </c>
      <c r="B15" s="1026" t="s">
        <v>5</v>
      </c>
      <c r="C15" s="1026"/>
      <c r="D15" s="1026"/>
      <c r="E15" s="1026"/>
      <c r="F15" s="1026"/>
      <c r="G15" s="1026"/>
      <c r="H15" s="2153">
        <f>SUM('TITULADOS plan'!H26:H34)</f>
        <v>187</v>
      </c>
      <c r="I15" s="2153">
        <f>SUM('TITULADOS plan'!I26:I34)</f>
        <v>201</v>
      </c>
      <c r="J15" s="2153">
        <f>SUM('TITULADOS plan'!J26:J34)</f>
        <v>200</v>
      </c>
      <c r="K15" s="2153">
        <f>SUM('TITULADOS plan'!K26:K34)</f>
        <v>195</v>
      </c>
      <c r="L15" s="2153">
        <f>SUM('TITULADOS plan'!L26:L34)</f>
        <v>202</v>
      </c>
      <c r="M15" s="2153">
        <f>SUM('TITULADOS plan'!M26:M34)</f>
        <v>227</v>
      </c>
      <c r="N15" s="2153">
        <f>SUM('TITULADOS plan'!N26:N34)</f>
        <v>223</v>
      </c>
      <c r="O15" s="2153">
        <f>SUM('TITULADOS plan'!O26:O34)</f>
        <v>234</v>
      </c>
      <c r="P15" s="2153">
        <f>SUM('TITULADOS plan'!P26:P34)</f>
        <v>234</v>
      </c>
      <c r="Q15" s="2153">
        <f>SUM('TITULADOS plan'!Q26:Q34)</f>
        <v>193</v>
      </c>
      <c r="R15" s="2153">
        <f>SUM('TITULADOS plan'!R26:R34)</f>
        <v>153</v>
      </c>
      <c r="S15" s="2153">
        <f>SUM('TITULADOS plan'!S26:S34)</f>
        <v>200</v>
      </c>
      <c r="T15" s="2153">
        <f>SUM('TITULADOS plan'!T26:T34)</f>
        <v>201</v>
      </c>
      <c r="U15" s="2153">
        <f>SUM('TITULADOS plan'!U26:U34)</f>
        <v>204</v>
      </c>
      <c r="V15" s="2153">
        <f>SUM('TITULADOS plan'!V26:V34)</f>
        <v>174</v>
      </c>
      <c r="W15" s="2153">
        <f>SUM('TITULADOS plan'!W26:W34)</f>
        <v>218</v>
      </c>
      <c r="X15" s="2153">
        <f>SUM('TITULADOS plan'!X26:X34)</f>
        <v>183</v>
      </c>
    </row>
    <row r="16" spans="1:24" ht="15" x14ac:dyDescent="0.2">
      <c r="A16" s="5144"/>
      <c r="B16" s="1027" t="s">
        <v>6</v>
      </c>
      <c r="C16" s="1027"/>
      <c r="D16" s="1027"/>
      <c r="E16" s="1027"/>
      <c r="F16" s="1027"/>
      <c r="G16" s="1027"/>
      <c r="H16" s="2154">
        <f>SUM('TITULADOS plan'!H36:H47)</f>
        <v>417</v>
      </c>
      <c r="I16" s="2154">
        <f>SUM('TITULADOS plan'!I36:I47)</f>
        <v>478</v>
      </c>
      <c r="J16" s="2154">
        <f>SUM('TITULADOS plan'!J36:J47)</f>
        <v>465</v>
      </c>
      <c r="K16" s="2154">
        <f>SUM('TITULADOS plan'!K36:K47)</f>
        <v>470</v>
      </c>
      <c r="L16" s="2154">
        <f>SUM('TITULADOS plan'!L36:L47)</f>
        <v>509</v>
      </c>
      <c r="M16" s="2154">
        <f>SUM('TITULADOS plan'!M36:M47)</f>
        <v>500</v>
      </c>
      <c r="N16" s="2154">
        <f>SUM('TITULADOS plan'!N36:N47)</f>
        <v>516</v>
      </c>
      <c r="O16" s="2154">
        <f>SUM('TITULADOS plan'!O36:O47)</f>
        <v>466</v>
      </c>
      <c r="P16" s="2154">
        <f>SUM('TITULADOS plan'!P36:P47)</f>
        <v>495</v>
      </c>
      <c r="Q16" s="2154">
        <f>SUM('TITULADOS plan'!Q36:Q47)</f>
        <v>487</v>
      </c>
      <c r="R16" s="2154">
        <f>SUM('TITULADOS plan'!R36:R47)</f>
        <v>427</v>
      </c>
      <c r="S16" s="2154">
        <f>SUM('TITULADOS plan'!S36:S47)</f>
        <v>545</v>
      </c>
      <c r="T16" s="2154">
        <f>SUM('TITULADOS plan'!T36:T47)</f>
        <v>531</v>
      </c>
      <c r="U16" s="2154">
        <f>SUM('TITULADOS plan'!U36:U47)</f>
        <v>513</v>
      </c>
      <c r="V16" s="2154">
        <f>SUM('TITULADOS plan'!V36:V47)</f>
        <v>538</v>
      </c>
      <c r="W16" s="2154">
        <f>SUM('TITULADOS plan'!W36:W47)</f>
        <v>624</v>
      </c>
      <c r="X16" s="2154">
        <f>SUM('TITULADOS plan'!X36:X47)</f>
        <v>448</v>
      </c>
    </row>
    <row r="17" spans="1:24" ht="15" x14ac:dyDescent="0.2">
      <c r="A17" s="5144"/>
      <c r="B17" s="1027" t="s">
        <v>11</v>
      </c>
      <c r="C17" s="1027"/>
      <c r="D17" s="1027"/>
      <c r="E17" s="1027"/>
      <c r="F17" s="1027"/>
      <c r="G17" s="1027"/>
      <c r="H17" s="2154">
        <f>SUM('TITULADOS plan'!H49:H54)</f>
        <v>187</v>
      </c>
      <c r="I17" s="2154">
        <f>SUM('TITULADOS plan'!I49:I54)</f>
        <v>142</v>
      </c>
      <c r="J17" s="2154">
        <f>SUM('TITULADOS plan'!J49:J54)</f>
        <v>200</v>
      </c>
      <c r="K17" s="2154">
        <f>SUM('TITULADOS plan'!K49:K54)</f>
        <v>191</v>
      </c>
      <c r="L17" s="2154">
        <f>SUM('TITULADOS plan'!L49:L54)</f>
        <v>261</v>
      </c>
      <c r="M17" s="2154">
        <f>SUM('TITULADOS plan'!M49:M54)</f>
        <v>310</v>
      </c>
      <c r="N17" s="2154">
        <f>SUM('TITULADOS plan'!N49:N54)</f>
        <v>323</v>
      </c>
      <c r="O17" s="2154">
        <f>SUM('TITULADOS plan'!O49:O54)</f>
        <v>336</v>
      </c>
      <c r="P17" s="2154">
        <f>SUM('TITULADOS plan'!P49:P54)</f>
        <v>327</v>
      </c>
      <c r="Q17" s="2154">
        <f>SUM('TITULADOS plan'!Q49:Q54)</f>
        <v>250</v>
      </c>
      <c r="R17" s="2154">
        <f>SUM('TITULADOS plan'!R49:R54)</f>
        <v>290</v>
      </c>
      <c r="S17" s="2154">
        <f>SUM('TITULADOS plan'!S49:S54)</f>
        <v>259</v>
      </c>
      <c r="T17" s="2154">
        <f>SUM('TITULADOS plan'!T49:T54)</f>
        <v>293</v>
      </c>
      <c r="U17" s="2154">
        <f>SUM('TITULADOS plan'!U49:U54)</f>
        <v>249</v>
      </c>
      <c r="V17" s="2154">
        <f>SUM('TITULADOS plan'!V49:V54)</f>
        <v>253</v>
      </c>
      <c r="W17" s="2154">
        <f>SUM('TITULADOS plan'!W49:W54)</f>
        <v>369</v>
      </c>
      <c r="X17" s="2154">
        <f>SUM('TITULADOS plan'!X49:X54)</f>
        <v>243</v>
      </c>
    </row>
    <row r="18" spans="1:24" ht="15" x14ac:dyDescent="0.2">
      <c r="A18" s="5227"/>
      <c r="B18" s="2576" t="s">
        <v>12</v>
      </c>
      <c r="C18" s="2576"/>
      <c r="D18" s="2576"/>
      <c r="E18" s="2576"/>
      <c r="F18" s="2576"/>
      <c r="G18" s="2576"/>
      <c r="H18" s="2577">
        <f t="shared" ref="H18:Q18" si="4">H15+H16+H17</f>
        <v>791</v>
      </c>
      <c r="I18" s="2577">
        <f t="shared" si="4"/>
        <v>821</v>
      </c>
      <c r="J18" s="2577">
        <f t="shared" si="4"/>
        <v>865</v>
      </c>
      <c r="K18" s="2577">
        <f t="shared" si="4"/>
        <v>856</v>
      </c>
      <c r="L18" s="2577">
        <f t="shared" si="4"/>
        <v>972</v>
      </c>
      <c r="M18" s="2577">
        <f t="shared" si="4"/>
        <v>1037</v>
      </c>
      <c r="N18" s="2577">
        <f t="shared" si="4"/>
        <v>1062</v>
      </c>
      <c r="O18" s="2577">
        <f t="shared" si="4"/>
        <v>1036</v>
      </c>
      <c r="P18" s="2577">
        <f t="shared" si="4"/>
        <v>1056</v>
      </c>
      <c r="Q18" s="2577">
        <f t="shared" si="4"/>
        <v>930</v>
      </c>
      <c r="R18" s="2577">
        <f t="shared" ref="R18:W18" si="5">R15+R16+R17</f>
        <v>870</v>
      </c>
      <c r="S18" s="2577">
        <f t="shared" si="5"/>
        <v>1004</v>
      </c>
      <c r="T18" s="2577">
        <f t="shared" si="5"/>
        <v>1025</v>
      </c>
      <c r="U18" s="2577">
        <f t="shared" si="5"/>
        <v>966</v>
      </c>
      <c r="V18" s="2577">
        <f t="shared" si="5"/>
        <v>965</v>
      </c>
      <c r="W18" s="2577">
        <f t="shared" si="5"/>
        <v>1211</v>
      </c>
      <c r="X18" s="2577">
        <f t="shared" ref="X18" si="6">X15+X16+X17</f>
        <v>874</v>
      </c>
    </row>
    <row r="20" spans="1:24" ht="15" x14ac:dyDescent="0.2">
      <c r="A20" s="5155" t="s">
        <v>411</v>
      </c>
      <c r="B20" s="1026" t="s">
        <v>5</v>
      </c>
      <c r="C20" s="1026"/>
      <c r="D20" s="1026"/>
      <c r="E20" s="1026"/>
      <c r="F20" s="1026"/>
      <c r="G20" s="1026"/>
      <c r="H20" s="2153"/>
      <c r="I20" s="2153"/>
      <c r="J20" s="2153"/>
      <c r="K20" s="2153"/>
      <c r="L20" s="2153"/>
      <c r="M20" s="2153"/>
      <c r="N20" s="2153"/>
      <c r="O20" s="2153"/>
      <c r="P20" s="2153"/>
      <c r="Q20" s="2153"/>
      <c r="R20" s="2153"/>
      <c r="S20" s="2153"/>
      <c r="T20" s="2153"/>
      <c r="U20" s="2153"/>
      <c r="V20" s="2153"/>
      <c r="W20" s="2153"/>
      <c r="X20" s="2153">
        <f>+'TITULADOS plan'!X95</f>
        <v>1</v>
      </c>
    </row>
    <row r="21" spans="1:24" ht="15" x14ac:dyDescent="0.2">
      <c r="A21" s="5156"/>
      <c r="B21" s="1027" t="s">
        <v>6</v>
      </c>
      <c r="C21" s="1027"/>
      <c r="D21" s="1027"/>
      <c r="E21" s="1027"/>
      <c r="F21" s="1027"/>
      <c r="G21" s="1027"/>
      <c r="H21" s="2154"/>
      <c r="I21" s="2154"/>
      <c r="J21" s="2154"/>
      <c r="K21" s="2154"/>
      <c r="L21" s="2154"/>
      <c r="M21" s="2154"/>
      <c r="N21" s="2154"/>
      <c r="O21" s="2154"/>
      <c r="P21" s="2154"/>
      <c r="Q21" s="2154"/>
      <c r="R21" s="2154"/>
      <c r="S21" s="2154"/>
      <c r="T21" s="2154"/>
      <c r="U21" s="2154"/>
      <c r="V21" s="2154"/>
      <c r="W21" s="2154"/>
      <c r="X21" s="2154">
        <f>+'TITULADOS plan'!X98</f>
        <v>5</v>
      </c>
    </row>
    <row r="22" spans="1:24" ht="15" x14ac:dyDescent="0.2">
      <c r="A22" s="5156"/>
      <c r="B22" s="1027" t="s">
        <v>11</v>
      </c>
      <c r="C22" s="1027"/>
      <c r="D22" s="1027"/>
      <c r="E22" s="1027"/>
      <c r="F22" s="1027"/>
      <c r="G22" s="1027"/>
      <c r="H22" s="2154"/>
      <c r="I22" s="2154"/>
      <c r="J22" s="2154"/>
      <c r="K22" s="2154"/>
      <c r="L22" s="2154"/>
      <c r="M22" s="2154"/>
      <c r="N22" s="2154"/>
      <c r="O22" s="2154"/>
      <c r="P22" s="2154"/>
      <c r="Q22" s="2154"/>
      <c r="R22" s="2154"/>
      <c r="S22" s="2154"/>
      <c r="T22" s="2154"/>
      <c r="U22" s="2154"/>
      <c r="V22" s="2154"/>
      <c r="W22" s="2154"/>
      <c r="X22" s="2154">
        <f>+'TITULADOS plan'!X100</f>
        <v>6</v>
      </c>
    </row>
    <row r="23" spans="1:24" ht="15" x14ac:dyDescent="0.2">
      <c r="A23" s="5230"/>
      <c r="B23" s="4786" t="s">
        <v>12</v>
      </c>
      <c r="C23" s="4786"/>
      <c r="D23" s="4786"/>
      <c r="E23" s="4786"/>
      <c r="F23" s="4786"/>
      <c r="G23" s="4786"/>
      <c r="H23" s="4787"/>
      <c r="I23" s="4787"/>
      <c r="J23" s="4787"/>
      <c r="K23" s="4787"/>
      <c r="L23" s="4787"/>
      <c r="M23" s="4787"/>
      <c r="N23" s="4787"/>
      <c r="O23" s="4787"/>
      <c r="P23" s="4787"/>
      <c r="Q23" s="4787"/>
      <c r="R23" s="4787"/>
      <c r="S23" s="4787"/>
      <c r="T23" s="4787"/>
      <c r="U23" s="4787"/>
      <c r="V23" s="4787"/>
      <c r="W23" s="4787"/>
      <c r="X23" s="4787">
        <f t="shared" ref="X23" si="7">X20+X21+X22</f>
        <v>12</v>
      </c>
    </row>
    <row r="24" spans="1:24" ht="15.75" x14ac:dyDescent="0.2">
      <c r="A24" s="1924"/>
      <c r="B24" s="748"/>
      <c r="C24" s="748"/>
      <c r="D24" s="748"/>
      <c r="E24" s="748"/>
      <c r="F24" s="748"/>
      <c r="G24" s="748"/>
      <c r="H24" s="2160"/>
      <c r="I24" s="2160"/>
      <c r="J24" s="2160"/>
      <c r="K24" s="2160"/>
      <c r="L24" s="2160"/>
      <c r="M24" s="2160"/>
      <c r="N24" s="2160"/>
      <c r="O24" s="2160"/>
      <c r="P24" s="2160"/>
      <c r="Q24" s="2160"/>
      <c r="R24" s="753"/>
      <c r="S24" s="753"/>
      <c r="T24" s="753"/>
      <c r="U24" s="753"/>
      <c r="V24" s="753"/>
      <c r="W24" s="753"/>
      <c r="X24" s="753"/>
    </row>
    <row r="25" spans="1:24" ht="15" x14ac:dyDescent="0.2">
      <c r="A25" s="5161" t="s">
        <v>163</v>
      </c>
      <c r="B25" s="1026" t="s">
        <v>6</v>
      </c>
      <c r="C25" s="1026"/>
      <c r="D25" s="1026"/>
      <c r="E25" s="1026"/>
      <c r="F25" s="1026"/>
      <c r="G25" s="1026"/>
      <c r="H25" s="2153">
        <f>SUM('TITULADOS plan'!H57:H62)</f>
        <v>679</v>
      </c>
      <c r="I25" s="2153">
        <f>SUM('TITULADOS plan'!I57:I62)</f>
        <v>619</v>
      </c>
      <c r="J25" s="2153">
        <f>SUM('TITULADOS plan'!J57:J62)</f>
        <v>714</v>
      </c>
      <c r="K25" s="2153">
        <f>SUM('TITULADOS plan'!K57:K62)</f>
        <v>749</v>
      </c>
      <c r="L25" s="2153">
        <f>SUM('TITULADOS plan'!L57:L62)</f>
        <v>804</v>
      </c>
      <c r="M25" s="2153">
        <f>SUM('TITULADOS plan'!M57:M62)</f>
        <v>779</v>
      </c>
      <c r="N25" s="2153">
        <f>SUM('TITULADOS plan'!N57:N62)</f>
        <v>679</v>
      </c>
      <c r="O25" s="2153">
        <f>SUM('TITULADOS plan'!O57:O62)</f>
        <v>672</v>
      </c>
      <c r="P25" s="2153">
        <f>SUM('TITULADOS plan'!P57:P62)</f>
        <v>716</v>
      </c>
      <c r="Q25" s="2153">
        <f>SUM('TITULADOS plan'!Q57:Q62)</f>
        <v>619</v>
      </c>
      <c r="R25" s="2153">
        <f>SUM('TITULADOS plan'!R57:R62)</f>
        <v>811</v>
      </c>
      <c r="S25" s="2153">
        <f>SUM('TITULADOS plan'!S57:S62)</f>
        <v>835</v>
      </c>
      <c r="T25" s="2153">
        <f>SUM('TITULADOS plan'!T57:T62)</f>
        <v>848</v>
      </c>
      <c r="U25" s="2153">
        <f>SUM('TITULADOS plan'!U57:U62)</f>
        <v>740</v>
      </c>
      <c r="V25" s="2153">
        <f>SUM('TITULADOS plan'!V57:V62)</f>
        <v>665</v>
      </c>
      <c r="W25" s="2153">
        <f>SUM('TITULADOS plan'!W57:W62)</f>
        <v>750</v>
      </c>
      <c r="X25" s="2153">
        <f>SUM('TITULADOS plan'!X57:X62)</f>
        <v>655</v>
      </c>
    </row>
    <row r="26" spans="1:24" ht="15" x14ac:dyDescent="0.2">
      <c r="A26" s="5162"/>
      <c r="B26" s="1027" t="s">
        <v>11</v>
      </c>
      <c r="C26" s="1027"/>
      <c r="D26" s="1027"/>
      <c r="E26" s="1027"/>
      <c r="F26" s="1027"/>
      <c r="G26" s="1027"/>
      <c r="H26" s="2154">
        <f>SUM('TITULADOS plan'!H64:H71)</f>
        <v>895</v>
      </c>
      <c r="I26" s="2154">
        <f>SUM('TITULADOS plan'!I64:I71)</f>
        <v>889</v>
      </c>
      <c r="J26" s="2154">
        <f>SUM('TITULADOS plan'!J64:J71)</f>
        <v>853</v>
      </c>
      <c r="K26" s="2154">
        <f>SUM('TITULADOS plan'!K64:K71)</f>
        <v>994</v>
      </c>
      <c r="L26" s="2154">
        <f>SUM('TITULADOS plan'!L64:L71)</f>
        <v>948</v>
      </c>
      <c r="M26" s="2154">
        <f>SUM('TITULADOS plan'!M64:M71)</f>
        <v>879</v>
      </c>
      <c r="N26" s="2154">
        <f>SUM('TITULADOS plan'!N64:N71)</f>
        <v>968</v>
      </c>
      <c r="O26" s="2154">
        <f>SUM('TITULADOS plan'!O64:O71)</f>
        <v>695</v>
      </c>
      <c r="P26" s="2154">
        <f>SUM('TITULADOS plan'!P64:P71)</f>
        <v>843</v>
      </c>
      <c r="Q26" s="2154">
        <f>SUM('TITULADOS plan'!Q64:Q71)</f>
        <v>808</v>
      </c>
      <c r="R26" s="2154">
        <f>SUM('TITULADOS plan'!R64:R71)</f>
        <v>987</v>
      </c>
      <c r="S26" s="2154">
        <f>SUM('TITULADOS plan'!S64:S71)</f>
        <v>1216</v>
      </c>
      <c r="T26" s="2154">
        <f>SUM('TITULADOS plan'!T64:T71)</f>
        <v>1228</v>
      </c>
      <c r="U26" s="2154">
        <f>SUM('TITULADOS plan'!U64:U71)</f>
        <v>1144</v>
      </c>
      <c r="V26" s="2154">
        <f>SUM('TITULADOS plan'!V64:V71)</f>
        <v>1109</v>
      </c>
      <c r="W26" s="2154">
        <f>SUM('TITULADOS plan'!W64:W71)</f>
        <v>1031</v>
      </c>
      <c r="X26" s="2154">
        <f>SUM('TITULADOS plan'!X64:X71)</f>
        <v>944</v>
      </c>
    </row>
    <row r="27" spans="1:24" ht="15" x14ac:dyDescent="0.2">
      <c r="A27" s="5162"/>
      <c r="B27" s="1027" t="s">
        <v>7</v>
      </c>
      <c r="C27" s="1027"/>
      <c r="D27" s="1027"/>
      <c r="E27" s="1027"/>
      <c r="F27" s="1027"/>
      <c r="G27" s="1027"/>
      <c r="H27" s="2154">
        <f>SUM('TITULADOS plan'!H73:H76)</f>
        <v>258</v>
      </c>
      <c r="I27" s="2154">
        <f>SUM('TITULADOS plan'!I73:I76)</f>
        <v>236</v>
      </c>
      <c r="J27" s="2154">
        <f>SUM('TITULADOS plan'!J73:J76)</f>
        <v>327</v>
      </c>
      <c r="K27" s="2154">
        <f>SUM('TITULADOS plan'!K73:K76)</f>
        <v>374</v>
      </c>
      <c r="L27" s="2154">
        <f>SUM('TITULADOS plan'!L73:L76)</f>
        <v>348</v>
      </c>
      <c r="M27" s="2154">
        <f>SUM('TITULADOS plan'!M73:M76)</f>
        <v>285</v>
      </c>
      <c r="N27" s="2154">
        <f>SUM('TITULADOS plan'!N73:N76)</f>
        <v>268</v>
      </c>
      <c r="O27" s="2154">
        <f>SUM('TITULADOS plan'!O73:O76)</f>
        <v>300</v>
      </c>
      <c r="P27" s="2154">
        <f>SUM('TITULADOS plan'!P73:P76)</f>
        <v>292</v>
      </c>
      <c r="Q27" s="2154">
        <f>SUM('TITULADOS plan'!Q73:Q76)</f>
        <v>260</v>
      </c>
      <c r="R27" s="2154">
        <f>SUM('TITULADOS plan'!R73:R76)</f>
        <v>369</v>
      </c>
      <c r="S27" s="2154">
        <f>SUM('TITULADOS plan'!S73:S76)</f>
        <v>380</v>
      </c>
      <c r="T27" s="2154">
        <f>SUM('TITULADOS plan'!T73:T76)</f>
        <v>344</v>
      </c>
      <c r="U27" s="2154">
        <f>SUM('TITULADOS plan'!U73:U76)</f>
        <v>345</v>
      </c>
      <c r="V27" s="2154">
        <f>SUM('TITULADOS plan'!V73:V76)</f>
        <v>319</v>
      </c>
      <c r="W27" s="2154">
        <f>SUM('TITULADOS plan'!W73:W76)</f>
        <v>376</v>
      </c>
      <c r="X27" s="2154">
        <f>SUM('TITULADOS plan'!X73:X76)</f>
        <v>349</v>
      </c>
    </row>
    <row r="28" spans="1:24" ht="15" x14ac:dyDescent="0.2">
      <c r="A28" s="5228"/>
      <c r="B28" s="2574" t="s">
        <v>12</v>
      </c>
      <c r="C28" s="2574"/>
      <c r="D28" s="2574"/>
      <c r="E28" s="2574"/>
      <c r="F28" s="2574"/>
      <c r="G28" s="2574"/>
      <c r="H28" s="2575">
        <f t="shared" ref="H28:Q28" si="8">H25+H26+H27</f>
        <v>1832</v>
      </c>
      <c r="I28" s="2575">
        <f t="shared" si="8"/>
        <v>1744</v>
      </c>
      <c r="J28" s="2575">
        <f t="shared" si="8"/>
        <v>1894</v>
      </c>
      <c r="K28" s="2575">
        <f t="shared" si="8"/>
        <v>2117</v>
      </c>
      <c r="L28" s="2575">
        <f t="shared" si="8"/>
        <v>2100</v>
      </c>
      <c r="M28" s="2575">
        <f t="shared" si="8"/>
        <v>1943</v>
      </c>
      <c r="N28" s="2575">
        <f t="shared" si="8"/>
        <v>1915</v>
      </c>
      <c r="O28" s="2575">
        <f t="shared" si="8"/>
        <v>1667</v>
      </c>
      <c r="P28" s="2575">
        <f t="shared" si="8"/>
        <v>1851</v>
      </c>
      <c r="Q28" s="2575">
        <f t="shared" si="8"/>
        <v>1687</v>
      </c>
      <c r="R28" s="2575">
        <f t="shared" ref="R28:W28" si="9">R25+R26+R27</f>
        <v>2167</v>
      </c>
      <c r="S28" s="2575">
        <f t="shared" si="9"/>
        <v>2431</v>
      </c>
      <c r="T28" s="2575">
        <f t="shared" si="9"/>
        <v>2420</v>
      </c>
      <c r="U28" s="2575">
        <f t="shared" si="9"/>
        <v>2229</v>
      </c>
      <c r="V28" s="2575">
        <f t="shared" si="9"/>
        <v>2093</v>
      </c>
      <c r="W28" s="2575">
        <f t="shared" si="9"/>
        <v>2157</v>
      </c>
      <c r="X28" s="2575">
        <f t="shared" ref="X28" si="10">X25+X26+X27</f>
        <v>1948</v>
      </c>
    </row>
    <row r="29" spans="1:24" ht="15" x14ac:dyDescent="0.2">
      <c r="A29" s="741"/>
      <c r="B29" s="741"/>
      <c r="C29" s="741"/>
      <c r="D29" s="741"/>
      <c r="E29" s="741"/>
      <c r="F29" s="741"/>
      <c r="G29" s="741"/>
      <c r="H29" s="2161"/>
      <c r="I29" s="2161"/>
      <c r="J29" s="2161"/>
      <c r="K29" s="2161"/>
      <c r="L29" s="2161"/>
      <c r="M29" s="2161"/>
      <c r="N29" s="2161"/>
      <c r="O29" s="2161"/>
      <c r="P29" s="2161"/>
      <c r="Q29" s="2161"/>
      <c r="R29" s="800"/>
      <c r="S29" s="800"/>
      <c r="T29" s="800"/>
      <c r="U29" s="800"/>
      <c r="V29" s="800"/>
      <c r="W29" s="800"/>
      <c r="X29" s="800"/>
    </row>
    <row r="30" spans="1:24" ht="15" x14ac:dyDescent="0.2">
      <c r="A30" s="5168" t="s">
        <v>60</v>
      </c>
      <c r="B30" s="1026" t="s">
        <v>5</v>
      </c>
      <c r="C30" s="1026"/>
      <c r="D30" s="1026"/>
      <c r="E30" s="1026"/>
      <c r="F30" s="1026"/>
      <c r="G30" s="1032"/>
      <c r="H30" s="742">
        <f t="shared" ref="H30:U30" si="11">SUM(H5,H15)</f>
        <v>630</v>
      </c>
      <c r="I30" s="742">
        <f t="shared" si="11"/>
        <v>537</v>
      </c>
      <c r="J30" s="742">
        <f t="shared" si="11"/>
        <v>550</v>
      </c>
      <c r="K30" s="742">
        <f t="shared" si="11"/>
        <v>535</v>
      </c>
      <c r="L30" s="742">
        <f t="shared" si="11"/>
        <v>614</v>
      </c>
      <c r="M30" s="742">
        <f t="shared" si="11"/>
        <v>592</v>
      </c>
      <c r="N30" s="742">
        <f t="shared" si="11"/>
        <v>574</v>
      </c>
      <c r="O30" s="742">
        <f t="shared" si="11"/>
        <v>629</v>
      </c>
      <c r="P30" s="742">
        <f t="shared" si="11"/>
        <v>597</v>
      </c>
      <c r="Q30" s="742">
        <f t="shared" si="11"/>
        <v>496</v>
      </c>
      <c r="R30" s="742">
        <f t="shared" si="11"/>
        <v>504</v>
      </c>
      <c r="S30" s="2153">
        <f t="shared" si="11"/>
        <v>563</v>
      </c>
      <c r="T30" s="2153">
        <f t="shared" si="11"/>
        <v>554</v>
      </c>
      <c r="U30" s="2153">
        <f t="shared" si="11"/>
        <v>559</v>
      </c>
      <c r="V30" s="2153">
        <f>SUM(V5,V15)</f>
        <v>566</v>
      </c>
      <c r="W30" s="2153">
        <f>SUM(W5,W15)</f>
        <v>744</v>
      </c>
      <c r="X30" s="2153">
        <f>SUM(X5,X15,X20)</f>
        <v>576</v>
      </c>
    </row>
    <row r="31" spans="1:24" ht="15" x14ac:dyDescent="0.2">
      <c r="A31" s="5169"/>
      <c r="B31" s="1027" t="s">
        <v>6</v>
      </c>
      <c r="C31" s="1027"/>
      <c r="D31" s="1027"/>
      <c r="E31" s="1027"/>
      <c r="F31" s="1027"/>
      <c r="G31" s="1033"/>
      <c r="H31" s="745">
        <f t="shared" ref="H31:U31" si="12">SUM(H6,H10,H16,H25)</f>
        <v>1698</v>
      </c>
      <c r="I31" s="745">
        <f t="shared" si="12"/>
        <v>1650</v>
      </c>
      <c r="J31" s="745">
        <f t="shared" si="12"/>
        <v>1764</v>
      </c>
      <c r="K31" s="745">
        <f t="shared" si="12"/>
        <v>1785</v>
      </c>
      <c r="L31" s="745">
        <f t="shared" si="12"/>
        <v>1915</v>
      </c>
      <c r="M31" s="745">
        <f t="shared" si="12"/>
        <v>1782</v>
      </c>
      <c r="N31" s="745">
        <f t="shared" si="12"/>
        <v>1646</v>
      </c>
      <c r="O31" s="745">
        <f t="shared" si="12"/>
        <v>1582</v>
      </c>
      <c r="P31" s="745">
        <f t="shared" si="12"/>
        <v>1660</v>
      </c>
      <c r="Q31" s="745">
        <f t="shared" si="12"/>
        <v>1428</v>
      </c>
      <c r="R31" s="745">
        <f t="shared" si="12"/>
        <v>1644</v>
      </c>
      <c r="S31" s="2154">
        <f t="shared" si="12"/>
        <v>1800</v>
      </c>
      <c r="T31" s="2154">
        <f t="shared" si="12"/>
        <v>1827</v>
      </c>
      <c r="U31" s="2154">
        <f t="shared" si="12"/>
        <v>1672</v>
      </c>
      <c r="V31" s="2154">
        <f>SUM(V6,V10,V16,V25)</f>
        <v>1703</v>
      </c>
      <c r="W31" s="2154">
        <f>SUM(W6,W10,W16,W25)</f>
        <v>1810</v>
      </c>
      <c r="X31" s="2154">
        <f>SUM(X6,X10,X16,X21,X25)</f>
        <v>1526</v>
      </c>
    </row>
    <row r="32" spans="1:24" ht="15" x14ac:dyDescent="0.2">
      <c r="A32" s="5169"/>
      <c r="B32" s="1027" t="s">
        <v>11</v>
      </c>
      <c r="C32" s="1027"/>
      <c r="D32" s="1027"/>
      <c r="E32" s="1027"/>
      <c r="F32" s="1027"/>
      <c r="G32" s="1033"/>
      <c r="H32" s="745">
        <f t="shared" ref="H32:U32" si="13">SUM(H17,H26)</f>
        <v>1082</v>
      </c>
      <c r="I32" s="745">
        <f t="shared" si="13"/>
        <v>1031</v>
      </c>
      <c r="J32" s="745">
        <f t="shared" si="13"/>
        <v>1053</v>
      </c>
      <c r="K32" s="745">
        <f t="shared" si="13"/>
        <v>1185</v>
      </c>
      <c r="L32" s="745">
        <f t="shared" si="13"/>
        <v>1209</v>
      </c>
      <c r="M32" s="745">
        <f t="shared" si="13"/>
        <v>1189</v>
      </c>
      <c r="N32" s="745">
        <f t="shared" si="13"/>
        <v>1291</v>
      </c>
      <c r="O32" s="745">
        <f t="shared" si="13"/>
        <v>1031</v>
      </c>
      <c r="P32" s="745">
        <f t="shared" si="13"/>
        <v>1170</v>
      </c>
      <c r="Q32" s="745">
        <f t="shared" si="13"/>
        <v>1058</v>
      </c>
      <c r="R32" s="745">
        <f t="shared" si="13"/>
        <v>1277</v>
      </c>
      <c r="S32" s="2154">
        <f t="shared" si="13"/>
        <v>1475</v>
      </c>
      <c r="T32" s="2154">
        <f t="shared" si="13"/>
        <v>1521</v>
      </c>
      <c r="U32" s="2154">
        <f t="shared" si="13"/>
        <v>1393</v>
      </c>
      <c r="V32" s="2154">
        <f>SUM(V17,V26)</f>
        <v>1362</v>
      </c>
      <c r="W32" s="2154">
        <f>SUM(W17,W26)</f>
        <v>1400</v>
      </c>
      <c r="X32" s="2154">
        <f>SUM(X17,X22,X26)</f>
        <v>1193</v>
      </c>
    </row>
    <row r="33" spans="1:24" ht="15" x14ac:dyDescent="0.2">
      <c r="A33" s="5169"/>
      <c r="B33" s="1027" t="s">
        <v>7</v>
      </c>
      <c r="C33" s="1027"/>
      <c r="D33" s="1027"/>
      <c r="E33" s="1027"/>
      <c r="F33" s="1027"/>
      <c r="G33" s="1033"/>
      <c r="H33" s="745">
        <f t="shared" ref="H33:U33" si="14">SUM(H7,H27)</f>
        <v>604</v>
      </c>
      <c r="I33" s="745">
        <f t="shared" si="14"/>
        <v>570</v>
      </c>
      <c r="J33" s="745">
        <f t="shared" si="14"/>
        <v>706</v>
      </c>
      <c r="K33" s="745">
        <f t="shared" si="14"/>
        <v>652</v>
      </c>
      <c r="L33" s="745">
        <f t="shared" si="14"/>
        <v>668</v>
      </c>
      <c r="M33" s="745">
        <f t="shared" si="14"/>
        <v>596</v>
      </c>
      <c r="N33" s="745">
        <f t="shared" si="14"/>
        <v>539</v>
      </c>
      <c r="O33" s="745">
        <f t="shared" si="14"/>
        <v>571</v>
      </c>
      <c r="P33" s="745">
        <f t="shared" si="14"/>
        <v>621</v>
      </c>
      <c r="Q33" s="745">
        <f t="shared" si="14"/>
        <v>505</v>
      </c>
      <c r="R33" s="745">
        <f t="shared" si="14"/>
        <v>755</v>
      </c>
      <c r="S33" s="2154">
        <f t="shared" si="14"/>
        <v>691</v>
      </c>
      <c r="T33" s="2154">
        <f t="shared" si="14"/>
        <v>621</v>
      </c>
      <c r="U33" s="2154">
        <f t="shared" si="14"/>
        <v>544</v>
      </c>
      <c r="V33" s="2154">
        <f>SUM(V7,V27)</f>
        <v>581</v>
      </c>
      <c r="W33" s="2154">
        <f>SUM(W7,W27)</f>
        <v>688</v>
      </c>
      <c r="X33" s="2154">
        <f>SUM(X7,X27)</f>
        <v>573</v>
      </c>
    </row>
    <row r="34" spans="1:24" ht="15" x14ac:dyDescent="0.2">
      <c r="A34" s="5169"/>
      <c r="B34" s="1027" t="s">
        <v>9</v>
      </c>
      <c r="C34" s="1027"/>
      <c r="D34" s="1027"/>
      <c r="E34" s="1027"/>
      <c r="F34" s="1027"/>
      <c r="G34" s="1033"/>
      <c r="H34" s="745">
        <f t="shared" ref="H34:U34" si="15">SUM(H11)</f>
        <v>0</v>
      </c>
      <c r="I34" s="745">
        <f t="shared" si="15"/>
        <v>0</v>
      </c>
      <c r="J34" s="745">
        <f t="shared" si="15"/>
        <v>0</v>
      </c>
      <c r="K34" s="745">
        <f t="shared" si="15"/>
        <v>0</v>
      </c>
      <c r="L34" s="745">
        <f t="shared" si="15"/>
        <v>0</v>
      </c>
      <c r="M34" s="745">
        <f t="shared" si="15"/>
        <v>0</v>
      </c>
      <c r="N34" s="745">
        <f t="shared" si="15"/>
        <v>0</v>
      </c>
      <c r="O34" s="745">
        <f t="shared" si="15"/>
        <v>0</v>
      </c>
      <c r="P34" s="745">
        <f t="shared" si="15"/>
        <v>0</v>
      </c>
      <c r="Q34" s="745">
        <f t="shared" si="15"/>
        <v>0</v>
      </c>
      <c r="R34" s="745">
        <f t="shared" si="15"/>
        <v>0</v>
      </c>
      <c r="S34" s="2154">
        <f t="shared" si="15"/>
        <v>3</v>
      </c>
      <c r="T34" s="2154">
        <f t="shared" si="15"/>
        <v>7</v>
      </c>
      <c r="U34" s="2154">
        <f t="shared" si="15"/>
        <v>31</v>
      </c>
      <c r="V34" s="2154">
        <f t="shared" ref="V34:X35" si="16">SUM(V11)</f>
        <v>37</v>
      </c>
      <c r="W34" s="2154">
        <f t="shared" si="16"/>
        <v>30</v>
      </c>
      <c r="X34" s="2154">
        <f t="shared" si="16"/>
        <v>35</v>
      </c>
    </row>
    <row r="35" spans="1:24" ht="15" x14ac:dyDescent="0.2">
      <c r="A35" s="5169"/>
      <c r="B35" s="1028" t="s">
        <v>74</v>
      </c>
      <c r="C35" s="1028"/>
      <c r="D35" s="1028"/>
      <c r="E35" s="1028"/>
      <c r="F35" s="1028"/>
      <c r="G35" s="1034"/>
      <c r="H35" s="755">
        <f t="shared" ref="H35:U35" si="17">SUM(H12)</f>
        <v>0</v>
      </c>
      <c r="I35" s="755">
        <f t="shared" si="17"/>
        <v>0</v>
      </c>
      <c r="J35" s="755">
        <f t="shared" si="17"/>
        <v>0</v>
      </c>
      <c r="K35" s="755">
        <f t="shared" si="17"/>
        <v>0</v>
      </c>
      <c r="L35" s="755">
        <f t="shared" si="17"/>
        <v>0</v>
      </c>
      <c r="M35" s="755">
        <f t="shared" si="17"/>
        <v>0</v>
      </c>
      <c r="N35" s="755">
        <f t="shared" si="17"/>
        <v>0</v>
      </c>
      <c r="O35" s="755">
        <f t="shared" si="17"/>
        <v>0</v>
      </c>
      <c r="P35" s="755">
        <f t="shared" si="17"/>
        <v>0</v>
      </c>
      <c r="Q35" s="755">
        <f t="shared" si="17"/>
        <v>0</v>
      </c>
      <c r="R35" s="755">
        <f t="shared" si="17"/>
        <v>0</v>
      </c>
      <c r="S35" s="2162">
        <f t="shared" si="17"/>
        <v>5</v>
      </c>
      <c r="T35" s="2162">
        <f t="shared" si="17"/>
        <v>9</v>
      </c>
      <c r="U35" s="2162">
        <f t="shared" si="17"/>
        <v>6</v>
      </c>
      <c r="V35" s="2162">
        <f t="shared" si="16"/>
        <v>19</v>
      </c>
      <c r="W35" s="2162">
        <f t="shared" si="16"/>
        <v>18</v>
      </c>
      <c r="X35" s="2162">
        <f t="shared" si="16"/>
        <v>20</v>
      </c>
    </row>
    <row r="36" spans="1:24" ht="15" x14ac:dyDescent="0.2">
      <c r="A36" s="5170"/>
      <c r="B36" s="734" t="s">
        <v>12</v>
      </c>
      <c r="C36" s="734"/>
      <c r="D36" s="734"/>
      <c r="E36" s="734"/>
      <c r="F36" s="734"/>
      <c r="G36" s="1035"/>
      <c r="H36" s="2163">
        <f t="shared" ref="H36:Q36" si="18">SUM(H30:H35)</f>
        <v>4014</v>
      </c>
      <c r="I36" s="2163">
        <f t="shared" si="18"/>
        <v>3788</v>
      </c>
      <c r="J36" s="2163">
        <f t="shared" si="18"/>
        <v>4073</v>
      </c>
      <c r="K36" s="2163">
        <f t="shared" si="18"/>
        <v>4157</v>
      </c>
      <c r="L36" s="2163">
        <f t="shared" si="18"/>
        <v>4406</v>
      </c>
      <c r="M36" s="2163">
        <f t="shared" si="18"/>
        <v>4159</v>
      </c>
      <c r="N36" s="2163">
        <f t="shared" si="18"/>
        <v>4050</v>
      </c>
      <c r="O36" s="2163">
        <f t="shared" si="18"/>
        <v>3813</v>
      </c>
      <c r="P36" s="2163">
        <f t="shared" si="18"/>
        <v>4048</v>
      </c>
      <c r="Q36" s="2163">
        <f t="shared" si="18"/>
        <v>3487</v>
      </c>
      <c r="R36" s="2163">
        <f t="shared" ref="R36:W36" si="19">SUM(R30:R35)</f>
        <v>4180</v>
      </c>
      <c r="S36" s="2163">
        <f t="shared" si="19"/>
        <v>4537</v>
      </c>
      <c r="T36" s="2163">
        <f t="shared" si="19"/>
        <v>4539</v>
      </c>
      <c r="U36" s="2163">
        <f t="shared" si="19"/>
        <v>4205</v>
      </c>
      <c r="V36" s="2163">
        <f t="shared" si="19"/>
        <v>4268</v>
      </c>
      <c r="W36" s="2163">
        <f t="shared" si="19"/>
        <v>4690</v>
      </c>
      <c r="X36" s="2163">
        <f t="shared" ref="X36" si="20">SUM(X30:X35)</f>
        <v>3923</v>
      </c>
    </row>
    <row r="38" spans="1:24" x14ac:dyDescent="0.2">
      <c r="A38" s="1758" t="s">
        <v>665</v>
      </c>
    </row>
  </sheetData>
  <mergeCells count="6">
    <mergeCell ref="A30:A36"/>
    <mergeCell ref="A5:A8"/>
    <mergeCell ref="A10:A13"/>
    <mergeCell ref="A15:A18"/>
    <mergeCell ref="A25:A28"/>
    <mergeCell ref="A20:A23"/>
  </mergeCells>
  <printOptions horizontalCentered="1" verticalCentered="1"/>
  <pageMargins left="0.51181102362204722" right="0.51181102362204722" top="0.74803149606299213" bottom="0.74803149606299213" header="0.31496062992125984" footer="0.31496062992125984"/>
  <pageSetup scale="70" orientation="landscape" r:id="rId1"/>
  <rowBreaks count="1" manualBreakCount="1">
    <brk id="38" max="16383" man="1"/>
  </rowBreaks>
  <ignoredErrors>
    <ignoredError sqref="R14:T14 U14 R24:T24 U24 R28:T28 U28 U8 R8:T8 X10:X11 X25:X27 U18 R18:T18" formulaRange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Q85"/>
  <sheetViews>
    <sheetView showGridLines="0" zoomScaleNormal="100" workbookViewId="0">
      <pane xSplit="4" ySplit="4" topLeftCell="E65" activePane="bottomRight" state="frozen"/>
      <selection pane="topRight" activeCell="F1" sqref="F1"/>
      <selection pane="bottomLeft" activeCell="A7" sqref="A7"/>
      <selection pane="bottomRight" sqref="A1:D1"/>
    </sheetView>
  </sheetViews>
  <sheetFormatPr baseColWidth="10" defaultRowHeight="12.75" x14ac:dyDescent="0.2"/>
  <cols>
    <col min="1" max="1" width="17.85546875" style="199" customWidth="1"/>
    <col min="2" max="2" width="5.7109375" style="199" customWidth="1"/>
    <col min="3" max="3" width="6.140625" style="199" customWidth="1"/>
    <col min="4" max="4" width="35.42578125" style="199" bestFit="1" customWidth="1"/>
    <col min="5" max="17" width="9.7109375" style="199" customWidth="1"/>
    <col min="18" max="255" width="11.42578125" style="199"/>
    <col min="256" max="256" width="1.7109375" style="199" customWidth="1"/>
    <col min="257" max="257" width="17.85546875" style="199" customWidth="1"/>
    <col min="258" max="258" width="5.7109375" style="199" customWidth="1"/>
    <col min="259" max="259" width="6.140625" style="199" customWidth="1"/>
    <col min="260" max="260" width="36.7109375" style="199" customWidth="1"/>
    <col min="261" max="267" width="9.7109375" style="199" customWidth="1"/>
    <col min="268" max="511" width="11.42578125" style="199"/>
    <col min="512" max="512" width="1.7109375" style="199" customWidth="1"/>
    <col min="513" max="513" width="17.85546875" style="199" customWidth="1"/>
    <col min="514" max="514" width="5.7109375" style="199" customWidth="1"/>
    <col min="515" max="515" width="6.140625" style="199" customWidth="1"/>
    <col min="516" max="516" width="36.7109375" style="199" customWidth="1"/>
    <col min="517" max="523" width="9.7109375" style="199" customWidth="1"/>
    <col min="524" max="767" width="11.42578125" style="199"/>
    <col min="768" max="768" width="1.7109375" style="199" customWidth="1"/>
    <col min="769" max="769" width="17.85546875" style="199" customWidth="1"/>
    <col min="770" max="770" width="5.7109375" style="199" customWidth="1"/>
    <col min="771" max="771" width="6.140625" style="199" customWidth="1"/>
    <col min="772" max="772" width="36.7109375" style="199" customWidth="1"/>
    <col min="773" max="779" width="9.7109375" style="199" customWidth="1"/>
    <col min="780" max="1023" width="11.42578125" style="199"/>
    <col min="1024" max="1024" width="1.7109375" style="199" customWidth="1"/>
    <col min="1025" max="1025" width="17.85546875" style="199" customWidth="1"/>
    <col min="1026" max="1026" width="5.7109375" style="199" customWidth="1"/>
    <col min="1027" max="1027" width="6.140625" style="199" customWidth="1"/>
    <col min="1028" max="1028" width="36.7109375" style="199" customWidth="1"/>
    <col min="1029" max="1035" width="9.7109375" style="199" customWidth="1"/>
    <col min="1036" max="1279" width="11.42578125" style="199"/>
    <col min="1280" max="1280" width="1.7109375" style="199" customWidth="1"/>
    <col min="1281" max="1281" width="17.85546875" style="199" customWidth="1"/>
    <col min="1282" max="1282" width="5.7109375" style="199" customWidth="1"/>
    <col min="1283" max="1283" width="6.140625" style="199" customWidth="1"/>
    <col min="1284" max="1284" width="36.7109375" style="199" customWidth="1"/>
    <col min="1285" max="1291" width="9.7109375" style="199" customWidth="1"/>
    <col min="1292" max="1535" width="11.42578125" style="199"/>
    <col min="1536" max="1536" width="1.7109375" style="199" customWidth="1"/>
    <col min="1537" max="1537" width="17.85546875" style="199" customWidth="1"/>
    <col min="1538" max="1538" width="5.7109375" style="199" customWidth="1"/>
    <col min="1539" max="1539" width="6.140625" style="199" customWidth="1"/>
    <col min="1540" max="1540" width="36.7109375" style="199" customWidth="1"/>
    <col min="1541" max="1547" width="9.7109375" style="199" customWidth="1"/>
    <col min="1548" max="1791" width="11.42578125" style="199"/>
    <col min="1792" max="1792" width="1.7109375" style="199" customWidth="1"/>
    <col min="1793" max="1793" width="17.85546875" style="199" customWidth="1"/>
    <col min="1794" max="1794" width="5.7109375" style="199" customWidth="1"/>
    <col min="1795" max="1795" width="6.140625" style="199" customWidth="1"/>
    <col min="1796" max="1796" width="36.7109375" style="199" customWidth="1"/>
    <col min="1797" max="1803" width="9.7109375" style="199" customWidth="1"/>
    <col min="1804" max="2047" width="11.42578125" style="199"/>
    <col min="2048" max="2048" width="1.7109375" style="199" customWidth="1"/>
    <col min="2049" max="2049" width="17.85546875" style="199" customWidth="1"/>
    <col min="2050" max="2050" width="5.7109375" style="199" customWidth="1"/>
    <col min="2051" max="2051" width="6.140625" style="199" customWidth="1"/>
    <col min="2052" max="2052" width="36.7109375" style="199" customWidth="1"/>
    <col min="2053" max="2059" width="9.7109375" style="199" customWidth="1"/>
    <col min="2060" max="2303" width="11.42578125" style="199"/>
    <col min="2304" max="2304" width="1.7109375" style="199" customWidth="1"/>
    <col min="2305" max="2305" width="17.85546875" style="199" customWidth="1"/>
    <col min="2306" max="2306" width="5.7109375" style="199" customWidth="1"/>
    <col min="2307" max="2307" width="6.140625" style="199" customWidth="1"/>
    <col min="2308" max="2308" width="36.7109375" style="199" customWidth="1"/>
    <col min="2309" max="2315" width="9.7109375" style="199" customWidth="1"/>
    <col min="2316" max="2559" width="11.42578125" style="199"/>
    <col min="2560" max="2560" width="1.7109375" style="199" customWidth="1"/>
    <col min="2561" max="2561" width="17.85546875" style="199" customWidth="1"/>
    <col min="2562" max="2562" width="5.7109375" style="199" customWidth="1"/>
    <col min="2563" max="2563" width="6.140625" style="199" customWidth="1"/>
    <col min="2564" max="2564" width="36.7109375" style="199" customWidth="1"/>
    <col min="2565" max="2571" width="9.7109375" style="199" customWidth="1"/>
    <col min="2572" max="2815" width="11.42578125" style="199"/>
    <col min="2816" max="2816" width="1.7109375" style="199" customWidth="1"/>
    <col min="2817" max="2817" width="17.85546875" style="199" customWidth="1"/>
    <col min="2818" max="2818" width="5.7109375" style="199" customWidth="1"/>
    <col min="2819" max="2819" width="6.140625" style="199" customWidth="1"/>
    <col min="2820" max="2820" width="36.7109375" style="199" customWidth="1"/>
    <col min="2821" max="2827" width="9.7109375" style="199" customWidth="1"/>
    <col min="2828" max="3071" width="11.42578125" style="199"/>
    <col min="3072" max="3072" width="1.7109375" style="199" customWidth="1"/>
    <col min="3073" max="3073" width="17.85546875" style="199" customWidth="1"/>
    <col min="3074" max="3074" width="5.7109375" style="199" customWidth="1"/>
    <col min="3075" max="3075" width="6.140625" style="199" customWidth="1"/>
    <col min="3076" max="3076" width="36.7109375" style="199" customWidth="1"/>
    <col min="3077" max="3083" width="9.7109375" style="199" customWidth="1"/>
    <col min="3084" max="3327" width="11.42578125" style="199"/>
    <col min="3328" max="3328" width="1.7109375" style="199" customWidth="1"/>
    <col min="3329" max="3329" width="17.85546875" style="199" customWidth="1"/>
    <col min="3330" max="3330" width="5.7109375" style="199" customWidth="1"/>
    <col min="3331" max="3331" width="6.140625" style="199" customWidth="1"/>
    <col min="3332" max="3332" width="36.7109375" style="199" customWidth="1"/>
    <col min="3333" max="3339" width="9.7109375" style="199" customWidth="1"/>
    <col min="3340" max="3583" width="11.42578125" style="199"/>
    <col min="3584" max="3584" width="1.7109375" style="199" customWidth="1"/>
    <col min="3585" max="3585" width="17.85546875" style="199" customWidth="1"/>
    <col min="3586" max="3586" width="5.7109375" style="199" customWidth="1"/>
    <col min="3587" max="3587" width="6.140625" style="199" customWidth="1"/>
    <col min="3588" max="3588" width="36.7109375" style="199" customWidth="1"/>
    <col min="3589" max="3595" width="9.7109375" style="199" customWidth="1"/>
    <col min="3596" max="3839" width="11.42578125" style="199"/>
    <col min="3840" max="3840" width="1.7109375" style="199" customWidth="1"/>
    <col min="3841" max="3841" width="17.85546875" style="199" customWidth="1"/>
    <col min="3842" max="3842" width="5.7109375" style="199" customWidth="1"/>
    <col min="3843" max="3843" width="6.140625" style="199" customWidth="1"/>
    <col min="3844" max="3844" width="36.7109375" style="199" customWidth="1"/>
    <col min="3845" max="3851" width="9.7109375" style="199" customWidth="1"/>
    <col min="3852" max="4095" width="11.42578125" style="199"/>
    <col min="4096" max="4096" width="1.7109375" style="199" customWidth="1"/>
    <col min="4097" max="4097" width="17.85546875" style="199" customWidth="1"/>
    <col min="4098" max="4098" width="5.7109375" style="199" customWidth="1"/>
    <col min="4099" max="4099" width="6.140625" style="199" customWidth="1"/>
    <col min="4100" max="4100" width="36.7109375" style="199" customWidth="1"/>
    <col min="4101" max="4107" width="9.7109375" style="199" customWidth="1"/>
    <col min="4108" max="4351" width="11.42578125" style="199"/>
    <col min="4352" max="4352" width="1.7109375" style="199" customWidth="1"/>
    <col min="4353" max="4353" width="17.85546875" style="199" customWidth="1"/>
    <col min="4354" max="4354" width="5.7109375" style="199" customWidth="1"/>
    <col min="4355" max="4355" width="6.140625" style="199" customWidth="1"/>
    <col min="4356" max="4356" width="36.7109375" style="199" customWidth="1"/>
    <col min="4357" max="4363" width="9.7109375" style="199" customWidth="1"/>
    <col min="4364" max="4607" width="11.42578125" style="199"/>
    <col min="4608" max="4608" width="1.7109375" style="199" customWidth="1"/>
    <col min="4609" max="4609" width="17.85546875" style="199" customWidth="1"/>
    <col min="4610" max="4610" width="5.7109375" style="199" customWidth="1"/>
    <col min="4611" max="4611" width="6.140625" style="199" customWidth="1"/>
    <col min="4612" max="4612" width="36.7109375" style="199" customWidth="1"/>
    <col min="4613" max="4619" width="9.7109375" style="199" customWidth="1"/>
    <col min="4620" max="4863" width="11.42578125" style="199"/>
    <col min="4864" max="4864" width="1.7109375" style="199" customWidth="1"/>
    <col min="4865" max="4865" width="17.85546875" style="199" customWidth="1"/>
    <col min="4866" max="4866" width="5.7109375" style="199" customWidth="1"/>
    <col min="4867" max="4867" width="6.140625" style="199" customWidth="1"/>
    <col min="4868" max="4868" width="36.7109375" style="199" customWidth="1"/>
    <col min="4869" max="4875" width="9.7109375" style="199" customWidth="1"/>
    <col min="4876" max="5119" width="11.42578125" style="199"/>
    <col min="5120" max="5120" width="1.7109375" style="199" customWidth="1"/>
    <col min="5121" max="5121" width="17.85546875" style="199" customWidth="1"/>
    <col min="5122" max="5122" width="5.7109375" style="199" customWidth="1"/>
    <col min="5123" max="5123" width="6.140625" style="199" customWidth="1"/>
    <col min="5124" max="5124" width="36.7109375" style="199" customWidth="1"/>
    <col min="5125" max="5131" width="9.7109375" style="199" customWidth="1"/>
    <col min="5132" max="5375" width="11.42578125" style="199"/>
    <col min="5376" max="5376" width="1.7109375" style="199" customWidth="1"/>
    <col min="5377" max="5377" width="17.85546875" style="199" customWidth="1"/>
    <col min="5378" max="5378" width="5.7109375" style="199" customWidth="1"/>
    <col min="5379" max="5379" width="6.140625" style="199" customWidth="1"/>
    <col min="5380" max="5380" width="36.7109375" style="199" customWidth="1"/>
    <col min="5381" max="5387" width="9.7109375" style="199" customWidth="1"/>
    <col min="5388" max="5631" width="11.42578125" style="199"/>
    <col min="5632" max="5632" width="1.7109375" style="199" customWidth="1"/>
    <col min="5633" max="5633" width="17.85546875" style="199" customWidth="1"/>
    <col min="5634" max="5634" width="5.7109375" style="199" customWidth="1"/>
    <col min="5635" max="5635" width="6.140625" style="199" customWidth="1"/>
    <col min="5636" max="5636" width="36.7109375" style="199" customWidth="1"/>
    <col min="5637" max="5643" width="9.7109375" style="199" customWidth="1"/>
    <col min="5644" max="5887" width="11.42578125" style="199"/>
    <col min="5888" max="5888" width="1.7109375" style="199" customWidth="1"/>
    <col min="5889" max="5889" width="17.85546875" style="199" customWidth="1"/>
    <col min="5890" max="5890" width="5.7109375" style="199" customWidth="1"/>
    <col min="5891" max="5891" width="6.140625" style="199" customWidth="1"/>
    <col min="5892" max="5892" width="36.7109375" style="199" customWidth="1"/>
    <col min="5893" max="5899" width="9.7109375" style="199" customWidth="1"/>
    <col min="5900" max="6143" width="11.42578125" style="199"/>
    <col min="6144" max="6144" width="1.7109375" style="199" customWidth="1"/>
    <col min="6145" max="6145" width="17.85546875" style="199" customWidth="1"/>
    <col min="6146" max="6146" width="5.7109375" style="199" customWidth="1"/>
    <col min="6147" max="6147" width="6.140625" style="199" customWidth="1"/>
    <col min="6148" max="6148" width="36.7109375" style="199" customWidth="1"/>
    <col min="6149" max="6155" width="9.7109375" style="199" customWidth="1"/>
    <col min="6156" max="6399" width="11.42578125" style="199"/>
    <col min="6400" max="6400" width="1.7109375" style="199" customWidth="1"/>
    <col min="6401" max="6401" width="17.85546875" style="199" customWidth="1"/>
    <col min="6402" max="6402" width="5.7109375" style="199" customWidth="1"/>
    <col min="6403" max="6403" width="6.140625" style="199" customWidth="1"/>
    <col min="6404" max="6404" width="36.7109375" style="199" customWidth="1"/>
    <col min="6405" max="6411" width="9.7109375" style="199" customWidth="1"/>
    <col min="6412" max="6655" width="11.42578125" style="199"/>
    <col min="6656" max="6656" width="1.7109375" style="199" customWidth="1"/>
    <col min="6657" max="6657" width="17.85546875" style="199" customWidth="1"/>
    <col min="6658" max="6658" width="5.7109375" style="199" customWidth="1"/>
    <col min="6659" max="6659" width="6.140625" style="199" customWidth="1"/>
    <col min="6660" max="6660" width="36.7109375" style="199" customWidth="1"/>
    <col min="6661" max="6667" width="9.7109375" style="199" customWidth="1"/>
    <col min="6668" max="6911" width="11.42578125" style="199"/>
    <col min="6912" max="6912" width="1.7109375" style="199" customWidth="1"/>
    <col min="6913" max="6913" width="17.85546875" style="199" customWidth="1"/>
    <col min="6914" max="6914" width="5.7109375" style="199" customWidth="1"/>
    <col min="6915" max="6915" width="6.140625" style="199" customWidth="1"/>
    <col min="6916" max="6916" width="36.7109375" style="199" customWidth="1"/>
    <col min="6917" max="6923" width="9.7109375" style="199" customWidth="1"/>
    <col min="6924" max="7167" width="11.42578125" style="199"/>
    <col min="7168" max="7168" width="1.7109375" style="199" customWidth="1"/>
    <col min="7169" max="7169" width="17.85546875" style="199" customWidth="1"/>
    <col min="7170" max="7170" width="5.7109375" style="199" customWidth="1"/>
    <col min="7171" max="7171" width="6.140625" style="199" customWidth="1"/>
    <col min="7172" max="7172" width="36.7109375" style="199" customWidth="1"/>
    <col min="7173" max="7179" width="9.7109375" style="199" customWidth="1"/>
    <col min="7180" max="7423" width="11.42578125" style="199"/>
    <col min="7424" max="7424" width="1.7109375" style="199" customWidth="1"/>
    <col min="7425" max="7425" width="17.85546875" style="199" customWidth="1"/>
    <col min="7426" max="7426" width="5.7109375" style="199" customWidth="1"/>
    <col min="7427" max="7427" width="6.140625" style="199" customWidth="1"/>
    <col min="7428" max="7428" width="36.7109375" style="199" customWidth="1"/>
    <col min="7429" max="7435" width="9.7109375" style="199" customWidth="1"/>
    <col min="7436" max="7679" width="11.42578125" style="199"/>
    <col min="7680" max="7680" width="1.7109375" style="199" customWidth="1"/>
    <col min="7681" max="7681" width="17.85546875" style="199" customWidth="1"/>
    <col min="7682" max="7682" width="5.7109375" style="199" customWidth="1"/>
    <col min="7683" max="7683" width="6.140625" style="199" customWidth="1"/>
    <col min="7684" max="7684" width="36.7109375" style="199" customWidth="1"/>
    <col min="7685" max="7691" width="9.7109375" style="199" customWidth="1"/>
    <col min="7692" max="7935" width="11.42578125" style="199"/>
    <col min="7936" max="7936" width="1.7109375" style="199" customWidth="1"/>
    <col min="7937" max="7937" width="17.85546875" style="199" customWidth="1"/>
    <col min="7938" max="7938" width="5.7109375" style="199" customWidth="1"/>
    <col min="7939" max="7939" width="6.140625" style="199" customWidth="1"/>
    <col min="7940" max="7940" width="36.7109375" style="199" customWidth="1"/>
    <col min="7941" max="7947" width="9.7109375" style="199" customWidth="1"/>
    <col min="7948" max="8191" width="11.42578125" style="199"/>
    <col min="8192" max="8192" width="1.7109375" style="199" customWidth="1"/>
    <col min="8193" max="8193" width="17.85546875" style="199" customWidth="1"/>
    <col min="8194" max="8194" width="5.7109375" style="199" customWidth="1"/>
    <col min="8195" max="8195" width="6.140625" style="199" customWidth="1"/>
    <col min="8196" max="8196" width="36.7109375" style="199" customWidth="1"/>
    <col min="8197" max="8203" width="9.7109375" style="199" customWidth="1"/>
    <col min="8204" max="8447" width="11.42578125" style="199"/>
    <col min="8448" max="8448" width="1.7109375" style="199" customWidth="1"/>
    <col min="8449" max="8449" width="17.85546875" style="199" customWidth="1"/>
    <col min="8450" max="8450" width="5.7109375" style="199" customWidth="1"/>
    <col min="8451" max="8451" width="6.140625" style="199" customWidth="1"/>
    <col min="8452" max="8452" width="36.7109375" style="199" customWidth="1"/>
    <col min="8453" max="8459" width="9.7109375" style="199" customWidth="1"/>
    <col min="8460" max="8703" width="11.42578125" style="199"/>
    <col min="8704" max="8704" width="1.7109375" style="199" customWidth="1"/>
    <col min="8705" max="8705" width="17.85546875" style="199" customWidth="1"/>
    <col min="8706" max="8706" width="5.7109375" style="199" customWidth="1"/>
    <col min="8707" max="8707" width="6.140625" style="199" customWidth="1"/>
    <col min="8708" max="8708" width="36.7109375" style="199" customWidth="1"/>
    <col min="8709" max="8715" width="9.7109375" style="199" customWidth="1"/>
    <col min="8716" max="8959" width="11.42578125" style="199"/>
    <col min="8960" max="8960" width="1.7109375" style="199" customWidth="1"/>
    <col min="8961" max="8961" width="17.85546875" style="199" customWidth="1"/>
    <col min="8962" max="8962" width="5.7109375" style="199" customWidth="1"/>
    <col min="8963" max="8963" width="6.140625" style="199" customWidth="1"/>
    <col min="8964" max="8964" width="36.7109375" style="199" customWidth="1"/>
    <col min="8965" max="8971" width="9.7109375" style="199" customWidth="1"/>
    <col min="8972" max="9215" width="11.42578125" style="199"/>
    <col min="9216" max="9216" width="1.7109375" style="199" customWidth="1"/>
    <col min="9217" max="9217" width="17.85546875" style="199" customWidth="1"/>
    <col min="9218" max="9218" width="5.7109375" style="199" customWidth="1"/>
    <col min="9219" max="9219" width="6.140625" style="199" customWidth="1"/>
    <col min="9220" max="9220" width="36.7109375" style="199" customWidth="1"/>
    <col min="9221" max="9227" width="9.7109375" style="199" customWidth="1"/>
    <col min="9228" max="9471" width="11.42578125" style="199"/>
    <col min="9472" max="9472" width="1.7109375" style="199" customWidth="1"/>
    <col min="9473" max="9473" width="17.85546875" style="199" customWidth="1"/>
    <col min="9474" max="9474" width="5.7109375" style="199" customWidth="1"/>
    <col min="9475" max="9475" width="6.140625" style="199" customWidth="1"/>
    <col min="9476" max="9476" width="36.7109375" style="199" customWidth="1"/>
    <col min="9477" max="9483" width="9.7109375" style="199" customWidth="1"/>
    <col min="9484" max="9727" width="11.42578125" style="199"/>
    <col min="9728" max="9728" width="1.7109375" style="199" customWidth="1"/>
    <col min="9729" max="9729" width="17.85546875" style="199" customWidth="1"/>
    <col min="9730" max="9730" width="5.7109375" style="199" customWidth="1"/>
    <col min="9731" max="9731" width="6.140625" style="199" customWidth="1"/>
    <col min="9732" max="9732" width="36.7109375" style="199" customWidth="1"/>
    <col min="9733" max="9739" width="9.7109375" style="199" customWidth="1"/>
    <col min="9740" max="9983" width="11.42578125" style="199"/>
    <col min="9984" max="9984" width="1.7109375" style="199" customWidth="1"/>
    <col min="9985" max="9985" width="17.85546875" style="199" customWidth="1"/>
    <col min="9986" max="9986" width="5.7109375" style="199" customWidth="1"/>
    <col min="9987" max="9987" width="6.140625" style="199" customWidth="1"/>
    <col min="9988" max="9988" width="36.7109375" style="199" customWidth="1"/>
    <col min="9989" max="9995" width="9.7109375" style="199" customWidth="1"/>
    <col min="9996" max="10239" width="11.42578125" style="199"/>
    <col min="10240" max="10240" width="1.7109375" style="199" customWidth="1"/>
    <col min="10241" max="10241" width="17.85546875" style="199" customWidth="1"/>
    <col min="10242" max="10242" width="5.7109375" style="199" customWidth="1"/>
    <col min="10243" max="10243" width="6.140625" style="199" customWidth="1"/>
    <col min="10244" max="10244" width="36.7109375" style="199" customWidth="1"/>
    <col min="10245" max="10251" width="9.7109375" style="199" customWidth="1"/>
    <col min="10252" max="10495" width="11.42578125" style="199"/>
    <col min="10496" max="10496" width="1.7109375" style="199" customWidth="1"/>
    <col min="10497" max="10497" width="17.85546875" style="199" customWidth="1"/>
    <col min="10498" max="10498" width="5.7109375" style="199" customWidth="1"/>
    <col min="10499" max="10499" width="6.140625" style="199" customWidth="1"/>
    <col min="10500" max="10500" width="36.7109375" style="199" customWidth="1"/>
    <col min="10501" max="10507" width="9.7109375" style="199" customWidth="1"/>
    <col min="10508" max="10751" width="11.42578125" style="199"/>
    <col min="10752" max="10752" width="1.7109375" style="199" customWidth="1"/>
    <col min="10753" max="10753" width="17.85546875" style="199" customWidth="1"/>
    <col min="10754" max="10754" width="5.7109375" style="199" customWidth="1"/>
    <col min="10755" max="10755" width="6.140625" style="199" customWidth="1"/>
    <col min="10756" max="10756" width="36.7109375" style="199" customWidth="1"/>
    <col min="10757" max="10763" width="9.7109375" style="199" customWidth="1"/>
    <col min="10764" max="11007" width="11.42578125" style="199"/>
    <col min="11008" max="11008" width="1.7109375" style="199" customWidth="1"/>
    <col min="11009" max="11009" width="17.85546875" style="199" customWidth="1"/>
    <col min="11010" max="11010" width="5.7109375" style="199" customWidth="1"/>
    <col min="11011" max="11011" width="6.140625" style="199" customWidth="1"/>
    <col min="11012" max="11012" width="36.7109375" style="199" customWidth="1"/>
    <col min="11013" max="11019" width="9.7109375" style="199" customWidth="1"/>
    <col min="11020" max="11263" width="11.42578125" style="199"/>
    <col min="11264" max="11264" width="1.7109375" style="199" customWidth="1"/>
    <col min="11265" max="11265" width="17.85546875" style="199" customWidth="1"/>
    <col min="11266" max="11266" width="5.7109375" style="199" customWidth="1"/>
    <col min="11267" max="11267" width="6.140625" style="199" customWidth="1"/>
    <col min="11268" max="11268" width="36.7109375" style="199" customWidth="1"/>
    <col min="11269" max="11275" width="9.7109375" style="199" customWidth="1"/>
    <col min="11276" max="11519" width="11.42578125" style="199"/>
    <col min="11520" max="11520" width="1.7109375" style="199" customWidth="1"/>
    <col min="11521" max="11521" width="17.85546875" style="199" customWidth="1"/>
    <col min="11522" max="11522" width="5.7109375" style="199" customWidth="1"/>
    <col min="11523" max="11523" width="6.140625" style="199" customWidth="1"/>
    <col min="11524" max="11524" width="36.7109375" style="199" customWidth="1"/>
    <col min="11525" max="11531" width="9.7109375" style="199" customWidth="1"/>
    <col min="11532" max="11775" width="11.42578125" style="199"/>
    <col min="11776" max="11776" width="1.7109375" style="199" customWidth="1"/>
    <col min="11777" max="11777" width="17.85546875" style="199" customWidth="1"/>
    <col min="11778" max="11778" width="5.7109375" style="199" customWidth="1"/>
    <col min="11779" max="11779" width="6.140625" style="199" customWidth="1"/>
    <col min="11780" max="11780" width="36.7109375" style="199" customWidth="1"/>
    <col min="11781" max="11787" width="9.7109375" style="199" customWidth="1"/>
    <col min="11788" max="12031" width="11.42578125" style="199"/>
    <col min="12032" max="12032" width="1.7109375" style="199" customWidth="1"/>
    <col min="12033" max="12033" width="17.85546875" style="199" customWidth="1"/>
    <col min="12034" max="12034" width="5.7109375" style="199" customWidth="1"/>
    <col min="12035" max="12035" width="6.140625" style="199" customWidth="1"/>
    <col min="12036" max="12036" width="36.7109375" style="199" customWidth="1"/>
    <col min="12037" max="12043" width="9.7109375" style="199" customWidth="1"/>
    <col min="12044" max="12287" width="11.42578125" style="199"/>
    <col min="12288" max="12288" width="1.7109375" style="199" customWidth="1"/>
    <col min="12289" max="12289" width="17.85546875" style="199" customWidth="1"/>
    <col min="12290" max="12290" width="5.7109375" style="199" customWidth="1"/>
    <col min="12291" max="12291" width="6.140625" style="199" customWidth="1"/>
    <col min="12292" max="12292" width="36.7109375" style="199" customWidth="1"/>
    <col min="12293" max="12299" width="9.7109375" style="199" customWidth="1"/>
    <col min="12300" max="12543" width="11.42578125" style="199"/>
    <col min="12544" max="12544" width="1.7109375" style="199" customWidth="1"/>
    <col min="12545" max="12545" width="17.85546875" style="199" customWidth="1"/>
    <col min="12546" max="12546" width="5.7109375" style="199" customWidth="1"/>
    <col min="12547" max="12547" width="6.140625" style="199" customWidth="1"/>
    <col min="12548" max="12548" width="36.7109375" style="199" customWidth="1"/>
    <col min="12549" max="12555" width="9.7109375" style="199" customWidth="1"/>
    <col min="12556" max="12799" width="11.42578125" style="199"/>
    <col min="12800" max="12800" width="1.7109375" style="199" customWidth="1"/>
    <col min="12801" max="12801" width="17.85546875" style="199" customWidth="1"/>
    <col min="12802" max="12802" width="5.7109375" style="199" customWidth="1"/>
    <col min="12803" max="12803" width="6.140625" style="199" customWidth="1"/>
    <col min="12804" max="12804" width="36.7109375" style="199" customWidth="1"/>
    <col min="12805" max="12811" width="9.7109375" style="199" customWidth="1"/>
    <col min="12812" max="13055" width="11.42578125" style="199"/>
    <col min="13056" max="13056" width="1.7109375" style="199" customWidth="1"/>
    <col min="13057" max="13057" width="17.85546875" style="199" customWidth="1"/>
    <col min="13058" max="13058" width="5.7109375" style="199" customWidth="1"/>
    <col min="13059" max="13059" width="6.140625" style="199" customWidth="1"/>
    <col min="13060" max="13060" width="36.7109375" style="199" customWidth="1"/>
    <col min="13061" max="13067" width="9.7109375" style="199" customWidth="1"/>
    <col min="13068" max="13311" width="11.42578125" style="199"/>
    <col min="13312" max="13312" width="1.7109375" style="199" customWidth="1"/>
    <col min="13313" max="13313" width="17.85546875" style="199" customWidth="1"/>
    <col min="13314" max="13314" width="5.7109375" style="199" customWidth="1"/>
    <col min="13315" max="13315" width="6.140625" style="199" customWidth="1"/>
    <col min="13316" max="13316" width="36.7109375" style="199" customWidth="1"/>
    <col min="13317" max="13323" width="9.7109375" style="199" customWidth="1"/>
    <col min="13324" max="13567" width="11.42578125" style="199"/>
    <col min="13568" max="13568" width="1.7109375" style="199" customWidth="1"/>
    <col min="13569" max="13569" width="17.85546875" style="199" customWidth="1"/>
    <col min="13570" max="13570" width="5.7109375" style="199" customWidth="1"/>
    <col min="13571" max="13571" width="6.140625" style="199" customWidth="1"/>
    <col min="13572" max="13572" width="36.7109375" style="199" customWidth="1"/>
    <col min="13573" max="13579" width="9.7109375" style="199" customWidth="1"/>
    <col min="13580" max="13823" width="11.42578125" style="199"/>
    <col min="13824" max="13824" width="1.7109375" style="199" customWidth="1"/>
    <col min="13825" max="13825" width="17.85546875" style="199" customWidth="1"/>
    <col min="13826" max="13826" width="5.7109375" style="199" customWidth="1"/>
    <col min="13827" max="13827" width="6.140625" style="199" customWidth="1"/>
    <col min="13828" max="13828" width="36.7109375" style="199" customWidth="1"/>
    <col min="13829" max="13835" width="9.7109375" style="199" customWidth="1"/>
    <col min="13836" max="14079" width="11.42578125" style="199"/>
    <col min="14080" max="14080" width="1.7109375" style="199" customWidth="1"/>
    <col min="14081" max="14081" width="17.85546875" style="199" customWidth="1"/>
    <col min="14082" max="14082" width="5.7109375" style="199" customWidth="1"/>
    <col min="14083" max="14083" width="6.140625" style="199" customWidth="1"/>
    <col min="14084" max="14084" width="36.7109375" style="199" customWidth="1"/>
    <col min="14085" max="14091" width="9.7109375" style="199" customWidth="1"/>
    <col min="14092" max="14335" width="11.42578125" style="199"/>
    <col min="14336" max="14336" width="1.7109375" style="199" customWidth="1"/>
    <col min="14337" max="14337" width="17.85546875" style="199" customWidth="1"/>
    <col min="14338" max="14338" width="5.7109375" style="199" customWidth="1"/>
    <col min="14339" max="14339" width="6.140625" style="199" customWidth="1"/>
    <col min="14340" max="14340" width="36.7109375" style="199" customWidth="1"/>
    <col min="14341" max="14347" width="9.7109375" style="199" customWidth="1"/>
    <col min="14348" max="14591" width="11.42578125" style="199"/>
    <col min="14592" max="14592" width="1.7109375" style="199" customWidth="1"/>
    <col min="14593" max="14593" width="17.85546875" style="199" customWidth="1"/>
    <col min="14594" max="14594" width="5.7109375" style="199" customWidth="1"/>
    <col min="14595" max="14595" width="6.140625" style="199" customWidth="1"/>
    <col min="14596" max="14596" width="36.7109375" style="199" customWidth="1"/>
    <col min="14597" max="14603" width="9.7109375" style="199" customWidth="1"/>
    <col min="14604" max="14847" width="11.42578125" style="199"/>
    <col min="14848" max="14848" width="1.7109375" style="199" customWidth="1"/>
    <col min="14849" max="14849" width="17.85546875" style="199" customWidth="1"/>
    <col min="14850" max="14850" width="5.7109375" style="199" customWidth="1"/>
    <col min="14851" max="14851" width="6.140625" style="199" customWidth="1"/>
    <col min="14852" max="14852" width="36.7109375" style="199" customWidth="1"/>
    <col min="14853" max="14859" width="9.7109375" style="199" customWidth="1"/>
    <col min="14860" max="15103" width="11.42578125" style="199"/>
    <col min="15104" max="15104" width="1.7109375" style="199" customWidth="1"/>
    <col min="15105" max="15105" width="17.85546875" style="199" customWidth="1"/>
    <col min="15106" max="15106" width="5.7109375" style="199" customWidth="1"/>
    <col min="15107" max="15107" width="6.140625" style="199" customWidth="1"/>
    <col min="15108" max="15108" width="36.7109375" style="199" customWidth="1"/>
    <col min="15109" max="15115" width="9.7109375" style="199" customWidth="1"/>
    <col min="15116" max="15359" width="11.42578125" style="199"/>
    <col min="15360" max="15360" width="1.7109375" style="199" customWidth="1"/>
    <col min="15361" max="15361" width="17.85546875" style="199" customWidth="1"/>
    <col min="15362" max="15362" width="5.7109375" style="199" customWidth="1"/>
    <col min="15363" max="15363" width="6.140625" style="199" customWidth="1"/>
    <col min="15364" max="15364" width="36.7109375" style="199" customWidth="1"/>
    <col min="15365" max="15371" width="9.7109375" style="199" customWidth="1"/>
    <col min="15372" max="15615" width="11.42578125" style="199"/>
    <col min="15616" max="15616" width="1.7109375" style="199" customWidth="1"/>
    <col min="15617" max="15617" width="17.85546875" style="199" customWidth="1"/>
    <col min="15618" max="15618" width="5.7109375" style="199" customWidth="1"/>
    <col min="15619" max="15619" width="6.140625" style="199" customWidth="1"/>
    <col min="15620" max="15620" width="36.7109375" style="199" customWidth="1"/>
    <col min="15621" max="15627" width="9.7109375" style="199" customWidth="1"/>
    <col min="15628" max="15871" width="11.42578125" style="199"/>
    <col min="15872" max="15872" width="1.7109375" style="199" customWidth="1"/>
    <col min="15873" max="15873" width="17.85546875" style="199" customWidth="1"/>
    <col min="15874" max="15874" width="5.7109375" style="199" customWidth="1"/>
    <col min="15875" max="15875" width="6.140625" style="199" customWidth="1"/>
    <col min="15876" max="15876" width="36.7109375" style="199" customWidth="1"/>
    <col min="15877" max="15883" width="9.7109375" style="199" customWidth="1"/>
    <col min="15884" max="16127" width="11.42578125" style="199"/>
    <col min="16128" max="16128" width="1.7109375" style="199" customWidth="1"/>
    <col min="16129" max="16129" width="17.85546875" style="199" customWidth="1"/>
    <col min="16130" max="16130" width="5.7109375" style="199" customWidth="1"/>
    <col min="16131" max="16131" width="6.140625" style="199" customWidth="1"/>
    <col min="16132" max="16132" width="36.7109375" style="199" customWidth="1"/>
    <col min="16133" max="16139" width="9.7109375" style="199" customWidth="1"/>
    <col min="16140" max="16384" width="11.42578125" style="199"/>
  </cols>
  <sheetData>
    <row r="1" spans="1:17" s="203" customFormat="1" ht="31.5" customHeight="1" x14ac:dyDescent="0.25">
      <c r="A1" s="5097" t="s">
        <v>1362</v>
      </c>
      <c r="B1" s="5097"/>
      <c r="C1" s="5097"/>
      <c r="D1" s="5097"/>
      <c r="E1" s="205"/>
      <c r="F1" s="205"/>
      <c r="G1" s="205"/>
      <c r="H1" s="205"/>
      <c r="I1" s="205"/>
      <c r="J1" s="205"/>
      <c r="K1" s="205"/>
    </row>
    <row r="2" spans="1:17" s="203" customFormat="1" ht="15.75" x14ac:dyDescent="0.25">
      <c r="A2" s="205"/>
      <c r="B2" s="205"/>
      <c r="C2" s="205"/>
      <c r="D2" s="205"/>
      <c r="E2" s="205"/>
      <c r="F2" s="205"/>
      <c r="G2" s="205"/>
      <c r="H2" s="205"/>
      <c r="I2" s="205"/>
      <c r="J2" s="205"/>
      <c r="K2" s="205"/>
    </row>
    <row r="3" spans="1:17" s="196" customFormat="1" ht="29.25" customHeight="1" x14ac:dyDescent="0.25">
      <c r="A3" s="2059" t="s">
        <v>16</v>
      </c>
      <c r="B3" s="2059" t="s">
        <v>166</v>
      </c>
      <c r="C3" s="2059" t="s">
        <v>229</v>
      </c>
      <c r="D3" s="2059" t="s">
        <v>351</v>
      </c>
      <c r="E3" s="566">
        <v>2003</v>
      </c>
      <c r="F3" s="566">
        <v>2004</v>
      </c>
      <c r="G3" s="1472">
        <v>2005</v>
      </c>
      <c r="H3" s="567">
        <v>2006</v>
      </c>
      <c r="I3" s="567">
        <v>2007</v>
      </c>
      <c r="J3" s="567">
        <v>2008</v>
      </c>
      <c r="K3" s="567">
        <v>2009</v>
      </c>
      <c r="L3" s="567">
        <v>2010</v>
      </c>
      <c r="M3" s="567">
        <v>2011</v>
      </c>
      <c r="N3" s="567">
        <v>2012</v>
      </c>
      <c r="O3" s="567">
        <v>2013</v>
      </c>
      <c r="P3" s="567">
        <v>2014</v>
      </c>
      <c r="Q3" s="567">
        <v>2015</v>
      </c>
    </row>
    <row r="4" spans="1:17" s="186" customFormat="1" ht="15" customHeight="1" x14ac:dyDescent="0.2">
      <c r="A4" s="498"/>
      <c r="B4" s="498"/>
      <c r="C4" s="498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  <c r="P4" s="498"/>
      <c r="Q4" s="498"/>
    </row>
    <row r="5" spans="1:17" s="186" customFormat="1" ht="15" customHeight="1" x14ac:dyDescent="0.25">
      <c r="A5" s="5311" t="s">
        <v>3</v>
      </c>
      <c r="B5" s="5046" t="s">
        <v>5</v>
      </c>
      <c r="C5" s="4067">
        <v>1</v>
      </c>
      <c r="D5" s="4068" t="s">
        <v>452</v>
      </c>
      <c r="E5" s="4069">
        <v>20.973684210526315</v>
      </c>
      <c r="F5" s="4069">
        <v>22</v>
      </c>
      <c r="G5" s="4070">
        <v>21.375</v>
      </c>
      <c r="H5" s="4071">
        <v>24.208333333333332</v>
      </c>
      <c r="I5" s="4071">
        <v>18.777777777777779</v>
      </c>
      <c r="J5" s="4071">
        <v>20.666666666666664</v>
      </c>
      <c r="K5" s="4072">
        <v>21.966666666666665</v>
      </c>
      <c r="L5" s="4072">
        <v>20.62962962962963</v>
      </c>
      <c r="M5" s="4072">
        <v>20.285714285714285</v>
      </c>
      <c r="N5" s="4072">
        <v>19.675000000000001</v>
      </c>
      <c r="O5" s="4072">
        <v>18.236363636363638</v>
      </c>
      <c r="P5" s="4072">
        <v>18.189655172413797</v>
      </c>
      <c r="Q5" s="4072">
        <v>18.812499999999996</v>
      </c>
    </row>
    <row r="6" spans="1:17" s="186" customFormat="1" ht="15" customHeight="1" x14ac:dyDescent="0.25">
      <c r="A6" s="5312"/>
      <c r="B6" s="5047"/>
      <c r="C6" s="4073">
        <v>2</v>
      </c>
      <c r="D6" s="4074" t="s">
        <v>453</v>
      </c>
      <c r="E6" s="4075">
        <v>23.294117647058822</v>
      </c>
      <c r="F6" s="4075">
        <v>25.3</v>
      </c>
      <c r="G6" s="4076">
        <v>22.928571428571427</v>
      </c>
      <c r="H6" s="4077">
        <v>22.774193548387096</v>
      </c>
      <c r="I6" s="4077">
        <v>23.516129032258068</v>
      </c>
      <c r="J6" s="4077">
        <v>23.684210526315788</v>
      </c>
      <c r="K6" s="4078">
        <v>22.909090909090917</v>
      </c>
      <c r="L6" s="4078">
        <v>21.375</v>
      </c>
      <c r="M6" s="4078">
        <v>20.694444444444446</v>
      </c>
      <c r="N6" s="4078">
        <v>21.428571428571431</v>
      </c>
      <c r="O6" s="4078">
        <v>20.457627118644062</v>
      </c>
      <c r="P6" s="4078">
        <v>19.232558139534891</v>
      </c>
      <c r="Q6" s="4078">
        <v>19.8</v>
      </c>
    </row>
    <row r="7" spans="1:17" s="186" customFormat="1" ht="15" customHeight="1" x14ac:dyDescent="0.25">
      <c r="A7" s="5312"/>
      <c r="B7" s="5047"/>
      <c r="C7" s="4073">
        <v>3</v>
      </c>
      <c r="D7" s="4074" t="s">
        <v>454</v>
      </c>
      <c r="E7" s="4075">
        <v>27.708333333333332</v>
      </c>
      <c r="F7" s="4075">
        <v>28.833333333333332</v>
      </c>
      <c r="G7" s="4076">
        <v>28.90909090909091</v>
      </c>
      <c r="H7" s="4077">
        <v>25.75</v>
      </c>
      <c r="I7" s="4077">
        <v>27.038461538461529</v>
      </c>
      <c r="J7" s="4077">
        <v>30.466666666666665</v>
      </c>
      <c r="K7" s="4078">
        <v>23.29411764705883</v>
      </c>
      <c r="L7" s="4078">
        <v>20.333333333333332</v>
      </c>
      <c r="M7" s="4078">
        <v>23.066666666666666</v>
      </c>
      <c r="N7" s="4078">
        <v>21.1</v>
      </c>
      <c r="O7" s="4078">
        <v>23.411764705882351</v>
      </c>
      <c r="P7" s="4078">
        <v>23.904761904761905</v>
      </c>
      <c r="Q7" s="4078">
        <v>20.095238095238098</v>
      </c>
    </row>
    <row r="8" spans="1:17" s="186" customFormat="1" ht="15" customHeight="1" x14ac:dyDescent="0.25">
      <c r="A8" s="5312"/>
      <c r="B8" s="5047"/>
      <c r="C8" s="4073">
        <v>4</v>
      </c>
      <c r="D8" s="4074" t="s">
        <v>455</v>
      </c>
      <c r="E8" s="4075">
        <v>23.5</v>
      </c>
      <c r="F8" s="4075">
        <v>26.23076923076923</v>
      </c>
      <c r="G8" s="4076">
        <v>22.3125</v>
      </c>
      <c r="H8" s="4077">
        <v>21.48</v>
      </c>
      <c r="I8" s="4077">
        <v>23.181818181818183</v>
      </c>
      <c r="J8" s="4077">
        <v>21.466666666666672</v>
      </c>
      <c r="K8" s="4078">
        <v>18.399999999999999</v>
      </c>
      <c r="L8" s="4078">
        <v>21.882352941176467</v>
      </c>
      <c r="M8" s="4078">
        <v>19.46153846153846</v>
      </c>
      <c r="N8" s="4078">
        <v>21.411764705882355</v>
      </c>
      <c r="O8" s="4078">
        <v>21.150000000000002</v>
      </c>
      <c r="P8" s="4078">
        <v>21.088235294117645</v>
      </c>
      <c r="Q8" s="4078">
        <v>20.350000000000001</v>
      </c>
    </row>
    <row r="9" spans="1:17" s="186" customFormat="1" ht="15" customHeight="1" x14ac:dyDescent="0.25">
      <c r="A9" s="5312"/>
      <c r="B9" s="5047"/>
      <c r="C9" s="4073">
        <v>5</v>
      </c>
      <c r="D9" s="4074" t="s">
        <v>456</v>
      </c>
      <c r="E9" s="4075">
        <v>21.827586206896552</v>
      </c>
      <c r="F9" s="4075">
        <v>22.705882352941178</v>
      </c>
      <c r="G9" s="4076">
        <v>21.511627906976745</v>
      </c>
      <c r="H9" s="4077">
        <v>20.863636363636363</v>
      </c>
      <c r="I9" s="4077">
        <v>21.111111111111104</v>
      </c>
      <c r="J9" s="4077">
        <v>20</v>
      </c>
      <c r="K9" s="4078">
        <v>19.539325842696634</v>
      </c>
      <c r="L9" s="4078">
        <v>20.089887640449433</v>
      </c>
      <c r="M9" s="4078">
        <v>20.577464788732403</v>
      </c>
      <c r="N9" s="4078">
        <v>20.231884057971001</v>
      </c>
      <c r="O9" s="4078">
        <v>19.819819819819823</v>
      </c>
      <c r="P9" s="4078">
        <v>20.515463917525778</v>
      </c>
      <c r="Q9" s="4078">
        <v>21.023529411764709</v>
      </c>
    </row>
    <row r="10" spans="1:17" s="186" customFormat="1" ht="15" customHeight="1" x14ac:dyDescent="0.25">
      <c r="A10" s="5312"/>
      <c r="B10" s="5047"/>
      <c r="C10" s="4073">
        <v>6</v>
      </c>
      <c r="D10" s="4074" t="s">
        <v>457</v>
      </c>
      <c r="E10" s="4075">
        <v>23.196721311475411</v>
      </c>
      <c r="F10" s="4075">
        <v>23.756756756756758</v>
      </c>
      <c r="G10" s="4076">
        <v>22.916666666666668</v>
      </c>
      <c r="H10" s="4077">
        <v>23.83050847457627</v>
      </c>
      <c r="I10" s="4077">
        <v>22.795918367346946</v>
      </c>
      <c r="J10" s="4077">
        <v>21.372549019607842</v>
      </c>
      <c r="K10" s="4078">
        <v>21.116279069767444</v>
      </c>
      <c r="L10" s="4078">
        <v>22.206896551724135</v>
      </c>
      <c r="M10" s="4078">
        <v>20.952380952380953</v>
      </c>
      <c r="N10" s="4078">
        <v>21.342105263157894</v>
      </c>
      <c r="O10" s="4078">
        <v>21.796296296296294</v>
      </c>
      <c r="P10" s="4078">
        <v>21.974358974358974</v>
      </c>
      <c r="Q10" s="4078">
        <v>21.604651162790695</v>
      </c>
    </row>
    <row r="11" spans="1:17" s="186" customFormat="1" ht="15" customHeight="1" x14ac:dyDescent="0.25">
      <c r="A11" s="5312"/>
      <c r="B11" s="5047"/>
      <c r="C11" s="4073">
        <v>7</v>
      </c>
      <c r="D11" s="4074" t="s">
        <v>458</v>
      </c>
      <c r="E11" s="4075">
        <v>24.923076923076923</v>
      </c>
      <c r="F11" s="4075">
        <v>28.857142857142858</v>
      </c>
      <c r="G11" s="4076">
        <v>24.545454545454547</v>
      </c>
      <c r="H11" s="4077">
        <v>20.222222222222221</v>
      </c>
      <c r="I11" s="4077">
        <v>21</v>
      </c>
      <c r="J11" s="4077">
        <v>17</v>
      </c>
      <c r="K11" s="4078">
        <v>18.333333333333332</v>
      </c>
      <c r="L11" s="4078">
        <v>16.8</v>
      </c>
      <c r="M11" s="4078">
        <v>21</v>
      </c>
      <c r="N11" s="4078">
        <v>21</v>
      </c>
      <c r="O11" s="4078">
        <v>21.444444444444443</v>
      </c>
      <c r="P11" s="4078">
        <v>22.473684210526315</v>
      </c>
      <c r="Q11" s="4078">
        <v>21.764705882352942</v>
      </c>
    </row>
    <row r="12" spans="1:17" s="186" customFormat="1" ht="15" customHeight="1" x14ac:dyDescent="0.25">
      <c r="A12" s="5312"/>
      <c r="B12" s="5047"/>
      <c r="C12" s="4073">
        <v>8</v>
      </c>
      <c r="D12" s="4074" t="s">
        <v>459</v>
      </c>
      <c r="E12" s="4075">
        <v>22.302325581395348</v>
      </c>
      <c r="F12" s="4075">
        <v>20.489795918367346</v>
      </c>
      <c r="G12" s="4076">
        <v>21.035714285714285</v>
      </c>
      <c r="H12" s="4077">
        <v>21.824999999999999</v>
      </c>
      <c r="I12" s="4077">
        <v>20.111111111111111</v>
      </c>
      <c r="J12" s="4077">
        <v>19.943396226415096</v>
      </c>
      <c r="K12" s="4078">
        <v>21.8125</v>
      </c>
      <c r="L12" s="4078">
        <v>19.978260869565215</v>
      </c>
      <c r="M12" s="4078">
        <v>19.622222222222213</v>
      </c>
      <c r="N12" s="4078">
        <v>18.216216216216214</v>
      </c>
      <c r="O12" s="4078">
        <v>19.185185185185183</v>
      </c>
      <c r="P12" s="4078">
        <v>20.726190476190485</v>
      </c>
      <c r="Q12" s="4078">
        <v>20.383561643835613</v>
      </c>
    </row>
    <row r="13" spans="1:17" s="186" customFormat="1" ht="15" customHeight="1" x14ac:dyDescent="0.25">
      <c r="A13" s="5312"/>
      <c r="B13" s="5047"/>
      <c r="C13" s="4073">
        <v>9</v>
      </c>
      <c r="D13" s="4074" t="s">
        <v>460</v>
      </c>
      <c r="E13" s="4075">
        <v>22.445454545454545</v>
      </c>
      <c r="F13" s="4075">
        <v>22.73</v>
      </c>
      <c r="G13" s="4076">
        <v>22.14782608695652</v>
      </c>
      <c r="H13" s="4077">
        <v>23.597826086956523</v>
      </c>
      <c r="I13" s="4077">
        <v>22.047619047619044</v>
      </c>
      <c r="J13" s="4077">
        <v>21.799999999999994</v>
      </c>
      <c r="K13" s="4078">
        <v>21.684210526315784</v>
      </c>
      <c r="L13" s="4078">
        <v>22.672727272727272</v>
      </c>
      <c r="M13" s="4078">
        <v>23.253521126760575</v>
      </c>
      <c r="N13" s="4078">
        <v>21.084507042253517</v>
      </c>
      <c r="O13" s="4078">
        <v>22.592105263157901</v>
      </c>
      <c r="P13" s="4078">
        <v>22.338983050847457</v>
      </c>
      <c r="Q13" s="4078">
        <v>23.280701754385969</v>
      </c>
    </row>
    <row r="14" spans="1:17" s="186" customFormat="1" ht="15" customHeight="1" x14ac:dyDescent="0.25">
      <c r="A14" s="5312"/>
      <c r="B14" s="5047"/>
      <c r="C14" s="4081">
        <v>122</v>
      </c>
      <c r="D14" s="4082" t="s">
        <v>461</v>
      </c>
      <c r="E14" s="4092"/>
      <c r="F14" s="4092"/>
      <c r="G14" s="4084"/>
      <c r="H14" s="4093"/>
      <c r="I14" s="4093">
        <v>11.5</v>
      </c>
      <c r="J14" s="4093">
        <v>14.562500000000002</v>
      </c>
      <c r="K14" s="4094">
        <v>14.913043478260869</v>
      </c>
      <c r="L14" s="4094">
        <v>17.101694915254239</v>
      </c>
      <c r="M14" s="4094">
        <v>18.75</v>
      </c>
      <c r="N14" s="4094">
        <v>18.800000000000008</v>
      </c>
      <c r="O14" s="4094">
        <v>20.850746268656714</v>
      </c>
      <c r="P14" s="4094">
        <v>21.458333333333318</v>
      </c>
      <c r="Q14" s="4094">
        <v>20.779220779220779</v>
      </c>
    </row>
    <row r="15" spans="1:17" s="186" customFormat="1" ht="15" customHeight="1" x14ac:dyDescent="0.25">
      <c r="A15" s="5312"/>
      <c r="B15" s="5046" t="s">
        <v>6</v>
      </c>
      <c r="C15" s="4086">
        <v>11</v>
      </c>
      <c r="D15" s="4087" t="s">
        <v>462</v>
      </c>
      <c r="E15" s="4088">
        <v>14.882926829268293</v>
      </c>
      <c r="F15" s="4088">
        <v>14.957894736842105</v>
      </c>
      <c r="G15" s="4089">
        <v>14.742331288343559</v>
      </c>
      <c r="H15" s="4090">
        <v>15.801324503311259</v>
      </c>
      <c r="I15" s="4090">
        <v>15.18</v>
      </c>
      <c r="J15" s="4090">
        <v>15.058823529411757</v>
      </c>
      <c r="K15" s="4091">
        <v>15.51592356687898</v>
      </c>
      <c r="L15" s="4091">
        <v>15.264705882352938</v>
      </c>
      <c r="M15" s="4091">
        <v>15.283687943262414</v>
      </c>
      <c r="N15" s="4091">
        <v>14.585635359116019</v>
      </c>
      <c r="O15" s="4091">
        <v>15.557142857142855</v>
      </c>
      <c r="P15" s="4091">
        <v>14.949720670391072</v>
      </c>
      <c r="Q15" s="4091">
        <v>15.731578947368426</v>
      </c>
    </row>
    <row r="16" spans="1:17" s="186" customFormat="1" ht="15" customHeight="1" x14ac:dyDescent="0.25">
      <c r="A16" s="5312"/>
      <c r="B16" s="5047"/>
      <c r="C16" s="4073">
        <v>12</v>
      </c>
      <c r="D16" s="4074" t="s">
        <v>463</v>
      </c>
      <c r="E16" s="4075">
        <v>16.13821138211382</v>
      </c>
      <c r="F16" s="4075">
        <v>16.074999999999999</v>
      </c>
      <c r="G16" s="4076">
        <v>15.647773279352228</v>
      </c>
      <c r="H16" s="4077">
        <v>16.271493212669682</v>
      </c>
      <c r="I16" s="4077">
        <v>16.1875</v>
      </c>
      <c r="J16" s="4077">
        <v>16.474885844748858</v>
      </c>
      <c r="K16" s="4078">
        <v>15.901709401709397</v>
      </c>
      <c r="L16" s="4078">
        <v>15.873417721518992</v>
      </c>
      <c r="M16" s="4078">
        <v>16.100591715976321</v>
      </c>
      <c r="N16" s="4078">
        <v>15.834782608695667</v>
      </c>
      <c r="O16" s="4078">
        <v>15.282420749279545</v>
      </c>
      <c r="P16" s="4078">
        <v>14.797468354430384</v>
      </c>
      <c r="Q16" s="4078">
        <v>15.546125461254611</v>
      </c>
    </row>
    <row r="17" spans="1:17" s="186" customFormat="1" ht="15" customHeight="1" x14ac:dyDescent="0.25">
      <c r="A17" s="5312"/>
      <c r="B17" s="5047"/>
      <c r="C17" s="4073">
        <v>13</v>
      </c>
      <c r="D17" s="4074" t="s">
        <v>464</v>
      </c>
      <c r="E17" s="4075">
        <v>20.846153846153847</v>
      </c>
      <c r="F17" s="4075">
        <v>20.23076923076923</v>
      </c>
      <c r="G17" s="4076">
        <v>20.891891891891891</v>
      </c>
      <c r="H17" s="4077">
        <v>20.333333333333332</v>
      </c>
      <c r="I17" s="4077">
        <v>18.839285714285715</v>
      </c>
      <c r="J17" s="4077">
        <v>16.666666666666675</v>
      </c>
      <c r="K17" s="4078">
        <v>17.763636363636373</v>
      </c>
      <c r="L17" s="4078">
        <v>19.426229508196727</v>
      </c>
      <c r="M17" s="4078">
        <v>18.843137254901961</v>
      </c>
      <c r="N17" s="4078">
        <v>18.928571428571427</v>
      </c>
      <c r="O17" s="4078">
        <v>18.216216216216214</v>
      </c>
      <c r="P17" s="4078">
        <v>19</v>
      </c>
      <c r="Q17" s="4078">
        <v>17.918918918918923</v>
      </c>
    </row>
    <row r="18" spans="1:17" s="186" customFormat="1" ht="15" customHeight="1" x14ac:dyDescent="0.25">
      <c r="A18" s="5312"/>
      <c r="B18" s="5048"/>
      <c r="C18" s="4081">
        <v>14</v>
      </c>
      <c r="D18" s="4082" t="s">
        <v>465</v>
      </c>
      <c r="E18" s="4092">
        <v>18.680555555555557</v>
      </c>
      <c r="F18" s="4092">
        <v>17.216867469879517</v>
      </c>
      <c r="G18" s="4084">
        <v>18.528301886792452</v>
      </c>
      <c r="H18" s="4093">
        <v>18.966666666666665</v>
      </c>
      <c r="I18" s="4093">
        <v>18.379310344827587</v>
      </c>
      <c r="J18" s="4093">
        <v>17.920634920634917</v>
      </c>
      <c r="K18" s="4094">
        <v>19.203703703703709</v>
      </c>
      <c r="L18" s="4094">
        <v>17.623188405797098</v>
      </c>
      <c r="M18" s="4094">
        <v>17.538461538461537</v>
      </c>
      <c r="N18" s="4094">
        <v>18.368421052631579</v>
      </c>
      <c r="O18" s="4094">
        <v>18.225806451612893</v>
      </c>
      <c r="P18" s="4094">
        <v>17.399999999999999</v>
      </c>
      <c r="Q18" s="4094">
        <v>17.861702127659573</v>
      </c>
    </row>
    <row r="19" spans="1:17" s="186" customFormat="1" ht="15" customHeight="1" x14ac:dyDescent="0.25">
      <c r="A19" s="5312"/>
      <c r="B19" s="5047" t="s">
        <v>7</v>
      </c>
      <c r="C19" s="4086">
        <v>17</v>
      </c>
      <c r="D19" s="4087" t="s">
        <v>466</v>
      </c>
      <c r="E19" s="4088">
        <v>18.965277777777779</v>
      </c>
      <c r="F19" s="4088">
        <v>18.960629921259841</v>
      </c>
      <c r="G19" s="4089">
        <v>19.333333333333332</v>
      </c>
      <c r="H19" s="4090">
        <v>18.22689075630252</v>
      </c>
      <c r="I19" s="4090">
        <v>17.089655172413785</v>
      </c>
      <c r="J19" s="4090">
        <v>16.729166666666675</v>
      </c>
      <c r="K19" s="4091">
        <v>16.959731543624155</v>
      </c>
      <c r="L19" s="4091">
        <v>17.606837606837612</v>
      </c>
      <c r="M19" s="4091">
        <v>16.131868131868135</v>
      </c>
      <c r="N19" s="4091">
        <v>16.776470588235288</v>
      </c>
      <c r="O19" s="4091">
        <v>16.693430656934307</v>
      </c>
      <c r="P19" s="4091">
        <v>17.415254237288142</v>
      </c>
      <c r="Q19" s="4091">
        <v>18.161764705882348</v>
      </c>
    </row>
    <row r="20" spans="1:17" s="186" customFormat="1" ht="15" customHeight="1" x14ac:dyDescent="0.25">
      <c r="A20" s="5312"/>
      <c r="B20" s="5047"/>
      <c r="C20" s="4073">
        <v>18</v>
      </c>
      <c r="D20" s="4074" t="s">
        <v>467</v>
      </c>
      <c r="E20" s="4075">
        <v>15.69832402234637</v>
      </c>
      <c r="F20" s="4075">
        <v>16.734513274336283</v>
      </c>
      <c r="G20" s="4076">
        <v>16.089655172413792</v>
      </c>
      <c r="H20" s="4077">
        <v>16.029411764705884</v>
      </c>
      <c r="I20" s="4077">
        <v>15.030303030303042</v>
      </c>
      <c r="J20" s="4077">
        <v>15.214285714285714</v>
      </c>
      <c r="K20" s="4078">
        <v>15.421383647798731</v>
      </c>
      <c r="L20" s="4078">
        <v>15.208333333333336</v>
      </c>
      <c r="M20" s="4078">
        <v>15.566265060240967</v>
      </c>
      <c r="N20" s="4078">
        <v>16.038095238095231</v>
      </c>
      <c r="O20" s="4078">
        <v>15.205607476635523</v>
      </c>
      <c r="P20" s="4078">
        <v>15.354330708661418</v>
      </c>
      <c r="Q20" s="4078">
        <v>15.736363636363627</v>
      </c>
    </row>
    <row r="21" spans="1:17" s="186" customFormat="1" ht="15" customHeight="1" x14ac:dyDescent="0.25">
      <c r="A21" s="5313"/>
      <c r="B21" s="5048"/>
      <c r="C21" s="4081">
        <v>19</v>
      </c>
      <c r="D21" s="4082" t="s">
        <v>468</v>
      </c>
      <c r="E21" s="4092">
        <v>16.701030927835053</v>
      </c>
      <c r="F21" s="4092">
        <v>16.620253164556964</v>
      </c>
      <c r="G21" s="4084">
        <v>16.305555555555557</v>
      </c>
      <c r="H21" s="4093">
        <v>16.623188405797102</v>
      </c>
      <c r="I21" s="4093">
        <v>14.474576271186441</v>
      </c>
      <c r="J21" s="4093">
        <v>16.083333333333339</v>
      </c>
      <c r="K21" s="4094">
        <v>15.910714285714286</v>
      </c>
      <c r="L21" s="4094">
        <v>16.714285714285708</v>
      </c>
      <c r="M21" s="4094">
        <v>16.97058823529412</v>
      </c>
      <c r="N21" s="4094">
        <v>18.603174603174601</v>
      </c>
      <c r="O21" s="4094">
        <v>16.157303370786511</v>
      </c>
      <c r="P21" s="4094">
        <v>15.91</v>
      </c>
      <c r="Q21" s="4094">
        <v>16.927835051546396</v>
      </c>
    </row>
    <row r="22" spans="1:17" s="186" customFormat="1" ht="15" customHeight="1" x14ac:dyDescent="0.25">
      <c r="A22" s="5308" t="s">
        <v>75</v>
      </c>
      <c r="B22" s="5049" t="s">
        <v>5</v>
      </c>
      <c r="C22" s="4086">
        <v>22</v>
      </c>
      <c r="D22" s="4087" t="s">
        <v>469</v>
      </c>
      <c r="E22" s="4088">
        <v>21.166666666666668</v>
      </c>
      <c r="F22" s="4088">
        <v>19.40625</v>
      </c>
      <c r="G22" s="4089">
        <v>21.484848484848484</v>
      </c>
      <c r="H22" s="4090">
        <v>21.481481481481481</v>
      </c>
      <c r="I22" s="4090">
        <v>22.483870967741939</v>
      </c>
      <c r="J22" s="4090">
        <v>21.031249999999996</v>
      </c>
      <c r="K22" s="4091">
        <v>19.052631578947373</v>
      </c>
      <c r="L22" s="4091">
        <v>17.375</v>
      </c>
      <c r="M22" s="4091">
        <v>18.642857142857139</v>
      </c>
      <c r="N22" s="4091">
        <v>20.37037037037037</v>
      </c>
      <c r="O22" s="4091">
        <v>21.409090909090907</v>
      </c>
      <c r="P22" s="4091">
        <v>21.818181818181813</v>
      </c>
      <c r="Q22" s="4091">
        <v>20.77272727272727</v>
      </c>
    </row>
    <row r="23" spans="1:17" s="186" customFormat="1" ht="15" customHeight="1" x14ac:dyDescent="0.25">
      <c r="A23" s="5309"/>
      <c r="B23" s="5050"/>
      <c r="C23" s="4073">
        <v>23</v>
      </c>
      <c r="D23" s="4074" t="s">
        <v>470</v>
      </c>
      <c r="E23" s="4075">
        <v>20.625</v>
      </c>
      <c r="F23" s="4075">
        <v>20.666666666666668</v>
      </c>
      <c r="G23" s="4076">
        <v>26</v>
      </c>
      <c r="H23" s="4077">
        <v>22.25</v>
      </c>
      <c r="I23" s="4077">
        <v>18.600000000000001</v>
      </c>
      <c r="J23" s="4077"/>
      <c r="K23" s="4078">
        <v>22</v>
      </c>
      <c r="L23" s="4078">
        <v>19</v>
      </c>
      <c r="M23" s="4078">
        <v>15.6</v>
      </c>
      <c r="N23" s="4078">
        <v>20.166666666666668</v>
      </c>
      <c r="O23" s="4078"/>
      <c r="P23" s="4078">
        <v>19.133333333333333</v>
      </c>
      <c r="Q23" s="4078">
        <v>19.700000000000003</v>
      </c>
    </row>
    <row r="24" spans="1:17" s="186" customFormat="1" ht="15" customHeight="1" x14ac:dyDescent="0.25">
      <c r="A24" s="5309"/>
      <c r="B24" s="5050"/>
      <c r="C24" s="4073">
        <v>24</v>
      </c>
      <c r="D24" s="4074" t="s">
        <v>459</v>
      </c>
      <c r="E24" s="4075">
        <v>22.512820512820515</v>
      </c>
      <c r="F24" s="4075">
        <v>20.514285714285716</v>
      </c>
      <c r="G24" s="4076">
        <v>21.512820512820515</v>
      </c>
      <c r="H24" s="4077">
        <v>22.434782608695652</v>
      </c>
      <c r="I24" s="4077">
        <v>22.3</v>
      </c>
      <c r="J24" s="4077">
        <v>22.333333333333332</v>
      </c>
      <c r="K24" s="4078">
        <v>17.352941176470587</v>
      </c>
      <c r="L24" s="4078">
        <v>16.857142857142854</v>
      </c>
      <c r="M24" s="4078">
        <v>21.200000000000003</v>
      </c>
      <c r="N24" s="4078">
        <v>18.636363636363637</v>
      </c>
      <c r="O24" s="4078">
        <v>20.380952380952383</v>
      </c>
      <c r="P24" s="4078">
        <v>16.916666666666668</v>
      </c>
      <c r="Q24" s="4078">
        <v>18.578947368421051</v>
      </c>
    </row>
    <row r="25" spans="1:17" s="186" customFormat="1" ht="15" customHeight="1" x14ac:dyDescent="0.25">
      <c r="A25" s="5309"/>
      <c r="B25" s="5050"/>
      <c r="C25" s="4073">
        <v>25</v>
      </c>
      <c r="D25" s="4074" t="s">
        <v>471</v>
      </c>
      <c r="E25" s="4075">
        <v>23.615384615384617</v>
      </c>
      <c r="F25" s="4075">
        <v>20.5</v>
      </c>
      <c r="G25" s="4076">
        <v>22.6</v>
      </c>
      <c r="H25" s="4077">
        <v>20.652173913043477</v>
      </c>
      <c r="I25" s="4077">
        <v>23.1</v>
      </c>
      <c r="J25" s="4077">
        <v>20.785714285714285</v>
      </c>
      <c r="K25" s="4078">
        <v>16.384615384615383</v>
      </c>
      <c r="L25" s="4078">
        <v>18.705882352941178</v>
      </c>
      <c r="M25" s="4078">
        <v>18.294117647058822</v>
      </c>
      <c r="N25" s="4078">
        <v>19.999999999999996</v>
      </c>
      <c r="O25" s="4078">
        <v>18.642857142857142</v>
      </c>
      <c r="P25" s="4078">
        <v>19.307692307692307</v>
      </c>
      <c r="Q25" s="4078">
        <v>18.124999999999996</v>
      </c>
    </row>
    <row r="26" spans="1:17" s="186" customFormat="1" ht="15" customHeight="1" x14ac:dyDescent="0.25">
      <c r="A26" s="5309"/>
      <c r="B26" s="5050"/>
      <c r="C26" s="4073">
        <v>26</v>
      </c>
      <c r="D26" s="4074" t="s">
        <v>472</v>
      </c>
      <c r="E26" s="4075">
        <v>20.6</v>
      </c>
      <c r="F26" s="4075">
        <v>19.8125</v>
      </c>
      <c r="G26" s="4076">
        <v>19.333333333333332</v>
      </c>
      <c r="H26" s="4077">
        <v>18.133333333333333</v>
      </c>
      <c r="I26" s="4077">
        <v>20.555555555555557</v>
      </c>
      <c r="J26" s="4077">
        <v>18.818181818181824</v>
      </c>
      <c r="K26" s="4078">
        <v>21.833333333333336</v>
      </c>
      <c r="L26" s="4078">
        <v>24.230769230769234</v>
      </c>
      <c r="M26" s="4078">
        <v>16.3</v>
      </c>
      <c r="N26" s="4078">
        <v>23.555555555555557</v>
      </c>
      <c r="O26" s="4078">
        <v>18.363636363636363</v>
      </c>
      <c r="P26" s="4078">
        <v>18.058823529411761</v>
      </c>
      <c r="Q26" s="4078">
        <v>18.476190476190474</v>
      </c>
    </row>
    <row r="27" spans="1:17" s="186" customFormat="1" ht="15" customHeight="1" x14ac:dyDescent="0.25">
      <c r="A27" s="5309"/>
      <c r="B27" s="5050"/>
      <c r="C27" s="4073">
        <v>27</v>
      </c>
      <c r="D27" s="4074" t="s">
        <v>460</v>
      </c>
      <c r="E27" s="4075">
        <v>21.314285714285713</v>
      </c>
      <c r="F27" s="4075">
        <v>19.731343283582088</v>
      </c>
      <c r="G27" s="4076">
        <v>21.615384615384617</v>
      </c>
      <c r="H27" s="4077">
        <v>21.650793650793652</v>
      </c>
      <c r="I27" s="4077">
        <v>20.125</v>
      </c>
      <c r="J27" s="4077">
        <v>22.159090909090907</v>
      </c>
      <c r="K27" s="4078">
        <v>21.696969696969695</v>
      </c>
      <c r="L27" s="4078">
        <v>19.553191489361705</v>
      </c>
      <c r="M27" s="4078">
        <v>18.928571428571434</v>
      </c>
      <c r="N27" s="4078">
        <v>21.044444444444448</v>
      </c>
      <c r="O27" s="4078">
        <v>21.09090909090909</v>
      </c>
      <c r="P27" s="4078">
        <v>19.675675675675677</v>
      </c>
      <c r="Q27" s="4078">
        <v>18.740740740740737</v>
      </c>
    </row>
    <row r="28" spans="1:17" s="186" customFormat="1" ht="15" customHeight="1" x14ac:dyDescent="0.25">
      <c r="A28" s="5309"/>
      <c r="B28" s="5050"/>
      <c r="C28" s="4073">
        <v>28</v>
      </c>
      <c r="D28" s="4074" t="s">
        <v>473</v>
      </c>
      <c r="E28" s="4075">
        <v>20</v>
      </c>
      <c r="F28" s="4075">
        <v>21.411764705882351</v>
      </c>
      <c r="G28" s="4076">
        <v>22.416666666666668</v>
      </c>
      <c r="H28" s="4077">
        <v>23.38095238095238</v>
      </c>
      <c r="I28" s="4077">
        <v>22.7</v>
      </c>
      <c r="J28" s="4077">
        <v>20.75</v>
      </c>
      <c r="K28" s="4078">
        <v>21.1</v>
      </c>
      <c r="L28" s="4078">
        <v>18.764705882352942</v>
      </c>
      <c r="M28" s="4078">
        <v>20.2</v>
      </c>
      <c r="N28" s="4078">
        <v>21.4375</v>
      </c>
      <c r="O28" s="4078">
        <v>22.36</v>
      </c>
      <c r="P28" s="4078">
        <v>20.052631578947373</v>
      </c>
      <c r="Q28" s="4078">
        <v>22.916666666666668</v>
      </c>
    </row>
    <row r="29" spans="1:17" s="186" customFormat="1" ht="15" customHeight="1" x14ac:dyDescent="0.25">
      <c r="A29" s="5309"/>
      <c r="B29" s="5050"/>
      <c r="C29" s="4073">
        <v>29</v>
      </c>
      <c r="D29" s="4074" t="s">
        <v>474</v>
      </c>
      <c r="E29" s="4075">
        <v>19</v>
      </c>
      <c r="F29" s="4075">
        <v>23.125</v>
      </c>
      <c r="G29" s="4076">
        <v>16.777777777777779</v>
      </c>
      <c r="H29" s="4077">
        <v>21.6</v>
      </c>
      <c r="I29" s="4077">
        <v>24.6</v>
      </c>
      <c r="J29" s="4077">
        <v>23</v>
      </c>
      <c r="K29" s="4078">
        <v>16.125</v>
      </c>
      <c r="L29" s="4078">
        <v>16.285714285714285</v>
      </c>
      <c r="M29" s="4078">
        <v>18.727272727272727</v>
      </c>
      <c r="N29" s="4078">
        <v>17.214285714285715</v>
      </c>
      <c r="O29" s="4078">
        <v>15.5</v>
      </c>
      <c r="P29" s="4078">
        <v>19.000000000000004</v>
      </c>
      <c r="Q29" s="4078">
        <v>18</v>
      </c>
    </row>
    <row r="30" spans="1:17" s="186" customFormat="1" ht="15" customHeight="1" x14ac:dyDescent="0.25">
      <c r="A30" s="5309"/>
      <c r="B30" s="5051"/>
      <c r="C30" s="4081">
        <v>30</v>
      </c>
      <c r="D30" s="4082" t="s">
        <v>475</v>
      </c>
      <c r="E30" s="4092">
        <v>19.830188679245282</v>
      </c>
      <c r="F30" s="4092">
        <v>20.574468085106382</v>
      </c>
      <c r="G30" s="4084">
        <v>21.107692307692307</v>
      </c>
      <c r="H30" s="4093">
        <v>21.088235294117649</v>
      </c>
      <c r="I30" s="4093">
        <v>21.90243902439024</v>
      </c>
      <c r="J30" s="4093">
        <v>21.806451612903224</v>
      </c>
      <c r="K30" s="4094">
        <v>20.571428571428573</v>
      </c>
      <c r="L30" s="4094">
        <v>19.533333333333339</v>
      </c>
      <c r="M30" s="4094">
        <v>19.499999999999993</v>
      </c>
      <c r="N30" s="4094">
        <v>19.720930232558132</v>
      </c>
      <c r="O30" s="4094">
        <v>21.973684210526319</v>
      </c>
      <c r="P30" s="4094">
        <v>20.666666666666664</v>
      </c>
      <c r="Q30" s="4094">
        <v>19.740740740740744</v>
      </c>
    </row>
    <row r="31" spans="1:17" s="186" customFormat="1" ht="15" customHeight="1" x14ac:dyDescent="0.25">
      <c r="A31" s="5309"/>
      <c r="B31" s="5049" t="s">
        <v>6</v>
      </c>
      <c r="C31" s="4086">
        <v>37</v>
      </c>
      <c r="D31" s="4087" t="s">
        <v>462</v>
      </c>
      <c r="E31" s="4088">
        <v>17.278846153846153</v>
      </c>
      <c r="F31" s="4088">
        <v>16.848101265822784</v>
      </c>
      <c r="G31" s="4089">
        <v>15.644171779141104</v>
      </c>
      <c r="H31" s="4090">
        <v>16.169230769230769</v>
      </c>
      <c r="I31" s="4090">
        <v>14.829059829059819</v>
      </c>
      <c r="J31" s="4090">
        <v>14.869918699186993</v>
      </c>
      <c r="K31" s="4091">
        <v>14.362831858407077</v>
      </c>
      <c r="L31" s="4091">
        <v>16.243421052631582</v>
      </c>
      <c r="M31" s="4091">
        <v>15.847999999999995</v>
      </c>
      <c r="N31" s="4091">
        <v>15.263157894736842</v>
      </c>
      <c r="O31" s="4091">
        <v>14.915789473684203</v>
      </c>
      <c r="P31" s="4091">
        <v>15.578231292517003</v>
      </c>
      <c r="Q31" s="4091">
        <v>16.185430463576164</v>
      </c>
    </row>
    <row r="32" spans="1:17" s="186" customFormat="1" ht="15" customHeight="1" x14ac:dyDescent="0.25">
      <c r="A32" s="5309"/>
      <c r="B32" s="5050"/>
      <c r="C32" s="4073">
        <v>38</v>
      </c>
      <c r="D32" s="4074" t="s">
        <v>476</v>
      </c>
      <c r="E32" s="4075">
        <v>18.68</v>
      </c>
      <c r="F32" s="4075">
        <v>19.024999999999999</v>
      </c>
      <c r="G32" s="4076">
        <v>18.75</v>
      </c>
      <c r="H32" s="4077">
        <v>17</v>
      </c>
      <c r="I32" s="4077">
        <v>21.2</v>
      </c>
      <c r="J32" s="4077">
        <v>18.433333333333334</v>
      </c>
      <c r="K32" s="4078">
        <v>17.125</v>
      </c>
      <c r="L32" s="4078">
        <v>17.526315789473681</v>
      </c>
      <c r="M32" s="4078">
        <v>19.695652173913043</v>
      </c>
      <c r="N32" s="4078">
        <v>17.125000000000004</v>
      </c>
      <c r="O32" s="4078">
        <v>17.411764705882355</v>
      </c>
      <c r="P32" s="4078">
        <v>16.678571428571431</v>
      </c>
      <c r="Q32" s="4078">
        <v>17.75</v>
      </c>
    </row>
    <row r="33" spans="1:17" s="186" customFormat="1" ht="15" customHeight="1" x14ac:dyDescent="0.25">
      <c r="A33" s="5309"/>
      <c r="B33" s="5050"/>
      <c r="C33" s="4073">
        <v>39</v>
      </c>
      <c r="D33" s="4074" t="s">
        <v>477</v>
      </c>
      <c r="E33" s="4079">
        <v>19.36</v>
      </c>
      <c r="F33" s="4075">
        <v>21.333333333333332</v>
      </c>
      <c r="G33" s="4076">
        <v>20.057142857142857</v>
      </c>
      <c r="H33" s="4080">
        <v>19.222222222222221</v>
      </c>
      <c r="I33" s="4077">
        <v>19.846153846153847</v>
      </c>
      <c r="J33" s="4077">
        <v>19.210526315789473</v>
      </c>
      <c r="K33" s="4078">
        <v>19.827586206896552</v>
      </c>
      <c r="L33" s="4078">
        <v>18.2</v>
      </c>
      <c r="M33" s="4078">
        <v>18.34375</v>
      </c>
      <c r="N33" s="4078">
        <v>17.435897435897434</v>
      </c>
      <c r="O33" s="4078">
        <v>17.585365853658541</v>
      </c>
      <c r="P33" s="4078">
        <v>19.916666666666668</v>
      </c>
      <c r="Q33" s="4078">
        <v>18.733333333333338</v>
      </c>
    </row>
    <row r="34" spans="1:17" s="186" customFormat="1" ht="15" customHeight="1" x14ac:dyDescent="0.25">
      <c r="A34" s="5309"/>
      <c r="B34" s="5050"/>
      <c r="C34" s="4073">
        <v>40</v>
      </c>
      <c r="D34" s="4074" t="s">
        <v>478</v>
      </c>
      <c r="E34" s="4079">
        <v>19.222222222222221</v>
      </c>
      <c r="F34" s="4075">
        <v>18.307692307692307</v>
      </c>
      <c r="G34" s="4076">
        <v>19.235294117647058</v>
      </c>
      <c r="H34" s="4080">
        <v>18.805555555555557</v>
      </c>
      <c r="I34" s="4077">
        <v>18.758620689655171</v>
      </c>
      <c r="J34" s="4077">
        <v>21.15384615384615</v>
      </c>
      <c r="K34" s="4078">
        <v>18.030303030303031</v>
      </c>
      <c r="L34" s="4078">
        <v>19.974358974358974</v>
      </c>
      <c r="M34" s="4078">
        <v>16.589743589743591</v>
      </c>
      <c r="N34" s="4078">
        <v>17.920000000000002</v>
      </c>
      <c r="O34" s="4078">
        <v>18.465116279069768</v>
      </c>
      <c r="P34" s="4078">
        <v>19.724137931034484</v>
      </c>
      <c r="Q34" s="4078">
        <v>18.785714285714285</v>
      </c>
    </row>
    <row r="35" spans="1:17" s="186" customFormat="1" ht="15" customHeight="1" x14ac:dyDescent="0.25">
      <c r="A35" s="5309"/>
      <c r="B35" s="5050"/>
      <c r="C35" s="4073">
        <v>41</v>
      </c>
      <c r="D35" s="4074" t="s">
        <v>464</v>
      </c>
      <c r="E35" s="4075">
        <v>19.714285714285715</v>
      </c>
      <c r="F35" s="4075">
        <v>18.05</v>
      </c>
      <c r="G35" s="4076">
        <v>18.463414634146343</v>
      </c>
      <c r="H35" s="4077">
        <v>21.03448275862069</v>
      </c>
      <c r="I35" s="4077">
        <v>18</v>
      </c>
      <c r="J35" s="4077">
        <v>18.225806451612907</v>
      </c>
      <c r="K35" s="4078">
        <v>17.170212765957444</v>
      </c>
      <c r="L35" s="4078">
        <v>17.589041095890412</v>
      </c>
      <c r="M35" s="4078">
        <v>15.705882352941172</v>
      </c>
      <c r="N35" s="4078">
        <v>17.157894736842106</v>
      </c>
      <c r="O35" s="4078">
        <v>16.50847457627119</v>
      </c>
      <c r="P35" s="4078">
        <v>16.738095238095241</v>
      </c>
      <c r="Q35" s="4078">
        <v>16.433333333333326</v>
      </c>
    </row>
    <row r="36" spans="1:17" s="186" customFormat="1" ht="15" customHeight="1" x14ac:dyDescent="0.25">
      <c r="A36" s="5309"/>
      <c r="B36" s="5050"/>
      <c r="C36" s="4073">
        <v>42</v>
      </c>
      <c r="D36" s="4074" t="s">
        <v>465</v>
      </c>
      <c r="E36" s="4075">
        <v>18.596491228070175</v>
      </c>
      <c r="F36" s="4075">
        <v>18.307692307692307</v>
      </c>
      <c r="G36" s="4076">
        <v>18.72</v>
      </c>
      <c r="H36" s="4077">
        <v>17.404761904761905</v>
      </c>
      <c r="I36" s="4077">
        <v>18.524999999999999</v>
      </c>
      <c r="J36" s="4077">
        <v>16.171428571428564</v>
      </c>
      <c r="K36" s="4078">
        <v>18.607142857142861</v>
      </c>
      <c r="L36" s="4078">
        <v>17.333333333333336</v>
      </c>
      <c r="M36" s="4078">
        <v>15.999999999999996</v>
      </c>
      <c r="N36" s="4078">
        <v>17.703703703703706</v>
      </c>
      <c r="O36" s="4078">
        <v>18.086956521739133</v>
      </c>
      <c r="P36" s="4078">
        <v>18.673076923076923</v>
      </c>
      <c r="Q36" s="4078">
        <v>17.414634146341463</v>
      </c>
    </row>
    <row r="37" spans="1:17" s="186" customFormat="1" ht="15" customHeight="1" x14ac:dyDescent="0.25">
      <c r="A37" s="5309"/>
      <c r="B37" s="5050"/>
      <c r="C37" s="4073">
        <v>43</v>
      </c>
      <c r="D37" s="4074" t="s">
        <v>479</v>
      </c>
      <c r="E37" s="4075">
        <v>19.600000000000001</v>
      </c>
      <c r="F37" s="4075">
        <v>21.27027027027027</v>
      </c>
      <c r="G37" s="4076">
        <v>20.666666666666668</v>
      </c>
      <c r="H37" s="4077">
        <v>21.232558139534884</v>
      </c>
      <c r="I37" s="4077">
        <v>19.75</v>
      </c>
      <c r="J37" s="4077">
        <v>21.696969696969695</v>
      </c>
      <c r="K37" s="4078">
        <v>18.060606060606062</v>
      </c>
      <c r="L37" s="4078">
        <v>18.916666666666668</v>
      </c>
      <c r="M37" s="4078">
        <v>20.039999999999996</v>
      </c>
      <c r="N37" s="4078">
        <v>19.62857142857143</v>
      </c>
      <c r="O37" s="4078">
        <v>18.441176470588232</v>
      </c>
      <c r="P37" s="4078">
        <v>17.257142857142853</v>
      </c>
      <c r="Q37" s="4078">
        <v>19.324999999999999</v>
      </c>
    </row>
    <row r="38" spans="1:17" s="186" customFormat="1" ht="15" customHeight="1" x14ac:dyDescent="0.25">
      <c r="A38" s="5309"/>
      <c r="B38" s="5050"/>
      <c r="C38" s="4073">
        <v>44</v>
      </c>
      <c r="D38" s="4074" t="s">
        <v>480</v>
      </c>
      <c r="E38" s="4075">
        <v>16.818181818181817</v>
      </c>
      <c r="F38" s="4075">
        <v>16.857142857142858</v>
      </c>
      <c r="G38" s="4076">
        <v>16.100000000000001</v>
      </c>
      <c r="H38" s="4077">
        <v>16</v>
      </c>
      <c r="I38" s="4077">
        <v>15.916666666666668</v>
      </c>
      <c r="J38" s="4077">
        <v>16.117647058823533</v>
      </c>
      <c r="K38" s="4078">
        <v>14.857142857142858</v>
      </c>
      <c r="L38" s="4078">
        <v>15.6</v>
      </c>
      <c r="M38" s="4078">
        <v>18.46153846153846</v>
      </c>
      <c r="N38" s="4078">
        <v>14.294117647058826</v>
      </c>
      <c r="O38" s="4078">
        <v>17.312499999999996</v>
      </c>
      <c r="P38" s="4078">
        <v>15.076923076923077</v>
      </c>
      <c r="Q38" s="4078">
        <v>16.761904761904763</v>
      </c>
    </row>
    <row r="39" spans="1:17" s="186" customFormat="1" ht="15" customHeight="1" x14ac:dyDescent="0.25">
      <c r="A39" s="5309"/>
      <c r="B39" s="5050"/>
      <c r="C39" s="4073">
        <v>45</v>
      </c>
      <c r="D39" s="4074" t="s">
        <v>481</v>
      </c>
      <c r="E39" s="4075">
        <v>18.383561643835616</v>
      </c>
      <c r="F39" s="4075">
        <v>16.261538461538461</v>
      </c>
      <c r="G39" s="4076">
        <v>18.68</v>
      </c>
      <c r="H39" s="4077">
        <v>19.244897959183675</v>
      </c>
      <c r="I39" s="4077">
        <v>19.260000000000002</v>
      </c>
      <c r="J39" s="4077">
        <v>19.685714285714283</v>
      </c>
      <c r="K39" s="4078">
        <v>19.787878787878793</v>
      </c>
      <c r="L39" s="4078">
        <v>17.068181818181824</v>
      </c>
      <c r="M39" s="4078">
        <v>18.63636363636363</v>
      </c>
      <c r="N39" s="4078">
        <v>17.399999999999991</v>
      </c>
      <c r="O39" s="4078">
        <v>17.166666666666661</v>
      </c>
      <c r="P39" s="4078">
        <v>17.51923076923077</v>
      </c>
      <c r="Q39" s="4078">
        <v>17.672413793103452</v>
      </c>
    </row>
    <row r="40" spans="1:17" s="186" customFormat="1" ht="15" customHeight="1" x14ac:dyDescent="0.25">
      <c r="A40" s="5309"/>
      <c r="B40" s="5050"/>
      <c r="C40" s="4073">
        <v>46</v>
      </c>
      <c r="D40" s="4074" t="s">
        <v>482</v>
      </c>
      <c r="E40" s="4075">
        <v>16.681318681318682</v>
      </c>
      <c r="F40" s="4075">
        <v>15.803921568627452</v>
      </c>
      <c r="G40" s="4076">
        <v>15.966292134831461</v>
      </c>
      <c r="H40" s="4077">
        <v>15.475</v>
      </c>
      <c r="I40" s="4077">
        <v>15.622222222222216</v>
      </c>
      <c r="J40" s="4077">
        <v>15.063291139240508</v>
      </c>
      <c r="K40" s="4078">
        <v>15.401639344262295</v>
      </c>
      <c r="L40" s="4078">
        <v>15.580645161290326</v>
      </c>
      <c r="M40" s="4078">
        <v>15.390476190476194</v>
      </c>
      <c r="N40" s="4078">
        <v>14.73154362416107</v>
      </c>
      <c r="O40" s="4078">
        <v>14.625</v>
      </c>
      <c r="P40" s="4078">
        <v>16.155737704918032</v>
      </c>
      <c r="Q40" s="4078">
        <v>16.420454545454543</v>
      </c>
    </row>
    <row r="41" spans="1:17" s="186" customFormat="1" ht="15" customHeight="1" x14ac:dyDescent="0.25">
      <c r="A41" s="5309"/>
      <c r="B41" s="5051"/>
      <c r="C41" s="4081">
        <v>121</v>
      </c>
      <c r="D41" s="4082" t="s">
        <v>483</v>
      </c>
      <c r="E41" s="4083"/>
      <c r="F41" s="4092"/>
      <c r="G41" s="4084"/>
      <c r="H41" s="4085">
        <v>12.666666666666666</v>
      </c>
      <c r="I41" s="4093">
        <v>15.166666666666668</v>
      </c>
      <c r="J41" s="4093">
        <v>13.875000000000002</v>
      </c>
      <c r="K41" s="4094">
        <v>17.333333333333332</v>
      </c>
      <c r="L41" s="4094">
        <v>15.333333333333334</v>
      </c>
      <c r="M41" s="4094">
        <v>18.25</v>
      </c>
      <c r="N41" s="4094">
        <v>21.714285714285715</v>
      </c>
      <c r="O41" s="4094">
        <v>19.142857142857142</v>
      </c>
      <c r="P41" s="4094">
        <v>19.750000000000004</v>
      </c>
      <c r="Q41" s="4094">
        <v>21.727272727272727</v>
      </c>
    </row>
    <row r="42" spans="1:17" s="186" customFormat="1" ht="15" customHeight="1" x14ac:dyDescent="0.25">
      <c r="A42" s="5309"/>
      <c r="B42" s="5050" t="s">
        <v>11</v>
      </c>
      <c r="C42" s="4086">
        <v>52</v>
      </c>
      <c r="D42" s="4087" t="s">
        <v>484</v>
      </c>
      <c r="E42" s="4088">
        <v>20.36</v>
      </c>
      <c r="F42" s="4088">
        <v>18.338028169014084</v>
      </c>
      <c r="G42" s="4089">
        <v>21.14516129032258</v>
      </c>
      <c r="H42" s="4090">
        <v>18.79032258064516</v>
      </c>
      <c r="I42" s="4090">
        <v>18.958333333333329</v>
      </c>
      <c r="J42" s="4090">
        <v>18.509090909090908</v>
      </c>
      <c r="K42" s="4091">
        <v>18.571428571428569</v>
      </c>
      <c r="L42" s="4091">
        <v>17.132075471698112</v>
      </c>
      <c r="M42" s="4091">
        <v>16.851063829787236</v>
      </c>
      <c r="N42" s="4091">
        <v>16.80555555555555</v>
      </c>
      <c r="O42" s="4091">
        <v>17.923913043478265</v>
      </c>
      <c r="P42" s="4091">
        <v>17.566265060240962</v>
      </c>
      <c r="Q42" s="4091">
        <v>17.757894736842104</v>
      </c>
    </row>
    <row r="43" spans="1:17" s="186" customFormat="1" ht="15" customHeight="1" x14ac:dyDescent="0.25">
      <c r="A43" s="5309"/>
      <c r="B43" s="5050"/>
      <c r="C43" s="4073">
        <v>53</v>
      </c>
      <c r="D43" s="4074" t="s">
        <v>485</v>
      </c>
      <c r="E43" s="4075">
        <v>20.431372549019606</v>
      </c>
      <c r="F43" s="4075">
        <v>21.156862745098039</v>
      </c>
      <c r="G43" s="4076">
        <v>18.720930232558139</v>
      </c>
      <c r="H43" s="4077">
        <v>22.017857142857142</v>
      </c>
      <c r="I43" s="4077">
        <v>20.5</v>
      </c>
      <c r="J43" s="4077">
        <v>17.317460317460309</v>
      </c>
      <c r="K43" s="4078">
        <v>18.982758620689655</v>
      </c>
      <c r="L43" s="4078">
        <v>18.916666666666664</v>
      </c>
      <c r="M43" s="4078">
        <v>18.769230769230766</v>
      </c>
      <c r="N43" s="4078">
        <v>19.024390243902438</v>
      </c>
      <c r="O43" s="4078">
        <v>19.17307692307693</v>
      </c>
      <c r="P43" s="4078">
        <v>19.781249999999989</v>
      </c>
      <c r="Q43" s="4078">
        <v>19.428571428571427</v>
      </c>
    </row>
    <row r="44" spans="1:17" s="186" customFormat="1" ht="15" customHeight="1" x14ac:dyDescent="0.25">
      <c r="A44" s="5309"/>
      <c r="B44" s="5050"/>
      <c r="C44" s="4073">
        <v>54</v>
      </c>
      <c r="D44" s="4074" t="s">
        <v>486</v>
      </c>
      <c r="E44" s="4075">
        <v>18.4375</v>
      </c>
      <c r="F44" s="4075">
        <v>19.884615384615383</v>
      </c>
      <c r="G44" s="4076">
        <v>19.2</v>
      </c>
      <c r="H44" s="4077">
        <v>20.307692307692307</v>
      </c>
      <c r="I44" s="4077">
        <v>19.69230769230769</v>
      </c>
      <c r="J44" s="4077">
        <v>18.370370370370374</v>
      </c>
      <c r="K44" s="4078">
        <v>20.111111111111114</v>
      </c>
      <c r="L44" s="4078">
        <v>18.173913043478265</v>
      </c>
      <c r="M44" s="4078">
        <v>18.176470588235293</v>
      </c>
      <c r="N44" s="4078">
        <v>20.483870967741936</v>
      </c>
      <c r="O44" s="4078">
        <v>19.714285714285712</v>
      </c>
      <c r="P44" s="4078">
        <v>16.700000000000003</v>
      </c>
      <c r="Q44" s="4078">
        <v>18.829268292682922</v>
      </c>
    </row>
    <row r="45" spans="1:17" s="186" customFormat="1" ht="15" customHeight="1" x14ac:dyDescent="0.25">
      <c r="A45" s="5309"/>
      <c r="B45" s="5050"/>
      <c r="C45" s="4073">
        <v>55</v>
      </c>
      <c r="D45" s="4074" t="s">
        <v>487</v>
      </c>
      <c r="E45" s="4075">
        <v>21.416666666666668</v>
      </c>
      <c r="F45" s="4075">
        <v>18.823529411764707</v>
      </c>
      <c r="G45" s="4076">
        <v>21.53846153846154</v>
      </c>
      <c r="H45" s="4077">
        <v>21</v>
      </c>
      <c r="I45" s="4077">
        <v>20.833333333333332</v>
      </c>
      <c r="J45" s="4077">
        <v>24.5</v>
      </c>
      <c r="K45" s="4078">
        <v>17.833333333333332</v>
      </c>
      <c r="L45" s="4078">
        <v>17</v>
      </c>
      <c r="M45" s="4078">
        <v>18.75</v>
      </c>
      <c r="N45" s="4078">
        <v>18.642857142857146</v>
      </c>
      <c r="O45" s="4078">
        <v>16.733333333333331</v>
      </c>
      <c r="P45" s="4078">
        <v>16.214285714285712</v>
      </c>
      <c r="Q45" s="4078">
        <v>17.760000000000002</v>
      </c>
    </row>
    <row r="46" spans="1:17" s="186" customFormat="1" ht="15" customHeight="1" x14ac:dyDescent="0.25">
      <c r="A46" s="5309"/>
      <c r="B46" s="5050"/>
      <c r="C46" s="4073">
        <v>56</v>
      </c>
      <c r="D46" s="4074" t="s">
        <v>488</v>
      </c>
      <c r="E46" s="4075">
        <v>21.118421052631579</v>
      </c>
      <c r="F46" s="4075">
        <v>21.702702702702702</v>
      </c>
      <c r="G46" s="4076">
        <v>20.14851485148515</v>
      </c>
      <c r="H46" s="4077">
        <v>20.622222222222224</v>
      </c>
      <c r="I46" s="4077">
        <v>21.258426966292131</v>
      </c>
      <c r="J46" s="4077">
        <v>20.811594202898544</v>
      </c>
      <c r="K46" s="4078">
        <v>20.044444444444441</v>
      </c>
      <c r="L46" s="4078">
        <v>18.138613861386144</v>
      </c>
      <c r="M46" s="4078">
        <v>18.508771929824565</v>
      </c>
      <c r="N46" s="4078">
        <v>18.984848484848492</v>
      </c>
      <c r="O46" s="4078">
        <v>17.316455696202528</v>
      </c>
      <c r="P46" s="4078">
        <v>18.026315789473685</v>
      </c>
      <c r="Q46" s="4078">
        <v>19.411764705882348</v>
      </c>
    </row>
    <row r="47" spans="1:17" s="186" customFormat="1" ht="15" customHeight="1" x14ac:dyDescent="0.25">
      <c r="A47" s="5310"/>
      <c r="B47" s="5050"/>
      <c r="C47" s="4081">
        <v>57</v>
      </c>
      <c r="D47" s="4082" t="s">
        <v>489</v>
      </c>
      <c r="E47" s="4092">
        <v>21.231578947368423</v>
      </c>
      <c r="F47" s="4092">
        <v>21.733333333333334</v>
      </c>
      <c r="G47" s="4084">
        <v>21.636363636363637</v>
      </c>
      <c r="H47" s="4093">
        <v>21.713178294573645</v>
      </c>
      <c r="I47" s="4093">
        <v>21.824999999999999</v>
      </c>
      <c r="J47" s="4093">
        <v>21.314049586776857</v>
      </c>
      <c r="K47" s="4094">
        <v>20.84375</v>
      </c>
      <c r="L47" s="4094">
        <v>19.358208955223883</v>
      </c>
      <c r="M47" s="4094">
        <v>19.378378378378379</v>
      </c>
      <c r="N47" s="4094">
        <v>19.534246575342461</v>
      </c>
      <c r="O47" s="4094">
        <v>19.407407407407405</v>
      </c>
      <c r="P47" s="4094">
        <v>19.909090909090914</v>
      </c>
      <c r="Q47" s="4094">
        <v>18.277108433734938</v>
      </c>
    </row>
    <row r="48" spans="1:17" s="186" customFormat="1" ht="15" customHeight="1" x14ac:dyDescent="0.25">
      <c r="A48" s="5305" t="s">
        <v>10</v>
      </c>
      <c r="B48" s="5052" t="s">
        <v>6</v>
      </c>
      <c r="C48" s="4086">
        <v>63</v>
      </c>
      <c r="D48" s="4087" t="s">
        <v>462</v>
      </c>
      <c r="E48" s="4088">
        <v>13.815789473684211</v>
      </c>
      <c r="F48" s="4088">
        <v>14.232142857142858</v>
      </c>
      <c r="G48" s="4089">
        <v>13.663157894736843</v>
      </c>
      <c r="H48" s="4090">
        <v>14.262135922330097</v>
      </c>
      <c r="I48" s="4090">
        <v>13.565217391304348</v>
      </c>
      <c r="J48" s="4090">
        <v>13.59090909090909</v>
      </c>
      <c r="K48" s="4091">
        <v>13.821428571428569</v>
      </c>
      <c r="L48" s="4091">
        <v>14</v>
      </c>
      <c r="M48" s="4091">
        <v>14.277310924369747</v>
      </c>
      <c r="N48" s="4091">
        <v>14.446153846153846</v>
      </c>
      <c r="O48" s="4091">
        <v>14.19463087248322</v>
      </c>
      <c r="P48" s="4091">
        <v>14.433962264150949</v>
      </c>
      <c r="Q48" s="4091">
        <v>14.330357142857144</v>
      </c>
    </row>
    <row r="49" spans="1:17" s="186" customFormat="1" ht="15" customHeight="1" x14ac:dyDescent="0.25">
      <c r="A49" s="5306"/>
      <c r="B49" s="5053"/>
      <c r="C49" s="4073">
        <v>64</v>
      </c>
      <c r="D49" s="4074" t="s">
        <v>490</v>
      </c>
      <c r="E49" s="4075">
        <v>13</v>
      </c>
      <c r="F49" s="4075">
        <v>12.993197278911564</v>
      </c>
      <c r="G49" s="4076">
        <v>12.978102189781023</v>
      </c>
      <c r="H49" s="4077">
        <v>13.136054421768707</v>
      </c>
      <c r="I49" s="4077">
        <v>12.9</v>
      </c>
      <c r="J49" s="4077">
        <v>12.674208144796379</v>
      </c>
      <c r="K49" s="4078">
        <v>12.860103626943014</v>
      </c>
      <c r="L49" s="4078">
        <v>13.165803108808294</v>
      </c>
      <c r="M49" s="4078">
        <v>12.97727272727273</v>
      </c>
      <c r="N49" s="4078">
        <v>12.741176470588231</v>
      </c>
      <c r="O49" s="4078">
        <v>12.824858757062147</v>
      </c>
      <c r="P49" s="4078">
        <v>12.712643678160918</v>
      </c>
      <c r="Q49" s="4078">
        <v>13.064327485380122</v>
      </c>
    </row>
    <row r="50" spans="1:17" s="186" customFormat="1" ht="15" customHeight="1" x14ac:dyDescent="0.25">
      <c r="A50" s="5306"/>
      <c r="B50" s="5053"/>
      <c r="C50" s="4073">
        <v>65</v>
      </c>
      <c r="D50" s="4074" t="s">
        <v>464</v>
      </c>
      <c r="E50" s="4075">
        <v>15.130434782608695</v>
      </c>
      <c r="F50" s="4075">
        <v>14.729166666666666</v>
      </c>
      <c r="G50" s="4076">
        <v>15.267605633802816</v>
      </c>
      <c r="H50" s="4077">
        <v>14.934782608695652</v>
      </c>
      <c r="I50" s="4077">
        <v>15.031746031746026</v>
      </c>
      <c r="J50" s="4077">
        <v>16.119402985074618</v>
      </c>
      <c r="K50" s="4078">
        <v>14.906976744186046</v>
      </c>
      <c r="L50" s="4078">
        <v>15.285714285714278</v>
      </c>
      <c r="M50" s="4078">
        <v>15.102564102564102</v>
      </c>
      <c r="N50" s="4078">
        <v>14.839506172839505</v>
      </c>
      <c r="O50" s="4078">
        <v>15.741935483870966</v>
      </c>
      <c r="P50" s="4078">
        <v>15.783783783783784</v>
      </c>
      <c r="Q50" s="4078">
        <v>16.012345679012338</v>
      </c>
    </row>
    <row r="51" spans="1:17" s="186" customFormat="1" ht="15" customHeight="1" x14ac:dyDescent="0.25">
      <c r="A51" s="5306"/>
      <c r="B51" s="5053"/>
      <c r="C51" s="4073">
        <v>66</v>
      </c>
      <c r="D51" s="4074" t="s">
        <v>491</v>
      </c>
      <c r="E51" s="4075">
        <v>12.668874172185431</v>
      </c>
      <c r="F51" s="4075">
        <v>12.8006993006993</v>
      </c>
      <c r="G51" s="4076">
        <v>12.790613718411553</v>
      </c>
      <c r="H51" s="4077">
        <v>12.732203389830508</v>
      </c>
      <c r="I51" s="4077">
        <v>12.777003484320549</v>
      </c>
      <c r="J51" s="4077">
        <v>12.602739726027398</v>
      </c>
      <c r="K51" s="4078">
        <v>12.627604166666668</v>
      </c>
      <c r="L51" s="4078">
        <v>12.875</v>
      </c>
      <c r="M51" s="4078">
        <v>12.93795620437956</v>
      </c>
      <c r="N51" s="4078">
        <v>12.734615384615385</v>
      </c>
      <c r="O51" s="4078">
        <v>12.840840840840839</v>
      </c>
      <c r="P51" s="4078">
        <v>12.64745762711865</v>
      </c>
      <c r="Q51" s="4078">
        <v>12.810526315789465</v>
      </c>
    </row>
    <row r="52" spans="1:17" s="186" customFormat="1" ht="15" customHeight="1" x14ac:dyDescent="0.25">
      <c r="A52" s="5306"/>
      <c r="B52" s="5053"/>
      <c r="C52" s="4073">
        <v>67</v>
      </c>
      <c r="D52" s="4074" t="s">
        <v>465</v>
      </c>
      <c r="E52" s="4075">
        <v>13.37719298245614</v>
      </c>
      <c r="F52" s="4075">
        <v>13.920792079207921</v>
      </c>
      <c r="G52" s="4076">
        <v>13.460869565217392</v>
      </c>
      <c r="H52" s="4077">
        <v>13.160839160839162</v>
      </c>
      <c r="I52" s="4077">
        <v>13.352941176470583</v>
      </c>
      <c r="J52" s="4077">
        <v>13.612244897959185</v>
      </c>
      <c r="K52" s="4078">
        <v>13.358208955223878</v>
      </c>
      <c r="L52" s="4078">
        <v>13.142857142857139</v>
      </c>
      <c r="M52" s="4078">
        <v>13.232758620689658</v>
      </c>
      <c r="N52" s="4078">
        <v>13.560747663551401</v>
      </c>
      <c r="O52" s="4078">
        <v>13.522388059701496</v>
      </c>
      <c r="P52" s="4078">
        <v>13.401709401709402</v>
      </c>
      <c r="Q52" s="4078">
        <v>13.330708661417322</v>
      </c>
    </row>
    <row r="53" spans="1:17" s="186" customFormat="1" ht="15" customHeight="1" x14ac:dyDescent="0.25">
      <c r="A53" s="5306"/>
      <c r="B53" s="5054"/>
      <c r="C53" s="4081">
        <v>101</v>
      </c>
      <c r="D53" s="4082" t="s">
        <v>492</v>
      </c>
      <c r="E53" s="4092">
        <v>13.282051282051283</v>
      </c>
      <c r="F53" s="4092">
        <v>13.521739130434783</v>
      </c>
      <c r="G53" s="4084">
        <v>14.135135135135135</v>
      </c>
      <c r="H53" s="4093">
        <v>13.592592592592593</v>
      </c>
      <c r="I53" s="4093">
        <v>13.025641025641029</v>
      </c>
      <c r="J53" s="4093">
        <v>13.46153846153846</v>
      </c>
      <c r="K53" s="4094">
        <v>13.78260869565217</v>
      </c>
      <c r="L53" s="4094">
        <v>13.695652173913041</v>
      </c>
      <c r="M53" s="4094">
        <v>13.679245283018865</v>
      </c>
      <c r="N53" s="4094">
        <v>13.978260869565215</v>
      </c>
      <c r="O53" s="4094">
        <v>13.818181818181818</v>
      </c>
      <c r="P53" s="4094">
        <v>13.404761904761902</v>
      </c>
      <c r="Q53" s="4094">
        <v>13.575757575757576</v>
      </c>
    </row>
    <row r="54" spans="1:17" s="186" customFormat="1" ht="15" customHeight="1" x14ac:dyDescent="0.25">
      <c r="A54" s="5306"/>
      <c r="B54" s="5053" t="s">
        <v>11</v>
      </c>
      <c r="C54" s="4086">
        <v>73</v>
      </c>
      <c r="D54" s="4087" t="s">
        <v>484</v>
      </c>
      <c r="E54" s="4088">
        <v>13.666666666666666</v>
      </c>
      <c r="F54" s="4088">
        <v>13.761904761904763</v>
      </c>
      <c r="G54" s="4089">
        <v>13.74757281553398</v>
      </c>
      <c r="H54" s="4090">
        <v>13.898148148148149</v>
      </c>
      <c r="I54" s="4090">
        <v>13.296296296296292</v>
      </c>
      <c r="J54" s="4090">
        <v>13.770491803278688</v>
      </c>
      <c r="K54" s="4091">
        <v>13.637499999999999</v>
      </c>
      <c r="L54" s="4091">
        <v>13.089655172413794</v>
      </c>
      <c r="M54" s="4091">
        <v>13.919463087248319</v>
      </c>
      <c r="N54" s="4091">
        <v>13.562913907284765</v>
      </c>
      <c r="O54" s="4091">
        <v>13.551724137931032</v>
      </c>
      <c r="P54" s="4091">
        <v>13.387500000000001</v>
      </c>
      <c r="Q54" s="4091">
        <v>13.090090090090088</v>
      </c>
    </row>
    <row r="55" spans="1:17" s="186" customFormat="1" ht="15" customHeight="1" x14ac:dyDescent="0.25">
      <c r="A55" s="5306"/>
      <c r="B55" s="5053"/>
      <c r="C55" s="4073">
        <v>74</v>
      </c>
      <c r="D55" s="4074" t="s">
        <v>493</v>
      </c>
      <c r="E55" s="4075">
        <v>12.888888888888889</v>
      </c>
      <c r="F55" s="4075">
        <v>12.772727272727273</v>
      </c>
      <c r="G55" s="4076">
        <v>12.85</v>
      </c>
      <c r="H55" s="4077">
        <v>12.887323943661972</v>
      </c>
      <c r="I55" s="4077">
        <v>12.939759036144572</v>
      </c>
      <c r="J55" s="4077">
        <v>12.975409836065579</v>
      </c>
      <c r="K55" s="4078">
        <v>12.619565217391305</v>
      </c>
      <c r="L55" s="4078">
        <v>12.805309734513271</v>
      </c>
      <c r="M55" s="4078">
        <v>13.392857142857137</v>
      </c>
      <c r="N55" s="4078">
        <v>13.25</v>
      </c>
      <c r="O55" s="4078">
        <v>12.690476190476186</v>
      </c>
      <c r="P55" s="4078">
        <v>12.732142857142859</v>
      </c>
      <c r="Q55" s="4078">
        <v>13.064220183486242</v>
      </c>
    </row>
    <row r="56" spans="1:17" s="186" customFormat="1" ht="15" customHeight="1" x14ac:dyDescent="0.25">
      <c r="A56" s="5306"/>
      <c r="B56" s="5053"/>
      <c r="C56" s="4073">
        <v>75</v>
      </c>
      <c r="D56" s="4074" t="s">
        <v>494</v>
      </c>
      <c r="E56" s="4075">
        <v>13.226415094339623</v>
      </c>
      <c r="F56" s="4075">
        <v>12.949640287769784</v>
      </c>
      <c r="G56" s="4076">
        <v>12.917241379310346</v>
      </c>
      <c r="H56" s="4077">
        <v>13.006944444444445</v>
      </c>
      <c r="I56" s="4077">
        <v>13.101010101010095</v>
      </c>
      <c r="J56" s="4077">
        <v>12.867383512544807</v>
      </c>
      <c r="K56" s="4078">
        <v>12.816326530612244</v>
      </c>
      <c r="L56" s="4078">
        <v>13.052356020942407</v>
      </c>
      <c r="M56" s="4078">
        <v>12.718954248366009</v>
      </c>
      <c r="N56" s="4078">
        <v>12.76687116564417</v>
      </c>
      <c r="O56" s="4078">
        <v>12.894736842105262</v>
      </c>
      <c r="P56" s="4078">
        <v>12.61379310344827</v>
      </c>
      <c r="Q56" s="4078">
        <v>12.955128205128206</v>
      </c>
    </row>
    <row r="57" spans="1:17" s="186" customFormat="1" ht="15" customHeight="1" x14ac:dyDescent="0.25">
      <c r="A57" s="5306"/>
      <c r="B57" s="5053"/>
      <c r="C57" s="4073">
        <v>76</v>
      </c>
      <c r="D57" s="4074" t="s">
        <v>495</v>
      </c>
      <c r="E57" s="4075">
        <v>14.383116883116884</v>
      </c>
      <c r="F57" s="4075">
        <v>14.40251572327044</v>
      </c>
      <c r="G57" s="4076">
        <v>14.32716049382716</v>
      </c>
      <c r="H57" s="4077">
        <v>14.341176470588236</v>
      </c>
      <c r="I57" s="4077">
        <v>14.258241758241763</v>
      </c>
      <c r="J57" s="4077">
        <v>13.925531914893611</v>
      </c>
      <c r="K57" s="4078">
        <v>14.059171597633133</v>
      </c>
      <c r="L57" s="4078">
        <v>14.122549019607854</v>
      </c>
      <c r="M57" s="4078">
        <v>14.568965517241391</v>
      </c>
      <c r="N57" s="4078">
        <v>14.473684210526317</v>
      </c>
      <c r="O57" s="4078">
        <v>14.174157303370796</v>
      </c>
      <c r="P57" s="4078">
        <v>14.24683544303797</v>
      </c>
      <c r="Q57" s="4078">
        <v>14.145348837209296</v>
      </c>
    </row>
    <row r="58" spans="1:17" s="186" customFormat="1" ht="15" customHeight="1" x14ac:dyDescent="0.25">
      <c r="A58" s="5306"/>
      <c r="B58" s="5053"/>
      <c r="C58" s="4073">
        <v>77</v>
      </c>
      <c r="D58" s="4074" t="s">
        <v>496</v>
      </c>
      <c r="E58" s="4075">
        <v>14.044585987261147</v>
      </c>
      <c r="F58" s="4075">
        <v>13.64406779661017</v>
      </c>
      <c r="G58" s="4076">
        <v>14.196629213483146</v>
      </c>
      <c r="H58" s="4077">
        <v>13.905882352941177</v>
      </c>
      <c r="I58" s="4077">
        <v>13.810256410256409</v>
      </c>
      <c r="J58" s="4077">
        <v>13.904306220095691</v>
      </c>
      <c r="K58" s="4078">
        <v>14.122549019607838</v>
      </c>
      <c r="L58" s="4078">
        <v>14.310880829015549</v>
      </c>
      <c r="M58" s="4078">
        <v>14.346534653465348</v>
      </c>
      <c r="N58" s="4078">
        <v>13.980132450331123</v>
      </c>
      <c r="O58" s="4078">
        <v>14.761904761904772</v>
      </c>
      <c r="P58" s="4078">
        <v>14.100628930817606</v>
      </c>
      <c r="Q58" s="4078">
        <v>14.38255033557046</v>
      </c>
    </row>
    <row r="59" spans="1:17" s="186" customFormat="1" ht="15" customHeight="1" x14ac:dyDescent="0.25">
      <c r="A59" s="5306"/>
      <c r="B59" s="5053"/>
      <c r="C59" s="4073">
        <v>78</v>
      </c>
      <c r="D59" s="4074" t="s">
        <v>497</v>
      </c>
      <c r="E59" s="4075">
        <v>13.536231884057971</v>
      </c>
      <c r="F59" s="4075">
        <v>13.26</v>
      </c>
      <c r="G59" s="4076">
        <v>13.738095238095237</v>
      </c>
      <c r="H59" s="4077">
        <v>12.672131147540984</v>
      </c>
      <c r="I59" s="4077">
        <v>13.081081081081075</v>
      </c>
      <c r="J59" s="4077">
        <v>13.404761904761903</v>
      </c>
      <c r="K59" s="4078">
        <v>13.395348837209307</v>
      </c>
      <c r="L59" s="4078">
        <v>13.434782608695652</v>
      </c>
      <c r="M59" s="4078">
        <v>13.16666666666667</v>
      </c>
      <c r="N59" s="4078">
        <v>13.198198198198201</v>
      </c>
      <c r="O59" s="4078">
        <v>13.690265486725663</v>
      </c>
      <c r="P59" s="4078">
        <v>13.127272727272727</v>
      </c>
      <c r="Q59" s="4078">
        <v>13.09448818897638</v>
      </c>
    </row>
    <row r="60" spans="1:17" s="186" customFormat="1" ht="15" customHeight="1" x14ac:dyDescent="0.25">
      <c r="A60" s="5306"/>
      <c r="B60" s="5053"/>
      <c r="C60" s="4073">
        <v>79</v>
      </c>
      <c r="D60" s="4074" t="s">
        <v>498</v>
      </c>
      <c r="E60" s="4075">
        <v>16.292517006802722</v>
      </c>
      <c r="F60" s="4075">
        <v>16.520710059171599</v>
      </c>
      <c r="G60" s="4076">
        <v>16.188405797101449</v>
      </c>
      <c r="H60" s="4077">
        <v>16.779527559055119</v>
      </c>
      <c r="I60" s="4077">
        <v>16.572463768115934</v>
      </c>
      <c r="J60" s="4077">
        <v>15.932432432432435</v>
      </c>
      <c r="K60" s="4078">
        <v>16.062857142857126</v>
      </c>
      <c r="L60" s="4078">
        <v>16.347368421052636</v>
      </c>
      <c r="M60" s="4078">
        <v>16.225609756097558</v>
      </c>
      <c r="N60" s="4078">
        <v>16.485074626865675</v>
      </c>
      <c r="O60" s="4078">
        <v>16.694444444444446</v>
      </c>
      <c r="P60" s="4078">
        <v>16.976190476190471</v>
      </c>
      <c r="Q60" s="4078">
        <v>16.569148936170201</v>
      </c>
    </row>
    <row r="61" spans="1:17" s="186" customFormat="1" ht="15" customHeight="1" x14ac:dyDescent="0.25">
      <c r="A61" s="5306"/>
      <c r="B61" s="5053"/>
      <c r="C61" s="4081">
        <v>80</v>
      </c>
      <c r="D61" s="4082" t="s">
        <v>499</v>
      </c>
      <c r="E61" s="4092">
        <v>12.967032967032967</v>
      </c>
      <c r="F61" s="4092">
        <v>12.724489795918368</v>
      </c>
      <c r="G61" s="4084">
        <v>12.674418604651162</v>
      </c>
      <c r="H61" s="4093">
        <v>12.766355140186915</v>
      </c>
      <c r="I61" s="4093">
        <v>12.84375</v>
      </c>
      <c r="J61" s="4093">
        <v>12.431034482758619</v>
      </c>
      <c r="K61" s="4094">
        <v>12.40816326530612</v>
      </c>
      <c r="L61" s="4094">
        <v>11.952941176470585</v>
      </c>
      <c r="M61" s="4094">
        <v>13.081967213114753</v>
      </c>
      <c r="N61" s="4094">
        <v>12.747663551401869</v>
      </c>
      <c r="O61" s="4094">
        <v>12.934959349593493</v>
      </c>
      <c r="P61" s="4094">
        <v>12.834782608695651</v>
      </c>
      <c r="Q61" s="4094">
        <v>13.328244274809164</v>
      </c>
    </row>
    <row r="62" spans="1:17" s="186" customFormat="1" ht="15" customHeight="1" x14ac:dyDescent="0.25">
      <c r="A62" s="5306"/>
      <c r="B62" s="5052" t="s">
        <v>7</v>
      </c>
      <c r="C62" s="4086">
        <v>85</v>
      </c>
      <c r="D62" s="4087" t="s">
        <v>466</v>
      </c>
      <c r="E62" s="4088">
        <v>13.851063829787234</v>
      </c>
      <c r="F62" s="4088">
        <v>13.986394557823129</v>
      </c>
      <c r="G62" s="4089">
        <v>14.493506493506494</v>
      </c>
      <c r="H62" s="4090">
        <v>14.418079096045197</v>
      </c>
      <c r="I62" s="4090">
        <v>13.9</v>
      </c>
      <c r="J62" s="4090">
        <v>14.018957345971568</v>
      </c>
      <c r="K62" s="4091">
        <v>14.314285714285706</v>
      </c>
      <c r="L62" s="4091">
        <v>14.442307692307688</v>
      </c>
      <c r="M62" s="4091">
        <v>14.693121693121681</v>
      </c>
      <c r="N62" s="4091">
        <v>14.292817679558013</v>
      </c>
      <c r="O62" s="4091">
        <v>14.182352941176463</v>
      </c>
      <c r="P62" s="4091">
        <v>14.220095693779903</v>
      </c>
      <c r="Q62" s="4091">
        <v>13.755952380952381</v>
      </c>
    </row>
    <row r="63" spans="1:17" s="186" customFormat="1" ht="15" customHeight="1" x14ac:dyDescent="0.25">
      <c r="A63" s="5306"/>
      <c r="B63" s="5053"/>
      <c r="C63" s="4073">
        <v>86</v>
      </c>
      <c r="D63" s="4074" t="s">
        <v>467</v>
      </c>
      <c r="E63" s="4075">
        <v>13.109589041095891</v>
      </c>
      <c r="F63" s="4075">
        <v>13.223300970873787</v>
      </c>
      <c r="G63" s="4076">
        <v>13.172413793103448</v>
      </c>
      <c r="H63" s="4077">
        <v>12.965217391304348</v>
      </c>
      <c r="I63" s="4077">
        <v>13.114754098360653</v>
      </c>
      <c r="J63" s="4077">
        <v>13.111111111111116</v>
      </c>
      <c r="K63" s="4078">
        <v>12.901960784313721</v>
      </c>
      <c r="L63" s="4078">
        <v>13.5</v>
      </c>
      <c r="M63" s="4078">
        <v>13.541666666666666</v>
      </c>
      <c r="N63" s="4078">
        <v>13.76595744680851</v>
      </c>
      <c r="O63" s="4078">
        <v>13.549549549549541</v>
      </c>
      <c r="P63" s="4078">
        <v>13.041322314049591</v>
      </c>
      <c r="Q63" s="4078">
        <v>13.231578947368423</v>
      </c>
    </row>
    <row r="64" spans="1:17" s="186" customFormat="1" ht="15" customHeight="1" x14ac:dyDescent="0.25">
      <c r="A64" s="5306"/>
      <c r="B64" s="5053"/>
      <c r="C64" s="4073">
        <v>87</v>
      </c>
      <c r="D64" s="4074" t="s">
        <v>468</v>
      </c>
      <c r="E64" s="4075">
        <v>13.268041237113403</v>
      </c>
      <c r="F64" s="4075">
        <v>13.551282051282051</v>
      </c>
      <c r="G64" s="4076">
        <v>13.592233009708737</v>
      </c>
      <c r="H64" s="4077">
        <v>13.36046511627907</v>
      </c>
      <c r="I64" s="4077">
        <v>13.455555555555557</v>
      </c>
      <c r="J64" s="4077">
        <v>13.551020408163266</v>
      </c>
      <c r="K64" s="4078">
        <v>13.514018691588781</v>
      </c>
      <c r="L64" s="4078">
        <v>14.050632911392409</v>
      </c>
      <c r="M64" s="4078">
        <v>14.46666666666667</v>
      </c>
      <c r="N64" s="4078">
        <v>13.978260869565217</v>
      </c>
      <c r="O64" s="4078">
        <v>13.592105263157894</v>
      </c>
      <c r="P64" s="4078">
        <v>13.602739726027401</v>
      </c>
      <c r="Q64" s="4078">
        <v>13.694444444444443</v>
      </c>
    </row>
    <row r="65" spans="1:17" s="186" customFormat="1" ht="15" customHeight="1" x14ac:dyDescent="0.25">
      <c r="A65" s="5307"/>
      <c r="B65" s="5054"/>
      <c r="C65" s="4081">
        <v>88</v>
      </c>
      <c r="D65" s="4082" t="s">
        <v>500</v>
      </c>
      <c r="E65" s="4092">
        <v>12.568181818181818</v>
      </c>
      <c r="F65" s="4092">
        <v>13.133333333333333</v>
      </c>
      <c r="G65" s="4084">
        <v>13.361702127659575</v>
      </c>
      <c r="H65" s="4093">
        <v>13.108695652173912</v>
      </c>
      <c r="I65" s="4093">
        <v>12.636363636363635</v>
      </c>
      <c r="J65" s="4093">
        <v>12.709090909090909</v>
      </c>
      <c r="K65" s="4094">
        <v>13.136363636363637</v>
      </c>
      <c r="L65" s="4094">
        <v>13.515151515151514</v>
      </c>
      <c r="M65" s="4094">
        <v>13.560975609756099</v>
      </c>
      <c r="N65" s="4094">
        <v>14.019607843137257</v>
      </c>
      <c r="O65" s="4094">
        <v>13.873417721518987</v>
      </c>
      <c r="P65" s="4094">
        <v>12.960000000000003</v>
      </c>
      <c r="Q65" s="4094">
        <v>14.109589041095889</v>
      </c>
    </row>
    <row r="66" spans="1:17" s="186" customFormat="1" ht="15" customHeight="1" x14ac:dyDescent="0.25">
      <c r="A66" s="5301" t="s">
        <v>8</v>
      </c>
      <c r="B66" s="5298" t="s">
        <v>6</v>
      </c>
      <c r="C66" s="4086">
        <v>128</v>
      </c>
      <c r="D66" s="4087" t="s">
        <v>462</v>
      </c>
      <c r="E66" s="4095"/>
      <c r="F66" s="4095"/>
      <c r="G66" s="4089"/>
      <c r="H66" s="4096"/>
      <c r="I66" s="4096"/>
      <c r="J66" s="4096"/>
      <c r="K66" s="4091">
        <v>13.033333333333331</v>
      </c>
      <c r="L66" s="4091">
        <v>13.333333333333336</v>
      </c>
      <c r="M66" s="4091">
        <v>13.2</v>
      </c>
      <c r="N66" s="4091">
        <v>12.933333333333335</v>
      </c>
      <c r="O66" s="4091">
        <v>14.343749999999998</v>
      </c>
      <c r="P66" s="4091">
        <v>14.958333333333334</v>
      </c>
      <c r="Q66" s="4091">
        <v>14.733333333333333</v>
      </c>
    </row>
    <row r="67" spans="1:17" s="186" customFormat="1" ht="15" customHeight="1" x14ac:dyDescent="0.25">
      <c r="A67" s="5302"/>
      <c r="B67" s="5299"/>
      <c r="C67" s="4073">
        <v>129</v>
      </c>
      <c r="D67" s="4074" t="s">
        <v>463</v>
      </c>
      <c r="E67" s="4079"/>
      <c r="F67" s="4079"/>
      <c r="G67" s="4076"/>
      <c r="H67" s="4080"/>
      <c r="I67" s="4080"/>
      <c r="J67" s="4080"/>
      <c r="K67" s="4078">
        <v>12.058823529411764</v>
      </c>
      <c r="L67" s="4078">
        <v>14.75</v>
      </c>
      <c r="M67" s="4078"/>
      <c r="N67" s="4078"/>
      <c r="O67" s="4078"/>
      <c r="P67" s="4078"/>
      <c r="Q67" s="4078"/>
    </row>
    <row r="68" spans="1:17" s="186" customFormat="1" ht="15" customHeight="1" x14ac:dyDescent="0.2">
      <c r="A68" s="5302"/>
      <c r="B68" s="5299"/>
      <c r="C68" s="4073">
        <v>135</v>
      </c>
      <c r="D68" s="4074" t="s">
        <v>501</v>
      </c>
      <c r="E68" s="4079"/>
      <c r="F68" s="4079"/>
      <c r="G68" s="4076"/>
      <c r="H68" s="4080"/>
      <c r="I68" s="4080"/>
      <c r="J68" s="4080"/>
      <c r="K68" s="4076"/>
      <c r="L68" s="4076"/>
      <c r="M68" s="4076">
        <v>12.13</v>
      </c>
      <c r="N68" s="4076">
        <v>12.529411764705882</v>
      </c>
      <c r="O68" s="4076">
        <v>14.25</v>
      </c>
      <c r="P68" s="4076">
        <v>12.75</v>
      </c>
      <c r="Q68" s="4076">
        <v>13.5</v>
      </c>
    </row>
    <row r="69" spans="1:17" s="186" customFormat="1" ht="15" customHeight="1" x14ac:dyDescent="0.2">
      <c r="A69" s="5302"/>
      <c r="B69" s="5299"/>
      <c r="C69" s="4081">
        <v>136</v>
      </c>
      <c r="D69" s="4082" t="s">
        <v>502</v>
      </c>
      <c r="E69" s="4083"/>
      <c r="F69" s="4083"/>
      <c r="G69" s="4084"/>
      <c r="H69" s="4085"/>
      <c r="I69" s="4085"/>
      <c r="J69" s="4085"/>
      <c r="K69" s="4084"/>
      <c r="L69" s="4084"/>
      <c r="M69" s="4084">
        <v>12.67</v>
      </c>
      <c r="N69" s="4084">
        <v>14.285714285714286</v>
      </c>
      <c r="O69" s="4084">
        <v>15.142857142857142</v>
      </c>
      <c r="P69" s="4084">
        <v>14</v>
      </c>
      <c r="Q69" s="4084">
        <v>16.09090909090909</v>
      </c>
    </row>
    <row r="70" spans="1:17" s="186" customFormat="1" ht="15" customHeight="1" x14ac:dyDescent="0.2">
      <c r="A70" s="5302"/>
      <c r="B70" s="5298" t="s">
        <v>9</v>
      </c>
      <c r="C70" s="4086">
        <v>130</v>
      </c>
      <c r="D70" s="4087" t="s">
        <v>503</v>
      </c>
      <c r="E70" s="4095"/>
      <c r="F70" s="4095"/>
      <c r="G70" s="4089"/>
      <c r="H70" s="4096"/>
      <c r="I70" s="4096"/>
      <c r="J70" s="4096"/>
      <c r="K70" s="4089">
        <v>13</v>
      </c>
      <c r="L70" s="4089">
        <v>13.6</v>
      </c>
      <c r="M70" s="4089">
        <v>13.866666666666669</v>
      </c>
      <c r="N70" s="4089">
        <v>14.947368421052634</v>
      </c>
      <c r="O70" s="4089">
        <v>16.5</v>
      </c>
      <c r="P70" s="4089">
        <v>17.27272727272727</v>
      </c>
      <c r="Q70" s="4089">
        <v>17.888888888888889</v>
      </c>
    </row>
    <row r="71" spans="1:17" s="186" customFormat="1" ht="15" customHeight="1" x14ac:dyDescent="0.2">
      <c r="A71" s="5302"/>
      <c r="B71" s="5299"/>
      <c r="C71" s="4073">
        <v>137</v>
      </c>
      <c r="D71" s="4074" t="s">
        <v>504</v>
      </c>
      <c r="E71" s="4079"/>
      <c r="F71" s="4079"/>
      <c r="G71" s="4076"/>
      <c r="H71" s="4080"/>
      <c r="I71" s="4080"/>
      <c r="J71" s="4080"/>
      <c r="K71" s="4076"/>
      <c r="L71" s="4076"/>
      <c r="M71" s="4076">
        <v>12.5</v>
      </c>
      <c r="N71" s="4076">
        <v>15.5</v>
      </c>
      <c r="O71" s="4076"/>
      <c r="P71" s="4076">
        <v>14.5</v>
      </c>
      <c r="Q71" s="4076">
        <v>17.000000000000004</v>
      </c>
    </row>
    <row r="72" spans="1:17" s="186" customFormat="1" ht="15" customHeight="1" x14ac:dyDescent="0.2">
      <c r="A72" s="5302"/>
      <c r="B72" s="5300"/>
      <c r="C72" s="4081">
        <v>138</v>
      </c>
      <c r="D72" s="4082" t="s">
        <v>505</v>
      </c>
      <c r="E72" s="4083"/>
      <c r="F72" s="4083"/>
      <c r="G72" s="4084"/>
      <c r="H72" s="4085"/>
      <c r="I72" s="4085"/>
      <c r="J72" s="4085"/>
      <c r="K72" s="4084"/>
      <c r="L72" s="4084"/>
      <c r="M72" s="4084">
        <v>12.266666666666666</v>
      </c>
      <c r="N72" s="4084">
        <v>13.148148148148149</v>
      </c>
      <c r="O72" s="4084">
        <v>13.2</v>
      </c>
      <c r="P72" s="4084">
        <v>13.27777777777778</v>
      </c>
      <c r="Q72" s="4084">
        <v>15.384615384615387</v>
      </c>
    </row>
    <row r="73" spans="1:17" s="186" customFormat="1" ht="15" customHeight="1" x14ac:dyDescent="0.25">
      <c r="A73" s="5302"/>
      <c r="B73" s="5034" t="s">
        <v>74</v>
      </c>
      <c r="C73" s="4086">
        <v>131</v>
      </c>
      <c r="D73" s="4087" t="s">
        <v>512</v>
      </c>
      <c r="E73" s="4095"/>
      <c r="F73" s="4095"/>
      <c r="G73" s="4089"/>
      <c r="H73" s="4096"/>
      <c r="I73" s="4096"/>
      <c r="J73" s="4096"/>
      <c r="K73" s="4091">
        <v>12</v>
      </c>
      <c r="L73" s="4091">
        <v>13.888888888888889</v>
      </c>
      <c r="M73" s="4091">
        <v>13.600000000000001</v>
      </c>
      <c r="N73" s="4091">
        <v>14.153846153846153</v>
      </c>
      <c r="O73" s="4091">
        <v>16.3</v>
      </c>
      <c r="P73" s="4091">
        <v>18.100000000000001</v>
      </c>
      <c r="Q73" s="4091">
        <v>14.666666666666666</v>
      </c>
    </row>
    <row r="74" spans="1:17" s="186" customFormat="1" ht="15" customHeight="1" x14ac:dyDescent="0.25">
      <c r="A74" s="5302"/>
      <c r="B74" s="5035"/>
      <c r="C74" s="4073">
        <v>132</v>
      </c>
      <c r="D74" s="4074" t="s">
        <v>506</v>
      </c>
      <c r="E74" s="4079"/>
      <c r="F74" s="4079"/>
      <c r="G74" s="4076"/>
      <c r="H74" s="4080"/>
      <c r="I74" s="4080"/>
      <c r="J74" s="4080"/>
      <c r="K74" s="4078">
        <v>12</v>
      </c>
      <c r="L74" s="4078">
        <v>12</v>
      </c>
      <c r="M74" s="4078">
        <v>19</v>
      </c>
      <c r="N74" s="4078">
        <v>14.75</v>
      </c>
      <c r="O74" s="4078">
        <v>15.333333333333334</v>
      </c>
      <c r="P74" s="4078">
        <v>18.333333333333332</v>
      </c>
      <c r="Q74" s="4078">
        <v>19.285714285714285</v>
      </c>
    </row>
    <row r="75" spans="1:17" s="186" customFormat="1" ht="15" customHeight="1" x14ac:dyDescent="0.2">
      <c r="A75" s="5302"/>
      <c r="B75" s="5035"/>
      <c r="C75" s="4073">
        <v>141</v>
      </c>
      <c r="D75" s="4074" t="s">
        <v>507</v>
      </c>
      <c r="E75" s="4079"/>
      <c r="F75" s="4079"/>
      <c r="G75" s="4076"/>
      <c r="H75" s="4080"/>
      <c r="I75" s="4080"/>
      <c r="J75" s="4080"/>
      <c r="K75" s="4076"/>
      <c r="L75" s="4076"/>
      <c r="M75" s="4076"/>
      <c r="N75" s="4076">
        <v>13</v>
      </c>
      <c r="O75" s="4076">
        <v>13.5</v>
      </c>
      <c r="P75" s="4076">
        <v>17.399999999999999</v>
      </c>
      <c r="Q75" s="4076">
        <v>16.142857142857142</v>
      </c>
    </row>
    <row r="76" spans="1:17" s="186" customFormat="1" ht="15" customHeight="1" x14ac:dyDescent="0.2">
      <c r="A76" s="5303"/>
      <c r="B76" s="5036"/>
      <c r="C76" s="4081">
        <v>144</v>
      </c>
      <c r="D76" s="4082" t="s">
        <v>508</v>
      </c>
      <c r="E76" s="4083"/>
      <c r="F76" s="4083"/>
      <c r="G76" s="4084"/>
      <c r="H76" s="4085"/>
      <c r="I76" s="4085"/>
      <c r="J76" s="4085"/>
      <c r="K76" s="4084"/>
      <c r="L76" s="4084"/>
      <c r="M76" s="4084"/>
      <c r="N76" s="4084"/>
      <c r="O76" s="4084"/>
      <c r="P76" s="4084">
        <v>13</v>
      </c>
      <c r="Q76" s="4084">
        <v>13.25</v>
      </c>
    </row>
    <row r="77" spans="1:17" s="186" customFormat="1" ht="15" customHeight="1" x14ac:dyDescent="0.25">
      <c r="A77" s="5304" t="s">
        <v>326</v>
      </c>
      <c r="B77" s="4758" t="s">
        <v>5</v>
      </c>
      <c r="C77" s="4086">
        <v>147</v>
      </c>
      <c r="D77" s="4087" t="s">
        <v>509</v>
      </c>
      <c r="E77" s="4095"/>
      <c r="F77" s="4095"/>
      <c r="G77" s="4089"/>
      <c r="H77" s="4096"/>
      <c r="I77" s="4096"/>
      <c r="J77" s="4096"/>
      <c r="K77" s="4091"/>
      <c r="L77" s="4091"/>
      <c r="M77" s="4091"/>
      <c r="N77" s="4091"/>
      <c r="O77" s="4091"/>
      <c r="P77" s="4091"/>
      <c r="Q77" s="4091">
        <v>12.35</v>
      </c>
    </row>
    <row r="78" spans="1:17" s="186" customFormat="1" ht="15" customHeight="1" x14ac:dyDescent="0.25">
      <c r="A78" s="5103"/>
      <c r="B78" s="5214" t="s">
        <v>6</v>
      </c>
      <c r="C78" s="4073">
        <v>148</v>
      </c>
      <c r="D78" s="4074" t="s">
        <v>510</v>
      </c>
      <c r="E78" s="4079"/>
      <c r="F78" s="4079"/>
      <c r="G78" s="4076"/>
      <c r="H78" s="4080"/>
      <c r="I78" s="4080"/>
      <c r="J78" s="4080"/>
      <c r="K78" s="4078"/>
      <c r="L78" s="4078"/>
      <c r="M78" s="4078"/>
      <c r="N78" s="4078"/>
      <c r="O78" s="4078"/>
      <c r="P78" s="4078"/>
      <c r="Q78" s="4078">
        <v>12.218749999999996</v>
      </c>
    </row>
    <row r="79" spans="1:17" s="186" customFormat="1" ht="15" customHeight="1" x14ac:dyDescent="0.2">
      <c r="A79" s="5103"/>
      <c r="B79" s="5197"/>
      <c r="C79" s="4073">
        <v>161</v>
      </c>
      <c r="D79" s="4074" t="s">
        <v>625</v>
      </c>
      <c r="E79" s="4079"/>
      <c r="F79" s="4079"/>
      <c r="G79" s="4076"/>
      <c r="H79" s="4080"/>
      <c r="I79" s="4080"/>
      <c r="J79" s="4080"/>
      <c r="K79" s="4076"/>
      <c r="L79" s="4076"/>
      <c r="M79" s="4076"/>
      <c r="N79" s="4076"/>
      <c r="O79" s="4076"/>
      <c r="P79" s="4076"/>
      <c r="Q79" s="4076"/>
    </row>
    <row r="80" spans="1:17" s="186" customFormat="1" ht="15" customHeight="1" x14ac:dyDescent="0.2">
      <c r="A80" s="5104"/>
      <c r="B80" s="4792" t="s">
        <v>11</v>
      </c>
      <c r="C80" s="4081">
        <v>149</v>
      </c>
      <c r="D80" s="4082" t="s">
        <v>511</v>
      </c>
      <c r="E80" s="4083"/>
      <c r="F80" s="4083"/>
      <c r="G80" s="4084"/>
      <c r="H80" s="4085"/>
      <c r="I80" s="4085"/>
      <c r="J80" s="4085"/>
      <c r="K80" s="4084"/>
      <c r="L80" s="4084"/>
      <c r="M80" s="4084"/>
      <c r="N80" s="4084"/>
      <c r="O80" s="4084"/>
      <c r="P80" s="4084"/>
      <c r="Q80" s="4084">
        <v>12.130434782608695</v>
      </c>
    </row>
    <row r="81" spans="1:17" s="186" customFormat="1" ht="15" customHeight="1" x14ac:dyDescent="0.2">
      <c r="A81" s="4788"/>
      <c r="B81" s="4789"/>
      <c r="C81" s="4790"/>
      <c r="D81" s="517"/>
      <c r="E81" s="4791"/>
      <c r="F81" s="4791"/>
      <c r="G81" s="4791"/>
      <c r="H81" s="4791"/>
      <c r="I81" s="4791"/>
      <c r="J81" s="4791"/>
      <c r="K81" s="4791"/>
      <c r="L81" s="4791"/>
      <c r="M81" s="4791"/>
      <c r="N81" s="4791"/>
      <c r="O81" s="4791"/>
      <c r="P81" s="4791"/>
      <c r="Q81" s="4791"/>
    </row>
    <row r="82" spans="1:17" s="197" customFormat="1" ht="15" x14ac:dyDescent="0.25">
      <c r="B82" s="5025" t="s">
        <v>76</v>
      </c>
      <c r="C82" s="5026"/>
      <c r="D82" s="5027"/>
      <c r="E82" s="2164">
        <v>16.481355209887067</v>
      </c>
      <c r="F82" s="2164">
        <v>16.611923509561304</v>
      </c>
      <c r="G82" s="2165">
        <v>16.509697789806044</v>
      </c>
      <c r="H82" s="2166">
        <v>16.575550660792953</v>
      </c>
      <c r="I82" s="2166">
        <v>15.90759150474473</v>
      </c>
      <c r="J82" s="2166">
        <v>15.536545192505656</v>
      </c>
      <c r="K82" s="2167">
        <v>15.319109461966546</v>
      </c>
      <c r="L82" s="2167">
        <v>15.627523691800636</v>
      </c>
      <c r="M82" s="2167">
        <v>15.65</v>
      </c>
      <c r="N82" s="2167">
        <v>15.569747539580661</v>
      </c>
      <c r="O82" s="2167">
        <v>15.75</v>
      </c>
      <c r="P82" s="2167">
        <v>15.858384357100615</v>
      </c>
      <c r="Q82" s="2167">
        <v>15.948707985234114</v>
      </c>
    </row>
    <row r="83" spans="1:17" s="195" customFormat="1" ht="15" x14ac:dyDescent="0.2">
      <c r="A83" s="243" t="s">
        <v>318</v>
      </c>
      <c r="B83" s="194"/>
      <c r="C83" s="194"/>
    </row>
    <row r="84" spans="1:17" s="202" customFormat="1" x14ac:dyDescent="0.2">
      <c r="A84" s="244" t="s">
        <v>319</v>
      </c>
    </row>
    <row r="85" spans="1:17" s="198" customFormat="1" ht="15" x14ac:dyDescent="0.25">
      <c r="A85" s="206"/>
      <c r="B85" s="206"/>
      <c r="C85" s="206"/>
      <c r="D85" s="241"/>
    </row>
  </sheetData>
  <mergeCells count="20">
    <mergeCell ref="A1:D1"/>
    <mergeCell ref="A48:A65"/>
    <mergeCell ref="A22:A47"/>
    <mergeCell ref="A5:A21"/>
    <mergeCell ref="B5:B14"/>
    <mergeCell ref="B15:B18"/>
    <mergeCell ref="B19:B21"/>
    <mergeCell ref="B62:B65"/>
    <mergeCell ref="B22:B30"/>
    <mergeCell ref="B31:B41"/>
    <mergeCell ref="B42:B47"/>
    <mergeCell ref="B48:B53"/>
    <mergeCell ref="B54:B61"/>
    <mergeCell ref="B66:B69"/>
    <mergeCell ref="B70:B72"/>
    <mergeCell ref="A66:A76"/>
    <mergeCell ref="B73:B76"/>
    <mergeCell ref="B82:D82"/>
    <mergeCell ref="A77:A80"/>
    <mergeCell ref="B78:B79"/>
  </mergeCells>
  <printOptions horizontalCentered="1" verticalCentered="1"/>
  <pageMargins left="0.51181102362204722" right="0.47244094488188981" top="0.31496062992125984" bottom="0.51181102362204722" header="0" footer="0"/>
  <pageSetup scale="70" orientation="landscape" r:id="rId1"/>
  <headerFooter alignWithMargins="0">
    <oddFooter xml:space="preserve">&amp;R
</oddFooter>
  </headerFooter>
  <rowBreaks count="1" manualBreakCount="1">
    <brk id="47" max="1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Q38"/>
  <sheetViews>
    <sheetView showGridLines="0" zoomScaleNormal="100" zoomScaleSheetLayoutView="90" workbookViewId="0">
      <pane xSplit="2" ySplit="4" topLeftCell="C14" activePane="bottomRight" state="frozen"/>
      <selection pane="topRight" activeCell="D1" sqref="D1"/>
      <selection pane="bottomLeft" activeCell="A7" sqref="A7"/>
      <selection pane="bottomRight" activeCell="S24" sqref="S24"/>
    </sheetView>
  </sheetViews>
  <sheetFormatPr baseColWidth="10" defaultRowHeight="12.75" x14ac:dyDescent="0.2"/>
  <cols>
    <col min="1" max="1" width="16.7109375" style="23" customWidth="1"/>
    <col min="2" max="2" width="11.7109375" style="23" customWidth="1"/>
    <col min="3" max="18" width="9.7109375" style="23" customWidth="1"/>
    <col min="19" max="19" width="6" style="23" customWidth="1"/>
    <col min="20" max="249" width="11.42578125" style="23"/>
    <col min="250" max="250" width="1.7109375" style="23" customWidth="1"/>
    <col min="251" max="259" width="11.7109375" style="23" customWidth="1"/>
    <col min="260" max="261" width="10.42578125" style="23" customWidth="1"/>
    <col min="262" max="262" width="1.42578125" style="23" customWidth="1"/>
    <col min="263" max="274" width="9.7109375" style="23" customWidth="1"/>
    <col min="275" max="275" width="6" style="23" customWidth="1"/>
    <col min="276" max="505" width="11.42578125" style="23"/>
    <col min="506" max="506" width="1.7109375" style="23" customWidth="1"/>
    <col min="507" max="515" width="11.7109375" style="23" customWidth="1"/>
    <col min="516" max="517" width="10.42578125" style="23" customWidth="1"/>
    <col min="518" max="518" width="1.42578125" style="23" customWidth="1"/>
    <col min="519" max="530" width="9.7109375" style="23" customWidth="1"/>
    <col min="531" max="531" width="6" style="23" customWidth="1"/>
    <col min="532" max="761" width="11.42578125" style="23"/>
    <col min="762" max="762" width="1.7109375" style="23" customWidth="1"/>
    <col min="763" max="771" width="11.7109375" style="23" customWidth="1"/>
    <col min="772" max="773" width="10.42578125" style="23" customWidth="1"/>
    <col min="774" max="774" width="1.42578125" style="23" customWidth="1"/>
    <col min="775" max="786" width="9.7109375" style="23" customWidth="1"/>
    <col min="787" max="787" width="6" style="23" customWidth="1"/>
    <col min="788" max="1017" width="11.42578125" style="23"/>
    <col min="1018" max="1018" width="1.7109375" style="23" customWidth="1"/>
    <col min="1019" max="1027" width="11.7109375" style="23" customWidth="1"/>
    <col min="1028" max="1029" width="10.42578125" style="23" customWidth="1"/>
    <col min="1030" max="1030" width="1.42578125" style="23" customWidth="1"/>
    <col min="1031" max="1042" width="9.7109375" style="23" customWidth="1"/>
    <col min="1043" max="1043" width="6" style="23" customWidth="1"/>
    <col min="1044" max="1273" width="11.42578125" style="23"/>
    <col min="1274" max="1274" width="1.7109375" style="23" customWidth="1"/>
    <col min="1275" max="1283" width="11.7109375" style="23" customWidth="1"/>
    <col min="1284" max="1285" width="10.42578125" style="23" customWidth="1"/>
    <col min="1286" max="1286" width="1.42578125" style="23" customWidth="1"/>
    <col min="1287" max="1298" width="9.7109375" style="23" customWidth="1"/>
    <col min="1299" max="1299" width="6" style="23" customWidth="1"/>
    <col min="1300" max="1529" width="11.42578125" style="23"/>
    <col min="1530" max="1530" width="1.7109375" style="23" customWidth="1"/>
    <col min="1531" max="1539" width="11.7109375" style="23" customWidth="1"/>
    <col min="1540" max="1541" width="10.42578125" style="23" customWidth="1"/>
    <col min="1542" max="1542" width="1.42578125" style="23" customWidth="1"/>
    <col min="1543" max="1554" width="9.7109375" style="23" customWidth="1"/>
    <col min="1555" max="1555" width="6" style="23" customWidth="1"/>
    <col min="1556" max="1785" width="11.42578125" style="23"/>
    <col min="1786" max="1786" width="1.7109375" style="23" customWidth="1"/>
    <col min="1787" max="1795" width="11.7109375" style="23" customWidth="1"/>
    <col min="1796" max="1797" width="10.42578125" style="23" customWidth="1"/>
    <col min="1798" max="1798" width="1.42578125" style="23" customWidth="1"/>
    <col min="1799" max="1810" width="9.7109375" style="23" customWidth="1"/>
    <col min="1811" max="1811" width="6" style="23" customWidth="1"/>
    <col min="1812" max="2041" width="11.42578125" style="23"/>
    <col min="2042" max="2042" width="1.7109375" style="23" customWidth="1"/>
    <col min="2043" max="2051" width="11.7109375" style="23" customWidth="1"/>
    <col min="2052" max="2053" width="10.42578125" style="23" customWidth="1"/>
    <col min="2054" max="2054" width="1.42578125" style="23" customWidth="1"/>
    <col min="2055" max="2066" width="9.7109375" style="23" customWidth="1"/>
    <col min="2067" max="2067" width="6" style="23" customWidth="1"/>
    <col min="2068" max="2297" width="11.42578125" style="23"/>
    <col min="2298" max="2298" width="1.7109375" style="23" customWidth="1"/>
    <col min="2299" max="2307" width="11.7109375" style="23" customWidth="1"/>
    <col min="2308" max="2309" width="10.42578125" style="23" customWidth="1"/>
    <col min="2310" max="2310" width="1.42578125" style="23" customWidth="1"/>
    <col min="2311" max="2322" width="9.7109375" style="23" customWidth="1"/>
    <col min="2323" max="2323" width="6" style="23" customWidth="1"/>
    <col min="2324" max="2553" width="11.42578125" style="23"/>
    <col min="2554" max="2554" width="1.7109375" style="23" customWidth="1"/>
    <col min="2555" max="2563" width="11.7109375" style="23" customWidth="1"/>
    <col min="2564" max="2565" width="10.42578125" style="23" customWidth="1"/>
    <col min="2566" max="2566" width="1.42578125" style="23" customWidth="1"/>
    <col min="2567" max="2578" width="9.7109375" style="23" customWidth="1"/>
    <col min="2579" max="2579" width="6" style="23" customWidth="1"/>
    <col min="2580" max="2809" width="11.42578125" style="23"/>
    <col min="2810" max="2810" width="1.7109375" style="23" customWidth="1"/>
    <col min="2811" max="2819" width="11.7109375" style="23" customWidth="1"/>
    <col min="2820" max="2821" width="10.42578125" style="23" customWidth="1"/>
    <col min="2822" max="2822" width="1.42578125" style="23" customWidth="1"/>
    <col min="2823" max="2834" width="9.7109375" style="23" customWidth="1"/>
    <col min="2835" max="2835" width="6" style="23" customWidth="1"/>
    <col min="2836" max="3065" width="11.42578125" style="23"/>
    <col min="3066" max="3066" width="1.7109375" style="23" customWidth="1"/>
    <col min="3067" max="3075" width="11.7109375" style="23" customWidth="1"/>
    <col min="3076" max="3077" width="10.42578125" style="23" customWidth="1"/>
    <col min="3078" max="3078" width="1.42578125" style="23" customWidth="1"/>
    <col min="3079" max="3090" width="9.7109375" style="23" customWidth="1"/>
    <col min="3091" max="3091" width="6" style="23" customWidth="1"/>
    <col min="3092" max="3321" width="11.42578125" style="23"/>
    <col min="3322" max="3322" width="1.7109375" style="23" customWidth="1"/>
    <col min="3323" max="3331" width="11.7109375" style="23" customWidth="1"/>
    <col min="3332" max="3333" width="10.42578125" style="23" customWidth="1"/>
    <col min="3334" max="3334" width="1.42578125" style="23" customWidth="1"/>
    <col min="3335" max="3346" width="9.7109375" style="23" customWidth="1"/>
    <col min="3347" max="3347" width="6" style="23" customWidth="1"/>
    <col min="3348" max="3577" width="11.42578125" style="23"/>
    <col min="3578" max="3578" width="1.7109375" style="23" customWidth="1"/>
    <col min="3579" max="3587" width="11.7109375" style="23" customWidth="1"/>
    <col min="3588" max="3589" width="10.42578125" style="23" customWidth="1"/>
    <col min="3590" max="3590" width="1.42578125" style="23" customWidth="1"/>
    <col min="3591" max="3602" width="9.7109375" style="23" customWidth="1"/>
    <col min="3603" max="3603" width="6" style="23" customWidth="1"/>
    <col min="3604" max="3833" width="11.42578125" style="23"/>
    <col min="3834" max="3834" width="1.7109375" style="23" customWidth="1"/>
    <col min="3835" max="3843" width="11.7109375" style="23" customWidth="1"/>
    <col min="3844" max="3845" width="10.42578125" style="23" customWidth="1"/>
    <col min="3846" max="3846" width="1.42578125" style="23" customWidth="1"/>
    <col min="3847" max="3858" width="9.7109375" style="23" customWidth="1"/>
    <col min="3859" max="3859" width="6" style="23" customWidth="1"/>
    <col min="3860" max="4089" width="11.42578125" style="23"/>
    <col min="4090" max="4090" width="1.7109375" style="23" customWidth="1"/>
    <col min="4091" max="4099" width="11.7109375" style="23" customWidth="1"/>
    <col min="4100" max="4101" width="10.42578125" style="23" customWidth="1"/>
    <col min="4102" max="4102" width="1.42578125" style="23" customWidth="1"/>
    <col min="4103" max="4114" width="9.7109375" style="23" customWidth="1"/>
    <col min="4115" max="4115" width="6" style="23" customWidth="1"/>
    <col min="4116" max="4345" width="11.42578125" style="23"/>
    <col min="4346" max="4346" width="1.7109375" style="23" customWidth="1"/>
    <col min="4347" max="4355" width="11.7109375" style="23" customWidth="1"/>
    <col min="4356" max="4357" width="10.42578125" style="23" customWidth="1"/>
    <col min="4358" max="4358" width="1.42578125" style="23" customWidth="1"/>
    <col min="4359" max="4370" width="9.7109375" style="23" customWidth="1"/>
    <col min="4371" max="4371" width="6" style="23" customWidth="1"/>
    <col min="4372" max="4601" width="11.42578125" style="23"/>
    <col min="4602" max="4602" width="1.7109375" style="23" customWidth="1"/>
    <col min="4603" max="4611" width="11.7109375" style="23" customWidth="1"/>
    <col min="4612" max="4613" width="10.42578125" style="23" customWidth="1"/>
    <col min="4614" max="4614" width="1.42578125" style="23" customWidth="1"/>
    <col min="4615" max="4626" width="9.7109375" style="23" customWidth="1"/>
    <col min="4627" max="4627" width="6" style="23" customWidth="1"/>
    <col min="4628" max="4857" width="11.42578125" style="23"/>
    <col min="4858" max="4858" width="1.7109375" style="23" customWidth="1"/>
    <col min="4859" max="4867" width="11.7109375" style="23" customWidth="1"/>
    <col min="4868" max="4869" width="10.42578125" style="23" customWidth="1"/>
    <col min="4870" max="4870" width="1.42578125" style="23" customWidth="1"/>
    <col min="4871" max="4882" width="9.7109375" style="23" customWidth="1"/>
    <col min="4883" max="4883" width="6" style="23" customWidth="1"/>
    <col min="4884" max="5113" width="11.42578125" style="23"/>
    <col min="5114" max="5114" width="1.7109375" style="23" customWidth="1"/>
    <col min="5115" max="5123" width="11.7109375" style="23" customWidth="1"/>
    <col min="5124" max="5125" width="10.42578125" style="23" customWidth="1"/>
    <col min="5126" max="5126" width="1.42578125" style="23" customWidth="1"/>
    <col min="5127" max="5138" width="9.7109375" style="23" customWidth="1"/>
    <col min="5139" max="5139" width="6" style="23" customWidth="1"/>
    <col min="5140" max="5369" width="11.42578125" style="23"/>
    <col min="5370" max="5370" width="1.7109375" style="23" customWidth="1"/>
    <col min="5371" max="5379" width="11.7109375" style="23" customWidth="1"/>
    <col min="5380" max="5381" width="10.42578125" style="23" customWidth="1"/>
    <col min="5382" max="5382" width="1.42578125" style="23" customWidth="1"/>
    <col min="5383" max="5394" width="9.7109375" style="23" customWidth="1"/>
    <col min="5395" max="5395" width="6" style="23" customWidth="1"/>
    <col min="5396" max="5625" width="11.42578125" style="23"/>
    <col min="5626" max="5626" width="1.7109375" style="23" customWidth="1"/>
    <col min="5627" max="5635" width="11.7109375" style="23" customWidth="1"/>
    <col min="5636" max="5637" width="10.42578125" style="23" customWidth="1"/>
    <col min="5638" max="5638" width="1.42578125" style="23" customWidth="1"/>
    <col min="5639" max="5650" width="9.7109375" style="23" customWidth="1"/>
    <col min="5651" max="5651" width="6" style="23" customWidth="1"/>
    <col min="5652" max="5881" width="11.42578125" style="23"/>
    <col min="5882" max="5882" width="1.7109375" style="23" customWidth="1"/>
    <col min="5883" max="5891" width="11.7109375" style="23" customWidth="1"/>
    <col min="5892" max="5893" width="10.42578125" style="23" customWidth="1"/>
    <col min="5894" max="5894" width="1.42578125" style="23" customWidth="1"/>
    <col min="5895" max="5906" width="9.7109375" style="23" customWidth="1"/>
    <col min="5907" max="5907" width="6" style="23" customWidth="1"/>
    <col min="5908" max="6137" width="11.42578125" style="23"/>
    <col min="6138" max="6138" width="1.7109375" style="23" customWidth="1"/>
    <col min="6139" max="6147" width="11.7109375" style="23" customWidth="1"/>
    <col min="6148" max="6149" width="10.42578125" style="23" customWidth="1"/>
    <col min="6150" max="6150" width="1.42578125" style="23" customWidth="1"/>
    <col min="6151" max="6162" width="9.7109375" style="23" customWidth="1"/>
    <col min="6163" max="6163" width="6" style="23" customWidth="1"/>
    <col min="6164" max="6393" width="11.42578125" style="23"/>
    <col min="6394" max="6394" width="1.7109375" style="23" customWidth="1"/>
    <col min="6395" max="6403" width="11.7109375" style="23" customWidth="1"/>
    <col min="6404" max="6405" width="10.42578125" style="23" customWidth="1"/>
    <col min="6406" max="6406" width="1.42578125" style="23" customWidth="1"/>
    <col min="6407" max="6418" width="9.7109375" style="23" customWidth="1"/>
    <col min="6419" max="6419" width="6" style="23" customWidth="1"/>
    <col min="6420" max="6649" width="11.42578125" style="23"/>
    <col min="6650" max="6650" width="1.7109375" style="23" customWidth="1"/>
    <col min="6651" max="6659" width="11.7109375" style="23" customWidth="1"/>
    <col min="6660" max="6661" width="10.42578125" style="23" customWidth="1"/>
    <col min="6662" max="6662" width="1.42578125" style="23" customWidth="1"/>
    <col min="6663" max="6674" width="9.7109375" style="23" customWidth="1"/>
    <col min="6675" max="6675" width="6" style="23" customWidth="1"/>
    <col min="6676" max="6905" width="11.42578125" style="23"/>
    <col min="6906" max="6906" width="1.7109375" style="23" customWidth="1"/>
    <col min="6907" max="6915" width="11.7109375" style="23" customWidth="1"/>
    <col min="6916" max="6917" width="10.42578125" style="23" customWidth="1"/>
    <col min="6918" max="6918" width="1.42578125" style="23" customWidth="1"/>
    <col min="6919" max="6930" width="9.7109375" style="23" customWidth="1"/>
    <col min="6931" max="6931" width="6" style="23" customWidth="1"/>
    <col min="6932" max="7161" width="11.42578125" style="23"/>
    <col min="7162" max="7162" width="1.7109375" style="23" customWidth="1"/>
    <col min="7163" max="7171" width="11.7109375" style="23" customWidth="1"/>
    <col min="7172" max="7173" width="10.42578125" style="23" customWidth="1"/>
    <col min="7174" max="7174" width="1.42578125" style="23" customWidth="1"/>
    <col min="7175" max="7186" width="9.7109375" style="23" customWidth="1"/>
    <col min="7187" max="7187" width="6" style="23" customWidth="1"/>
    <col min="7188" max="7417" width="11.42578125" style="23"/>
    <col min="7418" max="7418" width="1.7109375" style="23" customWidth="1"/>
    <col min="7419" max="7427" width="11.7109375" style="23" customWidth="1"/>
    <col min="7428" max="7429" width="10.42578125" style="23" customWidth="1"/>
    <col min="7430" max="7430" width="1.42578125" style="23" customWidth="1"/>
    <col min="7431" max="7442" width="9.7109375" style="23" customWidth="1"/>
    <col min="7443" max="7443" width="6" style="23" customWidth="1"/>
    <col min="7444" max="7673" width="11.42578125" style="23"/>
    <col min="7674" max="7674" width="1.7109375" style="23" customWidth="1"/>
    <col min="7675" max="7683" width="11.7109375" style="23" customWidth="1"/>
    <col min="7684" max="7685" width="10.42578125" style="23" customWidth="1"/>
    <col min="7686" max="7686" width="1.42578125" style="23" customWidth="1"/>
    <col min="7687" max="7698" width="9.7109375" style="23" customWidth="1"/>
    <col min="7699" max="7699" width="6" style="23" customWidth="1"/>
    <col min="7700" max="7929" width="11.42578125" style="23"/>
    <col min="7930" max="7930" width="1.7109375" style="23" customWidth="1"/>
    <col min="7931" max="7939" width="11.7109375" style="23" customWidth="1"/>
    <col min="7940" max="7941" width="10.42578125" style="23" customWidth="1"/>
    <col min="7942" max="7942" width="1.42578125" style="23" customWidth="1"/>
    <col min="7943" max="7954" width="9.7109375" style="23" customWidth="1"/>
    <col min="7955" max="7955" width="6" style="23" customWidth="1"/>
    <col min="7956" max="8185" width="11.42578125" style="23"/>
    <col min="8186" max="8186" width="1.7109375" style="23" customWidth="1"/>
    <col min="8187" max="8195" width="11.7109375" style="23" customWidth="1"/>
    <col min="8196" max="8197" width="10.42578125" style="23" customWidth="1"/>
    <col min="8198" max="8198" width="1.42578125" style="23" customWidth="1"/>
    <col min="8199" max="8210" width="9.7109375" style="23" customWidth="1"/>
    <col min="8211" max="8211" width="6" style="23" customWidth="1"/>
    <col min="8212" max="8441" width="11.42578125" style="23"/>
    <col min="8442" max="8442" width="1.7109375" style="23" customWidth="1"/>
    <col min="8443" max="8451" width="11.7109375" style="23" customWidth="1"/>
    <col min="8452" max="8453" width="10.42578125" style="23" customWidth="1"/>
    <col min="8454" max="8454" width="1.42578125" style="23" customWidth="1"/>
    <col min="8455" max="8466" width="9.7109375" style="23" customWidth="1"/>
    <col min="8467" max="8467" width="6" style="23" customWidth="1"/>
    <col min="8468" max="8697" width="11.42578125" style="23"/>
    <col min="8698" max="8698" width="1.7109375" style="23" customWidth="1"/>
    <col min="8699" max="8707" width="11.7109375" style="23" customWidth="1"/>
    <col min="8708" max="8709" width="10.42578125" style="23" customWidth="1"/>
    <col min="8710" max="8710" width="1.42578125" style="23" customWidth="1"/>
    <col min="8711" max="8722" width="9.7109375" style="23" customWidth="1"/>
    <col min="8723" max="8723" width="6" style="23" customWidth="1"/>
    <col min="8724" max="8953" width="11.42578125" style="23"/>
    <col min="8954" max="8954" width="1.7109375" style="23" customWidth="1"/>
    <col min="8955" max="8963" width="11.7109375" style="23" customWidth="1"/>
    <col min="8964" max="8965" width="10.42578125" style="23" customWidth="1"/>
    <col min="8966" max="8966" width="1.42578125" style="23" customWidth="1"/>
    <col min="8967" max="8978" width="9.7109375" style="23" customWidth="1"/>
    <col min="8979" max="8979" width="6" style="23" customWidth="1"/>
    <col min="8980" max="9209" width="11.42578125" style="23"/>
    <col min="9210" max="9210" width="1.7109375" style="23" customWidth="1"/>
    <col min="9211" max="9219" width="11.7109375" style="23" customWidth="1"/>
    <col min="9220" max="9221" width="10.42578125" style="23" customWidth="1"/>
    <col min="9222" max="9222" width="1.42578125" style="23" customWidth="1"/>
    <col min="9223" max="9234" width="9.7109375" style="23" customWidth="1"/>
    <col min="9235" max="9235" width="6" style="23" customWidth="1"/>
    <col min="9236" max="9465" width="11.42578125" style="23"/>
    <col min="9466" max="9466" width="1.7109375" style="23" customWidth="1"/>
    <col min="9467" max="9475" width="11.7109375" style="23" customWidth="1"/>
    <col min="9476" max="9477" width="10.42578125" style="23" customWidth="1"/>
    <col min="9478" max="9478" width="1.42578125" style="23" customWidth="1"/>
    <col min="9479" max="9490" width="9.7109375" style="23" customWidth="1"/>
    <col min="9491" max="9491" width="6" style="23" customWidth="1"/>
    <col min="9492" max="9721" width="11.42578125" style="23"/>
    <col min="9722" max="9722" width="1.7109375" style="23" customWidth="1"/>
    <col min="9723" max="9731" width="11.7109375" style="23" customWidth="1"/>
    <col min="9732" max="9733" width="10.42578125" style="23" customWidth="1"/>
    <col min="9734" max="9734" width="1.42578125" style="23" customWidth="1"/>
    <col min="9735" max="9746" width="9.7109375" style="23" customWidth="1"/>
    <col min="9747" max="9747" width="6" style="23" customWidth="1"/>
    <col min="9748" max="9977" width="11.42578125" style="23"/>
    <col min="9978" max="9978" width="1.7109375" style="23" customWidth="1"/>
    <col min="9979" max="9987" width="11.7109375" style="23" customWidth="1"/>
    <col min="9988" max="9989" width="10.42578125" style="23" customWidth="1"/>
    <col min="9990" max="9990" width="1.42578125" style="23" customWidth="1"/>
    <col min="9991" max="10002" width="9.7109375" style="23" customWidth="1"/>
    <col min="10003" max="10003" width="6" style="23" customWidth="1"/>
    <col min="10004" max="10233" width="11.42578125" style="23"/>
    <col min="10234" max="10234" width="1.7109375" style="23" customWidth="1"/>
    <col min="10235" max="10243" width="11.7109375" style="23" customWidth="1"/>
    <col min="10244" max="10245" width="10.42578125" style="23" customWidth="1"/>
    <col min="10246" max="10246" width="1.42578125" style="23" customWidth="1"/>
    <col min="10247" max="10258" width="9.7109375" style="23" customWidth="1"/>
    <col min="10259" max="10259" width="6" style="23" customWidth="1"/>
    <col min="10260" max="10489" width="11.42578125" style="23"/>
    <col min="10490" max="10490" width="1.7109375" style="23" customWidth="1"/>
    <col min="10491" max="10499" width="11.7109375" style="23" customWidth="1"/>
    <col min="10500" max="10501" width="10.42578125" style="23" customWidth="1"/>
    <col min="10502" max="10502" width="1.42578125" style="23" customWidth="1"/>
    <col min="10503" max="10514" width="9.7109375" style="23" customWidth="1"/>
    <col min="10515" max="10515" width="6" style="23" customWidth="1"/>
    <col min="10516" max="10745" width="11.42578125" style="23"/>
    <col min="10746" max="10746" width="1.7109375" style="23" customWidth="1"/>
    <col min="10747" max="10755" width="11.7109375" style="23" customWidth="1"/>
    <col min="10756" max="10757" width="10.42578125" style="23" customWidth="1"/>
    <col min="10758" max="10758" width="1.42578125" style="23" customWidth="1"/>
    <col min="10759" max="10770" width="9.7109375" style="23" customWidth="1"/>
    <col min="10771" max="10771" width="6" style="23" customWidth="1"/>
    <col min="10772" max="11001" width="11.42578125" style="23"/>
    <col min="11002" max="11002" width="1.7109375" style="23" customWidth="1"/>
    <col min="11003" max="11011" width="11.7109375" style="23" customWidth="1"/>
    <col min="11012" max="11013" width="10.42578125" style="23" customWidth="1"/>
    <col min="11014" max="11014" width="1.42578125" style="23" customWidth="1"/>
    <col min="11015" max="11026" width="9.7109375" style="23" customWidth="1"/>
    <col min="11027" max="11027" width="6" style="23" customWidth="1"/>
    <col min="11028" max="11257" width="11.42578125" style="23"/>
    <col min="11258" max="11258" width="1.7109375" style="23" customWidth="1"/>
    <col min="11259" max="11267" width="11.7109375" style="23" customWidth="1"/>
    <col min="11268" max="11269" width="10.42578125" style="23" customWidth="1"/>
    <col min="11270" max="11270" width="1.42578125" style="23" customWidth="1"/>
    <col min="11271" max="11282" width="9.7109375" style="23" customWidth="1"/>
    <col min="11283" max="11283" width="6" style="23" customWidth="1"/>
    <col min="11284" max="11513" width="11.42578125" style="23"/>
    <col min="11514" max="11514" width="1.7109375" style="23" customWidth="1"/>
    <col min="11515" max="11523" width="11.7109375" style="23" customWidth="1"/>
    <col min="11524" max="11525" width="10.42578125" style="23" customWidth="1"/>
    <col min="11526" max="11526" width="1.42578125" style="23" customWidth="1"/>
    <col min="11527" max="11538" width="9.7109375" style="23" customWidth="1"/>
    <col min="11539" max="11539" width="6" style="23" customWidth="1"/>
    <col min="11540" max="11769" width="11.42578125" style="23"/>
    <col min="11770" max="11770" width="1.7109375" style="23" customWidth="1"/>
    <col min="11771" max="11779" width="11.7109375" style="23" customWidth="1"/>
    <col min="11780" max="11781" width="10.42578125" style="23" customWidth="1"/>
    <col min="11782" max="11782" width="1.42578125" style="23" customWidth="1"/>
    <col min="11783" max="11794" width="9.7109375" style="23" customWidth="1"/>
    <col min="11795" max="11795" width="6" style="23" customWidth="1"/>
    <col min="11796" max="12025" width="11.42578125" style="23"/>
    <col min="12026" max="12026" width="1.7109375" style="23" customWidth="1"/>
    <col min="12027" max="12035" width="11.7109375" style="23" customWidth="1"/>
    <col min="12036" max="12037" width="10.42578125" style="23" customWidth="1"/>
    <col min="12038" max="12038" width="1.42578125" style="23" customWidth="1"/>
    <col min="12039" max="12050" width="9.7109375" style="23" customWidth="1"/>
    <col min="12051" max="12051" width="6" style="23" customWidth="1"/>
    <col min="12052" max="12281" width="11.42578125" style="23"/>
    <col min="12282" max="12282" width="1.7109375" style="23" customWidth="1"/>
    <col min="12283" max="12291" width="11.7109375" style="23" customWidth="1"/>
    <col min="12292" max="12293" width="10.42578125" style="23" customWidth="1"/>
    <col min="12294" max="12294" width="1.42578125" style="23" customWidth="1"/>
    <col min="12295" max="12306" width="9.7109375" style="23" customWidth="1"/>
    <col min="12307" max="12307" width="6" style="23" customWidth="1"/>
    <col min="12308" max="12537" width="11.42578125" style="23"/>
    <col min="12538" max="12538" width="1.7109375" style="23" customWidth="1"/>
    <col min="12539" max="12547" width="11.7109375" style="23" customWidth="1"/>
    <col min="12548" max="12549" width="10.42578125" style="23" customWidth="1"/>
    <col min="12550" max="12550" width="1.42578125" style="23" customWidth="1"/>
    <col min="12551" max="12562" width="9.7109375" style="23" customWidth="1"/>
    <col min="12563" max="12563" width="6" style="23" customWidth="1"/>
    <col min="12564" max="12793" width="11.42578125" style="23"/>
    <col min="12794" max="12794" width="1.7109375" style="23" customWidth="1"/>
    <col min="12795" max="12803" width="11.7109375" style="23" customWidth="1"/>
    <col min="12804" max="12805" width="10.42578125" style="23" customWidth="1"/>
    <col min="12806" max="12806" width="1.42578125" style="23" customWidth="1"/>
    <col min="12807" max="12818" width="9.7109375" style="23" customWidth="1"/>
    <col min="12819" max="12819" width="6" style="23" customWidth="1"/>
    <col min="12820" max="13049" width="11.42578125" style="23"/>
    <col min="13050" max="13050" width="1.7109375" style="23" customWidth="1"/>
    <col min="13051" max="13059" width="11.7109375" style="23" customWidth="1"/>
    <col min="13060" max="13061" width="10.42578125" style="23" customWidth="1"/>
    <col min="13062" max="13062" width="1.42578125" style="23" customWidth="1"/>
    <col min="13063" max="13074" width="9.7109375" style="23" customWidth="1"/>
    <col min="13075" max="13075" width="6" style="23" customWidth="1"/>
    <col min="13076" max="13305" width="11.42578125" style="23"/>
    <col min="13306" max="13306" width="1.7109375" style="23" customWidth="1"/>
    <col min="13307" max="13315" width="11.7109375" style="23" customWidth="1"/>
    <col min="13316" max="13317" width="10.42578125" style="23" customWidth="1"/>
    <col min="13318" max="13318" width="1.42578125" style="23" customWidth="1"/>
    <col min="13319" max="13330" width="9.7109375" style="23" customWidth="1"/>
    <col min="13331" max="13331" width="6" style="23" customWidth="1"/>
    <col min="13332" max="13561" width="11.42578125" style="23"/>
    <col min="13562" max="13562" width="1.7109375" style="23" customWidth="1"/>
    <col min="13563" max="13571" width="11.7109375" style="23" customWidth="1"/>
    <col min="13572" max="13573" width="10.42578125" style="23" customWidth="1"/>
    <col min="13574" max="13574" width="1.42578125" style="23" customWidth="1"/>
    <col min="13575" max="13586" width="9.7109375" style="23" customWidth="1"/>
    <col min="13587" max="13587" width="6" style="23" customWidth="1"/>
    <col min="13588" max="13817" width="11.42578125" style="23"/>
    <col min="13818" max="13818" width="1.7109375" style="23" customWidth="1"/>
    <col min="13819" max="13827" width="11.7109375" style="23" customWidth="1"/>
    <col min="13828" max="13829" width="10.42578125" style="23" customWidth="1"/>
    <col min="13830" max="13830" width="1.42578125" style="23" customWidth="1"/>
    <col min="13831" max="13842" width="9.7109375" style="23" customWidth="1"/>
    <col min="13843" max="13843" width="6" style="23" customWidth="1"/>
    <col min="13844" max="14073" width="11.42578125" style="23"/>
    <col min="14074" max="14074" width="1.7109375" style="23" customWidth="1"/>
    <col min="14075" max="14083" width="11.7109375" style="23" customWidth="1"/>
    <col min="14084" max="14085" width="10.42578125" style="23" customWidth="1"/>
    <col min="14086" max="14086" width="1.42578125" style="23" customWidth="1"/>
    <col min="14087" max="14098" width="9.7109375" style="23" customWidth="1"/>
    <col min="14099" max="14099" width="6" style="23" customWidth="1"/>
    <col min="14100" max="14329" width="11.42578125" style="23"/>
    <col min="14330" max="14330" width="1.7109375" style="23" customWidth="1"/>
    <col min="14331" max="14339" width="11.7109375" style="23" customWidth="1"/>
    <col min="14340" max="14341" width="10.42578125" style="23" customWidth="1"/>
    <col min="14342" max="14342" width="1.42578125" style="23" customWidth="1"/>
    <col min="14343" max="14354" width="9.7109375" style="23" customWidth="1"/>
    <col min="14355" max="14355" width="6" style="23" customWidth="1"/>
    <col min="14356" max="14585" width="11.42578125" style="23"/>
    <col min="14586" max="14586" width="1.7109375" style="23" customWidth="1"/>
    <col min="14587" max="14595" width="11.7109375" style="23" customWidth="1"/>
    <col min="14596" max="14597" width="10.42578125" style="23" customWidth="1"/>
    <col min="14598" max="14598" width="1.42578125" style="23" customWidth="1"/>
    <col min="14599" max="14610" width="9.7109375" style="23" customWidth="1"/>
    <col min="14611" max="14611" width="6" style="23" customWidth="1"/>
    <col min="14612" max="14841" width="11.42578125" style="23"/>
    <col min="14842" max="14842" width="1.7109375" style="23" customWidth="1"/>
    <col min="14843" max="14851" width="11.7109375" style="23" customWidth="1"/>
    <col min="14852" max="14853" width="10.42578125" style="23" customWidth="1"/>
    <col min="14854" max="14854" width="1.42578125" style="23" customWidth="1"/>
    <col min="14855" max="14866" width="9.7109375" style="23" customWidth="1"/>
    <col min="14867" max="14867" width="6" style="23" customWidth="1"/>
    <col min="14868" max="15097" width="11.42578125" style="23"/>
    <col min="15098" max="15098" width="1.7109375" style="23" customWidth="1"/>
    <col min="15099" max="15107" width="11.7109375" style="23" customWidth="1"/>
    <col min="15108" max="15109" width="10.42578125" style="23" customWidth="1"/>
    <col min="15110" max="15110" width="1.42578125" style="23" customWidth="1"/>
    <col min="15111" max="15122" width="9.7109375" style="23" customWidth="1"/>
    <col min="15123" max="15123" width="6" style="23" customWidth="1"/>
    <col min="15124" max="15353" width="11.42578125" style="23"/>
    <col min="15354" max="15354" width="1.7109375" style="23" customWidth="1"/>
    <col min="15355" max="15363" width="11.7109375" style="23" customWidth="1"/>
    <col min="15364" max="15365" width="10.42578125" style="23" customWidth="1"/>
    <col min="15366" max="15366" width="1.42578125" style="23" customWidth="1"/>
    <col min="15367" max="15378" width="9.7109375" style="23" customWidth="1"/>
    <col min="15379" max="15379" width="6" style="23" customWidth="1"/>
    <col min="15380" max="15609" width="11.42578125" style="23"/>
    <col min="15610" max="15610" width="1.7109375" style="23" customWidth="1"/>
    <col min="15611" max="15619" width="11.7109375" style="23" customWidth="1"/>
    <col min="15620" max="15621" width="10.42578125" style="23" customWidth="1"/>
    <col min="15622" max="15622" width="1.42578125" style="23" customWidth="1"/>
    <col min="15623" max="15634" width="9.7109375" style="23" customWidth="1"/>
    <col min="15635" max="15635" width="6" style="23" customWidth="1"/>
    <col min="15636" max="15865" width="11.42578125" style="23"/>
    <col min="15866" max="15866" width="1.7109375" style="23" customWidth="1"/>
    <col min="15867" max="15875" width="11.7109375" style="23" customWidth="1"/>
    <col min="15876" max="15877" width="10.42578125" style="23" customWidth="1"/>
    <col min="15878" max="15878" width="1.42578125" style="23" customWidth="1"/>
    <col min="15879" max="15890" width="9.7109375" style="23" customWidth="1"/>
    <col min="15891" max="15891" width="6" style="23" customWidth="1"/>
    <col min="15892" max="16121" width="11.42578125" style="23"/>
    <col min="16122" max="16122" width="1.7109375" style="23" customWidth="1"/>
    <col min="16123" max="16131" width="11.7109375" style="23" customWidth="1"/>
    <col min="16132" max="16133" width="10.42578125" style="23" customWidth="1"/>
    <col min="16134" max="16134" width="1.42578125" style="23" customWidth="1"/>
    <col min="16135" max="16146" width="9.7109375" style="23" customWidth="1"/>
    <col min="16147" max="16147" width="6" style="23" customWidth="1"/>
    <col min="16148" max="16384" width="11.42578125" style="23"/>
  </cols>
  <sheetData>
    <row r="1" spans="1:15" ht="15.75" x14ac:dyDescent="0.2">
      <c r="A1" s="38" t="s">
        <v>1362</v>
      </c>
      <c r="B1" s="38"/>
      <c r="C1" s="35"/>
      <c r="D1" s="35"/>
      <c r="E1" s="35"/>
      <c r="F1" s="35"/>
      <c r="G1" s="35"/>
      <c r="H1" s="35"/>
      <c r="I1" s="35"/>
    </row>
    <row r="2" spans="1:15" ht="15.75" x14ac:dyDescent="0.2">
      <c r="A2" s="2374"/>
      <c r="B2" s="2374"/>
      <c r="C2" s="2374"/>
      <c r="D2" s="2374"/>
      <c r="E2" s="2374"/>
      <c r="F2" s="2374"/>
      <c r="G2" s="2374"/>
      <c r="H2" s="2374"/>
      <c r="I2" s="2374"/>
    </row>
    <row r="3" spans="1:15" ht="20.25" customHeight="1" x14ac:dyDescent="0.2">
      <c r="A3" s="966" t="s">
        <v>16</v>
      </c>
      <c r="B3" s="966" t="s">
        <v>4</v>
      </c>
      <c r="C3" s="655">
        <v>2003</v>
      </c>
      <c r="D3" s="596">
        <v>2004</v>
      </c>
      <c r="E3" s="565">
        <v>2005</v>
      </c>
      <c r="F3" s="656">
        <v>2006</v>
      </c>
      <c r="G3" s="656">
        <v>2007</v>
      </c>
      <c r="H3" s="656">
        <v>2008</v>
      </c>
      <c r="I3" s="656">
        <v>2009</v>
      </c>
      <c r="J3" s="656">
        <v>2010</v>
      </c>
      <c r="K3" s="767">
        <v>2011</v>
      </c>
      <c r="L3" s="940">
        <v>2012</v>
      </c>
      <c r="M3" s="1755">
        <v>2013</v>
      </c>
      <c r="N3" s="2066">
        <v>2014</v>
      </c>
      <c r="O3" s="4752">
        <v>2015</v>
      </c>
    </row>
    <row r="5" spans="1:15" ht="15" x14ac:dyDescent="0.2">
      <c r="A5" s="5146" t="s">
        <v>161</v>
      </c>
      <c r="B5" s="246" t="s">
        <v>5</v>
      </c>
      <c r="C5" s="2989">
        <v>22.75</v>
      </c>
      <c r="D5" s="2989">
        <v>23.410326086956523</v>
      </c>
      <c r="E5" s="2990">
        <v>22.360696517412936</v>
      </c>
      <c r="F5" s="2990">
        <v>22.698453608247423</v>
      </c>
      <c r="G5" s="2991">
        <v>21.929203539823021</v>
      </c>
      <c r="H5" s="2991">
        <v>21.038674033149174</v>
      </c>
      <c r="I5" s="2990">
        <v>20.61</v>
      </c>
      <c r="J5" s="2990">
        <v>20.3451086956522</v>
      </c>
      <c r="K5" s="2990">
        <v>20.732673267326739</v>
      </c>
      <c r="L5" s="2990">
        <v>20.190000000000001</v>
      </c>
      <c r="M5" s="2990">
        <v>20.6</v>
      </c>
      <c r="N5" s="2990">
        <v>20.921602787456443</v>
      </c>
      <c r="O5" s="2990">
        <v>20.721062618595809</v>
      </c>
    </row>
    <row r="6" spans="1:15" ht="15" x14ac:dyDescent="0.2">
      <c r="A6" s="5147"/>
      <c r="B6" s="247" t="s">
        <v>6</v>
      </c>
      <c r="C6" s="2992">
        <v>16.800637958532697</v>
      </c>
      <c r="D6" s="2992">
        <v>16.424703891708969</v>
      </c>
      <c r="E6" s="2993">
        <v>16.379888268156424</v>
      </c>
      <c r="F6" s="2993">
        <v>17.011976047904191</v>
      </c>
      <c r="G6" s="2994">
        <v>16.442622950819679</v>
      </c>
      <c r="H6" s="2994">
        <v>16.239263803680977</v>
      </c>
      <c r="I6" s="2993">
        <v>16.34</v>
      </c>
      <c r="J6" s="2993">
        <v>16.37972166998011</v>
      </c>
      <c r="K6" s="2993">
        <v>16.412300683371296</v>
      </c>
      <c r="L6" s="2993">
        <v>16.010000000000002</v>
      </c>
      <c r="M6" s="2993">
        <v>16.04</v>
      </c>
      <c r="N6" s="2993">
        <v>15.675579322638137</v>
      </c>
      <c r="O6" s="2993">
        <v>16.227344992050885</v>
      </c>
    </row>
    <row r="7" spans="1:15" ht="15" x14ac:dyDescent="0.2">
      <c r="A7" s="5147"/>
      <c r="B7" s="247" t="s">
        <v>7</v>
      </c>
      <c r="C7" s="2992">
        <v>17.05</v>
      </c>
      <c r="D7" s="2992">
        <v>17.592476489028215</v>
      </c>
      <c r="E7" s="2993">
        <v>17.37784090909091</v>
      </c>
      <c r="F7" s="2993">
        <v>16.874301675977655</v>
      </c>
      <c r="G7" s="2994">
        <v>15.750677506775059</v>
      </c>
      <c r="H7" s="2994">
        <v>16.035087719298254</v>
      </c>
      <c r="I7" s="2993">
        <v>16.13</v>
      </c>
      <c r="J7" s="2993">
        <v>16.476635514018696</v>
      </c>
      <c r="K7" s="2993">
        <v>16.17355371900825</v>
      </c>
      <c r="L7" s="2993">
        <v>16.924901185770747</v>
      </c>
      <c r="M7" s="2993">
        <v>16.07</v>
      </c>
      <c r="N7" s="2993">
        <v>16.220289855072441</v>
      </c>
      <c r="O7" s="2993">
        <v>17.034985422740519</v>
      </c>
    </row>
    <row r="8" spans="1:15" ht="15" x14ac:dyDescent="0.2">
      <c r="A8" s="5226"/>
      <c r="B8" s="2359" t="s">
        <v>12</v>
      </c>
      <c r="C8" s="2995">
        <v>18.575323790047715</v>
      </c>
      <c r="D8" s="2995">
        <v>18.727699530516432</v>
      </c>
      <c r="E8" s="2996">
        <v>18.514329976762198</v>
      </c>
      <c r="F8" s="2996">
        <v>18.741780272654371</v>
      </c>
      <c r="G8" s="2997">
        <v>17.784280936454874</v>
      </c>
      <c r="H8" s="2997">
        <v>17.637049455155072</v>
      </c>
      <c r="I8" s="2996">
        <v>17.510000000000002</v>
      </c>
      <c r="J8" s="2996">
        <v>17.630033557046996</v>
      </c>
      <c r="K8" s="2996">
        <v>17.967741935483861</v>
      </c>
      <c r="L8" s="2996">
        <v>17.540825285338023</v>
      </c>
      <c r="M8" s="2996">
        <v>17.55</v>
      </c>
      <c r="N8" s="2996">
        <v>17.837162162162194</v>
      </c>
      <c r="O8" s="2996">
        <v>17.991994663108716</v>
      </c>
    </row>
    <row r="9" spans="1:15" ht="15.75" x14ac:dyDescent="0.2">
      <c r="A9" s="692"/>
      <c r="C9" s="2998"/>
      <c r="D9" s="2998"/>
      <c r="E9" s="2998"/>
      <c r="F9" s="2998"/>
      <c r="G9" s="2998"/>
      <c r="H9" s="2998"/>
      <c r="I9" s="2998"/>
      <c r="J9" s="2998"/>
      <c r="K9" s="2998"/>
      <c r="L9" s="2998"/>
      <c r="M9" s="2998"/>
      <c r="N9" s="2998"/>
      <c r="O9" s="2998"/>
    </row>
    <row r="10" spans="1:15" ht="15" x14ac:dyDescent="0.2">
      <c r="A10" s="5149" t="s">
        <v>410</v>
      </c>
      <c r="B10" s="246" t="s">
        <v>6</v>
      </c>
      <c r="C10" s="2989"/>
      <c r="D10" s="2989"/>
      <c r="E10" s="2990"/>
      <c r="F10" s="2990"/>
      <c r="G10" s="2991"/>
      <c r="H10" s="2991"/>
      <c r="I10" s="2991">
        <v>12.68</v>
      </c>
      <c r="J10" s="2990">
        <v>13.535714285714286</v>
      </c>
      <c r="K10" s="2990">
        <v>13</v>
      </c>
      <c r="L10" s="2991">
        <v>13.41</v>
      </c>
      <c r="M10" s="2991">
        <v>14.47</v>
      </c>
      <c r="N10" s="2991">
        <v>15</v>
      </c>
      <c r="O10" s="2991">
        <v>15.178571428571431</v>
      </c>
    </row>
    <row r="11" spans="1:15" ht="15" x14ac:dyDescent="0.2">
      <c r="A11" s="5150"/>
      <c r="B11" s="247" t="s">
        <v>9</v>
      </c>
      <c r="C11" s="2992"/>
      <c r="D11" s="2992"/>
      <c r="E11" s="2993"/>
      <c r="F11" s="2993"/>
      <c r="G11" s="2994"/>
      <c r="H11" s="2994"/>
      <c r="I11" s="2994">
        <v>13</v>
      </c>
      <c r="J11" s="2993">
        <v>13.6</v>
      </c>
      <c r="K11" s="2993">
        <v>13.031250000000002</v>
      </c>
      <c r="L11" s="2994">
        <v>13.87</v>
      </c>
      <c r="M11" s="2994">
        <v>14.14</v>
      </c>
      <c r="N11" s="2994">
        <v>14.7741935483871</v>
      </c>
      <c r="O11" s="2994">
        <v>16.551724137931039</v>
      </c>
    </row>
    <row r="12" spans="1:15" ht="15" x14ac:dyDescent="0.2">
      <c r="A12" s="5150"/>
      <c r="B12" s="247" t="s">
        <v>74</v>
      </c>
      <c r="C12" s="2992"/>
      <c r="D12" s="2992"/>
      <c r="E12" s="2993"/>
      <c r="F12" s="2993"/>
      <c r="G12" s="2994"/>
      <c r="H12" s="2994"/>
      <c r="I12" s="2994">
        <v>12</v>
      </c>
      <c r="J12" s="2993">
        <v>13.7</v>
      </c>
      <c r="K12" s="2993">
        <v>14.090909090909092</v>
      </c>
      <c r="L12" s="2994">
        <v>14.083333333333334</v>
      </c>
      <c r="M12" s="2994">
        <v>15.73</v>
      </c>
      <c r="N12" s="2994">
        <v>17.045454545454543</v>
      </c>
      <c r="O12" s="2994">
        <v>16.208333333333339</v>
      </c>
    </row>
    <row r="13" spans="1:15" ht="15" x14ac:dyDescent="0.2">
      <c r="A13" s="5229"/>
      <c r="B13" s="2363" t="s">
        <v>12</v>
      </c>
      <c r="C13" s="4793"/>
      <c r="D13" s="4793"/>
      <c r="E13" s="4794"/>
      <c r="F13" s="4794"/>
      <c r="G13" s="4795"/>
      <c r="H13" s="4795"/>
      <c r="I13" s="2999">
        <v>12.61</v>
      </c>
      <c r="J13" s="3000">
        <v>13.584905660377357</v>
      </c>
      <c r="K13" s="3000">
        <v>13.13829787234042</v>
      </c>
      <c r="L13" s="3000">
        <v>13.748617609527864</v>
      </c>
      <c r="M13" s="3000">
        <v>14.62</v>
      </c>
      <c r="N13" s="3000">
        <v>15.441860465116276</v>
      </c>
      <c r="O13" s="3000">
        <v>15.975308641975314</v>
      </c>
    </row>
    <row r="14" spans="1:15" ht="15.75" x14ac:dyDescent="0.2">
      <c r="A14" s="1924"/>
      <c r="C14" s="2998"/>
      <c r="D14" s="2998"/>
      <c r="E14" s="2998"/>
      <c r="F14" s="2998"/>
      <c r="G14" s="2998"/>
      <c r="H14" s="2998"/>
      <c r="I14" s="2998"/>
      <c r="J14" s="2998"/>
      <c r="K14" s="2998"/>
      <c r="L14" s="3001"/>
      <c r="M14" s="3001"/>
      <c r="N14" s="3001"/>
      <c r="O14" s="3001"/>
    </row>
    <row r="15" spans="1:15" ht="15" x14ac:dyDescent="0.2">
      <c r="A15" s="5143" t="s">
        <v>162</v>
      </c>
      <c r="B15" s="246" t="s">
        <v>5</v>
      </c>
      <c r="C15" s="2989">
        <v>21.162162162162161</v>
      </c>
      <c r="D15" s="2989">
        <v>20.357723577235774</v>
      </c>
      <c r="E15" s="2990">
        <v>21.514403292181068</v>
      </c>
      <c r="F15" s="2990">
        <v>21.409420289855074</v>
      </c>
      <c r="G15" s="2991">
        <v>21.79768786127168</v>
      </c>
      <c r="H15" s="2991">
        <v>21.490797546012278</v>
      </c>
      <c r="I15" s="2991">
        <v>19.72</v>
      </c>
      <c r="J15" s="2991">
        <v>18.895397489539743</v>
      </c>
      <c r="K15" s="2991">
        <v>19.122905027932958</v>
      </c>
      <c r="L15" s="2991">
        <v>20.16</v>
      </c>
      <c r="M15" s="2991">
        <v>20.71</v>
      </c>
      <c r="N15" s="2991">
        <v>19.863207547169836</v>
      </c>
      <c r="O15" s="2991">
        <v>19.317919075144495</v>
      </c>
    </row>
    <row r="16" spans="1:15" ht="15" x14ac:dyDescent="0.2">
      <c r="A16" s="5144"/>
      <c r="B16" s="247" t="s">
        <v>6</v>
      </c>
      <c r="C16" s="2992">
        <v>18.177606177606176</v>
      </c>
      <c r="D16" s="2992">
        <v>17.541889483065955</v>
      </c>
      <c r="E16" s="2993">
        <v>17.430528375733854</v>
      </c>
      <c r="F16" s="2993">
        <v>17.828343313373253</v>
      </c>
      <c r="G16" s="2994">
        <v>17.247334754797432</v>
      </c>
      <c r="H16" s="2994">
        <v>16.990825688073421</v>
      </c>
      <c r="I16" s="2994">
        <v>16.54</v>
      </c>
      <c r="J16" s="2994">
        <v>17.049360146252276</v>
      </c>
      <c r="K16" s="2994">
        <v>16.721991701244814</v>
      </c>
      <c r="L16" s="2994">
        <v>16.3</v>
      </c>
      <c r="M16" s="2994">
        <v>16.29</v>
      </c>
      <c r="N16" s="2994">
        <v>16.88586956521738</v>
      </c>
      <c r="O16" s="2994">
        <v>17.242160278745629</v>
      </c>
    </row>
    <row r="17" spans="1:17" ht="15" x14ac:dyDescent="0.2">
      <c r="A17" s="5144"/>
      <c r="B17" s="247" t="s">
        <v>11</v>
      </c>
      <c r="C17" s="2992">
        <v>20.78</v>
      </c>
      <c r="D17" s="2992">
        <v>20.758530183727036</v>
      </c>
      <c r="E17" s="2993">
        <v>20.56268221574344</v>
      </c>
      <c r="F17" s="2993">
        <v>20.892761394101878</v>
      </c>
      <c r="G17" s="2994">
        <v>20.758842443729908</v>
      </c>
      <c r="H17" s="2994">
        <v>19.925072046109523</v>
      </c>
      <c r="I17" s="2994">
        <v>19.62</v>
      </c>
      <c r="J17" s="2994">
        <v>18.31683168316831</v>
      </c>
      <c r="K17" s="2994">
        <v>18.494117647058808</v>
      </c>
      <c r="L17" s="2994">
        <v>18.737373737373733</v>
      </c>
      <c r="M17" s="2994">
        <v>18.440000000000001</v>
      </c>
      <c r="N17" s="2994">
        <v>18.571014492753633</v>
      </c>
      <c r="O17" s="2994">
        <v>18.592207792207788</v>
      </c>
    </row>
    <row r="18" spans="1:17" ht="15" x14ac:dyDescent="0.2">
      <c r="A18" s="5227"/>
      <c r="B18" s="2355" t="s">
        <v>12</v>
      </c>
      <c r="C18" s="3002">
        <v>19.565384615384616</v>
      </c>
      <c r="D18" s="3002">
        <v>19.156565656565657</v>
      </c>
      <c r="E18" s="3003">
        <v>19.314494074749316</v>
      </c>
      <c r="F18" s="3003">
        <v>19.681739130434782</v>
      </c>
      <c r="G18" s="3004">
        <v>19.219307450157412</v>
      </c>
      <c r="H18" s="3004">
        <v>18.842494714587744</v>
      </c>
      <c r="I18" s="3003">
        <v>17.98</v>
      </c>
      <c r="J18" s="3003">
        <v>17.807162534435271</v>
      </c>
      <c r="K18" s="3003">
        <v>17.68449781659389</v>
      </c>
      <c r="L18" s="3003">
        <v>17.710526315789497</v>
      </c>
      <c r="M18" s="3003">
        <v>17.54</v>
      </c>
      <c r="N18" s="3003">
        <v>17.979260595130754</v>
      </c>
      <c r="O18" s="3003">
        <v>18.018551236749143</v>
      </c>
    </row>
    <row r="20" spans="1:17" ht="15" x14ac:dyDescent="0.2">
      <c r="A20" s="5155" t="s">
        <v>411</v>
      </c>
      <c r="B20" s="246" t="s">
        <v>5</v>
      </c>
      <c r="C20" s="2989"/>
      <c r="D20" s="2989"/>
      <c r="E20" s="2990"/>
      <c r="F20" s="2990"/>
      <c r="G20" s="2991"/>
      <c r="H20" s="2991"/>
      <c r="I20" s="2991"/>
      <c r="J20" s="2991"/>
      <c r="K20" s="2991"/>
      <c r="L20" s="2991"/>
      <c r="M20" s="2991"/>
      <c r="N20" s="2991"/>
      <c r="O20" s="2991">
        <v>12.35</v>
      </c>
    </row>
    <row r="21" spans="1:17" ht="15" x14ac:dyDescent="0.2">
      <c r="A21" s="5156"/>
      <c r="B21" s="247" t="s">
        <v>6</v>
      </c>
      <c r="C21" s="2992"/>
      <c r="D21" s="2992"/>
      <c r="E21" s="2993"/>
      <c r="F21" s="2993"/>
      <c r="G21" s="2994"/>
      <c r="H21" s="2994"/>
      <c r="I21" s="2994"/>
      <c r="J21" s="2994"/>
      <c r="K21" s="2994"/>
      <c r="L21" s="2994"/>
      <c r="M21" s="2994"/>
      <c r="N21" s="2994"/>
      <c r="O21" s="2994">
        <v>12.218749999999996</v>
      </c>
    </row>
    <row r="22" spans="1:17" ht="15" x14ac:dyDescent="0.2">
      <c r="A22" s="5156"/>
      <c r="B22" s="247" t="s">
        <v>11</v>
      </c>
      <c r="C22" s="2992"/>
      <c r="D22" s="2992"/>
      <c r="E22" s="2993"/>
      <c r="F22" s="2993"/>
      <c r="G22" s="2994"/>
      <c r="H22" s="2994"/>
      <c r="I22" s="2994"/>
      <c r="J22" s="2994"/>
      <c r="K22" s="2994"/>
      <c r="L22" s="2994"/>
      <c r="M22" s="2994"/>
      <c r="N22" s="2994"/>
      <c r="O22" s="2994">
        <v>12.130434782608695</v>
      </c>
    </row>
    <row r="23" spans="1:17" ht="15" x14ac:dyDescent="0.2">
      <c r="A23" s="5230"/>
      <c r="B23" s="2421" t="s">
        <v>12</v>
      </c>
      <c r="C23" s="4793"/>
      <c r="D23" s="4793"/>
      <c r="E23" s="4794"/>
      <c r="F23" s="4794"/>
      <c r="G23" s="4795"/>
      <c r="H23" s="4795"/>
      <c r="I23" s="4794"/>
      <c r="J23" s="4794"/>
      <c r="K23" s="4794"/>
      <c r="L23" s="4794"/>
      <c r="M23" s="4794"/>
      <c r="N23" s="4794"/>
      <c r="O23" s="4794">
        <v>12.226666666666667</v>
      </c>
    </row>
    <row r="24" spans="1:17" ht="15.75" x14ac:dyDescent="0.2">
      <c r="A24" s="1924"/>
      <c r="C24" s="2998"/>
      <c r="D24" s="2998"/>
      <c r="E24" s="2998"/>
      <c r="F24" s="2998"/>
      <c r="G24" s="2998"/>
      <c r="H24" s="2998"/>
      <c r="I24" s="2998"/>
      <c r="J24" s="2998"/>
      <c r="K24" s="2998"/>
      <c r="L24" s="2998"/>
      <c r="M24" s="2998"/>
      <c r="N24" s="2998"/>
      <c r="O24" s="2998"/>
    </row>
    <row r="25" spans="1:17" ht="15" x14ac:dyDescent="0.2">
      <c r="A25" s="5161" t="s">
        <v>163</v>
      </c>
      <c r="B25" s="246" t="s">
        <v>6</v>
      </c>
      <c r="C25" s="2989">
        <v>13.23716381418093</v>
      </c>
      <c r="D25" s="2989">
        <v>13.373779637377964</v>
      </c>
      <c r="E25" s="2990">
        <v>13.352459016393443</v>
      </c>
      <c r="F25" s="2990">
        <v>13.26149802890933</v>
      </c>
      <c r="G25" s="2991">
        <v>13.184673366834177</v>
      </c>
      <c r="H25" s="2991">
        <v>13.192346424974831</v>
      </c>
      <c r="I25" s="2991">
        <v>13.156926406926388</v>
      </c>
      <c r="J25" s="2991">
        <v>13.503954802259878</v>
      </c>
      <c r="K25" s="2991">
        <v>13.438725490196065</v>
      </c>
      <c r="L25" s="2990">
        <v>12.98</v>
      </c>
      <c r="M25" s="2990">
        <v>13.42</v>
      </c>
      <c r="N25" s="2990">
        <v>13.331683168316831</v>
      </c>
      <c r="O25" s="2990">
        <v>13.508034610630425</v>
      </c>
    </row>
    <row r="26" spans="1:17" ht="15" x14ac:dyDescent="0.2">
      <c r="A26" s="5162"/>
      <c r="B26" s="247" t="s">
        <v>11</v>
      </c>
      <c r="C26" s="2992">
        <v>13.989141164856861</v>
      </c>
      <c r="D26" s="2992">
        <v>14.037610619469026</v>
      </c>
      <c r="E26" s="2993">
        <v>14.04026845637584</v>
      </c>
      <c r="F26" s="2993">
        <v>13.946764091858038</v>
      </c>
      <c r="G26" s="2994">
        <v>13.825497287522591</v>
      </c>
      <c r="H26" s="2994">
        <v>13.654159869494297</v>
      </c>
      <c r="I26" s="2994">
        <v>13.68</v>
      </c>
      <c r="J26" s="2994">
        <v>13.890756302521012</v>
      </c>
      <c r="K26" s="2994">
        <v>14.065517241379318</v>
      </c>
      <c r="L26" s="2993">
        <v>13.96</v>
      </c>
      <c r="M26" s="2993">
        <v>14.07</v>
      </c>
      <c r="N26" s="2993">
        <v>13.897071872227155</v>
      </c>
      <c r="O26" s="2993">
        <v>13.996500437445308</v>
      </c>
    </row>
    <row r="27" spans="1:17" ht="15" x14ac:dyDescent="0.2">
      <c r="A27" s="5162"/>
      <c r="B27" s="247" t="s">
        <v>7</v>
      </c>
      <c r="C27" s="2992">
        <v>13.380281690140846</v>
      </c>
      <c r="D27" s="2992">
        <v>13.600558659217876</v>
      </c>
      <c r="E27" s="2993">
        <v>13.780952380952382</v>
      </c>
      <c r="F27" s="2993">
        <v>13.66745283018868</v>
      </c>
      <c r="G27" s="2994">
        <v>13.426666666666671</v>
      </c>
      <c r="H27" s="2994">
        <v>13.537074148296588</v>
      </c>
      <c r="I27" s="2994">
        <v>13.706263498920084</v>
      </c>
      <c r="J27" s="2994">
        <v>14.040449438202241</v>
      </c>
      <c r="K27" s="2994">
        <v>14.305039787798409</v>
      </c>
      <c r="L27" s="2993">
        <v>14.222222222222223</v>
      </c>
      <c r="M27" s="2993">
        <v>13.862385321100916</v>
      </c>
      <c r="N27" s="2993">
        <v>13.666666666666671</v>
      </c>
      <c r="O27" s="2993">
        <v>13.686274509803924</v>
      </c>
    </row>
    <row r="28" spans="1:17" ht="15" x14ac:dyDescent="0.2">
      <c r="A28" s="5228"/>
      <c r="B28" s="2351" t="s">
        <v>12</v>
      </c>
      <c r="C28" s="3005">
        <v>13.608874656907593</v>
      </c>
      <c r="D28" s="3005">
        <v>13.718039413845377</v>
      </c>
      <c r="E28" s="3006">
        <v>13.740957966764418</v>
      </c>
      <c r="F28" s="3006">
        <v>13.648156789547363</v>
      </c>
      <c r="G28" s="3007">
        <v>13.535792709705744</v>
      </c>
      <c r="H28" s="3007">
        <v>13.463944076526859</v>
      </c>
      <c r="I28" s="3006">
        <v>13.5</v>
      </c>
      <c r="J28" s="3006">
        <v>13.781349206349185</v>
      </c>
      <c r="K28" s="3006">
        <v>13.886527836804103</v>
      </c>
      <c r="L28" s="3006">
        <v>13.558333333333332</v>
      </c>
      <c r="M28" s="3006">
        <v>13.8</v>
      </c>
      <c r="N28" s="3006">
        <v>13.662060301507545</v>
      </c>
      <c r="O28" s="3006">
        <v>13.775423728813557</v>
      </c>
    </row>
    <row r="29" spans="1:17" x14ac:dyDescent="0.2">
      <c r="C29" s="2998"/>
      <c r="D29" s="2998"/>
      <c r="E29" s="2998"/>
      <c r="F29" s="2998"/>
      <c r="G29" s="2998"/>
      <c r="H29" s="2998"/>
      <c r="I29" s="2998"/>
      <c r="J29" s="2998"/>
      <c r="K29" s="2998"/>
      <c r="L29" s="2998"/>
      <c r="M29" s="2998"/>
      <c r="N29" s="2998"/>
      <c r="O29" s="2998"/>
    </row>
    <row r="30" spans="1:17" ht="15" x14ac:dyDescent="0.2">
      <c r="A30" s="5168" t="s">
        <v>60</v>
      </c>
      <c r="B30" s="246" t="s">
        <v>5</v>
      </c>
      <c r="C30" s="2989">
        <v>22.2</v>
      </c>
      <c r="D30" s="2989">
        <v>22.19</v>
      </c>
      <c r="E30" s="2990">
        <v>22.04</v>
      </c>
      <c r="F30" s="2990">
        <v>22.16</v>
      </c>
      <c r="G30" s="2991">
        <v>21.884765625</v>
      </c>
      <c r="H30" s="2991">
        <v>21.18</v>
      </c>
      <c r="I30" s="2991">
        <v>20.32</v>
      </c>
      <c r="J30" s="2991">
        <v>19.774299835255352</v>
      </c>
      <c r="K30" s="2991">
        <v>20.238421955403101</v>
      </c>
      <c r="L30" s="2991">
        <v>20.177304964539012</v>
      </c>
      <c r="M30" s="2991">
        <v>20.621897810218968</v>
      </c>
      <c r="N30" s="2991">
        <v>20.636132315521618</v>
      </c>
      <c r="O30" s="2991">
        <v>20.151388888888864</v>
      </c>
      <c r="Q30" s="2998"/>
    </row>
    <row r="31" spans="1:17" ht="15" x14ac:dyDescent="0.2">
      <c r="A31" s="5169"/>
      <c r="B31" s="247" t="s">
        <v>6</v>
      </c>
      <c r="C31" s="2992">
        <v>15.68</v>
      </c>
      <c r="D31" s="2992">
        <v>15.59</v>
      </c>
      <c r="E31" s="2993">
        <v>15.44</v>
      </c>
      <c r="F31" s="2993">
        <v>15.63</v>
      </c>
      <c r="G31" s="2994">
        <v>15.178551055333731</v>
      </c>
      <c r="H31" s="2994">
        <v>14.83</v>
      </c>
      <c r="I31" s="2994">
        <v>14.79</v>
      </c>
      <c r="J31" s="2994">
        <v>15.22924095771773</v>
      </c>
      <c r="K31" s="2994">
        <v>15.041387024608484</v>
      </c>
      <c r="L31" s="2994">
        <v>14.944759938048525</v>
      </c>
      <c r="M31" s="2994">
        <v>15.063113006396613</v>
      </c>
      <c r="N31" s="2994">
        <v>15.036847492323407</v>
      </c>
      <c r="O31" s="2994">
        <v>15.370656370656359</v>
      </c>
    </row>
    <row r="32" spans="1:17" ht="15" x14ac:dyDescent="0.2">
      <c r="A32" s="5169"/>
      <c r="B32" s="247" t="s">
        <v>11</v>
      </c>
      <c r="C32" s="2992">
        <v>15.54</v>
      </c>
      <c r="D32" s="2992">
        <v>16.03</v>
      </c>
      <c r="E32" s="2993">
        <v>15.85</v>
      </c>
      <c r="F32" s="2993">
        <v>15.89</v>
      </c>
      <c r="G32" s="2994">
        <v>15.347212420606921</v>
      </c>
      <c r="H32" s="2994">
        <v>15.04</v>
      </c>
      <c r="I32" s="2994">
        <v>14.63</v>
      </c>
      <c r="J32" s="2994">
        <v>14.789015405224372</v>
      </c>
      <c r="K32" s="2994">
        <v>14.863604240282683</v>
      </c>
      <c r="L32" s="2994">
        <v>14.843454790823222</v>
      </c>
      <c r="M32" s="2994">
        <v>15.104736490994004</v>
      </c>
      <c r="N32" s="2994">
        <v>14.992527173913057</v>
      </c>
      <c r="O32" s="2994">
        <v>15.10960670535138</v>
      </c>
    </row>
    <row r="33" spans="1:15" ht="15" x14ac:dyDescent="0.2">
      <c r="A33" s="5169"/>
      <c r="B33" s="247" t="s">
        <v>7</v>
      </c>
      <c r="C33" s="2992">
        <v>15.37</v>
      </c>
      <c r="D33" s="2992">
        <v>15.48</v>
      </c>
      <c r="E33" s="2993">
        <v>15.42</v>
      </c>
      <c r="F33" s="2993">
        <v>15.14</v>
      </c>
      <c r="G33" s="2994">
        <v>14.579301075268813</v>
      </c>
      <c r="H33" s="2994">
        <v>14.55</v>
      </c>
      <c r="I33" s="2994">
        <v>14.77</v>
      </c>
      <c r="J33" s="2994">
        <v>15.06135770234987</v>
      </c>
      <c r="K33" s="2994">
        <v>15.035541195476599</v>
      </c>
      <c r="L33" s="2994">
        <v>15.233599999999983</v>
      </c>
      <c r="M33" s="2994">
        <v>14.819245773732113</v>
      </c>
      <c r="N33" s="2994">
        <v>14.770676691729317</v>
      </c>
      <c r="O33" s="2994">
        <v>15.215712383488661</v>
      </c>
    </row>
    <row r="34" spans="1:15" ht="15" x14ac:dyDescent="0.2">
      <c r="A34" s="5169"/>
      <c r="B34" s="247" t="s">
        <v>9</v>
      </c>
      <c r="C34" s="2992"/>
      <c r="D34" s="2992"/>
      <c r="E34" s="2993"/>
      <c r="F34" s="2993"/>
      <c r="G34" s="2994"/>
      <c r="H34" s="2994"/>
      <c r="I34" s="2994">
        <v>13</v>
      </c>
      <c r="J34" s="2994">
        <v>13.6</v>
      </c>
      <c r="K34" s="2994">
        <v>13.031250000000002</v>
      </c>
      <c r="L34" s="2994">
        <v>13.958333333333334</v>
      </c>
      <c r="M34" s="2994">
        <v>14.142857142857142</v>
      </c>
      <c r="N34" s="2994">
        <v>14.7741935483871</v>
      </c>
      <c r="O34" s="2994">
        <v>16.551724137931039</v>
      </c>
    </row>
    <row r="35" spans="1:15" ht="15" x14ac:dyDescent="0.2">
      <c r="A35" s="5169"/>
      <c r="B35" s="248" t="s">
        <v>74</v>
      </c>
      <c r="C35" s="3008"/>
      <c r="D35" s="3008"/>
      <c r="E35" s="3009"/>
      <c r="F35" s="3009"/>
      <c r="G35" s="3010"/>
      <c r="H35" s="3010"/>
      <c r="I35" s="3010">
        <v>12</v>
      </c>
      <c r="J35" s="3010">
        <v>13.7</v>
      </c>
      <c r="K35" s="3010">
        <v>14.090909090909092</v>
      </c>
      <c r="L35" s="3010">
        <v>14.222222222222223</v>
      </c>
      <c r="M35" s="3010">
        <v>15.733333333333334</v>
      </c>
      <c r="N35" s="3010">
        <v>17.045454545454543</v>
      </c>
      <c r="O35" s="3010">
        <v>16.208333333333339</v>
      </c>
    </row>
    <row r="36" spans="1:15" ht="15" x14ac:dyDescent="0.2">
      <c r="A36" s="5170"/>
      <c r="B36" s="602" t="s">
        <v>12</v>
      </c>
      <c r="C36" s="3011">
        <v>16.481355209887067</v>
      </c>
      <c r="D36" s="3011">
        <v>16.611923509561304</v>
      </c>
      <c r="E36" s="3012">
        <v>16.509697789806044</v>
      </c>
      <c r="F36" s="3012">
        <v>16.575550660792953</v>
      </c>
      <c r="G36" s="3013">
        <v>15.90759150474473</v>
      </c>
      <c r="H36" s="3013">
        <v>15.536545192505656</v>
      </c>
      <c r="I36" s="3012">
        <v>15.32</v>
      </c>
      <c r="J36" s="3012">
        <v>15.627523691800636</v>
      </c>
      <c r="K36" s="3012">
        <v>15.648381294964095</v>
      </c>
      <c r="L36" s="3014">
        <v>15.57</v>
      </c>
      <c r="M36" s="3014">
        <v>15.751781027371603</v>
      </c>
      <c r="N36" s="3014">
        <v>15.858384357100615</v>
      </c>
      <c r="O36" s="3014">
        <v>15.948707985234114</v>
      </c>
    </row>
    <row r="37" spans="1:15" ht="15" customHeight="1" x14ac:dyDescent="0.2">
      <c r="A37" s="389" t="s">
        <v>133</v>
      </c>
      <c r="B37" s="389"/>
      <c r="C37" s="389"/>
      <c r="D37" s="389"/>
      <c r="E37" s="389"/>
      <c r="F37" s="389"/>
      <c r="G37" s="389"/>
      <c r="H37" s="262"/>
      <c r="I37" s="262"/>
    </row>
    <row r="38" spans="1:15" ht="15" customHeight="1" x14ac:dyDescent="0.2">
      <c r="A38" s="322" t="s">
        <v>55</v>
      </c>
      <c r="B38" s="322"/>
      <c r="C38" s="322"/>
      <c r="D38" s="322"/>
      <c r="E38" s="322"/>
      <c r="F38" s="322"/>
      <c r="G38" s="322"/>
      <c r="H38" s="262"/>
      <c r="I38" s="262"/>
    </row>
  </sheetData>
  <mergeCells count="6">
    <mergeCell ref="A15:A18"/>
    <mergeCell ref="A25:A28"/>
    <mergeCell ref="A30:A36"/>
    <mergeCell ref="A5:A8"/>
    <mergeCell ref="A10:A13"/>
    <mergeCell ref="A20:A2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85" orientation="landscape" horizontalDpi="1200" verticalDpi="1200" r:id="rId1"/>
  <headerFooter alignWithMargins="0"/>
  <rowBreaks count="1" manualBreakCount="1">
    <brk id="38" max="1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AP105"/>
  <sheetViews>
    <sheetView showGridLines="0" zoomScaleNormal="100" zoomScaleSheetLayoutView="50" workbookViewId="0">
      <pane xSplit="3" ySplit="5" topLeftCell="AB90" activePane="bottomRight" state="frozen"/>
      <selection pane="topRight" activeCell="E1" sqref="E1"/>
      <selection pane="bottomLeft" activeCell="A6" sqref="A6"/>
      <selection pane="bottomRight" sqref="A1:C2"/>
    </sheetView>
  </sheetViews>
  <sheetFormatPr baseColWidth="10" defaultRowHeight="12.75" x14ac:dyDescent="0.2"/>
  <cols>
    <col min="1" max="1" width="9.140625" style="184" customWidth="1"/>
    <col min="2" max="2" width="9.28515625" style="184" customWidth="1"/>
    <col min="3" max="3" width="41.28515625" style="184" customWidth="1"/>
    <col min="4" max="42" width="8.7109375" style="184" customWidth="1"/>
    <col min="43" max="255" width="11.42578125" style="184"/>
    <col min="256" max="256" width="0.28515625" style="184" customWidth="1"/>
    <col min="257" max="257" width="19" style="184" customWidth="1"/>
    <col min="258" max="258" width="7.140625" style="184" customWidth="1"/>
    <col min="259" max="259" width="41.28515625" style="184" customWidth="1"/>
    <col min="260" max="261" width="9" style="184" customWidth="1"/>
    <col min="262" max="262" width="10.5703125" style="184" customWidth="1"/>
    <col min="263" max="263" width="9.42578125" style="184" customWidth="1"/>
    <col min="264" max="264" width="9.85546875" style="184" customWidth="1"/>
    <col min="265" max="265" width="10.5703125" style="184" customWidth="1"/>
    <col min="266" max="267" width="9.42578125" style="184" customWidth="1"/>
    <col min="268" max="268" width="10.5703125" style="184" customWidth="1"/>
    <col min="269" max="270" width="9" style="184" customWidth="1"/>
    <col min="271" max="271" width="10.5703125" style="184" customWidth="1"/>
    <col min="272" max="273" width="9.42578125" style="184" customWidth="1"/>
    <col min="274" max="274" width="10.5703125" style="184" customWidth="1"/>
    <col min="275" max="275" width="9.42578125" style="184" customWidth="1"/>
    <col min="276" max="276" width="9.85546875" style="184" customWidth="1"/>
    <col min="277" max="277" width="10.5703125" style="184" customWidth="1"/>
    <col min="278" max="278" width="9" style="184" customWidth="1"/>
    <col min="279" max="279" width="9.85546875" style="184" customWidth="1"/>
    <col min="280" max="280" width="12" style="184" customWidth="1"/>
    <col min="281" max="511" width="11.42578125" style="184"/>
    <col min="512" max="512" width="0.28515625" style="184" customWidth="1"/>
    <col min="513" max="513" width="19" style="184" customWidth="1"/>
    <col min="514" max="514" width="7.140625" style="184" customWidth="1"/>
    <col min="515" max="515" width="41.28515625" style="184" customWidth="1"/>
    <col min="516" max="517" width="9" style="184" customWidth="1"/>
    <col min="518" max="518" width="10.5703125" style="184" customWidth="1"/>
    <col min="519" max="519" width="9.42578125" style="184" customWidth="1"/>
    <col min="520" max="520" width="9.85546875" style="184" customWidth="1"/>
    <col min="521" max="521" width="10.5703125" style="184" customWidth="1"/>
    <col min="522" max="523" width="9.42578125" style="184" customWidth="1"/>
    <col min="524" max="524" width="10.5703125" style="184" customWidth="1"/>
    <col min="525" max="526" width="9" style="184" customWidth="1"/>
    <col min="527" max="527" width="10.5703125" style="184" customWidth="1"/>
    <col min="528" max="529" width="9.42578125" style="184" customWidth="1"/>
    <col min="530" max="530" width="10.5703125" style="184" customWidth="1"/>
    <col min="531" max="531" width="9.42578125" style="184" customWidth="1"/>
    <col min="532" max="532" width="9.85546875" style="184" customWidth="1"/>
    <col min="533" max="533" width="10.5703125" style="184" customWidth="1"/>
    <col min="534" max="534" width="9" style="184" customWidth="1"/>
    <col min="535" max="535" width="9.85546875" style="184" customWidth="1"/>
    <col min="536" max="536" width="12" style="184" customWidth="1"/>
    <col min="537" max="767" width="11.42578125" style="184"/>
    <col min="768" max="768" width="0.28515625" style="184" customWidth="1"/>
    <col min="769" max="769" width="19" style="184" customWidth="1"/>
    <col min="770" max="770" width="7.140625" style="184" customWidth="1"/>
    <col min="771" max="771" width="41.28515625" style="184" customWidth="1"/>
    <col min="772" max="773" width="9" style="184" customWidth="1"/>
    <col min="774" max="774" width="10.5703125" style="184" customWidth="1"/>
    <col min="775" max="775" width="9.42578125" style="184" customWidth="1"/>
    <col min="776" max="776" width="9.85546875" style="184" customWidth="1"/>
    <col min="777" max="777" width="10.5703125" style="184" customWidth="1"/>
    <col min="778" max="779" width="9.42578125" style="184" customWidth="1"/>
    <col min="780" max="780" width="10.5703125" style="184" customWidth="1"/>
    <col min="781" max="782" width="9" style="184" customWidth="1"/>
    <col min="783" max="783" width="10.5703125" style="184" customWidth="1"/>
    <col min="784" max="785" width="9.42578125" style="184" customWidth="1"/>
    <col min="786" max="786" width="10.5703125" style="184" customWidth="1"/>
    <col min="787" max="787" width="9.42578125" style="184" customWidth="1"/>
    <col min="788" max="788" width="9.85546875" style="184" customWidth="1"/>
    <col min="789" max="789" width="10.5703125" style="184" customWidth="1"/>
    <col min="790" max="790" width="9" style="184" customWidth="1"/>
    <col min="791" max="791" width="9.85546875" style="184" customWidth="1"/>
    <col min="792" max="792" width="12" style="184" customWidth="1"/>
    <col min="793" max="1023" width="11.42578125" style="184"/>
    <col min="1024" max="1024" width="0.28515625" style="184" customWidth="1"/>
    <col min="1025" max="1025" width="19" style="184" customWidth="1"/>
    <col min="1026" max="1026" width="7.140625" style="184" customWidth="1"/>
    <col min="1027" max="1027" width="41.28515625" style="184" customWidth="1"/>
    <col min="1028" max="1029" width="9" style="184" customWidth="1"/>
    <col min="1030" max="1030" width="10.5703125" style="184" customWidth="1"/>
    <col min="1031" max="1031" width="9.42578125" style="184" customWidth="1"/>
    <col min="1032" max="1032" width="9.85546875" style="184" customWidth="1"/>
    <col min="1033" max="1033" width="10.5703125" style="184" customWidth="1"/>
    <col min="1034" max="1035" width="9.42578125" style="184" customWidth="1"/>
    <col min="1036" max="1036" width="10.5703125" style="184" customWidth="1"/>
    <col min="1037" max="1038" width="9" style="184" customWidth="1"/>
    <col min="1039" max="1039" width="10.5703125" style="184" customWidth="1"/>
    <col min="1040" max="1041" width="9.42578125" style="184" customWidth="1"/>
    <col min="1042" max="1042" width="10.5703125" style="184" customWidth="1"/>
    <col min="1043" max="1043" width="9.42578125" style="184" customWidth="1"/>
    <col min="1044" max="1044" width="9.85546875" style="184" customWidth="1"/>
    <col min="1045" max="1045" width="10.5703125" style="184" customWidth="1"/>
    <col min="1046" max="1046" width="9" style="184" customWidth="1"/>
    <col min="1047" max="1047" width="9.85546875" style="184" customWidth="1"/>
    <col min="1048" max="1048" width="12" style="184" customWidth="1"/>
    <col min="1049" max="1279" width="11.42578125" style="184"/>
    <col min="1280" max="1280" width="0.28515625" style="184" customWidth="1"/>
    <col min="1281" max="1281" width="19" style="184" customWidth="1"/>
    <col min="1282" max="1282" width="7.140625" style="184" customWidth="1"/>
    <col min="1283" max="1283" width="41.28515625" style="184" customWidth="1"/>
    <col min="1284" max="1285" width="9" style="184" customWidth="1"/>
    <col min="1286" max="1286" width="10.5703125" style="184" customWidth="1"/>
    <col min="1287" max="1287" width="9.42578125" style="184" customWidth="1"/>
    <col min="1288" max="1288" width="9.85546875" style="184" customWidth="1"/>
    <col min="1289" max="1289" width="10.5703125" style="184" customWidth="1"/>
    <col min="1290" max="1291" width="9.42578125" style="184" customWidth="1"/>
    <col min="1292" max="1292" width="10.5703125" style="184" customWidth="1"/>
    <col min="1293" max="1294" width="9" style="184" customWidth="1"/>
    <col min="1295" max="1295" width="10.5703125" style="184" customWidth="1"/>
    <col min="1296" max="1297" width="9.42578125" style="184" customWidth="1"/>
    <col min="1298" max="1298" width="10.5703125" style="184" customWidth="1"/>
    <col min="1299" max="1299" width="9.42578125" style="184" customWidth="1"/>
    <col min="1300" max="1300" width="9.85546875" style="184" customWidth="1"/>
    <col min="1301" max="1301" width="10.5703125" style="184" customWidth="1"/>
    <col min="1302" max="1302" width="9" style="184" customWidth="1"/>
    <col min="1303" max="1303" width="9.85546875" style="184" customWidth="1"/>
    <col min="1304" max="1304" width="12" style="184" customWidth="1"/>
    <col min="1305" max="1535" width="11.42578125" style="184"/>
    <col min="1536" max="1536" width="0.28515625" style="184" customWidth="1"/>
    <col min="1537" max="1537" width="19" style="184" customWidth="1"/>
    <col min="1538" max="1538" width="7.140625" style="184" customWidth="1"/>
    <col min="1539" max="1539" width="41.28515625" style="184" customWidth="1"/>
    <col min="1540" max="1541" width="9" style="184" customWidth="1"/>
    <col min="1542" max="1542" width="10.5703125" style="184" customWidth="1"/>
    <col min="1543" max="1543" width="9.42578125" style="184" customWidth="1"/>
    <col min="1544" max="1544" width="9.85546875" style="184" customWidth="1"/>
    <col min="1545" max="1545" width="10.5703125" style="184" customWidth="1"/>
    <col min="1546" max="1547" width="9.42578125" style="184" customWidth="1"/>
    <col min="1548" max="1548" width="10.5703125" style="184" customWidth="1"/>
    <col min="1549" max="1550" width="9" style="184" customWidth="1"/>
    <col min="1551" max="1551" width="10.5703125" style="184" customWidth="1"/>
    <col min="1552" max="1553" width="9.42578125" style="184" customWidth="1"/>
    <col min="1554" max="1554" width="10.5703125" style="184" customWidth="1"/>
    <col min="1555" max="1555" width="9.42578125" style="184" customWidth="1"/>
    <col min="1556" max="1556" width="9.85546875" style="184" customWidth="1"/>
    <col min="1557" max="1557" width="10.5703125" style="184" customWidth="1"/>
    <col min="1558" max="1558" width="9" style="184" customWidth="1"/>
    <col min="1559" max="1559" width="9.85546875" style="184" customWidth="1"/>
    <col min="1560" max="1560" width="12" style="184" customWidth="1"/>
    <col min="1561" max="1791" width="11.42578125" style="184"/>
    <col min="1792" max="1792" width="0.28515625" style="184" customWidth="1"/>
    <col min="1793" max="1793" width="19" style="184" customWidth="1"/>
    <col min="1794" max="1794" width="7.140625" style="184" customWidth="1"/>
    <col min="1795" max="1795" width="41.28515625" style="184" customWidth="1"/>
    <col min="1796" max="1797" width="9" style="184" customWidth="1"/>
    <col min="1798" max="1798" width="10.5703125" style="184" customWidth="1"/>
    <col min="1799" max="1799" width="9.42578125" style="184" customWidth="1"/>
    <col min="1800" max="1800" width="9.85546875" style="184" customWidth="1"/>
    <col min="1801" max="1801" width="10.5703125" style="184" customWidth="1"/>
    <col min="1802" max="1803" width="9.42578125" style="184" customWidth="1"/>
    <col min="1804" max="1804" width="10.5703125" style="184" customWidth="1"/>
    <col min="1805" max="1806" width="9" style="184" customWidth="1"/>
    <col min="1807" max="1807" width="10.5703125" style="184" customWidth="1"/>
    <col min="1808" max="1809" width="9.42578125" style="184" customWidth="1"/>
    <col min="1810" max="1810" width="10.5703125" style="184" customWidth="1"/>
    <col min="1811" max="1811" width="9.42578125" style="184" customWidth="1"/>
    <col min="1812" max="1812" width="9.85546875" style="184" customWidth="1"/>
    <col min="1813" max="1813" width="10.5703125" style="184" customWidth="1"/>
    <col min="1814" max="1814" width="9" style="184" customWidth="1"/>
    <col min="1815" max="1815" width="9.85546875" style="184" customWidth="1"/>
    <col min="1816" max="1816" width="12" style="184" customWidth="1"/>
    <col min="1817" max="2047" width="11.42578125" style="184"/>
    <col min="2048" max="2048" width="0.28515625" style="184" customWidth="1"/>
    <col min="2049" max="2049" width="19" style="184" customWidth="1"/>
    <col min="2050" max="2050" width="7.140625" style="184" customWidth="1"/>
    <col min="2051" max="2051" width="41.28515625" style="184" customWidth="1"/>
    <col min="2052" max="2053" width="9" style="184" customWidth="1"/>
    <col min="2054" max="2054" width="10.5703125" style="184" customWidth="1"/>
    <col min="2055" max="2055" width="9.42578125" style="184" customWidth="1"/>
    <col min="2056" max="2056" width="9.85546875" style="184" customWidth="1"/>
    <col min="2057" max="2057" width="10.5703125" style="184" customWidth="1"/>
    <col min="2058" max="2059" width="9.42578125" style="184" customWidth="1"/>
    <col min="2060" max="2060" width="10.5703125" style="184" customWidth="1"/>
    <col min="2061" max="2062" width="9" style="184" customWidth="1"/>
    <col min="2063" max="2063" width="10.5703125" style="184" customWidth="1"/>
    <col min="2064" max="2065" width="9.42578125" style="184" customWidth="1"/>
    <col min="2066" max="2066" width="10.5703125" style="184" customWidth="1"/>
    <col min="2067" max="2067" width="9.42578125" style="184" customWidth="1"/>
    <col min="2068" max="2068" width="9.85546875" style="184" customWidth="1"/>
    <col min="2069" max="2069" width="10.5703125" style="184" customWidth="1"/>
    <col min="2070" max="2070" width="9" style="184" customWidth="1"/>
    <col min="2071" max="2071" width="9.85546875" style="184" customWidth="1"/>
    <col min="2072" max="2072" width="12" style="184" customWidth="1"/>
    <col min="2073" max="2303" width="11.42578125" style="184"/>
    <col min="2304" max="2304" width="0.28515625" style="184" customWidth="1"/>
    <col min="2305" max="2305" width="19" style="184" customWidth="1"/>
    <col min="2306" max="2306" width="7.140625" style="184" customWidth="1"/>
    <col min="2307" max="2307" width="41.28515625" style="184" customWidth="1"/>
    <col min="2308" max="2309" width="9" style="184" customWidth="1"/>
    <col min="2310" max="2310" width="10.5703125" style="184" customWidth="1"/>
    <col min="2311" max="2311" width="9.42578125" style="184" customWidth="1"/>
    <col min="2312" max="2312" width="9.85546875" style="184" customWidth="1"/>
    <col min="2313" max="2313" width="10.5703125" style="184" customWidth="1"/>
    <col min="2314" max="2315" width="9.42578125" style="184" customWidth="1"/>
    <col min="2316" max="2316" width="10.5703125" style="184" customWidth="1"/>
    <col min="2317" max="2318" width="9" style="184" customWidth="1"/>
    <col min="2319" max="2319" width="10.5703125" style="184" customWidth="1"/>
    <col min="2320" max="2321" width="9.42578125" style="184" customWidth="1"/>
    <col min="2322" max="2322" width="10.5703125" style="184" customWidth="1"/>
    <col min="2323" max="2323" width="9.42578125" style="184" customWidth="1"/>
    <col min="2324" max="2324" width="9.85546875" style="184" customWidth="1"/>
    <col min="2325" max="2325" width="10.5703125" style="184" customWidth="1"/>
    <col min="2326" max="2326" width="9" style="184" customWidth="1"/>
    <col min="2327" max="2327" width="9.85546875" style="184" customWidth="1"/>
    <col min="2328" max="2328" width="12" style="184" customWidth="1"/>
    <col min="2329" max="2559" width="11.42578125" style="184"/>
    <col min="2560" max="2560" width="0.28515625" style="184" customWidth="1"/>
    <col min="2561" max="2561" width="19" style="184" customWidth="1"/>
    <col min="2562" max="2562" width="7.140625" style="184" customWidth="1"/>
    <col min="2563" max="2563" width="41.28515625" style="184" customWidth="1"/>
    <col min="2564" max="2565" width="9" style="184" customWidth="1"/>
    <col min="2566" max="2566" width="10.5703125" style="184" customWidth="1"/>
    <col min="2567" max="2567" width="9.42578125" style="184" customWidth="1"/>
    <col min="2568" max="2568" width="9.85546875" style="184" customWidth="1"/>
    <col min="2569" max="2569" width="10.5703125" style="184" customWidth="1"/>
    <col min="2570" max="2571" width="9.42578125" style="184" customWidth="1"/>
    <col min="2572" max="2572" width="10.5703125" style="184" customWidth="1"/>
    <col min="2573" max="2574" width="9" style="184" customWidth="1"/>
    <col min="2575" max="2575" width="10.5703125" style="184" customWidth="1"/>
    <col min="2576" max="2577" width="9.42578125" style="184" customWidth="1"/>
    <col min="2578" max="2578" width="10.5703125" style="184" customWidth="1"/>
    <col min="2579" max="2579" width="9.42578125" style="184" customWidth="1"/>
    <col min="2580" max="2580" width="9.85546875" style="184" customWidth="1"/>
    <col min="2581" max="2581" width="10.5703125" style="184" customWidth="1"/>
    <col min="2582" max="2582" width="9" style="184" customWidth="1"/>
    <col min="2583" max="2583" width="9.85546875" style="184" customWidth="1"/>
    <col min="2584" max="2584" width="12" style="184" customWidth="1"/>
    <col min="2585" max="2815" width="11.42578125" style="184"/>
    <col min="2816" max="2816" width="0.28515625" style="184" customWidth="1"/>
    <col min="2817" max="2817" width="19" style="184" customWidth="1"/>
    <col min="2818" max="2818" width="7.140625" style="184" customWidth="1"/>
    <col min="2819" max="2819" width="41.28515625" style="184" customWidth="1"/>
    <col min="2820" max="2821" width="9" style="184" customWidth="1"/>
    <col min="2822" max="2822" width="10.5703125" style="184" customWidth="1"/>
    <col min="2823" max="2823" width="9.42578125" style="184" customWidth="1"/>
    <col min="2824" max="2824" width="9.85546875" style="184" customWidth="1"/>
    <col min="2825" max="2825" width="10.5703125" style="184" customWidth="1"/>
    <col min="2826" max="2827" width="9.42578125" style="184" customWidth="1"/>
    <col min="2828" max="2828" width="10.5703125" style="184" customWidth="1"/>
    <col min="2829" max="2830" width="9" style="184" customWidth="1"/>
    <col min="2831" max="2831" width="10.5703125" style="184" customWidth="1"/>
    <col min="2832" max="2833" width="9.42578125" style="184" customWidth="1"/>
    <col min="2834" max="2834" width="10.5703125" style="184" customWidth="1"/>
    <col min="2835" max="2835" width="9.42578125" style="184" customWidth="1"/>
    <col min="2836" max="2836" width="9.85546875" style="184" customWidth="1"/>
    <col min="2837" max="2837" width="10.5703125" style="184" customWidth="1"/>
    <col min="2838" max="2838" width="9" style="184" customWidth="1"/>
    <col min="2839" max="2839" width="9.85546875" style="184" customWidth="1"/>
    <col min="2840" max="2840" width="12" style="184" customWidth="1"/>
    <col min="2841" max="3071" width="11.42578125" style="184"/>
    <col min="3072" max="3072" width="0.28515625" style="184" customWidth="1"/>
    <col min="3073" max="3073" width="19" style="184" customWidth="1"/>
    <col min="3074" max="3074" width="7.140625" style="184" customWidth="1"/>
    <col min="3075" max="3075" width="41.28515625" style="184" customWidth="1"/>
    <col min="3076" max="3077" width="9" style="184" customWidth="1"/>
    <col min="3078" max="3078" width="10.5703125" style="184" customWidth="1"/>
    <col min="3079" max="3079" width="9.42578125" style="184" customWidth="1"/>
    <col min="3080" max="3080" width="9.85546875" style="184" customWidth="1"/>
    <col min="3081" max="3081" width="10.5703125" style="184" customWidth="1"/>
    <col min="3082" max="3083" width="9.42578125" style="184" customWidth="1"/>
    <col min="3084" max="3084" width="10.5703125" style="184" customWidth="1"/>
    <col min="3085" max="3086" width="9" style="184" customWidth="1"/>
    <col min="3087" max="3087" width="10.5703125" style="184" customWidth="1"/>
    <col min="3088" max="3089" width="9.42578125" style="184" customWidth="1"/>
    <col min="3090" max="3090" width="10.5703125" style="184" customWidth="1"/>
    <col min="3091" max="3091" width="9.42578125" style="184" customWidth="1"/>
    <col min="3092" max="3092" width="9.85546875" style="184" customWidth="1"/>
    <col min="3093" max="3093" width="10.5703125" style="184" customWidth="1"/>
    <col min="3094" max="3094" width="9" style="184" customWidth="1"/>
    <col min="3095" max="3095" width="9.85546875" style="184" customWidth="1"/>
    <col min="3096" max="3096" width="12" style="184" customWidth="1"/>
    <col min="3097" max="3327" width="11.42578125" style="184"/>
    <col min="3328" max="3328" width="0.28515625" style="184" customWidth="1"/>
    <col min="3329" max="3329" width="19" style="184" customWidth="1"/>
    <col min="3330" max="3330" width="7.140625" style="184" customWidth="1"/>
    <col min="3331" max="3331" width="41.28515625" style="184" customWidth="1"/>
    <col min="3332" max="3333" width="9" style="184" customWidth="1"/>
    <col min="3334" max="3334" width="10.5703125" style="184" customWidth="1"/>
    <col min="3335" max="3335" width="9.42578125" style="184" customWidth="1"/>
    <col min="3336" max="3336" width="9.85546875" style="184" customWidth="1"/>
    <col min="3337" max="3337" width="10.5703125" style="184" customWidth="1"/>
    <col min="3338" max="3339" width="9.42578125" style="184" customWidth="1"/>
    <col min="3340" max="3340" width="10.5703125" style="184" customWidth="1"/>
    <col min="3341" max="3342" width="9" style="184" customWidth="1"/>
    <col min="3343" max="3343" width="10.5703125" style="184" customWidth="1"/>
    <col min="3344" max="3345" width="9.42578125" style="184" customWidth="1"/>
    <col min="3346" max="3346" width="10.5703125" style="184" customWidth="1"/>
    <col min="3347" max="3347" width="9.42578125" style="184" customWidth="1"/>
    <col min="3348" max="3348" width="9.85546875" style="184" customWidth="1"/>
    <col min="3349" max="3349" width="10.5703125" style="184" customWidth="1"/>
    <col min="3350" max="3350" width="9" style="184" customWidth="1"/>
    <col min="3351" max="3351" width="9.85546875" style="184" customWidth="1"/>
    <col min="3352" max="3352" width="12" style="184" customWidth="1"/>
    <col min="3353" max="3583" width="11.42578125" style="184"/>
    <col min="3584" max="3584" width="0.28515625" style="184" customWidth="1"/>
    <col min="3585" max="3585" width="19" style="184" customWidth="1"/>
    <col min="3586" max="3586" width="7.140625" style="184" customWidth="1"/>
    <col min="3587" max="3587" width="41.28515625" style="184" customWidth="1"/>
    <col min="3588" max="3589" width="9" style="184" customWidth="1"/>
    <col min="3590" max="3590" width="10.5703125" style="184" customWidth="1"/>
    <col min="3591" max="3591" width="9.42578125" style="184" customWidth="1"/>
    <col min="3592" max="3592" width="9.85546875" style="184" customWidth="1"/>
    <col min="3593" max="3593" width="10.5703125" style="184" customWidth="1"/>
    <col min="3594" max="3595" width="9.42578125" style="184" customWidth="1"/>
    <col min="3596" max="3596" width="10.5703125" style="184" customWidth="1"/>
    <col min="3597" max="3598" width="9" style="184" customWidth="1"/>
    <col min="3599" max="3599" width="10.5703125" style="184" customWidth="1"/>
    <col min="3600" max="3601" width="9.42578125" style="184" customWidth="1"/>
    <col min="3602" max="3602" width="10.5703125" style="184" customWidth="1"/>
    <col min="3603" max="3603" width="9.42578125" style="184" customWidth="1"/>
    <col min="3604" max="3604" width="9.85546875" style="184" customWidth="1"/>
    <col min="3605" max="3605" width="10.5703125" style="184" customWidth="1"/>
    <col min="3606" max="3606" width="9" style="184" customWidth="1"/>
    <col min="3607" max="3607" width="9.85546875" style="184" customWidth="1"/>
    <col min="3608" max="3608" width="12" style="184" customWidth="1"/>
    <col min="3609" max="3839" width="11.42578125" style="184"/>
    <col min="3840" max="3840" width="0.28515625" style="184" customWidth="1"/>
    <col min="3841" max="3841" width="19" style="184" customWidth="1"/>
    <col min="3842" max="3842" width="7.140625" style="184" customWidth="1"/>
    <col min="3843" max="3843" width="41.28515625" style="184" customWidth="1"/>
    <col min="3844" max="3845" width="9" style="184" customWidth="1"/>
    <col min="3846" max="3846" width="10.5703125" style="184" customWidth="1"/>
    <col min="3847" max="3847" width="9.42578125" style="184" customWidth="1"/>
    <col min="3848" max="3848" width="9.85546875" style="184" customWidth="1"/>
    <col min="3849" max="3849" width="10.5703125" style="184" customWidth="1"/>
    <col min="3850" max="3851" width="9.42578125" style="184" customWidth="1"/>
    <col min="3852" max="3852" width="10.5703125" style="184" customWidth="1"/>
    <col min="3853" max="3854" width="9" style="184" customWidth="1"/>
    <col min="3855" max="3855" width="10.5703125" style="184" customWidth="1"/>
    <col min="3856" max="3857" width="9.42578125" style="184" customWidth="1"/>
    <col min="3858" max="3858" width="10.5703125" style="184" customWidth="1"/>
    <col min="3859" max="3859" width="9.42578125" style="184" customWidth="1"/>
    <col min="3860" max="3860" width="9.85546875" style="184" customWidth="1"/>
    <col min="3861" max="3861" width="10.5703125" style="184" customWidth="1"/>
    <col min="3862" max="3862" width="9" style="184" customWidth="1"/>
    <col min="3863" max="3863" width="9.85546875" style="184" customWidth="1"/>
    <col min="3864" max="3864" width="12" style="184" customWidth="1"/>
    <col min="3865" max="4095" width="11.42578125" style="184"/>
    <col min="4096" max="4096" width="0.28515625" style="184" customWidth="1"/>
    <col min="4097" max="4097" width="19" style="184" customWidth="1"/>
    <col min="4098" max="4098" width="7.140625" style="184" customWidth="1"/>
    <col min="4099" max="4099" width="41.28515625" style="184" customWidth="1"/>
    <col min="4100" max="4101" width="9" style="184" customWidth="1"/>
    <col min="4102" max="4102" width="10.5703125" style="184" customWidth="1"/>
    <col min="4103" max="4103" width="9.42578125" style="184" customWidth="1"/>
    <col min="4104" max="4104" width="9.85546875" style="184" customWidth="1"/>
    <col min="4105" max="4105" width="10.5703125" style="184" customWidth="1"/>
    <col min="4106" max="4107" width="9.42578125" style="184" customWidth="1"/>
    <col min="4108" max="4108" width="10.5703125" style="184" customWidth="1"/>
    <col min="4109" max="4110" width="9" style="184" customWidth="1"/>
    <col min="4111" max="4111" width="10.5703125" style="184" customWidth="1"/>
    <col min="4112" max="4113" width="9.42578125" style="184" customWidth="1"/>
    <col min="4114" max="4114" width="10.5703125" style="184" customWidth="1"/>
    <col min="4115" max="4115" width="9.42578125" style="184" customWidth="1"/>
    <col min="4116" max="4116" width="9.85546875" style="184" customWidth="1"/>
    <col min="4117" max="4117" width="10.5703125" style="184" customWidth="1"/>
    <col min="4118" max="4118" width="9" style="184" customWidth="1"/>
    <col min="4119" max="4119" width="9.85546875" style="184" customWidth="1"/>
    <col min="4120" max="4120" width="12" style="184" customWidth="1"/>
    <col min="4121" max="4351" width="11.42578125" style="184"/>
    <col min="4352" max="4352" width="0.28515625" style="184" customWidth="1"/>
    <col min="4353" max="4353" width="19" style="184" customWidth="1"/>
    <col min="4354" max="4354" width="7.140625" style="184" customWidth="1"/>
    <col min="4355" max="4355" width="41.28515625" style="184" customWidth="1"/>
    <col min="4356" max="4357" width="9" style="184" customWidth="1"/>
    <col min="4358" max="4358" width="10.5703125" style="184" customWidth="1"/>
    <col min="4359" max="4359" width="9.42578125" style="184" customWidth="1"/>
    <col min="4360" max="4360" width="9.85546875" style="184" customWidth="1"/>
    <col min="4361" max="4361" width="10.5703125" style="184" customWidth="1"/>
    <col min="4362" max="4363" width="9.42578125" style="184" customWidth="1"/>
    <col min="4364" max="4364" width="10.5703125" style="184" customWidth="1"/>
    <col min="4365" max="4366" width="9" style="184" customWidth="1"/>
    <col min="4367" max="4367" width="10.5703125" style="184" customWidth="1"/>
    <col min="4368" max="4369" width="9.42578125" style="184" customWidth="1"/>
    <col min="4370" max="4370" width="10.5703125" style="184" customWidth="1"/>
    <col min="4371" max="4371" width="9.42578125" style="184" customWidth="1"/>
    <col min="4372" max="4372" width="9.85546875" style="184" customWidth="1"/>
    <col min="4373" max="4373" width="10.5703125" style="184" customWidth="1"/>
    <col min="4374" max="4374" width="9" style="184" customWidth="1"/>
    <col min="4375" max="4375" width="9.85546875" style="184" customWidth="1"/>
    <col min="4376" max="4376" width="12" style="184" customWidth="1"/>
    <col min="4377" max="4607" width="11.42578125" style="184"/>
    <col min="4608" max="4608" width="0.28515625" style="184" customWidth="1"/>
    <col min="4609" max="4609" width="19" style="184" customWidth="1"/>
    <col min="4610" max="4610" width="7.140625" style="184" customWidth="1"/>
    <col min="4611" max="4611" width="41.28515625" style="184" customWidth="1"/>
    <col min="4612" max="4613" width="9" style="184" customWidth="1"/>
    <col min="4614" max="4614" width="10.5703125" style="184" customWidth="1"/>
    <col min="4615" max="4615" width="9.42578125" style="184" customWidth="1"/>
    <col min="4616" max="4616" width="9.85546875" style="184" customWidth="1"/>
    <col min="4617" max="4617" width="10.5703125" style="184" customWidth="1"/>
    <col min="4618" max="4619" width="9.42578125" style="184" customWidth="1"/>
    <col min="4620" max="4620" width="10.5703125" style="184" customWidth="1"/>
    <col min="4621" max="4622" width="9" style="184" customWidth="1"/>
    <col min="4623" max="4623" width="10.5703125" style="184" customWidth="1"/>
    <col min="4624" max="4625" width="9.42578125" style="184" customWidth="1"/>
    <col min="4626" max="4626" width="10.5703125" style="184" customWidth="1"/>
    <col min="4627" max="4627" width="9.42578125" style="184" customWidth="1"/>
    <col min="4628" max="4628" width="9.85546875" style="184" customWidth="1"/>
    <col min="4629" max="4629" width="10.5703125" style="184" customWidth="1"/>
    <col min="4630" max="4630" width="9" style="184" customWidth="1"/>
    <col min="4631" max="4631" width="9.85546875" style="184" customWidth="1"/>
    <col min="4632" max="4632" width="12" style="184" customWidth="1"/>
    <col min="4633" max="4863" width="11.42578125" style="184"/>
    <col min="4864" max="4864" width="0.28515625" style="184" customWidth="1"/>
    <col min="4865" max="4865" width="19" style="184" customWidth="1"/>
    <col min="4866" max="4866" width="7.140625" style="184" customWidth="1"/>
    <col min="4867" max="4867" width="41.28515625" style="184" customWidth="1"/>
    <col min="4868" max="4869" width="9" style="184" customWidth="1"/>
    <col min="4870" max="4870" width="10.5703125" style="184" customWidth="1"/>
    <col min="4871" max="4871" width="9.42578125" style="184" customWidth="1"/>
    <col min="4872" max="4872" width="9.85546875" style="184" customWidth="1"/>
    <col min="4873" max="4873" width="10.5703125" style="184" customWidth="1"/>
    <col min="4874" max="4875" width="9.42578125" style="184" customWidth="1"/>
    <col min="4876" max="4876" width="10.5703125" style="184" customWidth="1"/>
    <col min="4877" max="4878" width="9" style="184" customWidth="1"/>
    <col min="4879" max="4879" width="10.5703125" style="184" customWidth="1"/>
    <col min="4880" max="4881" width="9.42578125" style="184" customWidth="1"/>
    <col min="4882" max="4882" width="10.5703125" style="184" customWidth="1"/>
    <col min="4883" max="4883" width="9.42578125" style="184" customWidth="1"/>
    <col min="4884" max="4884" width="9.85546875" style="184" customWidth="1"/>
    <col min="4885" max="4885" width="10.5703125" style="184" customWidth="1"/>
    <col min="4886" max="4886" width="9" style="184" customWidth="1"/>
    <col min="4887" max="4887" width="9.85546875" style="184" customWidth="1"/>
    <col min="4888" max="4888" width="12" style="184" customWidth="1"/>
    <col min="4889" max="5119" width="11.42578125" style="184"/>
    <col min="5120" max="5120" width="0.28515625" style="184" customWidth="1"/>
    <col min="5121" max="5121" width="19" style="184" customWidth="1"/>
    <col min="5122" max="5122" width="7.140625" style="184" customWidth="1"/>
    <col min="5123" max="5123" width="41.28515625" style="184" customWidth="1"/>
    <col min="5124" max="5125" width="9" style="184" customWidth="1"/>
    <col min="5126" max="5126" width="10.5703125" style="184" customWidth="1"/>
    <col min="5127" max="5127" width="9.42578125" style="184" customWidth="1"/>
    <col min="5128" max="5128" width="9.85546875" style="184" customWidth="1"/>
    <col min="5129" max="5129" width="10.5703125" style="184" customWidth="1"/>
    <col min="5130" max="5131" width="9.42578125" style="184" customWidth="1"/>
    <col min="5132" max="5132" width="10.5703125" style="184" customWidth="1"/>
    <col min="5133" max="5134" width="9" style="184" customWidth="1"/>
    <col min="5135" max="5135" width="10.5703125" style="184" customWidth="1"/>
    <col min="5136" max="5137" width="9.42578125" style="184" customWidth="1"/>
    <col min="5138" max="5138" width="10.5703125" style="184" customWidth="1"/>
    <col min="5139" max="5139" width="9.42578125" style="184" customWidth="1"/>
    <col min="5140" max="5140" width="9.85546875" style="184" customWidth="1"/>
    <col min="5141" max="5141" width="10.5703125" style="184" customWidth="1"/>
    <col min="5142" max="5142" width="9" style="184" customWidth="1"/>
    <col min="5143" max="5143" width="9.85546875" style="184" customWidth="1"/>
    <col min="5144" max="5144" width="12" style="184" customWidth="1"/>
    <col min="5145" max="5375" width="11.42578125" style="184"/>
    <col min="5376" max="5376" width="0.28515625" style="184" customWidth="1"/>
    <col min="5377" max="5377" width="19" style="184" customWidth="1"/>
    <col min="5378" max="5378" width="7.140625" style="184" customWidth="1"/>
    <col min="5379" max="5379" width="41.28515625" style="184" customWidth="1"/>
    <col min="5380" max="5381" width="9" style="184" customWidth="1"/>
    <col min="5382" max="5382" width="10.5703125" style="184" customWidth="1"/>
    <col min="5383" max="5383" width="9.42578125" style="184" customWidth="1"/>
    <col min="5384" max="5384" width="9.85546875" style="184" customWidth="1"/>
    <col min="5385" max="5385" width="10.5703125" style="184" customWidth="1"/>
    <col min="5386" max="5387" width="9.42578125" style="184" customWidth="1"/>
    <col min="5388" max="5388" width="10.5703125" style="184" customWidth="1"/>
    <col min="5389" max="5390" width="9" style="184" customWidth="1"/>
    <col min="5391" max="5391" width="10.5703125" style="184" customWidth="1"/>
    <col min="5392" max="5393" width="9.42578125" style="184" customWidth="1"/>
    <col min="5394" max="5394" width="10.5703125" style="184" customWidth="1"/>
    <col min="5395" max="5395" width="9.42578125" style="184" customWidth="1"/>
    <col min="5396" max="5396" width="9.85546875" style="184" customWidth="1"/>
    <col min="5397" max="5397" width="10.5703125" style="184" customWidth="1"/>
    <col min="5398" max="5398" width="9" style="184" customWidth="1"/>
    <col min="5399" max="5399" width="9.85546875" style="184" customWidth="1"/>
    <col min="5400" max="5400" width="12" style="184" customWidth="1"/>
    <col min="5401" max="5631" width="11.42578125" style="184"/>
    <col min="5632" max="5632" width="0.28515625" style="184" customWidth="1"/>
    <col min="5633" max="5633" width="19" style="184" customWidth="1"/>
    <col min="5634" max="5634" width="7.140625" style="184" customWidth="1"/>
    <col min="5635" max="5635" width="41.28515625" style="184" customWidth="1"/>
    <col min="5636" max="5637" width="9" style="184" customWidth="1"/>
    <col min="5638" max="5638" width="10.5703125" style="184" customWidth="1"/>
    <col min="5639" max="5639" width="9.42578125" style="184" customWidth="1"/>
    <col min="5640" max="5640" width="9.85546875" style="184" customWidth="1"/>
    <col min="5641" max="5641" width="10.5703125" style="184" customWidth="1"/>
    <col min="5642" max="5643" width="9.42578125" style="184" customWidth="1"/>
    <col min="5644" max="5644" width="10.5703125" style="184" customWidth="1"/>
    <col min="5645" max="5646" width="9" style="184" customWidth="1"/>
    <col min="5647" max="5647" width="10.5703125" style="184" customWidth="1"/>
    <col min="5648" max="5649" width="9.42578125" style="184" customWidth="1"/>
    <col min="5650" max="5650" width="10.5703125" style="184" customWidth="1"/>
    <col min="5651" max="5651" width="9.42578125" style="184" customWidth="1"/>
    <col min="5652" max="5652" width="9.85546875" style="184" customWidth="1"/>
    <col min="5653" max="5653" width="10.5703125" style="184" customWidth="1"/>
    <col min="5654" max="5654" width="9" style="184" customWidth="1"/>
    <col min="5655" max="5655" width="9.85546875" style="184" customWidth="1"/>
    <col min="5656" max="5656" width="12" style="184" customWidth="1"/>
    <col min="5657" max="5887" width="11.42578125" style="184"/>
    <col min="5888" max="5888" width="0.28515625" style="184" customWidth="1"/>
    <col min="5889" max="5889" width="19" style="184" customWidth="1"/>
    <col min="5890" max="5890" width="7.140625" style="184" customWidth="1"/>
    <col min="5891" max="5891" width="41.28515625" style="184" customWidth="1"/>
    <col min="5892" max="5893" width="9" style="184" customWidth="1"/>
    <col min="5894" max="5894" width="10.5703125" style="184" customWidth="1"/>
    <col min="5895" max="5895" width="9.42578125" style="184" customWidth="1"/>
    <col min="5896" max="5896" width="9.85546875" style="184" customWidth="1"/>
    <col min="5897" max="5897" width="10.5703125" style="184" customWidth="1"/>
    <col min="5898" max="5899" width="9.42578125" style="184" customWidth="1"/>
    <col min="5900" max="5900" width="10.5703125" style="184" customWidth="1"/>
    <col min="5901" max="5902" width="9" style="184" customWidth="1"/>
    <col min="5903" max="5903" width="10.5703125" style="184" customWidth="1"/>
    <col min="5904" max="5905" width="9.42578125" style="184" customWidth="1"/>
    <col min="5906" max="5906" width="10.5703125" style="184" customWidth="1"/>
    <col min="5907" max="5907" width="9.42578125" style="184" customWidth="1"/>
    <col min="5908" max="5908" width="9.85546875" style="184" customWidth="1"/>
    <col min="5909" max="5909" width="10.5703125" style="184" customWidth="1"/>
    <col min="5910" max="5910" width="9" style="184" customWidth="1"/>
    <col min="5911" max="5911" width="9.85546875" style="184" customWidth="1"/>
    <col min="5912" max="5912" width="12" style="184" customWidth="1"/>
    <col min="5913" max="6143" width="11.42578125" style="184"/>
    <col min="6144" max="6144" width="0.28515625" style="184" customWidth="1"/>
    <col min="6145" max="6145" width="19" style="184" customWidth="1"/>
    <col min="6146" max="6146" width="7.140625" style="184" customWidth="1"/>
    <col min="6147" max="6147" width="41.28515625" style="184" customWidth="1"/>
    <col min="6148" max="6149" width="9" style="184" customWidth="1"/>
    <col min="6150" max="6150" width="10.5703125" style="184" customWidth="1"/>
    <col min="6151" max="6151" width="9.42578125" style="184" customWidth="1"/>
    <col min="6152" max="6152" width="9.85546875" style="184" customWidth="1"/>
    <col min="6153" max="6153" width="10.5703125" style="184" customWidth="1"/>
    <col min="6154" max="6155" width="9.42578125" style="184" customWidth="1"/>
    <col min="6156" max="6156" width="10.5703125" style="184" customWidth="1"/>
    <col min="6157" max="6158" width="9" style="184" customWidth="1"/>
    <col min="6159" max="6159" width="10.5703125" style="184" customWidth="1"/>
    <col min="6160" max="6161" width="9.42578125" style="184" customWidth="1"/>
    <col min="6162" max="6162" width="10.5703125" style="184" customWidth="1"/>
    <col min="6163" max="6163" width="9.42578125" style="184" customWidth="1"/>
    <col min="6164" max="6164" width="9.85546875" style="184" customWidth="1"/>
    <col min="6165" max="6165" width="10.5703125" style="184" customWidth="1"/>
    <col min="6166" max="6166" width="9" style="184" customWidth="1"/>
    <col min="6167" max="6167" width="9.85546875" style="184" customWidth="1"/>
    <col min="6168" max="6168" width="12" style="184" customWidth="1"/>
    <col min="6169" max="6399" width="11.42578125" style="184"/>
    <col min="6400" max="6400" width="0.28515625" style="184" customWidth="1"/>
    <col min="6401" max="6401" width="19" style="184" customWidth="1"/>
    <col min="6402" max="6402" width="7.140625" style="184" customWidth="1"/>
    <col min="6403" max="6403" width="41.28515625" style="184" customWidth="1"/>
    <col min="6404" max="6405" width="9" style="184" customWidth="1"/>
    <col min="6406" max="6406" width="10.5703125" style="184" customWidth="1"/>
    <col min="6407" max="6407" width="9.42578125" style="184" customWidth="1"/>
    <col min="6408" max="6408" width="9.85546875" style="184" customWidth="1"/>
    <col min="6409" max="6409" width="10.5703125" style="184" customWidth="1"/>
    <col min="6410" max="6411" width="9.42578125" style="184" customWidth="1"/>
    <col min="6412" max="6412" width="10.5703125" style="184" customWidth="1"/>
    <col min="6413" max="6414" width="9" style="184" customWidth="1"/>
    <col min="6415" max="6415" width="10.5703125" style="184" customWidth="1"/>
    <col min="6416" max="6417" width="9.42578125" style="184" customWidth="1"/>
    <col min="6418" max="6418" width="10.5703125" style="184" customWidth="1"/>
    <col min="6419" max="6419" width="9.42578125" style="184" customWidth="1"/>
    <col min="6420" max="6420" width="9.85546875" style="184" customWidth="1"/>
    <col min="6421" max="6421" width="10.5703125" style="184" customWidth="1"/>
    <col min="6422" max="6422" width="9" style="184" customWidth="1"/>
    <col min="6423" max="6423" width="9.85546875" style="184" customWidth="1"/>
    <col min="6424" max="6424" width="12" style="184" customWidth="1"/>
    <col min="6425" max="6655" width="11.42578125" style="184"/>
    <col min="6656" max="6656" width="0.28515625" style="184" customWidth="1"/>
    <col min="6657" max="6657" width="19" style="184" customWidth="1"/>
    <col min="6658" max="6658" width="7.140625" style="184" customWidth="1"/>
    <col min="6659" max="6659" width="41.28515625" style="184" customWidth="1"/>
    <col min="6660" max="6661" width="9" style="184" customWidth="1"/>
    <col min="6662" max="6662" width="10.5703125" style="184" customWidth="1"/>
    <col min="6663" max="6663" width="9.42578125" style="184" customWidth="1"/>
    <col min="6664" max="6664" width="9.85546875" style="184" customWidth="1"/>
    <col min="6665" max="6665" width="10.5703125" style="184" customWidth="1"/>
    <col min="6666" max="6667" width="9.42578125" style="184" customWidth="1"/>
    <col min="6668" max="6668" width="10.5703125" style="184" customWidth="1"/>
    <col min="6669" max="6670" width="9" style="184" customWidth="1"/>
    <col min="6671" max="6671" width="10.5703125" style="184" customWidth="1"/>
    <col min="6672" max="6673" width="9.42578125" style="184" customWidth="1"/>
    <col min="6674" max="6674" width="10.5703125" style="184" customWidth="1"/>
    <col min="6675" max="6675" width="9.42578125" style="184" customWidth="1"/>
    <col min="6676" max="6676" width="9.85546875" style="184" customWidth="1"/>
    <col min="6677" max="6677" width="10.5703125" style="184" customWidth="1"/>
    <col min="6678" max="6678" width="9" style="184" customWidth="1"/>
    <col min="6679" max="6679" width="9.85546875" style="184" customWidth="1"/>
    <col min="6680" max="6680" width="12" style="184" customWidth="1"/>
    <col min="6681" max="6911" width="11.42578125" style="184"/>
    <col min="6912" max="6912" width="0.28515625" style="184" customWidth="1"/>
    <col min="6913" max="6913" width="19" style="184" customWidth="1"/>
    <col min="6914" max="6914" width="7.140625" style="184" customWidth="1"/>
    <col min="6915" max="6915" width="41.28515625" style="184" customWidth="1"/>
    <col min="6916" max="6917" width="9" style="184" customWidth="1"/>
    <col min="6918" max="6918" width="10.5703125" style="184" customWidth="1"/>
    <col min="6919" max="6919" width="9.42578125" style="184" customWidth="1"/>
    <col min="6920" max="6920" width="9.85546875" style="184" customWidth="1"/>
    <col min="6921" max="6921" width="10.5703125" style="184" customWidth="1"/>
    <col min="6922" max="6923" width="9.42578125" style="184" customWidth="1"/>
    <col min="6924" max="6924" width="10.5703125" style="184" customWidth="1"/>
    <col min="6925" max="6926" width="9" style="184" customWidth="1"/>
    <col min="6927" max="6927" width="10.5703125" style="184" customWidth="1"/>
    <col min="6928" max="6929" width="9.42578125" style="184" customWidth="1"/>
    <col min="6930" max="6930" width="10.5703125" style="184" customWidth="1"/>
    <col min="6931" max="6931" width="9.42578125" style="184" customWidth="1"/>
    <col min="6932" max="6932" width="9.85546875" style="184" customWidth="1"/>
    <col min="6933" max="6933" width="10.5703125" style="184" customWidth="1"/>
    <col min="6934" max="6934" width="9" style="184" customWidth="1"/>
    <col min="6935" max="6935" width="9.85546875" style="184" customWidth="1"/>
    <col min="6936" max="6936" width="12" style="184" customWidth="1"/>
    <col min="6937" max="7167" width="11.42578125" style="184"/>
    <col min="7168" max="7168" width="0.28515625" style="184" customWidth="1"/>
    <col min="7169" max="7169" width="19" style="184" customWidth="1"/>
    <col min="7170" max="7170" width="7.140625" style="184" customWidth="1"/>
    <col min="7171" max="7171" width="41.28515625" style="184" customWidth="1"/>
    <col min="7172" max="7173" width="9" style="184" customWidth="1"/>
    <col min="7174" max="7174" width="10.5703125" style="184" customWidth="1"/>
    <col min="7175" max="7175" width="9.42578125" style="184" customWidth="1"/>
    <col min="7176" max="7176" width="9.85546875" style="184" customWidth="1"/>
    <col min="7177" max="7177" width="10.5703125" style="184" customWidth="1"/>
    <col min="7178" max="7179" width="9.42578125" style="184" customWidth="1"/>
    <col min="7180" max="7180" width="10.5703125" style="184" customWidth="1"/>
    <col min="7181" max="7182" width="9" style="184" customWidth="1"/>
    <col min="7183" max="7183" width="10.5703125" style="184" customWidth="1"/>
    <col min="7184" max="7185" width="9.42578125" style="184" customWidth="1"/>
    <col min="7186" max="7186" width="10.5703125" style="184" customWidth="1"/>
    <col min="7187" max="7187" width="9.42578125" style="184" customWidth="1"/>
    <col min="7188" max="7188" width="9.85546875" style="184" customWidth="1"/>
    <col min="7189" max="7189" width="10.5703125" style="184" customWidth="1"/>
    <col min="7190" max="7190" width="9" style="184" customWidth="1"/>
    <col min="7191" max="7191" width="9.85546875" style="184" customWidth="1"/>
    <col min="7192" max="7192" width="12" style="184" customWidth="1"/>
    <col min="7193" max="7423" width="11.42578125" style="184"/>
    <col min="7424" max="7424" width="0.28515625" style="184" customWidth="1"/>
    <col min="7425" max="7425" width="19" style="184" customWidth="1"/>
    <col min="7426" max="7426" width="7.140625" style="184" customWidth="1"/>
    <col min="7427" max="7427" width="41.28515625" style="184" customWidth="1"/>
    <col min="7428" max="7429" width="9" style="184" customWidth="1"/>
    <col min="7430" max="7430" width="10.5703125" style="184" customWidth="1"/>
    <col min="7431" max="7431" width="9.42578125" style="184" customWidth="1"/>
    <col min="7432" max="7432" width="9.85546875" style="184" customWidth="1"/>
    <col min="7433" max="7433" width="10.5703125" style="184" customWidth="1"/>
    <col min="7434" max="7435" width="9.42578125" style="184" customWidth="1"/>
    <col min="7436" max="7436" width="10.5703125" style="184" customWidth="1"/>
    <col min="7437" max="7438" width="9" style="184" customWidth="1"/>
    <col min="7439" max="7439" width="10.5703125" style="184" customWidth="1"/>
    <col min="7440" max="7441" width="9.42578125" style="184" customWidth="1"/>
    <col min="7442" max="7442" width="10.5703125" style="184" customWidth="1"/>
    <col min="7443" max="7443" width="9.42578125" style="184" customWidth="1"/>
    <col min="7444" max="7444" width="9.85546875" style="184" customWidth="1"/>
    <col min="7445" max="7445" width="10.5703125" style="184" customWidth="1"/>
    <col min="7446" max="7446" width="9" style="184" customWidth="1"/>
    <col min="7447" max="7447" width="9.85546875" style="184" customWidth="1"/>
    <col min="7448" max="7448" width="12" style="184" customWidth="1"/>
    <col min="7449" max="7679" width="11.42578125" style="184"/>
    <col min="7680" max="7680" width="0.28515625" style="184" customWidth="1"/>
    <col min="7681" max="7681" width="19" style="184" customWidth="1"/>
    <col min="7682" max="7682" width="7.140625" style="184" customWidth="1"/>
    <col min="7683" max="7683" width="41.28515625" style="184" customWidth="1"/>
    <col min="7684" max="7685" width="9" style="184" customWidth="1"/>
    <col min="7686" max="7686" width="10.5703125" style="184" customWidth="1"/>
    <col min="7687" max="7687" width="9.42578125" style="184" customWidth="1"/>
    <col min="7688" max="7688" width="9.85546875" style="184" customWidth="1"/>
    <col min="7689" max="7689" width="10.5703125" style="184" customWidth="1"/>
    <col min="7690" max="7691" width="9.42578125" style="184" customWidth="1"/>
    <col min="7692" max="7692" width="10.5703125" style="184" customWidth="1"/>
    <col min="7693" max="7694" width="9" style="184" customWidth="1"/>
    <col min="7695" max="7695" width="10.5703125" style="184" customWidth="1"/>
    <col min="7696" max="7697" width="9.42578125" style="184" customWidth="1"/>
    <col min="7698" max="7698" width="10.5703125" style="184" customWidth="1"/>
    <col min="7699" max="7699" width="9.42578125" style="184" customWidth="1"/>
    <col min="7700" max="7700" width="9.85546875" style="184" customWidth="1"/>
    <col min="7701" max="7701" width="10.5703125" style="184" customWidth="1"/>
    <col min="7702" max="7702" width="9" style="184" customWidth="1"/>
    <col min="7703" max="7703" width="9.85546875" style="184" customWidth="1"/>
    <col min="7704" max="7704" width="12" style="184" customWidth="1"/>
    <col min="7705" max="7935" width="11.42578125" style="184"/>
    <col min="7936" max="7936" width="0.28515625" style="184" customWidth="1"/>
    <col min="7937" max="7937" width="19" style="184" customWidth="1"/>
    <col min="7938" max="7938" width="7.140625" style="184" customWidth="1"/>
    <col min="7939" max="7939" width="41.28515625" style="184" customWidth="1"/>
    <col min="7940" max="7941" width="9" style="184" customWidth="1"/>
    <col min="7942" max="7942" width="10.5703125" style="184" customWidth="1"/>
    <col min="7943" max="7943" width="9.42578125" style="184" customWidth="1"/>
    <col min="7944" max="7944" width="9.85546875" style="184" customWidth="1"/>
    <col min="7945" max="7945" width="10.5703125" style="184" customWidth="1"/>
    <col min="7946" max="7947" width="9.42578125" style="184" customWidth="1"/>
    <col min="7948" max="7948" width="10.5703125" style="184" customWidth="1"/>
    <col min="7949" max="7950" width="9" style="184" customWidth="1"/>
    <col min="7951" max="7951" width="10.5703125" style="184" customWidth="1"/>
    <col min="7952" max="7953" width="9.42578125" style="184" customWidth="1"/>
    <col min="7954" max="7954" width="10.5703125" style="184" customWidth="1"/>
    <col min="7955" max="7955" width="9.42578125" style="184" customWidth="1"/>
    <col min="7956" max="7956" width="9.85546875" style="184" customWidth="1"/>
    <col min="7957" max="7957" width="10.5703125" style="184" customWidth="1"/>
    <col min="7958" max="7958" width="9" style="184" customWidth="1"/>
    <col min="7959" max="7959" width="9.85546875" style="184" customWidth="1"/>
    <col min="7960" max="7960" width="12" style="184" customWidth="1"/>
    <col min="7961" max="8191" width="11.42578125" style="184"/>
    <col min="8192" max="8192" width="0.28515625" style="184" customWidth="1"/>
    <col min="8193" max="8193" width="19" style="184" customWidth="1"/>
    <col min="8194" max="8194" width="7.140625" style="184" customWidth="1"/>
    <col min="8195" max="8195" width="41.28515625" style="184" customWidth="1"/>
    <col min="8196" max="8197" width="9" style="184" customWidth="1"/>
    <col min="8198" max="8198" width="10.5703125" style="184" customWidth="1"/>
    <col min="8199" max="8199" width="9.42578125" style="184" customWidth="1"/>
    <col min="8200" max="8200" width="9.85546875" style="184" customWidth="1"/>
    <col min="8201" max="8201" width="10.5703125" style="184" customWidth="1"/>
    <col min="8202" max="8203" width="9.42578125" style="184" customWidth="1"/>
    <col min="8204" max="8204" width="10.5703125" style="184" customWidth="1"/>
    <col min="8205" max="8206" width="9" style="184" customWidth="1"/>
    <col min="8207" max="8207" width="10.5703125" style="184" customWidth="1"/>
    <col min="8208" max="8209" width="9.42578125" style="184" customWidth="1"/>
    <col min="8210" max="8210" width="10.5703125" style="184" customWidth="1"/>
    <col min="8211" max="8211" width="9.42578125" style="184" customWidth="1"/>
    <col min="8212" max="8212" width="9.85546875" style="184" customWidth="1"/>
    <col min="8213" max="8213" width="10.5703125" style="184" customWidth="1"/>
    <col min="8214" max="8214" width="9" style="184" customWidth="1"/>
    <col min="8215" max="8215" width="9.85546875" style="184" customWidth="1"/>
    <col min="8216" max="8216" width="12" style="184" customWidth="1"/>
    <col min="8217" max="8447" width="11.42578125" style="184"/>
    <col min="8448" max="8448" width="0.28515625" style="184" customWidth="1"/>
    <col min="8449" max="8449" width="19" style="184" customWidth="1"/>
    <col min="8450" max="8450" width="7.140625" style="184" customWidth="1"/>
    <col min="8451" max="8451" width="41.28515625" style="184" customWidth="1"/>
    <col min="8452" max="8453" width="9" style="184" customWidth="1"/>
    <col min="8454" max="8454" width="10.5703125" style="184" customWidth="1"/>
    <col min="8455" max="8455" width="9.42578125" style="184" customWidth="1"/>
    <col min="8456" max="8456" width="9.85546875" style="184" customWidth="1"/>
    <col min="8457" max="8457" width="10.5703125" style="184" customWidth="1"/>
    <col min="8458" max="8459" width="9.42578125" style="184" customWidth="1"/>
    <col min="8460" max="8460" width="10.5703125" style="184" customWidth="1"/>
    <col min="8461" max="8462" width="9" style="184" customWidth="1"/>
    <col min="8463" max="8463" width="10.5703125" style="184" customWidth="1"/>
    <col min="8464" max="8465" width="9.42578125" style="184" customWidth="1"/>
    <col min="8466" max="8466" width="10.5703125" style="184" customWidth="1"/>
    <col min="8467" max="8467" width="9.42578125" style="184" customWidth="1"/>
    <col min="8468" max="8468" width="9.85546875" style="184" customWidth="1"/>
    <col min="8469" max="8469" width="10.5703125" style="184" customWidth="1"/>
    <col min="8470" max="8470" width="9" style="184" customWidth="1"/>
    <col min="8471" max="8471" width="9.85546875" style="184" customWidth="1"/>
    <col min="8472" max="8472" width="12" style="184" customWidth="1"/>
    <col min="8473" max="8703" width="11.42578125" style="184"/>
    <col min="8704" max="8704" width="0.28515625" style="184" customWidth="1"/>
    <col min="8705" max="8705" width="19" style="184" customWidth="1"/>
    <col min="8706" max="8706" width="7.140625" style="184" customWidth="1"/>
    <col min="8707" max="8707" width="41.28515625" style="184" customWidth="1"/>
    <col min="8708" max="8709" width="9" style="184" customWidth="1"/>
    <col min="8710" max="8710" width="10.5703125" style="184" customWidth="1"/>
    <col min="8711" max="8711" width="9.42578125" style="184" customWidth="1"/>
    <col min="8712" max="8712" width="9.85546875" style="184" customWidth="1"/>
    <col min="8713" max="8713" width="10.5703125" style="184" customWidth="1"/>
    <col min="8714" max="8715" width="9.42578125" style="184" customWidth="1"/>
    <col min="8716" max="8716" width="10.5703125" style="184" customWidth="1"/>
    <col min="8717" max="8718" width="9" style="184" customWidth="1"/>
    <col min="8719" max="8719" width="10.5703125" style="184" customWidth="1"/>
    <col min="8720" max="8721" width="9.42578125" style="184" customWidth="1"/>
    <col min="8722" max="8722" width="10.5703125" style="184" customWidth="1"/>
    <col min="8723" max="8723" width="9.42578125" style="184" customWidth="1"/>
    <col min="8724" max="8724" width="9.85546875" style="184" customWidth="1"/>
    <col min="8725" max="8725" width="10.5703125" style="184" customWidth="1"/>
    <col min="8726" max="8726" width="9" style="184" customWidth="1"/>
    <col min="8727" max="8727" width="9.85546875" style="184" customWidth="1"/>
    <col min="8728" max="8728" width="12" style="184" customWidth="1"/>
    <col min="8729" max="8959" width="11.42578125" style="184"/>
    <col min="8960" max="8960" width="0.28515625" style="184" customWidth="1"/>
    <col min="8961" max="8961" width="19" style="184" customWidth="1"/>
    <col min="8962" max="8962" width="7.140625" style="184" customWidth="1"/>
    <col min="8963" max="8963" width="41.28515625" style="184" customWidth="1"/>
    <col min="8964" max="8965" width="9" style="184" customWidth="1"/>
    <col min="8966" max="8966" width="10.5703125" style="184" customWidth="1"/>
    <col min="8967" max="8967" width="9.42578125" style="184" customWidth="1"/>
    <col min="8968" max="8968" width="9.85546875" style="184" customWidth="1"/>
    <col min="8969" max="8969" width="10.5703125" style="184" customWidth="1"/>
    <col min="8970" max="8971" width="9.42578125" style="184" customWidth="1"/>
    <col min="8972" max="8972" width="10.5703125" style="184" customWidth="1"/>
    <col min="8973" max="8974" width="9" style="184" customWidth="1"/>
    <col min="8975" max="8975" width="10.5703125" style="184" customWidth="1"/>
    <col min="8976" max="8977" width="9.42578125" style="184" customWidth="1"/>
    <col min="8978" max="8978" width="10.5703125" style="184" customWidth="1"/>
    <col min="8979" max="8979" width="9.42578125" style="184" customWidth="1"/>
    <col min="8980" max="8980" width="9.85546875" style="184" customWidth="1"/>
    <col min="8981" max="8981" width="10.5703125" style="184" customWidth="1"/>
    <col min="8982" max="8982" width="9" style="184" customWidth="1"/>
    <col min="8983" max="8983" width="9.85546875" style="184" customWidth="1"/>
    <col min="8984" max="8984" width="12" style="184" customWidth="1"/>
    <col min="8985" max="9215" width="11.42578125" style="184"/>
    <col min="9216" max="9216" width="0.28515625" style="184" customWidth="1"/>
    <col min="9217" max="9217" width="19" style="184" customWidth="1"/>
    <col min="9218" max="9218" width="7.140625" style="184" customWidth="1"/>
    <col min="9219" max="9219" width="41.28515625" style="184" customWidth="1"/>
    <col min="9220" max="9221" width="9" style="184" customWidth="1"/>
    <col min="9222" max="9222" width="10.5703125" style="184" customWidth="1"/>
    <col min="9223" max="9223" width="9.42578125" style="184" customWidth="1"/>
    <col min="9224" max="9224" width="9.85546875" style="184" customWidth="1"/>
    <col min="9225" max="9225" width="10.5703125" style="184" customWidth="1"/>
    <col min="9226" max="9227" width="9.42578125" style="184" customWidth="1"/>
    <col min="9228" max="9228" width="10.5703125" style="184" customWidth="1"/>
    <col min="9229" max="9230" width="9" style="184" customWidth="1"/>
    <col min="9231" max="9231" width="10.5703125" style="184" customWidth="1"/>
    <col min="9232" max="9233" width="9.42578125" style="184" customWidth="1"/>
    <col min="9234" max="9234" width="10.5703125" style="184" customWidth="1"/>
    <col min="9235" max="9235" width="9.42578125" style="184" customWidth="1"/>
    <col min="9236" max="9236" width="9.85546875" style="184" customWidth="1"/>
    <col min="9237" max="9237" width="10.5703125" style="184" customWidth="1"/>
    <col min="9238" max="9238" width="9" style="184" customWidth="1"/>
    <col min="9239" max="9239" width="9.85546875" style="184" customWidth="1"/>
    <col min="9240" max="9240" width="12" style="184" customWidth="1"/>
    <col min="9241" max="9471" width="11.42578125" style="184"/>
    <col min="9472" max="9472" width="0.28515625" style="184" customWidth="1"/>
    <col min="9473" max="9473" width="19" style="184" customWidth="1"/>
    <col min="9474" max="9474" width="7.140625" style="184" customWidth="1"/>
    <col min="9475" max="9475" width="41.28515625" style="184" customWidth="1"/>
    <col min="9476" max="9477" width="9" style="184" customWidth="1"/>
    <col min="9478" max="9478" width="10.5703125" style="184" customWidth="1"/>
    <col min="9479" max="9479" width="9.42578125" style="184" customWidth="1"/>
    <col min="9480" max="9480" width="9.85546875" style="184" customWidth="1"/>
    <col min="9481" max="9481" width="10.5703125" style="184" customWidth="1"/>
    <col min="9482" max="9483" width="9.42578125" style="184" customWidth="1"/>
    <col min="9484" max="9484" width="10.5703125" style="184" customWidth="1"/>
    <col min="9485" max="9486" width="9" style="184" customWidth="1"/>
    <col min="9487" max="9487" width="10.5703125" style="184" customWidth="1"/>
    <col min="9488" max="9489" width="9.42578125" style="184" customWidth="1"/>
    <col min="9490" max="9490" width="10.5703125" style="184" customWidth="1"/>
    <col min="9491" max="9491" width="9.42578125" style="184" customWidth="1"/>
    <col min="9492" max="9492" width="9.85546875" style="184" customWidth="1"/>
    <col min="9493" max="9493" width="10.5703125" style="184" customWidth="1"/>
    <col min="9494" max="9494" width="9" style="184" customWidth="1"/>
    <col min="9495" max="9495" width="9.85546875" style="184" customWidth="1"/>
    <col min="9496" max="9496" width="12" style="184" customWidth="1"/>
    <col min="9497" max="9727" width="11.42578125" style="184"/>
    <col min="9728" max="9728" width="0.28515625" style="184" customWidth="1"/>
    <col min="9729" max="9729" width="19" style="184" customWidth="1"/>
    <col min="9730" max="9730" width="7.140625" style="184" customWidth="1"/>
    <col min="9731" max="9731" width="41.28515625" style="184" customWidth="1"/>
    <col min="9732" max="9733" width="9" style="184" customWidth="1"/>
    <col min="9734" max="9734" width="10.5703125" style="184" customWidth="1"/>
    <col min="9735" max="9735" width="9.42578125" style="184" customWidth="1"/>
    <col min="9736" max="9736" width="9.85546875" style="184" customWidth="1"/>
    <col min="9737" max="9737" width="10.5703125" style="184" customWidth="1"/>
    <col min="9738" max="9739" width="9.42578125" style="184" customWidth="1"/>
    <col min="9740" max="9740" width="10.5703125" style="184" customWidth="1"/>
    <col min="9741" max="9742" width="9" style="184" customWidth="1"/>
    <col min="9743" max="9743" width="10.5703125" style="184" customWidth="1"/>
    <col min="9744" max="9745" width="9.42578125" style="184" customWidth="1"/>
    <col min="9746" max="9746" width="10.5703125" style="184" customWidth="1"/>
    <col min="9747" max="9747" width="9.42578125" style="184" customWidth="1"/>
    <col min="9748" max="9748" width="9.85546875" style="184" customWidth="1"/>
    <col min="9749" max="9749" width="10.5703125" style="184" customWidth="1"/>
    <col min="9750" max="9750" width="9" style="184" customWidth="1"/>
    <col min="9751" max="9751" width="9.85546875" style="184" customWidth="1"/>
    <col min="9752" max="9752" width="12" style="184" customWidth="1"/>
    <col min="9753" max="9983" width="11.42578125" style="184"/>
    <col min="9984" max="9984" width="0.28515625" style="184" customWidth="1"/>
    <col min="9985" max="9985" width="19" style="184" customWidth="1"/>
    <col min="9986" max="9986" width="7.140625" style="184" customWidth="1"/>
    <col min="9987" max="9987" width="41.28515625" style="184" customWidth="1"/>
    <col min="9988" max="9989" width="9" style="184" customWidth="1"/>
    <col min="9990" max="9990" width="10.5703125" style="184" customWidth="1"/>
    <col min="9991" max="9991" width="9.42578125" style="184" customWidth="1"/>
    <col min="9992" max="9992" width="9.85546875" style="184" customWidth="1"/>
    <col min="9993" max="9993" width="10.5703125" style="184" customWidth="1"/>
    <col min="9994" max="9995" width="9.42578125" style="184" customWidth="1"/>
    <col min="9996" max="9996" width="10.5703125" style="184" customWidth="1"/>
    <col min="9997" max="9998" width="9" style="184" customWidth="1"/>
    <col min="9999" max="9999" width="10.5703125" style="184" customWidth="1"/>
    <col min="10000" max="10001" width="9.42578125" style="184" customWidth="1"/>
    <col min="10002" max="10002" width="10.5703125" style="184" customWidth="1"/>
    <col min="10003" max="10003" width="9.42578125" style="184" customWidth="1"/>
    <col min="10004" max="10004" width="9.85546875" style="184" customWidth="1"/>
    <col min="10005" max="10005" width="10.5703125" style="184" customWidth="1"/>
    <col min="10006" max="10006" width="9" style="184" customWidth="1"/>
    <col min="10007" max="10007" width="9.85546875" style="184" customWidth="1"/>
    <col min="10008" max="10008" width="12" style="184" customWidth="1"/>
    <col min="10009" max="10239" width="11.42578125" style="184"/>
    <col min="10240" max="10240" width="0.28515625" style="184" customWidth="1"/>
    <col min="10241" max="10241" width="19" style="184" customWidth="1"/>
    <col min="10242" max="10242" width="7.140625" style="184" customWidth="1"/>
    <col min="10243" max="10243" width="41.28515625" style="184" customWidth="1"/>
    <col min="10244" max="10245" width="9" style="184" customWidth="1"/>
    <col min="10246" max="10246" width="10.5703125" style="184" customWidth="1"/>
    <col min="10247" max="10247" width="9.42578125" style="184" customWidth="1"/>
    <col min="10248" max="10248" width="9.85546875" style="184" customWidth="1"/>
    <col min="10249" max="10249" width="10.5703125" style="184" customWidth="1"/>
    <col min="10250" max="10251" width="9.42578125" style="184" customWidth="1"/>
    <col min="10252" max="10252" width="10.5703125" style="184" customWidth="1"/>
    <col min="10253" max="10254" width="9" style="184" customWidth="1"/>
    <col min="10255" max="10255" width="10.5703125" style="184" customWidth="1"/>
    <col min="10256" max="10257" width="9.42578125" style="184" customWidth="1"/>
    <col min="10258" max="10258" width="10.5703125" style="184" customWidth="1"/>
    <col min="10259" max="10259" width="9.42578125" style="184" customWidth="1"/>
    <col min="10260" max="10260" width="9.85546875" style="184" customWidth="1"/>
    <col min="10261" max="10261" width="10.5703125" style="184" customWidth="1"/>
    <col min="10262" max="10262" width="9" style="184" customWidth="1"/>
    <col min="10263" max="10263" width="9.85546875" style="184" customWidth="1"/>
    <col min="10264" max="10264" width="12" style="184" customWidth="1"/>
    <col min="10265" max="10495" width="11.42578125" style="184"/>
    <col min="10496" max="10496" width="0.28515625" style="184" customWidth="1"/>
    <col min="10497" max="10497" width="19" style="184" customWidth="1"/>
    <col min="10498" max="10498" width="7.140625" style="184" customWidth="1"/>
    <col min="10499" max="10499" width="41.28515625" style="184" customWidth="1"/>
    <col min="10500" max="10501" width="9" style="184" customWidth="1"/>
    <col min="10502" max="10502" width="10.5703125" style="184" customWidth="1"/>
    <col min="10503" max="10503" width="9.42578125" style="184" customWidth="1"/>
    <col min="10504" max="10504" width="9.85546875" style="184" customWidth="1"/>
    <col min="10505" max="10505" width="10.5703125" style="184" customWidth="1"/>
    <col min="10506" max="10507" width="9.42578125" style="184" customWidth="1"/>
    <col min="10508" max="10508" width="10.5703125" style="184" customWidth="1"/>
    <col min="10509" max="10510" width="9" style="184" customWidth="1"/>
    <col min="10511" max="10511" width="10.5703125" style="184" customWidth="1"/>
    <col min="10512" max="10513" width="9.42578125" style="184" customWidth="1"/>
    <col min="10514" max="10514" width="10.5703125" style="184" customWidth="1"/>
    <col min="10515" max="10515" width="9.42578125" style="184" customWidth="1"/>
    <col min="10516" max="10516" width="9.85546875" style="184" customWidth="1"/>
    <col min="10517" max="10517" width="10.5703125" style="184" customWidth="1"/>
    <col min="10518" max="10518" width="9" style="184" customWidth="1"/>
    <col min="10519" max="10519" width="9.85546875" style="184" customWidth="1"/>
    <col min="10520" max="10520" width="12" style="184" customWidth="1"/>
    <col min="10521" max="10751" width="11.42578125" style="184"/>
    <col min="10752" max="10752" width="0.28515625" style="184" customWidth="1"/>
    <col min="10753" max="10753" width="19" style="184" customWidth="1"/>
    <col min="10754" max="10754" width="7.140625" style="184" customWidth="1"/>
    <col min="10755" max="10755" width="41.28515625" style="184" customWidth="1"/>
    <col min="10756" max="10757" width="9" style="184" customWidth="1"/>
    <col min="10758" max="10758" width="10.5703125" style="184" customWidth="1"/>
    <col min="10759" max="10759" width="9.42578125" style="184" customWidth="1"/>
    <col min="10760" max="10760" width="9.85546875" style="184" customWidth="1"/>
    <col min="10761" max="10761" width="10.5703125" style="184" customWidth="1"/>
    <col min="10762" max="10763" width="9.42578125" style="184" customWidth="1"/>
    <col min="10764" max="10764" width="10.5703125" style="184" customWidth="1"/>
    <col min="10765" max="10766" width="9" style="184" customWidth="1"/>
    <col min="10767" max="10767" width="10.5703125" style="184" customWidth="1"/>
    <col min="10768" max="10769" width="9.42578125" style="184" customWidth="1"/>
    <col min="10770" max="10770" width="10.5703125" style="184" customWidth="1"/>
    <col min="10771" max="10771" width="9.42578125" style="184" customWidth="1"/>
    <col min="10772" max="10772" width="9.85546875" style="184" customWidth="1"/>
    <col min="10773" max="10773" width="10.5703125" style="184" customWidth="1"/>
    <col min="10774" max="10774" width="9" style="184" customWidth="1"/>
    <col min="10775" max="10775" width="9.85546875" style="184" customWidth="1"/>
    <col min="10776" max="10776" width="12" style="184" customWidth="1"/>
    <col min="10777" max="11007" width="11.42578125" style="184"/>
    <col min="11008" max="11008" width="0.28515625" style="184" customWidth="1"/>
    <col min="11009" max="11009" width="19" style="184" customWidth="1"/>
    <col min="11010" max="11010" width="7.140625" style="184" customWidth="1"/>
    <col min="11011" max="11011" width="41.28515625" style="184" customWidth="1"/>
    <col min="11012" max="11013" width="9" style="184" customWidth="1"/>
    <col min="11014" max="11014" width="10.5703125" style="184" customWidth="1"/>
    <col min="11015" max="11015" width="9.42578125" style="184" customWidth="1"/>
    <col min="11016" max="11016" width="9.85546875" style="184" customWidth="1"/>
    <col min="11017" max="11017" width="10.5703125" style="184" customWidth="1"/>
    <col min="11018" max="11019" width="9.42578125" style="184" customWidth="1"/>
    <col min="11020" max="11020" width="10.5703125" style="184" customWidth="1"/>
    <col min="11021" max="11022" width="9" style="184" customWidth="1"/>
    <col min="11023" max="11023" width="10.5703125" style="184" customWidth="1"/>
    <col min="11024" max="11025" width="9.42578125" style="184" customWidth="1"/>
    <col min="11026" max="11026" width="10.5703125" style="184" customWidth="1"/>
    <col min="11027" max="11027" width="9.42578125" style="184" customWidth="1"/>
    <col min="11028" max="11028" width="9.85546875" style="184" customWidth="1"/>
    <col min="11029" max="11029" width="10.5703125" style="184" customWidth="1"/>
    <col min="11030" max="11030" width="9" style="184" customWidth="1"/>
    <col min="11031" max="11031" width="9.85546875" style="184" customWidth="1"/>
    <col min="11032" max="11032" width="12" style="184" customWidth="1"/>
    <col min="11033" max="11263" width="11.42578125" style="184"/>
    <col min="11264" max="11264" width="0.28515625" style="184" customWidth="1"/>
    <col min="11265" max="11265" width="19" style="184" customWidth="1"/>
    <col min="11266" max="11266" width="7.140625" style="184" customWidth="1"/>
    <col min="11267" max="11267" width="41.28515625" style="184" customWidth="1"/>
    <col min="11268" max="11269" width="9" style="184" customWidth="1"/>
    <col min="11270" max="11270" width="10.5703125" style="184" customWidth="1"/>
    <col min="11271" max="11271" width="9.42578125" style="184" customWidth="1"/>
    <col min="11272" max="11272" width="9.85546875" style="184" customWidth="1"/>
    <col min="11273" max="11273" width="10.5703125" style="184" customWidth="1"/>
    <col min="11274" max="11275" width="9.42578125" style="184" customWidth="1"/>
    <col min="11276" max="11276" width="10.5703125" style="184" customWidth="1"/>
    <col min="11277" max="11278" width="9" style="184" customWidth="1"/>
    <col min="11279" max="11279" width="10.5703125" style="184" customWidth="1"/>
    <col min="11280" max="11281" width="9.42578125" style="184" customWidth="1"/>
    <col min="11282" max="11282" width="10.5703125" style="184" customWidth="1"/>
    <col min="11283" max="11283" width="9.42578125" style="184" customWidth="1"/>
    <col min="11284" max="11284" width="9.85546875" style="184" customWidth="1"/>
    <col min="11285" max="11285" width="10.5703125" style="184" customWidth="1"/>
    <col min="11286" max="11286" width="9" style="184" customWidth="1"/>
    <col min="11287" max="11287" width="9.85546875" style="184" customWidth="1"/>
    <col min="11288" max="11288" width="12" style="184" customWidth="1"/>
    <col min="11289" max="11519" width="11.42578125" style="184"/>
    <col min="11520" max="11520" width="0.28515625" style="184" customWidth="1"/>
    <col min="11521" max="11521" width="19" style="184" customWidth="1"/>
    <col min="11522" max="11522" width="7.140625" style="184" customWidth="1"/>
    <col min="11523" max="11523" width="41.28515625" style="184" customWidth="1"/>
    <col min="11524" max="11525" width="9" style="184" customWidth="1"/>
    <col min="11526" max="11526" width="10.5703125" style="184" customWidth="1"/>
    <col min="11527" max="11527" width="9.42578125" style="184" customWidth="1"/>
    <col min="11528" max="11528" width="9.85546875" style="184" customWidth="1"/>
    <col min="11529" max="11529" width="10.5703125" style="184" customWidth="1"/>
    <col min="11530" max="11531" width="9.42578125" style="184" customWidth="1"/>
    <col min="11532" max="11532" width="10.5703125" style="184" customWidth="1"/>
    <col min="11533" max="11534" width="9" style="184" customWidth="1"/>
    <col min="11535" max="11535" width="10.5703125" style="184" customWidth="1"/>
    <col min="11536" max="11537" width="9.42578125" style="184" customWidth="1"/>
    <col min="11538" max="11538" width="10.5703125" style="184" customWidth="1"/>
    <col min="11539" max="11539" width="9.42578125" style="184" customWidth="1"/>
    <col min="11540" max="11540" width="9.85546875" style="184" customWidth="1"/>
    <col min="11541" max="11541" width="10.5703125" style="184" customWidth="1"/>
    <col min="11542" max="11542" width="9" style="184" customWidth="1"/>
    <col min="11543" max="11543" width="9.85546875" style="184" customWidth="1"/>
    <col min="11544" max="11544" width="12" style="184" customWidth="1"/>
    <col min="11545" max="11775" width="11.42578125" style="184"/>
    <col min="11776" max="11776" width="0.28515625" style="184" customWidth="1"/>
    <col min="11777" max="11777" width="19" style="184" customWidth="1"/>
    <col min="11778" max="11778" width="7.140625" style="184" customWidth="1"/>
    <col min="11779" max="11779" width="41.28515625" style="184" customWidth="1"/>
    <col min="11780" max="11781" width="9" style="184" customWidth="1"/>
    <col min="11782" max="11782" width="10.5703125" style="184" customWidth="1"/>
    <col min="11783" max="11783" width="9.42578125" style="184" customWidth="1"/>
    <col min="11784" max="11784" width="9.85546875" style="184" customWidth="1"/>
    <col min="11785" max="11785" width="10.5703125" style="184" customWidth="1"/>
    <col min="11786" max="11787" width="9.42578125" style="184" customWidth="1"/>
    <col min="11788" max="11788" width="10.5703125" style="184" customWidth="1"/>
    <col min="11789" max="11790" width="9" style="184" customWidth="1"/>
    <col min="11791" max="11791" width="10.5703125" style="184" customWidth="1"/>
    <col min="11792" max="11793" width="9.42578125" style="184" customWidth="1"/>
    <col min="11794" max="11794" width="10.5703125" style="184" customWidth="1"/>
    <col min="11795" max="11795" width="9.42578125" style="184" customWidth="1"/>
    <col min="11796" max="11796" width="9.85546875" style="184" customWidth="1"/>
    <col min="11797" max="11797" width="10.5703125" style="184" customWidth="1"/>
    <col min="11798" max="11798" width="9" style="184" customWidth="1"/>
    <col min="11799" max="11799" width="9.85546875" style="184" customWidth="1"/>
    <col min="11800" max="11800" width="12" style="184" customWidth="1"/>
    <col min="11801" max="12031" width="11.42578125" style="184"/>
    <col min="12032" max="12032" width="0.28515625" style="184" customWidth="1"/>
    <col min="12033" max="12033" width="19" style="184" customWidth="1"/>
    <col min="12034" max="12034" width="7.140625" style="184" customWidth="1"/>
    <col min="12035" max="12035" width="41.28515625" style="184" customWidth="1"/>
    <col min="12036" max="12037" width="9" style="184" customWidth="1"/>
    <col min="12038" max="12038" width="10.5703125" style="184" customWidth="1"/>
    <col min="12039" max="12039" width="9.42578125" style="184" customWidth="1"/>
    <col min="12040" max="12040" width="9.85546875" style="184" customWidth="1"/>
    <col min="12041" max="12041" width="10.5703125" style="184" customWidth="1"/>
    <col min="12042" max="12043" width="9.42578125" style="184" customWidth="1"/>
    <col min="12044" max="12044" width="10.5703125" style="184" customWidth="1"/>
    <col min="12045" max="12046" width="9" style="184" customWidth="1"/>
    <col min="12047" max="12047" width="10.5703125" style="184" customWidth="1"/>
    <col min="12048" max="12049" width="9.42578125" style="184" customWidth="1"/>
    <col min="12050" max="12050" width="10.5703125" style="184" customWidth="1"/>
    <col min="12051" max="12051" width="9.42578125" style="184" customWidth="1"/>
    <col min="12052" max="12052" width="9.85546875" style="184" customWidth="1"/>
    <col min="12053" max="12053" width="10.5703125" style="184" customWidth="1"/>
    <col min="12054" max="12054" width="9" style="184" customWidth="1"/>
    <col min="12055" max="12055" width="9.85546875" style="184" customWidth="1"/>
    <col min="12056" max="12056" width="12" style="184" customWidth="1"/>
    <col min="12057" max="12287" width="11.42578125" style="184"/>
    <col min="12288" max="12288" width="0.28515625" style="184" customWidth="1"/>
    <col min="12289" max="12289" width="19" style="184" customWidth="1"/>
    <col min="12290" max="12290" width="7.140625" style="184" customWidth="1"/>
    <col min="12291" max="12291" width="41.28515625" style="184" customWidth="1"/>
    <col min="12292" max="12293" width="9" style="184" customWidth="1"/>
    <col min="12294" max="12294" width="10.5703125" style="184" customWidth="1"/>
    <col min="12295" max="12295" width="9.42578125" style="184" customWidth="1"/>
    <col min="12296" max="12296" width="9.85546875" style="184" customWidth="1"/>
    <col min="12297" max="12297" width="10.5703125" style="184" customWidth="1"/>
    <col min="12298" max="12299" width="9.42578125" style="184" customWidth="1"/>
    <col min="12300" max="12300" width="10.5703125" style="184" customWidth="1"/>
    <col min="12301" max="12302" width="9" style="184" customWidth="1"/>
    <col min="12303" max="12303" width="10.5703125" style="184" customWidth="1"/>
    <col min="12304" max="12305" width="9.42578125" style="184" customWidth="1"/>
    <col min="12306" max="12306" width="10.5703125" style="184" customWidth="1"/>
    <col min="12307" max="12307" width="9.42578125" style="184" customWidth="1"/>
    <col min="12308" max="12308" width="9.85546875" style="184" customWidth="1"/>
    <col min="12309" max="12309" width="10.5703125" style="184" customWidth="1"/>
    <col min="12310" max="12310" width="9" style="184" customWidth="1"/>
    <col min="12311" max="12311" width="9.85546875" style="184" customWidth="1"/>
    <col min="12312" max="12312" width="12" style="184" customWidth="1"/>
    <col min="12313" max="12543" width="11.42578125" style="184"/>
    <col min="12544" max="12544" width="0.28515625" style="184" customWidth="1"/>
    <col min="12545" max="12545" width="19" style="184" customWidth="1"/>
    <col min="12546" max="12546" width="7.140625" style="184" customWidth="1"/>
    <col min="12547" max="12547" width="41.28515625" style="184" customWidth="1"/>
    <col min="12548" max="12549" width="9" style="184" customWidth="1"/>
    <col min="12550" max="12550" width="10.5703125" style="184" customWidth="1"/>
    <col min="12551" max="12551" width="9.42578125" style="184" customWidth="1"/>
    <col min="12552" max="12552" width="9.85546875" style="184" customWidth="1"/>
    <col min="12553" max="12553" width="10.5703125" style="184" customWidth="1"/>
    <col min="12554" max="12555" width="9.42578125" style="184" customWidth="1"/>
    <col min="12556" max="12556" width="10.5703125" style="184" customWidth="1"/>
    <col min="12557" max="12558" width="9" style="184" customWidth="1"/>
    <col min="12559" max="12559" width="10.5703125" style="184" customWidth="1"/>
    <col min="12560" max="12561" width="9.42578125" style="184" customWidth="1"/>
    <col min="12562" max="12562" width="10.5703125" style="184" customWidth="1"/>
    <col min="12563" max="12563" width="9.42578125" style="184" customWidth="1"/>
    <col min="12564" max="12564" width="9.85546875" style="184" customWidth="1"/>
    <col min="12565" max="12565" width="10.5703125" style="184" customWidth="1"/>
    <col min="12566" max="12566" width="9" style="184" customWidth="1"/>
    <col min="12567" max="12567" width="9.85546875" style="184" customWidth="1"/>
    <col min="12568" max="12568" width="12" style="184" customWidth="1"/>
    <col min="12569" max="12799" width="11.42578125" style="184"/>
    <col min="12800" max="12800" width="0.28515625" style="184" customWidth="1"/>
    <col min="12801" max="12801" width="19" style="184" customWidth="1"/>
    <col min="12802" max="12802" width="7.140625" style="184" customWidth="1"/>
    <col min="12803" max="12803" width="41.28515625" style="184" customWidth="1"/>
    <col min="12804" max="12805" width="9" style="184" customWidth="1"/>
    <col min="12806" max="12806" width="10.5703125" style="184" customWidth="1"/>
    <col min="12807" max="12807" width="9.42578125" style="184" customWidth="1"/>
    <col min="12808" max="12808" width="9.85546875" style="184" customWidth="1"/>
    <col min="12809" max="12809" width="10.5703125" style="184" customWidth="1"/>
    <col min="12810" max="12811" width="9.42578125" style="184" customWidth="1"/>
    <col min="12812" max="12812" width="10.5703125" style="184" customWidth="1"/>
    <col min="12813" max="12814" width="9" style="184" customWidth="1"/>
    <col min="12815" max="12815" width="10.5703125" style="184" customWidth="1"/>
    <col min="12816" max="12817" width="9.42578125" style="184" customWidth="1"/>
    <col min="12818" max="12818" width="10.5703125" style="184" customWidth="1"/>
    <col min="12819" max="12819" width="9.42578125" style="184" customWidth="1"/>
    <col min="12820" max="12820" width="9.85546875" style="184" customWidth="1"/>
    <col min="12821" max="12821" width="10.5703125" style="184" customWidth="1"/>
    <col min="12822" max="12822" width="9" style="184" customWidth="1"/>
    <col min="12823" max="12823" width="9.85546875" style="184" customWidth="1"/>
    <col min="12824" max="12824" width="12" style="184" customWidth="1"/>
    <col min="12825" max="13055" width="11.42578125" style="184"/>
    <col min="13056" max="13056" width="0.28515625" style="184" customWidth="1"/>
    <col min="13057" max="13057" width="19" style="184" customWidth="1"/>
    <col min="13058" max="13058" width="7.140625" style="184" customWidth="1"/>
    <col min="13059" max="13059" width="41.28515625" style="184" customWidth="1"/>
    <col min="13060" max="13061" width="9" style="184" customWidth="1"/>
    <col min="13062" max="13062" width="10.5703125" style="184" customWidth="1"/>
    <col min="13063" max="13063" width="9.42578125" style="184" customWidth="1"/>
    <col min="13064" max="13064" width="9.85546875" style="184" customWidth="1"/>
    <col min="13065" max="13065" width="10.5703125" style="184" customWidth="1"/>
    <col min="13066" max="13067" width="9.42578125" style="184" customWidth="1"/>
    <col min="13068" max="13068" width="10.5703125" style="184" customWidth="1"/>
    <col min="13069" max="13070" width="9" style="184" customWidth="1"/>
    <col min="13071" max="13071" width="10.5703125" style="184" customWidth="1"/>
    <col min="13072" max="13073" width="9.42578125" style="184" customWidth="1"/>
    <col min="13074" max="13074" width="10.5703125" style="184" customWidth="1"/>
    <col min="13075" max="13075" width="9.42578125" style="184" customWidth="1"/>
    <col min="13076" max="13076" width="9.85546875" style="184" customWidth="1"/>
    <col min="13077" max="13077" width="10.5703125" style="184" customWidth="1"/>
    <col min="13078" max="13078" width="9" style="184" customWidth="1"/>
    <col min="13079" max="13079" width="9.85546875" style="184" customWidth="1"/>
    <col min="13080" max="13080" width="12" style="184" customWidth="1"/>
    <col min="13081" max="13311" width="11.42578125" style="184"/>
    <col min="13312" max="13312" width="0.28515625" style="184" customWidth="1"/>
    <col min="13313" max="13313" width="19" style="184" customWidth="1"/>
    <col min="13314" max="13314" width="7.140625" style="184" customWidth="1"/>
    <col min="13315" max="13315" width="41.28515625" style="184" customWidth="1"/>
    <col min="13316" max="13317" width="9" style="184" customWidth="1"/>
    <col min="13318" max="13318" width="10.5703125" style="184" customWidth="1"/>
    <col min="13319" max="13319" width="9.42578125" style="184" customWidth="1"/>
    <col min="13320" max="13320" width="9.85546875" style="184" customWidth="1"/>
    <col min="13321" max="13321" width="10.5703125" style="184" customWidth="1"/>
    <col min="13322" max="13323" width="9.42578125" style="184" customWidth="1"/>
    <col min="13324" max="13324" width="10.5703125" style="184" customWidth="1"/>
    <col min="13325" max="13326" width="9" style="184" customWidth="1"/>
    <col min="13327" max="13327" width="10.5703125" style="184" customWidth="1"/>
    <col min="13328" max="13329" width="9.42578125" style="184" customWidth="1"/>
    <col min="13330" max="13330" width="10.5703125" style="184" customWidth="1"/>
    <col min="13331" max="13331" width="9.42578125" style="184" customWidth="1"/>
    <col min="13332" max="13332" width="9.85546875" style="184" customWidth="1"/>
    <col min="13333" max="13333" width="10.5703125" style="184" customWidth="1"/>
    <col min="13334" max="13334" width="9" style="184" customWidth="1"/>
    <col min="13335" max="13335" width="9.85546875" style="184" customWidth="1"/>
    <col min="13336" max="13336" width="12" style="184" customWidth="1"/>
    <col min="13337" max="13567" width="11.42578125" style="184"/>
    <col min="13568" max="13568" width="0.28515625" style="184" customWidth="1"/>
    <col min="13569" max="13569" width="19" style="184" customWidth="1"/>
    <col min="13570" max="13570" width="7.140625" style="184" customWidth="1"/>
    <col min="13571" max="13571" width="41.28515625" style="184" customWidth="1"/>
    <col min="13572" max="13573" width="9" style="184" customWidth="1"/>
    <col min="13574" max="13574" width="10.5703125" style="184" customWidth="1"/>
    <col min="13575" max="13575" width="9.42578125" style="184" customWidth="1"/>
    <col min="13576" max="13576" width="9.85546875" style="184" customWidth="1"/>
    <col min="13577" max="13577" width="10.5703125" style="184" customWidth="1"/>
    <col min="13578" max="13579" width="9.42578125" style="184" customWidth="1"/>
    <col min="13580" max="13580" width="10.5703125" style="184" customWidth="1"/>
    <col min="13581" max="13582" width="9" style="184" customWidth="1"/>
    <col min="13583" max="13583" width="10.5703125" style="184" customWidth="1"/>
    <col min="13584" max="13585" width="9.42578125" style="184" customWidth="1"/>
    <col min="13586" max="13586" width="10.5703125" style="184" customWidth="1"/>
    <col min="13587" max="13587" width="9.42578125" style="184" customWidth="1"/>
    <col min="13588" max="13588" width="9.85546875" style="184" customWidth="1"/>
    <col min="13589" max="13589" width="10.5703125" style="184" customWidth="1"/>
    <col min="13590" max="13590" width="9" style="184" customWidth="1"/>
    <col min="13591" max="13591" width="9.85546875" style="184" customWidth="1"/>
    <col min="13592" max="13592" width="12" style="184" customWidth="1"/>
    <col min="13593" max="13823" width="11.42578125" style="184"/>
    <col min="13824" max="13824" width="0.28515625" style="184" customWidth="1"/>
    <col min="13825" max="13825" width="19" style="184" customWidth="1"/>
    <col min="13826" max="13826" width="7.140625" style="184" customWidth="1"/>
    <col min="13827" max="13827" width="41.28515625" style="184" customWidth="1"/>
    <col min="13828" max="13829" width="9" style="184" customWidth="1"/>
    <col min="13830" max="13830" width="10.5703125" style="184" customWidth="1"/>
    <col min="13831" max="13831" width="9.42578125" style="184" customWidth="1"/>
    <col min="13832" max="13832" width="9.85546875" style="184" customWidth="1"/>
    <col min="13833" max="13833" width="10.5703125" style="184" customWidth="1"/>
    <col min="13834" max="13835" width="9.42578125" style="184" customWidth="1"/>
    <col min="13836" max="13836" width="10.5703125" style="184" customWidth="1"/>
    <col min="13837" max="13838" width="9" style="184" customWidth="1"/>
    <col min="13839" max="13839" width="10.5703125" style="184" customWidth="1"/>
    <col min="13840" max="13841" width="9.42578125" style="184" customWidth="1"/>
    <col min="13842" max="13842" width="10.5703125" style="184" customWidth="1"/>
    <col min="13843" max="13843" width="9.42578125" style="184" customWidth="1"/>
    <col min="13844" max="13844" width="9.85546875" style="184" customWidth="1"/>
    <col min="13845" max="13845" width="10.5703125" style="184" customWidth="1"/>
    <col min="13846" max="13846" width="9" style="184" customWidth="1"/>
    <col min="13847" max="13847" width="9.85546875" style="184" customWidth="1"/>
    <col min="13848" max="13848" width="12" style="184" customWidth="1"/>
    <col min="13849" max="14079" width="11.42578125" style="184"/>
    <col min="14080" max="14080" width="0.28515625" style="184" customWidth="1"/>
    <col min="14081" max="14081" width="19" style="184" customWidth="1"/>
    <col min="14082" max="14082" width="7.140625" style="184" customWidth="1"/>
    <col min="14083" max="14083" width="41.28515625" style="184" customWidth="1"/>
    <col min="14084" max="14085" width="9" style="184" customWidth="1"/>
    <col min="14086" max="14086" width="10.5703125" style="184" customWidth="1"/>
    <col min="14087" max="14087" width="9.42578125" style="184" customWidth="1"/>
    <col min="14088" max="14088" width="9.85546875" style="184" customWidth="1"/>
    <col min="14089" max="14089" width="10.5703125" style="184" customWidth="1"/>
    <col min="14090" max="14091" width="9.42578125" style="184" customWidth="1"/>
    <col min="14092" max="14092" width="10.5703125" style="184" customWidth="1"/>
    <col min="14093" max="14094" width="9" style="184" customWidth="1"/>
    <col min="14095" max="14095" width="10.5703125" style="184" customWidth="1"/>
    <col min="14096" max="14097" width="9.42578125" style="184" customWidth="1"/>
    <col min="14098" max="14098" width="10.5703125" style="184" customWidth="1"/>
    <col min="14099" max="14099" width="9.42578125" style="184" customWidth="1"/>
    <col min="14100" max="14100" width="9.85546875" style="184" customWidth="1"/>
    <col min="14101" max="14101" width="10.5703125" style="184" customWidth="1"/>
    <col min="14102" max="14102" width="9" style="184" customWidth="1"/>
    <col min="14103" max="14103" width="9.85546875" style="184" customWidth="1"/>
    <col min="14104" max="14104" width="12" style="184" customWidth="1"/>
    <col min="14105" max="14335" width="11.42578125" style="184"/>
    <col min="14336" max="14336" width="0.28515625" style="184" customWidth="1"/>
    <col min="14337" max="14337" width="19" style="184" customWidth="1"/>
    <col min="14338" max="14338" width="7.140625" style="184" customWidth="1"/>
    <col min="14339" max="14339" width="41.28515625" style="184" customWidth="1"/>
    <col min="14340" max="14341" width="9" style="184" customWidth="1"/>
    <col min="14342" max="14342" width="10.5703125" style="184" customWidth="1"/>
    <col min="14343" max="14343" width="9.42578125" style="184" customWidth="1"/>
    <col min="14344" max="14344" width="9.85546875" style="184" customWidth="1"/>
    <col min="14345" max="14345" width="10.5703125" style="184" customWidth="1"/>
    <col min="14346" max="14347" width="9.42578125" style="184" customWidth="1"/>
    <col min="14348" max="14348" width="10.5703125" style="184" customWidth="1"/>
    <col min="14349" max="14350" width="9" style="184" customWidth="1"/>
    <col min="14351" max="14351" width="10.5703125" style="184" customWidth="1"/>
    <col min="14352" max="14353" width="9.42578125" style="184" customWidth="1"/>
    <col min="14354" max="14354" width="10.5703125" style="184" customWidth="1"/>
    <col min="14355" max="14355" width="9.42578125" style="184" customWidth="1"/>
    <col min="14356" max="14356" width="9.85546875" style="184" customWidth="1"/>
    <col min="14357" max="14357" width="10.5703125" style="184" customWidth="1"/>
    <col min="14358" max="14358" width="9" style="184" customWidth="1"/>
    <col min="14359" max="14359" width="9.85546875" style="184" customWidth="1"/>
    <col min="14360" max="14360" width="12" style="184" customWidth="1"/>
    <col min="14361" max="14591" width="11.42578125" style="184"/>
    <col min="14592" max="14592" width="0.28515625" style="184" customWidth="1"/>
    <col min="14593" max="14593" width="19" style="184" customWidth="1"/>
    <col min="14594" max="14594" width="7.140625" style="184" customWidth="1"/>
    <col min="14595" max="14595" width="41.28515625" style="184" customWidth="1"/>
    <col min="14596" max="14597" width="9" style="184" customWidth="1"/>
    <col min="14598" max="14598" width="10.5703125" style="184" customWidth="1"/>
    <col min="14599" max="14599" width="9.42578125" style="184" customWidth="1"/>
    <col min="14600" max="14600" width="9.85546875" style="184" customWidth="1"/>
    <col min="14601" max="14601" width="10.5703125" style="184" customWidth="1"/>
    <col min="14602" max="14603" width="9.42578125" style="184" customWidth="1"/>
    <col min="14604" max="14604" width="10.5703125" style="184" customWidth="1"/>
    <col min="14605" max="14606" width="9" style="184" customWidth="1"/>
    <col min="14607" max="14607" width="10.5703125" style="184" customWidth="1"/>
    <col min="14608" max="14609" width="9.42578125" style="184" customWidth="1"/>
    <col min="14610" max="14610" width="10.5703125" style="184" customWidth="1"/>
    <col min="14611" max="14611" width="9.42578125" style="184" customWidth="1"/>
    <col min="14612" max="14612" width="9.85546875" style="184" customWidth="1"/>
    <col min="14613" max="14613" width="10.5703125" style="184" customWidth="1"/>
    <col min="14614" max="14614" width="9" style="184" customWidth="1"/>
    <col min="14615" max="14615" width="9.85546875" style="184" customWidth="1"/>
    <col min="14616" max="14616" width="12" style="184" customWidth="1"/>
    <col min="14617" max="14847" width="11.42578125" style="184"/>
    <col min="14848" max="14848" width="0.28515625" style="184" customWidth="1"/>
    <col min="14849" max="14849" width="19" style="184" customWidth="1"/>
    <col min="14850" max="14850" width="7.140625" style="184" customWidth="1"/>
    <col min="14851" max="14851" width="41.28515625" style="184" customWidth="1"/>
    <col min="14852" max="14853" width="9" style="184" customWidth="1"/>
    <col min="14854" max="14854" width="10.5703125" style="184" customWidth="1"/>
    <col min="14855" max="14855" width="9.42578125" style="184" customWidth="1"/>
    <col min="14856" max="14856" width="9.85546875" style="184" customWidth="1"/>
    <col min="14857" max="14857" width="10.5703125" style="184" customWidth="1"/>
    <col min="14858" max="14859" width="9.42578125" style="184" customWidth="1"/>
    <col min="14860" max="14860" width="10.5703125" style="184" customWidth="1"/>
    <col min="14861" max="14862" width="9" style="184" customWidth="1"/>
    <col min="14863" max="14863" width="10.5703125" style="184" customWidth="1"/>
    <col min="14864" max="14865" width="9.42578125" style="184" customWidth="1"/>
    <col min="14866" max="14866" width="10.5703125" style="184" customWidth="1"/>
    <col min="14867" max="14867" width="9.42578125" style="184" customWidth="1"/>
    <col min="14868" max="14868" width="9.85546875" style="184" customWidth="1"/>
    <col min="14869" max="14869" width="10.5703125" style="184" customWidth="1"/>
    <col min="14870" max="14870" width="9" style="184" customWidth="1"/>
    <col min="14871" max="14871" width="9.85546875" style="184" customWidth="1"/>
    <col min="14872" max="14872" width="12" style="184" customWidth="1"/>
    <col min="14873" max="15103" width="11.42578125" style="184"/>
    <col min="15104" max="15104" width="0.28515625" style="184" customWidth="1"/>
    <col min="15105" max="15105" width="19" style="184" customWidth="1"/>
    <col min="15106" max="15106" width="7.140625" style="184" customWidth="1"/>
    <col min="15107" max="15107" width="41.28515625" style="184" customWidth="1"/>
    <col min="15108" max="15109" width="9" style="184" customWidth="1"/>
    <col min="15110" max="15110" width="10.5703125" style="184" customWidth="1"/>
    <col min="15111" max="15111" width="9.42578125" style="184" customWidth="1"/>
    <col min="15112" max="15112" width="9.85546875" style="184" customWidth="1"/>
    <col min="15113" max="15113" width="10.5703125" style="184" customWidth="1"/>
    <col min="15114" max="15115" width="9.42578125" style="184" customWidth="1"/>
    <col min="15116" max="15116" width="10.5703125" style="184" customWidth="1"/>
    <col min="15117" max="15118" width="9" style="184" customWidth="1"/>
    <col min="15119" max="15119" width="10.5703125" style="184" customWidth="1"/>
    <col min="15120" max="15121" width="9.42578125" style="184" customWidth="1"/>
    <col min="15122" max="15122" width="10.5703125" style="184" customWidth="1"/>
    <col min="15123" max="15123" width="9.42578125" style="184" customWidth="1"/>
    <col min="15124" max="15124" width="9.85546875" style="184" customWidth="1"/>
    <col min="15125" max="15125" width="10.5703125" style="184" customWidth="1"/>
    <col min="15126" max="15126" width="9" style="184" customWidth="1"/>
    <col min="15127" max="15127" width="9.85546875" style="184" customWidth="1"/>
    <col min="15128" max="15128" width="12" style="184" customWidth="1"/>
    <col min="15129" max="15359" width="11.42578125" style="184"/>
    <col min="15360" max="15360" width="0.28515625" style="184" customWidth="1"/>
    <col min="15361" max="15361" width="19" style="184" customWidth="1"/>
    <col min="15362" max="15362" width="7.140625" style="184" customWidth="1"/>
    <col min="15363" max="15363" width="41.28515625" style="184" customWidth="1"/>
    <col min="15364" max="15365" width="9" style="184" customWidth="1"/>
    <col min="15366" max="15366" width="10.5703125" style="184" customWidth="1"/>
    <col min="15367" max="15367" width="9.42578125" style="184" customWidth="1"/>
    <col min="15368" max="15368" width="9.85546875" style="184" customWidth="1"/>
    <col min="15369" max="15369" width="10.5703125" style="184" customWidth="1"/>
    <col min="15370" max="15371" width="9.42578125" style="184" customWidth="1"/>
    <col min="15372" max="15372" width="10.5703125" style="184" customWidth="1"/>
    <col min="15373" max="15374" width="9" style="184" customWidth="1"/>
    <col min="15375" max="15375" width="10.5703125" style="184" customWidth="1"/>
    <col min="15376" max="15377" width="9.42578125" style="184" customWidth="1"/>
    <col min="15378" max="15378" width="10.5703125" style="184" customWidth="1"/>
    <col min="15379" max="15379" width="9.42578125" style="184" customWidth="1"/>
    <col min="15380" max="15380" width="9.85546875" style="184" customWidth="1"/>
    <col min="15381" max="15381" width="10.5703125" style="184" customWidth="1"/>
    <col min="15382" max="15382" width="9" style="184" customWidth="1"/>
    <col min="15383" max="15383" width="9.85546875" style="184" customWidth="1"/>
    <col min="15384" max="15384" width="12" style="184" customWidth="1"/>
    <col min="15385" max="15615" width="11.42578125" style="184"/>
    <col min="15616" max="15616" width="0.28515625" style="184" customWidth="1"/>
    <col min="15617" max="15617" width="19" style="184" customWidth="1"/>
    <col min="15618" max="15618" width="7.140625" style="184" customWidth="1"/>
    <col min="15619" max="15619" width="41.28515625" style="184" customWidth="1"/>
    <col min="15620" max="15621" width="9" style="184" customWidth="1"/>
    <col min="15622" max="15622" width="10.5703125" style="184" customWidth="1"/>
    <col min="15623" max="15623" width="9.42578125" style="184" customWidth="1"/>
    <col min="15624" max="15624" width="9.85546875" style="184" customWidth="1"/>
    <col min="15625" max="15625" width="10.5703125" style="184" customWidth="1"/>
    <col min="15626" max="15627" width="9.42578125" style="184" customWidth="1"/>
    <col min="15628" max="15628" width="10.5703125" style="184" customWidth="1"/>
    <col min="15629" max="15630" width="9" style="184" customWidth="1"/>
    <col min="15631" max="15631" width="10.5703125" style="184" customWidth="1"/>
    <col min="15632" max="15633" width="9.42578125" style="184" customWidth="1"/>
    <col min="15634" max="15634" width="10.5703125" style="184" customWidth="1"/>
    <col min="15635" max="15635" width="9.42578125" style="184" customWidth="1"/>
    <col min="15636" max="15636" width="9.85546875" style="184" customWidth="1"/>
    <col min="15637" max="15637" width="10.5703125" style="184" customWidth="1"/>
    <col min="15638" max="15638" width="9" style="184" customWidth="1"/>
    <col min="15639" max="15639" width="9.85546875" style="184" customWidth="1"/>
    <col min="15640" max="15640" width="12" style="184" customWidth="1"/>
    <col min="15641" max="15871" width="11.42578125" style="184"/>
    <col min="15872" max="15872" width="0.28515625" style="184" customWidth="1"/>
    <col min="15873" max="15873" width="19" style="184" customWidth="1"/>
    <col min="15874" max="15874" width="7.140625" style="184" customWidth="1"/>
    <col min="15875" max="15875" width="41.28515625" style="184" customWidth="1"/>
    <col min="15876" max="15877" width="9" style="184" customWidth="1"/>
    <col min="15878" max="15878" width="10.5703125" style="184" customWidth="1"/>
    <col min="15879" max="15879" width="9.42578125" style="184" customWidth="1"/>
    <col min="15880" max="15880" width="9.85546875" style="184" customWidth="1"/>
    <col min="15881" max="15881" width="10.5703125" style="184" customWidth="1"/>
    <col min="15882" max="15883" width="9.42578125" style="184" customWidth="1"/>
    <col min="15884" max="15884" width="10.5703125" style="184" customWidth="1"/>
    <col min="15885" max="15886" width="9" style="184" customWidth="1"/>
    <col min="15887" max="15887" width="10.5703125" style="184" customWidth="1"/>
    <col min="15888" max="15889" width="9.42578125" style="184" customWidth="1"/>
    <col min="15890" max="15890" width="10.5703125" style="184" customWidth="1"/>
    <col min="15891" max="15891" width="9.42578125" style="184" customWidth="1"/>
    <col min="15892" max="15892" width="9.85546875" style="184" customWidth="1"/>
    <col min="15893" max="15893" width="10.5703125" style="184" customWidth="1"/>
    <col min="15894" max="15894" width="9" style="184" customWidth="1"/>
    <col min="15895" max="15895" width="9.85546875" style="184" customWidth="1"/>
    <col min="15896" max="15896" width="12" style="184" customWidth="1"/>
    <col min="15897" max="16127" width="11.42578125" style="184"/>
    <col min="16128" max="16128" width="0.28515625" style="184" customWidth="1"/>
    <col min="16129" max="16129" width="19" style="184" customWidth="1"/>
    <col min="16130" max="16130" width="7.140625" style="184" customWidth="1"/>
    <col min="16131" max="16131" width="41.28515625" style="184" customWidth="1"/>
    <col min="16132" max="16133" width="9" style="184" customWidth="1"/>
    <col min="16134" max="16134" width="10.5703125" style="184" customWidth="1"/>
    <col min="16135" max="16135" width="9.42578125" style="184" customWidth="1"/>
    <col min="16136" max="16136" width="9.85546875" style="184" customWidth="1"/>
    <col min="16137" max="16137" width="10.5703125" style="184" customWidth="1"/>
    <col min="16138" max="16139" width="9.42578125" style="184" customWidth="1"/>
    <col min="16140" max="16140" width="10.5703125" style="184" customWidth="1"/>
    <col min="16141" max="16142" width="9" style="184" customWidth="1"/>
    <col min="16143" max="16143" width="10.5703125" style="184" customWidth="1"/>
    <col min="16144" max="16145" width="9.42578125" style="184" customWidth="1"/>
    <col min="16146" max="16146" width="10.5703125" style="184" customWidth="1"/>
    <col min="16147" max="16147" width="9.42578125" style="184" customWidth="1"/>
    <col min="16148" max="16148" width="9.85546875" style="184" customWidth="1"/>
    <col min="16149" max="16149" width="10.5703125" style="184" customWidth="1"/>
    <col min="16150" max="16150" width="9" style="184" customWidth="1"/>
    <col min="16151" max="16151" width="9.85546875" style="184" customWidth="1"/>
    <col min="16152" max="16152" width="12" style="184" customWidth="1"/>
    <col min="16153" max="16384" width="11.42578125" style="184"/>
  </cols>
  <sheetData>
    <row r="1" spans="1:42" ht="18" customHeight="1" x14ac:dyDescent="0.2">
      <c r="A1" s="5019" t="s">
        <v>1355</v>
      </c>
      <c r="B1" s="5019"/>
      <c r="C1" s="5019"/>
    </row>
    <row r="2" spans="1:42" x14ac:dyDescent="0.2">
      <c r="A2" s="5019"/>
      <c r="B2" s="5019"/>
      <c r="C2" s="5019"/>
    </row>
    <row r="3" spans="1:42" ht="18" x14ac:dyDescent="0.2">
      <c r="A3" s="3990"/>
      <c r="B3" s="3990"/>
      <c r="C3" s="3990"/>
    </row>
    <row r="4" spans="1:42" ht="15" x14ac:dyDescent="0.2">
      <c r="A4" s="5020" t="s">
        <v>16</v>
      </c>
      <c r="B4" s="5020" t="s">
        <v>4</v>
      </c>
      <c r="C4" s="5020" t="s">
        <v>351</v>
      </c>
      <c r="D4" s="5022">
        <v>2003</v>
      </c>
      <c r="E4" s="5023"/>
      <c r="F4" s="5024"/>
      <c r="G4" s="5022">
        <v>2004</v>
      </c>
      <c r="H4" s="5023"/>
      <c r="I4" s="5024"/>
      <c r="J4" s="5022">
        <v>2005</v>
      </c>
      <c r="K4" s="5023"/>
      <c r="L4" s="5024"/>
      <c r="M4" s="5022">
        <v>2006</v>
      </c>
      <c r="N4" s="5023"/>
      <c r="O4" s="5024"/>
      <c r="P4" s="5022">
        <v>2007</v>
      </c>
      <c r="Q4" s="5023"/>
      <c r="R4" s="5024"/>
      <c r="S4" s="5022">
        <v>2008</v>
      </c>
      <c r="T4" s="5023"/>
      <c r="U4" s="5024"/>
      <c r="V4" s="5022">
        <v>2009</v>
      </c>
      <c r="W4" s="5023"/>
      <c r="X4" s="5024"/>
      <c r="Y4" s="5022">
        <v>2010</v>
      </c>
      <c r="Z4" s="5023"/>
      <c r="AA4" s="5024"/>
      <c r="AB4" s="5022">
        <v>2011</v>
      </c>
      <c r="AC4" s="5023"/>
      <c r="AD4" s="5024"/>
      <c r="AE4" s="5022">
        <v>2012</v>
      </c>
      <c r="AF4" s="5023"/>
      <c r="AG4" s="5024"/>
      <c r="AH4" s="5022">
        <v>2013</v>
      </c>
      <c r="AI4" s="5023"/>
      <c r="AJ4" s="5024"/>
      <c r="AK4" s="5022">
        <v>2014</v>
      </c>
      <c r="AL4" s="5023"/>
      <c r="AM4" s="5024"/>
      <c r="AN4" s="5022">
        <v>2015</v>
      </c>
      <c r="AO4" s="5023"/>
      <c r="AP4" s="5024"/>
    </row>
    <row r="5" spans="1:42" s="189" customFormat="1" ht="15.75" x14ac:dyDescent="0.2">
      <c r="A5" s="5021"/>
      <c r="B5" s="5021"/>
      <c r="C5" s="5021"/>
      <c r="D5" s="566" t="s">
        <v>668</v>
      </c>
      <c r="E5" s="567" t="s">
        <v>669</v>
      </c>
      <c r="F5" s="1031" t="s">
        <v>160</v>
      </c>
      <c r="G5" s="566" t="s">
        <v>668</v>
      </c>
      <c r="H5" s="567" t="s">
        <v>669</v>
      </c>
      <c r="I5" s="1031" t="s">
        <v>160</v>
      </c>
      <c r="J5" s="566" t="s">
        <v>668</v>
      </c>
      <c r="K5" s="567" t="s">
        <v>669</v>
      </c>
      <c r="L5" s="1031" t="s">
        <v>160</v>
      </c>
      <c r="M5" s="566" t="s">
        <v>668</v>
      </c>
      <c r="N5" s="567" t="s">
        <v>669</v>
      </c>
      <c r="O5" s="1031" t="s">
        <v>160</v>
      </c>
      <c r="P5" s="566" t="s">
        <v>668</v>
      </c>
      <c r="Q5" s="567" t="s">
        <v>669</v>
      </c>
      <c r="R5" s="1031" t="s">
        <v>160</v>
      </c>
      <c r="S5" s="566" t="s">
        <v>668</v>
      </c>
      <c r="T5" s="567" t="s">
        <v>669</v>
      </c>
      <c r="U5" s="1031" t="s">
        <v>160</v>
      </c>
      <c r="V5" s="566" t="s">
        <v>668</v>
      </c>
      <c r="W5" s="567" t="s">
        <v>669</v>
      </c>
      <c r="X5" s="1031" t="s">
        <v>160</v>
      </c>
      <c r="Y5" s="566" t="s">
        <v>668</v>
      </c>
      <c r="Z5" s="567" t="s">
        <v>669</v>
      </c>
      <c r="AA5" s="1031" t="s">
        <v>160</v>
      </c>
      <c r="AB5" s="566" t="s">
        <v>668</v>
      </c>
      <c r="AC5" s="567" t="s">
        <v>669</v>
      </c>
      <c r="AD5" s="1031" t="s">
        <v>160</v>
      </c>
      <c r="AE5" s="566" t="s">
        <v>668</v>
      </c>
      <c r="AF5" s="567" t="s">
        <v>669</v>
      </c>
      <c r="AG5" s="1031" t="s">
        <v>160</v>
      </c>
      <c r="AH5" s="566" t="s">
        <v>668</v>
      </c>
      <c r="AI5" s="567" t="s">
        <v>669</v>
      </c>
      <c r="AJ5" s="1031" t="s">
        <v>160</v>
      </c>
      <c r="AK5" s="566" t="s">
        <v>668</v>
      </c>
      <c r="AL5" s="567" t="s">
        <v>669</v>
      </c>
      <c r="AM5" s="1031" t="s">
        <v>160</v>
      </c>
      <c r="AN5" s="566" t="s">
        <v>668</v>
      </c>
      <c r="AO5" s="567" t="s">
        <v>669</v>
      </c>
      <c r="AP5" s="1031" t="s">
        <v>160</v>
      </c>
    </row>
    <row r="6" spans="1:42" s="186" customFormat="1" ht="15" customHeight="1" x14ac:dyDescent="0.25">
      <c r="A6" s="5037" t="s">
        <v>446</v>
      </c>
      <c r="B6" s="5046" t="s">
        <v>5</v>
      </c>
      <c r="C6" s="807" t="s">
        <v>452</v>
      </c>
      <c r="D6" s="808">
        <v>67</v>
      </c>
      <c r="E6" s="809">
        <v>108</v>
      </c>
      <c r="F6" s="810">
        <v>175</v>
      </c>
      <c r="G6" s="808">
        <v>59</v>
      </c>
      <c r="H6" s="809">
        <v>169</v>
      </c>
      <c r="I6" s="810">
        <v>228</v>
      </c>
      <c r="J6" s="808">
        <v>63</v>
      </c>
      <c r="K6" s="809">
        <v>221</v>
      </c>
      <c r="L6" s="810">
        <v>284</v>
      </c>
      <c r="M6" s="808">
        <v>96</v>
      </c>
      <c r="N6" s="809">
        <v>154</v>
      </c>
      <c r="O6" s="810">
        <v>250</v>
      </c>
      <c r="P6" s="808">
        <v>90</v>
      </c>
      <c r="Q6" s="809">
        <v>262</v>
      </c>
      <c r="R6" s="810">
        <v>352</v>
      </c>
      <c r="S6" s="808">
        <v>136</v>
      </c>
      <c r="T6" s="809">
        <v>392</v>
      </c>
      <c r="U6" s="810">
        <v>528</v>
      </c>
      <c r="V6" s="808">
        <v>165</v>
      </c>
      <c r="W6" s="809">
        <v>422</v>
      </c>
      <c r="X6" s="810">
        <v>587</v>
      </c>
      <c r="Y6" s="808">
        <v>207</v>
      </c>
      <c r="Z6" s="809">
        <v>562</v>
      </c>
      <c r="AA6" s="810">
        <f>SUM(Y6:Z6)</f>
        <v>769</v>
      </c>
      <c r="AB6" s="811">
        <v>238</v>
      </c>
      <c r="AC6" s="812">
        <v>599</v>
      </c>
      <c r="AD6" s="810">
        <f>SUM(AB6:AC6)</f>
        <v>837</v>
      </c>
      <c r="AE6" s="811">
        <v>250</v>
      </c>
      <c r="AF6" s="812">
        <v>628</v>
      </c>
      <c r="AG6" s="810">
        <f>SUM(AE6:AF6)</f>
        <v>878</v>
      </c>
      <c r="AH6" s="811">
        <v>269</v>
      </c>
      <c r="AI6" s="812">
        <v>633</v>
      </c>
      <c r="AJ6" s="810">
        <f>SUM(AH6:AI6)</f>
        <v>902</v>
      </c>
      <c r="AK6" s="811">
        <v>237</v>
      </c>
      <c r="AL6" s="812">
        <v>763</v>
      </c>
      <c r="AM6" s="810">
        <f>SUM(AK6:AL6)</f>
        <v>1000</v>
      </c>
      <c r="AN6" s="811">
        <v>257</v>
      </c>
      <c r="AO6" s="812">
        <v>710</v>
      </c>
      <c r="AP6" s="810">
        <f>SUM(AN6:AO6)</f>
        <v>967</v>
      </c>
    </row>
    <row r="7" spans="1:42" s="186" customFormat="1" ht="15" customHeight="1" x14ac:dyDescent="0.25">
      <c r="A7" s="5038"/>
      <c r="B7" s="5047"/>
      <c r="C7" s="813" t="s">
        <v>453</v>
      </c>
      <c r="D7" s="814">
        <v>91</v>
      </c>
      <c r="E7" s="815">
        <v>252</v>
      </c>
      <c r="F7" s="816">
        <v>343</v>
      </c>
      <c r="G7" s="814">
        <v>85</v>
      </c>
      <c r="H7" s="815">
        <v>309</v>
      </c>
      <c r="I7" s="816">
        <v>394</v>
      </c>
      <c r="J7" s="814">
        <v>123</v>
      </c>
      <c r="K7" s="815">
        <v>307</v>
      </c>
      <c r="L7" s="816">
        <v>430</v>
      </c>
      <c r="M7" s="814">
        <v>137</v>
      </c>
      <c r="N7" s="815">
        <v>307</v>
      </c>
      <c r="O7" s="816">
        <v>444</v>
      </c>
      <c r="P7" s="814">
        <v>135</v>
      </c>
      <c r="Q7" s="815">
        <v>372</v>
      </c>
      <c r="R7" s="816">
        <v>507</v>
      </c>
      <c r="S7" s="814">
        <v>179</v>
      </c>
      <c r="T7" s="815">
        <v>404</v>
      </c>
      <c r="U7" s="816">
        <v>583</v>
      </c>
      <c r="V7" s="814">
        <v>188</v>
      </c>
      <c r="W7" s="815">
        <v>533</v>
      </c>
      <c r="X7" s="816">
        <v>721</v>
      </c>
      <c r="Y7" s="814">
        <v>234</v>
      </c>
      <c r="Z7" s="815">
        <v>714</v>
      </c>
      <c r="AA7" s="816">
        <f t="shared" ref="AA7:AA68" si="0">SUM(Y7:Z7)</f>
        <v>948</v>
      </c>
      <c r="AB7" s="817">
        <v>318</v>
      </c>
      <c r="AC7" s="818">
        <v>663</v>
      </c>
      <c r="AD7" s="816">
        <f t="shared" ref="AD7:AD68" si="1">SUM(AB7:AC7)</f>
        <v>981</v>
      </c>
      <c r="AE7" s="817">
        <v>324</v>
      </c>
      <c r="AF7" s="818">
        <v>831</v>
      </c>
      <c r="AG7" s="816">
        <f t="shared" ref="AG7:AG82" si="2">SUM(AE7:AF7)</f>
        <v>1155</v>
      </c>
      <c r="AH7" s="817">
        <v>294</v>
      </c>
      <c r="AI7" s="818">
        <v>866</v>
      </c>
      <c r="AJ7" s="816">
        <f t="shared" ref="AJ7:AJ15" si="3">SUM(AH7:AI7)</f>
        <v>1160</v>
      </c>
      <c r="AK7" s="817">
        <v>259</v>
      </c>
      <c r="AL7" s="818">
        <v>960</v>
      </c>
      <c r="AM7" s="816">
        <f t="shared" ref="AM7:AM15" si="4">SUM(AK7:AL7)</f>
        <v>1219</v>
      </c>
      <c r="AN7" s="817">
        <v>343</v>
      </c>
      <c r="AO7" s="818">
        <v>1048</v>
      </c>
      <c r="AP7" s="816">
        <f t="shared" ref="AP7:AP15" si="5">SUM(AN7:AO7)</f>
        <v>1391</v>
      </c>
    </row>
    <row r="8" spans="1:42" s="186" customFormat="1" ht="15" customHeight="1" x14ac:dyDescent="0.25">
      <c r="A8" s="5038"/>
      <c r="B8" s="5047"/>
      <c r="C8" s="813" t="s">
        <v>454</v>
      </c>
      <c r="D8" s="814">
        <v>67</v>
      </c>
      <c r="E8" s="815">
        <v>137</v>
      </c>
      <c r="F8" s="816">
        <v>204</v>
      </c>
      <c r="G8" s="814">
        <v>71</v>
      </c>
      <c r="H8" s="815">
        <v>164</v>
      </c>
      <c r="I8" s="816">
        <v>235</v>
      </c>
      <c r="J8" s="814">
        <v>54</v>
      </c>
      <c r="K8" s="815">
        <v>137</v>
      </c>
      <c r="L8" s="816">
        <v>191</v>
      </c>
      <c r="M8" s="814">
        <v>60</v>
      </c>
      <c r="N8" s="815">
        <v>117</v>
      </c>
      <c r="O8" s="816">
        <v>177</v>
      </c>
      <c r="P8" s="814">
        <v>72</v>
      </c>
      <c r="Q8" s="815">
        <v>166</v>
      </c>
      <c r="R8" s="816">
        <v>238</v>
      </c>
      <c r="S8" s="814">
        <v>73</v>
      </c>
      <c r="T8" s="815">
        <v>161</v>
      </c>
      <c r="U8" s="816">
        <v>234</v>
      </c>
      <c r="V8" s="814">
        <v>103</v>
      </c>
      <c r="W8" s="815">
        <v>187</v>
      </c>
      <c r="X8" s="816">
        <v>290</v>
      </c>
      <c r="Y8" s="814">
        <v>78</v>
      </c>
      <c r="Z8" s="815">
        <v>197</v>
      </c>
      <c r="AA8" s="816">
        <f t="shared" si="0"/>
        <v>275</v>
      </c>
      <c r="AB8" s="817">
        <v>112</v>
      </c>
      <c r="AC8" s="818">
        <v>192</v>
      </c>
      <c r="AD8" s="816">
        <f t="shared" si="1"/>
        <v>304</v>
      </c>
      <c r="AE8" s="817">
        <v>107</v>
      </c>
      <c r="AF8" s="818">
        <v>234</v>
      </c>
      <c r="AG8" s="816">
        <f t="shared" si="2"/>
        <v>341</v>
      </c>
      <c r="AH8" s="817">
        <v>91</v>
      </c>
      <c r="AI8" s="818">
        <v>211</v>
      </c>
      <c r="AJ8" s="816">
        <f t="shared" si="3"/>
        <v>302</v>
      </c>
      <c r="AK8" s="817">
        <v>90</v>
      </c>
      <c r="AL8" s="818">
        <v>227</v>
      </c>
      <c r="AM8" s="816">
        <f t="shared" si="4"/>
        <v>317</v>
      </c>
      <c r="AN8" s="817">
        <v>102</v>
      </c>
      <c r="AO8" s="818">
        <v>222</v>
      </c>
      <c r="AP8" s="816">
        <f t="shared" si="5"/>
        <v>324</v>
      </c>
    </row>
    <row r="9" spans="1:42" s="186" customFormat="1" ht="15" customHeight="1" x14ac:dyDescent="0.25">
      <c r="A9" s="5038"/>
      <c r="B9" s="5047"/>
      <c r="C9" s="813" t="s">
        <v>455</v>
      </c>
      <c r="D9" s="814">
        <v>24</v>
      </c>
      <c r="E9" s="815">
        <v>56</v>
      </c>
      <c r="F9" s="816">
        <v>80</v>
      </c>
      <c r="G9" s="814">
        <v>25</v>
      </c>
      <c r="H9" s="815">
        <v>72</v>
      </c>
      <c r="I9" s="816">
        <v>97</v>
      </c>
      <c r="J9" s="814">
        <v>43</v>
      </c>
      <c r="K9" s="815">
        <v>79</v>
      </c>
      <c r="L9" s="816">
        <v>122</v>
      </c>
      <c r="M9" s="814">
        <v>25</v>
      </c>
      <c r="N9" s="815">
        <v>60</v>
      </c>
      <c r="O9" s="816">
        <v>85</v>
      </c>
      <c r="P9" s="814">
        <v>24</v>
      </c>
      <c r="Q9" s="815">
        <v>68</v>
      </c>
      <c r="R9" s="816">
        <v>92</v>
      </c>
      <c r="S9" s="814">
        <v>33</v>
      </c>
      <c r="T9" s="815">
        <v>79</v>
      </c>
      <c r="U9" s="816">
        <v>112</v>
      </c>
      <c r="V9" s="814">
        <v>36</v>
      </c>
      <c r="W9" s="815">
        <v>93</v>
      </c>
      <c r="X9" s="816">
        <v>129</v>
      </c>
      <c r="Y9" s="814">
        <v>47</v>
      </c>
      <c r="Z9" s="815">
        <v>151</v>
      </c>
      <c r="AA9" s="816">
        <f t="shared" si="0"/>
        <v>198</v>
      </c>
      <c r="AB9" s="817">
        <v>67</v>
      </c>
      <c r="AC9" s="818">
        <v>139</v>
      </c>
      <c r="AD9" s="816">
        <f t="shared" si="1"/>
        <v>206</v>
      </c>
      <c r="AE9" s="817">
        <v>58</v>
      </c>
      <c r="AF9" s="818">
        <v>179</v>
      </c>
      <c r="AG9" s="816">
        <f t="shared" si="2"/>
        <v>237</v>
      </c>
      <c r="AH9" s="817">
        <v>86</v>
      </c>
      <c r="AI9" s="818">
        <v>224</v>
      </c>
      <c r="AJ9" s="816">
        <f t="shared" si="3"/>
        <v>310</v>
      </c>
      <c r="AK9" s="817">
        <v>75</v>
      </c>
      <c r="AL9" s="818">
        <v>221</v>
      </c>
      <c r="AM9" s="816">
        <f t="shared" si="4"/>
        <v>296</v>
      </c>
      <c r="AN9" s="817">
        <v>100</v>
      </c>
      <c r="AO9" s="818">
        <v>307</v>
      </c>
      <c r="AP9" s="816">
        <f t="shared" si="5"/>
        <v>407</v>
      </c>
    </row>
    <row r="10" spans="1:42" s="186" customFormat="1" ht="15" customHeight="1" x14ac:dyDescent="0.25">
      <c r="A10" s="5038"/>
      <c r="B10" s="5047"/>
      <c r="C10" s="813" t="s">
        <v>456</v>
      </c>
      <c r="D10" s="814">
        <v>225</v>
      </c>
      <c r="E10" s="815">
        <v>486</v>
      </c>
      <c r="F10" s="816">
        <v>711</v>
      </c>
      <c r="G10" s="814">
        <v>176</v>
      </c>
      <c r="H10" s="815">
        <v>563</v>
      </c>
      <c r="I10" s="816">
        <v>739</v>
      </c>
      <c r="J10" s="814">
        <v>199</v>
      </c>
      <c r="K10" s="815">
        <v>534</v>
      </c>
      <c r="L10" s="816">
        <v>733</v>
      </c>
      <c r="M10" s="814">
        <v>202</v>
      </c>
      <c r="N10" s="815">
        <v>481</v>
      </c>
      <c r="O10" s="816">
        <v>683</v>
      </c>
      <c r="P10" s="814">
        <v>166</v>
      </c>
      <c r="Q10" s="815">
        <v>488</v>
      </c>
      <c r="R10" s="816">
        <v>654</v>
      </c>
      <c r="S10" s="814">
        <v>203</v>
      </c>
      <c r="T10" s="815">
        <v>456</v>
      </c>
      <c r="U10" s="816">
        <v>659</v>
      </c>
      <c r="V10" s="814">
        <v>211</v>
      </c>
      <c r="W10" s="815">
        <v>522</v>
      </c>
      <c r="X10" s="816">
        <v>733</v>
      </c>
      <c r="Y10" s="814">
        <v>261</v>
      </c>
      <c r="Z10" s="815">
        <v>607</v>
      </c>
      <c r="AA10" s="816">
        <f t="shared" si="0"/>
        <v>868</v>
      </c>
      <c r="AB10" s="817">
        <v>254</v>
      </c>
      <c r="AC10" s="818">
        <v>644</v>
      </c>
      <c r="AD10" s="816">
        <f t="shared" si="1"/>
        <v>898</v>
      </c>
      <c r="AE10" s="817">
        <v>284</v>
      </c>
      <c r="AF10" s="818">
        <v>673</v>
      </c>
      <c r="AG10" s="816">
        <f t="shared" si="2"/>
        <v>957</v>
      </c>
      <c r="AH10" s="817">
        <v>281</v>
      </c>
      <c r="AI10" s="818">
        <v>849</v>
      </c>
      <c r="AJ10" s="816">
        <f t="shared" si="3"/>
        <v>1130</v>
      </c>
      <c r="AK10" s="817">
        <v>255</v>
      </c>
      <c r="AL10" s="818">
        <v>873</v>
      </c>
      <c r="AM10" s="816">
        <f t="shared" si="4"/>
        <v>1128</v>
      </c>
      <c r="AN10" s="817">
        <v>300</v>
      </c>
      <c r="AO10" s="818">
        <v>1010</v>
      </c>
      <c r="AP10" s="816">
        <f t="shared" si="5"/>
        <v>1310</v>
      </c>
    </row>
    <row r="11" spans="1:42" s="186" customFormat="1" ht="15" customHeight="1" x14ac:dyDescent="0.25">
      <c r="A11" s="5038"/>
      <c r="B11" s="5047"/>
      <c r="C11" s="813" t="s">
        <v>457</v>
      </c>
      <c r="D11" s="814">
        <v>149</v>
      </c>
      <c r="E11" s="815">
        <v>414</v>
      </c>
      <c r="F11" s="816">
        <v>563</v>
      </c>
      <c r="G11" s="814">
        <v>149</v>
      </c>
      <c r="H11" s="815">
        <v>473</v>
      </c>
      <c r="I11" s="816">
        <v>622</v>
      </c>
      <c r="J11" s="814">
        <v>185</v>
      </c>
      <c r="K11" s="815">
        <v>580</v>
      </c>
      <c r="L11" s="816">
        <v>765</v>
      </c>
      <c r="M11" s="814">
        <v>213</v>
      </c>
      <c r="N11" s="815">
        <v>519</v>
      </c>
      <c r="O11" s="816">
        <v>732</v>
      </c>
      <c r="P11" s="814">
        <v>161</v>
      </c>
      <c r="Q11" s="815">
        <v>527</v>
      </c>
      <c r="R11" s="816">
        <v>688</v>
      </c>
      <c r="S11" s="814">
        <v>189</v>
      </c>
      <c r="T11" s="815">
        <v>494</v>
      </c>
      <c r="U11" s="816">
        <v>683</v>
      </c>
      <c r="V11" s="814">
        <v>198</v>
      </c>
      <c r="W11" s="815">
        <v>569</v>
      </c>
      <c r="X11" s="816">
        <v>767</v>
      </c>
      <c r="Y11" s="814">
        <v>247</v>
      </c>
      <c r="Z11" s="815">
        <v>653</v>
      </c>
      <c r="AA11" s="816">
        <f t="shared" si="0"/>
        <v>900</v>
      </c>
      <c r="AB11" s="817">
        <v>280</v>
      </c>
      <c r="AC11" s="818">
        <v>616</v>
      </c>
      <c r="AD11" s="816">
        <f t="shared" si="1"/>
        <v>896</v>
      </c>
      <c r="AE11" s="817">
        <v>286</v>
      </c>
      <c r="AF11" s="818">
        <v>781</v>
      </c>
      <c r="AG11" s="816">
        <f t="shared" si="2"/>
        <v>1067</v>
      </c>
      <c r="AH11" s="817">
        <v>262</v>
      </c>
      <c r="AI11" s="818">
        <v>815</v>
      </c>
      <c r="AJ11" s="816">
        <f t="shared" si="3"/>
        <v>1077</v>
      </c>
      <c r="AK11" s="817">
        <v>277</v>
      </c>
      <c r="AL11" s="818">
        <v>895</v>
      </c>
      <c r="AM11" s="816">
        <f t="shared" si="4"/>
        <v>1172</v>
      </c>
      <c r="AN11" s="817">
        <v>265</v>
      </c>
      <c r="AO11" s="818">
        <v>1019</v>
      </c>
      <c r="AP11" s="816">
        <f t="shared" si="5"/>
        <v>1284</v>
      </c>
    </row>
    <row r="12" spans="1:42" s="186" customFormat="1" ht="15" customHeight="1" x14ac:dyDescent="0.25">
      <c r="A12" s="5038"/>
      <c r="B12" s="5047"/>
      <c r="C12" s="813" t="s">
        <v>458</v>
      </c>
      <c r="D12" s="814">
        <v>18</v>
      </c>
      <c r="E12" s="815">
        <v>43</v>
      </c>
      <c r="F12" s="816">
        <v>61</v>
      </c>
      <c r="G12" s="814">
        <v>15</v>
      </c>
      <c r="H12" s="815">
        <v>51</v>
      </c>
      <c r="I12" s="816">
        <v>66</v>
      </c>
      <c r="J12" s="814">
        <v>31</v>
      </c>
      <c r="K12" s="815">
        <v>62</v>
      </c>
      <c r="L12" s="816">
        <v>93</v>
      </c>
      <c r="M12" s="814">
        <v>25</v>
      </c>
      <c r="N12" s="815">
        <v>69</v>
      </c>
      <c r="O12" s="816">
        <v>94</v>
      </c>
      <c r="P12" s="814">
        <v>20</v>
      </c>
      <c r="Q12" s="815">
        <v>73</v>
      </c>
      <c r="R12" s="816">
        <v>93</v>
      </c>
      <c r="S12" s="814">
        <v>27</v>
      </c>
      <c r="T12" s="815">
        <v>82</v>
      </c>
      <c r="U12" s="816">
        <v>109</v>
      </c>
      <c r="V12" s="814">
        <v>41</v>
      </c>
      <c r="W12" s="815">
        <v>94</v>
      </c>
      <c r="X12" s="816">
        <v>135</v>
      </c>
      <c r="Y12" s="814">
        <v>49</v>
      </c>
      <c r="Z12" s="815">
        <v>112</v>
      </c>
      <c r="AA12" s="816">
        <f t="shared" si="0"/>
        <v>161</v>
      </c>
      <c r="AB12" s="817">
        <v>63</v>
      </c>
      <c r="AC12" s="818">
        <v>131</v>
      </c>
      <c r="AD12" s="816">
        <f t="shared" si="1"/>
        <v>194</v>
      </c>
      <c r="AE12" s="817">
        <v>81</v>
      </c>
      <c r="AF12" s="818">
        <v>177</v>
      </c>
      <c r="AG12" s="816">
        <f t="shared" si="2"/>
        <v>258</v>
      </c>
      <c r="AH12" s="817">
        <v>94</v>
      </c>
      <c r="AI12" s="818">
        <v>235</v>
      </c>
      <c r="AJ12" s="816">
        <f t="shared" si="3"/>
        <v>329</v>
      </c>
      <c r="AK12" s="817">
        <v>87</v>
      </c>
      <c r="AL12" s="818">
        <v>235</v>
      </c>
      <c r="AM12" s="816">
        <f t="shared" si="4"/>
        <v>322</v>
      </c>
      <c r="AN12" s="817">
        <v>136</v>
      </c>
      <c r="AO12" s="818">
        <v>372</v>
      </c>
      <c r="AP12" s="816">
        <f t="shared" si="5"/>
        <v>508</v>
      </c>
    </row>
    <row r="13" spans="1:42" s="186" customFormat="1" ht="15" customHeight="1" x14ac:dyDescent="0.25">
      <c r="A13" s="5038"/>
      <c r="B13" s="5047"/>
      <c r="C13" s="813" t="s">
        <v>459</v>
      </c>
      <c r="D13" s="814">
        <v>109</v>
      </c>
      <c r="E13" s="815">
        <v>257</v>
      </c>
      <c r="F13" s="816">
        <v>366</v>
      </c>
      <c r="G13" s="814">
        <v>103</v>
      </c>
      <c r="H13" s="815">
        <v>386</v>
      </c>
      <c r="I13" s="816">
        <v>489</v>
      </c>
      <c r="J13" s="814">
        <v>125</v>
      </c>
      <c r="K13" s="815">
        <v>337</v>
      </c>
      <c r="L13" s="816">
        <v>462</v>
      </c>
      <c r="M13" s="814">
        <v>151</v>
      </c>
      <c r="N13" s="815">
        <v>312</v>
      </c>
      <c r="O13" s="816">
        <v>463</v>
      </c>
      <c r="P13" s="814">
        <v>122</v>
      </c>
      <c r="Q13" s="815">
        <v>334</v>
      </c>
      <c r="R13" s="816">
        <v>456</v>
      </c>
      <c r="S13" s="814">
        <v>130</v>
      </c>
      <c r="T13" s="815">
        <v>355</v>
      </c>
      <c r="U13" s="816">
        <v>485</v>
      </c>
      <c r="V13" s="814">
        <v>136</v>
      </c>
      <c r="W13" s="815">
        <v>422</v>
      </c>
      <c r="X13" s="816">
        <v>558</v>
      </c>
      <c r="Y13" s="814">
        <v>186</v>
      </c>
      <c r="Z13" s="815">
        <v>432</v>
      </c>
      <c r="AA13" s="816">
        <f t="shared" si="0"/>
        <v>618</v>
      </c>
      <c r="AB13" s="817">
        <v>185</v>
      </c>
      <c r="AC13" s="818">
        <v>465</v>
      </c>
      <c r="AD13" s="816">
        <f t="shared" si="1"/>
        <v>650</v>
      </c>
      <c r="AE13" s="817">
        <v>203</v>
      </c>
      <c r="AF13" s="818">
        <v>535</v>
      </c>
      <c r="AG13" s="816">
        <f t="shared" si="2"/>
        <v>738</v>
      </c>
      <c r="AH13" s="817">
        <v>184</v>
      </c>
      <c r="AI13" s="818">
        <v>593</v>
      </c>
      <c r="AJ13" s="816">
        <f t="shared" si="3"/>
        <v>777</v>
      </c>
      <c r="AK13" s="817">
        <v>178</v>
      </c>
      <c r="AL13" s="818">
        <v>719</v>
      </c>
      <c r="AM13" s="816">
        <f t="shared" si="4"/>
        <v>897</v>
      </c>
      <c r="AN13" s="817">
        <v>245</v>
      </c>
      <c r="AO13" s="818">
        <v>742</v>
      </c>
      <c r="AP13" s="816">
        <f t="shared" si="5"/>
        <v>987</v>
      </c>
    </row>
    <row r="14" spans="1:42" s="186" customFormat="1" ht="15" customHeight="1" x14ac:dyDescent="0.25">
      <c r="A14" s="5038"/>
      <c r="B14" s="5047"/>
      <c r="C14" s="813" t="s">
        <v>460</v>
      </c>
      <c r="D14" s="814">
        <v>233</v>
      </c>
      <c r="E14" s="815">
        <v>502</v>
      </c>
      <c r="F14" s="816">
        <v>735</v>
      </c>
      <c r="G14" s="814">
        <v>183</v>
      </c>
      <c r="H14" s="815">
        <v>517</v>
      </c>
      <c r="I14" s="816">
        <v>700</v>
      </c>
      <c r="J14" s="814">
        <v>179</v>
      </c>
      <c r="K14" s="815">
        <v>436</v>
      </c>
      <c r="L14" s="816">
        <v>615</v>
      </c>
      <c r="M14" s="814">
        <v>172</v>
      </c>
      <c r="N14" s="815">
        <v>333</v>
      </c>
      <c r="O14" s="816">
        <v>505</v>
      </c>
      <c r="P14" s="814">
        <v>145</v>
      </c>
      <c r="Q14" s="815">
        <v>339</v>
      </c>
      <c r="R14" s="816">
        <v>484</v>
      </c>
      <c r="S14" s="814">
        <v>145</v>
      </c>
      <c r="T14" s="815">
        <v>322</v>
      </c>
      <c r="U14" s="816">
        <v>467</v>
      </c>
      <c r="V14" s="814">
        <v>150</v>
      </c>
      <c r="W14" s="815">
        <v>321</v>
      </c>
      <c r="X14" s="816">
        <v>471</v>
      </c>
      <c r="Y14" s="814">
        <v>214</v>
      </c>
      <c r="Z14" s="815">
        <v>403</v>
      </c>
      <c r="AA14" s="816">
        <f t="shared" si="0"/>
        <v>617</v>
      </c>
      <c r="AB14" s="817">
        <v>232</v>
      </c>
      <c r="AC14" s="818">
        <v>393</v>
      </c>
      <c r="AD14" s="816">
        <f t="shared" si="1"/>
        <v>625</v>
      </c>
      <c r="AE14" s="817">
        <v>239</v>
      </c>
      <c r="AF14" s="818">
        <v>446</v>
      </c>
      <c r="AG14" s="816">
        <f t="shared" si="2"/>
        <v>685</v>
      </c>
      <c r="AH14" s="817">
        <v>224</v>
      </c>
      <c r="AI14" s="818">
        <v>461</v>
      </c>
      <c r="AJ14" s="816">
        <f t="shared" si="3"/>
        <v>685</v>
      </c>
      <c r="AK14" s="817">
        <v>176</v>
      </c>
      <c r="AL14" s="818">
        <v>399</v>
      </c>
      <c r="AM14" s="816">
        <f t="shared" si="4"/>
        <v>575</v>
      </c>
      <c r="AN14" s="817">
        <v>180</v>
      </c>
      <c r="AO14" s="818">
        <v>444</v>
      </c>
      <c r="AP14" s="816">
        <f t="shared" si="5"/>
        <v>624</v>
      </c>
    </row>
    <row r="15" spans="1:42" s="186" customFormat="1" ht="15" customHeight="1" x14ac:dyDescent="0.25">
      <c r="A15" s="5038"/>
      <c r="B15" s="5047"/>
      <c r="C15" s="822" t="s">
        <v>461</v>
      </c>
      <c r="D15" s="823"/>
      <c r="E15" s="1519">
        <v>1537</v>
      </c>
      <c r="F15" s="825">
        <v>1537</v>
      </c>
      <c r="G15" s="1520">
        <v>760</v>
      </c>
      <c r="H15" s="1519">
        <v>2161</v>
      </c>
      <c r="I15" s="825">
        <v>2921</v>
      </c>
      <c r="J15" s="823">
        <v>840</v>
      </c>
      <c r="K15" s="824">
        <v>1941</v>
      </c>
      <c r="L15" s="825">
        <v>2781</v>
      </c>
      <c r="M15" s="823">
        <v>766</v>
      </c>
      <c r="N15" s="824">
        <v>1599</v>
      </c>
      <c r="O15" s="825">
        <v>2365</v>
      </c>
      <c r="P15" s="823">
        <v>667</v>
      </c>
      <c r="Q15" s="824">
        <v>1565</v>
      </c>
      <c r="R15" s="825">
        <v>2232</v>
      </c>
      <c r="S15" s="823">
        <v>795</v>
      </c>
      <c r="T15" s="824">
        <v>1689</v>
      </c>
      <c r="U15" s="825">
        <v>2484</v>
      </c>
      <c r="V15" s="823">
        <v>849</v>
      </c>
      <c r="W15" s="824">
        <v>1753</v>
      </c>
      <c r="X15" s="825">
        <v>2602</v>
      </c>
      <c r="Y15" s="823">
        <v>991</v>
      </c>
      <c r="Z15" s="824">
        <v>1948</v>
      </c>
      <c r="AA15" s="825">
        <f t="shared" si="0"/>
        <v>2939</v>
      </c>
      <c r="AB15" s="826">
        <v>985</v>
      </c>
      <c r="AC15" s="824">
        <v>1606</v>
      </c>
      <c r="AD15" s="825">
        <f t="shared" si="1"/>
        <v>2591</v>
      </c>
      <c r="AE15" s="826">
        <v>984</v>
      </c>
      <c r="AF15" s="824">
        <v>1721</v>
      </c>
      <c r="AG15" s="825">
        <f t="shared" si="2"/>
        <v>2705</v>
      </c>
      <c r="AH15" s="826">
        <v>661</v>
      </c>
      <c r="AI15" s="824">
        <v>1616</v>
      </c>
      <c r="AJ15" s="825">
        <f t="shared" si="3"/>
        <v>2277</v>
      </c>
      <c r="AK15" s="817">
        <v>610</v>
      </c>
      <c r="AL15" s="824">
        <v>1560</v>
      </c>
      <c r="AM15" s="825">
        <f t="shared" si="4"/>
        <v>2170</v>
      </c>
      <c r="AN15" s="817">
        <v>637</v>
      </c>
      <c r="AO15" s="824">
        <v>1669</v>
      </c>
      <c r="AP15" s="825">
        <f t="shared" si="5"/>
        <v>2306</v>
      </c>
    </row>
    <row r="16" spans="1:42" s="186" customFormat="1" ht="15" customHeight="1" x14ac:dyDescent="0.25">
      <c r="A16" s="5038"/>
      <c r="B16" s="5048"/>
      <c r="C16" s="869" t="s">
        <v>160</v>
      </c>
      <c r="D16" s="870">
        <f t="shared" ref="D16:I16" si="6">SUM(D6:D15)</f>
        <v>983</v>
      </c>
      <c r="E16" s="1521">
        <f t="shared" si="6"/>
        <v>3792</v>
      </c>
      <c r="F16" s="872">
        <f t="shared" si="6"/>
        <v>4775</v>
      </c>
      <c r="G16" s="870">
        <f t="shared" si="6"/>
        <v>1626</v>
      </c>
      <c r="H16" s="1521">
        <f t="shared" si="6"/>
        <v>4865</v>
      </c>
      <c r="I16" s="872">
        <f t="shared" si="6"/>
        <v>6491</v>
      </c>
      <c r="J16" s="870">
        <f t="shared" ref="J16:AG16" si="7">SUM(J6:J15)</f>
        <v>1842</v>
      </c>
      <c r="K16" s="1521">
        <f t="shared" si="7"/>
        <v>4634</v>
      </c>
      <c r="L16" s="872">
        <f t="shared" si="7"/>
        <v>6476</v>
      </c>
      <c r="M16" s="870">
        <f t="shared" si="7"/>
        <v>1847</v>
      </c>
      <c r="N16" s="1521">
        <f t="shared" si="7"/>
        <v>3951</v>
      </c>
      <c r="O16" s="872">
        <f t="shared" si="7"/>
        <v>5798</v>
      </c>
      <c r="P16" s="870">
        <f t="shared" si="7"/>
        <v>1602</v>
      </c>
      <c r="Q16" s="1521">
        <f t="shared" si="7"/>
        <v>4194</v>
      </c>
      <c r="R16" s="872">
        <f t="shared" si="7"/>
        <v>5796</v>
      </c>
      <c r="S16" s="870">
        <f t="shared" si="7"/>
        <v>1910</v>
      </c>
      <c r="T16" s="1521">
        <f t="shared" si="7"/>
        <v>4434</v>
      </c>
      <c r="U16" s="872">
        <f t="shared" si="7"/>
        <v>6344</v>
      </c>
      <c r="V16" s="870">
        <f t="shared" si="7"/>
        <v>2077</v>
      </c>
      <c r="W16" s="1521">
        <f t="shared" si="7"/>
        <v>4916</v>
      </c>
      <c r="X16" s="872">
        <f t="shared" si="7"/>
        <v>6993</v>
      </c>
      <c r="Y16" s="870">
        <f t="shared" si="7"/>
        <v>2514</v>
      </c>
      <c r="Z16" s="1521">
        <f t="shared" si="7"/>
        <v>5779</v>
      </c>
      <c r="AA16" s="872">
        <f t="shared" si="7"/>
        <v>8293</v>
      </c>
      <c r="AB16" s="870">
        <f t="shared" si="7"/>
        <v>2734</v>
      </c>
      <c r="AC16" s="1521">
        <f t="shared" si="7"/>
        <v>5448</v>
      </c>
      <c r="AD16" s="872">
        <f t="shared" si="7"/>
        <v>8182</v>
      </c>
      <c r="AE16" s="870">
        <f t="shared" si="7"/>
        <v>2816</v>
      </c>
      <c r="AF16" s="1521">
        <f t="shared" si="7"/>
        <v>6205</v>
      </c>
      <c r="AG16" s="872">
        <f t="shared" si="7"/>
        <v>9021</v>
      </c>
      <c r="AH16" s="870">
        <f t="shared" ref="AH16:AM16" si="8">SUM(AH6:AH15)</f>
        <v>2446</v>
      </c>
      <c r="AI16" s="1521">
        <f t="shared" si="8"/>
        <v>6503</v>
      </c>
      <c r="AJ16" s="872">
        <f t="shared" si="8"/>
        <v>8949</v>
      </c>
      <c r="AK16" s="2328">
        <f t="shared" si="8"/>
        <v>2244</v>
      </c>
      <c r="AL16" s="2332">
        <f t="shared" si="8"/>
        <v>6852</v>
      </c>
      <c r="AM16" s="872">
        <f t="shared" si="8"/>
        <v>9096</v>
      </c>
      <c r="AN16" s="2328">
        <f>SUM(AN6:AN15)</f>
        <v>2565</v>
      </c>
      <c r="AO16" s="2332">
        <f>SUM(AO6:AO15)</f>
        <v>7543</v>
      </c>
      <c r="AP16" s="872">
        <f t="shared" ref="AP16" si="9">SUM(AP6:AP15)</f>
        <v>10108</v>
      </c>
    </row>
    <row r="17" spans="1:42" s="186" customFormat="1" ht="15" customHeight="1" x14ac:dyDescent="0.25">
      <c r="A17" s="5038"/>
      <c r="B17" s="5046" t="s">
        <v>6</v>
      </c>
      <c r="C17" s="807" t="s">
        <v>462</v>
      </c>
      <c r="D17" s="808">
        <v>964</v>
      </c>
      <c r="E17" s="809">
        <v>2361</v>
      </c>
      <c r="F17" s="810">
        <v>3325</v>
      </c>
      <c r="G17" s="808">
        <v>1004</v>
      </c>
      <c r="H17" s="809">
        <v>2503</v>
      </c>
      <c r="I17" s="810">
        <v>3507</v>
      </c>
      <c r="J17" s="808">
        <v>1071</v>
      </c>
      <c r="K17" s="809">
        <v>2448</v>
      </c>
      <c r="L17" s="810">
        <v>3519</v>
      </c>
      <c r="M17" s="808">
        <v>1074</v>
      </c>
      <c r="N17" s="809">
        <v>2107</v>
      </c>
      <c r="O17" s="810">
        <v>3181</v>
      </c>
      <c r="P17" s="808">
        <v>1032</v>
      </c>
      <c r="Q17" s="809">
        <v>2393</v>
      </c>
      <c r="R17" s="810">
        <v>3425</v>
      </c>
      <c r="S17" s="808">
        <v>1175</v>
      </c>
      <c r="T17" s="809">
        <v>2180</v>
      </c>
      <c r="U17" s="810">
        <v>3355</v>
      </c>
      <c r="V17" s="808">
        <v>1053</v>
      </c>
      <c r="W17" s="809">
        <v>2186</v>
      </c>
      <c r="X17" s="810">
        <v>3239</v>
      </c>
      <c r="Y17" s="808">
        <v>1088</v>
      </c>
      <c r="Z17" s="809">
        <v>2343</v>
      </c>
      <c r="AA17" s="810">
        <f t="shared" si="0"/>
        <v>3431</v>
      </c>
      <c r="AB17" s="811">
        <v>1169</v>
      </c>
      <c r="AC17" s="812">
        <v>2206</v>
      </c>
      <c r="AD17" s="810">
        <f t="shared" si="1"/>
        <v>3375</v>
      </c>
      <c r="AE17" s="811">
        <v>1135</v>
      </c>
      <c r="AF17" s="812">
        <v>2484</v>
      </c>
      <c r="AG17" s="810">
        <f t="shared" si="2"/>
        <v>3619</v>
      </c>
      <c r="AH17" s="811">
        <v>1051</v>
      </c>
      <c r="AI17" s="812">
        <v>2435</v>
      </c>
      <c r="AJ17" s="810">
        <f>SUM(AH17:AI17)</f>
        <v>3486</v>
      </c>
      <c r="AK17" s="831">
        <v>884</v>
      </c>
      <c r="AL17" s="812">
        <v>2357</v>
      </c>
      <c r="AM17" s="810">
        <f>SUM(AK17:AL17)</f>
        <v>3241</v>
      </c>
      <c r="AN17" s="831">
        <v>987</v>
      </c>
      <c r="AO17" s="812">
        <v>2659</v>
      </c>
      <c r="AP17" s="810">
        <f>SUM(AN17:AO17)</f>
        <v>3646</v>
      </c>
    </row>
    <row r="18" spans="1:42" s="186" customFormat="1" ht="15" customHeight="1" x14ac:dyDescent="0.25">
      <c r="A18" s="5038"/>
      <c r="B18" s="5047"/>
      <c r="C18" s="813" t="s">
        <v>463</v>
      </c>
      <c r="D18" s="814">
        <v>1183</v>
      </c>
      <c r="E18" s="815">
        <v>3384</v>
      </c>
      <c r="F18" s="816">
        <v>4567</v>
      </c>
      <c r="G18" s="814">
        <v>1118</v>
      </c>
      <c r="H18" s="815">
        <v>3487</v>
      </c>
      <c r="I18" s="816">
        <v>4605</v>
      </c>
      <c r="J18" s="814">
        <v>1295</v>
      </c>
      <c r="K18" s="815">
        <v>3396</v>
      </c>
      <c r="L18" s="816">
        <v>4691</v>
      </c>
      <c r="M18" s="814">
        <v>1397</v>
      </c>
      <c r="N18" s="815">
        <v>3168</v>
      </c>
      <c r="O18" s="816">
        <v>4565</v>
      </c>
      <c r="P18" s="814">
        <v>1278</v>
      </c>
      <c r="Q18" s="815">
        <v>3257</v>
      </c>
      <c r="R18" s="816">
        <v>4535</v>
      </c>
      <c r="S18" s="814">
        <v>1351</v>
      </c>
      <c r="T18" s="815">
        <v>3052</v>
      </c>
      <c r="U18" s="816">
        <v>4403</v>
      </c>
      <c r="V18" s="814">
        <v>1296</v>
      </c>
      <c r="W18" s="815">
        <v>3408</v>
      </c>
      <c r="X18" s="816">
        <v>4704</v>
      </c>
      <c r="Y18" s="814">
        <v>1421</v>
      </c>
      <c r="Z18" s="815">
        <v>3744</v>
      </c>
      <c r="AA18" s="816">
        <f t="shared" si="0"/>
        <v>5165</v>
      </c>
      <c r="AB18" s="817">
        <v>1679</v>
      </c>
      <c r="AC18" s="818">
        <v>3652</v>
      </c>
      <c r="AD18" s="816">
        <f t="shared" si="1"/>
        <v>5331</v>
      </c>
      <c r="AE18" s="817">
        <v>1596</v>
      </c>
      <c r="AF18" s="818">
        <v>4149</v>
      </c>
      <c r="AG18" s="816">
        <f t="shared" si="2"/>
        <v>5745</v>
      </c>
      <c r="AH18" s="817">
        <v>1490</v>
      </c>
      <c r="AI18" s="818">
        <v>4084</v>
      </c>
      <c r="AJ18" s="816">
        <f>SUM(AH18:AI18)</f>
        <v>5574</v>
      </c>
      <c r="AK18" s="817">
        <v>1250</v>
      </c>
      <c r="AL18" s="818">
        <v>4071</v>
      </c>
      <c r="AM18" s="816">
        <f>SUM(AK18:AL18)</f>
        <v>5321</v>
      </c>
      <c r="AN18" s="817">
        <v>1380</v>
      </c>
      <c r="AO18" s="818">
        <v>4062</v>
      </c>
      <c r="AP18" s="816">
        <f>SUM(AN18:AO18)</f>
        <v>5442</v>
      </c>
    </row>
    <row r="19" spans="1:42" s="186" customFormat="1" ht="15" customHeight="1" x14ac:dyDescent="0.25">
      <c r="A19" s="5038"/>
      <c r="B19" s="5047"/>
      <c r="C19" s="813" t="s">
        <v>464</v>
      </c>
      <c r="D19" s="814">
        <v>181</v>
      </c>
      <c r="E19" s="815">
        <v>379</v>
      </c>
      <c r="F19" s="816">
        <v>560</v>
      </c>
      <c r="G19" s="814">
        <v>159</v>
      </c>
      <c r="H19" s="815">
        <v>438</v>
      </c>
      <c r="I19" s="816">
        <v>597</v>
      </c>
      <c r="J19" s="814">
        <v>200</v>
      </c>
      <c r="K19" s="815">
        <v>487</v>
      </c>
      <c r="L19" s="816">
        <v>687</v>
      </c>
      <c r="M19" s="814">
        <v>209</v>
      </c>
      <c r="N19" s="815">
        <v>451</v>
      </c>
      <c r="O19" s="816">
        <v>660</v>
      </c>
      <c r="P19" s="814">
        <v>213</v>
      </c>
      <c r="Q19" s="815">
        <v>432</v>
      </c>
      <c r="R19" s="816">
        <v>645</v>
      </c>
      <c r="S19" s="814">
        <v>243</v>
      </c>
      <c r="T19" s="815">
        <v>617</v>
      </c>
      <c r="U19" s="816">
        <v>860</v>
      </c>
      <c r="V19" s="814">
        <v>340</v>
      </c>
      <c r="W19" s="815">
        <v>629</v>
      </c>
      <c r="X19" s="816">
        <v>969</v>
      </c>
      <c r="Y19" s="814">
        <v>301</v>
      </c>
      <c r="Z19" s="815">
        <v>659</v>
      </c>
      <c r="AA19" s="816">
        <f t="shared" si="0"/>
        <v>960</v>
      </c>
      <c r="AB19" s="817">
        <v>349</v>
      </c>
      <c r="AC19" s="818">
        <v>609</v>
      </c>
      <c r="AD19" s="816">
        <f t="shared" si="1"/>
        <v>958</v>
      </c>
      <c r="AE19" s="817">
        <v>306</v>
      </c>
      <c r="AF19" s="818">
        <v>710</v>
      </c>
      <c r="AG19" s="816">
        <f t="shared" si="2"/>
        <v>1016</v>
      </c>
      <c r="AH19" s="817">
        <v>315</v>
      </c>
      <c r="AI19" s="818">
        <v>753</v>
      </c>
      <c r="AJ19" s="816">
        <f>SUM(AH19:AI19)</f>
        <v>1068</v>
      </c>
      <c r="AK19" s="817">
        <v>269</v>
      </c>
      <c r="AL19" s="818">
        <v>748</v>
      </c>
      <c r="AM19" s="816">
        <f>SUM(AK19:AL19)</f>
        <v>1017</v>
      </c>
      <c r="AN19" s="817">
        <v>306</v>
      </c>
      <c r="AO19" s="818">
        <v>803</v>
      </c>
      <c r="AP19" s="816">
        <f>SUM(AN19:AO19)</f>
        <v>1109</v>
      </c>
    </row>
    <row r="20" spans="1:42" s="186" customFormat="1" ht="15" customHeight="1" x14ac:dyDescent="0.25">
      <c r="A20" s="5038"/>
      <c r="B20" s="5047"/>
      <c r="C20" s="822" t="s">
        <v>465</v>
      </c>
      <c r="D20" s="823">
        <v>221</v>
      </c>
      <c r="E20" s="1519">
        <v>447</v>
      </c>
      <c r="F20" s="825">
        <v>668</v>
      </c>
      <c r="G20" s="1520">
        <v>269</v>
      </c>
      <c r="H20" s="1519">
        <v>509</v>
      </c>
      <c r="I20" s="825">
        <v>778</v>
      </c>
      <c r="J20" s="823">
        <v>274</v>
      </c>
      <c r="K20" s="824">
        <v>505</v>
      </c>
      <c r="L20" s="825">
        <v>779</v>
      </c>
      <c r="M20" s="823">
        <v>272</v>
      </c>
      <c r="N20" s="824">
        <v>431</v>
      </c>
      <c r="O20" s="825">
        <v>703</v>
      </c>
      <c r="P20" s="823">
        <v>284</v>
      </c>
      <c r="Q20" s="824">
        <v>562</v>
      </c>
      <c r="R20" s="825">
        <v>846</v>
      </c>
      <c r="S20" s="823">
        <v>363</v>
      </c>
      <c r="T20" s="824">
        <v>722</v>
      </c>
      <c r="U20" s="825">
        <v>1085</v>
      </c>
      <c r="V20" s="823">
        <v>418</v>
      </c>
      <c r="W20" s="824">
        <v>736</v>
      </c>
      <c r="X20" s="825">
        <v>1154</v>
      </c>
      <c r="Y20" s="823">
        <v>482</v>
      </c>
      <c r="Z20" s="824">
        <v>837</v>
      </c>
      <c r="AA20" s="825">
        <f t="shared" si="0"/>
        <v>1319</v>
      </c>
      <c r="AB20" s="826">
        <v>449</v>
      </c>
      <c r="AC20" s="824">
        <v>733</v>
      </c>
      <c r="AD20" s="825">
        <f t="shared" si="1"/>
        <v>1182</v>
      </c>
      <c r="AE20" s="826">
        <v>518</v>
      </c>
      <c r="AF20" s="824">
        <v>815</v>
      </c>
      <c r="AG20" s="825">
        <f t="shared" si="2"/>
        <v>1333</v>
      </c>
      <c r="AH20" s="826">
        <v>419</v>
      </c>
      <c r="AI20" s="824">
        <v>838</v>
      </c>
      <c r="AJ20" s="825">
        <f>SUM(AH20:AI20)</f>
        <v>1257</v>
      </c>
      <c r="AK20" s="817">
        <v>350</v>
      </c>
      <c r="AL20" s="824">
        <v>823</v>
      </c>
      <c r="AM20" s="825">
        <f>SUM(AK20:AL20)</f>
        <v>1173</v>
      </c>
      <c r="AN20" s="817">
        <v>386</v>
      </c>
      <c r="AO20" s="824">
        <v>835</v>
      </c>
      <c r="AP20" s="825">
        <f>SUM(AN20:AO20)</f>
        <v>1221</v>
      </c>
    </row>
    <row r="21" spans="1:42" s="186" customFormat="1" ht="15" customHeight="1" x14ac:dyDescent="0.25">
      <c r="A21" s="5038"/>
      <c r="B21" s="5048"/>
      <c r="C21" s="869" t="s">
        <v>160</v>
      </c>
      <c r="D21" s="870">
        <f>SUM(D17:D20)</f>
        <v>2549</v>
      </c>
      <c r="E21" s="1521">
        <f t="shared" ref="E21:AG21" si="10">SUM(E17:E20)</f>
        <v>6571</v>
      </c>
      <c r="F21" s="872">
        <f t="shared" si="10"/>
        <v>9120</v>
      </c>
      <c r="G21" s="870">
        <f t="shared" si="10"/>
        <v>2550</v>
      </c>
      <c r="H21" s="1521">
        <f t="shared" si="10"/>
        <v>6937</v>
      </c>
      <c r="I21" s="872">
        <f t="shared" si="10"/>
        <v>9487</v>
      </c>
      <c r="J21" s="870">
        <f t="shared" si="10"/>
        <v>2840</v>
      </c>
      <c r="K21" s="1521">
        <f t="shared" si="10"/>
        <v>6836</v>
      </c>
      <c r="L21" s="872">
        <f t="shared" si="10"/>
        <v>9676</v>
      </c>
      <c r="M21" s="870">
        <f t="shared" si="10"/>
        <v>2952</v>
      </c>
      <c r="N21" s="1521">
        <f t="shared" si="10"/>
        <v>6157</v>
      </c>
      <c r="O21" s="872">
        <f t="shared" si="10"/>
        <v>9109</v>
      </c>
      <c r="P21" s="870">
        <f t="shared" si="10"/>
        <v>2807</v>
      </c>
      <c r="Q21" s="1521">
        <f t="shared" si="10"/>
        <v>6644</v>
      </c>
      <c r="R21" s="872">
        <f t="shared" si="10"/>
        <v>9451</v>
      </c>
      <c r="S21" s="870">
        <f t="shared" si="10"/>
        <v>3132</v>
      </c>
      <c r="T21" s="1521">
        <f t="shared" si="10"/>
        <v>6571</v>
      </c>
      <c r="U21" s="872">
        <f t="shared" si="10"/>
        <v>9703</v>
      </c>
      <c r="V21" s="870">
        <f t="shared" si="10"/>
        <v>3107</v>
      </c>
      <c r="W21" s="1521">
        <f t="shared" si="10"/>
        <v>6959</v>
      </c>
      <c r="X21" s="872">
        <f t="shared" si="10"/>
        <v>10066</v>
      </c>
      <c r="Y21" s="870">
        <f t="shared" si="10"/>
        <v>3292</v>
      </c>
      <c r="Z21" s="1521">
        <f t="shared" si="10"/>
        <v>7583</v>
      </c>
      <c r="AA21" s="872">
        <f t="shared" si="10"/>
        <v>10875</v>
      </c>
      <c r="AB21" s="870">
        <f t="shared" si="10"/>
        <v>3646</v>
      </c>
      <c r="AC21" s="1521">
        <f t="shared" si="10"/>
        <v>7200</v>
      </c>
      <c r="AD21" s="872">
        <f t="shared" si="10"/>
        <v>10846</v>
      </c>
      <c r="AE21" s="870">
        <f t="shared" si="10"/>
        <v>3555</v>
      </c>
      <c r="AF21" s="1521">
        <f t="shared" si="10"/>
        <v>8158</v>
      </c>
      <c r="AG21" s="872">
        <f t="shared" si="10"/>
        <v>11713</v>
      </c>
      <c r="AH21" s="870">
        <f t="shared" ref="AH21:AM21" si="11">SUM(AH17:AH20)</f>
        <v>3275</v>
      </c>
      <c r="AI21" s="1521">
        <f t="shared" si="11"/>
        <v>8110</v>
      </c>
      <c r="AJ21" s="872">
        <f t="shared" si="11"/>
        <v>11385</v>
      </c>
      <c r="AK21" s="2328">
        <f>SUM(AK17:AK20)</f>
        <v>2753</v>
      </c>
      <c r="AL21" s="2332">
        <f>SUM(AL17:AL20)</f>
        <v>7999</v>
      </c>
      <c r="AM21" s="872">
        <f t="shared" si="11"/>
        <v>10752</v>
      </c>
      <c r="AN21" s="2328">
        <f>SUM(AN17:AN20)</f>
        <v>3059</v>
      </c>
      <c r="AO21" s="2332">
        <f>SUM(AO17:AO20)</f>
        <v>8359</v>
      </c>
      <c r="AP21" s="872">
        <f t="shared" ref="AP21" si="12">SUM(AP17:AP20)</f>
        <v>11418</v>
      </c>
    </row>
    <row r="22" spans="1:42" s="186" customFormat="1" ht="15" customHeight="1" x14ac:dyDescent="0.25">
      <c r="A22" s="5038"/>
      <c r="B22" s="5046" t="s">
        <v>7</v>
      </c>
      <c r="C22" s="807" t="s">
        <v>466</v>
      </c>
      <c r="D22" s="808">
        <v>301</v>
      </c>
      <c r="E22" s="809">
        <v>777</v>
      </c>
      <c r="F22" s="810">
        <v>1078</v>
      </c>
      <c r="G22" s="808">
        <v>321</v>
      </c>
      <c r="H22" s="809">
        <v>827</v>
      </c>
      <c r="I22" s="810">
        <v>1148</v>
      </c>
      <c r="J22" s="808">
        <v>325</v>
      </c>
      <c r="K22" s="809">
        <v>914</v>
      </c>
      <c r="L22" s="810">
        <v>1239</v>
      </c>
      <c r="M22" s="808">
        <v>345</v>
      </c>
      <c r="N22" s="809">
        <v>760</v>
      </c>
      <c r="O22" s="810">
        <v>1105</v>
      </c>
      <c r="P22" s="808">
        <v>333</v>
      </c>
      <c r="Q22" s="809">
        <v>907</v>
      </c>
      <c r="R22" s="810">
        <v>1240</v>
      </c>
      <c r="S22" s="808">
        <v>495</v>
      </c>
      <c r="T22" s="809">
        <v>973</v>
      </c>
      <c r="U22" s="810">
        <v>1468</v>
      </c>
      <c r="V22" s="808">
        <v>496</v>
      </c>
      <c r="W22" s="809">
        <v>1119</v>
      </c>
      <c r="X22" s="810">
        <v>1615</v>
      </c>
      <c r="Y22" s="808">
        <v>536</v>
      </c>
      <c r="Z22" s="809">
        <v>1376</v>
      </c>
      <c r="AA22" s="810">
        <f t="shared" si="0"/>
        <v>1912</v>
      </c>
      <c r="AB22" s="811">
        <v>663</v>
      </c>
      <c r="AC22" s="812">
        <v>1313</v>
      </c>
      <c r="AD22" s="810">
        <f t="shared" si="1"/>
        <v>1976</v>
      </c>
      <c r="AE22" s="811">
        <v>665</v>
      </c>
      <c r="AF22" s="812">
        <v>1773</v>
      </c>
      <c r="AG22" s="810">
        <f t="shared" si="2"/>
        <v>2438</v>
      </c>
      <c r="AH22" s="811">
        <v>693</v>
      </c>
      <c r="AI22" s="812">
        <v>1692</v>
      </c>
      <c r="AJ22" s="810">
        <f>SUM(AH22:AI22)</f>
        <v>2385</v>
      </c>
      <c r="AK22" s="831">
        <v>629</v>
      </c>
      <c r="AL22" s="812">
        <v>1766</v>
      </c>
      <c r="AM22" s="810">
        <f>SUM(AK22:AL22)</f>
        <v>2395</v>
      </c>
      <c r="AN22" s="831">
        <v>696</v>
      </c>
      <c r="AO22" s="812">
        <v>1894</v>
      </c>
      <c r="AP22" s="810">
        <f>SUM(AN22:AO22)</f>
        <v>2590</v>
      </c>
    </row>
    <row r="23" spans="1:42" s="186" customFormat="1" ht="15" customHeight="1" x14ac:dyDescent="0.25">
      <c r="A23" s="5038"/>
      <c r="B23" s="5047"/>
      <c r="C23" s="813" t="s">
        <v>467</v>
      </c>
      <c r="D23" s="814">
        <v>970</v>
      </c>
      <c r="E23" s="815">
        <v>2563</v>
      </c>
      <c r="F23" s="816">
        <v>3533</v>
      </c>
      <c r="G23" s="814">
        <v>1037</v>
      </c>
      <c r="H23" s="815">
        <v>2612</v>
      </c>
      <c r="I23" s="816">
        <v>3649</v>
      </c>
      <c r="J23" s="814">
        <v>1105</v>
      </c>
      <c r="K23" s="815">
        <v>2608</v>
      </c>
      <c r="L23" s="816">
        <v>3713</v>
      </c>
      <c r="M23" s="814">
        <v>1182</v>
      </c>
      <c r="N23" s="815">
        <v>2413</v>
      </c>
      <c r="O23" s="816">
        <v>3595</v>
      </c>
      <c r="P23" s="814">
        <v>1180</v>
      </c>
      <c r="Q23" s="815">
        <v>2826</v>
      </c>
      <c r="R23" s="816">
        <v>4006</v>
      </c>
      <c r="S23" s="814">
        <v>1477</v>
      </c>
      <c r="T23" s="815">
        <v>2995</v>
      </c>
      <c r="U23" s="816">
        <v>4472</v>
      </c>
      <c r="V23" s="814">
        <v>1531</v>
      </c>
      <c r="W23" s="815">
        <v>3193</v>
      </c>
      <c r="X23" s="816">
        <v>4724</v>
      </c>
      <c r="Y23" s="814">
        <v>1652</v>
      </c>
      <c r="Z23" s="815">
        <v>3575</v>
      </c>
      <c r="AA23" s="816">
        <f t="shared" si="0"/>
        <v>5227</v>
      </c>
      <c r="AB23" s="817">
        <v>1807</v>
      </c>
      <c r="AC23" s="818">
        <v>3245</v>
      </c>
      <c r="AD23" s="816">
        <f t="shared" si="1"/>
        <v>5052</v>
      </c>
      <c r="AE23" s="817">
        <v>1719</v>
      </c>
      <c r="AF23" s="818">
        <v>3733</v>
      </c>
      <c r="AG23" s="816">
        <f t="shared" si="2"/>
        <v>5452</v>
      </c>
      <c r="AH23" s="817">
        <v>1418</v>
      </c>
      <c r="AI23" s="818">
        <v>3331</v>
      </c>
      <c r="AJ23" s="816">
        <f>SUM(AH23:AI23)</f>
        <v>4749</v>
      </c>
      <c r="AK23" s="817">
        <v>1202</v>
      </c>
      <c r="AL23" s="818">
        <v>2911</v>
      </c>
      <c r="AM23" s="816">
        <f>SUM(AK23:AL23)</f>
        <v>4113</v>
      </c>
      <c r="AN23" s="817">
        <v>1119</v>
      </c>
      <c r="AO23" s="818">
        <v>2595</v>
      </c>
      <c r="AP23" s="816">
        <f>SUM(AN23:AO23)</f>
        <v>3714</v>
      </c>
    </row>
    <row r="24" spans="1:42" s="186" customFormat="1" ht="15" customHeight="1" x14ac:dyDescent="0.25">
      <c r="A24" s="5038"/>
      <c r="B24" s="5047"/>
      <c r="C24" s="822" t="s">
        <v>468</v>
      </c>
      <c r="D24" s="823">
        <v>156</v>
      </c>
      <c r="E24" s="1519">
        <v>315</v>
      </c>
      <c r="F24" s="825">
        <v>471</v>
      </c>
      <c r="G24" s="1520">
        <v>161</v>
      </c>
      <c r="H24" s="1519">
        <v>426</v>
      </c>
      <c r="I24" s="825">
        <v>587</v>
      </c>
      <c r="J24" s="823">
        <v>205</v>
      </c>
      <c r="K24" s="824">
        <v>521</v>
      </c>
      <c r="L24" s="825">
        <v>726</v>
      </c>
      <c r="M24" s="823">
        <v>185</v>
      </c>
      <c r="N24" s="824">
        <v>504</v>
      </c>
      <c r="O24" s="825">
        <v>689</v>
      </c>
      <c r="P24" s="823">
        <v>261</v>
      </c>
      <c r="Q24" s="824">
        <v>614</v>
      </c>
      <c r="R24" s="825">
        <v>875</v>
      </c>
      <c r="S24" s="823">
        <v>329</v>
      </c>
      <c r="T24" s="824">
        <v>653</v>
      </c>
      <c r="U24" s="825">
        <v>982</v>
      </c>
      <c r="V24" s="823">
        <v>346</v>
      </c>
      <c r="W24" s="824">
        <v>719</v>
      </c>
      <c r="X24" s="825">
        <v>1065</v>
      </c>
      <c r="Y24" s="823">
        <v>382</v>
      </c>
      <c r="Z24" s="824">
        <v>847</v>
      </c>
      <c r="AA24" s="825">
        <f t="shared" si="0"/>
        <v>1229</v>
      </c>
      <c r="AB24" s="826">
        <v>455</v>
      </c>
      <c r="AC24" s="824">
        <v>875</v>
      </c>
      <c r="AD24" s="825">
        <f t="shared" si="1"/>
        <v>1330</v>
      </c>
      <c r="AE24" s="826">
        <v>515</v>
      </c>
      <c r="AF24" s="824">
        <v>1073</v>
      </c>
      <c r="AG24" s="825">
        <f t="shared" si="2"/>
        <v>1588</v>
      </c>
      <c r="AH24" s="826">
        <v>494</v>
      </c>
      <c r="AI24" s="824">
        <v>1029</v>
      </c>
      <c r="AJ24" s="825">
        <f>SUM(AH24:AI24)</f>
        <v>1523</v>
      </c>
      <c r="AK24" s="817">
        <v>435</v>
      </c>
      <c r="AL24" s="824">
        <v>1042</v>
      </c>
      <c r="AM24" s="825">
        <f>SUM(AK24:AL24)</f>
        <v>1477</v>
      </c>
      <c r="AN24" s="817">
        <v>483</v>
      </c>
      <c r="AO24" s="824">
        <v>984</v>
      </c>
      <c r="AP24" s="825">
        <f>SUM(AN24:AO24)</f>
        <v>1467</v>
      </c>
    </row>
    <row r="25" spans="1:42" s="186" customFormat="1" ht="15" customHeight="1" x14ac:dyDescent="0.25">
      <c r="A25" s="5038"/>
      <c r="B25" s="5047"/>
      <c r="C25" s="869" t="s">
        <v>160</v>
      </c>
      <c r="D25" s="870">
        <f>SUM(D22:D24)</f>
        <v>1427</v>
      </c>
      <c r="E25" s="1521">
        <f t="shared" ref="E25:AG25" si="13">SUM(E22:E24)</f>
        <v>3655</v>
      </c>
      <c r="F25" s="872">
        <f t="shared" si="13"/>
        <v>5082</v>
      </c>
      <c r="G25" s="870">
        <f t="shared" si="13"/>
        <v>1519</v>
      </c>
      <c r="H25" s="1521">
        <f t="shared" si="13"/>
        <v>3865</v>
      </c>
      <c r="I25" s="872">
        <f t="shared" si="13"/>
        <v>5384</v>
      </c>
      <c r="J25" s="870">
        <f t="shared" si="13"/>
        <v>1635</v>
      </c>
      <c r="K25" s="1521">
        <f t="shared" si="13"/>
        <v>4043</v>
      </c>
      <c r="L25" s="872">
        <f t="shared" si="13"/>
        <v>5678</v>
      </c>
      <c r="M25" s="870">
        <f t="shared" si="13"/>
        <v>1712</v>
      </c>
      <c r="N25" s="1521">
        <f t="shared" si="13"/>
        <v>3677</v>
      </c>
      <c r="O25" s="872">
        <f t="shared" si="13"/>
        <v>5389</v>
      </c>
      <c r="P25" s="870">
        <f t="shared" si="13"/>
        <v>1774</v>
      </c>
      <c r="Q25" s="1521">
        <f t="shared" si="13"/>
        <v>4347</v>
      </c>
      <c r="R25" s="872">
        <f t="shared" si="13"/>
        <v>6121</v>
      </c>
      <c r="S25" s="870">
        <f t="shared" si="13"/>
        <v>2301</v>
      </c>
      <c r="T25" s="1521">
        <f t="shared" si="13"/>
        <v>4621</v>
      </c>
      <c r="U25" s="872">
        <f t="shared" si="13"/>
        <v>6922</v>
      </c>
      <c r="V25" s="870">
        <f t="shared" si="13"/>
        <v>2373</v>
      </c>
      <c r="W25" s="1521">
        <f t="shared" si="13"/>
        <v>5031</v>
      </c>
      <c r="X25" s="872">
        <f t="shared" si="13"/>
        <v>7404</v>
      </c>
      <c r="Y25" s="870">
        <f t="shared" si="13"/>
        <v>2570</v>
      </c>
      <c r="Z25" s="1521">
        <f t="shared" si="13"/>
        <v>5798</v>
      </c>
      <c r="AA25" s="872">
        <f t="shared" si="13"/>
        <v>8368</v>
      </c>
      <c r="AB25" s="870">
        <f t="shared" si="13"/>
        <v>2925</v>
      </c>
      <c r="AC25" s="1521">
        <f t="shared" si="13"/>
        <v>5433</v>
      </c>
      <c r="AD25" s="872">
        <f t="shared" si="13"/>
        <v>8358</v>
      </c>
      <c r="AE25" s="870">
        <f t="shared" si="13"/>
        <v>2899</v>
      </c>
      <c r="AF25" s="1521">
        <f t="shared" si="13"/>
        <v>6579</v>
      </c>
      <c r="AG25" s="872">
        <f t="shared" si="13"/>
        <v>9478</v>
      </c>
      <c r="AH25" s="870">
        <f t="shared" ref="AH25:AM25" si="14">SUM(AH22:AH24)</f>
        <v>2605</v>
      </c>
      <c r="AI25" s="1521">
        <f t="shared" si="14"/>
        <v>6052</v>
      </c>
      <c r="AJ25" s="872">
        <f t="shared" si="14"/>
        <v>8657</v>
      </c>
      <c r="AK25" s="2328">
        <f t="shared" si="14"/>
        <v>2266</v>
      </c>
      <c r="AL25" s="2332">
        <f t="shared" si="14"/>
        <v>5719</v>
      </c>
      <c r="AM25" s="872">
        <f t="shared" si="14"/>
        <v>7985</v>
      </c>
      <c r="AN25" s="2328">
        <f>SUM(AN22:AN24)</f>
        <v>2298</v>
      </c>
      <c r="AO25" s="2332">
        <f t="shared" ref="AO25:AP25" si="15">SUM(AO22:AO24)</f>
        <v>5473</v>
      </c>
      <c r="AP25" s="872">
        <f t="shared" si="15"/>
        <v>7771</v>
      </c>
    </row>
    <row r="26" spans="1:42" s="186" customFormat="1" ht="15" customHeight="1" x14ac:dyDescent="0.25">
      <c r="A26" s="5039"/>
      <c r="B26" s="3980"/>
      <c r="C26" s="2431" t="s">
        <v>450</v>
      </c>
      <c r="D26" s="2432">
        <f>SUM(D25,D21,D16)</f>
        <v>4959</v>
      </c>
      <c r="E26" s="2433">
        <f t="shared" ref="E26:AG26" si="16">SUM(E25,E21,E16)</f>
        <v>14018</v>
      </c>
      <c r="F26" s="2434">
        <f t="shared" si="16"/>
        <v>18977</v>
      </c>
      <c r="G26" s="2432">
        <f t="shared" si="16"/>
        <v>5695</v>
      </c>
      <c r="H26" s="2433">
        <f t="shared" si="16"/>
        <v>15667</v>
      </c>
      <c r="I26" s="2434">
        <f t="shared" si="16"/>
        <v>21362</v>
      </c>
      <c r="J26" s="2432">
        <f t="shared" si="16"/>
        <v>6317</v>
      </c>
      <c r="K26" s="2433">
        <f t="shared" si="16"/>
        <v>15513</v>
      </c>
      <c r="L26" s="2434">
        <f t="shared" si="16"/>
        <v>21830</v>
      </c>
      <c r="M26" s="2432">
        <f t="shared" si="16"/>
        <v>6511</v>
      </c>
      <c r="N26" s="2433">
        <f t="shared" si="16"/>
        <v>13785</v>
      </c>
      <c r="O26" s="2434">
        <f t="shared" si="16"/>
        <v>20296</v>
      </c>
      <c r="P26" s="2432">
        <f t="shared" si="16"/>
        <v>6183</v>
      </c>
      <c r="Q26" s="2433">
        <f t="shared" si="16"/>
        <v>15185</v>
      </c>
      <c r="R26" s="2434">
        <f t="shared" si="16"/>
        <v>21368</v>
      </c>
      <c r="S26" s="2432">
        <f t="shared" si="16"/>
        <v>7343</v>
      </c>
      <c r="T26" s="2433">
        <f t="shared" si="16"/>
        <v>15626</v>
      </c>
      <c r="U26" s="2434">
        <f t="shared" si="16"/>
        <v>22969</v>
      </c>
      <c r="V26" s="2432">
        <f t="shared" si="16"/>
        <v>7557</v>
      </c>
      <c r="W26" s="2433">
        <f t="shared" si="16"/>
        <v>16906</v>
      </c>
      <c r="X26" s="2434">
        <f t="shared" si="16"/>
        <v>24463</v>
      </c>
      <c r="Y26" s="2432">
        <f t="shared" si="16"/>
        <v>8376</v>
      </c>
      <c r="Z26" s="2433">
        <f t="shared" si="16"/>
        <v>19160</v>
      </c>
      <c r="AA26" s="2434">
        <f t="shared" si="16"/>
        <v>27536</v>
      </c>
      <c r="AB26" s="2432">
        <f t="shared" si="16"/>
        <v>9305</v>
      </c>
      <c r="AC26" s="2433">
        <f t="shared" si="16"/>
        <v>18081</v>
      </c>
      <c r="AD26" s="2434">
        <f t="shared" si="16"/>
        <v>27386</v>
      </c>
      <c r="AE26" s="2432">
        <f t="shared" si="16"/>
        <v>9270</v>
      </c>
      <c r="AF26" s="2433">
        <f t="shared" si="16"/>
        <v>20942</v>
      </c>
      <c r="AG26" s="2434">
        <f t="shared" si="16"/>
        <v>30212</v>
      </c>
      <c r="AH26" s="2432">
        <f t="shared" ref="AH26:AM26" si="17">SUM(AH25,AH21,AH16)</f>
        <v>8326</v>
      </c>
      <c r="AI26" s="2433">
        <f t="shared" si="17"/>
        <v>20665</v>
      </c>
      <c r="AJ26" s="2434">
        <f t="shared" si="17"/>
        <v>28991</v>
      </c>
      <c r="AK26" s="2432">
        <f t="shared" si="17"/>
        <v>7263</v>
      </c>
      <c r="AL26" s="2433">
        <f t="shared" si="17"/>
        <v>20570</v>
      </c>
      <c r="AM26" s="2434">
        <f t="shared" si="17"/>
        <v>27833</v>
      </c>
      <c r="AN26" s="2432">
        <f t="shared" ref="AN26:AP26" si="18">SUM(AN25,AN21,AN16)</f>
        <v>7922</v>
      </c>
      <c r="AO26" s="2433">
        <f t="shared" si="18"/>
        <v>21375</v>
      </c>
      <c r="AP26" s="2434">
        <f t="shared" si="18"/>
        <v>29297</v>
      </c>
    </row>
    <row r="27" spans="1:42" s="186" customFormat="1" ht="15" customHeight="1" x14ac:dyDescent="0.25">
      <c r="A27" s="5040" t="s">
        <v>447</v>
      </c>
      <c r="B27" s="5049" t="s">
        <v>5</v>
      </c>
      <c r="C27" s="827" t="s">
        <v>469</v>
      </c>
      <c r="D27" s="828">
        <v>87</v>
      </c>
      <c r="E27" s="829">
        <v>215</v>
      </c>
      <c r="F27" s="830">
        <v>302</v>
      </c>
      <c r="G27" s="828">
        <v>73</v>
      </c>
      <c r="H27" s="829">
        <v>225</v>
      </c>
      <c r="I27" s="830">
        <v>298</v>
      </c>
      <c r="J27" s="828">
        <v>99</v>
      </c>
      <c r="K27" s="829">
        <v>265</v>
      </c>
      <c r="L27" s="830">
        <v>364</v>
      </c>
      <c r="M27" s="828">
        <v>102</v>
      </c>
      <c r="N27" s="829">
        <v>216</v>
      </c>
      <c r="O27" s="830">
        <v>318</v>
      </c>
      <c r="P27" s="828">
        <v>76</v>
      </c>
      <c r="Q27" s="829">
        <v>216</v>
      </c>
      <c r="R27" s="830">
        <v>292</v>
      </c>
      <c r="S27" s="828">
        <v>95</v>
      </c>
      <c r="T27" s="829">
        <v>200</v>
      </c>
      <c r="U27" s="830">
        <v>295</v>
      </c>
      <c r="V27" s="828">
        <v>99</v>
      </c>
      <c r="W27" s="829">
        <v>291</v>
      </c>
      <c r="X27" s="830">
        <v>390</v>
      </c>
      <c r="Y27" s="828"/>
      <c r="Z27" s="829">
        <v>323</v>
      </c>
      <c r="AA27" s="830">
        <f t="shared" si="0"/>
        <v>323</v>
      </c>
      <c r="AB27" s="831"/>
      <c r="AC27" s="832">
        <v>357</v>
      </c>
      <c r="AD27" s="830">
        <f t="shared" si="1"/>
        <v>357</v>
      </c>
      <c r="AE27" s="831"/>
      <c r="AF27" s="832">
        <v>456</v>
      </c>
      <c r="AG27" s="830">
        <f t="shared" si="2"/>
        <v>456</v>
      </c>
      <c r="AH27" s="831"/>
      <c r="AI27" s="832">
        <v>484</v>
      </c>
      <c r="AJ27" s="830">
        <f t="shared" ref="AJ27:AJ35" si="19">SUM(AH27:AI27)</f>
        <v>484</v>
      </c>
      <c r="AK27" s="811"/>
      <c r="AL27" s="832">
        <v>577</v>
      </c>
      <c r="AM27" s="830">
        <f t="shared" ref="AM27:AM35" si="20">SUM(AK27:AL27)</f>
        <v>577</v>
      </c>
      <c r="AN27" s="811"/>
      <c r="AO27" s="832">
        <v>697</v>
      </c>
      <c r="AP27" s="830">
        <f t="shared" ref="AP27:AP35" si="21">SUM(AN27:AO27)</f>
        <v>697</v>
      </c>
    </row>
    <row r="28" spans="1:42" s="186" customFormat="1" ht="15" customHeight="1" x14ac:dyDescent="0.25">
      <c r="A28" s="5041"/>
      <c r="B28" s="5050"/>
      <c r="C28" s="813" t="s">
        <v>470</v>
      </c>
      <c r="D28" s="814">
        <v>15</v>
      </c>
      <c r="E28" s="815">
        <v>22</v>
      </c>
      <c r="F28" s="816">
        <v>37</v>
      </c>
      <c r="G28" s="814">
        <v>21</v>
      </c>
      <c r="H28" s="815">
        <v>41</v>
      </c>
      <c r="I28" s="816">
        <v>62</v>
      </c>
      <c r="J28" s="814">
        <v>17</v>
      </c>
      <c r="K28" s="815">
        <v>41</v>
      </c>
      <c r="L28" s="816">
        <v>58</v>
      </c>
      <c r="M28" s="814">
        <v>16</v>
      </c>
      <c r="N28" s="815">
        <v>29</v>
      </c>
      <c r="O28" s="816">
        <v>45</v>
      </c>
      <c r="P28" s="814">
        <v>20</v>
      </c>
      <c r="Q28" s="815">
        <v>31</v>
      </c>
      <c r="R28" s="816">
        <v>51</v>
      </c>
      <c r="S28" s="814"/>
      <c r="T28" s="815">
        <v>58</v>
      </c>
      <c r="U28" s="816">
        <v>58</v>
      </c>
      <c r="V28" s="814"/>
      <c r="W28" s="815">
        <v>47</v>
      </c>
      <c r="X28" s="816">
        <v>47</v>
      </c>
      <c r="Y28" s="814"/>
      <c r="Z28" s="815">
        <v>65</v>
      </c>
      <c r="AA28" s="816">
        <f t="shared" si="0"/>
        <v>65</v>
      </c>
      <c r="AB28" s="817"/>
      <c r="AC28" s="818">
        <v>76</v>
      </c>
      <c r="AD28" s="816">
        <f t="shared" si="1"/>
        <v>76</v>
      </c>
      <c r="AE28" s="817"/>
      <c r="AF28" s="818">
        <v>84</v>
      </c>
      <c r="AG28" s="816">
        <f t="shared" si="2"/>
        <v>84</v>
      </c>
      <c r="AH28" s="817"/>
      <c r="AI28" s="818">
        <v>66</v>
      </c>
      <c r="AJ28" s="816">
        <f t="shared" si="19"/>
        <v>66</v>
      </c>
      <c r="AK28" s="817"/>
      <c r="AL28" s="818">
        <v>85</v>
      </c>
      <c r="AM28" s="816">
        <f t="shared" si="20"/>
        <v>85</v>
      </c>
      <c r="AN28" s="817"/>
      <c r="AO28" s="818">
        <v>100</v>
      </c>
      <c r="AP28" s="816">
        <f t="shared" si="21"/>
        <v>100</v>
      </c>
    </row>
    <row r="29" spans="1:42" s="186" customFormat="1" ht="15" customHeight="1" x14ac:dyDescent="0.25">
      <c r="A29" s="5041"/>
      <c r="B29" s="5050"/>
      <c r="C29" s="813" t="s">
        <v>459</v>
      </c>
      <c r="D29" s="814">
        <v>35</v>
      </c>
      <c r="E29" s="815">
        <v>91</v>
      </c>
      <c r="F29" s="816">
        <v>126</v>
      </c>
      <c r="G29" s="814">
        <v>54</v>
      </c>
      <c r="H29" s="815">
        <v>118</v>
      </c>
      <c r="I29" s="816">
        <v>172</v>
      </c>
      <c r="J29" s="814">
        <v>52</v>
      </c>
      <c r="K29" s="815">
        <v>148</v>
      </c>
      <c r="L29" s="816">
        <v>200</v>
      </c>
      <c r="M29" s="814">
        <v>63</v>
      </c>
      <c r="N29" s="815">
        <v>145</v>
      </c>
      <c r="O29" s="816">
        <v>208</v>
      </c>
      <c r="P29" s="814">
        <v>49</v>
      </c>
      <c r="Q29" s="815">
        <v>128</v>
      </c>
      <c r="R29" s="816">
        <v>177</v>
      </c>
      <c r="S29" s="814">
        <v>61</v>
      </c>
      <c r="T29" s="815">
        <v>134</v>
      </c>
      <c r="U29" s="816">
        <v>195</v>
      </c>
      <c r="V29" s="814">
        <v>69</v>
      </c>
      <c r="W29" s="815">
        <v>164</v>
      </c>
      <c r="X29" s="816">
        <v>233</v>
      </c>
      <c r="Y29" s="814">
        <v>100</v>
      </c>
      <c r="Z29" s="815">
        <v>214</v>
      </c>
      <c r="AA29" s="816">
        <f t="shared" si="0"/>
        <v>314</v>
      </c>
      <c r="AB29" s="817">
        <v>95</v>
      </c>
      <c r="AC29" s="818">
        <v>180</v>
      </c>
      <c r="AD29" s="816">
        <f t="shared" si="1"/>
        <v>275</v>
      </c>
      <c r="AE29" s="817">
        <v>91</v>
      </c>
      <c r="AF29" s="818">
        <v>213</v>
      </c>
      <c r="AG29" s="816">
        <f t="shared" si="2"/>
        <v>304</v>
      </c>
      <c r="AH29" s="817">
        <v>120</v>
      </c>
      <c r="AI29" s="818">
        <v>314</v>
      </c>
      <c r="AJ29" s="816">
        <f t="shared" si="19"/>
        <v>434</v>
      </c>
      <c r="AK29" s="817">
        <v>107</v>
      </c>
      <c r="AL29" s="818">
        <v>310</v>
      </c>
      <c r="AM29" s="816">
        <f t="shared" si="20"/>
        <v>417</v>
      </c>
      <c r="AN29" s="817">
        <v>118</v>
      </c>
      <c r="AO29" s="818">
        <v>420</v>
      </c>
      <c r="AP29" s="816">
        <f t="shared" si="21"/>
        <v>538</v>
      </c>
    </row>
    <row r="30" spans="1:42" s="186" customFormat="1" ht="15" customHeight="1" x14ac:dyDescent="0.25">
      <c r="A30" s="5041"/>
      <c r="B30" s="5050"/>
      <c r="C30" s="813" t="s">
        <v>471</v>
      </c>
      <c r="D30" s="814">
        <v>31</v>
      </c>
      <c r="E30" s="815">
        <v>64</v>
      </c>
      <c r="F30" s="816">
        <v>95</v>
      </c>
      <c r="G30" s="814">
        <v>32</v>
      </c>
      <c r="H30" s="815">
        <v>67</v>
      </c>
      <c r="I30" s="816">
        <v>99</v>
      </c>
      <c r="J30" s="814">
        <v>43</v>
      </c>
      <c r="K30" s="815">
        <v>64</v>
      </c>
      <c r="L30" s="816">
        <v>107</v>
      </c>
      <c r="M30" s="814">
        <v>38</v>
      </c>
      <c r="N30" s="815">
        <v>53</v>
      </c>
      <c r="O30" s="816">
        <v>91</v>
      </c>
      <c r="P30" s="814">
        <v>24</v>
      </c>
      <c r="Q30" s="815">
        <v>64</v>
      </c>
      <c r="R30" s="816">
        <v>88</v>
      </c>
      <c r="S30" s="814">
        <v>45</v>
      </c>
      <c r="T30" s="815">
        <v>70</v>
      </c>
      <c r="U30" s="816">
        <v>115</v>
      </c>
      <c r="V30" s="814">
        <v>56</v>
      </c>
      <c r="W30" s="815">
        <v>121</v>
      </c>
      <c r="X30" s="816">
        <v>177</v>
      </c>
      <c r="Y30" s="814">
        <v>97</v>
      </c>
      <c r="Z30" s="815">
        <v>103</v>
      </c>
      <c r="AA30" s="816">
        <f t="shared" si="0"/>
        <v>200</v>
      </c>
      <c r="AB30" s="817">
        <v>124</v>
      </c>
      <c r="AC30" s="818">
        <v>125</v>
      </c>
      <c r="AD30" s="816">
        <f t="shared" si="1"/>
        <v>249</v>
      </c>
      <c r="AE30" s="817">
        <v>101</v>
      </c>
      <c r="AF30" s="818">
        <v>169</v>
      </c>
      <c r="AG30" s="816">
        <f t="shared" si="2"/>
        <v>270</v>
      </c>
      <c r="AH30" s="817">
        <v>146</v>
      </c>
      <c r="AI30" s="818">
        <v>225</v>
      </c>
      <c r="AJ30" s="816">
        <f t="shared" si="19"/>
        <v>371</v>
      </c>
      <c r="AK30" s="817">
        <v>141</v>
      </c>
      <c r="AL30" s="818">
        <v>242</v>
      </c>
      <c r="AM30" s="816">
        <f t="shared" si="20"/>
        <v>383</v>
      </c>
      <c r="AN30" s="817">
        <v>144</v>
      </c>
      <c r="AO30" s="818">
        <v>237</v>
      </c>
      <c r="AP30" s="816">
        <f t="shared" si="21"/>
        <v>381</v>
      </c>
    </row>
    <row r="31" spans="1:42" s="186" customFormat="1" ht="15" customHeight="1" x14ac:dyDescent="0.25">
      <c r="A31" s="5041"/>
      <c r="B31" s="5050"/>
      <c r="C31" s="813" t="s">
        <v>472</v>
      </c>
      <c r="D31" s="814">
        <v>14</v>
      </c>
      <c r="E31" s="815">
        <v>39</v>
      </c>
      <c r="F31" s="816">
        <v>53</v>
      </c>
      <c r="G31" s="814">
        <v>12</v>
      </c>
      <c r="H31" s="815">
        <v>57</v>
      </c>
      <c r="I31" s="816">
        <v>69</v>
      </c>
      <c r="J31" s="814">
        <v>22</v>
      </c>
      <c r="K31" s="815">
        <v>64</v>
      </c>
      <c r="L31" s="816">
        <v>86</v>
      </c>
      <c r="M31" s="814">
        <v>29</v>
      </c>
      <c r="N31" s="815">
        <v>44</v>
      </c>
      <c r="O31" s="816">
        <v>73</v>
      </c>
      <c r="P31" s="814">
        <v>23</v>
      </c>
      <c r="Q31" s="815">
        <v>62</v>
      </c>
      <c r="R31" s="816">
        <v>85</v>
      </c>
      <c r="S31" s="814">
        <v>22</v>
      </c>
      <c r="T31" s="815">
        <v>56</v>
      </c>
      <c r="U31" s="816">
        <v>78</v>
      </c>
      <c r="V31" s="814">
        <v>27</v>
      </c>
      <c r="W31" s="815">
        <v>75</v>
      </c>
      <c r="X31" s="816">
        <v>102</v>
      </c>
      <c r="Y31" s="814">
        <v>52</v>
      </c>
      <c r="Z31" s="815">
        <v>110</v>
      </c>
      <c r="AA31" s="816">
        <f t="shared" si="0"/>
        <v>162</v>
      </c>
      <c r="AB31" s="817">
        <v>63</v>
      </c>
      <c r="AC31" s="818">
        <v>143</v>
      </c>
      <c r="AD31" s="816">
        <f t="shared" si="1"/>
        <v>206</v>
      </c>
      <c r="AE31" s="817">
        <v>84</v>
      </c>
      <c r="AF31" s="818">
        <v>162</v>
      </c>
      <c r="AG31" s="816">
        <f t="shared" si="2"/>
        <v>246</v>
      </c>
      <c r="AH31" s="817">
        <v>82</v>
      </c>
      <c r="AI31" s="818">
        <v>145</v>
      </c>
      <c r="AJ31" s="816">
        <f t="shared" si="19"/>
        <v>227</v>
      </c>
      <c r="AK31" s="817">
        <v>65</v>
      </c>
      <c r="AL31" s="818">
        <v>186</v>
      </c>
      <c r="AM31" s="816">
        <f t="shared" si="20"/>
        <v>251</v>
      </c>
      <c r="AN31" s="817">
        <v>115</v>
      </c>
      <c r="AO31" s="818">
        <v>279</v>
      </c>
      <c r="AP31" s="816">
        <f t="shared" si="21"/>
        <v>394</v>
      </c>
    </row>
    <row r="32" spans="1:42" s="186" customFormat="1" ht="15" customHeight="1" x14ac:dyDescent="0.25">
      <c r="A32" s="5041"/>
      <c r="B32" s="5050"/>
      <c r="C32" s="813" t="s">
        <v>460</v>
      </c>
      <c r="D32" s="814">
        <v>196</v>
      </c>
      <c r="E32" s="815">
        <v>368</v>
      </c>
      <c r="F32" s="816">
        <v>564</v>
      </c>
      <c r="G32" s="814">
        <v>163</v>
      </c>
      <c r="H32" s="815">
        <v>387</v>
      </c>
      <c r="I32" s="816">
        <v>550</v>
      </c>
      <c r="J32" s="814">
        <v>179</v>
      </c>
      <c r="K32" s="815">
        <v>439</v>
      </c>
      <c r="L32" s="816">
        <v>618</v>
      </c>
      <c r="M32" s="814">
        <v>207</v>
      </c>
      <c r="N32" s="815">
        <v>391</v>
      </c>
      <c r="O32" s="816">
        <v>598</v>
      </c>
      <c r="P32" s="814">
        <v>174</v>
      </c>
      <c r="Q32" s="815">
        <v>385</v>
      </c>
      <c r="R32" s="816">
        <v>559</v>
      </c>
      <c r="S32" s="814">
        <v>174</v>
      </c>
      <c r="T32" s="815">
        <v>362</v>
      </c>
      <c r="U32" s="816">
        <v>536</v>
      </c>
      <c r="V32" s="814">
        <v>167</v>
      </c>
      <c r="W32" s="815">
        <v>427</v>
      </c>
      <c r="X32" s="816">
        <v>594</v>
      </c>
      <c r="Y32" s="814"/>
      <c r="Z32" s="815">
        <v>506</v>
      </c>
      <c r="AA32" s="816">
        <f t="shared" si="0"/>
        <v>506</v>
      </c>
      <c r="AB32" s="817"/>
      <c r="AC32" s="818">
        <v>510</v>
      </c>
      <c r="AD32" s="816">
        <f t="shared" si="1"/>
        <v>510</v>
      </c>
      <c r="AE32" s="817"/>
      <c r="AF32" s="818">
        <v>561</v>
      </c>
      <c r="AG32" s="816">
        <f t="shared" si="2"/>
        <v>561</v>
      </c>
      <c r="AH32" s="817"/>
      <c r="AI32" s="818">
        <v>533</v>
      </c>
      <c r="AJ32" s="816">
        <f t="shared" si="19"/>
        <v>533</v>
      </c>
      <c r="AK32" s="817"/>
      <c r="AL32" s="818">
        <v>518</v>
      </c>
      <c r="AM32" s="816">
        <f t="shared" si="20"/>
        <v>518</v>
      </c>
      <c r="AN32" s="817"/>
      <c r="AO32" s="818">
        <v>592</v>
      </c>
      <c r="AP32" s="816">
        <f t="shared" si="21"/>
        <v>592</v>
      </c>
    </row>
    <row r="33" spans="1:42" s="186" customFormat="1" ht="15" customHeight="1" x14ac:dyDescent="0.25">
      <c r="A33" s="5041"/>
      <c r="B33" s="5050"/>
      <c r="C33" s="813" t="s">
        <v>473</v>
      </c>
      <c r="D33" s="814">
        <v>56</v>
      </c>
      <c r="E33" s="815">
        <v>136</v>
      </c>
      <c r="F33" s="816">
        <v>192</v>
      </c>
      <c r="G33" s="814">
        <v>58</v>
      </c>
      <c r="H33" s="815">
        <v>154</v>
      </c>
      <c r="I33" s="816">
        <v>212</v>
      </c>
      <c r="J33" s="814">
        <v>42</v>
      </c>
      <c r="K33" s="815">
        <v>143</v>
      </c>
      <c r="L33" s="816">
        <v>185</v>
      </c>
      <c r="M33" s="814">
        <v>78</v>
      </c>
      <c r="N33" s="815">
        <v>148</v>
      </c>
      <c r="O33" s="816">
        <v>226</v>
      </c>
      <c r="P33" s="814">
        <v>53</v>
      </c>
      <c r="Q33" s="815">
        <v>127</v>
      </c>
      <c r="R33" s="816">
        <v>180</v>
      </c>
      <c r="S33" s="814">
        <v>72</v>
      </c>
      <c r="T33" s="815">
        <v>174</v>
      </c>
      <c r="U33" s="816">
        <v>246</v>
      </c>
      <c r="V33" s="814">
        <v>70</v>
      </c>
      <c r="W33" s="815">
        <v>193</v>
      </c>
      <c r="X33" s="816">
        <v>263</v>
      </c>
      <c r="Y33" s="814"/>
      <c r="Z33" s="815">
        <v>242</v>
      </c>
      <c r="AA33" s="816">
        <f t="shared" si="0"/>
        <v>242</v>
      </c>
      <c r="AB33" s="817"/>
      <c r="AC33" s="818">
        <v>258</v>
      </c>
      <c r="AD33" s="816">
        <f t="shared" si="1"/>
        <v>258</v>
      </c>
      <c r="AE33" s="817"/>
      <c r="AF33" s="818">
        <v>310</v>
      </c>
      <c r="AG33" s="816">
        <f t="shared" si="2"/>
        <v>310</v>
      </c>
      <c r="AH33" s="817"/>
      <c r="AI33" s="818">
        <v>288</v>
      </c>
      <c r="AJ33" s="816">
        <f t="shared" si="19"/>
        <v>288</v>
      </c>
      <c r="AK33" s="817"/>
      <c r="AL33" s="818">
        <v>254</v>
      </c>
      <c r="AM33" s="816">
        <f t="shared" si="20"/>
        <v>254</v>
      </c>
      <c r="AN33" s="817"/>
      <c r="AO33" s="818">
        <v>300</v>
      </c>
      <c r="AP33" s="816">
        <f t="shared" si="21"/>
        <v>300</v>
      </c>
    </row>
    <row r="34" spans="1:42" s="186" customFormat="1" ht="15" customHeight="1" x14ac:dyDescent="0.25">
      <c r="A34" s="5041"/>
      <c r="B34" s="5050"/>
      <c r="C34" s="813" t="s">
        <v>474</v>
      </c>
      <c r="D34" s="814">
        <v>15</v>
      </c>
      <c r="E34" s="815">
        <v>31</v>
      </c>
      <c r="F34" s="816">
        <v>46</v>
      </c>
      <c r="G34" s="814">
        <v>11</v>
      </c>
      <c r="H34" s="815">
        <v>30</v>
      </c>
      <c r="I34" s="816">
        <v>41</v>
      </c>
      <c r="J34" s="814">
        <v>16</v>
      </c>
      <c r="K34" s="815">
        <v>53</v>
      </c>
      <c r="L34" s="816">
        <v>69</v>
      </c>
      <c r="M34" s="814">
        <v>18</v>
      </c>
      <c r="N34" s="815">
        <v>42</v>
      </c>
      <c r="O34" s="816">
        <v>60</v>
      </c>
      <c r="P34" s="814">
        <v>21</v>
      </c>
      <c r="Q34" s="815">
        <v>42</v>
      </c>
      <c r="R34" s="816">
        <v>63</v>
      </c>
      <c r="S34" s="814">
        <v>21</v>
      </c>
      <c r="T34" s="815">
        <v>62</v>
      </c>
      <c r="U34" s="816">
        <v>83</v>
      </c>
      <c r="V34" s="814">
        <v>19</v>
      </c>
      <c r="W34" s="815">
        <v>62</v>
      </c>
      <c r="X34" s="816">
        <v>81</v>
      </c>
      <c r="Y34" s="814">
        <v>20</v>
      </c>
      <c r="Z34" s="815">
        <v>68</v>
      </c>
      <c r="AA34" s="816">
        <f t="shared" si="0"/>
        <v>88</v>
      </c>
      <c r="AB34" s="817">
        <v>34</v>
      </c>
      <c r="AC34" s="818">
        <v>71</v>
      </c>
      <c r="AD34" s="816">
        <f t="shared" si="1"/>
        <v>105</v>
      </c>
      <c r="AE34" s="817">
        <v>44</v>
      </c>
      <c r="AF34" s="818">
        <v>107</v>
      </c>
      <c r="AG34" s="816">
        <f t="shared" si="2"/>
        <v>151</v>
      </c>
      <c r="AH34" s="817">
        <v>37</v>
      </c>
      <c r="AI34" s="818">
        <v>101</v>
      </c>
      <c r="AJ34" s="816">
        <f t="shared" si="19"/>
        <v>138</v>
      </c>
      <c r="AK34" s="817">
        <v>47</v>
      </c>
      <c r="AL34" s="818">
        <v>125</v>
      </c>
      <c r="AM34" s="816">
        <f t="shared" si="20"/>
        <v>172</v>
      </c>
      <c r="AN34" s="817">
        <v>59</v>
      </c>
      <c r="AO34" s="818">
        <v>166</v>
      </c>
      <c r="AP34" s="816">
        <f t="shared" si="21"/>
        <v>225</v>
      </c>
    </row>
    <row r="35" spans="1:42" s="186" customFormat="1" ht="15" customHeight="1" x14ac:dyDescent="0.25">
      <c r="A35" s="5041"/>
      <c r="B35" s="5050"/>
      <c r="C35" s="822" t="s">
        <v>475</v>
      </c>
      <c r="D35" s="823">
        <v>710</v>
      </c>
      <c r="E35" s="1519">
        <v>1474</v>
      </c>
      <c r="F35" s="825">
        <v>2184</v>
      </c>
      <c r="G35" s="1520">
        <v>478</v>
      </c>
      <c r="H35" s="1519">
        <v>971</v>
      </c>
      <c r="I35" s="825">
        <v>1449</v>
      </c>
      <c r="J35" s="823">
        <v>508</v>
      </c>
      <c r="K35" s="824">
        <v>1037</v>
      </c>
      <c r="L35" s="825">
        <v>1545</v>
      </c>
      <c r="M35" s="823">
        <v>511</v>
      </c>
      <c r="N35" s="824">
        <v>879</v>
      </c>
      <c r="O35" s="825">
        <v>1390</v>
      </c>
      <c r="P35" s="823">
        <v>410</v>
      </c>
      <c r="Q35" s="824">
        <v>948</v>
      </c>
      <c r="R35" s="825">
        <v>1358</v>
      </c>
      <c r="S35" s="823">
        <v>475</v>
      </c>
      <c r="T35" s="824">
        <v>972</v>
      </c>
      <c r="U35" s="825">
        <v>1447</v>
      </c>
      <c r="V35" s="823">
        <v>476</v>
      </c>
      <c r="W35" s="824">
        <v>1006</v>
      </c>
      <c r="X35" s="825">
        <v>1482</v>
      </c>
      <c r="Y35" s="823"/>
      <c r="Z35" s="824">
        <v>1204</v>
      </c>
      <c r="AA35" s="825">
        <f t="shared" si="0"/>
        <v>1204</v>
      </c>
      <c r="AB35" s="826"/>
      <c r="AC35" s="824">
        <v>1045</v>
      </c>
      <c r="AD35" s="825">
        <f t="shared" si="1"/>
        <v>1045</v>
      </c>
      <c r="AE35" s="826"/>
      <c r="AF35" s="824">
        <v>1208</v>
      </c>
      <c r="AG35" s="825">
        <f t="shared" si="2"/>
        <v>1208</v>
      </c>
      <c r="AH35" s="826"/>
      <c r="AI35" s="824">
        <v>1112</v>
      </c>
      <c r="AJ35" s="825">
        <f t="shared" si="19"/>
        <v>1112</v>
      </c>
      <c r="AK35" s="817"/>
      <c r="AL35" s="824">
        <v>977</v>
      </c>
      <c r="AM35" s="825">
        <f t="shared" si="20"/>
        <v>977</v>
      </c>
      <c r="AN35" s="817"/>
      <c r="AO35" s="824">
        <v>904</v>
      </c>
      <c r="AP35" s="825">
        <f t="shared" si="21"/>
        <v>904</v>
      </c>
    </row>
    <row r="36" spans="1:42" s="186" customFormat="1" ht="15" customHeight="1" x14ac:dyDescent="0.25">
      <c r="A36" s="5041"/>
      <c r="B36" s="5050"/>
      <c r="C36" s="875" t="s">
        <v>160</v>
      </c>
      <c r="D36" s="876">
        <f>SUM(D27:D35)</f>
        <v>1159</v>
      </c>
      <c r="E36" s="1522">
        <f t="shared" ref="E36:AG36" si="22">SUM(E27:E35)</f>
        <v>2440</v>
      </c>
      <c r="F36" s="586">
        <f t="shared" si="22"/>
        <v>3599</v>
      </c>
      <c r="G36" s="876">
        <f t="shared" si="22"/>
        <v>902</v>
      </c>
      <c r="H36" s="1522">
        <f t="shared" si="22"/>
        <v>2050</v>
      </c>
      <c r="I36" s="586">
        <f t="shared" si="22"/>
        <v>2952</v>
      </c>
      <c r="J36" s="876">
        <f t="shared" si="22"/>
        <v>978</v>
      </c>
      <c r="K36" s="1522">
        <f t="shared" si="22"/>
        <v>2254</v>
      </c>
      <c r="L36" s="586">
        <f t="shared" si="22"/>
        <v>3232</v>
      </c>
      <c r="M36" s="876">
        <f t="shared" si="22"/>
        <v>1062</v>
      </c>
      <c r="N36" s="1522">
        <f t="shared" si="22"/>
        <v>1947</v>
      </c>
      <c r="O36" s="586">
        <f t="shared" si="22"/>
        <v>3009</v>
      </c>
      <c r="P36" s="876">
        <f t="shared" si="22"/>
        <v>850</v>
      </c>
      <c r="Q36" s="1522">
        <f t="shared" si="22"/>
        <v>2003</v>
      </c>
      <c r="R36" s="586">
        <f t="shared" si="22"/>
        <v>2853</v>
      </c>
      <c r="S36" s="876">
        <f t="shared" si="22"/>
        <v>965</v>
      </c>
      <c r="T36" s="1522">
        <f t="shared" si="22"/>
        <v>2088</v>
      </c>
      <c r="U36" s="586">
        <f t="shared" si="22"/>
        <v>3053</v>
      </c>
      <c r="V36" s="876">
        <f t="shared" si="22"/>
        <v>983</v>
      </c>
      <c r="W36" s="1522">
        <f t="shared" si="22"/>
        <v>2386</v>
      </c>
      <c r="X36" s="586">
        <f t="shared" si="22"/>
        <v>3369</v>
      </c>
      <c r="Y36" s="876">
        <f t="shared" si="22"/>
        <v>269</v>
      </c>
      <c r="Z36" s="1522">
        <f t="shared" si="22"/>
        <v>2835</v>
      </c>
      <c r="AA36" s="586">
        <f t="shared" si="22"/>
        <v>3104</v>
      </c>
      <c r="AB36" s="876">
        <f t="shared" si="22"/>
        <v>316</v>
      </c>
      <c r="AC36" s="1522">
        <f t="shared" si="22"/>
        <v>2765</v>
      </c>
      <c r="AD36" s="586">
        <f t="shared" si="22"/>
        <v>3081</v>
      </c>
      <c r="AE36" s="876">
        <f t="shared" si="22"/>
        <v>320</v>
      </c>
      <c r="AF36" s="1522">
        <f t="shared" si="22"/>
        <v>3270</v>
      </c>
      <c r="AG36" s="586">
        <f t="shared" si="22"/>
        <v>3590</v>
      </c>
      <c r="AH36" s="876">
        <f t="shared" ref="AH36:AM36" si="23">SUM(AH27:AH35)</f>
        <v>385</v>
      </c>
      <c r="AI36" s="1522">
        <f t="shared" si="23"/>
        <v>3268</v>
      </c>
      <c r="AJ36" s="586">
        <f t="shared" si="23"/>
        <v>3653</v>
      </c>
      <c r="AK36" s="2328">
        <f>SUM(AK27:AK35)</f>
        <v>360</v>
      </c>
      <c r="AL36" s="2332">
        <f>SUM(AL27:AL35)</f>
        <v>3274</v>
      </c>
      <c r="AM36" s="586">
        <f t="shared" si="23"/>
        <v>3634</v>
      </c>
      <c r="AN36" s="2328">
        <f>SUM(AN27:AN35)</f>
        <v>436</v>
      </c>
      <c r="AO36" s="2332">
        <f>SUM(AO27:AO35)</f>
        <v>3695</v>
      </c>
      <c r="AP36" s="586">
        <f t="shared" ref="AP36" si="24">SUM(AP27:AP35)</f>
        <v>4131</v>
      </c>
    </row>
    <row r="37" spans="1:42" s="186" customFormat="1" ht="15" customHeight="1" x14ac:dyDescent="0.25">
      <c r="A37" s="5041"/>
      <c r="B37" s="5050" t="s">
        <v>6</v>
      </c>
      <c r="C37" s="827" t="s">
        <v>462</v>
      </c>
      <c r="D37" s="828">
        <v>706</v>
      </c>
      <c r="E37" s="829">
        <v>1430</v>
      </c>
      <c r="F37" s="830">
        <v>2136</v>
      </c>
      <c r="G37" s="828">
        <v>629</v>
      </c>
      <c r="H37" s="829">
        <v>1327</v>
      </c>
      <c r="I37" s="830">
        <v>1956</v>
      </c>
      <c r="J37" s="828">
        <v>651</v>
      </c>
      <c r="K37" s="829">
        <v>1221</v>
      </c>
      <c r="L37" s="830">
        <v>1872</v>
      </c>
      <c r="M37" s="828">
        <v>656</v>
      </c>
      <c r="N37" s="829">
        <v>1151</v>
      </c>
      <c r="O37" s="830">
        <v>1807</v>
      </c>
      <c r="P37" s="828">
        <v>637</v>
      </c>
      <c r="Q37" s="829">
        <v>1179</v>
      </c>
      <c r="R37" s="830">
        <v>1816</v>
      </c>
      <c r="S37" s="828">
        <v>633</v>
      </c>
      <c r="T37" s="829">
        <v>1198</v>
      </c>
      <c r="U37" s="830">
        <v>1831</v>
      </c>
      <c r="V37" s="828">
        <v>659</v>
      </c>
      <c r="W37" s="829">
        <v>1285</v>
      </c>
      <c r="X37" s="830">
        <v>1944</v>
      </c>
      <c r="Y37" s="828">
        <v>743</v>
      </c>
      <c r="Z37" s="829">
        <v>1526</v>
      </c>
      <c r="AA37" s="830">
        <f t="shared" si="0"/>
        <v>2269</v>
      </c>
      <c r="AB37" s="831">
        <v>797</v>
      </c>
      <c r="AC37" s="832">
        <v>1385</v>
      </c>
      <c r="AD37" s="830">
        <f t="shared" si="1"/>
        <v>2182</v>
      </c>
      <c r="AE37" s="831">
        <v>831</v>
      </c>
      <c r="AF37" s="832">
        <v>1639</v>
      </c>
      <c r="AG37" s="830">
        <f t="shared" si="2"/>
        <v>2470</v>
      </c>
      <c r="AH37" s="831">
        <v>781</v>
      </c>
      <c r="AI37" s="832">
        <v>1701</v>
      </c>
      <c r="AJ37" s="830">
        <f t="shared" ref="AJ37:AJ47" si="25">SUM(AH37:AI37)</f>
        <v>2482</v>
      </c>
      <c r="AK37" s="831">
        <v>675</v>
      </c>
      <c r="AL37" s="832">
        <v>1848</v>
      </c>
      <c r="AM37" s="830">
        <f t="shared" ref="AM37:AM47" si="26">SUM(AK37:AL37)</f>
        <v>2523</v>
      </c>
      <c r="AN37" s="831">
        <v>781</v>
      </c>
      <c r="AO37" s="832">
        <v>1914</v>
      </c>
      <c r="AP37" s="830">
        <f t="shared" ref="AP37:AP47" si="27">SUM(AN37:AO37)</f>
        <v>2695</v>
      </c>
    </row>
    <row r="38" spans="1:42" s="186" customFormat="1" ht="15" customHeight="1" x14ac:dyDescent="0.25">
      <c r="A38" s="5041"/>
      <c r="B38" s="5050"/>
      <c r="C38" s="813" t="s">
        <v>476</v>
      </c>
      <c r="D38" s="814"/>
      <c r="E38" s="815">
        <v>187</v>
      </c>
      <c r="F38" s="816">
        <v>187</v>
      </c>
      <c r="G38" s="814"/>
      <c r="H38" s="815">
        <v>177</v>
      </c>
      <c r="I38" s="816">
        <v>177</v>
      </c>
      <c r="J38" s="814"/>
      <c r="K38" s="815">
        <v>211</v>
      </c>
      <c r="L38" s="816">
        <v>211</v>
      </c>
      <c r="M38" s="814"/>
      <c r="N38" s="815">
        <v>233</v>
      </c>
      <c r="O38" s="816">
        <v>233</v>
      </c>
      <c r="P38" s="814"/>
      <c r="Q38" s="815">
        <v>281</v>
      </c>
      <c r="R38" s="816">
        <v>281</v>
      </c>
      <c r="S38" s="814"/>
      <c r="T38" s="815">
        <v>225</v>
      </c>
      <c r="U38" s="816">
        <v>225</v>
      </c>
      <c r="V38" s="814"/>
      <c r="W38" s="815">
        <v>284</v>
      </c>
      <c r="X38" s="816">
        <v>284</v>
      </c>
      <c r="Y38" s="814"/>
      <c r="Z38" s="815">
        <v>357</v>
      </c>
      <c r="AA38" s="816">
        <f t="shared" si="0"/>
        <v>357</v>
      </c>
      <c r="AB38" s="817"/>
      <c r="AC38" s="818">
        <v>311</v>
      </c>
      <c r="AD38" s="816">
        <f t="shared" si="1"/>
        <v>311</v>
      </c>
      <c r="AE38" s="817"/>
      <c r="AF38" s="818">
        <v>365</v>
      </c>
      <c r="AG38" s="816">
        <f t="shared" si="2"/>
        <v>365</v>
      </c>
      <c r="AH38" s="817"/>
      <c r="AI38" s="818">
        <v>322</v>
      </c>
      <c r="AJ38" s="816">
        <f t="shared" si="25"/>
        <v>322</v>
      </c>
      <c r="AK38" s="817"/>
      <c r="AL38" s="818">
        <v>301</v>
      </c>
      <c r="AM38" s="816">
        <f t="shared" si="26"/>
        <v>301</v>
      </c>
      <c r="AN38" s="817"/>
      <c r="AO38" s="818">
        <v>323</v>
      </c>
      <c r="AP38" s="816">
        <f t="shared" si="27"/>
        <v>323</v>
      </c>
    </row>
    <row r="39" spans="1:42" s="186" customFormat="1" ht="15" customHeight="1" x14ac:dyDescent="0.25">
      <c r="A39" s="5041"/>
      <c r="B39" s="5050"/>
      <c r="C39" s="813" t="s">
        <v>477</v>
      </c>
      <c r="D39" s="819"/>
      <c r="E39" s="815">
        <v>140</v>
      </c>
      <c r="F39" s="816">
        <v>140</v>
      </c>
      <c r="G39" s="819"/>
      <c r="H39" s="815">
        <v>171</v>
      </c>
      <c r="I39" s="816">
        <v>171</v>
      </c>
      <c r="J39" s="819"/>
      <c r="K39" s="815">
        <v>209</v>
      </c>
      <c r="L39" s="816">
        <v>209</v>
      </c>
      <c r="M39" s="819"/>
      <c r="N39" s="815">
        <v>202</v>
      </c>
      <c r="O39" s="816">
        <v>202</v>
      </c>
      <c r="P39" s="819"/>
      <c r="Q39" s="815">
        <v>226</v>
      </c>
      <c r="R39" s="816">
        <v>226</v>
      </c>
      <c r="S39" s="819"/>
      <c r="T39" s="815">
        <v>259</v>
      </c>
      <c r="U39" s="816">
        <v>259</v>
      </c>
      <c r="V39" s="819"/>
      <c r="W39" s="815">
        <v>242</v>
      </c>
      <c r="X39" s="816">
        <v>242</v>
      </c>
      <c r="Y39" s="819"/>
      <c r="Z39" s="815">
        <v>307</v>
      </c>
      <c r="AA39" s="816">
        <f t="shared" si="0"/>
        <v>307</v>
      </c>
      <c r="AB39" s="817"/>
      <c r="AC39" s="818">
        <v>280</v>
      </c>
      <c r="AD39" s="816">
        <f t="shared" si="1"/>
        <v>280</v>
      </c>
      <c r="AE39" s="817"/>
      <c r="AF39" s="818">
        <v>355</v>
      </c>
      <c r="AG39" s="816">
        <f t="shared" si="2"/>
        <v>355</v>
      </c>
      <c r="AH39" s="817"/>
      <c r="AI39" s="818">
        <v>356</v>
      </c>
      <c r="AJ39" s="816">
        <f t="shared" si="25"/>
        <v>356</v>
      </c>
      <c r="AK39" s="817"/>
      <c r="AL39" s="818">
        <v>313</v>
      </c>
      <c r="AM39" s="816">
        <f t="shared" si="26"/>
        <v>313</v>
      </c>
      <c r="AN39" s="817"/>
      <c r="AO39" s="818">
        <v>351</v>
      </c>
      <c r="AP39" s="816">
        <f t="shared" si="27"/>
        <v>351</v>
      </c>
    </row>
    <row r="40" spans="1:42" s="186" customFormat="1" ht="15" customHeight="1" x14ac:dyDescent="0.25">
      <c r="A40" s="5041"/>
      <c r="B40" s="5050"/>
      <c r="C40" s="813" t="s">
        <v>478</v>
      </c>
      <c r="D40" s="819"/>
      <c r="E40" s="815">
        <v>136</v>
      </c>
      <c r="F40" s="816">
        <v>136</v>
      </c>
      <c r="G40" s="819"/>
      <c r="H40" s="815">
        <v>162</v>
      </c>
      <c r="I40" s="816">
        <v>162</v>
      </c>
      <c r="J40" s="819"/>
      <c r="K40" s="815">
        <v>184</v>
      </c>
      <c r="L40" s="816">
        <v>184</v>
      </c>
      <c r="M40" s="819"/>
      <c r="N40" s="815">
        <v>235</v>
      </c>
      <c r="O40" s="816">
        <v>235</v>
      </c>
      <c r="P40" s="819"/>
      <c r="Q40" s="815">
        <v>245</v>
      </c>
      <c r="R40" s="816">
        <v>245</v>
      </c>
      <c r="S40" s="819"/>
      <c r="T40" s="815">
        <v>317</v>
      </c>
      <c r="U40" s="816">
        <v>317</v>
      </c>
      <c r="V40" s="819"/>
      <c r="W40" s="815">
        <v>277</v>
      </c>
      <c r="X40" s="816">
        <v>277</v>
      </c>
      <c r="Y40" s="819"/>
      <c r="Z40" s="815">
        <v>295</v>
      </c>
      <c r="AA40" s="816">
        <f t="shared" si="0"/>
        <v>295</v>
      </c>
      <c r="AB40" s="817"/>
      <c r="AC40" s="818">
        <v>303</v>
      </c>
      <c r="AD40" s="816">
        <f t="shared" si="1"/>
        <v>303</v>
      </c>
      <c r="AE40" s="817"/>
      <c r="AF40" s="818">
        <v>317</v>
      </c>
      <c r="AG40" s="816">
        <f t="shared" si="2"/>
        <v>317</v>
      </c>
      <c r="AH40" s="817"/>
      <c r="AI40" s="818">
        <v>327</v>
      </c>
      <c r="AJ40" s="816">
        <f t="shared" si="25"/>
        <v>327</v>
      </c>
      <c r="AK40" s="817"/>
      <c r="AL40" s="818">
        <v>319</v>
      </c>
      <c r="AM40" s="816">
        <f t="shared" si="26"/>
        <v>319</v>
      </c>
      <c r="AN40" s="817"/>
      <c r="AO40" s="818">
        <v>269</v>
      </c>
      <c r="AP40" s="816">
        <f t="shared" si="27"/>
        <v>269</v>
      </c>
    </row>
    <row r="41" spans="1:42" s="186" customFormat="1" ht="15" customHeight="1" x14ac:dyDescent="0.25">
      <c r="A41" s="5041"/>
      <c r="B41" s="5050"/>
      <c r="C41" s="813" t="s">
        <v>464</v>
      </c>
      <c r="D41" s="814"/>
      <c r="E41" s="815">
        <v>183</v>
      </c>
      <c r="F41" s="816">
        <v>183</v>
      </c>
      <c r="G41" s="814"/>
      <c r="H41" s="815">
        <v>184</v>
      </c>
      <c r="I41" s="816">
        <v>184</v>
      </c>
      <c r="J41" s="814"/>
      <c r="K41" s="815">
        <v>237</v>
      </c>
      <c r="L41" s="816">
        <v>237</v>
      </c>
      <c r="M41" s="814"/>
      <c r="N41" s="815">
        <v>225</v>
      </c>
      <c r="O41" s="816">
        <v>225</v>
      </c>
      <c r="P41" s="814"/>
      <c r="Q41" s="815">
        <v>276</v>
      </c>
      <c r="R41" s="816">
        <v>276</v>
      </c>
      <c r="S41" s="814"/>
      <c r="T41" s="815">
        <v>370</v>
      </c>
      <c r="U41" s="816">
        <v>370</v>
      </c>
      <c r="V41" s="814"/>
      <c r="W41" s="815">
        <v>380</v>
      </c>
      <c r="X41" s="816">
        <v>380</v>
      </c>
      <c r="Y41" s="814"/>
      <c r="Z41" s="815">
        <v>375</v>
      </c>
      <c r="AA41" s="816">
        <f t="shared" si="0"/>
        <v>375</v>
      </c>
      <c r="AB41" s="817"/>
      <c r="AC41" s="818">
        <v>344</v>
      </c>
      <c r="AD41" s="816">
        <f t="shared" si="1"/>
        <v>344</v>
      </c>
      <c r="AE41" s="817"/>
      <c r="AF41" s="818">
        <v>452</v>
      </c>
      <c r="AG41" s="816">
        <f t="shared" si="2"/>
        <v>452</v>
      </c>
      <c r="AH41" s="817"/>
      <c r="AI41" s="818">
        <v>432</v>
      </c>
      <c r="AJ41" s="816">
        <f t="shared" si="25"/>
        <v>432</v>
      </c>
      <c r="AK41" s="817"/>
      <c r="AL41" s="818">
        <v>390</v>
      </c>
      <c r="AM41" s="816">
        <f t="shared" si="26"/>
        <v>390</v>
      </c>
      <c r="AN41" s="817"/>
      <c r="AO41" s="818">
        <v>438</v>
      </c>
      <c r="AP41" s="816">
        <f t="shared" si="27"/>
        <v>438</v>
      </c>
    </row>
    <row r="42" spans="1:42" s="186" customFormat="1" ht="15" customHeight="1" x14ac:dyDescent="0.25">
      <c r="A42" s="5041"/>
      <c r="B42" s="5050"/>
      <c r="C42" s="813" t="s">
        <v>465</v>
      </c>
      <c r="D42" s="814"/>
      <c r="E42" s="815">
        <v>163</v>
      </c>
      <c r="F42" s="816">
        <v>163</v>
      </c>
      <c r="G42" s="814"/>
      <c r="H42" s="815">
        <v>157</v>
      </c>
      <c r="I42" s="816">
        <v>157</v>
      </c>
      <c r="J42" s="814"/>
      <c r="K42" s="815">
        <v>179</v>
      </c>
      <c r="L42" s="816">
        <v>179</v>
      </c>
      <c r="M42" s="814"/>
      <c r="N42" s="815">
        <v>174</v>
      </c>
      <c r="O42" s="816">
        <v>174</v>
      </c>
      <c r="P42" s="814"/>
      <c r="Q42" s="815">
        <v>183</v>
      </c>
      <c r="R42" s="816">
        <v>183</v>
      </c>
      <c r="S42" s="814"/>
      <c r="T42" s="815">
        <v>274</v>
      </c>
      <c r="U42" s="816">
        <v>274</v>
      </c>
      <c r="V42" s="814"/>
      <c r="W42" s="815">
        <v>292</v>
      </c>
      <c r="X42" s="816">
        <v>292</v>
      </c>
      <c r="Y42" s="814"/>
      <c r="Z42" s="815">
        <v>330</v>
      </c>
      <c r="AA42" s="816">
        <f t="shared" si="0"/>
        <v>330</v>
      </c>
      <c r="AB42" s="817"/>
      <c r="AC42" s="818">
        <v>296</v>
      </c>
      <c r="AD42" s="816">
        <f t="shared" si="1"/>
        <v>296</v>
      </c>
      <c r="AE42" s="817"/>
      <c r="AF42" s="818">
        <v>434</v>
      </c>
      <c r="AG42" s="816">
        <f t="shared" si="2"/>
        <v>434</v>
      </c>
      <c r="AH42" s="817"/>
      <c r="AI42" s="818">
        <v>410</v>
      </c>
      <c r="AJ42" s="816">
        <f t="shared" si="25"/>
        <v>410</v>
      </c>
      <c r="AK42" s="817"/>
      <c r="AL42" s="818">
        <v>347</v>
      </c>
      <c r="AM42" s="816">
        <f t="shared" si="26"/>
        <v>347</v>
      </c>
      <c r="AN42" s="817"/>
      <c r="AO42" s="818">
        <v>353</v>
      </c>
      <c r="AP42" s="816">
        <f t="shared" si="27"/>
        <v>353</v>
      </c>
    </row>
    <row r="43" spans="1:42" s="186" customFormat="1" ht="15" customHeight="1" x14ac:dyDescent="0.25">
      <c r="A43" s="5041"/>
      <c r="B43" s="5050"/>
      <c r="C43" s="813" t="s">
        <v>479</v>
      </c>
      <c r="D43" s="814"/>
      <c r="E43" s="815">
        <v>191</v>
      </c>
      <c r="F43" s="816">
        <v>191</v>
      </c>
      <c r="G43" s="814"/>
      <c r="H43" s="815">
        <v>249</v>
      </c>
      <c r="I43" s="816">
        <v>249</v>
      </c>
      <c r="J43" s="814"/>
      <c r="K43" s="815">
        <v>270</v>
      </c>
      <c r="L43" s="816">
        <v>270</v>
      </c>
      <c r="M43" s="814"/>
      <c r="N43" s="815">
        <v>295</v>
      </c>
      <c r="O43" s="816">
        <v>295</v>
      </c>
      <c r="P43" s="814"/>
      <c r="Q43" s="815">
        <v>284</v>
      </c>
      <c r="R43" s="816">
        <v>284</v>
      </c>
      <c r="S43" s="814"/>
      <c r="T43" s="815">
        <v>383</v>
      </c>
      <c r="U43" s="816">
        <v>383</v>
      </c>
      <c r="V43" s="814"/>
      <c r="W43" s="815">
        <v>488</v>
      </c>
      <c r="X43" s="816">
        <v>488</v>
      </c>
      <c r="Y43" s="814"/>
      <c r="Z43" s="815">
        <v>559</v>
      </c>
      <c r="AA43" s="816">
        <f t="shared" si="0"/>
        <v>559</v>
      </c>
      <c r="AB43" s="817"/>
      <c r="AC43" s="818">
        <v>545</v>
      </c>
      <c r="AD43" s="816">
        <f t="shared" si="1"/>
        <v>545</v>
      </c>
      <c r="AE43" s="817"/>
      <c r="AF43" s="818">
        <v>505</v>
      </c>
      <c r="AG43" s="816">
        <f t="shared" si="2"/>
        <v>505</v>
      </c>
      <c r="AH43" s="817"/>
      <c r="AI43" s="818">
        <v>490</v>
      </c>
      <c r="AJ43" s="816">
        <f t="shared" si="25"/>
        <v>490</v>
      </c>
      <c r="AK43" s="817"/>
      <c r="AL43" s="818">
        <v>442</v>
      </c>
      <c r="AM43" s="816">
        <f t="shared" si="26"/>
        <v>442</v>
      </c>
      <c r="AN43" s="817"/>
      <c r="AO43" s="818">
        <v>462</v>
      </c>
      <c r="AP43" s="816">
        <f t="shared" si="27"/>
        <v>462</v>
      </c>
    </row>
    <row r="44" spans="1:42" s="186" customFormat="1" ht="15" customHeight="1" x14ac:dyDescent="0.25">
      <c r="A44" s="5041"/>
      <c r="B44" s="5050"/>
      <c r="C44" s="813" t="s">
        <v>480</v>
      </c>
      <c r="D44" s="814"/>
      <c r="E44" s="815">
        <v>92</v>
      </c>
      <c r="F44" s="816">
        <v>92</v>
      </c>
      <c r="G44" s="814"/>
      <c r="H44" s="815">
        <v>89</v>
      </c>
      <c r="I44" s="816">
        <v>89</v>
      </c>
      <c r="J44" s="814"/>
      <c r="K44" s="815">
        <v>105</v>
      </c>
      <c r="L44" s="816">
        <v>105</v>
      </c>
      <c r="M44" s="814"/>
      <c r="N44" s="815">
        <v>98</v>
      </c>
      <c r="O44" s="816">
        <v>98</v>
      </c>
      <c r="P44" s="814"/>
      <c r="Q44" s="815">
        <v>125</v>
      </c>
      <c r="R44" s="816">
        <v>125</v>
      </c>
      <c r="S44" s="814"/>
      <c r="T44" s="815">
        <v>134</v>
      </c>
      <c r="U44" s="816">
        <v>134</v>
      </c>
      <c r="V44" s="814"/>
      <c r="W44" s="815">
        <v>168</v>
      </c>
      <c r="X44" s="816">
        <v>168</v>
      </c>
      <c r="Y44" s="814"/>
      <c r="Z44" s="815">
        <v>202</v>
      </c>
      <c r="AA44" s="816">
        <f t="shared" si="0"/>
        <v>202</v>
      </c>
      <c r="AB44" s="817"/>
      <c r="AC44" s="818">
        <v>199</v>
      </c>
      <c r="AD44" s="816">
        <f t="shared" si="1"/>
        <v>199</v>
      </c>
      <c r="AE44" s="817"/>
      <c r="AF44" s="818">
        <v>241</v>
      </c>
      <c r="AG44" s="816">
        <f t="shared" si="2"/>
        <v>241</v>
      </c>
      <c r="AH44" s="817"/>
      <c r="AI44" s="818">
        <v>248</v>
      </c>
      <c r="AJ44" s="816">
        <f t="shared" si="25"/>
        <v>248</v>
      </c>
      <c r="AK44" s="817"/>
      <c r="AL44" s="818">
        <v>282</v>
      </c>
      <c r="AM44" s="816">
        <f t="shared" si="26"/>
        <v>282</v>
      </c>
      <c r="AN44" s="817"/>
      <c r="AO44" s="818">
        <v>282</v>
      </c>
      <c r="AP44" s="816">
        <f t="shared" si="27"/>
        <v>282</v>
      </c>
    </row>
    <row r="45" spans="1:42" s="186" customFormat="1" ht="15" customHeight="1" x14ac:dyDescent="0.25">
      <c r="A45" s="5041"/>
      <c r="B45" s="5050"/>
      <c r="C45" s="813" t="s">
        <v>481</v>
      </c>
      <c r="D45" s="814"/>
      <c r="E45" s="815">
        <v>443</v>
      </c>
      <c r="F45" s="816">
        <v>443</v>
      </c>
      <c r="G45" s="814"/>
      <c r="H45" s="815">
        <v>378</v>
      </c>
      <c r="I45" s="816">
        <v>378</v>
      </c>
      <c r="J45" s="814"/>
      <c r="K45" s="815">
        <v>486</v>
      </c>
      <c r="L45" s="816">
        <v>486</v>
      </c>
      <c r="M45" s="814"/>
      <c r="N45" s="815">
        <v>635</v>
      </c>
      <c r="O45" s="816">
        <v>635</v>
      </c>
      <c r="P45" s="814"/>
      <c r="Q45" s="815">
        <v>564</v>
      </c>
      <c r="R45" s="816">
        <v>564</v>
      </c>
      <c r="S45" s="814"/>
      <c r="T45" s="815">
        <v>557</v>
      </c>
      <c r="U45" s="816">
        <v>557</v>
      </c>
      <c r="V45" s="814"/>
      <c r="W45" s="815">
        <v>649</v>
      </c>
      <c r="X45" s="816">
        <v>649</v>
      </c>
      <c r="Y45" s="814"/>
      <c r="Z45" s="815">
        <v>666</v>
      </c>
      <c r="AA45" s="816">
        <f t="shared" si="0"/>
        <v>666</v>
      </c>
      <c r="AB45" s="817"/>
      <c r="AC45" s="818">
        <v>621</v>
      </c>
      <c r="AD45" s="816">
        <f t="shared" si="1"/>
        <v>621</v>
      </c>
      <c r="AE45" s="817"/>
      <c r="AF45" s="818">
        <v>773</v>
      </c>
      <c r="AG45" s="816">
        <f t="shared" si="2"/>
        <v>773</v>
      </c>
      <c r="AH45" s="817"/>
      <c r="AI45" s="818">
        <v>689</v>
      </c>
      <c r="AJ45" s="816">
        <f t="shared" si="25"/>
        <v>689</v>
      </c>
      <c r="AK45" s="817"/>
      <c r="AL45" s="818">
        <v>657</v>
      </c>
      <c r="AM45" s="816">
        <f t="shared" si="26"/>
        <v>657</v>
      </c>
      <c r="AN45" s="817"/>
      <c r="AO45" s="818">
        <v>682</v>
      </c>
      <c r="AP45" s="816">
        <f t="shared" si="27"/>
        <v>682</v>
      </c>
    </row>
    <row r="46" spans="1:42" s="186" customFormat="1" ht="15" customHeight="1" x14ac:dyDescent="0.25">
      <c r="A46" s="5041"/>
      <c r="B46" s="5050"/>
      <c r="C46" s="813" t="s">
        <v>482</v>
      </c>
      <c r="D46" s="814">
        <v>340</v>
      </c>
      <c r="E46" s="815">
        <v>679</v>
      </c>
      <c r="F46" s="816">
        <v>1019</v>
      </c>
      <c r="G46" s="814">
        <v>284</v>
      </c>
      <c r="H46" s="815">
        <v>575</v>
      </c>
      <c r="I46" s="816">
        <v>859</v>
      </c>
      <c r="J46" s="814">
        <v>373</v>
      </c>
      <c r="K46" s="815">
        <v>740</v>
      </c>
      <c r="L46" s="816">
        <v>1113</v>
      </c>
      <c r="M46" s="814">
        <v>404</v>
      </c>
      <c r="N46" s="815">
        <v>856</v>
      </c>
      <c r="O46" s="816">
        <v>1260</v>
      </c>
      <c r="P46" s="814">
        <v>435</v>
      </c>
      <c r="Q46" s="815">
        <v>886</v>
      </c>
      <c r="R46" s="816">
        <v>1321</v>
      </c>
      <c r="S46" s="814">
        <v>513</v>
      </c>
      <c r="T46" s="815">
        <v>991</v>
      </c>
      <c r="U46" s="816">
        <v>1504</v>
      </c>
      <c r="V46" s="814">
        <v>538</v>
      </c>
      <c r="W46" s="815">
        <v>1084</v>
      </c>
      <c r="X46" s="816">
        <v>1622</v>
      </c>
      <c r="Y46" s="814">
        <v>633</v>
      </c>
      <c r="Z46" s="815">
        <v>1254</v>
      </c>
      <c r="AA46" s="816">
        <f t="shared" si="0"/>
        <v>1887</v>
      </c>
      <c r="AB46" s="817">
        <v>726</v>
      </c>
      <c r="AC46" s="818">
        <v>1301</v>
      </c>
      <c r="AD46" s="816">
        <f t="shared" si="1"/>
        <v>2027</v>
      </c>
      <c r="AE46" s="817">
        <v>724</v>
      </c>
      <c r="AF46" s="818">
        <v>1496</v>
      </c>
      <c r="AG46" s="816">
        <f t="shared" si="2"/>
        <v>2220</v>
      </c>
      <c r="AH46" s="817">
        <v>689</v>
      </c>
      <c r="AI46" s="818">
        <v>1590</v>
      </c>
      <c r="AJ46" s="816">
        <f t="shared" si="25"/>
        <v>2279</v>
      </c>
      <c r="AK46" s="817">
        <v>617</v>
      </c>
      <c r="AL46" s="818">
        <v>1478</v>
      </c>
      <c r="AM46" s="816">
        <f t="shared" si="26"/>
        <v>2095</v>
      </c>
      <c r="AN46" s="817">
        <v>635</v>
      </c>
      <c r="AO46" s="818">
        <v>1515</v>
      </c>
      <c r="AP46" s="816">
        <f t="shared" si="27"/>
        <v>2150</v>
      </c>
    </row>
    <row r="47" spans="1:42" s="186" customFormat="1" ht="15" customHeight="1" x14ac:dyDescent="0.25">
      <c r="A47" s="5041"/>
      <c r="B47" s="5050"/>
      <c r="C47" s="822" t="s">
        <v>483</v>
      </c>
      <c r="D47" s="823"/>
      <c r="E47" s="1519">
        <v>113</v>
      </c>
      <c r="F47" s="825">
        <v>113</v>
      </c>
      <c r="G47" s="1520"/>
      <c r="H47" s="1519">
        <v>92</v>
      </c>
      <c r="I47" s="825">
        <v>92</v>
      </c>
      <c r="J47" s="823"/>
      <c r="K47" s="824">
        <v>99</v>
      </c>
      <c r="L47" s="825">
        <v>99</v>
      </c>
      <c r="M47" s="823"/>
      <c r="N47" s="824">
        <v>99</v>
      </c>
      <c r="O47" s="825">
        <v>99</v>
      </c>
      <c r="P47" s="823"/>
      <c r="Q47" s="824">
        <v>99</v>
      </c>
      <c r="R47" s="825">
        <v>99</v>
      </c>
      <c r="S47" s="823"/>
      <c r="T47" s="824">
        <v>121</v>
      </c>
      <c r="U47" s="825">
        <v>121</v>
      </c>
      <c r="V47" s="823"/>
      <c r="W47" s="824">
        <v>126</v>
      </c>
      <c r="X47" s="825">
        <v>126</v>
      </c>
      <c r="Y47" s="823"/>
      <c r="Z47" s="824">
        <v>151</v>
      </c>
      <c r="AA47" s="825">
        <f t="shared" si="0"/>
        <v>151</v>
      </c>
      <c r="AB47" s="826"/>
      <c r="AC47" s="824">
        <v>215</v>
      </c>
      <c r="AD47" s="825">
        <f t="shared" si="1"/>
        <v>215</v>
      </c>
      <c r="AE47" s="826"/>
      <c r="AF47" s="824">
        <v>181</v>
      </c>
      <c r="AG47" s="825">
        <f t="shared" si="2"/>
        <v>181</v>
      </c>
      <c r="AH47" s="826"/>
      <c r="AI47" s="824">
        <v>172</v>
      </c>
      <c r="AJ47" s="825">
        <f t="shared" si="25"/>
        <v>172</v>
      </c>
      <c r="AK47" s="817"/>
      <c r="AL47" s="824">
        <v>167</v>
      </c>
      <c r="AM47" s="825">
        <f t="shared" si="26"/>
        <v>167</v>
      </c>
      <c r="AN47" s="817"/>
      <c r="AO47" s="824">
        <v>150</v>
      </c>
      <c r="AP47" s="825">
        <f t="shared" si="27"/>
        <v>150</v>
      </c>
    </row>
    <row r="48" spans="1:42" s="186" customFormat="1" ht="15" customHeight="1" x14ac:dyDescent="0.25">
      <c r="A48" s="5041"/>
      <c r="B48" s="5051"/>
      <c r="C48" s="875" t="s">
        <v>160</v>
      </c>
      <c r="D48" s="876">
        <f>SUM(D37:D47)</f>
        <v>1046</v>
      </c>
      <c r="E48" s="1522">
        <f t="shared" ref="E48:AG48" si="28">SUM(E37:E47)</f>
        <v>3757</v>
      </c>
      <c r="F48" s="586">
        <f t="shared" si="28"/>
        <v>4803</v>
      </c>
      <c r="G48" s="876">
        <f t="shared" si="28"/>
        <v>913</v>
      </c>
      <c r="H48" s="1522">
        <f t="shared" si="28"/>
        <v>3561</v>
      </c>
      <c r="I48" s="586">
        <f t="shared" si="28"/>
        <v>4474</v>
      </c>
      <c r="J48" s="876">
        <f t="shared" si="28"/>
        <v>1024</v>
      </c>
      <c r="K48" s="1522">
        <f t="shared" si="28"/>
        <v>3941</v>
      </c>
      <c r="L48" s="586">
        <f t="shared" si="28"/>
        <v>4965</v>
      </c>
      <c r="M48" s="876">
        <f t="shared" si="28"/>
        <v>1060</v>
      </c>
      <c r="N48" s="1522">
        <f t="shared" si="28"/>
        <v>4203</v>
      </c>
      <c r="O48" s="586">
        <f t="shared" si="28"/>
        <v>5263</v>
      </c>
      <c r="P48" s="876">
        <f t="shared" si="28"/>
        <v>1072</v>
      </c>
      <c r="Q48" s="1522">
        <f t="shared" si="28"/>
        <v>4348</v>
      </c>
      <c r="R48" s="586">
        <f t="shared" si="28"/>
        <v>5420</v>
      </c>
      <c r="S48" s="876">
        <f t="shared" si="28"/>
        <v>1146</v>
      </c>
      <c r="T48" s="1522">
        <f t="shared" si="28"/>
        <v>4829</v>
      </c>
      <c r="U48" s="586">
        <f t="shared" si="28"/>
        <v>5975</v>
      </c>
      <c r="V48" s="876">
        <f t="shared" si="28"/>
        <v>1197</v>
      </c>
      <c r="W48" s="1522">
        <f t="shared" si="28"/>
        <v>5275</v>
      </c>
      <c r="X48" s="586">
        <f t="shared" si="28"/>
        <v>6472</v>
      </c>
      <c r="Y48" s="876">
        <f t="shared" si="28"/>
        <v>1376</v>
      </c>
      <c r="Z48" s="1522">
        <f t="shared" si="28"/>
        <v>6022</v>
      </c>
      <c r="AA48" s="586">
        <f t="shared" si="28"/>
        <v>7398</v>
      </c>
      <c r="AB48" s="876">
        <f t="shared" si="28"/>
        <v>1523</v>
      </c>
      <c r="AC48" s="1522">
        <f t="shared" si="28"/>
        <v>5800</v>
      </c>
      <c r="AD48" s="586">
        <f t="shared" si="28"/>
        <v>7323</v>
      </c>
      <c r="AE48" s="876">
        <f t="shared" si="28"/>
        <v>1555</v>
      </c>
      <c r="AF48" s="1522">
        <f t="shared" si="28"/>
        <v>6758</v>
      </c>
      <c r="AG48" s="586">
        <f t="shared" si="28"/>
        <v>8313</v>
      </c>
      <c r="AH48" s="876">
        <f t="shared" ref="AH48:AM48" si="29">SUM(AH37:AH47)</f>
        <v>1470</v>
      </c>
      <c r="AI48" s="1522">
        <f t="shared" si="29"/>
        <v>6737</v>
      </c>
      <c r="AJ48" s="586">
        <f t="shared" si="29"/>
        <v>8207</v>
      </c>
      <c r="AK48" s="2328">
        <f>SUM(AK37:AK47)</f>
        <v>1292</v>
      </c>
      <c r="AL48" s="2332">
        <f>SUM(AL37:AL47)</f>
        <v>6544</v>
      </c>
      <c r="AM48" s="586">
        <f t="shared" si="29"/>
        <v>7836</v>
      </c>
      <c r="AN48" s="2328">
        <f>SUM(AN37:AN47)</f>
        <v>1416</v>
      </c>
      <c r="AO48" s="2332">
        <f>SUM(AO37:AO47)</f>
        <v>6739</v>
      </c>
      <c r="AP48" s="586">
        <f t="shared" ref="AP48" si="30">SUM(AP37:AP47)</f>
        <v>8155</v>
      </c>
    </row>
    <row r="49" spans="1:42" s="186" customFormat="1" ht="15" customHeight="1" x14ac:dyDescent="0.25">
      <c r="A49" s="5041"/>
      <c r="B49" s="5049" t="s">
        <v>11</v>
      </c>
      <c r="C49" s="827" t="s">
        <v>484</v>
      </c>
      <c r="D49" s="828">
        <v>64</v>
      </c>
      <c r="E49" s="829">
        <v>116</v>
      </c>
      <c r="F49" s="830">
        <v>180</v>
      </c>
      <c r="G49" s="828">
        <v>68</v>
      </c>
      <c r="H49" s="829">
        <v>158</v>
      </c>
      <c r="I49" s="830">
        <v>226</v>
      </c>
      <c r="J49" s="828">
        <v>94</v>
      </c>
      <c r="K49" s="829">
        <v>212</v>
      </c>
      <c r="L49" s="830">
        <v>306</v>
      </c>
      <c r="M49" s="828">
        <v>111</v>
      </c>
      <c r="N49" s="829">
        <v>232</v>
      </c>
      <c r="O49" s="830">
        <v>343</v>
      </c>
      <c r="P49" s="828">
        <v>118</v>
      </c>
      <c r="Q49" s="829">
        <v>235</v>
      </c>
      <c r="R49" s="830">
        <v>353</v>
      </c>
      <c r="S49" s="828">
        <v>156</v>
      </c>
      <c r="T49" s="829">
        <v>352</v>
      </c>
      <c r="U49" s="830">
        <v>508</v>
      </c>
      <c r="V49" s="828">
        <v>170</v>
      </c>
      <c r="W49" s="829">
        <v>364</v>
      </c>
      <c r="X49" s="830">
        <v>534</v>
      </c>
      <c r="Y49" s="828">
        <v>158</v>
      </c>
      <c r="Z49" s="829">
        <v>434</v>
      </c>
      <c r="AA49" s="830">
        <f t="shared" si="0"/>
        <v>592</v>
      </c>
      <c r="AB49" s="831">
        <v>230</v>
      </c>
      <c r="AC49" s="832">
        <v>412</v>
      </c>
      <c r="AD49" s="830">
        <f t="shared" si="1"/>
        <v>642</v>
      </c>
      <c r="AE49" s="831">
        <v>232</v>
      </c>
      <c r="AF49" s="832">
        <v>495</v>
      </c>
      <c r="AG49" s="830">
        <f t="shared" si="2"/>
        <v>727</v>
      </c>
      <c r="AH49" s="831">
        <v>193</v>
      </c>
      <c r="AI49" s="832">
        <v>514</v>
      </c>
      <c r="AJ49" s="830">
        <f t="shared" ref="AJ49:AJ54" si="31">SUM(AH49:AI49)</f>
        <v>707</v>
      </c>
      <c r="AK49" s="831">
        <v>206</v>
      </c>
      <c r="AL49" s="832">
        <v>577</v>
      </c>
      <c r="AM49" s="830">
        <f t="shared" ref="AM49:AM54" si="32">SUM(AK49:AL49)</f>
        <v>783</v>
      </c>
      <c r="AN49" s="831">
        <v>248</v>
      </c>
      <c r="AO49" s="832">
        <v>605</v>
      </c>
      <c r="AP49" s="830">
        <f t="shared" ref="AP49:AP54" si="33">SUM(AN49:AO49)</f>
        <v>853</v>
      </c>
    </row>
    <row r="50" spans="1:42" s="186" customFormat="1" ht="15" customHeight="1" x14ac:dyDescent="0.25">
      <c r="A50" s="5041"/>
      <c r="B50" s="5050"/>
      <c r="C50" s="813" t="s">
        <v>485</v>
      </c>
      <c r="D50" s="814">
        <v>73</v>
      </c>
      <c r="E50" s="815">
        <v>159</v>
      </c>
      <c r="F50" s="816">
        <v>232</v>
      </c>
      <c r="G50" s="814">
        <v>66</v>
      </c>
      <c r="H50" s="815">
        <v>133</v>
      </c>
      <c r="I50" s="816">
        <v>199</v>
      </c>
      <c r="J50" s="814">
        <v>54</v>
      </c>
      <c r="K50" s="815">
        <v>142</v>
      </c>
      <c r="L50" s="816">
        <v>196</v>
      </c>
      <c r="M50" s="814">
        <v>69</v>
      </c>
      <c r="N50" s="815">
        <v>144</v>
      </c>
      <c r="O50" s="816">
        <v>213</v>
      </c>
      <c r="P50" s="814">
        <v>68</v>
      </c>
      <c r="Q50" s="815">
        <v>139</v>
      </c>
      <c r="R50" s="816">
        <v>207</v>
      </c>
      <c r="S50" s="814">
        <v>78</v>
      </c>
      <c r="T50" s="815">
        <v>203</v>
      </c>
      <c r="U50" s="816">
        <v>281</v>
      </c>
      <c r="V50" s="814">
        <v>106</v>
      </c>
      <c r="W50" s="815">
        <v>233</v>
      </c>
      <c r="X50" s="816">
        <v>339</v>
      </c>
      <c r="Y50" s="814">
        <v>107</v>
      </c>
      <c r="Z50" s="815">
        <v>258</v>
      </c>
      <c r="AA50" s="816">
        <f t="shared" si="0"/>
        <v>365</v>
      </c>
      <c r="AB50" s="817">
        <v>123</v>
      </c>
      <c r="AC50" s="818">
        <v>263</v>
      </c>
      <c r="AD50" s="816">
        <f t="shared" si="1"/>
        <v>386</v>
      </c>
      <c r="AE50" s="817">
        <v>125</v>
      </c>
      <c r="AF50" s="818">
        <v>287</v>
      </c>
      <c r="AG50" s="816">
        <f t="shared" si="2"/>
        <v>412</v>
      </c>
      <c r="AH50" s="817">
        <v>135</v>
      </c>
      <c r="AI50" s="818">
        <v>295</v>
      </c>
      <c r="AJ50" s="816">
        <f t="shared" si="31"/>
        <v>430</v>
      </c>
      <c r="AK50" s="817">
        <v>114</v>
      </c>
      <c r="AL50" s="818">
        <v>331</v>
      </c>
      <c r="AM50" s="816">
        <f t="shared" si="32"/>
        <v>445</v>
      </c>
      <c r="AN50" s="817">
        <v>140</v>
      </c>
      <c r="AO50" s="818">
        <v>325</v>
      </c>
      <c r="AP50" s="816">
        <f t="shared" si="33"/>
        <v>465</v>
      </c>
    </row>
    <row r="51" spans="1:42" s="186" customFormat="1" ht="15" customHeight="1" x14ac:dyDescent="0.25">
      <c r="A51" s="5041"/>
      <c r="B51" s="5050"/>
      <c r="C51" s="813" t="s">
        <v>486</v>
      </c>
      <c r="D51" s="814"/>
      <c r="E51" s="815">
        <v>91</v>
      </c>
      <c r="F51" s="816">
        <v>91</v>
      </c>
      <c r="G51" s="814"/>
      <c r="H51" s="815">
        <v>67</v>
      </c>
      <c r="I51" s="816">
        <v>67</v>
      </c>
      <c r="J51" s="814"/>
      <c r="K51" s="815">
        <v>99</v>
      </c>
      <c r="L51" s="816">
        <v>99</v>
      </c>
      <c r="M51" s="814"/>
      <c r="N51" s="815">
        <v>117</v>
      </c>
      <c r="O51" s="816">
        <v>117</v>
      </c>
      <c r="P51" s="814"/>
      <c r="Q51" s="815">
        <v>89</v>
      </c>
      <c r="R51" s="816">
        <v>89</v>
      </c>
      <c r="S51" s="814"/>
      <c r="T51" s="815">
        <v>88</v>
      </c>
      <c r="U51" s="816">
        <v>88</v>
      </c>
      <c r="V51" s="821"/>
      <c r="W51" s="815">
        <v>165</v>
      </c>
      <c r="X51" s="816">
        <v>165</v>
      </c>
      <c r="Y51" s="821">
        <v>61</v>
      </c>
      <c r="Z51" s="815">
        <v>181</v>
      </c>
      <c r="AA51" s="816">
        <f t="shared" si="0"/>
        <v>242</v>
      </c>
      <c r="AB51" s="817">
        <v>90</v>
      </c>
      <c r="AC51" s="818">
        <v>189</v>
      </c>
      <c r="AD51" s="816">
        <f t="shared" si="1"/>
        <v>279</v>
      </c>
      <c r="AE51" s="817">
        <v>84</v>
      </c>
      <c r="AF51" s="818">
        <v>168</v>
      </c>
      <c r="AG51" s="816">
        <f t="shared" si="2"/>
        <v>252</v>
      </c>
      <c r="AH51" s="817">
        <v>88</v>
      </c>
      <c r="AI51" s="818">
        <v>202</v>
      </c>
      <c r="AJ51" s="816">
        <f t="shared" si="31"/>
        <v>290</v>
      </c>
      <c r="AK51" s="817">
        <v>85</v>
      </c>
      <c r="AL51" s="818">
        <v>239</v>
      </c>
      <c r="AM51" s="816">
        <f t="shared" si="32"/>
        <v>324</v>
      </c>
      <c r="AN51" s="817">
        <v>97</v>
      </c>
      <c r="AO51" s="818">
        <v>236</v>
      </c>
      <c r="AP51" s="816">
        <f t="shared" si="33"/>
        <v>333</v>
      </c>
    </row>
    <row r="52" spans="1:42" s="186" customFormat="1" ht="15" customHeight="1" x14ac:dyDescent="0.25">
      <c r="A52" s="5041"/>
      <c r="B52" s="5050"/>
      <c r="C52" s="813" t="s">
        <v>487</v>
      </c>
      <c r="D52" s="814"/>
      <c r="E52" s="815">
        <v>33</v>
      </c>
      <c r="F52" s="816">
        <v>33</v>
      </c>
      <c r="G52" s="814"/>
      <c r="H52" s="815">
        <v>37</v>
      </c>
      <c r="I52" s="816">
        <v>37</v>
      </c>
      <c r="J52" s="814"/>
      <c r="K52" s="815">
        <v>43</v>
      </c>
      <c r="L52" s="816">
        <v>43</v>
      </c>
      <c r="M52" s="814"/>
      <c r="N52" s="815">
        <v>46</v>
      </c>
      <c r="O52" s="816">
        <v>46</v>
      </c>
      <c r="P52" s="814"/>
      <c r="Q52" s="815">
        <v>61</v>
      </c>
      <c r="R52" s="816">
        <v>61</v>
      </c>
      <c r="S52" s="814"/>
      <c r="T52" s="815">
        <v>49</v>
      </c>
      <c r="U52" s="816">
        <v>49</v>
      </c>
      <c r="V52" s="821"/>
      <c r="W52" s="815">
        <v>80</v>
      </c>
      <c r="X52" s="816">
        <v>80</v>
      </c>
      <c r="Y52" s="821">
        <v>52</v>
      </c>
      <c r="Z52" s="815">
        <v>87</v>
      </c>
      <c r="AA52" s="816">
        <f t="shared" si="0"/>
        <v>139</v>
      </c>
      <c r="AB52" s="817">
        <v>56</v>
      </c>
      <c r="AC52" s="818">
        <v>91</v>
      </c>
      <c r="AD52" s="816">
        <f t="shared" si="1"/>
        <v>147</v>
      </c>
      <c r="AE52" s="817">
        <v>52</v>
      </c>
      <c r="AF52" s="818">
        <v>117</v>
      </c>
      <c r="AG52" s="816">
        <f t="shared" si="2"/>
        <v>169</v>
      </c>
      <c r="AH52" s="817">
        <v>65</v>
      </c>
      <c r="AI52" s="818">
        <v>158</v>
      </c>
      <c r="AJ52" s="816">
        <f t="shared" si="31"/>
        <v>223</v>
      </c>
      <c r="AK52" s="817">
        <v>65</v>
      </c>
      <c r="AL52" s="818">
        <v>176</v>
      </c>
      <c r="AM52" s="816">
        <f t="shared" si="32"/>
        <v>241</v>
      </c>
      <c r="AN52" s="817">
        <v>81</v>
      </c>
      <c r="AO52" s="818">
        <v>162</v>
      </c>
      <c r="AP52" s="816">
        <f t="shared" si="33"/>
        <v>243</v>
      </c>
    </row>
    <row r="53" spans="1:42" s="186" customFormat="1" ht="15" customHeight="1" x14ac:dyDescent="0.25">
      <c r="A53" s="5041"/>
      <c r="B53" s="5050"/>
      <c r="C53" s="813" t="s">
        <v>488</v>
      </c>
      <c r="D53" s="814">
        <v>79</v>
      </c>
      <c r="E53" s="815">
        <v>156</v>
      </c>
      <c r="F53" s="816">
        <v>235</v>
      </c>
      <c r="G53" s="814">
        <v>64</v>
      </c>
      <c r="H53" s="815">
        <v>168</v>
      </c>
      <c r="I53" s="816">
        <v>232</v>
      </c>
      <c r="J53" s="814">
        <v>65</v>
      </c>
      <c r="K53" s="815">
        <v>135</v>
      </c>
      <c r="L53" s="816">
        <v>200</v>
      </c>
      <c r="M53" s="814">
        <v>61</v>
      </c>
      <c r="N53" s="815">
        <v>171</v>
      </c>
      <c r="O53" s="816">
        <v>232</v>
      </c>
      <c r="P53" s="814">
        <v>67</v>
      </c>
      <c r="Q53" s="815">
        <v>176</v>
      </c>
      <c r="R53" s="816">
        <v>243</v>
      </c>
      <c r="S53" s="814">
        <v>81</v>
      </c>
      <c r="T53" s="815">
        <v>234</v>
      </c>
      <c r="U53" s="816">
        <v>315</v>
      </c>
      <c r="V53" s="814">
        <v>115</v>
      </c>
      <c r="W53" s="815">
        <v>297</v>
      </c>
      <c r="X53" s="816">
        <v>412</v>
      </c>
      <c r="Y53" s="814">
        <v>92</v>
      </c>
      <c r="Z53" s="815">
        <v>286</v>
      </c>
      <c r="AA53" s="816">
        <f t="shared" si="0"/>
        <v>378</v>
      </c>
      <c r="AB53" s="817">
        <v>141</v>
      </c>
      <c r="AC53" s="818">
        <v>294</v>
      </c>
      <c r="AD53" s="816">
        <f t="shared" si="1"/>
        <v>435</v>
      </c>
      <c r="AE53" s="817">
        <v>138</v>
      </c>
      <c r="AF53" s="818">
        <v>352</v>
      </c>
      <c r="AG53" s="816">
        <f t="shared" si="2"/>
        <v>490</v>
      </c>
      <c r="AH53" s="817">
        <v>126</v>
      </c>
      <c r="AI53" s="818">
        <v>352</v>
      </c>
      <c r="AJ53" s="816">
        <f t="shared" si="31"/>
        <v>478</v>
      </c>
      <c r="AK53" s="817">
        <v>138</v>
      </c>
      <c r="AL53" s="818">
        <v>342</v>
      </c>
      <c r="AM53" s="816">
        <f t="shared" si="32"/>
        <v>480</v>
      </c>
      <c r="AN53" s="817">
        <v>143</v>
      </c>
      <c r="AO53" s="818">
        <v>378</v>
      </c>
      <c r="AP53" s="816">
        <f t="shared" si="33"/>
        <v>521</v>
      </c>
    </row>
    <row r="54" spans="1:42" s="186" customFormat="1" ht="15" customHeight="1" x14ac:dyDescent="0.25">
      <c r="A54" s="5041"/>
      <c r="B54" s="5050"/>
      <c r="C54" s="822" t="s">
        <v>489</v>
      </c>
      <c r="D54" s="823">
        <v>124</v>
      </c>
      <c r="E54" s="1519">
        <v>299</v>
      </c>
      <c r="F54" s="825">
        <v>423</v>
      </c>
      <c r="G54" s="1520">
        <v>134</v>
      </c>
      <c r="H54" s="1519">
        <v>354</v>
      </c>
      <c r="I54" s="825">
        <v>488</v>
      </c>
      <c r="J54" s="823">
        <v>126</v>
      </c>
      <c r="K54" s="824">
        <v>390</v>
      </c>
      <c r="L54" s="825">
        <v>516</v>
      </c>
      <c r="M54" s="823">
        <v>173</v>
      </c>
      <c r="N54" s="824">
        <v>360</v>
      </c>
      <c r="O54" s="825">
        <v>533</v>
      </c>
      <c r="P54" s="823">
        <v>148</v>
      </c>
      <c r="Q54" s="824">
        <v>344</v>
      </c>
      <c r="R54" s="825">
        <v>492</v>
      </c>
      <c r="S54" s="823">
        <v>183</v>
      </c>
      <c r="T54" s="824">
        <v>472</v>
      </c>
      <c r="U54" s="825">
        <v>655</v>
      </c>
      <c r="V54" s="823">
        <v>190</v>
      </c>
      <c r="W54" s="824">
        <v>476</v>
      </c>
      <c r="X54" s="825">
        <v>666</v>
      </c>
      <c r="Y54" s="823">
        <v>194</v>
      </c>
      <c r="Z54" s="824">
        <v>484</v>
      </c>
      <c r="AA54" s="825">
        <f t="shared" si="0"/>
        <v>678</v>
      </c>
      <c r="AB54" s="826">
        <v>246</v>
      </c>
      <c r="AC54" s="824">
        <v>469</v>
      </c>
      <c r="AD54" s="825">
        <f t="shared" si="1"/>
        <v>715</v>
      </c>
      <c r="AE54" s="826">
        <v>227</v>
      </c>
      <c r="AF54" s="824">
        <v>551</v>
      </c>
      <c r="AG54" s="825">
        <f t="shared" si="2"/>
        <v>778</v>
      </c>
      <c r="AH54" s="826">
        <v>203</v>
      </c>
      <c r="AI54" s="824">
        <v>499</v>
      </c>
      <c r="AJ54" s="825">
        <f t="shared" si="31"/>
        <v>702</v>
      </c>
      <c r="AK54" s="817">
        <v>174</v>
      </c>
      <c r="AL54" s="824">
        <v>526</v>
      </c>
      <c r="AM54" s="825">
        <f t="shared" si="32"/>
        <v>700</v>
      </c>
      <c r="AN54" s="817">
        <v>178</v>
      </c>
      <c r="AO54" s="824">
        <v>522</v>
      </c>
      <c r="AP54" s="825">
        <f t="shared" si="33"/>
        <v>700</v>
      </c>
    </row>
    <row r="55" spans="1:42" s="186" customFormat="1" ht="15" customHeight="1" x14ac:dyDescent="0.25">
      <c r="A55" s="5041"/>
      <c r="B55" s="5050"/>
      <c r="C55" s="869" t="s">
        <v>160</v>
      </c>
      <c r="D55" s="870">
        <f>SUM(D49:D54)</f>
        <v>340</v>
      </c>
      <c r="E55" s="1521">
        <f t="shared" ref="E55:AG55" si="34">SUM(E49:E54)</f>
        <v>854</v>
      </c>
      <c r="F55" s="872">
        <f t="shared" si="34"/>
        <v>1194</v>
      </c>
      <c r="G55" s="870">
        <f t="shared" si="34"/>
        <v>332</v>
      </c>
      <c r="H55" s="1521">
        <f t="shared" si="34"/>
        <v>917</v>
      </c>
      <c r="I55" s="872">
        <f t="shared" si="34"/>
        <v>1249</v>
      </c>
      <c r="J55" s="870">
        <f t="shared" si="34"/>
        <v>339</v>
      </c>
      <c r="K55" s="1521">
        <f t="shared" si="34"/>
        <v>1021</v>
      </c>
      <c r="L55" s="872">
        <f t="shared" si="34"/>
        <v>1360</v>
      </c>
      <c r="M55" s="870">
        <f t="shared" si="34"/>
        <v>414</v>
      </c>
      <c r="N55" s="1521">
        <f t="shared" si="34"/>
        <v>1070</v>
      </c>
      <c r="O55" s="872">
        <f t="shared" si="34"/>
        <v>1484</v>
      </c>
      <c r="P55" s="870">
        <f t="shared" si="34"/>
        <v>401</v>
      </c>
      <c r="Q55" s="1521">
        <f t="shared" si="34"/>
        <v>1044</v>
      </c>
      <c r="R55" s="872">
        <f t="shared" si="34"/>
        <v>1445</v>
      </c>
      <c r="S55" s="870">
        <f t="shared" si="34"/>
        <v>498</v>
      </c>
      <c r="T55" s="1521">
        <f t="shared" si="34"/>
        <v>1398</v>
      </c>
      <c r="U55" s="872">
        <f t="shared" si="34"/>
        <v>1896</v>
      </c>
      <c r="V55" s="870">
        <f t="shared" si="34"/>
        <v>581</v>
      </c>
      <c r="W55" s="1521">
        <f t="shared" si="34"/>
        <v>1615</v>
      </c>
      <c r="X55" s="872">
        <f t="shared" si="34"/>
        <v>2196</v>
      </c>
      <c r="Y55" s="870">
        <f t="shared" si="34"/>
        <v>664</v>
      </c>
      <c r="Z55" s="1521">
        <f t="shared" si="34"/>
        <v>1730</v>
      </c>
      <c r="AA55" s="872">
        <f t="shared" si="34"/>
        <v>2394</v>
      </c>
      <c r="AB55" s="870">
        <f t="shared" si="34"/>
        <v>886</v>
      </c>
      <c r="AC55" s="1521">
        <f t="shared" si="34"/>
        <v>1718</v>
      </c>
      <c r="AD55" s="872">
        <f t="shared" si="34"/>
        <v>2604</v>
      </c>
      <c r="AE55" s="870">
        <f t="shared" si="34"/>
        <v>858</v>
      </c>
      <c r="AF55" s="1521">
        <f t="shared" si="34"/>
        <v>1970</v>
      </c>
      <c r="AG55" s="872">
        <f t="shared" si="34"/>
        <v>2828</v>
      </c>
      <c r="AH55" s="870">
        <f t="shared" ref="AH55:AM55" si="35">SUM(AH49:AH54)</f>
        <v>810</v>
      </c>
      <c r="AI55" s="1521">
        <f t="shared" si="35"/>
        <v>2020</v>
      </c>
      <c r="AJ55" s="872">
        <f t="shared" si="35"/>
        <v>2830</v>
      </c>
      <c r="AK55" s="2328">
        <f>SUM(AK49:AK54)</f>
        <v>782</v>
      </c>
      <c r="AL55" s="2332">
        <f>SUM(AL49:AL54)</f>
        <v>2191</v>
      </c>
      <c r="AM55" s="872">
        <f t="shared" si="35"/>
        <v>2973</v>
      </c>
      <c r="AN55" s="2328">
        <f>SUM(AN49:AN54)</f>
        <v>887</v>
      </c>
      <c r="AO55" s="2332">
        <f>SUM(AO49:AO54)</f>
        <v>2228</v>
      </c>
      <c r="AP55" s="872">
        <f t="shared" ref="AP55" si="36">SUM(AP49:AP54)</f>
        <v>3115</v>
      </c>
    </row>
    <row r="56" spans="1:42" s="186" customFormat="1" ht="15" customHeight="1" x14ac:dyDescent="0.25">
      <c r="A56" s="5042"/>
      <c r="B56" s="3981"/>
      <c r="C56" s="2440" t="s">
        <v>450</v>
      </c>
      <c r="D56" s="2441">
        <f>SUM(D55,D48,D36)</f>
        <v>2545</v>
      </c>
      <c r="E56" s="2442">
        <f t="shared" ref="E56:AG56" si="37">SUM(E55,E48,E36)</f>
        <v>7051</v>
      </c>
      <c r="F56" s="2443">
        <f t="shared" si="37"/>
        <v>9596</v>
      </c>
      <c r="G56" s="2441">
        <f t="shared" si="37"/>
        <v>2147</v>
      </c>
      <c r="H56" s="2442">
        <f t="shared" si="37"/>
        <v>6528</v>
      </c>
      <c r="I56" s="2443">
        <f t="shared" si="37"/>
        <v>8675</v>
      </c>
      <c r="J56" s="2441">
        <f t="shared" si="37"/>
        <v>2341</v>
      </c>
      <c r="K56" s="2442">
        <f t="shared" si="37"/>
        <v>7216</v>
      </c>
      <c r="L56" s="2443">
        <f t="shared" si="37"/>
        <v>9557</v>
      </c>
      <c r="M56" s="2441">
        <f t="shared" si="37"/>
        <v>2536</v>
      </c>
      <c r="N56" s="2442">
        <f t="shared" si="37"/>
        <v>7220</v>
      </c>
      <c r="O56" s="2443">
        <f t="shared" si="37"/>
        <v>9756</v>
      </c>
      <c r="P56" s="2441">
        <f t="shared" si="37"/>
        <v>2323</v>
      </c>
      <c r="Q56" s="2442">
        <f t="shared" si="37"/>
        <v>7395</v>
      </c>
      <c r="R56" s="2443">
        <f t="shared" si="37"/>
        <v>9718</v>
      </c>
      <c r="S56" s="2441">
        <f t="shared" si="37"/>
        <v>2609</v>
      </c>
      <c r="T56" s="2442">
        <f t="shared" si="37"/>
        <v>8315</v>
      </c>
      <c r="U56" s="2443">
        <f t="shared" si="37"/>
        <v>10924</v>
      </c>
      <c r="V56" s="2441">
        <f t="shared" si="37"/>
        <v>2761</v>
      </c>
      <c r="W56" s="2442">
        <f t="shared" si="37"/>
        <v>9276</v>
      </c>
      <c r="X56" s="2443">
        <f t="shared" si="37"/>
        <v>12037</v>
      </c>
      <c r="Y56" s="2441">
        <f t="shared" si="37"/>
        <v>2309</v>
      </c>
      <c r="Z56" s="2442">
        <f t="shared" si="37"/>
        <v>10587</v>
      </c>
      <c r="AA56" s="2443">
        <f t="shared" si="37"/>
        <v>12896</v>
      </c>
      <c r="AB56" s="2441">
        <f t="shared" si="37"/>
        <v>2725</v>
      </c>
      <c r="AC56" s="2442">
        <f t="shared" si="37"/>
        <v>10283</v>
      </c>
      <c r="AD56" s="2443">
        <f t="shared" si="37"/>
        <v>13008</v>
      </c>
      <c r="AE56" s="2441">
        <f t="shared" si="37"/>
        <v>2733</v>
      </c>
      <c r="AF56" s="2442">
        <f t="shared" si="37"/>
        <v>11998</v>
      </c>
      <c r="AG56" s="2443">
        <f t="shared" si="37"/>
        <v>14731</v>
      </c>
      <c r="AH56" s="2441">
        <f t="shared" ref="AH56:AM56" si="38">SUM(AH55,AH48,AH36)</f>
        <v>2665</v>
      </c>
      <c r="AI56" s="2442">
        <f t="shared" si="38"/>
        <v>12025</v>
      </c>
      <c r="AJ56" s="2443">
        <f t="shared" si="38"/>
        <v>14690</v>
      </c>
      <c r="AK56" s="2441">
        <f t="shared" si="38"/>
        <v>2434</v>
      </c>
      <c r="AL56" s="2442">
        <f t="shared" si="38"/>
        <v>12009</v>
      </c>
      <c r="AM56" s="2443">
        <f t="shared" si="38"/>
        <v>14443</v>
      </c>
      <c r="AN56" s="2441">
        <f t="shared" ref="AN56:AP56" si="39">SUM(AN55,AN48,AN36)</f>
        <v>2739</v>
      </c>
      <c r="AO56" s="2442">
        <f t="shared" si="39"/>
        <v>12662</v>
      </c>
      <c r="AP56" s="2443">
        <f t="shared" si="39"/>
        <v>15401</v>
      </c>
    </row>
    <row r="57" spans="1:42" s="186" customFormat="1" ht="15" customHeight="1" x14ac:dyDescent="0.25">
      <c r="A57" s="5043" t="s">
        <v>448</v>
      </c>
      <c r="B57" s="5052" t="s">
        <v>6</v>
      </c>
      <c r="C57" s="807" t="s">
        <v>462</v>
      </c>
      <c r="D57" s="808">
        <v>916</v>
      </c>
      <c r="E57" s="809">
        <v>1693</v>
      </c>
      <c r="F57" s="810">
        <v>2609</v>
      </c>
      <c r="G57" s="808">
        <v>818</v>
      </c>
      <c r="H57" s="809">
        <v>1585</v>
      </c>
      <c r="I57" s="810">
        <v>2403</v>
      </c>
      <c r="J57" s="808">
        <v>938</v>
      </c>
      <c r="K57" s="809">
        <v>1775</v>
      </c>
      <c r="L57" s="810">
        <v>2713</v>
      </c>
      <c r="M57" s="808">
        <v>861</v>
      </c>
      <c r="N57" s="809">
        <v>1513</v>
      </c>
      <c r="O57" s="810">
        <v>2374</v>
      </c>
      <c r="P57" s="808">
        <v>887</v>
      </c>
      <c r="Q57" s="809">
        <v>1566</v>
      </c>
      <c r="R57" s="810">
        <v>2453</v>
      </c>
      <c r="S57" s="808">
        <v>957</v>
      </c>
      <c r="T57" s="809">
        <v>1589</v>
      </c>
      <c r="U57" s="810">
        <v>2546</v>
      </c>
      <c r="V57" s="808">
        <v>940</v>
      </c>
      <c r="W57" s="809">
        <v>1713</v>
      </c>
      <c r="X57" s="810">
        <v>2653</v>
      </c>
      <c r="Y57" s="808">
        <v>933</v>
      </c>
      <c r="Z57" s="809">
        <v>1866</v>
      </c>
      <c r="AA57" s="810">
        <f t="shared" si="0"/>
        <v>2799</v>
      </c>
      <c r="AB57" s="811">
        <v>1074</v>
      </c>
      <c r="AC57" s="812">
        <v>1774</v>
      </c>
      <c r="AD57" s="810">
        <f t="shared" si="1"/>
        <v>2848</v>
      </c>
      <c r="AE57" s="811">
        <v>1069</v>
      </c>
      <c r="AF57" s="812">
        <v>1915</v>
      </c>
      <c r="AG57" s="810">
        <f t="shared" si="2"/>
        <v>2984</v>
      </c>
      <c r="AH57" s="811">
        <v>913</v>
      </c>
      <c r="AI57" s="812">
        <v>1877</v>
      </c>
      <c r="AJ57" s="810">
        <f t="shared" ref="AJ57:AJ62" si="40">SUM(AH57:AI57)</f>
        <v>2790</v>
      </c>
      <c r="AK57" s="811">
        <v>804</v>
      </c>
      <c r="AL57" s="812">
        <v>1888</v>
      </c>
      <c r="AM57" s="810">
        <f t="shared" ref="AM57:AM62" si="41">SUM(AK57:AL57)</f>
        <v>2692</v>
      </c>
      <c r="AN57" s="811">
        <v>904</v>
      </c>
      <c r="AO57" s="812">
        <v>1972</v>
      </c>
      <c r="AP57" s="810">
        <f t="shared" ref="AP57:AP62" si="42">SUM(AN57:AO57)</f>
        <v>2876</v>
      </c>
    </row>
    <row r="58" spans="1:42" s="186" customFormat="1" ht="15" customHeight="1" x14ac:dyDescent="0.25">
      <c r="A58" s="5044"/>
      <c r="B58" s="5053"/>
      <c r="C58" s="813" t="s">
        <v>490</v>
      </c>
      <c r="D58" s="814">
        <v>735</v>
      </c>
      <c r="E58" s="815">
        <v>1705</v>
      </c>
      <c r="F58" s="816">
        <v>2440</v>
      </c>
      <c r="G58" s="814">
        <v>693</v>
      </c>
      <c r="H58" s="815">
        <v>1694</v>
      </c>
      <c r="I58" s="816">
        <v>2387</v>
      </c>
      <c r="J58" s="814">
        <v>725</v>
      </c>
      <c r="K58" s="815">
        <v>1691</v>
      </c>
      <c r="L58" s="816">
        <v>2416</v>
      </c>
      <c r="M58" s="814">
        <v>734</v>
      </c>
      <c r="N58" s="815">
        <v>1438</v>
      </c>
      <c r="O58" s="816">
        <v>2172</v>
      </c>
      <c r="P58" s="814">
        <v>723</v>
      </c>
      <c r="Q58" s="815">
        <v>1284</v>
      </c>
      <c r="R58" s="816">
        <v>2007</v>
      </c>
      <c r="S58" s="814">
        <v>723</v>
      </c>
      <c r="T58" s="815">
        <v>1205</v>
      </c>
      <c r="U58" s="816">
        <v>1928</v>
      </c>
      <c r="V58" s="814">
        <v>778</v>
      </c>
      <c r="W58" s="815">
        <v>1253</v>
      </c>
      <c r="X58" s="816">
        <v>2031</v>
      </c>
      <c r="Y58" s="814">
        <v>725</v>
      </c>
      <c r="Z58" s="815">
        <v>1377</v>
      </c>
      <c r="AA58" s="816">
        <f t="shared" si="0"/>
        <v>2102</v>
      </c>
      <c r="AB58" s="817">
        <v>787</v>
      </c>
      <c r="AC58" s="818">
        <v>1360</v>
      </c>
      <c r="AD58" s="816">
        <f t="shared" si="1"/>
        <v>2147</v>
      </c>
      <c r="AE58" s="817">
        <v>856</v>
      </c>
      <c r="AF58" s="818">
        <v>1560</v>
      </c>
      <c r="AG58" s="816">
        <f t="shared" si="2"/>
        <v>2416</v>
      </c>
      <c r="AH58" s="817">
        <v>776</v>
      </c>
      <c r="AI58" s="818">
        <v>1417</v>
      </c>
      <c r="AJ58" s="816">
        <f t="shared" si="40"/>
        <v>2193</v>
      </c>
      <c r="AK58" s="817">
        <v>698</v>
      </c>
      <c r="AL58" s="818">
        <v>1411</v>
      </c>
      <c r="AM58" s="816">
        <f t="shared" si="41"/>
        <v>2109</v>
      </c>
      <c r="AN58" s="817">
        <v>687</v>
      </c>
      <c r="AO58" s="818">
        <v>1358</v>
      </c>
      <c r="AP58" s="816">
        <f t="shared" si="42"/>
        <v>2045</v>
      </c>
    </row>
    <row r="59" spans="1:42" s="186" customFormat="1" ht="15" customHeight="1" x14ac:dyDescent="0.25">
      <c r="A59" s="5044"/>
      <c r="B59" s="5053"/>
      <c r="C59" s="813" t="s">
        <v>464</v>
      </c>
      <c r="D59" s="814">
        <v>201</v>
      </c>
      <c r="E59" s="815">
        <v>345</v>
      </c>
      <c r="F59" s="816">
        <v>546</v>
      </c>
      <c r="G59" s="814">
        <v>170</v>
      </c>
      <c r="H59" s="815">
        <v>378</v>
      </c>
      <c r="I59" s="816">
        <v>548</v>
      </c>
      <c r="J59" s="814">
        <v>171</v>
      </c>
      <c r="K59" s="815">
        <v>320</v>
      </c>
      <c r="L59" s="816">
        <v>491</v>
      </c>
      <c r="M59" s="814">
        <v>169</v>
      </c>
      <c r="N59" s="815">
        <v>284</v>
      </c>
      <c r="O59" s="816">
        <v>453</v>
      </c>
      <c r="P59" s="814">
        <v>215</v>
      </c>
      <c r="Q59" s="815">
        <v>319</v>
      </c>
      <c r="R59" s="816">
        <v>534</v>
      </c>
      <c r="S59" s="814">
        <v>238</v>
      </c>
      <c r="T59" s="815">
        <v>445</v>
      </c>
      <c r="U59" s="816">
        <v>683</v>
      </c>
      <c r="V59" s="814">
        <v>321</v>
      </c>
      <c r="W59" s="815">
        <v>463</v>
      </c>
      <c r="X59" s="816">
        <v>784</v>
      </c>
      <c r="Y59" s="814">
        <v>309</v>
      </c>
      <c r="Z59" s="815">
        <v>482</v>
      </c>
      <c r="AA59" s="816">
        <f t="shared" si="0"/>
        <v>791</v>
      </c>
      <c r="AB59" s="817">
        <v>291</v>
      </c>
      <c r="AC59" s="818">
        <v>480</v>
      </c>
      <c r="AD59" s="816">
        <f t="shared" si="1"/>
        <v>771</v>
      </c>
      <c r="AE59" s="817">
        <v>291</v>
      </c>
      <c r="AF59" s="818">
        <v>500</v>
      </c>
      <c r="AG59" s="816">
        <f t="shared" si="2"/>
        <v>791</v>
      </c>
      <c r="AH59" s="817">
        <v>248</v>
      </c>
      <c r="AI59" s="818">
        <v>522</v>
      </c>
      <c r="AJ59" s="816">
        <f t="shared" si="40"/>
        <v>770</v>
      </c>
      <c r="AK59" s="817">
        <v>234</v>
      </c>
      <c r="AL59" s="818">
        <v>478</v>
      </c>
      <c r="AM59" s="816">
        <f t="shared" si="41"/>
        <v>712</v>
      </c>
      <c r="AN59" s="817">
        <v>269</v>
      </c>
      <c r="AO59" s="818">
        <v>526</v>
      </c>
      <c r="AP59" s="816">
        <f t="shared" si="42"/>
        <v>795</v>
      </c>
    </row>
    <row r="60" spans="1:42" s="186" customFormat="1" ht="15" customHeight="1" x14ac:dyDescent="0.25">
      <c r="A60" s="5044"/>
      <c r="B60" s="5053"/>
      <c r="C60" s="813" t="s">
        <v>491</v>
      </c>
      <c r="D60" s="814">
        <v>1038</v>
      </c>
      <c r="E60" s="815">
        <v>2355</v>
      </c>
      <c r="F60" s="816">
        <v>3393</v>
      </c>
      <c r="G60" s="814">
        <v>1034</v>
      </c>
      <c r="H60" s="815">
        <v>2188</v>
      </c>
      <c r="I60" s="816">
        <v>3222</v>
      </c>
      <c r="J60" s="814">
        <v>1231</v>
      </c>
      <c r="K60" s="815">
        <v>2609</v>
      </c>
      <c r="L60" s="816">
        <v>3840</v>
      </c>
      <c r="M60" s="814">
        <v>1303</v>
      </c>
      <c r="N60" s="815">
        <v>2480</v>
      </c>
      <c r="O60" s="816">
        <v>3783</v>
      </c>
      <c r="P60" s="814">
        <v>1218</v>
      </c>
      <c r="Q60" s="815">
        <v>2619</v>
      </c>
      <c r="R60" s="816">
        <v>3837</v>
      </c>
      <c r="S60" s="814">
        <v>1406</v>
      </c>
      <c r="T60" s="815">
        <v>2522</v>
      </c>
      <c r="U60" s="816">
        <v>3928</v>
      </c>
      <c r="V60" s="814">
        <v>1522</v>
      </c>
      <c r="W60" s="815">
        <v>2800</v>
      </c>
      <c r="X60" s="816">
        <v>4322</v>
      </c>
      <c r="Y60" s="814">
        <v>1567</v>
      </c>
      <c r="Z60" s="815">
        <v>3185</v>
      </c>
      <c r="AA60" s="816">
        <f t="shared" si="0"/>
        <v>4752</v>
      </c>
      <c r="AB60" s="817">
        <v>1748</v>
      </c>
      <c r="AC60" s="818">
        <v>3293</v>
      </c>
      <c r="AD60" s="816">
        <f t="shared" si="1"/>
        <v>5041</v>
      </c>
      <c r="AE60" s="817">
        <v>1780</v>
      </c>
      <c r="AF60" s="818">
        <v>3461</v>
      </c>
      <c r="AG60" s="816">
        <f t="shared" si="2"/>
        <v>5241</v>
      </c>
      <c r="AH60" s="817">
        <v>1607</v>
      </c>
      <c r="AI60" s="818">
        <v>3484</v>
      </c>
      <c r="AJ60" s="816">
        <f t="shared" si="40"/>
        <v>5091</v>
      </c>
      <c r="AK60" s="817">
        <v>1311</v>
      </c>
      <c r="AL60" s="818">
        <v>3378</v>
      </c>
      <c r="AM60" s="816">
        <f t="shared" si="41"/>
        <v>4689</v>
      </c>
      <c r="AN60" s="817">
        <v>1464</v>
      </c>
      <c r="AO60" s="818">
        <v>3278</v>
      </c>
      <c r="AP60" s="816">
        <f t="shared" si="42"/>
        <v>4742</v>
      </c>
    </row>
    <row r="61" spans="1:42" s="186" customFormat="1" ht="15" customHeight="1" x14ac:dyDescent="0.25">
      <c r="A61" s="5044"/>
      <c r="B61" s="5053"/>
      <c r="C61" s="813" t="s">
        <v>465</v>
      </c>
      <c r="D61" s="814">
        <v>140</v>
      </c>
      <c r="E61" s="815">
        <v>282</v>
      </c>
      <c r="F61" s="816">
        <v>422</v>
      </c>
      <c r="G61" s="814">
        <v>174</v>
      </c>
      <c r="H61" s="815">
        <v>242</v>
      </c>
      <c r="I61" s="816">
        <v>416</v>
      </c>
      <c r="J61" s="814">
        <v>182</v>
      </c>
      <c r="K61" s="815">
        <v>301</v>
      </c>
      <c r="L61" s="816">
        <v>483</v>
      </c>
      <c r="M61" s="814">
        <v>206</v>
      </c>
      <c r="N61" s="815">
        <v>250</v>
      </c>
      <c r="O61" s="816">
        <v>456</v>
      </c>
      <c r="P61" s="814">
        <v>188</v>
      </c>
      <c r="Q61" s="815">
        <v>323</v>
      </c>
      <c r="R61" s="816">
        <v>511</v>
      </c>
      <c r="S61" s="814">
        <v>238</v>
      </c>
      <c r="T61" s="815">
        <v>485</v>
      </c>
      <c r="U61" s="816">
        <v>723</v>
      </c>
      <c r="V61" s="814">
        <v>318</v>
      </c>
      <c r="W61" s="815">
        <v>410</v>
      </c>
      <c r="X61" s="816">
        <v>728</v>
      </c>
      <c r="Y61" s="814">
        <v>324</v>
      </c>
      <c r="Z61" s="815">
        <v>399</v>
      </c>
      <c r="AA61" s="816">
        <f t="shared" si="0"/>
        <v>723</v>
      </c>
      <c r="AB61" s="817">
        <v>326</v>
      </c>
      <c r="AC61" s="818">
        <v>385</v>
      </c>
      <c r="AD61" s="816">
        <f t="shared" si="1"/>
        <v>711</v>
      </c>
      <c r="AE61" s="817">
        <v>307</v>
      </c>
      <c r="AF61" s="818">
        <v>488</v>
      </c>
      <c r="AG61" s="816">
        <f t="shared" si="2"/>
        <v>795</v>
      </c>
      <c r="AH61" s="817">
        <v>312</v>
      </c>
      <c r="AI61" s="818">
        <v>440</v>
      </c>
      <c r="AJ61" s="816">
        <f t="shared" si="40"/>
        <v>752</v>
      </c>
      <c r="AK61" s="817">
        <v>243</v>
      </c>
      <c r="AL61" s="818">
        <v>385</v>
      </c>
      <c r="AM61" s="816">
        <f t="shared" si="41"/>
        <v>628</v>
      </c>
      <c r="AN61" s="817">
        <v>252</v>
      </c>
      <c r="AO61" s="818">
        <v>384</v>
      </c>
      <c r="AP61" s="816">
        <f t="shared" si="42"/>
        <v>636</v>
      </c>
    </row>
    <row r="62" spans="1:42" s="186" customFormat="1" ht="15" customHeight="1" x14ac:dyDescent="0.25">
      <c r="A62" s="5044"/>
      <c r="B62" s="5053"/>
      <c r="C62" s="822" t="s">
        <v>492</v>
      </c>
      <c r="D62" s="823">
        <v>184</v>
      </c>
      <c r="E62" s="1519">
        <v>315</v>
      </c>
      <c r="F62" s="825">
        <v>499</v>
      </c>
      <c r="G62" s="1520">
        <v>178</v>
      </c>
      <c r="H62" s="1519">
        <v>332</v>
      </c>
      <c r="I62" s="825">
        <v>510</v>
      </c>
      <c r="J62" s="823">
        <v>177</v>
      </c>
      <c r="K62" s="824">
        <v>266</v>
      </c>
      <c r="L62" s="825">
        <v>443</v>
      </c>
      <c r="M62" s="823">
        <v>193</v>
      </c>
      <c r="N62" s="824">
        <v>262</v>
      </c>
      <c r="O62" s="825">
        <v>455</v>
      </c>
      <c r="P62" s="823">
        <v>195</v>
      </c>
      <c r="Q62" s="824">
        <v>254</v>
      </c>
      <c r="R62" s="825">
        <v>449</v>
      </c>
      <c r="S62" s="823">
        <v>198</v>
      </c>
      <c r="T62" s="824">
        <v>292</v>
      </c>
      <c r="U62" s="825">
        <v>490</v>
      </c>
      <c r="V62" s="823">
        <v>203</v>
      </c>
      <c r="W62" s="824">
        <v>297</v>
      </c>
      <c r="X62" s="825">
        <v>500</v>
      </c>
      <c r="Y62" s="823">
        <v>198</v>
      </c>
      <c r="Z62" s="824">
        <v>305</v>
      </c>
      <c r="AA62" s="825">
        <f t="shared" si="0"/>
        <v>503</v>
      </c>
      <c r="AB62" s="826">
        <v>204</v>
      </c>
      <c r="AC62" s="824">
        <v>261</v>
      </c>
      <c r="AD62" s="825">
        <f t="shared" si="1"/>
        <v>465</v>
      </c>
      <c r="AE62" s="826">
        <v>229</v>
      </c>
      <c r="AF62" s="824">
        <v>360</v>
      </c>
      <c r="AG62" s="825">
        <f t="shared" si="2"/>
        <v>589</v>
      </c>
      <c r="AH62" s="826">
        <v>199</v>
      </c>
      <c r="AI62" s="824">
        <v>348</v>
      </c>
      <c r="AJ62" s="825">
        <f t="shared" si="40"/>
        <v>547</v>
      </c>
      <c r="AK62" s="817">
        <v>170</v>
      </c>
      <c r="AL62" s="824">
        <v>330</v>
      </c>
      <c r="AM62" s="825">
        <f t="shared" si="41"/>
        <v>500</v>
      </c>
      <c r="AN62" s="817">
        <v>182</v>
      </c>
      <c r="AO62" s="824">
        <v>327</v>
      </c>
      <c r="AP62" s="825">
        <f t="shared" si="42"/>
        <v>509</v>
      </c>
    </row>
    <row r="63" spans="1:42" s="186" customFormat="1" ht="15" customHeight="1" x14ac:dyDescent="0.25">
      <c r="A63" s="5044"/>
      <c r="B63" s="5054"/>
      <c r="C63" s="875" t="s">
        <v>160</v>
      </c>
      <c r="D63" s="876">
        <f>SUM(D57:D62)</f>
        <v>3214</v>
      </c>
      <c r="E63" s="1522">
        <f t="shared" ref="E63:AG63" si="43">SUM(E57:E62)</f>
        <v>6695</v>
      </c>
      <c r="F63" s="586">
        <f t="shared" si="43"/>
        <v>9909</v>
      </c>
      <c r="G63" s="876">
        <f t="shared" si="43"/>
        <v>3067</v>
      </c>
      <c r="H63" s="1522">
        <f t="shared" si="43"/>
        <v>6419</v>
      </c>
      <c r="I63" s="586">
        <f t="shared" si="43"/>
        <v>9486</v>
      </c>
      <c r="J63" s="876">
        <f t="shared" si="43"/>
        <v>3424</v>
      </c>
      <c r="K63" s="1522">
        <f t="shared" si="43"/>
        <v>6962</v>
      </c>
      <c r="L63" s="586">
        <f t="shared" si="43"/>
        <v>10386</v>
      </c>
      <c r="M63" s="876">
        <f t="shared" si="43"/>
        <v>3466</v>
      </c>
      <c r="N63" s="1522">
        <f t="shared" si="43"/>
        <v>6227</v>
      </c>
      <c r="O63" s="586">
        <f t="shared" si="43"/>
        <v>9693</v>
      </c>
      <c r="P63" s="876">
        <f t="shared" si="43"/>
        <v>3426</v>
      </c>
      <c r="Q63" s="1522">
        <f t="shared" si="43"/>
        <v>6365</v>
      </c>
      <c r="R63" s="586">
        <f t="shared" si="43"/>
        <v>9791</v>
      </c>
      <c r="S63" s="876">
        <f t="shared" si="43"/>
        <v>3760</v>
      </c>
      <c r="T63" s="1522">
        <f t="shared" si="43"/>
        <v>6538</v>
      </c>
      <c r="U63" s="586">
        <f t="shared" si="43"/>
        <v>10298</v>
      </c>
      <c r="V63" s="876">
        <f t="shared" si="43"/>
        <v>4082</v>
      </c>
      <c r="W63" s="1522">
        <f t="shared" si="43"/>
        <v>6936</v>
      </c>
      <c r="X63" s="586">
        <f t="shared" si="43"/>
        <v>11018</v>
      </c>
      <c r="Y63" s="876">
        <f t="shared" si="43"/>
        <v>4056</v>
      </c>
      <c r="Z63" s="1522">
        <f t="shared" si="43"/>
        <v>7614</v>
      </c>
      <c r="AA63" s="586">
        <f t="shared" si="43"/>
        <v>11670</v>
      </c>
      <c r="AB63" s="876">
        <f t="shared" si="43"/>
        <v>4430</v>
      </c>
      <c r="AC63" s="1522">
        <f t="shared" si="43"/>
        <v>7553</v>
      </c>
      <c r="AD63" s="586">
        <f t="shared" si="43"/>
        <v>11983</v>
      </c>
      <c r="AE63" s="876">
        <f t="shared" si="43"/>
        <v>4532</v>
      </c>
      <c r="AF63" s="1522">
        <f t="shared" si="43"/>
        <v>8284</v>
      </c>
      <c r="AG63" s="586">
        <f t="shared" si="43"/>
        <v>12816</v>
      </c>
      <c r="AH63" s="876">
        <f t="shared" ref="AH63:AM63" si="44">SUM(AH57:AH62)</f>
        <v>4055</v>
      </c>
      <c r="AI63" s="1522">
        <f t="shared" si="44"/>
        <v>8088</v>
      </c>
      <c r="AJ63" s="586">
        <f t="shared" si="44"/>
        <v>12143</v>
      </c>
      <c r="AK63" s="2328">
        <f>SUM(AK57:AK62)</f>
        <v>3460</v>
      </c>
      <c r="AL63" s="2332">
        <f>SUM(AL57:AL62)</f>
        <v>7870</v>
      </c>
      <c r="AM63" s="586">
        <f t="shared" si="44"/>
        <v>11330</v>
      </c>
      <c r="AN63" s="2328">
        <f>SUM(AN57:AN62)</f>
        <v>3758</v>
      </c>
      <c r="AO63" s="2332">
        <f>SUM(AO57:AO62)</f>
        <v>7845</v>
      </c>
      <c r="AP63" s="586">
        <f t="shared" ref="AP63" si="45">SUM(AP57:AP62)</f>
        <v>11603</v>
      </c>
    </row>
    <row r="64" spans="1:42" s="186" customFormat="1" ht="15" customHeight="1" x14ac:dyDescent="0.25">
      <c r="A64" s="5044"/>
      <c r="B64" s="5052" t="s">
        <v>11</v>
      </c>
      <c r="C64" s="827" t="s">
        <v>484</v>
      </c>
      <c r="D64" s="828">
        <v>138</v>
      </c>
      <c r="E64" s="829">
        <v>277</v>
      </c>
      <c r="F64" s="830">
        <v>415</v>
      </c>
      <c r="G64" s="828">
        <v>120</v>
      </c>
      <c r="H64" s="829">
        <v>314</v>
      </c>
      <c r="I64" s="830">
        <v>434</v>
      </c>
      <c r="J64" s="828">
        <v>159</v>
      </c>
      <c r="K64" s="829">
        <v>373</v>
      </c>
      <c r="L64" s="830">
        <v>532</v>
      </c>
      <c r="M64" s="828">
        <v>165</v>
      </c>
      <c r="N64" s="829">
        <v>350</v>
      </c>
      <c r="O64" s="830">
        <v>515</v>
      </c>
      <c r="P64" s="828">
        <v>160</v>
      </c>
      <c r="Q64" s="829">
        <v>385</v>
      </c>
      <c r="R64" s="830">
        <v>545</v>
      </c>
      <c r="S64" s="828">
        <v>231</v>
      </c>
      <c r="T64" s="829">
        <v>534</v>
      </c>
      <c r="U64" s="830">
        <v>765</v>
      </c>
      <c r="V64" s="828">
        <v>268</v>
      </c>
      <c r="W64" s="829">
        <v>559</v>
      </c>
      <c r="X64" s="830">
        <v>827</v>
      </c>
      <c r="Y64" s="828">
        <v>255</v>
      </c>
      <c r="Z64" s="829">
        <v>526</v>
      </c>
      <c r="AA64" s="830">
        <f t="shared" si="0"/>
        <v>781</v>
      </c>
      <c r="AB64" s="831">
        <v>300</v>
      </c>
      <c r="AC64" s="832">
        <v>539</v>
      </c>
      <c r="AD64" s="830">
        <f t="shared" si="1"/>
        <v>839</v>
      </c>
      <c r="AE64" s="831">
        <v>286</v>
      </c>
      <c r="AF64" s="832">
        <v>548</v>
      </c>
      <c r="AG64" s="830">
        <f t="shared" si="2"/>
        <v>834</v>
      </c>
      <c r="AH64" s="831">
        <v>278</v>
      </c>
      <c r="AI64" s="832">
        <v>584</v>
      </c>
      <c r="AJ64" s="830">
        <f t="shared" ref="AJ64:AJ71" si="46">SUM(AH64:AI64)</f>
        <v>862</v>
      </c>
      <c r="AK64" s="831">
        <v>248</v>
      </c>
      <c r="AL64" s="832">
        <v>635</v>
      </c>
      <c r="AM64" s="830">
        <f t="shared" ref="AM64:AM71" si="47">SUM(AK64:AL64)</f>
        <v>883</v>
      </c>
      <c r="AN64" s="831">
        <v>264</v>
      </c>
      <c r="AO64" s="832">
        <v>680</v>
      </c>
      <c r="AP64" s="830">
        <f t="shared" ref="AP64:AP71" si="48">SUM(AN64:AO64)</f>
        <v>944</v>
      </c>
    </row>
    <row r="65" spans="1:42" s="186" customFormat="1" ht="15" customHeight="1" x14ac:dyDescent="0.25">
      <c r="A65" s="5044"/>
      <c r="B65" s="5053"/>
      <c r="C65" s="813" t="s">
        <v>493</v>
      </c>
      <c r="D65" s="814">
        <v>147</v>
      </c>
      <c r="E65" s="815">
        <v>278</v>
      </c>
      <c r="F65" s="816">
        <v>425</v>
      </c>
      <c r="G65" s="814">
        <v>198</v>
      </c>
      <c r="H65" s="815">
        <v>370</v>
      </c>
      <c r="I65" s="816">
        <v>568</v>
      </c>
      <c r="J65" s="814">
        <v>256</v>
      </c>
      <c r="K65" s="815">
        <v>515</v>
      </c>
      <c r="L65" s="816">
        <v>771</v>
      </c>
      <c r="M65" s="814">
        <v>313</v>
      </c>
      <c r="N65" s="815">
        <v>471</v>
      </c>
      <c r="O65" s="816">
        <v>784</v>
      </c>
      <c r="P65" s="814">
        <v>327</v>
      </c>
      <c r="Q65" s="815">
        <v>624</v>
      </c>
      <c r="R65" s="816">
        <v>951</v>
      </c>
      <c r="S65" s="814">
        <v>420</v>
      </c>
      <c r="T65" s="815">
        <v>753</v>
      </c>
      <c r="U65" s="816">
        <v>1173</v>
      </c>
      <c r="V65" s="814">
        <v>530</v>
      </c>
      <c r="W65" s="815">
        <v>894</v>
      </c>
      <c r="X65" s="816">
        <v>1424</v>
      </c>
      <c r="Y65" s="814">
        <v>604</v>
      </c>
      <c r="Z65" s="815">
        <v>1244</v>
      </c>
      <c r="AA65" s="816">
        <f t="shared" si="0"/>
        <v>1848</v>
      </c>
      <c r="AB65" s="817">
        <v>825</v>
      </c>
      <c r="AC65" s="818">
        <v>1300</v>
      </c>
      <c r="AD65" s="816">
        <f t="shared" si="1"/>
        <v>2125</v>
      </c>
      <c r="AE65" s="817">
        <v>944</v>
      </c>
      <c r="AF65" s="818">
        <v>1664</v>
      </c>
      <c r="AG65" s="816">
        <f t="shared" si="2"/>
        <v>2608</v>
      </c>
      <c r="AH65" s="817">
        <v>980</v>
      </c>
      <c r="AI65" s="818">
        <v>1899</v>
      </c>
      <c r="AJ65" s="816">
        <f t="shared" si="46"/>
        <v>2879</v>
      </c>
      <c r="AK65" s="817">
        <v>986</v>
      </c>
      <c r="AL65" s="818">
        <v>2169</v>
      </c>
      <c r="AM65" s="816">
        <f t="shared" si="47"/>
        <v>3155</v>
      </c>
      <c r="AN65" s="817">
        <v>1005</v>
      </c>
      <c r="AO65" s="818">
        <v>2208</v>
      </c>
      <c r="AP65" s="816">
        <f t="shared" si="48"/>
        <v>3213</v>
      </c>
    </row>
    <row r="66" spans="1:42" s="186" customFormat="1" ht="15" customHeight="1" x14ac:dyDescent="0.25">
      <c r="A66" s="5044"/>
      <c r="B66" s="5053"/>
      <c r="C66" s="813" t="s">
        <v>494</v>
      </c>
      <c r="D66" s="814">
        <v>522</v>
      </c>
      <c r="E66" s="815">
        <v>1003</v>
      </c>
      <c r="F66" s="816">
        <v>1525</v>
      </c>
      <c r="G66" s="814">
        <v>504</v>
      </c>
      <c r="H66" s="815">
        <v>1162</v>
      </c>
      <c r="I66" s="816">
        <v>1666</v>
      </c>
      <c r="J66" s="814">
        <v>560</v>
      </c>
      <c r="K66" s="815">
        <v>1094</v>
      </c>
      <c r="L66" s="816">
        <v>1654</v>
      </c>
      <c r="M66" s="814">
        <v>560</v>
      </c>
      <c r="N66" s="815">
        <v>961</v>
      </c>
      <c r="O66" s="816">
        <v>1521</v>
      </c>
      <c r="P66" s="814">
        <v>555</v>
      </c>
      <c r="Q66" s="815">
        <v>980</v>
      </c>
      <c r="R66" s="816">
        <v>1535</v>
      </c>
      <c r="S66" s="814">
        <v>598</v>
      </c>
      <c r="T66" s="815">
        <v>1000</v>
      </c>
      <c r="U66" s="816">
        <v>1598</v>
      </c>
      <c r="V66" s="814">
        <v>532</v>
      </c>
      <c r="W66" s="815">
        <v>913</v>
      </c>
      <c r="X66" s="816">
        <v>1445</v>
      </c>
      <c r="Y66" s="814">
        <v>508</v>
      </c>
      <c r="Z66" s="815">
        <v>1034</v>
      </c>
      <c r="AA66" s="816">
        <f t="shared" si="0"/>
        <v>1542</v>
      </c>
      <c r="AB66" s="817">
        <v>523</v>
      </c>
      <c r="AC66" s="818">
        <v>975</v>
      </c>
      <c r="AD66" s="816">
        <f t="shared" si="1"/>
        <v>1498</v>
      </c>
      <c r="AE66" s="817">
        <v>575</v>
      </c>
      <c r="AF66" s="818">
        <v>1097</v>
      </c>
      <c r="AG66" s="816">
        <f t="shared" si="2"/>
        <v>1672</v>
      </c>
      <c r="AH66" s="817">
        <v>560</v>
      </c>
      <c r="AI66" s="818">
        <v>1217</v>
      </c>
      <c r="AJ66" s="816">
        <f t="shared" si="46"/>
        <v>1777</v>
      </c>
      <c r="AK66" s="817">
        <v>536</v>
      </c>
      <c r="AL66" s="818">
        <v>1279</v>
      </c>
      <c r="AM66" s="816">
        <f t="shared" si="47"/>
        <v>1815</v>
      </c>
      <c r="AN66" s="817">
        <v>598</v>
      </c>
      <c r="AO66" s="818">
        <v>1458</v>
      </c>
      <c r="AP66" s="816">
        <f t="shared" si="48"/>
        <v>2056</v>
      </c>
    </row>
    <row r="67" spans="1:42" s="186" customFormat="1" ht="15" customHeight="1" x14ac:dyDescent="0.25">
      <c r="A67" s="5044"/>
      <c r="B67" s="5053"/>
      <c r="C67" s="813" t="s">
        <v>495</v>
      </c>
      <c r="D67" s="814">
        <v>294</v>
      </c>
      <c r="E67" s="815">
        <v>716</v>
      </c>
      <c r="F67" s="816">
        <v>1010</v>
      </c>
      <c r="G67" s="814">
        <v>347</v>
      </c>
      <c r="H67" s="815">
        <v>838</v>
      </c>
      <c r="I67" s="816">
        <v>1185</v>
      </c>
      <c r="J67" s="814">
        <v>406</v>
      </c>
      <c r="K67" s="815">
        <v>934</v>
      </c>
      <c r="L67" s="816">
        <v>1340</v>
      </c>
      <c r="M67" s="814">
        <v>481</v>
      </c>
      <c r="N67" s="815">
        <v>872</v>
      </c>
      <c r="O67" s="816">
        <v>1353</v>
      </c>
      <c r="P67" s="814">
        <v>432</v>
      </c>
      <c r="Q67" s="815">
        <v>992</v>
      </c>
      <c r="R67" s="816">
        <v>1424</v>
      </c>
      <c r="S67" s="814">
        <v>517</v>
      </c>
      <c r="T67" s="815">
        <v>1122</v>
      </c>
      <c r="U67" s="816">
        <v>1639</v>
      </c>
      <c r="V67" s="814">
        <v>521</v>
      </c>
      <c r="W67" s="815">
        <v>1134</v>
      </c>
      <c r="X67" s="816">
        <v>1655</v>
      </c>
      <c r="Y67" s="814">
        <v>567</v>
      </c>
      <c r="Z67" s="815">
        <v>1170</v>
      </c>
      <c r="AA67" s="816">
        <f t="shared" si="0"/>
        <v>1737</v>
      </c>
      <c r="AB67" s="817">
        <v>649</v>
      </c>
      <c r="AC67" s="818">
        <v>1257</v>
      </c>
      <c r="AD67" s="816">
        <f t="shared" si="1"/>
        <v>1906</v>
      </c>
      <c r="AE67" s="817">
        <v>650</v>
      </c>
      <c r="AF67" s="818">
        <v>1412</v>
      </c>
      <c r="AG67" s="816">
        <f t="shared" si="2"/>
        <v>2062</v>
      </c>
      <c r="AH67" s="817">
        <v>647</v>
      </c>
      <c r="AI67" s="818">
        <v>1450</v>
      </c>
      <c r="AJ67" s="816">
        <f t="shared" si="46"/>
        <v>2097</v>
      </c>
      <c r="AK67" s="817">
        <v>551</v>
      </c>
      <c r="AL67" s="818">
        <v>1537</v>
      </c>
      <c r="AM67" s="816">
        <f t="shared" si="47"/>
        <v>2088</v>
      </c>
      <c r="AN67" s="817">
        <v>681</v>
      </c>
      <c r="AO67" s="818">
        <v>1715</v>
      </c>
      <c r="AP67" s="816">
        <f t="shared" si="48"/>
        <v>2396</v>
      </c>
    </row>
    <row r="68" spans="1:42" s="186" customFormat="1" ht="15" customHeight="1" x14ac:dyDescent="0.25">
      <c r="A68" s="5044"/>
      <c r="B68" s="5053"/>
      <c r="C68" s="813" t="s">
        <v>496</v>
      </c>
      <c r="D68" s="814">
        <v>286</v>
      </c>
      <c r="E68" s="815">
        <v>650</v>
      </c>
      <c r="F68" s="816">
        <v>936</v>
      </c>
      <c r="G68" s="814">
        <v>267</v>
      </c>
      <c r="H68" s="815">
        <v>610</v>
      </c>
      <c r="I68" s="816">
        <v>877</v>
      </c>
      <c r="J68" s="814">
        <v>254</v>
      </c>
      <c r="K68" s="815">
        <v>679</v>
      </c>
      <c r="L68" s="816">
        <v>933</v>
      </c>
      <c r="M68" s="814">
        <v>338</v>
      </c>
      <c r="N68" s="815">
        <v>630</v>
      </c>
      <c r="O68" s="816">
        <v>968</v>
      </c>
      <c r="P68" s="814">
        <v>301</v>
      </c>
      <c r="Q68" s="815">
        <v>683</v>
      </c>
      <c r="R68" s="816">
        <v>984</v>
      </c>
      <c r="S68" s="814">
        <v>377</v>
      </c>
      <c r="T68" s="815">
        <v>763</v>
      </c>
      <c r="U68" s="816">
        <v>1140</v>
      </c>
      <c r="V68" s="814">
        <v>394</v>
      </c>
      <c r="W68" s="815">
        <v>756</v>
      </c>
      <c r="X68" s="816">
        <v>1150</v>
      </c>
      <c r="Y68" s="814">
        <v>375</v>
      </c>
      <c r="Z68" s="815">
        <v>906</v>
      </c>
      <c r="AA68" s="816">
        <f t="shared" si="0"/>
        <v>1281</v>
      </c>
      <c r="AB68" s="817">
        <v>489</v>
      </c>
      <c r="AC68" s="818">
        <v>870</v>
      </c>
      <c r="AD68" s="816">
        <f t="shared" si="1"/>
        <v>1359</v>
      </c>
      <c r="AE68" s="817">
        <v>533</v>
      </c>
      <c r="AF68" s="818">
        <v>1171</v>
      </c>
      <c r="AG68" s="816">
        <f t="shared" si="2"/>
        <v>1704</v>
      </c>
      <c r="AH68" s="817">
        <v>621</v>
      </c>
      <c r="AI68" s="818">
        <v>1460</v>
      </c>
      <c r="AJ68" s="816">
        <f t="shared" si="46"/>
        <v>2081</v>
      </c>
      <c r="AK68" s="817">
        <v>590</v>
      </c>
      <c r="AL68" s="818">
        <v>1584</v>
      </c>
      <c r="AM68" s="816">
        <f t="shared" si="47"/>
        <v>2174</v>
      </c>
      <c r="AN68" s="817">
        <v>775</v>
      </c>
      <c r="AO68" s="818">
        <v>1805</v>
      </c>
      <c r="AP68" s="816">
        <f t="shared" si="48"/>
        <v>2580</v>
      </c>
    </row>
    <row r="69" spans="1:42" s="186" customFormat="1" ht="15" customHeight="1" x14ac:dyDescent="0.25">
      <c r="A69" s="5044"/>
      <c r="B69" s="5053"/>
      <c r="C69" s="813" t="s">
        <v>497</v>
      </c>
      <c r="D69" s="814">
        <v>40</v>
      </c>
      <c r="E69" s="815">
        <v>94</v>
      </c>
      <c r="F69" s="816">
        <v>134</v>
      </c>
      <c r="G69" s="814">
        <v>45</v>
      </c>
      <c r="H69" s="815">
        <v>121</v>
      </c>
      <c r="I69" s="816">
        <v>166</v>
      </c>
      <c r="J69" s="814">
        <v>65</v>
      </c>
      <c r="K69" s="815">
        <v>126</v>
      </c>
      <c r="L69" s="816">
        <v>191</v>
      </c>
      <c r="M69" s="814">
        <v>87</v>
      </c>
      <c r="N69" s="815">
        <v>123</v>
      </c>
      <c r="O69" s="816">
        <v>210</v>
      </c>
      <c r="P69" s="814">
        <v>65</v>
      </c>
      <c r="Q69" s="815">
        <v>136</v>
      </c>
      <c r="R69" s="816">
        <v>201</v>
      </c>
      <c r="S69" s="814">
        <v>104</v>
      </c>
      <c r="T69" s="815">
        <v>172</v>
      </c>
      <c r="U69" s="816">
        <v>276</v>
      </c>
      <c r="V69" s="814">
        <v>97</v>
      </c>
      <c r="W69" s="815">
        <v>205</v>
      </c>
      <c r="X69" s="816">
        <v>302</v>
      </c>
      <c r="Y69" s="814">
        <v>123</v>
      </c>
      <c r="Z69" s="815">
        <v>276</v>
      </c>
      <c r="AA69" s="816">
        <f t="shared" ref="AA69:AA76" si="49">SUM(Y69:Z69)</f>
        <v>399</v>
      </c>
      <c r="AB69" s="817">
        <v>149</v>
      </c>
      <c r="AC69" s="818">
        <v>280</v>
      </c>
      <c r="AD69" s="816">
        <f>SUM(AB69:AC69)</f>
        <v>429</v>
      </c>
      <c r="AE69" s="817">
        <v>155</v>
      </c>
      <c r="AF69" s="818">
        <v>326</v>
      </c>
      <c r="AG69" s="816">
        <f t="shared" si="2"/>
        <v>481</v>
      </c>
      <c r="AH69" s="817">
        <v>172</v>
      </c>
      <c r="AI69" s="818">
        <v>410</v>
      </c>
      <c r="AJ69" s="816">
        <f t="shared" si="46"/>
        <v>582</v>
      </c>
      <c r="AK69" s="817">
        <v>182</v>
      </c>
      <c r="AL69" s="818">
        <v>347</v>
      </c>
      <c r="AM69" s="816">
        <f t="shared" si="47"/>
        <v>529</v>
      </c>
      <c r="AN69" s="817">
        <v>217</v>
      </c>
      <c r="AO69" s="818">
        <v>427</v>
      </c>
      <c r="AP69" s="816">
        <f t="shared" si="48"/>
        <v>644</v>
      </c>
    </row>
    <row r="70" spans="1:42" s="186" customFormat="1" ht="15" customHeight="1" x14ac:dyDescent="0.25">
      <c r="A70" s="5044"/>
      <c r="B70" s="5053"/>
      <c r="C70" s="813" t="s">
        <v>498</v>
      </c>
      <c r="D70" s="814">
        <v>1231</v>
      </c>
      <c r="E70" s="815">
        <v>3524</v>
      </c>
      <c r="F70" s="816">
        <v>4755</v>
      </c>
      <c r="G70" s="814">
        <v>1324</v>
      </c>
      <c r="H70" s="815">
        <v>3696</v>
      </c>
      <c r="I70" s="816">
        <v>5020</v>
      </c>
      <c r="J70" s="814">
        <v>1612</v>
      </c>
      <c r="K70" s="815">
        <v>3807</v>
      </c>
      <c r="L70" s="816">
        <v>5419</v>
      </c>
      <c r="M70" s="814">
        <v>1520</v>
      </c>
      <c r="N70" s="815">
        <v>3471</v>
      </c>
      <c r="O70" s="816">
        <v>4991</v>
      </c>
      <c r="P70" s="814">
        <v>1393</v>
      </c>
      <c r="Q70" s="815">
        <v>3801</v>
      </c>
      <c r="R70" s="816">
        <v>5194</v>
      </c>
      <c r="S70" s="814">
        <v>1745</v>
      </c>
      <c r="T70" s="815">
        <v>3683</v>
      </c>
      <c r="U70" s="816">
        <v>5428</v>
      </c>
      <c r="V70" s="814">
        <v>1778</v>
      </c>
      <c r="W70" s="815">
        <v>4233</v>
      </c>
      <c r="X70" s="816">
        <v>6011</v>
      </c>
      <c r="Y70" s="814">
        <v>1681</v>
      </c>
      <c r="Z70" s="815">
        <v>4450</v>
      </c>
      <c r="AA70" s="816">
        <f t="shared" si="49"/>
        <v>6131</v>
      </c>
      <c r="AB70" s="817">
        <v>2113</v>
      </c>
      <c r="AC70" s="818">
        <v>4530</v>
      </c>
      <c r="AD70" s="816">
        <f>SUM(AB70:AC70)</f>
        <v>6643</v>
      </c>
      <c r="AE70" s="817">
        <v>2168</v>
      </c>
      <c r="AF70" s="818">
        <v>5211</v>
      </c>
      <c r="AG70" s="816">
        <f t="shared" si="2"/>
        <v>7379</v>
      </c>
      <c r="AH70" s="817">
        <v>2004</v>
      </c>
      <c r="AI70" s="818">
        <v>5602</v>
      </c>
      <c r="AJ70" s="816">
        <f t="shared" si="46"/>
        <v>7606</v>
      </c>
      <c r="AK70" s="817">
        <v>1944</v>
      </c>
      <c r="AL70" s="818">
        <v>5946</v>
      </c>
      <c r="AM70" s="816">
        <f t="shared" si="47"/>
        <v>7890</v>
      </c>
      <c r="AN70" s="817">
        <v>2321</v>
      </c>
      <c r="AO70" s="818">
        <v>6958</v>
      </c>
      <c r="AP70" s="816">
        <f t="shared" si="48"/>
        <v>9279</v>
      </c>
    </row>
    <row r="71" spans="1:42" s="186" customFormat="1" ht="15" customHeight="1" x14ac:dyDescent="0.25">
      <c r="A71" s="5044"/>
      <c r="B71" s="5053"/>
      <c r="C71" s="822" t="s">
        <v>499</v>
      </c>
      <c r="D71" s="823">
        <v>455</v>
      </c>
      <c r="E71" s="1519">
        <v>977</v>
      </c>
      <c r="F71" s="825">
        <v>1432</v>
      </c>
      <c r="G71" s="1520">
        <v>512</v>
      </c>
      <c r="H71" s="1519">
        <v>1087</v>
      </c>
      <c r="I71" s="825">
        <v>1599</v>
      </c>
      <c r="J71" s="823">
        <v>675</v>
      </c>
      <c r="K71" s="824">
        <v>1305</v>
      </c>
      <c r="L71" s="825">
        <v>1980</v>
      </c>
      <c r="M71" s="823">
        <v>678</v>
      </c>
      <c r="N71" s="824">
        <v>1210</v>
      </c>
      <c r="O71" s="825">
        <v>1888</v>
      </c>
      <c r="P71" s="823">
        <v>711</v>
      </c>
      <c r="Q71" s="824">
        <v>1393</v>
      </c>
      <c r="R71" s="825">
        <v>2104</v>
      </c>
      <c r="S71" s="823">
        <v>816</v>
      </c>
      <c r="T71" s="824">
        <v>1429</v>
      </c>
      <c r="U71" s="825">
        <v>2245</v>
      </c>
      <c r="V71" s="823">
        <v>873</v>
      </c>
      <c r="W71" s="824">
        <v>1467</v>
      </c>
      <c r="X71" s="825">
        <v>2340</v>
      </c>
      <c r="Y71" s="823">
        <v>901</v>
      </c>
      <c r="Z71" s="824">
        <v>1692</v>
      </c>
      <c r="AA71" s="825">
        <f t="shared" si="49"/>
        <v>2593</v>
      </c>
      <c r="AB71" s="826">
        <v>1039</v>
      </c>
      <c r="AC71" s="824">
        <v>1743</v>
      </c>
      <c r="AD71" s="825">
        <f>SUM(AB71:AC71)</f>
        <v>2782</v>
      </c>
      <c r="AE71" s="826">
        <v>1069</v>
      </c>
      <c r="AF71" s="824">
        <v>1963</v>
      </c>
      <c r="AG71" s="825">
        <f t="shared" si="2"/>
        <v>3032</v>
      </c>
      <c r="AH71" s="826">
        <v>1080</v>
      </c>
      <c r="AI71" s="824">
        <v>2290</v>
      </c>
      <c r="AJ71" s="825">
        <f t="shared" si="46"/>
        <v>3370</v>
      </c>
      <c r="AK71" s="817">
        <v>990</v>
      </c>
      <c r="AL71" s="824">
        <v>2205</v>
      </c>
      <c r="AM71" s="825">
        <f t="shared" si="47"/>
        <v>3195</v>
      </c>
      <c r="AN71" s="817">
        <v>1104</v>
      </c>
      <c r="AO71" s="824">
        <v>2378</v>
      </c>
      <c r="AP71" s="825">
        <f t="shared" si="48"/>
        <v>3482</v>
      </c>
    </row>
    <row r="72" spans="1:42" s="186" customFormat="1" ht="15" customHeight="1" x14ac:dyDescent="0.25">
      <c r="A72" s="5044"/>
      <c r="B72" s="5054"/>
      <c r="C72" s="869" t="s">
        <v>160</v>
      </c>
      <c r="D72" s="870">
        <f>SUM(D64:D71)</f>
        <v>3113</v>
      </c>
      <c r="E72" s="1521">
        <f t="shared" ref="E72:AG72" si="50">SUM(E64:E71)</f>
        <v>7519</v>
      </c>
      <c r="F72" s="872">
        <f t="shared" si="50"/>
        <v>10632</v>
      </c>
      <c r="G72" s="870">
        <f t="shared" si="50"/>
        <v>3317</v>
      </c>
      <c r="H72" s="1521">
        <f t="shared" si="50"/>
        <v>8198</v>
      </c>
      <c r="I72" s="872">
        <f t="shared" si="50"/>
        <v>11515</v>
      </c>
      <c r="J72" s="870">
        <f t="shared" si="50"/>
        <v>3987</v>
      </c>
      <c r="K72" s="1521">
        <f t="shared" si="50"/>
        <v>8833</v>
      </c>
      <c r="L72" s="872">
        <f t="shared" si="50"/>
        <v>12820</v>
      </c>
      <c r="M72" s="870">
        <f t="shared" si="50"/>
        <v>4142</v>
      </c>
      <c r="N72" s="1521">
        <f t="shared" si="50"/>
        <v>8088</v>
      </c>
      <c r="O72" s="872">
        <f t="shared" si="50"/>
        <v>12230</v>
      </c>
      <c r="P72" s="870">
        <f t="shared" si="50"/>
        <v>3944</v>
      </c>
      <c r="Q72" s="1521">
        <f t="shared" si="50"/>
        <v>8994</v>
      </c>
      <c r="R72" s="872">
        <f t="shared" si="50"/>
        <v>12938</v>
      </c>
      <c r="S72" s="870">
        <f t="shared" si="50"/>
        <v>4808</v>
      </c>
      <c r="T72" s="1521">
        <f t="shared" si="50"/>
        <v>9456</v>
      </c>
      <c r="U72" s="872">
        <f t="shared" si="50"/>
        <v>14264</v>
      </c>
      <c r="V72" s="870">
        <f t="shared" si="50"/>
        <v>4993</v>
      </c>
      <c r="W72" s="1521">
        <f t="shared" si="50"/>
        <v>10161</v>
      </c>
      <c r="X72" s="872">
        <f t="shared" si="50"/>
        <v>15154</v>
      </c>
      <c r="Y72" s="870">
        <f t="shared" si="50"/>
        <v>5014</v>
      </c>
      <c r="Z72" s="1521">
        <f t="shared" si="50"/>
        <v>11298</v>
      </c>
      <c r="AA72" s="872">
        <f t="shared" si="50"/>
        <v>16312</v>
      </c>
      <c r="AB72" s="870">
        <f t="shared" si="50"/>
        <v>6087</v>
      </c>
      <c r="AC72" s="1521">
        <f t="shared" si="50"/>
        <v>11494</v>
      </c>
      <c r="AD72" s="872">
        <f t="shared" si="50"/>
        <v>17581</v>
      </c>
      <c r="AE72" s="870">
        <f t="shared" si="50"/>
        <v>6380</v>
      </c>
      <c r="AF72" s="1521">
        <f t="shared" si="50"/>
        <v>13392</v>
      </c>
      <c r="AG72" s="872">
        <f t="shared" si="50"/>
        <v>19772</v>
      </c>
      <c r="AH72" s="870">
        <f t="shared" ref="AH72:AM72" si="51">SUM(AH64:AH71)</f>
        <v>6342</v>
      </c>
      <c r="AI72" s="1521">
        <f t="shared" si="51"/>
        <v>14912</v>
      </c>
      <c r="AJ72" s="872">
        <f t="shared" si="51"/>
        <v>21254</v>
      </c>
      <c r="AK72" s="2328">
        <f>SUM(AK64:AK71)</f>
        <v>6027</v>
      </c>
      <c r="AL72" s="2332">
        <f>SUM(AL64:AL71)</f>
        <v>15702</v>
      </c>
      <c r="AM72" s="872">
        <f t="shared" si="51"/>
        <v>21729</v>
      </c>
      <c r="AN72" s="2328">
        <f>SUM(AN64:AN71)</f>
        <v>6965</v>
      </c>
      <c r="AO72" s="2332">
        <f>SUM(AO64:AO71)</f>
        <v>17629</v>
      </c>
      <c r="AP72" s="872">
        <f t="shared" ref="AP72" si="52">SUM(AP64:AP71)</f>
        <v>24594</v>
      </c>
    </row>
    <row r="73" spans="1:42" s="186" customFormat="1" ht="15" customHeight="1" x14ac:dyDescent="0.25">
      <c r="A73" s="5044"/>
      <c r="B73" s="5052" t="s">
        <v>7</v>
      </c>
      <c r="C73" s="807" t="s">
        <v>466</v>
      </c>
      <c r="D73" s="808">
        <v>292</v>
      </c>
      <c r="E73" s="809">
        <v>715</v>
      </c>
      <c r="F73" s="810">
        <v>1007</v>
      </c>
      <c r="G73" s="808">
        <v>281</v>
      </c>
      <c r="H73" s="809">
        <v>660</v>
      </c>
      <c r="I73" s="810">
        <v>941</v>
      </c>
      <c r="J73" s="808">
        <v>310</v>
      </c>
      <c r="K73" s="809">
        <v>689</v>
      </c>
      <c r="L73" s="810">
        <v>999</v>
      </c>
      <c r="M73" s="808">
        <v>303</v>
      </c>
      <c r="N73" s="809">
        <v>664</v>
      </c>
      <c r="O73" s="810">
        <v>967</v>
      </c>
      <c r="P73" s="808">
        <v>354</v>
      </c>
      <c r="Q73" s="809">
        <v>796</v>
      </c>
      <c r="R73" s="810">
        <v>1150</v>
      </c>
      <c r="S73" s="808">
        <v>463</v>
      </c>
      <c r="T73" s="809">
        <v>842</v>
      </c>
      <c r="U73" s="810">
        <v>1305</v>
      </c>
      <c r="V73" s="808">
        <v>432</v>
      </c>
      <c r="W73" s="809">
        <v>967</v>
      </c>
      <c r="X73" s="810">
        <v>1399</v>
      </c>
      <c r="Y73" s="808">
        <v>563</v>
      </c>
      <c r="Z73" s="809">
        <v>1195</v>
      </c>
      <c r="AA73" s="810">
        <f t="shared" si="49"/>
        <v>1758</v>
      </c>
      <c r="AB73" s="811">
        <v>662</v>
      </c>
      <c r="AC73" s="812">
        <v>1288</v>
      </c>
      <c r="AD73" s="810">
        <f>SUM(AB73:AC73)</f>
        <v>1950</v>
      </c>
      <c r="AE73" s="811">
        <v>753</v>
      </c>
      <c r="AF73" s="812">
        <v>1592</v>
      </c>
      <c r="AG73" s="810">
        <f t="shared" si="2"/>
        <v>2345</v>
      </c>
      <c r="AH73" s="811">
        <v>726</v>
      </c>
      <c r="AI73" s="812">
        <v>1571</v>
      </c>
      <c r="AJ73" s="810">
        <f>SUM(AH73:AI73)</f>
        <v>2297</v>
      </c>
      <c r="AK73" s="831">
        <v>553</v>
      </c>
      <c r="AL73" s="812">
        <v>1602</v>
      </c>
      <c r="AM73" s="810">
        <f>SUM(AK73:AL73)</f>
        <v>2155</v>
      </c>
      <c r="AN73" s="831">
        <v>683</v>
      </c>
      <c r="AO73" s="812">
        <v>1744</v>
      </c>
      <c r="AP73" s="810">
        <f>SUM(AN73:AO73)</f>
        <v>2427</v>
      </c>
    </row>
    <row r="74" spans="1:42" s="186" customFormat="1" ht="15" customHeight="1" x14ac:dyDescent="0.25">
      <c r="A74" s="5044"/>
      <c r="B74" s="5053"/>
      <c r="C74" s="813" t="s">
        <v>467</v>
      </c>
      <c r="D74" s="814">
        <v>804</v>
      </c>
      <c r="E74" s="815">
        <v>1796</v>
      </c>
      <c r="F74" s="816">
        <v>2600</v>
      </c>
      <c r="G74" s="814">
        <v>816</v>
      </c>
      <c r="H74" s="815">
        <v>1943</v>
      </c>
      <c r="I74" s="816">
        <v>2759</v>
      </c>
      <c r="J74" s="814">
        <v>864</v>
      </c>
      <c r="K74" s="815">
        <v>1798</v>
      </c>
      <c r="L74" s="816">
        <v>2662</v>
      </c>
      <c r="M74" s="814">
        <v>954</v>
      </c>
      <c r="N74" s="815">
        <v>1740</v>
      </c>
      <c r="O74" s="816">
        <v>2694</v>
      </c>
      <c r="P74" s="814">
        <v>920</v>
      </c>
      <c r="Q74" s="815">
        <v>1982</v>
      </c>
      <c r="R74" s="816">
        <v>2902</v>
      </c>
      <c r="S74" s="814">
        <v>1160</v>
      </c>
      <c r="T74" s="815">
        <v>2136</v>
      </c>
      <c r="U74" s="816">
        <v>3296</v>
      </c>
      <c r="V74" s="814">
        <v>1213</v>
      </c>
      <c r="W74" s="815">
        <v>2277</v>
      </c>
      <c r="X74" s="816">
        <v>3490</v>
      </c>
      <c r="Y74" s="814">
        <v>1257</v>
      </c>
      <c r="Z74" s="815">
        <v>2555</v>
      </c>
      <c r="AA74" s="816">
        <f t="shared" si="49"/>
        <v>3812</v>
      </c>
      <c r="AB74" s="817">
        <v>1374</v>
      </c>
      <c r="AC74" s="818">
        <v>2349</v>
      </c>
      <c r="AD74" s="816">
        <f>SUM(AB74:AC74)</f>
        <v>3723</v>
      </c>
      <c r="AE74" s="817">
        <v>1293</v>
      </c>
      <c r="AF74" s="818">
        <v>2538</v>
      </c>
      <c r="AG74" s="816">
        <f t="shared" si="2"/>
        <v>3831</v>
      </c>
      <c r="AH74" s="817">
        <v>1192</v>
      </c>
      <c r="AI74" s="818">
        <v>2311</v>
      </c>
      <c r="AJ74" s="816">
        <f>SUM(AH74:AI74)</f>
        <v>3503</v>
      </c>
      <c r="AK74" s="817">
        <v>931</v>
      </c>
      <c r="AL74" s="818">
        <v>2017</v>
      </c>
      <c r="AM74" s="816">
        <f>SUM(AK74:AL74)</f>
        <v>2948</v>
      </c>
      <c r="AN74" s="817">
        <v>899</v>
      </c>
      <c r="AO74" s="818">
        <v>1881</v>
      </c>
      <c r="AP74" s="816">
        <f>SUM(AN74:AO74)</f>
        <v>2780</v>
      </c>
    </row>
    <row r="75" spans="1:42" s="186" customFormat="1" ht="15" customHeight="1" x14ac:dyDescent="0.25">
      <c r="A75" s="5044"/>
      <c r="B75" s="5053"/>
      <c r="C75" s="813" t="s">
        <v>468</v>
      </c>
      <c r="D75" s="814">
        <v>139</v>
      </c>
      <c r="E75" s="815">
        <v>311</v>
      </c>
      <c r="F75" s="816">
        <v>450</v>
      </c>
      <c r="G75" s="814">
        <v>133</v>
      </c>
      <c r="H75" s="815">
        <v>331</v>
      </c>
      <c r="I75" s="816">
        <v>464</v>
      </c>
      <c r="J75" s="814">
        <v>159</v>
      </c>
      <c r="K75" s="815">
        <v>416</v>
      </c>
      <c r="L75" s="816">
        <v>575</v>
      </c>
      <c r="M75" s="814">
        <v>176</v>
      </c>
      <c r="N75" s="815">
        <v>344</v>
      </c>
      <c r="O75" s="816">
        <v>520</v>
      </c>
      <c r="P75" s="814">
        <v>195</v>
      </c>
      <c r="Q75" s="815">
        <v>454</v>
      </c>
      <c r="R75" s="816">
        <v>649</v>
      </c>
      <c r="S75" s="814">
        <v>290</v>
      </c>
      <c r="T75" s="815">
        <v>458</v>
      </c>
      <c r="U75" s="816">
        <v>748</v>
      </c>
      <c r="V75" s="814">
        <v>276</v>
      </c>
      <c r="W75" s="815">
        <v>526</v>
      </c>
      <c r="X75" s="816">
        <v>802</v>
      </c>
      <c r="Y75" s="814">
        <v>282</v>
      </c>
      <c r="Z75" s="815">
        <v>626</v>
      </c>
      <c r="AA75" s="816">
        <f t="shared" si="49"/>
        <v>908</v>
      </c>
      <c r="AB75" s="817">
        <v>344</v>
      </c>
      <c r="AC75" s="818">
        <v>661</v>
      </c>
      <c r="AD75" s="816">
        <f>SUM(AB75:AC75)</f>
        <v>1005</v>
      </c>
      <c r="AE75" s="817">
        <v>408</v>
      </c>
      <c r="AF75" s="818">
        <v>798</v>
      </c>
      <c r="AG75" s="816">
        <f t="shared" si="2"/>
        <v>1206</v>
      </c>
      <c r="AH75" s="817">
        <v>374</v>
      </c>
      <c r="AI75" s="818">
        <v>788</v>
      </c>
      <c r="AJ75" s="816">
        <f>SUM(AH75:AI75)</f>
        <v>1162</v>
      </c>
      <c r="AK75" s="817">
        <v>311</v>
      </c>
      <c r="AL75" s="818">
        <v>749</v>
      </c>
      <c r="AM75" s="816">
        <f>SUM(AK75:AL75)</f>
        <v>1060</v>
      </c>
      <c r="AN75" s="817">
        <v>361</v>
      </c>
      <c r="AO75" s="818">
        <v>802</v>
      </c>
      <c r="AP75" s="816">
        <f>SUM(AN75:AO75)</f>
        <v>1163</v>
      </c>
    </row>
    <row r="76" spans="1:42" s="186" customFormat="1" ht="15" customHeight="1" x14ac:dyDescent="0.25">
      <c r="A76" s="5044"/>
      <c r="B76" s="5053"/>
      <c r="C76" s="822" t="s">
        <v>500</v>
      </c>
      <c r="D76" s="823">
        <v>39</v>
      </c>
      <c r="E76" s="1519">
        <v>70</v>
      </c>
      <c r="F76" s="825">
        <v>109</v>
      </c>
      <c r="G76" s="1520">
        <v>42</v>
      </c>
      <c r="H76" s="1519">
        <v>79</v>
      </c>
      <c r="I76" s="825">
        <v>121</v>
      </c>
      <c r="J76" s="823">
        <v>44</v>
      </c>
      <c r="K76" s="824">
        <v>65</v>
      </c>
      <c r="L76" s="825">
        <v>109</v>
      </c>
      <c r="M76" s="823">
        <v>36</v>
      </c>
      <c r="N76" s="824">
        <v>57</v>
      </c>
      <c r="O76" s="825">
        <v>93</v>
      </c>
      <c r="P76" s="823">
        <v>54</v>
      </c>
      <c r="Q76" s="824">
        <v>86</v>
      </c>
      <c r="R76" s="825">
        <v>140</v>
      </c>
      <c r="S76" s="823">
        <v>83</v>
      </c>
      <c r="T76" s="824">
        <v>155</v>
      </c>
      <c r="U76" s="825">
        <v>238</v>
      </c>
      <c r="V76" s="823">
        <v>103</v>
      </c>
      <c r="W76" s="824">
        <v>162</v>
      </c>
      <c r="X76" s="825">
        <v>265</v>
      </c>
      <c r="Y76" s="823">
        <v>103</v>
      </c>
      <c r="Z76" s="824">
        <v>152</v>
      </c>
      <c r="AA76" s="825">
        <f t="shared" si="49"/>
        <v>255</v>
      </c>
      <c r="AB76" s="826">
        <v>119</v>
      </c>
      <c r="AC76" s="824">
        <v>158</v>
      </c>
      <c r="AD76" s="825">
        <f>SUM(AB76:AC76)</f>
        <v>277</v>
      </c>
      <c r="AE76" s="826">
        <v>116</v>
      </c>
      <c r="AF76" s="824">
        <v>179</v>
      </c>
      <c r="AG76" s="825">
        <f t="shared" si="2"/>
        <v>295</v>
      </c>
      <c r="AH76" s="826">
        <v>109</v>
      </c>
      <c r="AI76" s="824">
        <v>195</v>
      </c>
      <c r="AJ76" s="825">
        <f>SUM(AH76:AI76)</f>
        <v>304</v>
      </c>
      <c r="AK76" s="817">
        <v>109</v>
      </c>
      <c r="AL76" s="824">
        <v>193</v>
      </c>
      <c r="AM76" s="825">
        <f>SUM(AK76:AL76)</f>
        <v>302</v>
      </c>
      <c r="AN76" s="817">
        <v>111</v>
      </c>
      <c r="AO76" s="824">
        <v>200</v>
      </c>
      <c r="AP76" s="825">
        <f>SUM(AN76:AO76)</f>
        <v>311</v>
      </c>
    </row>
    <row r="77" spans="1:42" s="186" customFormat="1" ht="15" customHeight="1" x14ac:dyDescent="0.25">
      <c r="A77" s="5044"/>
      <c r="B77" s="5053"/>
      <c r="C77" s="869" t="s">
        <v>160</v>
      </c>
      <c r="D77" s="870">
        <f>SUM(D73:D76)</f>
        <v>1274</v>
      </c>
      <c r="E77" s="1521">
        <f t="shared" ref="E77:AG77" si="53">SUM(E73:E76)</f>
        <v>2892</v>
      </c>
      <c r="F77" s="872">
        <f t="shared" si="53"/>
        <v>4166</v>
      </c>
      <c r="G77" s="870">
        <f t="shared" si="53"/>
        <v>1272</v>
      </c>
      <c r="H77" s="1521">
        <f t="shared" si="53"/>
        <v>3013</v>
      </c>
      <c r="I77" s="872">
        <f t="shared" si="53"/>
        <v>4285</v>
      </c>
      <c r="J77" s="870">
        <f t="shared" si="53"/>
        <v>1377</v>
      </c>
      <c r="K77" s="1521">
        <f t="shared" si="53"/>
        <v>2968</v>
      </c>
      <c r="L77" s="872">
        <f t="shared" si="53"/>
        <v>4345</v>
      </c>
      <c r="M77" s="870">
        <f t="shared" si="53"/>
        <v>1469</v>
      </c>
      <c r="N77" s="1521">
        <f t="shared" si="53"/>
        <v>2805</v>
      </c>
      <c r="O77" s="872">
        <f t="shared" si="53"/>
        <v>4274</v>
      </c>
      <c r="P77" s="870">
        <f t="shared" si="53"/>
        <v>1523</v>
      </c>
      <c r="Q77" s="1521">
        <f t="shared" si="53"/>
        <v>3318</v>
      </c>
      <c r="R77" s="872">
        <f t="shared" si="53"/>
        <v>4841</v>
      </c>
      <c r="S77" s="870">
        <f t="shared" si="53"/>
        <v>1996</v>
      </c>
      <c r="T77" s="1521">
        <f t="shared" si="53"/>
        <v>3591</v>
      </c>
      <c r="U77" s="872">
        <f t="shared" si="53"/>
        <v>5587</v>
      </c>
      <c r="V77" s="870">
        <f t="shared" si="53"/>
        <v>2024</v>
      </c>
      <c r="W77" s="1521">
        <f t="shared" si="53"/>
        <v>3932</v>
      </c>
      <c r="X77" s="872">
        <f t="shared" si="53"/>
        <v>5956</v>
      </c>
      <c r="Y77" s="870">
        <f t="shared" si="53"/>
        <v>2205</v>
      </c>
      <c r="Z77" s="1521">
        <f t="shared" si="53"/>
        <v>4528</v>
      </c>
      <c r="AA77" s="872">
        <f t="shared" si="53"/>
        <v>6733</v>
      </c>
      <c r="AB77" s="870">
        <f t="shared" si="53"/>
        <v>2499</v>
      </c>
      <c r="AC77" s="1521">
        <f t="shared" si="53"/>
        <v>4456</v>
      </c>
      <c r="AD77" s="872">
        <f t="shared" si="53"/>
        <v>6955</v>
      </c>
      <c r="AE77" s="870">
        <f t="shared" si="53"/>
        <v>2570</v>
      </c>
      <c r="AF77" s="1521">
        <f t="shared" si="53"/>
        <v>5107</v>
      </c>
      <c r="AG77" s="872">
        <f t="shared" si="53"/>
        <v>7677</v>
      </c>
      <c r="AH77" s="870">
        <f t="shared" ref="AH77:AM77" si="54">SUM(AH73:AH76)</f>
        <v>2401</v>
      </c>
      <c r="AI77" s="1521">
        <f t="shared" si="54"/>
        <v>4865</v>
      </c>
      <c r="AJ77" s="872">
        <f t="shared" si="54"/>
        <v>7266</v>
      </c>
      <c r="AK77" s="2328">
        <f>SUM(AK73:AK76)</f>
        <v>1904</v>
      </c>
      <c r="AL77" s="2332">
        <f>SUM(AL73:AL76)</f>
        <v>4561</v>
      </c>
      <c r="AM77" s="872">
        <f t="shared" si="54"/>
        <v>6465</v>
      </c>
      <c r="AN77" s="2328">
        <f>SUM(AN73:AN76)</f>
        <v>2054</v>
      </c>
      <c r="AO77" s="2332">
        <f>SUM(AO73:AO76)</f>
        <v>4627</v>
      </c>
      <c r="AP77" s="872">
        <f t="shared" ref="AP77" si="55">SUM(AP73:AP76)</f>
        <v>6681</v>
      </c>
    </row>
    <row r="78" spans="1:42" s="186" customFormat="1" ht="15" customHeight="1" x14ac:dyDescent="0.25">
      <c r="A78" s="5045"/>
      <c r="B78" s="3982"/>
      <c r="C78" s="2448" t="s">
        <v>450</v>
      </c>
      <c r="D78" s="2449">
        <f>SUM(D77,D72,D63)</f>
        <v>7601</v>
      </c>
      <c r="E78" s="2450">
        <f t="shared" ref="E78:AG78" si="56">SUM(E77,E72,E63)</f>
        <v>17106</v>
      </c>
      <c r="F78" s="2451">
        <f t="shared" si="56"/>
        <v>24707</v>
      </c>
      <c r="G78" s="2449">
        <f t="shared" si="56"/>
        <v>7656</v>
      </c>
      <c r="H78" s="2450">
        <f t="shared" si="56"/>
        <v>17630</v>
      </c>
      <c r="I78" s="2451">
        <f t="shared" si="56"/>
        <v>25286</v>
      </c>
      <c r="J78" s="2449">
        <f t="shared" si="56"/>
        <v>8788</v>
      </c>
      <c r="K78" s="2450">
        <f t="shared" si="56"/>
        <v>18763</v>
      </c>
      <c r="L78" s="2451">
        <f t="shared" si="56"/>
        <v>27551</v>
      </c>
      <c r="M78" s="2449">
        <f t="shared" si="56"/>
        <v>9077</v>
      </c>
      <c r="N78" s="2450">
        <f t="shared" si="56"/>
        <v>17120</v>
      </c>
      <c r="O78" s="2451">
        <f t="shared" si="56"/>
        <v>26197</v>
      </c>
      <c r="P78" s="2449">
        <f t="shared" si="56"/>
        <v>8893</v>
      </c>
      <c r="Q78" s="2450">
        <f t="shared" si="56"/>
        <v>18677</v>
      </c>
      <c r="R78" s="2451">
        <f t="shared" si="56"/>
        <v>27570</v>
      </c>
      <c r="S78" s="2449">
        <f t="shared" si="56"/>
        <v>10564</v>
      </c>
      <c r="T78" s="2450">
        <f t="shared" si="56"/>
        <v>19585</v>
      </c>
      <c r="U78" s="2451">
        <f t="shared" si="56"/>
        <v>30149</v>
      </c>
      <c r="V78" s="2449">
        <f t="shared" si="56"/>
        <v>11099</v>
      </c>
      <c r="W78" s="2450">
        <f t="shared" si="56"/>
        <v>21029</v>
      </c>
      <c r="X78" s="2451">
        <f t="shared" si="56"/>
        <v>32128</v>
      </c>
      <c r="Y78" s="2449">
        <f t="shared" si="56"/>
        <v>11275</v>
      </c>
      <c r="Z78" s="2450">
        <f t="shared" si="56"/>
        <v>23440</v>
      </c>
      <c r="AA78" s="2451">
        <f t="shared" si="56"/>
        <v>34715</v>
      </c>
      <c r="AB78" s="2449">
        <f t="shared" si="56"/>
        <v>13016</v>
      </c>
      <c r="AC78" s="2450">
        <f t="shared" si="56"/>
        <v>23503</v>
      </c>
      <c r="AD78" s="2451">
        <f t="shared" si="56"/>
        <v>36519</v>
      </c>
      <c r="AE78" s="2449">
        <f t="shared" si="56"/>
        <v>13482</v>
      </c>
      <c r="AF78" s="2450">
        <f t="shared" si="56"/>
        <v>26783</v>
      </c>
      <c r="AG78" s="2451">
        <f t="shared" si="56"/>
        <v>40265</v>
      </c>
      <c r="AH78" s="2449">
        <f t="shared" ref="AH78:AM78" si="57">SUM(AH77,AH72,AH63)</f>
        <v>12798</v>
      </c>
      <c r="AI78" s="2450">
        <f t="shared" si="57"/>
        <v>27865</v>
      </c>
      <c r="AJ78" s="2451">
        <f t="shared" si="57"/>
        <v>40663</v>
      </c>
      <c r="AK78" s="2449">
        <f t="shared" si="57"/>
        <v>11391</v>
      </c>
      <c r="AL78" s="2450">
        <f t="shared" si="57"/>
        <v>28133</v>
      </c>
      <c r="AM78" s="2451">
        <f t="shared" si="57"/>
        <v>39524</v>
      </c>
      <c r="AN78" s="2449">
        <f t="shared" ref="AN78:AP78" si="58">SUM(AN77,AN72,AN63)</f>
        <v>12777</v>
      </c>
      <c r="AO78" s="2450">
        <f t="shared" si="58"/>
        <v>30101</v>
      </c>
      <c r="AP78" s="2451">
        <f t="shared" si="58"/>
        <v>42878</v>
      </c>
    </row>
    <row r="79" spans="1:42" s="186" customFormat="1" ht="15" customHeight="1" x14ac:dyDescent="0.25">
      <c r="A79" s="5028" t="s">
        <v>436</v>
      </c>
      <c r="B79" s="5034" t="s">
        <v>6</v>
      </c>
      <c r="C79" s="827" t="s">
        <v>462</v>
      </c>
      <c r="D79" s="833"/>
      <c r="E79" s="834"/>
      <c r="F79" s="830"/>
      <c r="G79" s="833"/>
      <c r="H79" s="834"/>
      <c r="I79" s="830"/>
      <c r="J79" s="833"/>
      <c r="K79" s="834">
        <v>212</v>
      </c>
      <c r="L79" s="830">
        <v>212</v>
      </c>
      <c r="M79" s="833"/>
      <c r="N79" s="834">
        <v>103</v>
      </c>
      <c r="O79" s="830">
        <v>103</v>
      </c>
      <c r="P79" s="833"/>
      <c r="Q79" s="834">
        <v>129</v>
      </c>
      <c r="R79" s="830">
        <v>129</v>
      </c>
      <c r="S79" s="833"/>
      <c r="T79" s="834">
        <v>153</v>
      </c>
      <c r="U79" s="830">
        <v>153</v>
      </c>
      <c r="V79" s="833"/>
      <c r="W79" s="834">
        <v>179</v>
      </c>
      <c r="X79" s="830">
        <v>179</v>
      </c>
      <c r="Y79" s="833"/>
      <c r="Z79" s="834">
        <v>201</v>
      </c>
      <c r="AA79" s="830">
        <f t="shared" ref="AA79:AA91" si="59">SUM(Y79:Z79)</f>
        <v>201</v>
      </c>
      <c r="AB79" s="1523"/>
      <c r="AC79" s="832">
        <v>209</v>
      </c>
      <c r="AD79" s="830">
        <f t="shared" ref="AD79:AD91" si="60">SUM(AB79:AC79)</f>
        <v>209</v>
      </c>
      <c r="AE79" s="1523"/>
      <c r="AF79" s="832">
        <v>197</v>
      </c>
      <c r="AG79" s="830">
        <f t="shared" si="2"/>
        <v>197</v>
      </c>
      <c r="AH79" s="1523"/>
      <c r="AI79" s="832">
        <v>428</v>
      </c>
      <c r="AJ79" s="830">
        <f>SUM(AH79:AI79)</f>
        <v>428</v>
      </c>
      <c r="AK79" s="811">
        <v>220</v>
      </c>
      <c r="AL79" s="832">
        <v>517</v>
      </c>
      <c r="AM79" s="830">
        <f>SUM(AK79:AL79)</f>
        <v>737</v>
      </c>
      <c r="AN79" s="811">
        <v>276</v>
      </c>
      <c r="AO79" s="832">
        <v>650</v>
      </c>
      <c r="AP79" s="830">
        <f>SUM(AN79:AO79)</f>
        <v>926</v>
      </c>
    </row>
    <row r="80" spans="1:42" s="186" customFormat="1" ht="15" customHeight="1" x14ac:dyDescent="0.25">
      <c r="A80" s="5029"/>
      <c r="B80" s="5035"/>
      <c r="C80" s="813" t="s">
        <v>463</v>
      </c>
      <c r="D80" s="819"/>
      <c r="E80" s="821"/>
      <c r="F80" s="816"/>
      <c r="G80" s="819"/>
      <c r="H80" s="821"/>
      <c r="I80" s="816"/>
      <c r="J80" s="819"/>
      <c r="K80" s="821">
        <v>270</v>
      </c>
      <c r="L80" s="816">
        <v>270</v>
      </c>
      <c r="M80" s="819"/>
      <c r="N80" s="821"/>
      <c r="O80" s="816">
        <v>0</v>
      </c>
      <c r="P80" s="819"/>
      <c r="Q80" s="821"/>
      <c r="R80" s="816">
        <v>0</v>
      </c>
      <c r="S80" s="819"/>
      <c r="T80" s="821"/>
      <c r="U80" s="816">
        <v>0</v>
      </c>
      <c r="V80" s="819"/>
      <c r="W80" s="821"/>
      <c r="X80" s="816">
        <v>0</v>
      </c>
      <c r="Y80" s="819"/>
      <c r="Z80" s="821"/>
      <c r="AA80" s="816">
        <f t="shared" si="59"/>
        <v>0</v>
      </c>
      <c r="AB80" s="1524"/>
      <c r="AC80" s="1525"/>
      <c r="AD80" s="816"/>
      <c r="AE80" s="1524"/>
      <c r="AF80" s="1525"/>
      <c r="AG80" s="816"/>
      <c r="AH80" s="1524"/>
      <c r="AI80" s="821"/>
      <c r="AJ80" s="816"/>
      <c r="AK80" s="817"/>
      <c r="AL80" s="821"/>
      <c r="AM80" s="816"/>
      <c r="AN80" s="817"/>
      <c r="AO80" s="821">
        <v>216</v>
      </c>
      <c r="AP80" s="830">
        <f>SUM(AN80:AO80)</f>
        <v>216</v>
      </c>
    </row>
    <row r="81" spans="1:42" s="186" customFormat="1" ht="15" customHeight="1" x14ac:dyDescent="0.25">
      <c r="A81" s="5029"/>
      <c r="B81" s="5035"/>
      <c r="C81" s="813" t="s">
        <v>501</v>
      </c>
      <c r="D81" s="819"/>
      <c r="E81" s="821"/>
      <c r="F81" s="816"/>
      <c r="G81" s="819"/>
      <c r="H81" s="821"/>
      <c r="I81" s="816"/>
      <c r="J81" s="819"/>
      <c r="K81" s="821"/>
      <c r="L81" s="816">
        <v>0</v>
      </c>
      <c r="M81" s="819"/>
      <c r="N81" s="821"/>
      <c r="O81" s="816">
        <v>0</v>
      </c>
      <c r="P81" s="819"/>
      <c r="Q81" s="821">
        <v>7</v>
      </c>
      <c r="R81" s="816">
        <v>7</v>
      </c>
      <c r="S81" s="819"/>
      <c r="T81" s="821">
        <v>25</v>
      </c>
      <c r="U81" s="816">
        <v>25</v>
      </c>
      <c r="V81" s="819"/>
      <c r="W81" s="821">
        <v>19</v>
      </c>
      <c r="X81" s="816">
        <v>19</v>
      </c>
      <c r="Y81" s="819"/>
      <c r="Z81" s="821">
        <v>32</v>
      </c>
      <c r="AA81" s="816">
        <f t="shared" si="59"/>
        <v>32</v>
      </c>
      <c r="AB81" s="1524"/>
      <c r="AC81" s="821">
        <v>39</v>
      </c>
      <c r="AD81" s="816">
        <f t="shared" si="60"/>
        <v>39</v>
      </c>
      <c r="AE81" s="1524"/>
      <c r="AF81" s="821">
        <v>55</v>
      </c>
      <c r="AG81" s="816">
        <f t="shared" si="2"/>
        <v>55</v>
      </c>
      <c r="AH81" s="1524"/>
      <c r="AI81" s="821">
        <v>136</v>
      </c>
      <c r="AJ81" s="816">
        <f>SUM(AH81:AI81)</f>
        <v>136</v>
      </c>
      <c r="AK81" s="817">
        <v>51</v>
      </c>
      <c r="AL81" s="821">
        <v>119</v>
      </c>
      <c r="AM81" s="816">
        <f>SUM(AK81:AL81)</f>
        <v>170</v>
      </c>
      <c r="AN81" s="817">
        <v>66</v>
      </c>
      <c r="AO81" s="821">
        <v>114</v>
      </c>
      <c r="AP81" s="816">
        <f>SUM(AN81:AO81)</f>
        <v>180</v>
      </c>
    </row>
    <row r="82" spans="1:42" s="186" customFormat="1" ht="15" customHeight="1" x14ac:dyDescent="0.25">
      <c r="A82" s="5029"/>
      <c r="B82" s="5035"/>
      <c r="C82" s="822" t="s">
        <v>502</v>
      </c>
      <c r="D82" s="823"/>
      <c r="E82" s="1519"/>
      <c r="F82" s="825"/>
      <c r="G82" s="1520"/>
      <c r="H82" s="1519"/>
      <c r="I82" s="825"/>
      <c r="J82" s="823"/>
      <c r="K82" s="824"/>
      <c r="L82" s="825">
        <v>0</v>
      </c>
      <c r="M82" s="823"/>
      <c r="N82" s="824"/>
      <c r="O82" s="825">
        <v>0</v>
      </c>
      <c r="P82" s="823"/>
      <c r="Q82" s="824">
        <v>34</v>
      </c>
      <c r="R82" s="825">
        <v>34</v>
      </c>
      <c r="S82" s="823"/>
      <c r="T82" s="824">
        <v>44</v>
      </c>
      <c r="U82" s="825">
        <v>44</v>
      </c>
      <c r="V82" s="823"/>
      <c r="W82" s="824">
        <v>44</v>
      </c>
      <c r="X82" s="825">
        <v>44</v>
      </c>
      <c r="Y82" s="823"/>
      <c r="Z82" s="824">
        <v>73</v>
      </c>
      <c r="AA82" s="825">
        <f t="shared" si="59"/>
        <v>73</v>
      </c>
      <c r="AB82" s="826"/>
      <c r="AC82" s="824">
        <v>73</v>
      </c>
      <c r="AD82" s="825">
        <f t="shared" si="60"/>
        <v>73</v>
      </c>
      <c r="AE82" s="826"/>
      <c r="AF82" s="824">
        <v>82</v>
      </c>
      <c r="AG82" s="825">
        <f t="shared" si="2"/>
        <v>82</v>
      </c>
      <c r="AH82" s="826"/>
      <c r="AI82" s="824">
        <v>152</v>
      </c>
      <c r="AJ82" s="825">
        <f>SUM(AH82:AI82)</f>
        <v>152</v>
      </c>
      <c r="AK82" s="826">
        <v>92</v>
      </c>
      <c r="AL82" s="824">
        <v>152</v>
      </c>
      <c r="AM82" s="825">
        <f>SUM(AK82:AL82)</f>
        <v>244</v>
      </c>
      <c r="AN82" s="826">
        <v>116</v>
      </c>
      <c r="AO82" s="824">
        <v>150</v>
      </c>
      <c r="AP82" s="825">
        <f>SUM(AN82:AO82)</f>
        <v>266</v>
      </c>
    </row>
    <row r="83" spans="1:42" s="186" customFormat="1" ht="15" customHeight="1" x14ac:dyDescent="0.25">
      <c r="A83" s="5029"/>
      <c r="B83" s="5036"/>
      <c r="C83" s="869" t="s">
        <v>160</v>
      </c>
      <c r="D83" s="870"/>
      <c r="E83" s="1521"/>
      <c r="F83" s="872"/>
      <c r="G83" s="870"/>
      <c r="H83" s="1521"/>
      <c r="I83" s="872"/>
      <c r="J83" s="870"/>
      <c r="K83" s="1521">
        <f>SUM(K79:K82)</f>
        <v>482</v>
      </c>
      <c r="L83" s="872">
        <f t="shared" ref="L83:AG83" si="61">SUM(L79:L82)</f>
        <v>482</v>
      </c>
      <c r="M83" s="870">
        <f t="shared" si="61"/>
        <v>0</v>
      </c>
      <c r="N83" s="1521">
        <f t="shared" si="61"/>
        <v>103</v>
      </c>
      <c r="O83" s="872">
        <f t="shared" si="61"/>
        <v>103</v>
      </c>
      <c r="P83" s="870">
        <f t="shared" si="61"/>
        <v>0</v>
      </c>
      <c r="Q83" s="1521">
        <f t="shared" si="61"/>
        <v>170</v>
      </c>
      <c r="R83" s="872">
        <f t="shared" si="61"/>
        <v>170</v>
      </c>
      <c r="S83" s="870">
        <f t="shared" si="61"/>
        <v>0</v>
      </c>
      <c r="T83" s="1521">
        <f t="shared" si="61"/>
        <v>222</v>
      </c>
      <c r="U83" s="872">
        <f t="shared" si="61"/>
        <v>222</v>
      </c>
      <c r="V83" s="870">
        <f t="shared" si="61"/>
        <v>0</v>
      </c>
      <c r="W83" s="1521">
        <f t="shared" si="61"/>
        <v>242</v>
      </c>
      <c r="X83" s="872">
        <f t="shared" si="61"/>
        <v>242</v>
      </c>
      <c r="Y83" s="870">
        <f t="shared" si="61"/>
        <v>0</v>
      </c>
      <c r="Z83" s="1521">
        <f t="shared" si="61"/>
        <v>306</v>
      </c>
      <c r="AA83" s="872">
        <f t="shared" si="61"/>
        <v>306</v>
      </c>
      <c r="AB83" s="870">
        <f t="shared" si="61"/>
        <v>0</v>
      </c>
      <c r="AC83" s="1521">
        <f t="shared" si="61"/>
        <v>321</v>
      </c>
      <c r="AD83" s="872">
        <f t="shared" si="61"/>
        <v>321</v>
      </c>
      <c r="AE83" s="870">
        <f t="shared" si="61"/>
        <v>0</v>
      </c>
      <c r="AF83" s="1521">
        <f t="shared" si="61"/>
        <v>334</v>
      </c>
      <c r="AG83" s="872">
        <f t="shared" si="61"/>
        <v>334</v>
      </c>
      <c r="AH83" s="870">
        <f t="shared" ref="AH83:AM83" si="62">SUM(AH79:AH82)</f>
        <v>0</v>
      </c>
      <c r="AI83" s="1521">
        <f t="shared" si="62"/>
        <v>716</v>
      </c>
      <c r="AJ83" s="872">
        <f t="shared" si="62"/>
        <v>716</v>
      </c>
      <c r="AK83" s="2099">
        <f t="shared" si="62"/>
        <v>363</v>
      </c>
      <c r="AL83" s="2333">
        <f>SUM(AL79:AL82)</f>
        <v>788</v>
      </c>
      <c r="AM83" s="872">
        <f t="shared" si="62"/>
        <v>1151</v>
      </c>
      <c r="AN83" s="2099">
        <f t="shared" ref="AN83" si="63">SUM(AN79:AN82)</f>
        <v>458</v>
      </c>
      <c r="AO83" s="2333">
        <f>SUM(AO79:AO82)</f>
        <v>1130</v>
      </c>
      <c r="AP83" s="872">
        <f t="shared" ref="AP83" si="64">SUM(AP79:AP82)</f>
        <v>1588</v>
      </c>
    </row>
    <row r="84" spans="1:42" s="186" customFormat="1" ht="15" customHeight="1" x14ac:dyDescent="0.2">
      <c r="A84" s="5029"/>
      <c r="B84" s="5034" t="s">
        <v>9</v>
      </c>
      <c r="C84" s="807" t="s">
        <v>503</v>
      </c>
      <c r="D84" s="837"/>
      <c r="E84" s="838"/>
      <c r="F84" s="810"/>
      <c r="G84" s="837"/>
      <c r="H84" s="838"/>
      <c r="I84" s="810"/>
      <c r="J84" s="837"/>
      <c r="K84" s="838">
        <v>135</v>
      </c>
      <c r="L84" s="810">
        <v>135</v>
      </c>
      <c r="M84" s="837"/>
      <c r="N84" s="838">
        <v>89</v>
      </c>
      <c r="O84" s="810">
        <v>89</v>
      </c>
      <c r="P84" s="837"/>
      <c r="Q84" s="838">
        <v>165</v>
      </c>
      <c r="R84" s="810">
        <v>165</v>
      </c>
      <c r="S84" s="837"/>
      <c r="T84" s="838">
        <v>174</v>
      </c>
      <c r="U84" s="810">
        <v>174</v>
      </c>
      <c r="V84" s="837"/>
      <c r="W84" s="838">
        <v>228</v>
      </c>
      <c r="X84" s="810">
        <v>228</v>
      </c>
      <c r="Y84" s="837"/>
      <c r="Z84" s="838">
        <v>285</v>
      </c>
      <c r="AA84" s="810">
        <f t="shared" si="59"/>
        <v>285</v>
      </c>
      <c r="AB84" s="1526"/>
      <c r="AC84" s="838">
        <v>254</v>
      </c>
      <c r="AD84" s="810">
        <f t="shared" si="60"/>
        <v>254</v>
      </c>
      <c r="AE84" s="1526"/>
      <c r="AF84" s="838">
        <v>258</v>
      </c>
      <c r="AG84" s="810">
        <f t="shared" ref="AG84:AG98" si="65">SUM(AE84:AF84)</f>
        <v>258</v>
      </c>
      <c r="AH84" s="1526"/>
      <c r="AI84" s="838">
        <v>497</v>
      </c>
      <c r="AJ84" s="810">
        <f>SUM(AH84:AI84)</f>
        <v>497</v>
      </c>
      <c r="AK84" s="1526"/>
      <c r="AL84" s="838">
        <v>533</v>
      </c>
      <c r="AM84" s="810">
        <f>SUM(AK84:AL84)</f>
        <v>533</v>
      </c>
      <c r="AN84" s="1526"/>
      <c r="AO84" s="838">
        <v>526</v>
      </c>
      <c r="AP84" s="810">
        <f>SUM(AN84:AO84)</f>
        <v>526</v>
      </c>
    </row>
    <row r="85" spans="1:42" s="186" customFormat="1" ht="15" customHeight="1" x14ac:dyDescent="0.2">
      <c r="A85" s="5029"/>
      <c r="B85" s="5035"/>
      <c r="C85" s="813" t="s">
        <v>504</v>
      </c>
      <c r="D85" s="819"/>
      <c r="E85" s="821"/>
      <c r="F85" s="816"/>
      <c r="G85" s="819"/>
      <c r="H85" s="821"/>
      <c r="I85" s="816"/>
      <c r="J85" s="819"/>
      <c r="K85" s="821"/>
      <c r="L85" s="816">
        <v>0</v>
      </c>
      <c r="M85" s="819"/>
      <c r="N85" s="821"/>
      <c r="O85" s="816">
        <v>0</v>
      </c>
      <c r="P85" s="819"/>
      <c r="Q85" s="821">
        <v>64</v>
      </c>
      <c r="R85" s="816">
        <v>64</v>
      </c>
      <c r="S85" s="819"/>
      <c r="T85" s="821">
        <v>113</v>
      </c>
      <c r="U85" s="816">
        <v>113</v>
      </c>
      <c r="V85" s="819"/>
      <c r="W85" s="821">
        <v>101</v>
      </c>
      <c r="X85" s="816">
        <v>101</v>
      </c>
      <c r="Y85" s="819"/>
      <c r="Z85" s="821">
        <v>130</v>
      </c>
      <c r="AA85" s="816">
        <f t="shared" si="59"/>
        <v>130</v>
      </c>
      <c r="AB85" s="1524"/>
      <c r="AC85" s="821">
        <v>139</v>
      </c>
      <c r="AD85" s="816">
        <f t="shared" si="60"/>
        <v>139</v>
      </c>
      <c r="AE85" s="1524"/>
      <c r="AF85" s="821">
        <v>95</v>
      </c>
      <c r="AG85" s="816">
        <f t="shared" si="65"/>
        <v>95</v>
      </c>
      <c r="AH85" s="1524"/>
      <c r="AI85" s="821">
        <v>160</v>
      </c>
      <c r="AJ85" s="816">
        <f>SUM(AH85:AI85)</f>
        <v>160</v>
      </c>
      <c r="AK85" s="1524"/>
      <c r="AL85" s="821">
        <v>150</v>
      </c>
      <c r="AM85" s="816">
        <f>SUM(AK85:AL85)</f>
        <v>150</v>
      </c>
      <c r="AN85" s="1524"/>
      <c r="AO85" s="821">
        <v>162</v>
      </c>
      <c r="AP85" s="816">
        <f>SUM(AN85:AO85)</f>
        <v>162</v>
      </c>
    </row>
    <row r="86" spans="1:42" s="186" customFormat="1" ht="15" customHeight="1" x14ac:dyDescent="0.25">
      <c r="A86" s="5029"/>
      <c r="B86" s="5035"/>
      <c r="C86" s="822" t="s">
        <v>505</v>
      </c>
      <c r="D86" s="823"/>
      <c r="E86" s="1519"/>
      <c r="F86" s="825"/>
      <c r="G86" s="1520"/>
      <c r="H86" s="1519"/>
      <c r="I86" s="825"/>
      <c r="J86" s="823"/>
      <c r="K86" s="824"/>
      <c r="L86" s="825">
        <v>0</v>
      </c>
      <c r="M86" s="823"/>
      <c r="N86" s="824"/>
      <c r="O86" s="825">
        <v>0</v>
      </c>
      <c r="P86" s="823"/>
      <c r="Q86" s="824">
        <v>359</v>
      </c>
      <c r="R86" s="825">
        <v>359</v>
      </c>
      <c r="S86" s="823"/>
      <c r="T86" s="824">
        <v>398</v>
      </c>
      <c r="U86" s="825">
        <v>398</v>
      </c>
      <c r="V86" s="823"/>
      <c r="W86" s="824">
        <v>550</v>
      </c>
      <c r="X86" s="825">
        <v>550</v>
      </c>
      <c r="Y86" s="823"/>
      <c r="Z86" s="824">
        <v>679</v>
      </c>
      <c r="AA86" s="825">
        <f t="shared" si="59"/>
        <v>679</v>
      </c>
      <c r="AB86" s="826"/>
      <c r="AC86" s="824">
        <v>618</v>
      </c>
      <c r="AD86" s="825">
        <f t="shared" si="60"/>
        <v>618</v>
      </c>
      <c r="AE86" s="826"/>
      <c r="AF86" s="824">
        <v>648</v>
      </c>
      <c r="AG86" s="825">
        <f t="shared" si="65"/>
        <v>648</v>
      </c>
      <c r="AH86" s="826"/>
      <c r="AI86" s="824">
        <v>1230</v>
      </c>
      <c r="AJ86" s="825">
        <f>SUM(AH86:AI86)</f>
        <v>1230</v>
      </c>
      <c r="AK86" s="826"/>
      <c r="AL86" s="824">
        <v>1237</v>
      </c>
      <c r="AM86" s="825">
        <f>SUM(AK86:AL86)</f>
        <v>1237</v>
      </c>
      <c r="AN86" s="826"/>
      <c r="AO86" s="824">
        <v>1238</v>
      </c>
      <c r="AP86" s="825">
        <f>SUM(AN86:AO86)</f>
        <v>1238</v>
      </c>
    </row>
    <row r="87" spans="1:42" s="186" customFormat="1" ht="15" customHeight="1" x14ac:dyDescent="0.25">
      <c r="A87" s="5029"/>
      <c r="B87" s="5036"/>
      <c r="C87" s="875" t="s">
        <v>160</v>
      </c>
      <c r="D87" s="876"/>
      <c r="E87" s="1522"/>
      <c r="F87" s="586"/>
      <c r="G87" s="876"/>
      <c r="H87" s="1522"/>
      <c r="I87" s="586"/>
      <c r="J87" s="876"/>
      <c r="K87" s="1522">
        <f>SUM(K84:K86)</f>
        <v>135</v>
      </c>
      <c r="L87" s="586">
        <f t="shared" ref="L87:AG87" si="66">SUM(L84:L86)</f>
        <v>135</v>
      </c>
      <c r="M87" s="876">
        <f t="shared" si="66"/>
        <v>0</v>
      </c>
      <c r="N87" s="1522">
        <f t="shared" si="66"/>
        <v>89</v>
      </c>
      <c r="O87" s="586">
        <f t="shared" si="66"/>
        <v>89</v>
      </c>
      <c r="P87" s="876">
        <f t="shared" si="66"/>
        <v>0</v>
      </c>
      <c r="Q87" s="1522">
        <f t="shared" si="66"/>
        <v>588</v>
      </c>
      <c r="R87" s="586">
        <f t="shared" si="66"/>
        <v>588</v>
      </c>
      <c r="S87" s="876">
        <f t="shared" si="66"/>
        <v>0</v>
      </c>
      <c r="T87" s="1522">
        <f t="shared" si="66"/>
        <v>685</v>
      </c>
      <c r="U87" s="586">
        <f t="shared" si="66"/>
        <v>685</v>
      </c>
      <c r="V87" s="876">
        <f t="shared" si="66"/>
        <v>0</v>
      </c>
      <c r="W87" s="1522">
        <f t="shared" si="66"/>
        <v>879</v>
      </c>
      <c r="X87" s="586">
        <f t="shared" si="66"/>
        <v>879</v>
      </c>
      <c r="Y87" s="876">
        <f t="shared" si="66"/>
        <v>0</v>
      </c>
      <c r="Z87" s="1522">
        <f t="shared" si="66"/>
        <v>1094</v>
      </c>
      <c r="AA87" s="586">
        <f t="shared" si="66"/>
        <v>1094</v>
      </c>
      <c r="AB87" s="876">
        <f t="shared" si="66"/>
        <v>0</v>
      </c>
      <c r="AC87" s="1522">
        <f t="shared" si="66"/>
        <v>1011</v>
      </c>
      <c r="AD87" s="586">
        <f t="shared" si="66"/>
        <v>1011</v>
      </c>
      <c r="AE87" s="876">
        <f t="shared" si="66"/>
        <v>0</v>
      </c>
      <c r="AF87" s="1522">
        <f t="shared" si="66"/>
        <v>1001</v>
      </c>
      <c r="AG87" s="586">
        <f t="shared" si="66"/>
        <v>1001</v>
      </c>
      <c r="AH87" s="876">
        <f t="shared" ref="AH87:AM87" si="67">SUM(AH84:AH86)</f>
        <v>0</v>
      </c>
      <c r="AI87" s="1522">
        <f t="shared" si="67"/>
        <v>1887</v>
      </c>
      <c r="AJ87" s="586">
        <f t="shared" si="67"/>
        <v>1887</v>
      </c>
      <c r="AK87" s="2100">
        <f t="shared" si="67"/>
        <v>0</v>
      </c>
      <c r="AL87" s="2334">
        <f>SUM(AL84:AL86)</f>
        <v>1920</v>
      </c>
      <c r="AM87" s="586">
        <f t="shared" si="67"/>
        <v>1920</v>
      </c>
      <c r="AN87" s="2100">
        <f t="shared" ref="AN87" si="68">SUM(AN84:AN86)</f>
        <v>0</v>
      </c>
      <c r="AO87" s="2334">
        <f>SUM(AO84:AO86)</f>
        <v>1926</v>
      </c>
      <c r="AP87" s="586">
        <f t="shared" ref="AP87" si="69">SUM(AP84:AP86)</f>
        <v>1926</v>
      </c>
    </row>
    <row r="88" spans="1:42" s="186" customFormat="1" ht="15" customHeight="1" x14ac:dyDescent="0.2">
      <c r="A88" s="5029"/>
      <c r="B88" s="5034" t="s">
        <v>74</v>
      </c>
      <c r="C88" s="827" t="s">
        <v>461</v>
      </c>
      <c r="D88" s="833"/>
      <c r="E88" s="834"/>
      <c r="F88" s="830"/>
      <c r="G88" s="833"/>
      <c r="H88" s="834"/>
      <c r="I88" s="830"/>
      <c r="J88" s="833"/>
      <c r="K88" s="834">
        <v>188</v>
      </c>
      <c r="L88" s="830">
        <v>188</v>
      </c>
      <c r="M88" s="833"/>
      <c r="N88" s="834">
        <v>78</v>
      </c>
      <c r="O88" s="830">
        <v>78</v>
      </c>
      <c r="P88" s="833"/>
      <c r="Q88" s="834">
        <v>140</v>
      </c>
      <c r="R88" s="830">
        <v>140</v>
      </c>
      <c r="S88" s="833"/>
      <c r="T88" s="834">
        <v>181</v>
      </c>
      <c r="U88" s="830">
        <v>181</v>
      </c>
      <c r="V88" s="833"/>
      <c r="W88" s="834">
        <v>160</v>
      </c>
      <c r="X88" s="830">
        <v>160</v>
      </c>
      <c r="Y88" s="833"/>
      <c r="Z88" s="834">
        <v>239</v>
      </c>
      <c r="AA88" s="830">
        <f t="shared" si="59"/>
        <v>239</v>
      </c>
      <c r="AB88" s="1523"/>
      <c r="AC88" s="834">
        <v>204</v>
      </c>
      <c r="AD88" s="830">
        <f t="shared" si="60"/>
        <v>204</v>
      </c>
      <c r="AE88" s="1523"/>
      <c r="AF88" s="834">
        <v>179</v>
      </c>
      <c r="AG88" s="830">
        <f t="shared" si="65"/>
        <v>179</v>
      </c>
      <c r="AH88" s="1523"/>
      <c r="AI88" s="834">
        <v>343</v>
      </c>
      <c r="AJ88" s="830">
        <f>SUM(AH88:AI88)</f>
        <v>343</v>
      </c>
      <c r="AK88" s="1523"/>
      <c r="AL88" s="834">
        <v>396</v>
      </c>
      <c r="AM88" s="830">
        <f>SUM(AK88:AL88)</f>
        <v>396</v>
      </c>
      <c r="AN88" s="1523"/>
      <c r="AO88" s="834">
        <v>386</v>
      </c>
      <c r="AP88" s="830">
        <f>SUM(AN88:AO88)</f>
        <v>386</v>
      </c>
    </row>
    <row r="89" spans="1:42" s="186" customFormat="1" ht="15" customHeight="1" x14ac:dyDescent="0.2">
      <c r="A89" s="5029"/>
      <c r="B89" s="5035"/>
      <c r="C89" s="813" t="s">
        <v>506</v>
      </c>
      <c r="D89" s="819"/>
      <c r="E89" s="821"/>
      <c r="F89" s="816"/>
      <c r="G89" s="819"/>
      <c r="H89" s="821"/>
      <c r="I89" s="816"/>
      <c r="J89" s="819"/>
      <c r="K89" s="821">
        <v>21</v>
      </c>
      <c r="L89" s="816">
        <v>21</v>
      </c>
      <c r="M89" s="819"/>
      <c r="N89" s="821">
        <v>16</v>
      </c>
      <c r="O89" s="816">
        <v>16</v>
      </c>
      <c r="P89" s="819"/>
      <c r="Q89" s="821">
        <v>29</v>
      </c>
      <c r="R89" s="816">
        <v>29</v>
      </c>
      <c r="S89" s="819"/>
      <c r="T89" s="821">
        <v>37</v>
      </c>
      <c r="U89" s="816">
        <v>37</v>
      </c>
      <c r="V89" s="819"/>
      <c r="W89" s="821">
        <v>45</v>
      </c>
      <c r="X89" s="816">
        <v>45</v>
      </c>
      <c r="Y89" s="819"/>
      <c r="Z89" s="821">
        <v>45</v>
      </c>
      <c r="AA89" s="816">
        <f t="shared" si="59"/>
        <v>45</v>
      </c>
      <c r="AB89" s="1524"/>
      <c r="AC89" s="821">
        <v>51</v>
      </c>
      <c r="AD89" s="816">
        <f t="shared" si="60"/>
        <v>51</v>
      </c>
      <c r="AE89" s="1524"/>
      <c r="AF89" s="821">
        <v>50</v>
      </c>
      <c r="AG89" s="816">
        <f t="shared" si="65"/>
        <v>50</v>
      </c>
      <c r="AH89" s="1524"/>
      <c r="AI89" s="821">
        <v>106</v>
      </c>
      <c r="AJ89" s="816">
        <f>SUM(AH89:AI89)</f>
        <v>106</v>
      </c>
      <c r="AK89" s="1524"/>
      <c r="AL89" s="821">
        <v>109</v>
      </c>
      <c r="AM89" s="816">
        <f>SUM(AK89:AL89)</f>
        <v>109</v>
      </c>
      <c r="AN89" s="1524"/>
      <c r="AO89" s="821">
        <v>123</v>
      </c>
      <c r="AP89" s="816">
        <f>SUM(AN89:AO89)</f>
        <v>123</v>
      </c>
    </row>
    <row r="90" spans="1:42" s="186" customFormat="1" ht="15" customHeight="1" x14ac:dyDescent="0.2">
      <c r="A90" s="5029"/>
      <c r="B90" s="5035"/>
      <c r="C90" s="813" t="s">
        <v>507</v>
      </c>
      <c r="D90" s="819"/>
      <c r="E90" s="821"/>
      <c r="F90" s="816"/>
      <c r="G90" s="819"/>
      <c r="H90" s="821"/>
      <c r="I90" s="816"/>
      <c r="J90" s="819"/>
      <c r="K90" s="821"/>
      <c r="L90" s="816">
        <v>0</v>
      </c>
      <c r="M90" s="819"/>
      <c r="N90" s="821"/>
      <c r="O90" s="816">
        <v>0</v>
      </c>
      <c r="P90" s="819"/>
      <c r="Q90" s="821"/>
      <c r="R90" s="816">
        <v>0</v>
      </c>
      <c r="S90" s="819"/>
      <c r="T90" s="821">
        <v>28</v>
      </c>
      <c r="U90" s="816">
        <v>28</v>
      </c>
      <c r="V90" s="819"/>
      <c r="W90" s="821">
        <v>36</v>
      </c>
      <c r="X90" s="816">
        <v>36</v>
      </c>
      <c r="Y90" s="819"/>
      <c r="Z90" s="821">
        <v>55</v>
      </c>
      <c r="AA90" s="816">
        <f t="shared" si="59"/>
        <v>55</v>
      </c>
      <c r="AB90" s="1524"/>
      <c r="AC90" s="821">
        <v>31</v>
      </c>
      <c r="AD90" s="816">
        <f t="shared" si="60"/>
        <v>31</v>
      </c>
      <c r="AE90" s="1524"/>
      <c r="AF90" s="821">
        <v>33</v>
      </c>
      <c r="AG90" s="816">
        <f t="shared" si="65"/>
        <v>33</v>
      </c>
      <c r="AH90" s="1524"/>
      <c r="AI90" s="821">
        <v>93</v>
      </c>
      <c r="AJ90" s="816">
        <f>SUM(AH90:AI90)</f>
        <v>93</v>
      </c>
      <c r="AK90" s="1524"/>
      <c r="AL90" s="821">
        <v>113</v>
      </c>
      <c r="AM90" s="816">
        <f>SUM(AK90:AL90)</f>
        <v>113</v>
      </c>
      <c r="AN90" s="1524"/>
      <c r="AO90" s="821">
        <v>118</v>
      </c>
      <c r="AP90" s="816">
        <f>SUM(AN90:AO90)</f>
        <v>118</v>
      </c>
    </row>
    <row r="91" spans="1:42" s="186" customFormat="1" ht="15" customHeight="1" x14ac:dyDescent="0.25">
      <c r="A91" s="5029"/>
      <c r="B91" s="5035"/>
      <c r="C91" s="822" t="s">
        <v>508</v>
      </c>
      <c r="D91" s="823"/>
      <c r="E91" s="1519"/>
      <c r="F91" s="825"/>
      <c r="G91" s="1520"/>
      <c r="H91" s="1519"/>
      <c r="I91" s="825"/>
      <c r="J91" s="823"/>
      <c r="K91" s="824"/>
      <c r="L91" s="825"/>
      <c r="M91" s="823"/>
      <c r="N91" s="824"/>
      <c r="O91" s="825"/>
      <c r="P91" s="823"/>
      <c r="Q91" s="824"/>
      <c r="R91" s="825"/>
      <c r="S91" s="823"/>
      <c r="T91" s="824"/>
      <c r="U91" s="825"/>
      <c r="V91" s="823"/>
      <c r="W91" s="824"/>
      <c r="X91" s="825"/>
      <c r="Y91" s="823"/>
      <c r="Z91" s="824">
        <v>105</v>
      </c>
      <c r="AA91" s="825">
        <f t="shared" si="59"/>
        <v>105</v>
      </c>
      <c r="AB91" s="826"/>
      <c r="AC91" s="824">
        <v>94</v>
      </c>
      <c r="AD91" s="825">
        <f t="shared" si="60"/>
        <v>94</v>
      </c>
      <c r="AE91" s="826"/>
      <c r="AF91" s="824">
        <v>101</v>
      </c>
      <c r="AG91" s="825">
        <f t="shared" si="65"/>
        <v>101</v>
      </c>
      <c r="AH91" s="826"/>
      <c r="AI91" s="824">
        <v>228</v>
      </c>
      <c r="AJ91" s="825">
        <f>SUM(AH91:AI91)</f>
        <v>228</v>
      </c>
      <c r="AK91" s="826"/>
      <c r="AL91" s="824">
        <v>231</v>
      </c>
      <c r="AM91" s="825">
        <f>SUM(AK91:AL91)</f>
        <v>231</v>
      </c>
      <c r="AN91" s="826"/>
      <c r="AO91" s="824">
        <v>328</v>
      </c>
      <c r="AP91" s="825">
        <f>SUM(AN91:AO91)</f>
        <v>328</v>
      </c>
    </row>
    <row r="92" spans="1:42" s="186" customFormat="1" ht="15" customHeight="1" x14ac:dyDescent="0.25">
      <c r="A92" s="5029"/>
      <c r="B92" s="5036"/>
      <c r="C92" s="869"/>
      <c r="D92" s="870"/>
      <c r="E92" s="1521"/>
      <c r="F92" s="872"/>
      <c r="G92" s="870"/>
      <c r="H92" s="1521"/>
      <c r="I92" s="872"/>
      <c r="J92" s="870"/>
      <c r="K92" s="1521">
        <f>SUM(K88:K91)</f>
        <v>209</v>
      </c>
      <c r="L92" s="872">
        <f t="shared" ref="L92:AG92" si="70">SUM(L88:L91)</f>
        <v>209</v>
      </c>
      <c r="M92" s="870">
        <f t="shared" si="70"/>
        <v>0</v>
      </c>
      <c r="N92" s="1521">
        <f t="shared" si="70"/>
        <v>94</v>
      </c>
      <c r="O92" s="872">
        <f t="shared" si="70"/>
        <v>94</v>
      </c>
      <c r="P92" s="870">
        <f t="shared" si="70"/>
        <v>0</v>
      </c>
      <c r="Q92" s="1521">
        <f t="shared" si="70"/>
        <v>169</v>
      </c>
      <c r="R92" s="872">
        <f t="shared" si="70"/>
        <v>169</v>
      </c>
      <c r="S92" s="870">
        <f t="shared" si="70"/>
        <v>0</v>
      </c>
      <c r="T92" s="1521">
        <f t="shared" si="70"/>
        <v>246</v>
      </c>
      <c r="U92" s="872">
        <f t="shared" si="70"/>
        <v>246</v>
      </c>
      <c r="V92" s="870">
        <f t="shared" si="70"/>
        <v>0</v>
      </c>
      <c r="W92" s="1521">
        <f t="shared" si="70"/>
        <v>241</v>
      </c>
      <c r="X92" s="872">
        <f t="shared" si="70"/>
        <v>241</v>
      </c>
      <c r="Y92" s="870">
        <f t="shared" si="70"/>
        <v>0</v>
      </c>
      <c r="Z92" s="1521">
        <f t="shared" si="70"/>
        <v>444</v>
      </c>
      <c r="AA92" s="872">
        <f t="shared" si="70"/>
        <v>444</v>
      </c>
      <c r="AB92" s="870">
        <f t="shared" si="70"/>
        <v>0</v>
      </c>
      <c r="AC92" s="1521">
        <f t="shared" si="70"/>
        <v>380</v>
      </c>
      <c r="AD92" s="872">
        <f t="shared" si="70"/>
        <v>380</v>
      </c>
      <c r="AE92" s="870">
        <f t="shared" si="70"/>
        <v>0</v>
      </c>
      <c r="AF92" s="1521">
        <f t="shared" si="70"/>
        <v>363</v>
      </c>
      <c r="AG92" s="872">
        <f t="shared" si="70"/>
        <v>363</v>
      </c>
      <c r="AH92" s="870">
        <f t="shared" ref="AH92:AM92" si="71">SUM(AH88:AH91)</f>
        <v>0</v>
      </c>
      <c r="AI92" s="1521">
        <f t="shared" si="71"/>
        <v>770</v>
      </c>
      <c r="AJ92" s="872">
        <f t="shared" si="71"/>
        <v>770</v>
      </c>
      <c r="AK92" s="2099">
        <f t="shared" si="71"/>
        <v>0</v>
      </c>
      <c r="AL92" s="2335">
        <v>849</v>
      </c>
      <c r="AM92" s="872">
        <f t="shared" si="71"/>
        <v>849</v>
      </c>
      <c r="AN92" s="2099">
        <f t="shared" ref="AN92" si="72">SUM(AN88:AN91)</f>
        <v>0</v>
      </c>
      <c r="AO92" s="2335">
        <f>SUM(AO88:AO91)</f>
        <v>955</v>
      </c>
      <c r="AP92" s="872">
        <f t="shared" ref="AP92" si="73">SUM(AP88:AP91)</f>
        <v>955</v>
      </c>
    </row>
    <row r="93" spans="1:42" s="186" customFormat="1" ht="15" customHeight="1" x14ac:dyDescent="0.25">
      <c r="A93" s="5030"/>
      <c r="B93" s="2435"/>
      <c r="C93" s="2436" t="s">
        <v>450</v>
      </c>
      <c r="D93" s="2437"/>
      <c r="E93" s="2438"/>
      <c r="F93" s="2439"/>
      <c r="G93" s="2437"/>
      <c r="H93" s="2438"/>
      <c r="I93" s="2439"/>
      <c r="J93" s="2437"/>
      <c r="K93" s="2438">
        <f>SUM(K92,K87,K83)</f>
        <v>826</v>
      </c>
      <c r="L93" s="2439">
        <f t="shared" ref="L93:AG93" si="74">SUM(L92,L87,L83)</f>
        <v>826</v>
      </c>
      <c r="M93" s="2437">
        <f t="shared" si="74"/>
        <v>0</v>
      </c>
      <c r="N93" s="2438">
        <f t="shared" si="74"/>
        <v>286</v>
      </c>
      <c r="O93" s="2439">
        <f t="shared" si="74"/>
        <v>286</v>
      </c>
      <c r="P93" s="2437">
        <f t="shared" si="74"/>
        <v>0</v>
      </c>
      <c r="Q93" s="2438">
        <f t="shared" si="74"/>
        <v>927</v>
      </c>
      <c r="R93" s="2439">
        <f t="shared" si="74"/>
        <v>927</v>
      </c>
      <c r="S93" s="2437">
        <f t="shared" si="74"/>
        <v>0</v>
      </c>
      <c r="T93" s="2438">
        <f t="shared" si="74"/>
        <v>1153</v>
      </c>
      <c r="U93" s="2439">
        <f t="shared" si="74"/>
        <v>1153</v>
      </c>
      <c r="V93" s="2437">
        <f t="shared" si="74"/>
        <v>0</v>
      </c>
      <c r="W93" s="2438">
        <f t="shared" si="74"/>
        <v>1362</v>
      </c>
      <c r="X93" s="2439">
        <f t="shared" si="74"/>
        <v>1362</v>
      </c>
      <c r="Y93" s="2437">
        <f t="shared" si="74"/>
        <v>0</v>
      </c>
      <c r="Z93" s="2438">
        <f t="shared" si="74"/>
        <v>1844</v>
      </c>
      <c r="AA93" s="2439">
        <f t="shared" si="74"/>
        <v>1844</v>
      </c>
      <c r="AB93" s="2437">
        <f t="shared" si="74"/>
        <v>0</v>
      </c>
      <c r="AC93" s="2438">
        <f t="shared" si="74"/>
        <v>1712</v>
      </c>
      <c r="AD93" s="2439">
        <f t="shared" si="74"/>
        <v>1712</v>
      </c>
      <c r="AE93" s="2437">
        <f t="shared" si="74"/>
        <v>0</v>
      </c>
      <c r="AF93" s="2438">
        <f t="shared" si="74"/>
        <v>1698</v>
      </c>
      <c r="AG93" s="2439">
        <f t="shared" si="74"/>
        <v>1698</v>
      </c>
      <c r="AH93" s="2437">
        <f t="shared" ref="AH93:AM93" si="75">SUM(AH92,AH87,AH83)</f>
        <v>0</v>
      </c>
      <c r="AI93" s="2438">
        <f t="shared" si="75"/>
        <v>3373</v>
      </c>
      <c r="AJ93" s="2439">
        <f t="shared" si="75"/>
        <v>3373</v>
      </c>
      <c r="AK93" s="2437">
        <f t="shared" si="75"/>
        <v>363</v>
      </c>
      <c r="AL93" s="2438">
        <f>SUM(AL83,AL87,AL92)</f>
        <v>3557</v>
      </c>
      <c r="AM93" s="2439">
        <f t="shared" si="75"/>
        <v>3920</v>
      </c>
      <c r="AN93" s="2437">
        <f t="shared" ref="AN93" si="76">SUM(AN92,AN87,AN83)</f>
        <v>458</v>
      </c>
      <c r="AO93" s="2438">
        <f>SUM(AO83,AO87,AO92)</f>
        <v>4011</v>
      </c>
      <c r="AP93" s="2439">
        <f t="shared" ref="AP93" si="77">SUM(AP92,AP87,AP83)</f>
        <v>4469</v>
      </c>
    </row>
    <row r="94" spans="1:42" s="186" customFormat="1" ht="15" customHeight="1" x14ac:dyDescent="0.2">
      <c r="A94" s="5031" t="s">
        <v>437</v>
      </c>
      <c r="B94" s="1469" t="s">
        <v>5</v>
      </c>
      <c r="C94" s="709" t="s">
        <v>509</v>
      </c>
      <c r="D94" s="841"/>
      <c r="E94" s="842"/>
      <c r="F94" s="843"/>
      <c r="G94" s="841"/>
      <c r="H94" s="842"/>
      <c r="I94" s="844"/>
      <c r="J94" s="842"/>
      <c r="K94" s="842"/>
      <c r="L94" s="843"/>
      <c r="M94" s="841"/>
      <c r="N94" s="842"/>
      <c r="O94" s="844"/>
      <c r="P94" s="842"/>
      <c r="Q94" s="842"/>
      <c r="R94" s="843"/>
      <c r="S94" s="841"/>
      <c r="T94" s="842"/>
      <c r="U94" s="844"/>
      <c r="V94" s="841"/>
      <c r="W94" s="842"/>
      <c r="X94" s="844"/>
      <c r="Y94" s="842"/>
      <c r="Z94" s="842"/>
      <c r="AA94" s="844"/>
      <c r="AB94" s="841">
        <v>21</v>
      </c>
      <c r="AC94" s="842">
        <v>46</v>
      </c>
      <c r="AD94" s="844">
        <f>SUM(AB94:AC94)</f>
        <v>67</v>
      </c>
      <c r="AE94" s="841"/>
      <c r="AF94" s="842">
        <v>33</v>
      </c>
      <c r="AG94" s="844">
        <f t="shared" si="65"/>
        <v>33</v>
      </c>
      <c r="AH94" s="841">
        <v>20</v>
      </c>
      <c r="AI94" s="842">
        <v>40</v>
      </c>
      <c r="AJ94" s="844">
        <f>SUM(AH94:AI94)</f>
        <v>60</v>
      </c>
      <c r="AK94" s="841">
        <v>21</v>
      </c>
      <c r="AL94" s="842">
        <v>45</v>
      </c>
      <c r="AM94" s="844">
        <f>SUM(AK94:AL94)</f>
        <v>66</v>
      </c>
      <c r="AN94" s="841">
        <v>23</v>
      </c>
      <c r="AO94" s="842">
        <v>56</v>
      </c>
      <c r="AP94" s="844">
        <f>SUM(AN94:AO94)</f>
        <v>79</v>
      </c>
    </row>
    <row r="95" spans="1:42" s="186" customFormat="1" ht="15" customHeight="1" x14ac:dyDescent="0.2">
      <c r="A95" s="5032"/>
      <c r="B95" s="5055" t="s">
        <v>6</v>
      </c>
      <c r="C95" s="813" t="s">
        <v>510</v>
      </c>
      <c r="D95" s="819"/>
      <c r="E95" s="821"/>
      <c r="F95" s="816"/>
      <c r="G95" s="819"/>
      <c r="H95" s="821"/>
      <c r="I95" s="816"/>
      <c r="J95" s="819"/>
      <c r="K95" s="821"/>
      <c r="L95" s="816"/>
      <c r="M95" s="819"/>
      <c r="N95" s="821"/>
      <c r="O95" s="816"/>
      <c r="P95" s="819"/>
      <c r="Q95" s="821"/>
      <c r="R95" s="816"/>
      <c r="S95" s="819"/>
      <c r="T95" s="821"/>
      <c r="U95" s="816"/>
      <c r="V95" s="819"/>
      <c r="W95" s="821"/>
      <c r="X95" s="816"/>
      <c r="Y95" s="819"/>
      <c r="Z95" s="821"/>
      <c r="AA95" s="816"/>
      <c r="AB95" s="821">
        <v>49</v>
      </c>
      <c r="AC95" s="821">
        <v>119</v>
      </c>
      <c r="AD95" s="816">
        <f>SUM(AB95:AC95)</f>
        <v>168</v>
      </c>
      <c r="AE95" s="1524"/>
      <c r="AF95" s="821">
        <v>67</v>
      </c>
      <c r="AG95" s="816">
        <f t="shared" si="65"/>
        <v>67</v>
      </c>
      <c r="AH95" s="1524">
        <v>30</v>
      </c>
      <c r="AI95" s="821">
        <v>79</v>
      </c>
      <c r="AJ95" s="816">
        <f>SUM(AH95:AI95)</f>
        <v>109</v>
      </c>
      <c r="AK95" s="1524"/>
      <c r="AL95" s="821">
        <v>93</v>
      </c>
      <c r="AM95" s="816">
        <f>SUM(AK95:AL95)</f>
        <v>93</v>
      </c>
      <c r="AN95" s="1524"/>
      <c r="AO95" s="821">
        <v>141</v>
      </c>
      <c r="AP95" s="816">
        <f>SUM(AN95:AO95)</f>
        <v>141</v>
      </c>
    </row>
    <row r="96" spans="1:42" s="186" customFormat="1" ht="15" customHeight="1" x14ac:dyDescent="0.25">
      <c r="A96" s="5032"/>
      <c r="B96" s="5056"/>
      <c r="C96" s="822" t="s">
        <v>625</v>
      </c>
      <c r="D96" s="823"/>
      <c r="E96" s="1519"/>
      <c r="F96" s="825"/>
      <c r="G96" s="1520"/>
      <c r="H96" s="1519"/>
      <c r="I96" s="825"/>
      <c r="J96" s="823"/>
      <c r="K96" s="824"/>
      <c r="L96" s="825"/>
      <c r="M96" s="823"/>
      <c r="N96" s="824"/>
      <c r="O96" s="825"/>
      <c r="P96" s="823"/>
      <c r="Q96" s="824"/>
      <c r="R96" s="825"/>
      <c r="S96" s="823"/>
      <c r="T96" s="824"/>
      <c r="U96" s="825"/>
      <c r="V96" s="823"/>
      <c r="W96" s="824"/>
      <c r="X96" s="825"/>
      <c r="Y96" s="823"/>
      <c r="Z96" s="824" t="s">
        <v>227</v>
      </c>
      <c r="AA96" s="825"/>
      <c r="AB96" s="826"/>
      <c r="AC96" s="824"/>
      <c r="AD96" s="825"/>
      <c r="AE96" s="826"/>
      <c r="AF96" s="824"/>
      <c r="AG96" s="825"/>
      <c r="AH96" s="826"/>
      <c r="AI96" s="824">
        <v>85</v>
      </c>
      <c r="AJ96" s="816">
        <f>SUM(AH96:AI96)</f>
        <v>85</v>
      </c>
      <c r="AK96" s="826"/>
      <c r="AL96" s="824">
        <v>192</v>
      </c>
      <c r="AM96" s="816">
        <f>SUM(AK96:AL96)</f>
        <v>192</v>
      </c>
      <c r="AN96" s="826"/>
      <c r="AO96" s="824">
        <v>254</v>
      </c>
      <c r="AP96" s="816">
        <f>SUM(AN96:AO96)</f>
        <v>254</v>
      </c>
    </row>
    <row r="97" spans="1:42" s="186" customFormat="1" ht="15" customHeight="1" x14ac:dyDescent="0.25">
      <c r="A97" s="5032"/>
      <c r="B97" s="5057"/>
      <c r="C97" s="875" t="s">
        <v>160</v>
      </c>
      <c r="D97" s="876"/>
      <c r="E97" s="1522"/>
      <c r="F97" s="586"/>
      <c r="G97" s="876"/>
      <c r="H97" s="1522"/>
      <c r="I97" s="586"/>
      <c r="J97" s="876"/>
      <c r="K97" s="1522"/>
      <c r="L97" s="586"/>
      <c r="M97" s="876"/>
      <c r="N97" s="1522"/>
      <c r="O97" s="586"/>
      <c r="P97" s="876"/>
      <c r="Q97" s="1522"/>
      <c r="R97" s="586"/>
      <c r="S97" s="876"/>
      <c r="T97" s="1522"/>
      <c r="U97" s="586"/>
      <c r="V97" s="876"/>
      <c r="W97" s="1522"/>
      <c r="X97" s="586"/>
      <c r="Y97" s="876"/>
      <c r="Z97" s="1522"/>
      <c r="AA97" s="586"/>
      <c r="AB97" s="876"/>
      <c r="AC97" s="1522"/>
      <c r="AD97" s="586"/>
      <c r="AE97" s="876"/>
      <c r="AF97" s="1522"/>
      <c r="AG97" s="586"/>
      <c r="AH97" s="876">
        <f t="shared" ref="AH97:AM97" si="78">SUM(AH95:AH96)</f>
        <v>30</v>
      </c>
      <c r="AI97" s="1522">
        <f t="shared" si="78"/>
        <v>164</v>
      </c>
      <c r="AJ97" s="1527">
        <f t="shared" si="78"/>
        <v>194</v>
      </c>
      <c r="AK97" s="876">
        <f t="shared" si="78"/>
        <v>0</v>
      </c>
      <c r="AL97" s="1522">
        <f t="shared" si="78"/>
        <v>285</v>
      </c>
      <c r="AM97" s="1527">
        <f t="shared" si="78"/>
        <v>285</v>
      </c>
      <c r="AN97" s="876">
        <f t="shared" ref="AN97:AP97" si="79">SUM(AN95:AN96)</f>
        <v>0</v>
      </c>
      <c r="AO97" s="1522">
        <f>SUM(AO95:AO96)</f>
        <v>395</v>
      </c>
      <c r="AP97" s="1527">
        <f t="shared" si="79"/>
        <v>395</v>
      </c>
    </row>
    <row r="98" spans="1:42" s="186" customFormat="1" ht="14.25" customHeight="1" x14ac:dyDescent="0.2">
      <c r="A98" s="5032"/>
      <c r="B98" s="1469" t="s">
        <v>11</v>
      </c>
      <c r="C98" s="840" t="s">
        <v>511</v>
      </c>
      <c r="D98" s="520"/>
      <c r="E98" s="521"/>
      <c r="F98" s="512"/>
      <c r="G98" s="520"/>
      <c r="H98" s="521"/>
      <c r="I98" s="513"/>
      <c r="J98" s="521"/>
      <c r="K98" s="521"/>
      <c r="L98" s="512"/>
      <c r="M98" s="520"/>
      <c r="N98" s="521"/>
      <c r="O98" s="513"/>
      <c r="P98" s="521"/>
      <c r="Q98" s="521"/>
      <c r="R98" s="512"/>
      <c r="S98" s="520"/>
      <c r="T98" s="521"/>
      <c r="U98" s="513"/>
      <c r="V98" s="520"/>
      <c r="W98" s="521"/>
      <c r="X98" s="513"/>
      <c r="Y98" s="521"/>
      <c r="Z98" s="521"/>
      <c r="AA98" s="513"/>
      <c r="AB98" s="520">
        <v>34</v>
      </c>
      <c r="AC98" s="521">
        <v>133</v>
      </c>
      <c r="AD98" s="513">
        <f>SUM(AB98:AC98)</f>
        <v>167</v>
      </c>
      <c r="AE98" s="520"/>
      <c r="AF98" s="521">
        <v>63</v>
      </c>
      <c r="AG98" s="513">
        <f t="shared" si="65"/>
        <v>63</v>
      </c>
      <c r="AH98" s="520">
        <v>32</v>
      </c>
      <c r="AI98" s="521">
        <v>115</v>
      </c>
      <c r="AJ98" s="513">
        <f>SUM(AH98:AI98)</f>
        <v>147</v>
      </c>
      <c r="AK98" s="520">
        <v>43</v>
      </c>
      <c r="AL98" s="521">
        <v>39</v>
      </c>
      <c r="AM98" s="513">
        <f>SUM(AK98:AL98)</f>
        <v>82</v>
      </c>
      <c r="AN98" s="520">
        <v>38</v>
      </c>
      <c r="AO98" s="521">
        <v>133</v>
      </c>
      <c r="AP98" s="513">
        <f>SUM(AN98:AO98)</f>
        <v>171</v>
      </c>
    </row>
    <row r="99" spans="1:42" s="186" customFormat="1" ht="15" customHeight="1" x14ac:dyDescent="0.25">
      <c r="A99" s="5033"/>
      <c r="B99" s="3983"/>
      <c r="C99" s="2444" t="s">
        <v>450</v>
      </c>
      <c r="D99" s="2445"/>
      <c r="E99" s="2446"/>
      <c r="F99" s="2446"/>
      <c r="G99" s="2445"/>
      <c r="H99" s="2446"/>
      <c r="I99" s="2447"/>
      <c r="J99" s="2446"/>
      <c r="K99" s="2446"/>
      <c r="L99" s="2446"/>
      <c r="M99" s="2445"/>
      <c r="N99" s="2446"/>
      <c r="O99" s="2447"/>
      <c r="P99" s="2446"/>
      <c r="Q99" s="2446"/>
      <c r="R99" s="2446"/>
      <c r="S99" s="2445"/>
      <c r="T99" s="2446"/>
      <c r="U99" s="2447"/>
      <c r="V99" s="2445"/>
      <c r="W99" s="2446"/>
      <c r="X99" s="2447"/>
      <c r="Y99" s="2446"/>
      <c r="Z99" s="2446"/>
      <c r="AA99" s="2447"/>
      <c r="AB99" s="2445">
        <f t="shared" ref="AB99:AG99" si="80">SUM(AB94:AB98)</f>
        <v>104</v>
      </c>
      <c r="AC99" s="2446">
        <f t="shared" si="80"/>
        <v>298</v>
      </c>
      <c r="AD99" s="2447">
        <f t="shared" si="80"/>
        <v>402</v>
      </c>
      <c r="AE99" s="2445">
        <f t="shared" si="80"/>
        <v>0</v>
      </c>
      <c r="AF99" s="2446">
        <f t="shared" si="80"/>
        <v>163</v>
      </c>
      <c r="AG99" s="2447">
        <f t="shared" si="80"/>
        <v>163</v>
      </c>
      <c r="AH99" s="2445">
        <f>SUM(AH94,AH97,AH98)</f>
        <v>82</v>
      </c>
      <c r="AI99" s="2446">
        <f>SUM(AI94,AI97,AI98)</f>
        <v>319</v>
      </c>
      <c r="AJ99" s="2447">
        <f>SUM(AH99:AI99)</f>
        <v>401</v>
      </c>
      <c r="AK99" s="2445">
        <f>SUM(AK94,AK97,AK98)</f>
        <v>64</v>
      </c>
      <c r="AL99" s="2446">
        <f>SUM(AL94,AL97,AL98)</f>
        <v>369</v>
      </c>
      <c r="AM99" s="2447">
        <f>SUM(AK99:AL99)</f>
        <v>433</v>
      </c>
      <c r="AN99" s="2445">
        <f>SUM(AN94,AN97,AN98)</f>
        <v>61</v>
      </c>
      <c r="AO99" s="2446">
        <f>SUM(AO94,AO97,AO98)</f>
        <v>584</v>
      </c>
      <c r="AP99" s="2447">
        <f>SUM(AN99:AO99)</f>
        <v>645</v>
      </c>
    </row>
    <row r="100" spans="1:42" s="186" customFormat="1" ht="15" customHeight="1" x14ac:dyDescent="0.2">
      <c r="D100" s="524"/>
      <c r="E100" s="524"/>
      <c r="F100" s="524"/>
      <c r="G100" s="524"/>
      <c r="H100" s="524"/>
      <c r="I100" s="524"/>
      <c r="J100" s="524"/>
      <c r="K100" s="524"/>
      <c r="L100" s="524"/>
      <c r="M100" s="524"/>
      <c r="N100" s="524"/>
      <c r="O100" s="524"/>
      <c r="P100" s="524"/>
      <c r="Q100" s="524"/>
      <c r="R100" s="524"/>
      <c r="S100" s="524"/>
      <c r="T100" s="524"/>
      <c r="U100" s="524"/>
      <c r="V100" s="524"/>
      <c r="W100" s="524"/>
      <c r="X100" s="524"/>
      <c r="Y100" s="524"/>
      <c r="Z100" s="524"/>
      <c r="AA100" s="524"/>
      <c r="AB100" s="524"/>
      <c r="AC100" s="524"/>
      <c r="AD100" s="524"/>
      <c r="AE100" s="524"/>
      <c r="AF100" s="524"/>
      <c r="AG100" s="524"/>
      <c r="AH100" s="524"/>
      <c r="AI100" s="524"/>
      <c r="AJ100" s="524"/>
      <c r="AK100" s="524"/>
      <c r="AL100" s="524"/>
      <c r="AM100" s="524"/>
      <c r="AN100" s="524"/>
      <c r="AO100" s="524"/>
      <c r="AP100" s="524"/>
    </row>
    <row r="101" spans="1:42" s="188" customFormat="1" ht="15" x14ac:dyDescent="0.25">
      <c r="A101" s="5025" t="s">
        <v>76</v>
      </c>
      <c r="B101" s="5026"/>
      <c r="C101" s="5027"/>
      <c r="D101" s="878">
        <f>SUM(D78,D56,D26,D93,D99)</f>
        <v>15105</v>
      </c>
      <c r="E101" s="879">
        <f t="shared" ref="E101:AJ101" si="81">SUM(E78,E56,E26,E93,E99)</f>
        <v>38175</v>
      </c>
      <c r="F101" s="880">
        <f t="shared" si="81"/>
        <v>53280</v>
      </c>
      <c r="G101" s="878">
        <f t="shared" si="81"/>
        <v>15498</v>
      </c>
      <c r="H101" s="879">
        <f t="shared" si="81"/>
        <v>39825</v>
      </c>
      <c r="I101" s="880">
        <f t="shared" si="81"/>
        <v>55323</v>
      </c>
      <c r="J101" s="878">
        <f t="shared" si="81"/>
        <v>17446</v>
      </c>
      <c r="K101" s="879">
        <f t="shared" si="81"/>
        <v>42318</v>
      </c>
      <c r="L101" s="880">
        <f t="shared" si="81"/>
        <v>59764</v>
      </c>
      <c r="M101" s="878">
        <f t="shared" si="81"/>
        <v>18124</v>
      </c>
      <c r="N101" s="879">
        <f t="shared" si="81"/>
        <v>38411</v>
      </c>
      <c r="O101" s="880">
        <f t="shared" si="81"/>
        <v>56535</v>
      </c>
      <c r="P101" s="878">
        <f t="shared" si="81"/>
        <v>17399</v>
      </c>
      <c r="Q101" s="879">
        <f t="shared" si="81"/>
        <v>42184</v>
      </c>
      <c r="R101" s="880">
        <f t="shared" si="81"/>
        <v>59583</v>
      </c>
      <c r="S101" s="878">
        <f t="shared" si="81"/>
        <v>20516</v>
      </c>
      <c r="T101" s="879">
        <f t="shared" si="81"/>
        <v>44679</v>
      </c>
      <c r="U101" s="880">
        <f t="shared" si="81"/>
        <v>65195</v>
      </c>
      <c r="V101" s="878">
        <f t="shared" si="81"/>
        <v>21417</v>
      </c>
      <c r="W101" s="879">
        <f t="shared" si="81"/>
        <v>48573</v>
      </c>
      <c r="X101" s="880">
        <f t="shared" si="81"/>
        <v>69990</v>
      </c>
      <c r="Y101" s="878">
        <f t="shared" si="81"/>
        <v>21960</v>
      </c>
      <c r="Z101" s="879">
        <f t="shared" si="81"/>
        <v>55031</v>
      </c>
      <c r="AA101" s="880">
        <f t="shared" si="81"/>
        <v>76991</v>
      </c>
      <c r="AB101" s="878">
        <f t="shared" si="81"/>
        <v>25150</v>
      </c>
      <c r="AC101" s="879">
        <f t="shared" si="81"/>
        <v>53877</v>
      </c>
      <c r="AD101" s="880">
        <f t="shared" si="81"/>
        <v>79027</v>
      </c>
      <c r="AE101" s="878">
        <f t="shared" si="81"/>
        <v>25485</v>
      </c>
      <c r="AF101" s="879">
        <f t="shared" si="81"/>
        <v>61584</v>
      </c>
      <c r="AG101" s="880">
        <f t="shared" si="81"/>
        <v>87069</v>
      </c>
      <c r="AH101" s="878">
        <f t="shared" si="81"/>
        <v>23871</v>
      </c>
      <c r="AI101" s="879">
        <f t="shared" si="81"/>
        <v>64247</v>
      </c>
      <c r="AJ101" s="880">
        <f t="shared" si="81"/>
        <v>88118</v>
      </c>
      <c r="AK101" s="878">
        <f t="shared" ref="AK101:AP101" si="82">SUM(AK78,AK56,AK26,AK93,AK99)</f>
        <v>21515</v>
      </c>
      <c r="AL101" s="879">
        <f t="shared" si="82"/>
        <v>64638</v>
      </c>
      <c r="AM101" s="880">
        <f t="shared" si="82"/>
        <v>86153</v>
      </c>
      <c r="AN101" s="878">
        <f t="shared" si="82"/>
        <v>23957</v>
      </c>
      <c r="AO101" s="879">
        <f t="shared" si="82"/>
        <v>68733</v>
      </c>
      <c r="AP101" s="880">
        <f t="shared" si="82"/>
        <v>92690</v>
      </c>
    </row>
    <row r="102" spans="1:42" s="186" customFormat="1" ht="14.25" x14ac:dyDescent="0.2">
      <c r="B102" s="377" t="s">
        <v>1315</v>
      </c>
      <c r="C102" s="377"/>
      <c r="D102" s="376"/>
      <c r="E102" s="376"/>
      <c r="F102" s="376"/>
      <c r="G102" s="376"/>
      <c r="H102" s="376"/>
      <c r="I102" s="376"/>
      <c r="J102" s="376"/>
    </row>
    <row r="103" spans="1:42" s="186" customFormat="1" ht="14.25" x14ac:dyDescent="0.2">
      <c r="B103" s="378" t="s">
        <v>350</v>
      </c>
      <c r="C103" s="570"/>
      <c r="D103" s="187"/>
      <c r="AD103" s="524"/>
    </row>
    <row r="104" spans="1:42" x14ac:dyDescent="0.2">
      <c r="B104" s="569"/>
      <c r="C104" s="569"/>
      <c r="AD104" s="185"/>
      <c r="AP104" s="185"/>
    </row>
    <row r="105" spans="1:42" x14ac:dyDescent="0.2">
      <c r="D105" s="185"/>
      <c r="E105" s="185"/>
      <c r="F105" s="185"/>
      <c r="G105" s="185"/>
      <c r="H105" s="185"/>
      <c r="I105" s="185"/>
      <c r="J105" s="185"/>
      <c r="K105" s="185"/>
      <c r="L105" s="185"/>
      <c r="M105" s="185"/>
      <c r="N105" s="185"/>
      <c r="O105" s="185"/>
      <c r="P105" s="185"/>
      <c r="Q105" s="185"/>
      <c r="R105" s="185"/>
      <c r="S105" s="185"/>
      <c r="T105" s="185"/>
      <c r="U105" s="185"/>
      <c r="V105" s="185"/>
      <c r="W105" s="185"/>
      <c r="X105" s="185"/>
      <c r="AD105" s="185"/>
    </row>
  </sheetData>
  <mergeCells count="36">
    <mergeCell ref="AN4:AP4"/>
    <mergeCell ref="AK4:AM4"/>
    <mergeCell ref="B79:B83"/>
    <mergeCell ref="B84:B87"/>
    <mergeCell ref="B64:B72"/>
    <mergeCell ref="S4:U4"/>
    <mergeCell ref="V4:X4"/>
    <mergeCell ref="C4:C5"/>
    <mergeCell ref="J4:L4"/>
    <mergeCell ref="M4:O4"/>
    <mergeCell ref="P4:R4"/>
    <mergeCell ref="D4:F4"/>
    <mergeCell ref="AE4:AG4"/>
    <mergeCell ref="G4:I4"/>
    <mergeCell ref="A101:C101"/>
    <mergeCell ref="A79:A93"/>
    <mergeCell ref="A94:A99"/>
    <mergeCell ref="B88:B92"/>
    <mergeCell ref="A6:A26"/>
    <mergeCell ref="A27:A56"/>
    <mergeCell ref="A57:A78"/>
    <mergeCell ref="B6:B16"/>
    <mergeCell ref="B17:B21"/>
    <mergeCell ref="B22:B25"/>
    <mergeCell ref="B27:B36"/>
    <mergeCell ref="B37:B48"/>
    <mergeCell ref="B57:B63"/>
    <mergeCell ref="B49:B55"/>
    <mergeCell ref="B95:B97"/>
    <mergeCell ref="B73:B77"/>
    <mergeCell ref="A1:C2"/>
    <mergeCell ref="A4:A5"/>
    <mergeCell ref="B4:B5"/>
    <mergeCell ref="AH4:AJ4"/>
    <mergeCell ref="Y4:AA4"/>
    <mergeCell ref="AB4:AD4"/>
  </mergeCells>
  <printOptions horizontalCentered="1" verticalCentered="1"/>
  <pageMargins left="0.15748031496062992" right="0.19685039370078741" top="0.31496062992125984" bottom="0.19685039370078741" header="0" footer="0.31496062992125984"/>
  <pageSetup scale="63" pageOrder="overThenDown" orientation="landscape" horizontalDpi="1200" verticalDpi="1200" r:id="rId1"/>
  <headerFooter alignWithMargins="0">
    <oddFooter xml:space="preserve">&amp;R
</oddFooter>
  </headerFooter>
  <rowBreaks count="1" manualBreakCount="1">
    <brk id="56" max="41" man="1"/>
  </rowBreaks>
  <colBreaks count="1" manualBreakCount="1">
    <brk id="21" min="3" max="103" man="1"/>
  </colBreaks>
  <ignoredErrors>
    <ignoredError sqref="AA88:AA90 AA6:AA15 AA22:AA24 AA27:AA35 AA49:AA54 AA57:AA62 AA73:AA76 AA79:AA82 AH97:AI97 AK97:AL97 AN97:AO97" formulaRange="1"/>
    <ignoredError sqref="AA17:AA20 AA37:AA47 AA64:AA71 AA84:AA86 AP97" formula="1" formulaRange="1"/>
    <ignoredError sqref="AA16:AG16 AA21:AG21 AB17:AE20 AA36:AG36 AA48:AG48 AB37:AE47 AA63:AG63 AA72:AG72 AB64:AE71 AG17:AG20 AG37:AG47 AG64:AG71 AJ16:AJ21 AJ48:AK48 AJ72 AD83:AD87 AJ83:AJ87 AH99 AG87 AA83 AA87 AM16:AM95 AJ97:AJ99 AM97:AM99 AK36 AK55 AK63:AK77 AL93 AO93 AP83:AP87 AP72 AP16:AP21 AP36:AP48 AP63" formula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AN30"/>
  <sheetViews>
    <sheetView showGridLines="0" zoomScaleNormal="100" workbookViewId="0">
      <pane xSplit="2" ySplit="4" topLeftCell="V11" activePane="bottomRight" state="frozen"/>
      <selection pane="topRight" activeCell="D1" sqref="D1"/>
      <selection pane="bottomLeft" activeCell="A6" sqref="A6"/>
      <selection pane="bottomRight" activeCell="AO27" sqref="AO27"/>
    </sheetView>
  </sheetViews>
  <sheetFormatPr baseColWidth="10" defaultRowHeight="15" x14ac:dyDescent="0.25"/>
  <cols>
    <col min="1" max="1" width="15.7109375" style="1533" customWidth="1"/>
    <col min="2" max="2" width="9.140625" style="1533" bestFit="1" customWidth="1"/>
    <col min="3" max="40" width="7.7109375" style="1533" customWidth="1"/>
    <col min="41" max="16384" width="11.42578125" style="1533"/>
  </cols>
  <sheetData>
    <row r="1" spans="1:40" ht="43.5" customHeight="1" x14ac:dyDescent="0.25">
      <c r="A1" s="5326" t="s">
        <v>1363</v>
      </c>
      <c r="B1" s="5326"/>
    </row>
    <row r="3" spans="1:40" ht="21" customHeight="1" x14ac:dyDescent="0.25">
      <c r="A3" s="1532" t="s">
        <v>16</v>
      </c>
      <c r="B3" s="1532" t="s">
        <v>4</v>
      </c>
      <c r="C3" s="1534">
        <v>1978</v>
      </c>
      <c r="D3" s="1534">
        <v>1979</v>
      </c>
      <c r="E3" s="1534">
        <v>1980</v>
      </c>
      <c r="F3" s="1534">
        <v>1981</v>
      </c>
      <c r="G3" s="1534">
        <v>1982</v>
      </c>
      <c r="H3" s="1534">
        <v>1983</v>
      </c>
      <c r="I3" s="1534">
        <v>1984</v>
      </c>
      <c r="J3" s="1534">
        <v>1985</v>
      </c>
      <c r="K3" s="1534">
        <v>1986</v>
      </c>
      <c r="L3" s="1534">
        <v>1987</v>
      </c>
      <c r="M3" s="1534">
        <v>1988</v>
      </c>
      <c r="N3" s="1534">
        <v>1989</v>
      </c>
      <c r="O3" s="1534">
        <v>1990</v>
      </c>
      <c r="P3" s="1534">
        <v>1991</v>
      </c>
      <c r="Q3" s="1534">
        <v>1992</v>
      </c>
      <c r="R3" s="1534">
        <v>1993</v>
      </c>
      <c r="S3" s="1534">
        <v>1994</v>
      </c>
      <c r="T3" s="1534">
        <v>1995</v>
      </c>
      <c r="U3" s="1534">
        <v>1996</v>
      </c>
      <c r="V3" s="1534">
        <v>1997</v>
      </c>
      <c r="W3" s="1534">
        <v>1998</v>
      </c>
      <c r="X3" s="1534">
        <v>1999</v>
      </c>
      <c r="Y3" s="1534">
        <v>2000</v>
      </c>
      <c r="Z3" s="1534">
        <v>2001</v>
      </c>
      <c r="AA3" s="1534">
        <v>2002</v>
      </c>
      <c r="AB3" s="1534">
        <v>2003</v>
      </c>
      <c r="AC3" s="1534">
        <v>2004</v>
      </c>
      <c r="AD3" s="1534">
        <v>2005</v>
      </c>
      <c r="AE3" s="1534">
        <v>2006</v>
      </c>
      <c r="AF3" s="1534">
        <v>2007</v>
      </c>
      <c r="AG3" s="1534">
        <v>2008</v>
      </c>
      <c r="AH3" s="1534">
        <v>2009</v>
      </c>
      <c r="AI3" s="1534">
        <v>2010</v>
      </c>
      <c r="AJ3" s="1534">
        <v>2011</v>
      </c>
      <c r="AK3" s="1534">
        <v>2012</v>
      </c>
      <c r="AL3" s="1798">
        <v>2013</v>
      </c>
      <c r="AM3" s="2066">
        <v>2014</v>
      </c>
      <c r="AN3" s="4752">
        <v>2015</v>
      </c>
    </row>
    <row r="4" spans="1:40" x14ac:dyDescent="0.25">
      <c r="AL4" s="23"/>
      <c r="AM4" s="23"/>
      <c r="AN4" s="23"/>
    </row>
    <row r="5" spans="1:40" x14ac:dyDescent="0.25">
      <c r="A5" s="5314" t="s">
        <v>3</v>
      </c>
      <c r="B5" s="1535" t="s">
        <v>5</v>
      </c>
      <c r="C5" s="1536">
        <v>12</v>
      </c>
      <c r="D5" s="1536">
        <v>12.92</v>
      </c>
      <c r="E5" s="1536">
        <v>14.15</v>
      </c>
      <c r="F5" s="1536">
        <v>14.77</v>
      </c>
      <c r="G5" s="1536">
        <v>15.38</v>
      </c>
      <c r="H5" s="1536">
        <v>15.89</v>
      </c>
      <c r="I5" s="1536">
        <v>16.68</v>
      </c>
      <c r="J5" s="1536">
        <v>16.95</v>
      </c>
      <c r="K5" s="1536">
        <v>17.09</v>
      </c>
      <c r="L5" s="1536">
        <v>17.510000000000002</v>
      </c>
      <c r="M5" s="1536">
        <v>17.68</v>
      </c>
      <c r="N5" s="1536">
        <v>19.010000000000002</v>
      </c>
      <c r="O5" s="1536">
        <v>17.61</v>
      </c>
      <c r="P5" s="1536">
        <v>19.13</v>
      </c>
      <c r="Q5" s="1536">
        <v>18.95</v>
      </c>
      <c r="R5" s="1536">
        <v>19.510000000000002</v>
      </c>
      <c r="S5" s="1536">
        <v>20.04</v>
      </c>
      <c r="T5" s="1536">
        <v>20.83</v>
      </c>
      <c r="U5" s="1536">
        <v>20.896470588235299</v>
      </c>
      <c r="V5" s="1536">
        <v>21.837912087912095</v>
      </c>
      <c r="W5" s="1536">
        <v>22.73033707865169</v>
      </c>
      <c r="X5" s="1536">
        <v>22.412121212121196</v>
      </c>
      <c r="Y5" s="1536">
        <v>23.389655172413793</v>
      </c>
      <c r="Z5" s="1536">
        <v>23.52</v>
      </c>
      <c r="AA5" s="1536">
        <v>23.15</v>
      </c>
      <c r="AB5" s="1536">
        <v>22.75</v>
      </c>
      <c r="AC5" s="1536">
        <v>23.410326086956523</v>
      </c>
      <c r="AD5" s="1536">
        <v>22.360696517412936</v>
      </c>
      <c r="AE5" s="1536">
        <v>22.698453608247423</v>
      </c>
      <c r="AF5" s="1536">
        <v>21.929203539823021</v>
      </c>
      <c r="AG5" s="1536">
        <v>21.038674033149174</v>
      </c>
      <c r="AH5" s="1536">
        <v>20.61</v>
      </c>
      <c r="AI5" s="1536">
        <v>20.3451086956522</v>
      </c>
      <c r="AJ5" s="1536">
        <v>20.732673267326739</v>
      </c>
      <c r="AK5" s="1537">
        <v>20.190000000000001</v>
      </c>
      <c r="AL5" s="1537">
        <v>20.6</v>
      </c>
      <c r="AM5" s="1537">
        <v>20.921602787456443</v>
      </c>
      <c r="AN5" s="1537">
        <v>20.721062618595809</v>
      </c>
    </row>
    <row r="6" spans="1:40" x14ac:dyDescent="0.25">
      <c r="A6" s="5315"/>
      <c r="B6" s="1538" t="s">
        <v>6</v>
      </c>
      <c r="C6" s="1539">
        <v>12.37</v>
      </c>
      <c r="D6" s="1539">
        <v>13.03</v>
      </c>
      <c r="E6" s="1539">
        <v>14.08</v>
      </c>
      <c r="F6" s="1539">
        <v>13.14</v>
      </c>
      <c r="G6" s="1539">
        <v>14.05</v>
      </c>
      <c r="H6" s="1539">
        <v>14.14</v>
      </c>
      <c r="I6" s="1539">
        <v>14.75</v>
      </c>
      <c r="J6" s="1539">
        <v>14.15</v>
      </c>
      <c r="K6" s="1539">
        <v>14.58</v>
      </c>
      <c r="L6" s="1539">
        <v>14.95</v>
      </c>
      <c r="M6" s="1539">
        <v>14.8</v>
      </c>
      <c r="N6" s="1539">
        <v>15.1</v>
      </c>
      <c r="O6" s="1539">
        <v>15.34</v>
      </c>
      <c r="P6" s="1539">
        <v>15.29</v>
      </c>
      <c r="Q6" s="1539">
        <v>15.85</v>
      </c>
      <c r="R6" s="1539">
        <v>16.079999999999998</v>
      </c>
      <c r="S6" s="1539">
        <v>16.68</v>
      </c>
      <c r="T6" s="1539">
        <v>16.940000000000001</v>
      </c>
      <c r="U6" s="1539">
        <v>16.970254957507091</v>
      </c>
      <c r="V6" s="1539">
        <v>15.917127071823193</v>
      </c>
      <c r="W6" s="1539">
        <v>16.379888268156432</v>
      </c>
      <c r="X6" s="1539">
        <v>15.830687830687815</v>
      </c>
      <c r="Y6" s="1539">
        <v>16.150847457627137</v>
      </c>
      <c r="Z6" s="1539">
        <v>17</v>
      </c>
      <c r="AA6" s="1539">
        <v>16.52</v>
      </c>
      <c r="AB6" s="1539">
        <v>16.800637958532697</v>
      </c>
      <c r="AC6" s="1539">
        <v>16.424703891708969</v>
      </c>
      <c r="AD6" s="1539">
        <v>16.379888268156424</v>
      </c>
      <c r="AE6" s="1539">
        <v>17.011976047904191</v>
      </c>
      <c r="AF6" s="1539">
        <v>16.442622950819679</v>
      </c>
      <c r="AG6" s="1539">
        <v>16.239263803680977</v>
      </c>
      <c r="AH6" s="1539">
        <v>16.34</v>
      </c>
      <c r="AI6" s="1539">
        <v>16.37972166998011</v>
      </c>
      <c r="AJ6" s="1539">
        <v>16.412300683371296</v>
      </c>
      <c r="AK6" s="1540">
        <v>16.010000000000002</v>
      </c>
      <c r="AL6" s="1540">
        <v>16.04</v>
      </c>
      <c r="AM6" s="1540">
        <v>15.675579322638137</v>
      </c>
      <c r="AN6" s="1540">
        <v>16.227344992050885</v>
      </c>
    </row>
    <row r="7" spans="1:40" x14ac:dyDescent="0.25">
      <c r="A7" s="5315"/>
      <c r="B7" s="1538" t="s">
        <v>7</v>
      </c>
      <c r="C7" s="1539"/>
      <c r="D7" s="1539">
        <v>13</v>
      </c>
      <c r="E7" s="1539">
        <v>13.71</v>
      </c>
      <c r="F7" s="1539">
        <v>14.17</v>
      </c>
      <c r="G7" s="1539">
        <v>14.7</v>
      </c>
      <c r="H7" s="1539">
        <v>14.54</v>
      </c>
      <c r="I7" s="1539">
        <v>15</v>
      </c>
      <c r="J7" s="1539">
        <v>14.92</v>
      </c>
      <c r="K7" s="1539">
        <v>15.04</v>
      </c>
      <c r="L7" s="1539">
        <v>15.5</v>
      </c>
      <c r="M7" s="1539">
        <v>15.99</v>
      </c>
      <c r="N7" s="1539">
        <v>15.62</v>
      </c>
      <c r="O7" s="1539">
        <v>15.72</v>
      </c>
      <c r="P7" s="1539">
        <v>16.170000000000002</v>
      </c>
      <c r="Q7" s="1539">
        <v>16.39</v>
      </c>
      <c r="R7" s="1539">
        <v>16.850000000000001</v>
      </c>
      <c r="S7" s="1539">
        <v>16.21</v>
      </c>
      <c r="T7" s="1539">
        <v>17.23</v>
      </c>
      <c r="U7" s="1539">
        <v>17.396396396396405</v>
      </c>
      <c r="V7" s="1539">
        <v>17.949704142011825</v>
      </c>
      <c r="W7" s="1539">
        <v>15.83673469387754</v>
      </c>
      <c r="X7" s="1539">
        <v>17.270440251572328</v>
      </c>
      <c r="Y7" s="1539">
        <v>17.20867208672087</v>
      </c>
      <c r="Z7" s="1539">
        <v>17.170000000000002</v>
      </c>
      <c r="AA7" s="1539">
        <v>17.21</v>
      </c>
      <c r="AB7" s="1539">
        <v>17.05</v>
      </c>
      <c r="AC7" s="1539">
        <v>17.592476489028215</v>
      </c>
      <c r="AD7" s="1539">
        <v>17.37784090909091</v>
      </c>
      <c r="AE7" s="1539">
        <v>16.874301675977655</v>
      </c>
      <c r="AF7" s="1539">
        <v>15.750677506775059</v>
      </c>
      <c r="AG7" s="1539">
        <v>16.035087719298254</v>
      </c>
      <c r="AH7" s="1539">
        <v>16.13</v>
      </c>
      <c r="AI7" s="1539">
        <v>16.476635514018696</v>
      </c>
      <c r="AJ7" s="1539">
        <v>16.17355371900825</v>
      </c>
      <c r="AK7" s="1540">
        <v>16.924901185770747</v>
      </c>
      <c r="AL7" s="1540">
        <v>16.07</v>
      </c>
      <c r="AM7" s="1540">
        <v>16.220289855072441</v>
      </c>
      <c r="AN7" s="1540">
        <v>17.034985422740519</v>
      </c>
    </row>
    <row r="8" spans="1:40" x14ac:dyDescent="0.25">
      <c r="A8" s="5316"/>
      <c r="B8" s="2584" t="s">
        <v>12</v>
      </c>
      <c r="C8" s="2585">
        <v>12.34</v>
      </c>
      <c r="D8" s="2585">
        <v>13</v>
      </c>
      <c r="E8" s="2585">
        <v>13.97</v>
      </c>
      <c r="F8" s="2585">
        <v>13.87</v>
      </c>
      <c r="G8" s="2585">
        <v>14.63</v>
      </c>
      <c r="H8" s="2585">
        <v>14.79</v>
      </c>
      <c r="I8" s="2585">
        <v>15.41</v>
      </c>
      <c r="J8" s="2585">
        <v>15.3</v>
      </c>
      <c r="K8" s="2585">
        <v>15.46</v>
      </c>
      <c r="L8" s="2585">
        <v>15.97</v>
      </c>
      <c r="M8" s="2585">
        <v>15.95</v>
      </c>
      <c r="N8" s="2585">
        <v>16.440000000000001</v>
      </c>
      <c r="O8" s="2585">
        <v>16.11</v>
      </c>
      <c r="P8" s="2585">
        <v>16.7</v>
      </c>
      <c r="Q8" s="2585">
        <v>16.920000000000002</v>
      </c>
      <c r="R8" s="2585">
        <v>17.32</v>
      </c>
      <c r="S8" s="2585">
        <v>17.53</v>
      </c>
      <c r="T8" s="2585">
        <v>18.079999999999998</v>
      </c>
      <c r="U8" s="2585">
        <v>18.149841269841286</v>
      </c>
      <c r="V8" s="2585">
        <v>18.2</v>
      </c>
      <c r="W8" s="2585">
        <v>18.164418212478918</v>
      </c>
      <c r="X8" s="2585">
        <v>17.995061728395029</v>
      </c>
      <c r="Y8" s="2585">
        <v>18.144115292233757</v>
      </c>
      <c r="Z8" s="2585">
        <v>18.64</v>
      </c>
      <c r="AA8" s="2585">
        <v>18.55</v>
      </c>
      <c r="AB8" s="2585">
        <v>18.575323790047715</v>
      </c>
      <c r="AC8" s="2585">
        <v>18.727699530516432</v>
      </c>
      <c r="AD8" s="2585">
        <v>18.514329976762198</v>
      </c>
      <c r="AE8" s="2585">
        <v>18.741780272654371</v>
      </c>
      <c r="AF8" s="2585">
        <v>17.784280936454874</v>
      </c>
      <c r="AG8" s="2585">
        <v>17.637049455155072</v>
      </c>
      <c r="AH8" s="2585">
        <v>17.510000000000002</v>
      </c>
      <c r="AI8" s="2585">
        <v>17.630033557046996</v>
      </c>
      <c r="AJ8" s="2585">
        <v>17.967741935483861</v>
      </c>
      <c r="AK8" s="2586">
        <v>17.540825285338023</v>
      </c>
      <c r="AL8" s="2586">
        <v>17.55</v>
      </c>
      <c r="AM8" s="2586">
        <v>17.837162162162194</v>
      </c>
      <c r="AN8" s="2586">
        <v>17.991994663108716</v>
      </c>
    </row>
    <row r="9" spans="1:40" x14ac:dyDescent="0.25">
      <c r="A9" s="1541"/>
      <c r="U9" s="1542"/>
      <c r="V9" s="1542"/>
      <c r="W9" s="1542"/>
      <c r="X9" s="1542"/>
      <c r="Y9" s="1542"/>
      <c r="AB9" s="3015"/>
      <c r="AC9" s="3015"/>
      <c r="AD9" s="3015"/>
      <c r="AE9" s="3015"/>
      <c r="AF9" s="3015"/>
      <c r="AG9" s="3015"/>
      <c r="AH9" s="3015"/>
      <c r="AI9" s="3015"/>
      <c r="AJ9" s="3015"/>
      <c r="AK9" s="3015"/>
      <c r="AL9" s="3015"/>
      <c r="AM9" s="3015"/>
      <c r="AN9" s="3015"/>
    </row>
    <row r="10" spans="1:40" x14ac:dyDescent="0.25">
      <c r="A10" s="5317" t="s">
        <v>8</v>
      </c>
      <c r="B10" s="1535" t="s">
        <v>6</v>
      </c>
      <c r="C10" s="1536"/>
      <c r="D10" s="1546"/>
      <c r="E10" s="1546"/>
      <c r="F10" s="1546"/>
      <c r="G10" s="1546"/>
      <c r="H10" s="1546"/>
      <c r="I10" s="1546"/>
      <c r="J10" s="1546"/>
      <c r="K10" s="1546"/>
      <c r="L10" s="1546"/>
      <c r="M10" s="1546"/>
      <c r="N10" s="1546"/>
      <c r="O10" s="1546"/>
      <c r="P10" s="1546"/>
      <c r="Q10" s="1546"/>
      <c r="R10" s="1546"/>
      <c r="S10" s="1546"/>
      <c r="T10" s="1546"/>
      <c r="U10" s="1546"/>
      <c r="V10" s="1546"/>
      <c r="W10" s="1546"/>
      <c r="X10" s="1546"/>
      <c r="Y10" s="1546"/>
      <c r="Z10" s="1546"/>
      <c r="AA10" s="1546"/>
      <c r="AB10" s="1546"/>
      <c r="AC10" s="1546"/>
      <c r="AD10" s="1546"/>
      <c r="AE10" s="1546"/>
      <c r="AF10" s="1546"/>
      <c r="AG10" s="1547"/>
      <c r="AH10" s="1536">
        <v>12.68</v>
      </c>
      <c r="AI10" s="1536">
        <v>13.535714285714286</v>
      </c>
      <c r="AJ10" s="1536">
        <v>13</v>
      </c>
      <c r="AK10" s="1537">
        <v>13.41</v>
      </c>
      <c r="AL10" s="1537">
        <v>14.47</v>
      </c>
      <c r="AM10" s="1537">
        <v>15</v>
      </c>
      <c r="AN10" s="1537">
        <v>15.178571428571431</v>
      </c>
    </row>
    <row r="11" spans="1:40" x14ac:dyDescent="0.25">
      <c r="A11" s="5318"/>
      <c r="B11" s="1538" t="s">
        <v>9</v>
      </c>
      <c r="C11" s="1539"/>
      <c r="D11" s="1548"/>
      <c r="E11" s="1548"/>
      <c r="F11" s="1548"/>
      <c r="G11" s="1548"/>
      <c r="H11" s="1548"/>
      <c r="I11" s="1548"/>
      <c r="J11" s="1548"/>
      <c r="K11" s="1548"/>
      <c r="L11" s="1548"/>
      <c r="M11" s="1548"/>
      <c r="N11" s="1548"/>
      <c r="O11" s="1548"/>
      <c r="P11" s="1548"/>
      <c r="Q11" s="1548"/>
      <c r="R11" s="1548"/>
      <c r="S11" s="1548"/>
      <c r="T11" s="1548"/>
      <c r="U11" s="1548"/>
      <c r="V11" s="1548"/>
      <c r="W11" s="1548"/>
      <c r="X11" s="1548"/>
      <c r="Y11" s="1548"/>
      <c r="Z11" s="1548"/>
      <c r="AA11" s="1548"/>
      <c r="AB11" s="1548"/>
      <c r="AC11" s="1548"/>
      <c r="AD11" s="1548"/>
      <c r="AE11" s="1548"/>
      <c r="AF11" s="1548"/>
      <c r="AG11" s="1549"/>
      <c r="AH11" s="1539">
        <v>13</v>
      </c>
      <c r="AI11" s="1539">
        <v>13.6</v>
      </c>
      <c r="AJ11" s="1539">
        <v>13.031250000000002</v>
      </c>
      <c r="AK11" s="1540">
        <v>13.87</v>
      </c>
      <c r="AL11" s="1540">
        <v>14.14</v>
      </c>
      <c r="AM11" s="1540">
        <v>14.7741935483871</v>
      </c>
      <c r="AN11" s="1540">
        <v>16.551724137931039</v>
      </c>
    </row>
    <row r="12" spans="1:40" x14ac:dyDescent="0.25">
      <c r="A12" s="5318"/>
      <c r="B12" s="1538" t="s">
        <v>74</v>
      </c>
      <c r="C12" s="1539"/>
      <c r="D12" s="1548"/>
      <c r="E12" s="1548"/>
      <c r="F12" s="1548"/>
      <c r="G12" s="1548"/>
      <c r="H12" s="1548"/>
      <c r="I12" s="1548"/>
      <c r="J12" s="1548"/>
      <c r="K12" s="1548"/>
      <c r="L12" s="1548"/>
      <c r="M12" s="1548"/>
      <c r="N12" s="1548"/>
      <c r="O12" s="1548"/>
      <c r="P12" s="1548"/>
      <c r="Q12" s="1548"/>
      <c r="R12" s="1548"/>
      <c r="S12" s="1548"/>
      <c r="T12" s="1548"/>
      <c r="U12" s="1548"/>
      <c r="V12" s="1548"/>
      <c r="W12" s="1548"/>
      <c r="X12" s="1548"/>
      <c r="Y12" s="1548"/>
      <c r="Z12" s="1548"/>
      <c r="AA12" s="1548"/>
      <c r="AB12" s="1548"/>
      <c r="AC12" s="1548"/>
      <c r="AD12" s="1548"/>
      <c r="AE12" s="1548"/>
      <c r="AF12" s="1548"/>
      <c r="AG12" s="1549"/>
      <c r="AH12" s="1539">
        <v>12</v>
      </c>
      <c r="AI12" s="1539">
        <v>13.7</v>
      </c>
      <c r="AJ12" s="1539">
        <v>14.090909090909092</v>
      </c>
      <c r="AK12" s="1540">
        <v>14.083333333333334</v>
      </c>
      <c r="AL12" s="1540">
        <v>15.73</v>
      </c>
      <c r="AM12" s="1540">
        <v>17.045454545454543</v>
      </c>
      <c r="AN12" s="1540">
        <v>16.208333333333339</v>
      </c>
    </row>
    <row r="13" spans="1:40" x14ac:dyDescent="0.25">
      <c r="A13" s="5319"/>
      <c r="B13" s="2587" t="s">
        <v>12</v>
      </c>
      <c r="C13" s="2588"/>
      <c r="D13" s="2589"/>
      <c r="E13" s="2589"/>
      <c r="F13" s="2589"/>
      <c r="G13" s="2589"/>
      <c r="H13" s="2589"/>
      <c r="I13" s="2589"/>
      <c r="J13" s="2589"/>
      <c r="K13" s="2589"/>
      <c r="L13" s="2589"/>
      <c r="M13" s="2589"/>
      <c r="N13" s="2589"/>
      <c r="O13" s="2589"/>
      <c r="P13" s="2589"/>
      <c r="Q13" s="2589"/>
      <c r="R13" s="2589"/>
      <c r="S13" s="2589"/>
      <c r="T13" s="2589"/>
      <c r="U13" s="2589"/>
      <c r="V13" s="2589"/>
      <c r="W13" s="2589"/>
      <c r="X13" s="2589"/>
      <c r="Y13" s="2589"/>
      <c r="Z13" s="2589"/>
      <c r="AA13" s="2589"/>
      <c r="AB13" s="2589"/>
      <c r="AC13" s="2589"/>
      <c r="AD13" s="2589"/>
      <c r="AE13" s="2589"/>
      <c r="AF13" s="2589"/>
      <c r="AG13" s="2590"/>
      <c r="AH13" s="2588">
        <v>12.61</v>
      </c>
      <c r="AI13" s="2588">
        <v>13.584905660377357</v>
      </c>
      <c r="AJ13" s="2588">
        <v>13.13829787234042</v>
      </c>
      <c r="AK13" s="2591">
        <v>13.748617609527864</v>
      </c>
      <c r="AL13" s="2591">
        <v>14.62</v>
      </c>
      <c r="AM13" s="2591">
        <v>15.441860465116276</v>
      </c>
      <c r="AN13" s="2591">
        <v>15.975308641975314</v>
      </c>
    </row>
    <row r="14" spans="1:40" x14ac:dyDescent="0.25">
      <c r="A14" s="1544"/>
      <c r="B14" s="1545"/>
      <c r="U14" s="1542"/>
      <c r="V14" s="1542"/>
      <c r="W14" s="1542"/>
      <c r="X14" s="1542"/>
      <c r="Y14" s="1542"/>
      <c r="Z14" s="1542"/>
      <c r="AA14" s="1542"/>
      <c r="AB14" s="1542"/>
      <c r="AC14" s="1542"/>
      <c r="AD14" s="1542"/>
      <c r="AE14" s="1542"/>
      <c r="AF14" s="1542"/>
      <c r="AG14" s="1543"/>
    </row>
    <row r="15" spans="1:40" x14ac:dyDescent="0.25">
      <c r="A15" s="5320" t="s">
        <v>75</v>
      </c>
      <c r="B15" s="1535" t="s">
        <v>5</v>
      </c>
      <c r="C15" s="1536">
        <v>12.04</v>
      </c>
      <c r="D15" s="1536">
        <v>12.47</v>
      </c>
      <c r="E15" s="1536">
        <v>13.58</v>
      </c>
      <c r="F15" s="1536">
        <v>13.8</v>
      </c>
      <c r="G15" s="1536">
        <v>13.83</v>
      </c>
      <c r="H15" s="1536">
        <v>14.97</v>
      </c>
      <c r="I15" s="1536">
        <v>16.2</v>
      </c>
      <c r="J15" s="1536">
        <v>15.92</v>
      </c>
      <c r="K15" s="1536">
        <v>17.52</v>
      </c>
      <c r="L15" s="1536">
        <v>16.12</v>
      </c>
      <c r="M15" s="1536">
        <v>17.7</v>
      </c>
      <c r="N15" s="1536">
        <v>19.3</v>
      </c>
      <c r="O15" s="1536">
        <v>18.97</v>
      </c>
      <c r="P15" s="1536">
        <v>19.149999999999999</v>
      </c>
      <c r="Q15" s="1536">
        <v>19.88</v>
      </c>
      <c r="R15" s="1536">
        <v>21</v>
      </c>
      <c r="S15" s="1536">
        <v>20.34</v>
      </c>
      <c r="T15" s="1536">
        <v>20.75</v>
      </c>
      <c r="U15" s="1536">
        <v>21.14</v>
      </c>
      <c r="V15" s="1536">
        <v>21.71</v>
      </c>
      <c r="W15" s="1536">
        <v>21.88</v>
      </c>
      <c r="X15" s="1536">
        <v>22.1</v>
      </c>
      <c r="Y15" s="1536">
        <v>22.1</v>
      </c>
      <c r="Z15" s="1536">
        <v>22.42</v>
      </c>
      <c r="AA15" s="1536">
        <v>22.82</v>
      </c>
      <c r="AB15" s="1536">
        <v>21.162162162162161</v>
      </c>
      <c r="AC15" s="1536">
        <v>20.357723577235774</v>
      </c>
      <c r="AD15" s="1536">
        <v>21.514403292181068</v>
      </c>
      <c r="AE15" s="1536">
        <v>21.409420289855074</v>
      </c>
      <c r="AF15" s="1536">
        <v>21.79768786127168</v>
      </c>
      <c r="AG15" s="1536">
        <v>21.490797546012278</v>
      </c>
      <c r="AH15" s="1536">
        <v>19.72</v>
      </c>
      <c r="AI15" s="1536">
        <v>18.895397489539743</v>
      </c>
      <c r="AJ15" s="1536">
        <v>19.122905027932958</v>
      </c>
      <c r="AK15" s="1537">
        <v>20.16</v>
      </c>
      <c r="AL15" s="1537">
        <v>20.71</v>
      </c>
      <c r="AM15" s="1537">
        <v>19.863207547169836</v>
      </c>
      <c r="AN15" s="1537">
        <v>19.317919075144495</v>
      </c>
    </row>
    <row r="16" spans="1:40" x14ac:dyDescent="0.25">
      <c r="A16" s="5321"/>
      <c r="B16" s="1538" t="s">
        <v>6</v>
      </c>
      <c r="C16" s="1539">
        <v>11.8</v>
      </c>
      <c r="D16" s="1539">
        <v>12.49</v>
      </c>
      <c r="E16" s="1539">
        <v>13.35</v>
      </c>
      <c r="F16" s="1539">
        <v>13.63</v>
      </c>
      <c r="G16" s="1539">
        <v>13.84</v>
      </c>
      <c r="H16" s="1539">
        <v>14.05</v>
      </c>
      <c r="I16" s="1539">
        <v>14.67</v>
      </c>
      <c r="J16" s="1539">
        <v>14.44</v>
      </c>
      <c r="K16" s="1539">
        <v>14.81</v>
      </c>
      <c r="L16" s="1539">
        <v>15.3</v>
      </c>
      <c r="M16" s="1539">
        <v>15.3</v>
      </c>
      <c r="N16" s="1539">
        <v>16.82</v>
      </c>
      <c r="O16" s="1539">
        <v>16.36</v>
      </c>
      <c r="P16" s="1539">
        <v>16.61</v>
      </c>
      <c r="Q16" s="1539">
        <v>17.100000000000001</v>
      </c>
      <c r="R16" s="1539">
        <v>17.420000000000002</v>
      </c>
      <c r="S16" s="1539">
        <v>18.329999999999998</v>
      </c>
      <c r="T16" s="1539">
        <v>18.399999999999999</v>
      </c>
      <c r="U16" s="1539">
        <v>18.89</v>
      </c>
      <c r="V16" s="1539">
        <v>18.100000000000001</v>
      </c>
      <c r="W16" s="1539">
        <v>19.010000000000002</v>
      </c>
      <c r="X16" s="1539">
        <v>17.98</v>
      </c>
      <c r="Y16" s="1539">
        <v>18.71</v>
      </c>
      <c r="Z16" s="1539">
        <v>17.97</v>
      </c>
      <c r="AA16" s="1539">
        <v>17.940000000000001</v>
      </c>
      <c r="AB16" s="1539">
        <v>18.177606177606176</v>
      </c>
      <c r="AC16" s="1539">
        <v>17.541889483065955</v>
      </c>
      <c r="AD16" s="1539">
        <v>17.430528375733854</v>
      </c>
      <c r="AE16" s="1539">
        <v>17.828343313373253</v>
      </c>
      <c r="AF16" s="1539">
        <v>17.247334754797432</v>
      </c>
      <c r="AG16" s="1539">
        <v>16.990825688073421</v>
      </c>
      <c r="AH16" s="1539">
        <v>16.54</v>
      </c>
      <c r="AI16" s="1539">
        <v>17.049360146252276</v>
      </c>
      <c r="AJ16" s="1539">
        <v>16.721991701244814</v>
      </c>
      <c r="AK16" s="1540">
        <v>16.3</v>
      </c>
      <c r="AL16" s="1540">
        <v>16.29</v>
      </c>
      <c r="AM16" s="1540">
        <v>16.88586956521738</v>
      </c>
      <c r="AN16" s="1540">
        <v>17.242160278745629</v>
      </c>
    </row>
    <row r="17" spans="1:40" x14ac:dyDescent="0.25">
      <c r="A17" s="5321"/>
      <c r="B17" s="1538" t="s">
        <v>11</v>
      </c>
      <c r="C17" s="1539">
        <v>12.5</v>
      </c>
      <c r="D17" s="1539">
        <v>12.16</v>
      </c>
      <c r="E17" s="1539">
        <v>12.95</v>
      </c>
      <c r="F17" s="1539">
        <v>12.71</v>
      </c>
      <c r="G17" s="1539">
        <v>13.24</v>
      </c>
      <c r="H17" s="1539">
        <v>13.33</v>
      </c>
      <c r="I17" s="1539">
        <v>14.01</v>
      </c>
      <c r="J17" s="1539">
        <v>15.39</v>
      </c>
      <c r="K17" s="1539">
        <v>15.43</v>
      </c>
      <c r="L17" s="1539">
        <v>15.01</v>
      </c>
      <c r="M17" s="1539">
        <v>15.64</v>
      </c>
      <c r="N17" s="1539">
        <v>17.7</v>
      </c>
      <c r="O17" s="1539">
        <v>17.920000000000002</v>
      </c>
      <c r="P17" s="1539">
        <v>18.84</v>
      </c>
      <c r="Q17" s="1539">
        <v>19.5</v>
      </c>
      <c r="R17" s="1539">
        <v>20.170000000000002</v>
      </c>
      <c r="S17" s="1539">
        <v>20.5</v>
      </c>
      <c r="T17" s="1539">
        <v>23.24</v>
      </c>
      <c r="U17" s="1539">
        <v>22.26</v>
      </c>
      <c r="V17" s="1539">
        <v>21.92</v>
      </c>
      <c r="W17" s="1539">
        <v>22.54</v>
      </c>
      <c r="X17" s="1539">
        <v>23.35</v>
      </c>
      <c r="Y17" s="1539">
        <v>21.95</v>
      </c>
      <c r="Z17" s="1539">
        <v>22.26</v>
      </c>
      <c r="AA17" s="1539">
        <v>21.71</v>
      </c>
      <c r="AB17" s="1539">
        <v>20.78</v>
      </c>
      <c r="AC17" s="1539">
        <v>20.758530183727036</v>
      </c>
      <c r="AD17" s="1539">
        <v>20.56268221574344</v>
      </c>
      <c r="AE17" s="1539">
        <v>20.892761394101878</v>
      </c>
      <c r="AF17" s="1539">
        <v>20.758842443729908</v>
      </c>
      <c r="AG17" s="1539">
        <v>19.925072046109523</v>
      </c>
      <c r="AH17" s="1539">
        <v>19.62</v>
      </c>
      <c r="AI17" s="1539">
        <v>18.31683168316831</v>
      </c>
      <c r="AJ17" s="1539">
        <v>18.494117647058808</v>
      </c>
      <c r="AK17" s="1540">
        <v>18.737373737373733</v>
      </c>
      <c r="AL17" s="1540">
        <v>18.440000000000001</v>
      </c>
      <c r="AM17" s="1540">
        <v>18.571014492753633</v>
      </c>
      <c r="AN17" s="1540">
        <v>18.592207792207788</v>
      </c>
    </row>
    <row r="18" spans="1:40" x14ac:dyDescent="0.25">
      <c r="A18" s="5322"/>
      <c r="B18" s="2592" t="s">
        <v>12</v>
      </c>
      <c r="C18" s="2593">
        <v>12.24</v>
      </c>
      <c r="D18" s="2593">
        <v>12.35</v>
      </c>
      <c r="E18" s="2593">
        <v>13.24</v>
      </c>
      <c r="F18" s="2593">
        <v>13.34</v>
      </c>
      <c r="G18" s="2593">
        <v>13.58</v>
      </c>
      <c r="H18" s="2593">
        <v>13.86</v>
      </c>
      <c r="I18" s="2593">
        <v>14.81</v>
      </c>
      <c r="J18" s="2593">
        <v>15.1</v>
      </c>
      <c r="K18" s="2593">
        <v>15.51</v>
      </c>
      <c r="L18" s="2593">
        <v>15.35</v>
      </c>
      <c r="M18" s="2593">
        <v>15.84</v>
      </c>
      <c r="N18" s="2593">
        <v>17.54</v>
      </c>
      <c r="O18" s="2593">
        <v>17.260000000000002</v>
      </c>
      <c r="P18" s="2593">
        <v>17.61</v>
      </c>
      <c r="Q18" s="2593">
        <v>18.32</v>
      </c>
      <c r="R18" s="2593">
        <v>18.87</v>
      </c>
      <c r="S18" s="2593">
        <v>19.32</v>
      </c>
      <c r="T18" s="2593">
        <v>19.93</v>
      </c>
      <c r="U18" s="2593">
        <v>20.29</v>
      </c>
      <c r="V18" s="2593">
        <v>20.02</v>
      </c>
      <c r="W18" s="2593">
        <v>20.5</v>
      </c>
      <c r="X18" s="2593">
        <v>20.100000000000001</v>
      </c>
      <c r="Y18" s="2593">
        <v>20.09</v>
      </c>
      <c r="Z18" s="2593">
        <v>20.18</v>
      </c>
      <c r="AA18" s="2593">
        <v>19.78</v>
      </c>
      <c r="AB18" s="2593">
        <v>19.565384615384616</v>
      </c>
      <c r="AC18" s="2593">
        <v>19.156565656565657</v>
      </c>
      <c r="AD18" s="2593">
        <v>19.314494074749316</v>
      </c>
      <c r="AE18" s="2593">
        <v>19.681739130434782</v>
      </c>
      <c r="AF18" s="2593">
        <v>19.219307450157412</v>
      </c>
      <c r="AG18" s="2593">
        <v>18.842494714587744</v>
      </c>
      <c r="AH18" s="2593">
        <v>17.98</v>
      </c>
      <c r="AI18" s="2593">
        <v>17.807162534435271</v>
      </c>
      <c r="AJ18" s="2593">
        <v>17.68449781659389</v>
      </c>
      <c r="AK18" s="2594">
        <v>17.710526315789497</v>
      </c>
      <c r="AL18" s="2594">
        <v>17.54</v>
      </c>
      <c r="AM18" s="2594">
        <v>17.979260595130754</v>
      </c>
      <c r="AN18" s="2594">
        <v>18.018551236749143</v>
      </c>
    </row>
    <row r="20" spans="1:40" x14ac:dyDescent="0.25">
      <c r="A20" s="5327" t="s">
        <v>326</v>
      </c>
      <c r="B20" s="1535" t="s">
        <v>5</v>
      </c>
      <c r="C20" s="1536"/>
      <c r="D20" s="1536"/>
      <c r="E20" s="1536"/>
      <c r="F20" s="1536"/>
      <c r="G20" s="1536"/>
      <c r="H20" s="1536"/>
      <c r="I20" s="1536"/>
      <c r="J20" s="1536"/>
      <c r="K20" s="1536"/>
      <c r="L20" s="1536"/>
      <c r="M20" s="1536"/>
      <c r="N20" s="1536"/>
      <c r="O20" s="1536"/>
      <c r="P20" s="1536"/>
      <c r="Q20" s="1536"/>
      <c r="R20" s="1536"/>
      <c r="S20" s="1536"/>
      <c r="T20" s="1536"/>
      <c r="U20" s="1536"/>
      <c r="V20" s="1536"/>
      <c r="W20" s="1536"/>
      <c r="X20" s="1536"/>
      <c r="Y20" s="1536"/>
      <c r="Z20" s="1536"/>
      <c r="AA20" s="1536"/>
      <c r="AB20" s="1536"/>
      <c r="AC20" s="1536"/>
      <c r="AD20" s="1536"/>
      <c r="AE20" s="1536"/>
      <c r="AF20" s="1536"/>
      <c r="AG20" s="1536"/>
      <c r="AH20" s="1536"/>
      <c r="AI20" s="1536"/>
      <c r="AJ20" s="1536"/>
      <c r="AK20" s="1537"/>
      <c r="AL20" s="1537"/>
      <c r="AM20" s="1537"/>
      <c r="AN20" s="1537">
        <v>12.35</v>
      </c>
    </row>
    <row r="21" spans="1:40" x14ac:dyDescent="0.25">
      <c r="A21" s="5328"/>
      <c r="B21" s="1538" t="s">
        <v>6</v>
      </c>
      <c r="C21" s="1539"/>
      <c r="D21" s="1539"/>
      <c r="E21" s="1539"/>
      <c r="F21" s="1539"/>
      <c r="G21" s="1539"/>
      <c r="H21" s="1539"/>
      <c r="I21" s="1539"/>
      <c r="J21" s="1539"/>
      <c r="K21" s="1539"/>
      <c r="L21" s="1539"/>
      <c r="M21" s="1539"/>
      <c r="N21" s="1539"/>
      <c r="O21" s="1539"/>
      <c r="P21" s="1539"/>
      <c r="Q21" s="1539"/>
      <c r="R21" s="1539"/>
      <c r="S21" s="1539"/>
      <c r="T21" s="1539"/>
      <c r="U21" s="1539"/>
      <c r="V21" s="1539"/>
      <c r="W21" s="1539"/>
      <c r="X21" s="1539"/>
      <c r="Y21" s="1539"/>
      <c r="Z21" s="1539"/>
      <c r="AA21" s="1539"/>
      <c r="AB21" s="1539"/>
      <c r="AC21" s="1539"/>
      <c r="AD21" s="1539"/>
      <c r="AE21" s="1539"/>
      <c r="AF21" s="1539"/>
      <c r="AG21" s="1539"/>
      <c r="AH21" s="1539"/>
      <c r="AI21" s="1539"/>
      <c r="AJ21" s="1539"/>
      <c r="AK21" s="1540"/>
      <c r="AL21" s="1540"/>
      <c r="AM21" s="1540"/>
      <c r="AN21" s="1540">
        <v>12.218749999999996</v>
      </c>
    </row>
    <row r="22" spans="1:40" x14ac:dyDescent="0.25">
      <c r="A22" s="5328"/>
      <c r="B22" s="1538" t="s">
        <v>11</v>
      </c>
      <c r="C22" s="1539"/>
      <c r="D22" s="1539"/>
      <c r="E22" s="1539"/>
      <c r="F22" s="1539"/>
      <c r="G22" s="1539"/>
      <c r="H22" s="1539"/>
      <c r="I22" s="1539"/>
      <c r="J22" s="1539"/>
      <c r="K22" s="1539"/>
      <c r="L22" s="1539"/>
      <c r="M22" s="1539"/>
      <c r="N22" s="1539"/>
      <c r="O22" s="1539"/>
      <c r="P22" s="1539"/>
      <c r="Q22" s="1539"/>
      <c r="R22" s="1539"/>
      <c r="S22" s="1539"/>
      <c r="T22" s="1539"/>
      <c r="U22" s="1539"/>
      <c r="V22" s="1539"/>
      <c r="W22" s="1539"/>
      <c r="X22" s="1539"/>
      <c r="Y22" s="1539"/>
      <c r="Z22" s="1539"/>
      <c r="AA22" s="1539"/>
      <c r="AB22" s="1539"/>
      <c r="AC22" s="1539"/>
      <c r="AD22" s="1539"/>
      <c r="AE22" s="1539"/>
      <c r="AF22" s="1539"/>
      <c r="AG22" s="1539"/>
      <c r="AH22" s="1539"/>
      <c r="AI22" s="1539"/>
      <c r="AJ22" s="1539"/>
      <c r="AK22" s="1540"/>
      <c r="AL22" s="1540"/>
      <c r="AM22" s="1540"/>
      <c r="AN22" s="1540">
        <v>12.130434782608695</v>
      </c>
    </row>
    <row r="23" spans="1:40" x14ac:dyDescent="0.25">
      <c r="A23" s="5329"/>
      <c r="B23" s="4796" t="s">
        <v>12</v>
      </c>
      <c r="C23" s="4797"/>
      <c r="D23" s="4797"/>
      <c r="E23" s="4797"/>
      <c r="F23" s="4797"/>
      <c r="G23" s="4797"/>
      <c r="H23" s="4797"/>
      <c r="I23" s="4797"/>
      <c r="J23" s="4797"/>
      <c r="K23" s="4797"/>
      <c r="L23" s="4797"/>
      <c r="M23" s="4797"/>
      <c r="N23" s="4797"/>
      <c r="O23" s="4797"/>
      <c r="P23" s="4797"/>
      <c r="Q23" s="4797"/>
      <c r="R23" s="4797"/>
      <c r="S23" s="4797"/>
      <c r="T23" s="4797"/>
      <c r="U23" s="4797"/>
      <c r="V23" s="4797"/>
      <c r="W23" s="4797"/>
      <c r="X23" s="4797"/>
      <c r="Y23" s="4797"/>
      <c r="Z23" s="4797"/>
      <c r="AA23" s="4797"/>
      <c r="AB23" s="4797"/>
      <c r="AC23" s="4797"/>
      <c r="AD23" s="4797"/>
      <c r="AE23" s="4797"/>
      <c r="AF23" s="4797"/>
      <c r="AG23" s="4797"/>
      <c r="AH23" s="4797"/>
      <c r="AI23" s="4797"/>
      <c r="AJ23" s="4797"/>
      <c r="AK23" s="4798"/>
      <c r="AL23" s="4798"/>
      <c r="AM23" s="4798"/>
      <c r="AN23" s="4798">
        <v>12.226666666666667</v>
      </c>
    </row>
    <row r="24" spans="1:40" x14ac:dyDescent="0.25">
      <c r="A24" s="4751"/>
    </row>
    <row r="25" spans="1:40" x14ac:dyDescent="0.25">
      <c r="A25" s="5323" t="s">
        <v>10</v>
      </c>
      <c r="B25" s="1535" t="s">
        <v>6</v>
      </c>
      <c r="C25" s="1536">
        <v>11.78</v>
      </c>
      <c r="D25" s="1536">
        <v>11.73</v>
      </c>
      <c r="E25" s="1536">
        <v>11.92</v>
      </c>
      <c r="F25" s="1536">
        <v>12.11</v>
      </c>
      <c r="G25" s="1536">
        <v>12.25</v>
      </c>
      <c r="H25" s="1536">
        <v>12.34</v>
      </c>
      <c r="I25" s="1536">
        <v>12.45</v>
      </c>
      <c r="J25" s="1536">
        <v>12.52</v>
      </c>
      <c r="K25" s="1536">
        <v>12.6</v>
      </c>
      <c r="L25" s="1536">
        <v>12.4</v>
      </c>
      <c r="M25" s="1536">
        <v>12.7</v>
      </c>
      <c r="N25" s="1536">
        <v>12.83</v>
      </c>
      <c r="O25" s="1536">
        <v>12.98</v>
      </c>
      <c r="P25" s="1536">
        <v>12.98</v>
      </c>
      <c r="Q25" s="1536">
        <v>13.05</v>
      </c>
      <c r="R25" s="1536">
        <v>13.42</v>
      </c>
      <c r="S25" s="1536">
        <v>13.43</v>
      </c>
      <c r="T25" s="1536">
        <v>13.36</v>
      </c>
      <c r="U25" s="1536">
        <v>13.57</v>
      </c>
      <c r="V25" s="1536">
        <v>13.39</v>
      </c>
      <c r="W25" s="1536">
        <v>13.19</v>
      </c>
      <c r="X25" s="1536">
        <v>13.27</v>
      </c>
      <c r="Y25" s="1536">
        <v>13.16</v>
      </c>
      <c r="Z25" s="1536">
        <v>13.02</v>
      </c>
      <c r="AA25" s="1536">
        <v>13.22</v>
      </c>
      <c r="AB25" s="1536">
        <v>13.23716381418093</v>
      </c>
      <c r="AC25" s="1536">
        <v>13.373779637377964</v>
      </c>
      <c r="AD25" s="1536">
        <v>13.352459016393443</v>
      </c>
      <c r="AE25" s="1536">
        <v>13.26149802890933</v>
      </c>
      <c r="AF25" s="1536">
        <v>13.184673366834177</v>
      </c>
      <c r="AG25" s="1536">
        <v>13.192346424974831</v>
      </c>
      <c r="AH25" s="1536">
        <v>13.156926406926388</v>
      </c>
      <c r="AI25" s="1536">
        <v>13.503954802259878</v>
      </c>
      <c r="AJ25" s="1536">
        <v>13.438725490196065</v>
      </c>
      <c r="AK25" s="1537">
        <v>12.98</v>
      </c>
      <c r="AL25" s="1537">
        <v>13.42</v>
      </c>
      <c r="AM25" s="1537">
        <v>13.331683168316831</v>
      </c>
      <c r="AN25" s="1537">
        <v>13.508034610630425</v>
      </c>
    </row>
    <row r="26" spans="1:40" x14ac:dyDescent="0.25">
      <c r="A26" s="5324"/>
      <c r="B26" s="1538" t="s">
        <v>11</v>
      </c>
      <c r="C26" s="1539">
        <v>11.91</v>
      </c>
      <c r="D26" s="1539">
        <v>12.24</v>
      </c>
      <c r="E26" s="1539">
        <v>12.95</v>
      </c>
      <c r="F26" s="1539">
        <v>12.69</v>
      </c>
      <c r="G26" s="1539">
        <v>12.96</v>
      </c>
      <c r="H26" s="1539">
        <v>13.07</v>
      </c>
      <c r="I26" s="1539">
        <v>13.31</v>
      </c>
      <c r="J26" s="1539">
        <v>13.24</v>
      </c>
      <c r="K26" s="1539">
        <v>13.34</v>
      </c>
      <c r="L26" s="1539">
        <v>13.61</v>
      </c>
      <c r="M26" s="1539">
        <v>13.43</v>
      </c>
      <c r="N26" s="1539">
        <v>13.97</v>
      </c>
      <c r="O26" s="1539">
        <v>14.18</v>
      </c>
      <c r="P26" s="1539">
        <v>14.07</v>
      </c>
      <c r="Q26" s="1539">
        <v>14.32</v>
      </c>
      <c r="R26" s="1539">
        <v>14.31</v>
      </c>
      <c r="S26" s="1539">
        <v>14.37</v>
      </c>
      <c r="T26" s="1539">
        <v>14.46</v>
      </c>
      <c r="U26" s="1539">
        <v>14.59</v>
      </c>
      <c r="V26" s="1539">
        <v>14.4</v>
      </c>
      <c r="W26" s="1539">
        <v>14.26</v>
      </c>
      <c r="X26" s="1539">
        <v>14.12</v>
      </c>
      <c r="Y26" s="1539">
        <v>14.18</v>
      </c>
      <c r="Z26" s="1539">
        <v>14.26</v>
      </c>
      <c r="AA26" s="1539">
        <v>13.95</v>
      </c>
      <c r="AB26" s="1539">
        <v>13.989141164856861</v>
      </c>
      <c r="AC26" s="1539">
        <v>14.037610619469026</v>
      </c>
      <c r="AD26" s="1539">
        <v>14.04026845637584</v>
      </c>
      <c r="AE26" s="1539">
        <v>13.946764091858038</v>
      </c>
      <c r="AF26" s="1539">
        <v>13.825497287522591</v>
      </c>
      <c r="AG26" s="1539">
        <v>13.654159869494297</v>
      </c>
      <c r="AH26" s="1539">
        <v>13.68</v>
      </c>
      <c r="AI26" s="1539">
        <v>13.890756302521012</v>
      </c>
      <c r="AJ26" s="1539">
        <v>14.065517241379318</v>
      </c>
      <c r="AK26" s="1540">
        <v>13.96</v>
      </c>
      <c r="AL26" s="1540">
        <v>14.07</v>
      </c>
      <c r="AM26" s="1540">
        <v>13.897071872227155</v>
      </c>
      <c r="AN26" s="1540">
        <v>13.996500437445308</v>
      </c>
    </row>
    <row r="27" spans="1:40" x14ac:dyDescent="0.25">
      <c r="A27" s="5324"/>
      <c r="B27" s="1538" t="s">
        <v>7</v>
      </c>
      <c r="C27" s="1539"/>
      <c r="D27" s="1539">
        <v>12.11</v>
      </c>
      <c r="E27" s="1539">
        <v>12.03</v>
      </c>
      <c r="F27" s="1539">
        <v>12.16</v>
      </c>
      <c r="G27" s="1539">
        <v>12.59</v>
      </c>
      <c r="H27" s="1539">
        <v>12.63</v>
      </c>
      <c r="I27" s="1539">
        <v>12.79</v>
      </c>
      <c r="J27" s="1539">
        <v>12.67</v>
      </c>
      <c r="K27" s="1539">
        <v>12.97</v>
      </c>
      <c r="L27" s="1539">
        <v>12.66</v>
      </c>
      <c r="M27" s="1539">
        <v>12.67</v>
      </c>
      <c r="N27" s="1539">
        <v>12.83</v>
      </c>
      <c r="O27" s="1539">
        <v>12.73</v>
      </c>
      <c r="P27" s="1539">
        <v>13.05</v>
      </c>
      <c r="Q27" s="1539">
        <v>13.47</v>
      </c>
      <c r="R27" s="1539">
        <v>13.73</v>
      </c>
      <c r="S27" s="1539">
        <v>13.7</v>
      </c>
      <c r="T27" s="1539">
        <v>13.99</v>
      </c>
      <c r="U27" s="1539">
        <v>13.59</v>
      </c>
      <c r="V27" s="1539">
        <v>13.88</v>
      </c>
      <c r="W27" s="1539">
        <v>13.81</v>
      </c>
      <c r="X27" s="1539">
        <v>13.49</v>
      </c>
      <c r="Y27" s="1539">
        <v>13.76</v>
      </c>
      <c r="Z27" s="1539">
        <v>13.31</v>
      </c>
      <c r="AA27" s="1539">
        <v>13.41</v>
      </c>
      <c r="AB27" s="1539">
        <v>13.380281690140846</v>
      </c>
      <c r="AC27" s="1539">
        <v>13.600558659217876</v>
      </c>
      <c r="AD27" s="1539">
        <v>13.780952380952382</v>
      </c>
      <c r="AE27" s="1539">
        <v>13.66745283018868</v>
      </c>
      <c r="AF27" s="1539">
        <v>13.426666666666671</v>
      </c>
      <c r="AG27" s="1539">
        <v>13.537074148296588</v>
      </c>
      <c r="AH27" s="1539">
        <v>13.706263498920084</v>
      </c>
      <c r="AI27" s="1539">
        <v>14.040449438202241</v>
      </c>
      <c r="AJ27" s="1539">
        <v>14.305039787798409</v>
      </c>
      <c r="AK27" s="1540">
        <v>14.222222222222223</v>
      </c>
      <c r="AL27" s="1540">
        <v>13.862385321100916</v>
      </c>
      <c r="AM27" s="1540">
        <v>13.666666666666671</v>
      </c>
      <c r="AN27" s="1540">
        <v>13.686274509803924</v>
      </c>
    </row>
    <row r="28" spans="1:40" x14ac:dyDescent="0.25">
      <c r="A28" s="5325"/>
      <c r="B28" s="2595" t="s">
        <v>12</v>
      </c>
      <c r="C28" s="2596">
        <v>11.85</v>
      </c>
      <c r="D28" s="2596">
        <v>12.04</v>
      </c>
      <c r="E28" s="2596">
        <v>12.57</v>
      </c>
      <c r="F28" s="2596">
        <v>12.4</v>
      </c>
      <c r="G28" s="2596">
        <v>12.69</v>
      </c>
      <c r="H28" s="2596">
        <v>12.74</v>
      </c>
      <c r="I28" s="2596">
        <v>12.93</v>
      </c>
      <c r="J28" s="2596">
        <v>12.9</v>
      </c>
      <c r="K28" s="2596">
        <v>13.04</v>
      </c>
      <c r="L28" s="2596">
        <v>13.14</v>
      </c>
      <c r="M28" s="2596">
        <v>13.03</v>
      </c>
      <c r="N28" s="2596">
        <v>13.38</v>
      </c>
      <c r="O28" s="2596">
        <v>13.52</v>
      </c>
      <c r="P28" s="2596">
        <v>13.46</v>
      </c>
      <c r="Q28" s="2596">
        <v>13.74</v>
      </c>
      <c r="R28" s="2596">
        <v>13.87</v>
      </c>
      <c r="S28" s="2596">
        <v>13.87</v>
      </c>
      <c r="T28" s="2596">
        <v>13.97</v>
      </c>
      <c r="U28" s="2596">
        <v>14</v>
      </c>
      <c r="V28" s="2596">
        <v>13.94</v>
      </c>
      <c r="W28" s="2596">
        <v>13.83</v>
      </c>
      <c r="X28" s="2596">
        <v>13.72</v>
      </c>
      <c r="Y28" s="2596">
        <v>13.77</v>
      </c>
      <c r="Z28" s="2596">
        <v>13.67</v>
      </c>
      <c r="AA28" s="2596">
        <v>13.62</v>
      </c>
      <c r="AB28" s="2596">
        <v>13.608874656907593</v>
      </c>
      <c r="AC28" s="2596">
        <v>13.718039413845377</v>
      </c>
      <c r="AD28" s="2596">
        <v>13.740957966764418</v>
      </c>
      <c r="AE28" s="2596">
        <v>13.648156789547363</v>
      </c>
      <c r="AF28" s="2596">
        <v>13.535792709705744</v>
      </c>
      <c r="AG28" s="2596">
        <v>13.463944076526859</v>
      </c>
      <c r="AH28" s="2596">
        <v>13.5</v>
      </c>
      <c r="AI28" s="2596">
        <v>13.781349206349185</v>
      </c>
      <c r="AJ28" s="2596">
        <v>13.886527836804103</v>
      </c>
      <c r="AK28" s="2597">
        <v>13.558333333333332</v>
      </c>
      <c r="AL28" s="2597">
        <v>13.8</v>
      </c>
      <c r="AM28" s="2597">
        <v>13.662060301507545</v>
      </c>
      <c r="AN28" s="2597">
        <v>13.775423728813557</v>
      </c>
    </row>
    <row r="29" spans="1:40" ht="15" customHeight="1" x14ac:dyDescent="0.25">
      <c r="A29" s="3876" t="s">
        <v>133</v>
      </c>
      <c r="B29" s="3876"/>
      <c r="C29" s="3876"/>
      <c r="D29" s="3876"/>
      <c r="E29" s="3876"/>
      <c r="F29" s="3876"/>
      <c r="G29" s="3876"/>
    </row>
    <row r="30" spans="1:40" x14ac:dyDescent="0.25">
      <c r="A30" s="375" t="s">
        <v>55</v>
      </c>
      <c r="B30" s="375"/>
      <c r="C30" s="375"/>
      <c r="D30" s="375"/>
      <c r="E30" s="375"/>
      <c r="F30" s="375"/>
      <c r="G30" s="375"/>
    </row>
  </sheetData>
  <mergeCells count="6">
    <mergeCell ref="A5:A8"/>
    <mergeCell ref="A10:A13"/>
    <mergeCell ref="A15:A18"/>
    <mergeCell ref="A25:A28"/>
    <mergeCell ref="A1:B1"/>
    <mergeCell ref="A20:A23"/>
  </mergeCells>
  <printOptions horizontalCentered="1" verticalCentered="1"/>
  <pageMargins left="0.51181102362204722" right="0.51181102362204722" top="0.74803149606299213" bottom="0.74803149606299213" header="0.31496062992125984" footer="0.31496062992125984"/>
  <pageSetup scale="75" pageOrder="overThenDown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2:L173"/>
  <sheetViews>
    <sheetView showGridLines="0" topLeftCell="I1" zoomScaleNormal="100" workbookViewId="0">
      <selection activeCell="L28" sqref="L28"/>
    </sheetView>
  </sheetViews>
  <sheetFormatPr baseColWidth="10" defaultRowHeight="12.75" x14ac:dyDescent="0.2"/>
  <cols>
    <col min="1" max="1" width="15" bestFit="1" customWidth="1"/>
    <col min="2" max="2" width="9.140625" bestFit="1" customWidth="1"/>
  </cols>
  <sheetData>
    <row r="2" spans="1:10" ht="18.75" x14ac:dyDescent="0.3">
      <c r="A2" s="1908"/>
      <c r="B2" s="4144" t="s">
        <v>1518</v>
      </c>
    </row>
    <row r="3" spans="1:10" ht="15.75" x14ac:dyDescent="0.25">
      <c r="A3" s="1908"/>
    </row>
    <row r="4" spans="1:10" ht="15" x14ac:dyDescent="0.2">
      <c r="A4" s="5020" t="s">
        <v>16</v>
      </c>
      <c r="B4" s="5020" t="s">
        <v>4</v>
      </c>
      <c r="C4" s="5331" t="s">
        <v>677</v>
      </c>
      <c r="D4" s="5332"/>
      <c r="E4" s="5332"/>
      <c r="F4" s="5332"/>
      <c r="G4" s="5332"/>
      <c r="H4" s="5332"/>
      <c r="I4" s="5332"/>
      <c r="J4" s="5333"/>
    </row>
    <row r="5" spans="1:10" ht="15" x14ac:dyDescent="0.2">
      <c r="A5" s="5021"/>
      <c r="B5" s="5021"/>
      <c r="C5" s="1891" t="s">
        <v>1519</v>
      </c>
      <c r="D5" s="1891">
        <v>2005</v>
      </c>
      <c r="E5" s="1891">
        <v>2006</v>
      </c>
      <c r="F5" s="1891">
        <v>2007</v>
      </c>
      <c r="G5" s="1891">
        <v>2008</v>
      </c>
      <c r="H5" s="1891">
        <v>2009</v>
      </c>
      <c r="I5" s="1891">
        <v>2010</v>
      </c>
      <c r="J5" s="1891">
        <v>2011</v>
      </c>
    </row>
    <row r="6" spans="1:10" ht="15" x14ac:dyDescent="0.2">
      <c r="A6" s="1892"/>
      <c r="B6" s="1892"/>
      <c r="C6" s="1892"/>
      <c r="D6" s="1892"/>
      <c r="E6" s="1892"/>
      <c r="F6" s="1892"/>
      <c r="G6" s="1892"/>
      <c r="H6" s="1892"/>
      <c r="I6" s="1892"/>
      <c r="J6" s="1892"/>
    </row>
    <row r="7" spans="1:10" ht="15" x14ac:dyDescent="0.25">
      <c r="A7" s="5344" t="s">
        <v>161</v>
      </c>
      <c r="B7" s="1026" t="s">
        <v>5</v>
      </c>
      <c r="C7" s="1909">
        <v>0.33770451992836109</v>
      </c>
      <c r="D7" s="1910">
        <v>0.31684698608964451</v>
      </c>
      <c r="E7" s="1910">
        <v>0.2691007437457742</v>
      </c>
      <c r="F7" s="1911">
        <v>0.25072254335260113</v>
      </c>
      <c r="G7" s="1910">
        <v>0.24097176625082076</v>
      </c>
      <c r="H7" s="1911">
        <v>0.19557705597788527</v>
      </c>
      <c r="I7" s="1910">
        <v>9.7813578826237049E-2</v>
      </c>
      <c r="J7" s="1912">
        <v>2.5946704067321177E-2</v>
      </c>
    </row>
    <row r="8" spans="1:10" ht="15" x14ac:dyDescent="0.25">
      <c r="A8" s="5345"/>
      <c r="B8" s="1027" t="s">
        <v>6</v>
      </c>
      <c r="C8" s="1913">
        <v>0.56149789402895267</v>
      </c>
      <c r="D8" s="1914">
        <v>0.50460829493087556</v>
      </c>
      <c r="E8" s="1914">
        <v>0.47193585337915234</v>
      </c>
      <c r="F8" s="1915">
        <v>0.51364175563463821</v>
      </c>
      <c r="G8" s="1914">
        <v>0.55263157894736847</v>
      </c>
      <c r="H8" s="1915">
        <v>0.49060150375939848</v>
      </c>
      <c r="I8" s="1914">
        <v>0.42179616548940463</v>
      </c>
      <c r="J8" s="1916">
        <v>0.26640548481880511</v>
      </c>
    </row>
    <row r="9" spans="1:10" ht="15" x14ac:dyDescent="0.25">
      <c r="A9" s="5345"/>
      <c r="B9" s="1027" t="s">
        <v>7</v>
      </c>
      <c r="C9" s="1913">
        <v>0.5298360655737705</v>
      </c>
      <c r="D9" s="1914">
        <v>0.58394160583941601</v>
      </c>
      <c r="E9" s="1914">
        <v>0.53086419753086422</v>
      </c>
      <c r="F9" s="1915">
        <v>0.5218295218295218</v>
      </c>
      <c r="G9" s="1914">
        <v>0.48069498069498068</v>
      </c>
      <c r="H9" s="1915">
        <v>0.53537284894837478</v>
      </c>
      <c r="I9" s="1914">
        <v>0.44913627639155468</v>
      </c>
      <c r="J9" s="1916">
        <v>0.2</v>
      </c>
    </row>
    <row r="10" spans="1:10" ht="15" x14ac:dyDescent="0.25">
      <c r="A10" s="5346"/>
      <c r="B10" s="3310" t="s">
        <v>160</v>
      </c>
      <c r="C10" s="1917">
        <v>0.46146975948475394</v>
      </c>
      <c r="D10" s="1918">
        <v>0.43099630996309962</v>
      </c>
      <c r="E10" s="1918">
        <v>0.3763213530655391</v>
      </c>
      <c r="F10" s="1919">
        <v>0.38072378138847857</v>
      </c>
      <c r="G10" s="1918">
        <v>0.38975501113585748</v>
      </c>
      <c r="H10" s="1919">
        <v>0.35761371127224784</v>
      </c>
      <c r="I10" s="1918">
        <v>0.25292307692307692</v>
      </c>
      <c r="J10" s="1920">
        <v>0.13919784293899562</v>
      </c>
    </row>
    <row r="11" spans="1:10" x14ac:dyDescent="0.2">
      <c r="A11" s="192"/>
      <c r="B11" s="192"/>
    </row>
    <row r="12" spans="1:10" ht="15" x14ac:dyDescent="0.25">
      <c r="A12" s="5347" t="s">
        <v>410</v>
      </c>
      <c r="B12" s="1026" t="s">
        <v>6</v>
      </c>
      <c r="C12" s="1909"/>
      <c r="D12" s="1910">
        <v>0.68085106382978722</v>
      </c>
      <c r="E12" s="1910">
        <v>0.81395348837209303</v>
      </c>
      <c r="F12" s="1910">
        <v>0.65714285714285714</v>
      </c>
      <c r="G12" s="1910">
        <v>0.61682242990654201</v>
      </c>
      <c r="H12" s="1911">
        <v>0.40845070422535212</v>
      </c>
      <c r="I12" s="1910">
        <v>0.35897435897435898</v>
      </c>
      <c r="J12" s="1912">
        <v>0.12987012987012986</v>
      </c>
    </row>
    <row r="13" spans="1:10" ht="15" x14ac:dyDescent="0.25">
      <c r="A13" s="5348"/>
      <c r="B13" s="1027" t="s">
        <v>9</v>
      </c>
      <c r="C13" s="1913"/>
      <c r="D13" s="1914">
        <v>0.51351351351351349</v>
      </c>
      <c r="E13" s="1914">
        <v>0.55555555555555558</v>
      </c>
      <c r="F13" s="1914">
        <v>0.504</v>
      </c>
      <c r="G13" s="1914">
        <v>0.36885245901639346</v>
      </c>
      <c r="H13" s="1915">
        <v>0.28888888888888886</v>
      </c>
      <c r="I13" s="1914">
        <v>0.29411764705882354</v>
      </c>
      <c r="J13" s="1916">
        <v>4.0983606557377046E-2</v>
      </c>
    </row>
    <row r="14" spans="1:10" ht="15" x14ac:dyDescent="0.25">
      <c r="A14" s="5348"/>
      <c r="B14" s="1027" t="s">
        <v>74</v>
      </c>
      <c r="C14" s="1913"/>
      <c r="D14" s="1914">
        <v>0.61538461538461542</v>
      </c>
      <c r="E14" s="1914">
        <v>0.47619047619047616</v>
      </c>
      <c r="F14" s="1914">
        <v>0.4</v>
      </c>
      <c r="G14" s="1914">
        <v>0.27777777777777779</v>
      </c>
      <c r="H14" s="1915">
        <v>0.22058823529411764</v>
      </c>
      <c r="I14" s="1914">
        <v>0.18478260869565216</v>
      </c>
      <c r="J14" s="1916">
        <v>5.9405940594059403E-2</v>
      </c>
    </row>
    <row r="15" spans="1:10" ht="15" x14ac:dyDescent="0.25">
      <c r="A15" s="5349"/>
      <c r="B15" s="3310" t="s">
        <v>160</v>
      </c>
      <c r="C15" s="1917"/>
      <c r="D15" s="1918">
        <v>0.62941176470588234</v>
      </c>
      <c r="E15" s="1918">
        <v>0.65934065934065933</v>
      </c>
      <c r="F15" s="1918">
        <v>0.54285714285714282</v>
      </c>
      <c r="G15" s="1918">
        <v>0.42633228840125392</v>
      </c>
      <c r="H15" s="1919">
        <v>0.3056768558951965</v>
      </c>
      <c r="I15" s="1918">
        <v>0.27681660899653981</v>
      </c>
      <c r="J15" s="1920">
        <v>7.0000000000000007E-2</v>
      </c>
    </row>
    <row r="16" spans="1:10" x14ac:dyDescent="0.2">
      <c r="A16" s="192"/>
      <c r="B16" s="192"/>
    </row>
    <row r="17" spans="1:10" ht="15" x14ac:dyDescent="0.25">
      <c r="A17" s="5334" t="s">
        <v>162</v>
      </c>
      <c r="B17" s="1026" t="s">
        <v>5</v>
      </c>
      <c r="C17" s="1909">
        <v>0.33073176131960591</v>
      </c>
      <c r="D17" s="1910">
        <v>0.38502673796791442</v>
      </c>
      <c r="E17" s="1910">
        <v>0.33761467889908259</v>
      </c>
      <c r="F17" s="1911">
        <v>0.29399141630901288</v>
      </c>
      <c r="G17" s="1910">
        <v>0.23316912972085385</v>
      </c>
      <c r="H17" s="1911">
        <v>0.19047619047619047</v>
      </c>
      <c r="I17" s="1910">
        <v>9.0267983074753172E-2</v>
      </c>
      <c r="J17" s="1912">
        <v>2.7322404371584699E-2</v>
      </c>
    </row>
    <row r="18" spans="1:10" ht="15" x14ac:dyDescent="0.25">
      <c r="A18" s="5335"/>
      <c r="B18" s="1027" t="s">
        <v>6</v>
      </c>
      <c r="C18" s="1913">
        <v>0.43859232361624867</v>
      </c>
      <c r="D18" s="1914">
        <v>0.49792099792099792</v>
      </c>
      <c r="E18" s="1914">
        <v>0.48911917098445595</v>
      </c>
      <c r="F18" s="1915">
        <v>0.49618320610687022</v>
      </c>
      <c r="G18" s="1914">
        <v>0.47107438016528924</v>
      </c>
      <c r="H18" s="1915">
        <v>0.43103448275862066</v>
      </c>
      <c r="I18" s="1914">
        <v>0.30602636534839922</v>
      </c>
      <c r="J18" s="1916">
        <v>0.16324535679374388</v>
      </c>
    </row>
    <row r="19" spans="1:10" ht="15" x14ac:dyDescent="0.25">
      <c r="A19" s="5335"/>
      <c r="B19" s="1027" t="s">
        <v>11</v>
      </c>
      <c r="C19" s="1913">
        <v>0.43451268760171174</v>
      </c>
      <c r="D19" s="1914">
        <v>0.55421686746987953</v>
      </c>
      <c r="E19" s="1914">
        <v>0.50505050505050508</v>
      </c>
      <c r="F19" s="1915">
        <v>0.46593001841620624</v>
      </c>
      <c r="G19" s="1914">
        <v>0.40317460317460319</v>
      </c>
      <c r="H19" s="1915">
        <v>0.36254980079681276</v>
      </c>
      <c r="I19" s="1914">
        <v>0.23117569352708059</v>
      </c>
      <c r="J19" s="1916">
        <v>8.5858585858585856E-2</v>
      </c>
    </row>
    <row r="20" spans="1:10" ht="15" x14ac:dyDescent="0.25">
      <c r="A20" s="5336"/>
      <c r="B20" s="3310" t="s">
        <v>160</v>
      </c>
      <c r="C20" s="1917">
        <v>0.40714864949161</v>
      </c>
      <c r="D20" s="1918">
        <v>0.48045522018802572</v>
      </c>
      <c r="E20" s="1918">
        <v>0.45437262357414449</v>
      </c>
      <c r="F20" s="1919">
        <v>0.44239183276616434</v>
      </c>
      <c r="G20" s="1918">
        <v>0.3904639175257732</v>
      </c>
      <c r="H20" s="1919">
        <v>0.3544358311800172</v>
      </c>
      <c r="I20" s="1918">
        <v>0.22310126582278481</v>
      </c>
      <c r="J20" s="1920">
        <v>0.10011778563015312</v>
      </c>
    </row>
    <row r="22" spans="1:10" ht="15" x14ac:dyDescent="0.25">
      <c r="A22" s="5341" t="s">
        <v>411</v>
      </c>
      <c r="B22" s="1026" t="s">
        <v>5</v>
      </c>
      <c r="C22" s="1909"/>
      <c r="D22" s="1910"/>
      <c r="E22" s="1910"/>
      <c r="F22" s="1911"/>
      <c r="G22" s="1910"/>
      <c r="H22" s="1911"/>
      <c r="I22" s="1910"/>
      <c r="J22" s="1912">
        <v>0.45454545454545453</v>
      </c>
    </row>
    <row r="23" spans="1:10" ht="15" x14ac:dyDescent="0.25">
      <c r="A23" s="5342"/>
      <c r="B23" s="1027" t="s">
        <v>6</v>
      </c>
      <c r="C23" s="1913"/>
      <c r="D23" s="1914"/>
      <c r="E23" s="1914"/>
      <c r="F23" s="1915"/>
      <c r="G23" s="1914"/>
      <c r="H23" s="1915"/>
      <c r="I23" s="1914"/>
      <c r="J23" s="1916">
        <v>0.68085106382978722</v>
      </c>
    </row>
    <row r="24" spans="1:10" ht="15" x14ac:dyDescent="0.25">
      <c r="A24" s="5342"/>
      <c r="B24" s="1027" t="s">
        <v>11</v>
      </c>
      <c r="C24" s="1913"/>
      <c r="D24" s="1914"/>
      <c r="E24" s="1914"/>
      <c r="F24" s="1915"/>
      <c r="G24" s="1914"/>
      <c r="H24" s="1915"/>
      <c r="I24" s="1914"/>
      <c r="J24" s="1916">
        <v>0.51111111111111107</v>
      </c>
    </row>
    <row r="25" spans="1:10" ht="15" x14ac:dyDescent="0.25">
      <c r="A25" s="5343"/>
      <c r="B25" s="3310" t="s">
        <v>160</v>
      </c>
      <c r="C25" s="1917"/>
      <c r="D25" s="1918"/>
      <c r="E25" s="1918"/>
      <c r="F25" s="1919"/>
      <c r="G25" s="1918"/>
      <c r="H25" s="1919"/>
      <c r="I25" s="1918"/>
      <c r="J25" s="1920">
        <v>0.55147058823529416</v>
      </c>
    </row>
    <row r="26" spans="1:10" x14ac:dyDescent="0.2">
      <c r="A26" s="192"/>
      <c r="B26" s="192"/>
    </row>
    <row r="27" spans="1:10" ht="15" x14ac:dyDescent="0.25">
      <c r="A27" s="5337" t="s">
        <v>163</v>
      </c>
      <c r="B27" s="1026" t="s">
        <v>6</v>
      </c>
      <c r="C27" s="1909">
        <v>0.6332095355997841</v>
      </c>
      <c r="D27" s="1910">
        <v>0.6878654970760234</v>
      </c>
      <c r="E27" s="1910">
        <v>0.68185654008438823</v>
      </c>
      <c r="F27" s="1911">
        <v>0.65199335548172754</v>
      </c>
      <c r="G27" s="1910">
        <v>0.66666666666666663</v>
      </c>
      <c r="H27" s="1911">
        <v>0.65108225108225104</v>
      </c>
      <c r="I27" s="1910">
        <v>0.60613598673300162</v>
      </c>
      <c r="J27" s="1912">
        <v>0.42560553633217996</v>
      </c>
    </row>
    <row r="28" spans="1:10" ht="15" x14ac:dyDescent="0.25">
      <c r="A28" s="5338"/>
      <c r="B28" s="1027" t="s">
        <v>11</v>
      </c>
      <c r="C28" s="1913">
        <v>0.66518250194953843</v>
      </c>
      <c r="D28" s="1914">
        <v>0.74580196873190507</v>
      </c>
      <c r="E28" s="1914">
        <v>0.73853484216795706</v>
      </c>
      <c r="F28" s="1915">
        <v>0.72789581905414669</v>
      </c>
      <c r="G28" s="1914">
        <v>0.78233657858136296</v>
      </c>
      <c r="H28" s="1915">
        <v>0.7127955493741307</v>
      </c>
      <c r="I28" s="1914">
        <v>0.70948999354422204</v>
      </c>
      <c r="J28" s="1916">
        <v>0.4952978056426332</v>
      </c>
    </row>
    <row r="29" spans="1:10" ht="15" x14ac:dyDescent="0.25">
      <c r="A29" s="5338"/>
      <c r="B29" s="1027" t="s">
        <v>7</v>
      </c>
      <c r="C29" s="1913">
        <v>0.61402900159578155</v>
      </c>
      <c r="D29" s="1914">
        <v>0.68823529411764706</v>
      </c>
      <c r="E29" s="1914">
        <v>0.61562499999999998</v>
      </c>
      <c r="F29" s="1915">
        <v>0.54714064914992278</v>
      </c>
      <c r="G29" s="1914">
        <v>0.62599049128367668</v>
      </c>
      <c r="H29" s="1915">
        <v>0.61005199306759095</v>
      </c>
      <c r="I29" s="1914">
        <v>0.58853288364249579</v>
      </c>
      <c r="J29" s="1916">
        <v>0.35666666666666669</v>
      </c>
    </row>
    <row r="30" spans="1:10" ht="15" x14ac:dyDescent="0.25">
      <c r="A30" s="5339"/>
      <c r="B30" s="3310" t="s">
        <v>160</v>
      </c>
      <c r="C30" s="1917">
        <v>0.64481901271171604</v>
      </c>
      <c r="D30" s="1918">
        <v>0.71443708609271528</v>
      </c>
      <c r="E30" s="1918">
        <v>0.69691780821917804</v>
      </c>
      <c r="F30" s="1919">
        <v>0.66495468277945624</v>
      </c>
      <c r="G30" s="1918">
        <v>0.70977627949739508</v>
      </c>
      <c r="H30" s="1919">
        <v>0.671608832807571</v>
      </c>
      <c r="I30" s="1918">
        <v>0.65083632019115889</v>
      </c>
      <c r="J30" s="1920">
        <v>0.44129287598944589</v>
      </c>
    </row>
    <row r="32" spans="1:10" ht="15" x14ac:dyDescent="0.2">
      <c r="A32" s="5153" t="s">
        <v>76</v>
      </c>
      <c r="B32" s="5340"/>
      <c r="C32" s="3311">
        <v>0.51478265420495528</v>
      </c>
      <c r="D32" s="3311">
        <v>0.5697325956662056</v>
      </c>
      <c r="E32" s="3311">
        <v>0.53016282066299636</v>
      </c>
      <c r="F32" s="3311">
        <v>0.51394374625972472</v>
      </c>
      <c r="G32" s="3311">
        <v>0.50657240693692696</v>
      </c>
      <c r="H32" s="3311">
        <v>0.46910336950314108</v>
      </c>
      <c r="I32" s="3311">
        <v>0.38714816781731282</v>
      </c>
      <c r="J32" s="3312">
        <v>0.2340236027610777</v>
      </c>
    </row>
    <row r="33" spans="1:10" x14ac:dyDescent="0.2">
      <c r="A33" s="375" t="s">
        <v>55</v>
      </c>
    </row>
    <row r="35" spans="1:10" ht="15.75" x14ac:dyDescent="0.25">
      <c r="A35" s="1908"/>
    </row>
    <row r="36" spans="1:10" ht="15" x14ac:dyDescent="0.2">
      <c r="A36" s="5020" t="s">
        <v>16</v>
      </c>
      <c r="B36" s="5020" t="s">
        <v>4</v>
      </c>
      <c r="C36" s="5331" t="s">
        <v>677</v>
      </c>
      <c r="D36" s="5332"/>
      <c r="E36" s="5332"/>
      <c r="F36" s="5332"/>
      <c r="G36" s="5332"/>
      <c r="H36" s="5332"/>
      <c r="I36" s="5332"/>
      <c r="J36" s="5333"/>
    </row>
    <row r="37" spans="1:10" ht="15" x14ac:dyDescent="0.2">
      <c r="A37" s="5021"/>
      <c r="B37" s="5021"/>
      <c r="C37" s="1891" t="s">
        <v>1125</v>
      </c>
      <c r="D37" s="1891">
        <v>2004</v>
      </c>
      <c r="E37" s="1891">
        <v>2005</v>
      </c>
      <c r="F37" s="1891">
        <v>2006</v>
      </c>
      <c r="G37" s="1891">
        <v>2007</v>
      </c>
      <c r="H37" s="1891">
        <v>2008</v>
      </c>
      <c r="I37" s="1891">
        <v>2009</v>
      </c>
      <c r="J37" s="1891">
        <v>2010</v>
      </c>
    </row>
    <row r="38" spans="1:10" ht="15" x14ac:dyDescent="0.2">
      <c r="A38" s="1892"/>
      <c r="B38" s="1892"/>
      <c r="C38" s="1892"/>
      <c r="D38" s="1892"/>
      <c r="E38" s="1892"/>
      <c r="F38" s="1892"/>
      <c r="G38" s="1892"/>
      <c r="H38" s="1892"/>
      <c r="I38" s="1892"/>
      <c r="J38" s="1892"/>
    </row>
    <row r="39" spans="1:10" ht="15" x14ac:dyDescent="0.25">
      <c r="A39" s="5344" t="s">
        <v>161</v>
      </c>
      <c r="B39" s="1026" t="s">
        <v>5</v>
      </c>
      <c r="C39" s="1909">
        <v>0.33746228362712405</v>
      </c>
      <c r="D39" s="1910">
        <v>0.32717316906228611</v>
      </c>
      <c r="E39" s="1910">
        <v>0.28039513677811551</v>
      </c>
      <c r="F39" s="1911">
        <v>0.24543610547667344</v>
      </c>
      <c r="G39" s="1910">
        <v>0.20766550522648083</v>
      </c>
      <c r="H39" s="1911">
        <v>0.19250985545335086</v>
      </c>
      <c r="I39" s="1910">
        <v>0.1050449205252246</v>
      </c>
      <c r="J39" s="1912">
        <v>2.645198389879241E-2</v>
      </c>
    </row>
    <row r="40" spans="1:10" ht="15" x14ac:dyDescent="0.25">
      <c r="A40" s="5345"/>
      <c r="B40" s="1027" t="s">
        <v>6</v>
      </c>
      <c r="C40" s="1913">
        <v>0.56073601642108351</v>
      </c>
      <c r="D40" s="1914">
        <v>0.54067971163748718</v>
      </c>
      <c r="E40" s="1914">
        <v>0.47845804988662133</v>
      </c>
      <c r="F40" s="1915">
        <v>0.45933562428407787</v>
      </c>
      <c r="G40" s="1914">
        <v>0.47368421052631576</v>
      </c>
      <c r="H40" s="1915">
        <v>0.4945553539019964</v>
      </c>
      <c r="I40" s="1914">
        <v>0.42050799623706492</v>
      </c>
      <c r="J40" s="1916">
        <v>0.26693629929221435</v>
      </c>
    </row>
    <row r="41" spans="1:10" ht="15" x14ac:dyDescent="0.25">
      <c r="A41" s="5345"/>
      <c r="B41" s="1027" t="s">
        <v>7</v>
      </c>
      <c r="C41" s="1913">
        <v>0.5260894170911149</v>
      </c>
      <c r="D41" s="1914">
        <v>0.6063492063492063</v>
      </c>
      <c r="E41" s="1914">
        <v>0.56159420289855078</v>
      </c>
      <c r="F41" s="1915">
        <v>0.50823045267489708</v>
      </c>
      <c r="G41" s="1914">
        <v>0.48282828282828283</v>
      </c>
      <c r="H41" s="1915">
        <v>0.42003853564547206</v>
      </c>
      <c r="I41" s="1914">
        <v>0.45315487571701724</v>
      </c>
      <c r="J41" s="1916">
        <v>0.2335907335907336</v>
      </c>
    </row>
    <row r="42" spans="1:10" ht="15" x14ac:dyDescent="0.25">
      <c r="A42" s="5346"/>
      <c r="B42" s="3310" t="s">
        <v>12</v>
      </c>
      <c r="C42" s="1917">
        <v>0.46075853317110821</v>
      </c>
      <c r="D42" s="1918">
        <v>0.45231874591770083</v>
      </c>
      <c r="E42" s="1918">
        <v>0.40036363636363637</v>
      </c>
      <c r="F42" s="1919">
        <v>0.35623678646934459</v>
      </c>
      <c r="G42" s="1918">
        <v>0.33915834522111271</v>
      </c>
      <c r="H42" s="1919">
        <v>0.33598472796691059</v>
      </c>
      <c r="I42" s="1918">
        <v>0.27563468513023409</v>
      </c>
      <c r="J42" s="1920">
        <v>0.13277880468268638</v>
      </c>
    </row>
    <row r="43" spans="1:10" x14ac:dyDescent="0.2">
      <c r="A43" s="192"/>
      <c r="B43" s="192"/>
    </row>
    <row r="44" spans="1:10" ht="15" x14ac:dyDescent="0.25">
      <c r="A44" s="5347" t="s">
        <v>410</v>
      </c>
      <c r="B44" s="1026" t="s">
        <v>6</v>
      </c>
      <c r="C44" s="1909"/>
      <c r="D44" s="1911"/>
      <c r="E44" s="1910">
        <v>0.68085106382978722</v>
      </c>
      <c r="F44" s="1910">
        <v>0.79545454545454541</v>
      </c>
      <c r="G44" s="1910">
        <v>0.62962962962962965</v>
      </c>
      <c r="H44" s="1911">
        <v>0.57943925233644855</v>
      </c>
      <c r="I44" s="1910">
        <v>0.352112676056338</v>
      </c>
      <c r="J44" s="1912">
        <v>0.20512820512820512</v>
      </c>
    </row>
    <row r="45" spans="1:10" ht="15" x14ac:dyDescent="0.25">
      <c r="A45" s="5348"/>
      <c r="B45" s="1027" t="s">
        <v>9</v>
      </c>
      <c r="C45" s="1913"/>
      <c r="D45" s="1915"/>
      <c r="E45" s="1914">
        <v>0.51351351351351349</v>
      </c>
      <c r="F45" s="1914">
        <v>0.5</v>
      </c>
      <c r="G45" s="1914">
        <v>0.45384615384615384</v>
      </c>
      <c r="H45" s="1915">
        <v>0.31967213114754101</v>
      </c>
      <c r="I45" s="1914">
        <v>0.21111111111111111</v>
      </c>
      <c r="J45" s="1916">
        <v>0.1440677966101695</v>
      </c>
    </row>
    <row r="46" spans="1:10" ht="15" x14ac:dyDescent="0.25">
      <c r="A46" s="5348"/>
      <c r="B46" s="1027" t="s">
        <v>74</v>
      </c>
      <c r="C46" s="1913"/>
      <c r="D46" s="1915"/>
      <c r="E46" s="1914">
        <v>0.58974358974358976</v>
      </c>
      <c r="F46" s="1914">
        <v>0.47619047619047616</v>
      </c>
      <c r="G46" s="1914">
        <v>0.34545454545454546</v>
      </c>
      <c r="H46" s="1915">
        <v>0.25274725274725274</v>
      </c>
      <c r="I46" s="1914">
        <v>0.14705882352941177</v>
      </c>
      <c r="J46" s="1916">
        <v>4.3478260869565216E-2</v>
      </c>
    </row>
    <row r="47" spans="1:10" ht="15" x14ac:dyDescent="0.25">
      <c r="A47" s="5349"/>
      <c r="B47" s="3310" t="s">
        <v>12</v>
      </c>
      <c r="C47" s="1917"/>
      <c r="D47" s="1919"/>
      <c r="E47" s="1918">
        <v>0.62352941176470589</v>
      </c>
      <c r="F47" s="1918">
        <v>0.63440860215053763</v>
      </c>
      <c r="G47" s="1918">
        <v>0.49829351535836175</v>
      </c>
      <c r="H47" s="1919">
        <v>0.38750000000000001</v>
      </c>
      <c r="I47" s="1918">
        <v>0.23580786026200873</v>
      </c>
      <c r="J47" s="1920">
        <v>0.12847222222222221</v>
      </c>
    </row>
    <row r="48" spans="1:10" x14ac:dyDescent="0.2">
      <c r="A48" s="192"/>
      <c r="B48" s="192"/>
    </row>
    <row r="49" spans="1:10" ht="15" x14ac:dyDescent="0.25">
      <c r="A49" s="5334" t="s">
        <v>162</v>
      </c>
      <c r="B49" s="1026" t="s">
        <v>5</v>
      </c>
      <c r="C49" s="1909">
        <v>0.33116660964762229</v>
      </c>
      <c r="D49" s="1910">
        <v>0.35931558935361219</v>
      </c>
      <c r="E49" s="1910">
        <v>0.37455830388692579</v>
      </c>
      <c r="F49" s="1911">
        <v>0.31318681318681318</v>
      </c>
      <c r="G49" s="1910">
        <v>0.27027027027027029</v>
      </c>
      <c r="H49" s="1911">
        <v>0.17598684210526316</v>
      </c>
      <c r="I49" s="1910">
        <v>0.10795454545454546</v>
      </c>
      <c r="J49" s="1912">
        <v>2.8208744710860368E-2</v>
      </c>
    </row>
    <row r="50" spans="1:10" ht="15" x14ac:dyDescent="0.25">
      <c r="A50" s="5335"/>
      <c r="B50" s="1027" t="s">
        <v>6</v>
      </c>
      <c r="C50" s="1913">
        <v>0.4327860801234828</v>
      </c>
      <c r="D50" s="1914">
        <v>0.54734651404786683</v>
      </c>
      <c r="E50" s="1914">
        <v>0.47046843177189407</v>
      </c>
      <c r="F50" s="1915">
        <v>0.46839378238341967</v>
      </c>
      <c r="G50" s="1914">
        <v>0.43761301989150092</v>
      </c>
      <c r="H50" s="1915">
        <v>0.42699724517906334</v>
      </c>
      <c r="I50" s="1914">
        <v>0.34167468719923005</v>
      </c>
      <c r="J50" s="1916">
        <v>0.16635160680529301</v>
      </c>
    </row>
    <row r="51" spans="1:10" ht="15" x14ac:dyDescent="0.25">
      <c r="A51" s="5335"/>
      <c r="B51" s="1027" t="s">
        <v>11</v>
      </c>
      <c r="C51" s="1913">
        <v>0.43079219002611613</v>
      </c>
      <c r="D51" s="1914">
        <v>0.51574803149606296</v>
      </c>
      <c r="E51" s="1914">
        <v>0.52277227722772279</v>
      </c>
      <c r="F51" s="1915">
        <v>0.47643097643097643</v>
      </c>
      <c r="G51" s="1914">
        <v>0.3935599284436494</v>
      </c>
      <c r="H51" s="1915">
        <v>0.34126984126984128</v>
      </c>
      <c r="I51" s="1914">
        <v>0.25398936170212766</v>
      </c>
      <c r="J51" s="1916">
        <v>7.5197889182058053E-2</v>
      </c>
    </row>
    <row r="52" spans="1:10" ht="15" customHeight="1" x14ac:dyDescent="0.25">
      <c r="A52" s="5336"/>
      <c r="B52" s="3310" t="s">
        <v>12</v>
      </c>
      <c r="C52" s="1917">
        <v>0.40358304091684644</v>
      </c>
      <c r="D52" s="1918">
        <v>0.48972431077694234</v>
      </c>
      <c r="E52" s="1918">
        <v>0.45689235265465172</v>
      </c>
      <c r="F52" s="1919">
        <v>0.43040380047505938</v>
      </c>
      <c r="G52" s="1918">
        <v>0.38863000931966452</v>
      </c>
      <c r="H52" s="1919">
        <v>0.33820369574559517</v>
      </c>
      <c r="I52" s="1918">
        <v>0.26002587322121606</v>
      </c>
      <c r="J52" s="1920">
        <v>0.1001980198019802</v>
      </c>
    </row>
    <row r="53" spans="1:10" ht="15" customHeight="1" x14ac:dyDescent="0.2">
      <c r="A53" s="192"/>
      <c r="B53" s="192"/>
    </row>
    <row r="54" spans="1:10" ht="15" customHeight="1" x14ac:dyDescent="0.25">
      <c r="A54" s="5337" t="s">
        <v>163</v>
      </c>
      <c r="B54" s="1026" t="s">
        <v>6</v>
      </c>
      <c r="C54" s="1909">
        <v>0.63025098195859131</v>
      </c>
      <c r="D54" s="1910">
        <v>0.69135802469135799</v>
      </c>
      <c r="E54" s="1910">
        <v>0.68374816983894582</v>
      </c>
      <c r="F54" s="1911">
        <v>0.67510548523206748</v>
      </c>
      <c r="G54" s="1910">
        <v>0.63157894736842102</v>
      </c>
      <c r="H54" s="1911">
        <v>0.64207879295892711</v>
      </c>
      <c r="I54" s="1910">
        <v>0.60779220779220777</v>
      </c>
      <c r="J54" s="1912">
        <v>0.44527363184079605</v>
      </c>
    </row>
    <row r="55" spans="1:10" ht="15" customHeight="1" x14ac:dyDescent="0.25">
      <c r="A55" s="5338"/>
      <c r="B55" s="1027" t="s">
        <v>11</v>
      </c>
      <c r="C55" s="1913">
        <v>0.66035737921906024</v>
      </c>
      <c r="D55" s="1914">
        <v>0.75100401606425704</v>
      </c>
      <c r="E55" s="1914">
        <v>0.7399077277970012</v>
      </c>
      <c r="F55" s="1915">
        <v>0.73771462403789223</v>
      </c>
      <c r="G55" s="1914">
        <v>0.71769383697813116</v>
      </c>
      <c r="H55" s="1915">
        <v>0.76789587852494579</v>
      </c>
      <c r="I55" s="1914">
        <v>0.69220246238030092</v>
      </c>
      <c r="J55" s="1916">
        <v>0.53936239427456079</v>
      </c>
    </row>
    <row r="56" spans="1:10" ht="15" x14ac:dyDescent="0.25">
      <c r="A56" s="5338"/>
      <c r="B56" s="1027" t="s">
        <v>7</v>
      </c>
      <c r="C56" s="1913">
        <v>0.60899073195650588</v>
      </c>
      <c r="D56" s="1914">
        <v>0.70380818053596617</v>
      </c>
      <c r="E56" s="1914">
        <v>0.67888563049853368</v>
      </c>
      <c r="F56" s="1915">
        <v>0.61093750000000002</v>
      </c>
      <c r="G56" s="1914">
        <v>0.5301391035548686</v>
      </c>
      <c r="H56" s="1915">
        <v>0.59651898734177211</v>
      </c>
      <c r="I56" s="1914">
        <v>0.53032928942807622</v>
      </c>
      <c r="J56" s="1916">
        <v>0.41821247892074198</v>
      </c>
    </row>
    <row r="57" spans="1:10" ht="15" customHeight="1" x14ac:dyDescent="0.25">
      <c r="A57" s="5339"/>
      <c r="B57" s="3310" t="s">
        <v>12</v>
      </c>
      <c r="C57" s="1917">
        <v>0.64062806673209027</v>
      </c>
      <c r="D57" s="1918">
        <v>0.72020460358056271</v>
      </c>
      <c r="E57" s="1918">
        <v>0.70861977789529351</v>
      </c>
      <c r="F57" s="1919">
        <v>0.69351166761525329</v>
      </c>
      <c r="G57" s="1918">
        <v>0.65065243179122179</v>
      </c>
      <c r="H57" s="1919">
        <v>0.68734413965087282</v>
      </c>
      <c r="I57" s="1918">
        <v>0.63243581715716968</v>
      </c>
      <c r="J57" s="1920">
        <v>0.48381294964028776</v>
      </c>
    </row>
    <row r="58" spans="1:10" ht="15" customHeight="1" x14ac:dyDescent="0.2"/>
    <row r="59" spans="1:10" ht="18" customHeight="1" x14ac:dyDescent="0.2">
      <c r="A59" s="5153" t="s">
        <v>76</v>
      </c>
      <c r="B59" s="5340"/>
      <c r="C59" s="3311">
        <v>0.51124348541232167</v>
      </c>
      <c r="D59" s="3311">
        <v>0.57745065239210436</v>
      </c>
      <c r="E59" s="3311">
        <v>0.55111364934323248</v>
      </c>
      <c r="F59" s="3311">
        <v>0.51614035087719301</v>
      </c>
      <c r="G59" s="3311">
        <v>0.4788160185722577</v>
      </c>
      <c r="H59" s="3311">
        <v>0.46365859079795513</v>
      </c>
      <c r="I59" s="3311">
        <v>0.40034188034188034</v>
      </c>
      <c r="J59" s="3312">
        <v>0.24853645556146886</v>
      </c>
    </row>
    <row r="60" spans="1:10" ht="15" customHeight="1" x14ac:dyDescent="0.2">
      <c r="A60" s="3876" t="s">
        <v>1319</v>
      </c>
    </row>
    <row r="61" spans="1:10" ht="15" customHeight="1" x14ac:dyDescent="0.2">
      <c r="A61" s="375" t="s">
        <v>55</v>
      </c>
    </row>
    <row r="62" spans="1:10" ht="15" customHeight="1" x14ac:dyDescent="0.2">
      <c r="A62" s="375"/>
    </row>
    <row r="63" spans="1:10" ht="15" customHeight="1" x14ac:dyDescent="0.2">
      <c r="A63" s="375"/>
    </row>
    <row r="64" spans="1:10" ht="15" customHeight="1" x14ac:dyDescent="0.25">
      <c r="A64" s="1908" t="s">
        <v>687</v>
      </c>
    </row>
    <row r="65" spans="1:10" ht="15" customHeight="1" x14ac:dyDescent="0.2"/>
    <row r="66" spans="1:10" ht="15" customHeight="1" x14ac:dyDescent="0.2">
      <c r="A66" s="5020" t="s">
        <v>16</v>
      </c>
      <c r="B66" s="5020" t="s">
        <v>4</v>
      </c>
      <c r="C66" s="5331" t="s">
        <v>677</v>
      </c>
      <c r="D66" s="5332"/>
      <c r="E66" s="5332"/>
      <c r="F66" s="5332"/>
      <c r="G66" s="5332"/>
      <c r="H66" s="5332"/>
      <c r="I66" s="5332"/>
      <c r="J66" s="5333"/>
    </row>
    <row r="67" spans="1:10" ht="15" x14ac:dyDescent="0.2">
      <c r="A67" s="5021"/>
      <c r="B67" s="5021"/>
      <c r="C67" s="1891" t="s">
        <v>686</v>
      </c>
      <c r="D67" s="1891">
        <v>2003</v>
      </c>
      <c r="E67" s="1891">
        <v>2004</v>
      </c>
      <c r="F67" s="1891">
        <v>2005</v>
      </c>
      <c r="G67" s="1891">
        <v>2006</v>
      </c>
      <c r="H67" s="1891">
        <v>2007</v>
      </c>
      <c r="I67" s="1891">
        <v>2008</v>
      </c>
      <c r="J67" s="1891">
        <v>2009</v>
      </c>
    </row>
    <row r="68" spans="1:10" ht="15" x14ac:dyDescent="0.2">
      <c r="A68" s="1892"/>
      <c r="B68" s="1892"/>
      <c r="C68" s="1892"/>
      <c r="D68" s="1892"/>
      <c r="E68" s="1892"/>
      <c r="F68" s="1892"/>
      <c r="G68" s="1892"/>
      <c r="H68" s="1892"/>
      <c r="I68" s="1892"/>
      <c r="J68" s="1892"/>
    </row>
    <row r="69" spans="1:10" ht="15" customHeight="1" x14ac:dyDescent="0.25">
      <c r="A69" s="5146" t="s">
        <v>161</v>
      </c>
      <c r="B69" s="1026" t="s">
        <v>5</v>
      </c>
      <c r="C69" s="1909">
        <v>0.3362</v>
      </c>
      <c r="D69" s="1910">
        <v>0.32638164754953075</v>
      </c>
      <c r="E69" s="1910">
        <v>0.29315068493150687</v>
      </c>
      <c r="F69" s="1911">
        <v>0.24790874524714829</v>
      </c>
      <c r="G69" s="1910">
        <v>0.20622041920216364</v>
      </c>
      <c r="H69" s="1911">
        <v>0.15470383275261324</v>
      </c>
      <c r="I69" s="1910">
        <v>0.10505581089954039</v>
      </c>
      <c r="J69" s="1912">
        <v>2.5552486187845305E-2</v>
      </c>
    </row>
    <row r="70" spans="1:10" ht="15" customHeight="1" x14ac:dyDescent="0.25">
      <c r="A70" s="5147"/>
      <c r="B70" s="1027" t="s">
        <v>6</v>
      </c>
      <c r="C70" s="1913">
        <v>0.56069999999999998</v>
      </c>
      <c r="D70" s="1914">
        <v>0.54624591947769319</v>
      </c>
      <c r="E70" s="1914">
        <v>0.52729145211122552</v>
      </c>
      <c r="F70" s="1915">
        <v>0.47052154195011336</v>
      </c>
      <c r="G70" s="1914">
        <v>0.43528064146620848</v>
      </c>
      <c r="H70" s="1915">
        <v>0.43577981651376146</v>
      </c>
      <c r="I70" s="1914">
        <v>0.41833030852994557</v>
      </c>
      <c r="J70" s="1916">
        <v>0.29765258215962442</v>
      </c>
    </row>
    <row r="71" spans="1:10" ht="15" customHeight="1" x14ac:dyDescent="0.25">
      <c r="A71" s="5147"/>
      <c r="B71" s="1027" t="s">
        <v>7</v>
      </c>
      <c r="C71" s="1913">
        <v>0.5232</v>
      </c>
      <c r="D71" s="1914">
        <v>0.58384146341463417</v>
      </c>
      <c r="E71" s="1914">
        <v>0.6</v>
      </c>
      <c r="F71" s="1915">
        <v>0.53442028985507251</v>
      </c>
      <c r="G71" s="1914">
        <v>0.47736625514403291</v>
      </c>
      <c r="H71" s="1915">
        <v>0.44242424242424244</v>
      </c>
      <c r="I71" s="1914">
        <v>0.3365570599613153</v>
      </c>
      <c r="J71" s="1916">
        <v>0.23892100192678228</v>
      </c>
    </row>
    <row r="72" spans="1:10" ht="15" customHeight="1" x14ac:dyDescent="0.25">
      <c r="A72" s="5226"/>
      <c r="B72" s="3310" t="s">
        <v>12</v>
      </c>
      <c r="C72" s="1917">
        <v>0.45929999999999999</v>
      </c>
      <c r="D72" s="1918">
        <v>0.47277032359905286</v>
      </c>
      <c r="E72" s="1918">
        <v>0.43057824240444298</v>
      </c>
      <c r="F72" s="1919">
        <v>0.37686431429610767</v>
      </c>
      <c r="G72" s="1918">
        <v>0.32311486962649755</v>
      </c>
      <c r="H72" s="1919">
        <v>0.2930049964311206</v>
      </c>
      <c r="I72" s="1918">
        <v>0.25302355187778486</v>
      </c>
      <c r="J72" s="1920">
        <v>0.15765171503957784</v>
      </c>
    </row>
    <row r="73" spans="1:10" ht="15.75" x14ac:dyDescent="0.2">
      <c r="A73" s="692"/>
      <c r="B73" s="192"/>
      <c r="C73" s="760"/>
      <c r="D73" s="760"/>
      <c r="E73" s="760"/>
      <c r="F73" s="760"/>
      <c r="G73" s="760"/>
      <c r="H73" s="760"/>
      <c r="I73" s="760"/>
      <c r="J73" s="760"/>
    </row>
    <row r="74" spans="1:10" ht="15" customHeight="1" x14ac:dyDescent="0.25">
      <c r="A74" s="5149" t="s">
        <v>410</v>
      </c>
      <c r="B74" s="1026" t="s">
        <v>6</v>
      </c>
      <c r="C74" s="1909"/>
      <c r="D74" s="1911"/>
      <c r="E74" s="1911"/>
      <c r="F74" s="1910">
        <v>0.64893617021276595</v>
      </c>
      <c r="G74" s="1910">
        <v>0.79069767441860461</v>
      </c>
      <c r="H74" s="1911">
        <v>0.59259259259259256</v>
      </c>
      <c r="I74" s="1910">
        <v>0.50467289719626163</v>
      </c>
      <c r="J74" s="1912">
        <v>0.19718309859154928</v>
      </c>
    </row>
    <row r="75" spans="1:10" ht="15" customHeight="1" x14ac:dyDescent="0.25">
      <c r="A75" s="5150"/>
      <c r="B75" s="1027" t="s">
        <v>9</v>
      </c>
      <c r="C75" s="1913"/>
      <c r="D75" s="1915"/>
      <c r="E75" s="1915"/>
      <c r="F75" s="1914">
        <v>0.56756756756756754</v>
      </c>
      <c r="G75" s="1914">
        <v>0.55555555555555558</v>
      </c>
      <c r="H75" s="1915">
        <v>0.40909090909090912</v>
      </c>
      <c r="I75" s="1914">
        <v>0.25203252032520324</v>
      </c>
      <c r="J75" s="1916">
        <v>9.7826086956521743E-2</v>
      </c>
    </row>
    <row r="76" spans="1:10" ht="15" customHeight="1" x14ac:dyDescent="0.25">
      <c r="A76" s="5150"/>
      <c r="B76" s="1027" t="s">
        <v>74</v>
      </c>
      <c r="C76" s="1913"/>
      <c r="D76" s="1915"/>
      <c r="E76" s="1915"/>
      <c r="F76" s="1914">
        <v>0.53846153846153844</v>
      </c>
      <c r="G76" s="1914">
        <v>0.38095238095238093</v>
      </c>
      <c r="H76" s="1915">
        <v>0.31372549019607843</v>
      </c>
      <c r="I76" s="1914">
        <v>0.18681318681318682</v>
      </c>
      <c r="J76" s="1916">
        <v>4.4776119402985072E-2</v>
      </c>
    </row>
    <row r="77" spans="1:10" ht="15" customHeight="1" x14ac:dyDescent="0.25">
      <c r="A77" s="5229"/>
      <c r="B77" s="3310" t="s">
        <v>12</v>
      </c>
      <c r="C77" s="1917"/>
      <c r="D77" s="1919"/>
      <c r="E77" s="1919"/>
      <c r="F77" s="1918">
        <v>0.60588235294117643</v>
      </c>
      <c r="G77" s="1918">
        <v>0.62637362637362637</v>
      </c>
      <c r="H77" s="1919">
        <v>0.46048109965635736</v>
      </c>
      <c r="I77" s="1918">
        <v>0.31775700934579437</v>
      </c>
      <c r="J77" s="1920">
        <v>0.11304347826086956</v>
      </c>
    </row>
    <row r="78" spans="1:10" ht="15.75" x14ac:dyDescent="0.2">
      <c r="A78" s="1924"/>
      <c r="B78" s="192"/>
      <c r="C78" s="760"/>
      <c r="D78" s="760"/>
      <c r="E78" s="760"/>
      <c r="F78" s="760"/>
      <c r="G78" s="760"/>
      <c r="H78" s="760"/>
      <c r="I78" s="760"/>
      <c r="J78" s="760"/>
    </row>
    <row r="79" spans="1:10" ht="15" customHeight="1" x14ac:dyDescent="0.25">
      <c r="A79" s="5143" t="s">
        <v>162</v>
      </c>
      <c r="B79" s="1026" t="s">
        <v>5</v>
      </c>
      <c r="C79" s="1909">
        <v>0.33019999999999999</v>
      </c>
      <c r="D79" s="1910">
        <v>0.3405088062622309</v>
      </c>
      <c r="E79" s="1910">
        <v>0.34345351043643263</v>
      </c>
      <c r="F79" s="1911">
        <v>0.34805653710247347</v>
      </c>
      <c r="G79" s="1910">
        <v>0.25457875457875456</v>
      </c>
      <c r="H79" s="1911">
        <v>0.19126819126819128</v>
      </c>
      <c r="I79" s="1910">
        <v>9.2105263157894732E-2</v>
      </c>
      <c r="J79" s="1912">
        <v>3.7735849056603772E-2</v>
      </c>
    </row>
    <row r="80" spans="1:10" ht="15" customHeight="1" x14ac:dyDescent="0.25">
      <c r="A80" s="5144"/>
      <c r="B80" s="1027" t="s">
        <v>6</v>
      </c>
      <c r="C80" s="1913">
        <v>0.43059999999999998</v>
      </c>
      <c r="D80" s="1914">
        <v>0.4813895781637717</v>
      </c>
      <c r="E80" s="1914">
        <v>0.52341311134235169</v>
      </c>
      <c r="F80" s="1915">
        <v>0.44297352342158858</v>
      </c>
      <c r="G80" s="1914">
        <v>0.43730569948186526</v>
      </c>
      <c r="H80" s="1915">
        <v>0.40344514959202177</v>
      </c>
      <c r="I80" s="1914">
        <v>0.35694572217111314</v>
      </c>
      <c r="J80" s="1916">
        <v>0.19323671497584541</v>
      </c>
    </row>
    <row r="81" spans="1:10" ht="15" customHeight="1" x14ac:dyDescent="0.25">
      <c r="A81" s="5144"/>
      <c r="B81" s="1027" t="s">
        <v>11</v>
      </c>
      <c r="C81" s="1913">
        <v>0.42780000000000001</v>
      </c>
      <c r="D81" s="1914">
        <v>0.50569476082004561</v>
      </c>
      <c r="E81" s="1914">
        <v>0.48425196850393698</v>
      </c>
      <c r="F81" s="1915">
        <v>0.49209486166007904</v>
      </c>
      <c r="G81" s="1914">
        <v>0.43771043771043772</v>
      </c>
      <c r="H81" s="1915">
        <v>0.32142857142857145</v>
      </c>
      <c r="I81" s="1914">
        <v>0.24603174603174602</v>
      </c>
      <c r="J81" s="1916">
        <v>9.9734042553191488E-2</v>
      </c>
    </row>
    <row r="82" spans="1:10" ht="15" customHeight="1" x14ac:dyDescent="0.25">
      <c r="A82" s="5227"/>
      <c r="B82" s="3310" t="s">
        <v>12</v>
      </c>
      <c r="C82" s="1917">
        <v>0.40160000000000001</v>
      </c>
      <c r="D82" s="1918">
        <v>0.44646924829157175</v>
      </c>
      <c r="E82" s="1918">
        <v>0.46593186372745493</v>
      </c>
      <c r="F82" s="1919">
        <v>0.42891918208373903</v>
      </c>
      <c r="G82" s="1918">
        <v>0.39002375296912112</v>
      </c>
      <c r="H82" s="1919">
        <v>0.33442164179104478</v>
      </c>
      <c r="I82" s="1918">
        <v>0.25763440860215053</v>
      </c>
      <c r="J82" s="1920">
        <v>0.1273198100992663</v>
      </c>
    </row>
    <row r="83" spans="1:10" ht="15.75" x14ac:dyDescent="0.2">
      <c r="A83" s="1924"/>
      <c r="B83" s="192"/>
      <c r="C83" s="760"/>
      <c r="D83" s="760"/>
      <c r="E83" s="760"/>
      <c r="F83" s="760"/>
      <c r="G83" s="760"/>
      <c r="H83" s="760"/>
      <c r="I83" s="760"/>
      <c r="J83" s="760"/>
    </row>
    <row r="84" spans="1:10" ht="15" customHeight="1" x14ac:dyDescent="0.25">
      <c r="A84" s="5161" t="s">
        <v>163</v>
      </c>
      <c r="B84" s="1026" t="s">
        <v>6</v>
      </c>
      <c r="C84" s="1909">
        <v>0.62819999999999998</v>
      </c>
      <c r="D84" s="1910">
        <v>0.6765922249793217</v>
      </c>
      <c r="E84" s="1910">
        <v>0.69135802469135799</v>
      </c>
      <c r="F84" s="1911">
        <v>0.67862371888726203</v>
      </c>
      <c r="G84" s="1910">
        <v>0.65822784810126578</v>
      </c>
      <c r="H84" s="1911">
        <v>0.60640920295809364</v>
      </c>
      <c r="I84" s="1910">
        <v>0.59346186085498742</v>
      </c>
      <c r="J84" s="1912">
        <v>0.47487001733102252</v>
      </c>
    </row>
    <row r="85" spans="1:10" ht="15" customHeight="1" x14ac:dyDescent="0.25">
      <c r="A85" s="5162"/>
      <c r="B85" s="1027" t="s">
        <v>11</v>
      </c>
      <c r="C85" s="1913">
        <v>0.65769999999999995</v>
      </c>
      <c r="D85" s="1914">
        <v>0.7426160337552743</v>
      </c>
      <c r="E85" s="1914">
        <v>0.74737423991155338</v>
      </c>
      <c r="F85" s="1915">
        <v>0.7404403244495944</v>
      </c>
      <c r="G85" s="1914">
        <v>0.72228843861740166</v>
      </c>
      <c r="H85" s="1915">
        <v>0.69835841313269498</v>
      </c>
      <c r="I85" s="1914">
        <v>0.72720946416144749</v>
      </c>
      <c r="J85" s="1916">
        <v>0.46100278551532031</v>
      </c>
    </row>
    <row r="86" spans="1:10" ht="15" customHeight="1" x14ac:dyDescent="0.25">
      <c r="A86" s="5162"/>
      <c r="B86" s="1027" t="s">
        <v>7</v>
      </c>
      <c r="C86" s="1913">
        <v>0.60450000000000004</v>
      </c>
      <c r="D86" s="1914">
        <v>0.69444444444444442</v>
      </c>
      <c r="E86" s="1914">
        <v>0.69675599435825109</v>
      </c>
      <c r="F86" s="1915">
        <v>0.67155425219941345</v>
      </c>
      <c r="G86" s="1914">
        <v>0.6</v>
      </c>
      <c r="H86" s="1915">
        <v>0.4938080495356037</v>
      </c>
      <c r="I86" s="1914">
        <v>0.52373417721518989</v>
      </c>
      <c r="J86" s="1916">
        <v>0.33391003460207613</v>
      </c>
    </row>
    <row r="87" spans="1:10" ht="15" customHeight="1" x14ac:dyDescent="0.25">
      <c r="A87" s="5228"/>
      <c r="B87" s="3310" t="s">
        <v>12</v>
      </c>
      <c r="C87" s="1917">
        <v>0.63800000000000001</v>
      </c>
      <c r="D87" s="1918">
        <v>0.70875266849649288</v>
      </c>
      <c r="E87" s="1918">
        <v>0.71780684104627768</v>
      </c>
      <c r="F87" s="1919">
        <v>0.70561738208797031</v>
      </c>
      <c r="G87" s="1918">
        <v>0.67827576363117326</v>
      </c>
      <c r="H87" s="1919">
        <v>0.62496240601503761</v>
      </c>
      <c r="I87" s="1918">
        <v>0.63887185775597788</v>
      </c>
      <c r="J87" s="1920">
        <v>0.4428661616161616</v>
      </c>
    </row>
    <row r="89" spans="1:10" ht="15" x14ac:dyDescent="0.2">
      <c r="A89" s="5153" t="s">
        <v>76</v>
      </c>
      <c r="B89" s="5340"/>
      <c r="C89" s="1922">
        <v>0.50880000000000003</v>
      </c>
      <c r="D89" s="1922">
        <v>0.56889945831681865</v>
      </c>
      <c r="E89" s="1922">
        <v>0.56481788995903903</v>
      </c>
      <c r="F89" s="1922">
        <v>0.53538356007774091</v>
      </c>
      <c r="G89" s="1922">
        <v>0.48857912615672955</v>
      </c>
      <c r="H89" s="1922">
        <v>0.43798177995795373</v>
      </c>
      <c r="I89" s="1922">
        <v>0.39558011049723757</v>
      </c>
      <c r="J89" s="1922">
        <v>0.25174345489882244</v>
      </c>
    </row>
    <row r="92" spans="1:10" ht="15.75" x14ac:dyDescent="0.25">
      <c r="A92" s="1908" t="s">
        <v>685</v>
      </c>
    </row>
    <row r="94" spans="1:10" ht="15" x14ac:dyDescent="0.2">
      <c r="A94" s="5020" t="s">
        <v>16</v>
      </c>
      <c r="B94" s="5020" t="s">
        <v>4</v>
      </c>
      <c r="C94" s="5331" t="s">
        <v>677</v>
      </c>
      <c r="D94" s="5332"/>
      <c r="E94" s="5332"/>
      <c r="F94" s="5332"/>
      <c r="G94" s="5332"/>
      <c r="H94" s="5332"/>
      <c r="I94" s="5332"/>
      <c r="J94" s="5333"/>
    </row>
    <row r="95" spans="1:10" ht="15" x14ac:dyDescent="0.2">
      <c r="A95" s="5021"/>
      <c r="B95" s="5021"/>
      <c r="C95" s="1891" t="s">
        <v>684</v>
      </c>
      <c r="D95" s="1891">
        <v>2002</v>
      </c>
      <c r="E95" s="1891">
        <v>2003</v>
      </c>
      <c r="F95" s="1891">
        <v>2004</v>
      </c>
      <c r="G95" s="1891">
        <v>2005</v>
      </c>
      <c r="H95" s="1891">
        <v>2006</v>
      </c>
      <c r="I95" s="1891">
        <v>2007</v>
      </c>
      <c r="J95" s="1891">
        <v>2008</v>
      </c>
    </row>
    <row r="96" spans="1:10" ht="15" x14ac:dyDescent="0.2">
      <c r="A96" s="1892"/>
      <c r="B96" s="1892"/>
      <c r="C96" s="1892"/>
      <c r="D96" s="1892"/>
      <c r="E96" s="1892"/>
      <c r="F96" s="1892"/>
      <c r="G96" s="1892"/>
      <c r="H96" s="1892"/>
      <c r="I96" s="1892"/>
      <c r="J96" s="1892"/>
    </row>
    <row r="97" spans="1:10" ht="15" x14ac:dyDescent="0.25">
      <c r="A97" s="5146" t="s">
        <v>161</v>
      </c>
      <c r="B97" s="1026" t="s">
        <v>5</v>
      </c>
      <c r="C97" s="1909">
        <v>0.33525446579036061</v>
      </c>
      <c r="D97" s="1910">
        <v>0.31924882629107981</v>
      </c>
      <c r="E97" s="1910">
        <v>0.29822732012513037</v>
      </c>
      <c r="F97" s="1911">
        <v>0.25273972602739725</v>
      </c>
      <c r="G97" s="1910">
        <v>0.20380228136882128</v>
      </c>
      <c r="H97" s="1911">
        <v>0.14807302231237324</v>
      </c>
      <c r="I97" s="1910">
        <v>8.0836236933797906E-2</v>
      </c>
      <c r="J97" s="1912">
        <v>1.6108247422680411E-2</v>
      </c>
    </row>
    <row r="98" spans="1:10" ht="15" x14ac:dyDescent="0.25">
      <c r="A98" s="5147"/>
      <c r="B98" s="1027" t="s">
        <v>6</v>
      </c>
      <c r="C98" s="1913">
        <v>0.56121326418356121</v>
      </c>
      <c r="D98" s="1914">
        <v>0.51491712707182324</v>
      </c>
      <c r="E98" s="1914">
        <v>0.52992383025027201</v>
      </c>
      <c r="F98" s="1915">
        <v>0.49896907216494846</v>
      </c>
      <c r="G98" s="1914">
        <v>0.4342403628117914</v>
      </c>
      <c r="H98" s="1915">
        <v>0.38373424971363118</v>
      </c>
      <c r="I98" s="1914">
        <v>0.33065442020665903</v>
      </c>
      <c r="J98" s="1916">
        <v>0.24863883847549909</v>
      </c>
    </row>
    <row r="99" spans="1:10" ht="15" x14ac:dyDescent="0.25">
      <c r="A99" s="5147"/>
      <c r="B99" s="1027" t="s">
        <v>7</v>
      </c>
      <c r="C99" s="1913">
        <v>0.52065414900060569</v>
      </c>
      <c r="D99" s="1914">
        <v>0.57936507936507942</v>
      </c>
      <c r="E99" s="1914">
        <v>0.57926829268292679</v>
      </c>
      <c r="F99" s="1915">
        <v>0.59047619047619049</v>
      </c>
      <c r="G99" s="1914">
        <v>0.49637681159420288</v>
      </c>
      <c r="H99" s="1915">
        <v>0.43209876543209874</v>
      </c>
      <c r="I99" s="1914">
        <v>0.33737373737373738</v>
      </c>
      <c r="J99" s="1916">
        <v>0.15473887814313347</v>
      </c>
    </row>
    <row r="100" spans="1:10" ht="15" x14ac:dyDescent="0.25">
      <c r="A100" s="5226"/>
      <c r="B100" s="3310" t="s">
        <v>12</v>
      </c>
      <c r="C100" s="1917">
        <v>0.45827283895465715</v>
      </c>
      <c r="D100" s="1918">
        <v>0.45555064130915524</v>
      </c>
      <c r="E100" s="1918">
        <v>0.45501183898973957</v>
      </c>
      <c r="F100" s="1919">
        <v>0.40032679738562094</v>
      </c>
      <c r="G100" s="1918">
        <v>0.33648599490723902</v>
      </c>
      <c r="H100" s="1919">
        <v>0.26920366455250178</v>
      </c>
      <c r="I100" s="1918">
        <v>0.2038557657979293</v>
      </c>
      <c r="J100" s="1920">
        <v>0.119520655944497</v>
      </c>
    </row>
    <row r="101" spans="1:10" ht="15.75" x14ac:dyDescent="0.2">
      <c r="A101" s="692"/>
      <c r="B101" s="192"/>
      <c r="C101" s="760"/>
      <c r="D101" s="760"/>
      <c r="E101" s="760"/>
      <c r="F101" s="760"/>
      <c r="G101" s="760"/>
      <c r="H101" s="760"/>
      <c r="I101" s="760"/>
      <c r="J101" s="760"/>
    </row>
    <row r="102" spans="1:10" ht="15" x14ac:dyDescent="0.25">
      <c r="A102" s="5149" t="s">
        <v>410</v>
      </c>
      <c r="B102" s="1026" t="s">
        <v>6</v>
      </c>
      <c r="C102" s="1909"/>
      <c r="D102" s="1910"/>
      <c r="E102" s="1910"/>
      <c r="F102" s="1911"/>
      <c r="G102" s="1910">
        <v>0.64893617021276595</v>
      </c>
      <c r="H102" s="1911">
        <v>0.73333333333333328</v>
      </c>
      <c r="I102" s="1910">
        <v>0.47706422018348627</v>
      </c>
      <c r="J102" s="1912">
        <v>0.34259259259259262</v>
      </c>
    </row>
    <row r="103" spans="1:10" ht="15" x14ac:dyDescent="0.25">
      <c r="A103" s="5150"/>
      <c r="B103" s="1027" t="s">
        <v>9</v>
      </c>
      <c r="C103" s="1913"/>
      <c r="D103" s="1914"/>
      <c r="E103" s="1914"/>
      <c r="F103" s="1915"/>
      <c r="G103" s="1914">
        <v>0.51351351351351349</v>
      </c>
      <c r="H103" s="1915">
        <v>0.5357142857142857</v>
      </c>
      <c r="I103" s="1914">
        <v>0.38931297709923662</v>
      </c>
      <c r="J103" s="1916">
        <v>0.1721311475409836</v>
      </c>
    </row>
    <row r="104" spans="1:10" ht="15" x14ac:dyDescent="0.25">
      <c r="A104" s="5150"/>
      <c r="B104" s="1027" t="s">
        <v>74</v>
      </c>
      <c r="C104" s="1913"/>
      <c r="D104" s="1914"/>
      <c r="E104" s="1914"/>
      <c r="F104" s="1915"/>
      <c r="G104" s="1914">
        <v>0.53846153846153844</v>
      </c>
      <c r="H104" s="1915">
        <v>0.2857142857142857</v>
      </c>
      <c r="I104" s="1914">
        <v>0.21052631578947367</v>
      </c>
      <c r="J104" s="1916">
        <v>0.11956521739130435</v>
      </c>
    </row>
    <row r="105" spans="1:10" ht="15" x14ac:dyDescent="0.25">
      <c r="A105" s="5229"/>
      <c r="B105" s="3310" t="s">
        <v>12</v>
      </c>
      <c r="C105" s="1917"/>
      <c r="D105" s="1918"/>
      <c r="E105" s="1918"/>
      <c r="F105" s="1919"/>
      <c r="G105" s="1918">
        <v>0.59411764705882353</v>
      </c>
      <c r="H105" s="1919">
        <v>0.57446808510638303</v>
      </c>
      <c r="I105" s="1918">
        <v>0.38720538720538722</v>
      </c>
      <c r="J105" s="1920">
        <v>0.21428571428571427</v>
      </c>
    </row>
    <row r="106" spans="1:10" ht="15.75" x14ac:dyDescent="0.2">
      <c r="A106" s="1924"/>
      <c r="B106" s="192"/>
      <c r="C106" s="760"/>
      <c r="D106" s="760"/>
      <c r="E106" s="760"/>
      <c r="F106" s="760"/>
      <c r="G106" s="760"/>
      <c r="H106" s="760"/>
      <c r="I106" s="760"/>
      <c r="J106" s="760"/>
    </row>
    <row r="107" spans="1:10" ht="15" x14ac:dyDescent="0.25">
      <c r="A107" s="5143" t="s">
        <v>162</v>
      </c>
      <c r="B107" s="1026" t="s">
        <v>5</v>
      </c>
      <c r="C107" s="1909">
        <v>0.32994370800798983</v>
      </c>
      <c r="D107" s="1910">
        <v>0.30632411067193677</v>
      </c>
      <c r="E107" s="1910">
        <v>0.30919765166340507</v>
      </c>
      <c r="F107" s="1911">
        <v>0.31818181818181818</v>
      </c>
      <c r="G107" s="1910">
        <v>0.29982363315696647</v>
      </c>
      <c r="H107" s="1911">
        <v>0.21428571428571427</v>
      </c>
      <c r="I107" s="1910">
        <v>0.14822546972860126</v>
      </c>
      <c r="J107" s="1912">
        <v>3.2786885245901641E-2</v>
      </c>
    </row>
    <row r="108" spans="1:10" ht="15" x14ac:dyDescent="0.25">
      <c r="A108" s="5144"/>
      <c r="B108" s="1027" t="s">
        <v>6</v>
      </c>
      <c r="C108" s="1913">
        <v>0.42799791837038137</v>
      </c>
      <c r="D108" s="1914">
        <v>0.4775561097256858</v>
      </c>
      <c r="E108" s="1914">
        <v>0.45838509316770187</v>
      </c>
      <c r="F108" s="1915">
        <v>0.49739854318418314</v>
      </c>
      <c r="G108" s="1914">
        <v>0.4077471967380224</v>
      </c>
      <c r="H108" s="1915">
        <v>0.39979231568016615</v>
      </c>
      <c r="I108" s="1914">
        <v>0.31125226860254085</v>
      </c>
      <c r="J108" s="1916">
        <v>0.16420664206642066</v>
      </c>
    </row>
    <row r="109" spans="1:10" ht="15" x14ac:dyDescent="0.25">
      <c r="A109" s="5144"/>
      <c r="B109" s="1027" t="s">
        <v>11</v>
      </c>
      <c r="C109" s="1913">
        <v>0.42376120189773325</v>
      </c>
      <c r="D109" s="1914">
        <v>0.51709401709401714</v>
      </c>
      <c r="E109" s="1914">
        <v>0.47152619589977218</v>
      </c>
      <c r="F109" s="1915">
        <v>0.45866141732283466</v>
      </c>
      <c r="G109" s="1914">
        <v>0.44664031620553357</v>
      </c>
      <c r="H109" s="1915">
        <v>0.36026936026936029</v>
      </c>
      <c r="I109" s="1914">
        <v>0.20535714285714285</v>
      </c>
      <c r="J109" s="1916">
        <v>9.0476190476190474E-2</v>
      </c>
    </row>
    <row r="110" spans="1:10" ht="15" x14ac:dyDescent="0.25">
      <c r="A110" s="5227"/>
      <c r="B110" s="3310" t="s">
        <v>12</v>
      </c>
      <c r="C110" s="1917">
        <v>0.3992559599993174</v>
      </c>
      <c r="D110" s="1918">
        <v>0.4391891891891892</v>
      </c>
      <c r="E110" s="1918">
        <v>0.41823361823361821</v>
      </c>
      <c r="F110" s="1919">
        <v>0.4401602403605408</v>
      </c>
      <c r="G110" s="1918">
        <v>0.38753651411879259</v>
      </c>
      <c r="H110" s="1919">
        <v>0.34046600095102236</v>
      </c>
      <c r="I110" s="1918">
        <v>0.24708080336291452</v>
      </c>
      <c r="J110" s="1920">
        <v>0.10972461273666093</v>
      </c>
    </row>
    <row r="111" spans="1:10" ht="15.75" x14ac:dyDescent="0.2">
      <c r="A111" s="1924"/>
      <c r="B111" s="192"/>
      <c r="C111" s="760"/>
      <c r="D111" s="760"/>
      <c r="E111" s="760"/>
      <c r="F111" s="760"/>
      <c r="G111" s="760"/>
      <c r="H111" s="760"/>
      <c r="I111" s="760"/>
      <c r="J111" s="760"/>
    </row>
    <row r="112" spans="1:10" ht="15" x14ac:dyDescent="0.25">
      <c r="A112" s="5161" t="s">
        <v>163</v>
      </c>
      <c r="B112" s="1026" t="s">
        <v>6</v>
      </c>
      <c r="C112" s="1909">
        <v>0.62764456981664318</v>
      </c>
      <c r="D112" s="1910">
        <v>0.64195450716090985</v>
      </c>
      <c r="E112" s="1910">
        <v>0.67411083540115802</v>
      </c>
      <c r="F112" s="1911">
        <v>0.68334475668265937</v>
      </c>
      <c r="G112" s="1910">
        <v>0.67032967032967028</v>
      </c>
      <c r="H112" s="1911">
        <v>0.63037974683544307</v>
      </c>
      <c r="I112" s="1910">
        <v>0.54971240755957274</v>
      </c>
      <c r="J112" s="1912">
        <v>0.40520134228187921</v>
      </c>
    </row>
    <row r="113" spans="1:10" ht="15" x14ac:dyDescent="0.25">
      <c r="A113" s="5162"/>
      <c r="B113" s="1027" t="s">
        <v>11</v>
      </c>
      <c r="C113" s="1913">
        <v>0.65457651245551607</v>
      </c>
      <c r="D113" s="1914">
        <v>0.73620071684587818</v>
      </c>
      <c r="E113" s="1914">
        <v>0.73980309423347401</v>
      </c>
      <c r="F113" s="1915">
        <v>0.73963515754560527</v>
      </c>
      <c r="G113" s="1914">
        <v>0.73001158748551565</v>
      </c>
      <c r="H113" s="1915">
        <v>0.70679380214541121</v>
      </c>
      <c r="I113" s="1914">
        <v>0.64339493497604383</v>
      </c>
      <c r="J113" s="1916">
        <v>0.49200833912439196</v>
      </c>
    </row>
    <row r="114" spans="1:10" ht="15" x14ac:dyDescent="0.25">
      <c r="A114" s="5162"/>
      <c r="B114" s="1027" t="s">
        <v>7</v>
      </c>
      <c r="C114" s="1913">
        <v>0.60126989230027328</v>
      </c>
      <c r="D114" s="1914">
        <v>0.66557911908646006</v>
      </c>
      <c r="E114" s="1914">
        <v>0.68981481481481477</v>
      </c>
      <c r="F114" s="1915">
        <v>0.69198312236286919</v>
      </c>
      <c r="G114" s="1914">
        <v>0.65982404692082108</v>
      </c>
      <c r="H114" s="1915">
        <v>0.56406250000000002</v>
      </c>
      <c r="I114" s="1914">
        <v>0.42592592592592593</v>
      </c>
      <c r="J114" s="1916">
        <v>0.27330173775671407</v>
      </c>
    </row>
    <row r="115" spans="1:10" ht="15" x14ac:dyDescent="0.25">
      <c r="A115" s="5228"/>
      <c r="B115" s="3310" t="s">
        <v>12</v>
      </c>
      <c r="C115" s="1917">
        <v>0.63585843813980691</v>
      </c>
      <c r="D115" s="1918">
        <v>0.68763693270735526</v>
      </c>
      <c r="E115" s="1918">
        <v>0.70570295821896922</v>
      </c>
      <c r="F115" s="1919">
        <v>0.71048002010555411</v>
      </c>
      <c r="G115" s="1918">
        <v>0.69573283858998147</v>
      </c>
      <c r="H115" s="1919">
        <v>0.65486725663716816</v>
      </c>
      <c r="I115" s="1918">
        <v>0.56674684305472034</v>
      </c>
      <c r="J115" s="1920">
        <v>0.41789215686274511</v>
      </c>
    </row>
    <row r="116" spans="1:10" ht="15" x14ac:dyDescent="0.2">
      <c r="A116" s="1905"/>
      <c r="B116" s="1905"/>
      <c r="C116" s="1921"/>
      <c r="D116" s="1921"/>
      <c r="E116" s="1921"/>
      <c r="F116" s="1921"/>
      <c r="G116" s="1921"/>
      <c r="H116" s="1921"/>
      <c r="I116" s="1921"/>
      <c r="J116" s="1921"/>
    </row>
    <row r="117" spans="1:10" ht="15" x14ac:dyDescent="0.2">
      <c r="A117" s="5330" t="s">
        <v>76</v>
      </c>
      <c r="B117" s="5330"/>
      <c r="C117" s="1922">
        <v>0.506456590200001</v>
      </c>
      <c r="D117" s="1922">
        <v>0.55406526548672563</v>
      </c>
      <c r="E117" s="1922">
        <v>0.555100422832981</v>
      </c>
      <c r="F117" s="1922">
        <v>0.54564567887573312</v>
      </c>
      <c r="G117" s="1922">
        <v>0.50846101074777039</v>
      </c>
      <c r="H117" s="1922">
        <v>0.44834855938158819</v>
      </c>
      <c r="I117" s="1922">
        <v>0.36193812025685929</v>
      </c>
      <c r="J117" s="1922">
        <v>0.22761810373306904</v>
      </c>
    </row>
    <row r="120" spans="1:10" ht="15.75" x14ac:dyDescent="0.25">
      <c r="A120" s="1908" t="s">
        <v>681</v>
      </c>
    </row>
    <row r="122" spans="1:10" ht="15" x14ac:dyDescent="0.2">
      <c r="A122" s="5020" t="s">
        <v>16</v>
      </c>
      <c r="B122" s="5020" t="s">
        <v>4</v>
      </c>
      <c r="C122" s="5331" t="s">
        <v>677</v>
      </c>
      <c r="D122" s="5332"/>
      <c r="E122" s="5332"/>
      <c r="F122" s="5332"/>
      <c r="G122" s="5332"/>
      <c r="H122" s="5332"/>
      <c r="I122" s="5332"/>
      <c r="J122" s="5333"/>
    </row>
    <row r="123" spans="1:10" ht="15" x14ac:dyDescent="0.2">
      <c r="A123" s="5021"/>
      <c r="B123" s="5021"/>
      <c r="C123" s="1891" t="s">
        <v>678</v>
      </c>
      <c r="D123" s="1891">
        <v>2001</v>
      </c>
      <c r="E123" s="1891">
        <v>2002</v>
      </c>
      <c r="F123" s="1891">
        <v>2003</v>
      </c>
      <c r="G123" s="1891">
        <v>2004</v>
      </c>
      <c r="H123" s="1891">
        <v>2005</v>
      </c>
      <c r="I123" s="1891">
        <v>2006</v>
      </c>
      <c r="J123" s="1891">
        <v>2007</v>
      </c>
    </row>
    <row r="124" spans="1:10" ht="15" x14ac:dyDescent="0.2">
      <c r="A124" s="1892"/>
      <c r="B124" s="1892"/>
      <c r="C124" s="1892"/>
      <c r="D124" s="1892"/>
      <c r="E124" s="1892"/>
      <c r="F124" s="1892"/>
      <c r="G124" s="1892"/>
      <c r="H124" s="1892"/>
      <c r="I124" s="1892"/>
      <c r="J124" s="1892"/>
    </row>
    <row r="125" spans="1:10" ht="15" x14ac:dyDescent="0.25">
      <c r="A125" s="5146" t="s">
        <v>161</v>
      </c>
      <c r="B125" s="1026" t="s">
        <v>5</v>
      </c>
      <c r="C125" s="1893">
        <v>0.33642683350712549</v>
      </c>
      <c r="D125" s="1894">
        <v>0.27252502780867632</v>
      </c>
      <c r="E125" s="1894">
        <v>0.2981220657276995</v>
      </c>
      <c r="F125" s="1895">
        <v>0.27111574556830031</v>
      </c>
      <c r="G125" s="1894">
        <v>0.22876712328767124</v>
      </c>
      <c r="H125" s="1895">
        <v>0.15285171102661596</v>
      </c>
      <c r="I125" s="1894">
        <v>8.7221095334685597E-2</v>
      </c>
      <c r="J125" s="1896">
        <v>2.1587743732590529E-2</v>
      </c>
    </row>
    <row r="126" spans="1:10" ht="15" x14ac:dyDescent="0.25">
      <c r="A126" s="5147"/>
      <c r="B126" s="1027" t="s">
        <v>679</v>
      </c>
      <c r="C126" s="1897">
        <v>0.56188805483028725</v>
      </c>
      <c r="D126" s="1898">
        <v>0.51923076923076927</v>
      </c>
      <c r="E126" s="1898">
        <v>0.49502762430939229</v>
      </c>
      <c r="F126" s="1899">
        <v>0.50489662676822633</v>
      </c>
      <c r="G126" s="1898">
        <v>0.477319587628866</v>
      </c>
      <c r="H126" s="1899">
        <v>0.39229024943310659</v>
      </c>
      <c r="I126" s="1898">
        <v>0.33486238532110091</v>
      </c>
      <c r="J126" s="1900">
        <v>0.2121559633027523</v>
      </c>
    </row>
    <row r="127" spans="1:10" ht="15" x14ac:dyDescent="0.25">
      <c r="A127" s="5147"/>
      <c r="B127" s="1027" t="s">
        <v>7</v>
      </c>
      <c r="C127" s="1897">
        <v>0.51823079814559581</v>
      </c>
      <c r="D127" s="1898">
        <v>0.57664233576642332</v>
      </c>
      <c r="E127" s="1898">
        <v>0.56547619047619047</v>
      </c>
      <c r="F127" s="1899">
        <v>0.56097560975609762</v>
      </c>
      <c r="G127" s="1898">
        <v>0.55873015873015874</v>
      </c>
      <c r="H127" s="1899">
        <v>0.46195652173913043</v>
      </c>
      <c r="I127" s="1898">
        <v>0.36082474226804123</v>
      </c>
      <c r="J127" s="1900">
        <v>0.1898989898989899</v>
      </c>
    </row>
    <row r="128" spans="1:10" ht="15" x14ac:dyDescent="0.25">
      <c r="A128" s="5226"/>
      <c r="B128" s="3310" t="s">
        <v>12</v>
      </c>
      <c r="C128" s="1901">
        <v>0.45814799838253134</v>
      </c>
      <c r="D128" s="1902">
        <v>0.43936214855224509</v>
      </c>
      <c r="E128" s="1902">
        <v>0.43653250773993807</v>
      </c>
      <c r="F128" s="1903">
        <v>0.43093922651933703</v>
      </c>
      <c r="G128" s="1902">
        <v>0.37549019607843137</v>
      </c>
      <c r="H128" s="1903">
        <v>0.29174245180065478</v>
      </c>
      <c r="I128" s="1902">
        <v>0.21015514809590974</v>
      </c>
      <c r="J128" s="1904">
        <v>0.11059579022475918</v>
      </c>
    </row>
    <row r="129" spans="1:10" ht="15.75" x14ac:dyDescent="0.2">
      <c r="A129" s="692"/>
      <c r="B129" s="192"/>
    </row>
    <row r="130" spans="1:10" ht="15" x14ac:dyDescent="0.25">
      <c r="A130" s="5149" t="s">
        <v>410</v>
      </c>
      <c r="B130" s="1026" t="s">
        <v>679</v>
      </c>
      <c r="C130" s="1893" t="s">
        <v>680</v>
      </c>
      <c r="D130" s="1894" t="s">
        <v>680</v>
      </c>
      <c r="E130" s="1894" t="s">
        <v>680</v>
      </c>
      <c r="F130" s="1895" t="s">
        <v>680</v>
      </c>
      <c r="G130" s="1894" t="s">
        <v>680</v>
      </c>
      <c r="H130" s="1895">
        <v>0.64893617021276595</v>
      </c>
      <c r="I130" s="1894">
        <v>0.68888888888888888</v>
      </c>
      <c r="J130" s="1896">
        <v>0.33944954128440369</v>
      </c>
    </row>
    <row r="131" spans="1:10" ht="15" x14ac:dyDescent="0.25">
      <c r="A131" s="5150"/>
      <c r="B131" s="1027" t="s">
        <v>9</v>
      </c>
      <c r="C131" s="1897" t="s">
        <v>680</v>
      </c>
      <c r="D131" s="1898" t="s">
        <v>680</v>
      </c>
      <c r="E131" s="1898" t="s">
        <v>680</v>
      </c>
      <c r="F131" s="1899" t="s">
        <v>680</v>
      </c>
      <c r="G131" s="1898" t="s">
        <v>680</v>
      </c>
      <c r="H131" s="1899">
        <v>0.43243243243243246</v>
      </c>
      <c r="I131" s="1898">
        <v>0.48275862068965519</v>
      </c>
      <c r="J131" s="1900">
        <v>0.19696969696969696</v>
      </c>
    </row>
    <row r="132" spans="1:10" ht="15" x14ac:dyDescent="0.25">
      <c r="A132" s="5150"/>
      <c r="B132" s="1027" t="s">
        <v>74</v>
      </c>
      <c r="C132" s="1897" t="s">
        <v>680</v>
      </c>
      <c r="D132" s="1898" t="s">
        <v>680</v>
      </c>
      <c r="E132" s="1898" t="s">
        <v>680</v>
      </c>
      <c r="F132" s="1899" t="s">
        <v>680</v>
      </c>
      <c r="G132" s="1898" t="s">
        <v>680</v>
      </c>
      <c r="H132" s="1899">
        <v>0.51282051282051277</v>
      </c>
      <c r="I132" s="1898">
        <v>0.23809523809523808</v>
      </c>
      <c r="J132" s="1900">
        <v>0.12280701754385964</v>
      </c>
    </row>
    <row r="133" spans="1:10" ht="15" x14ac:dyDescent="0.25">
      <c r="A133" s="5229"/>
      <c r="B133" s="3310" t="s">
        <v>12</v>
      </c>
      <c r="C133" s="1901" t="s">
        <v>680</v>
      </c>
      <c r="D133" s="1902" t="s">
        <v>680</v>
      </c>
      <c r="E133" s="1902" t="s">
        <v>680</v>
      </c>
      <c r="F133" s="1903" t="s">
        <v>680</v>
      </c>
      <c r="G133" s="1902" t="s">
        <v>680</v>
      </c>
      <c r="H133" s="1903">
        <v>0.57058823529411762</v>
      </c>
      <c r="I133" s="1902">
        <v>0.52631578947368418</v>
      </c>
      <c r="J133" s="1904">
        <v>0.2348993288590604</v>
      </c>
    </row>
    <row r="134" spans="1:10" ht="15.75" x14ac:dyDescent="0.2">
      <c r="A134" s="1924"/>
      <c r="B134" s="192"/>
    </row>
    <row r="135" spans="1:10" ht="15" x14ac:dyDescent="0.25">
      <c r="A135" s="5143" t="s">
        <v>162</v>
      </c>
      <c r="B135" s="1026" t="s">
        <v>5</v>
      </c>
      <c r="C135" s="1893">
        <v>0.32810750279955209</v>
      </c>
      <c r="D135" s="1894">
        <v>0.34899328859060402</v>
      </c>
      <c r="E135" s="1894">
        <v>0.29644268774703558</v>
      </c>
      <c r="F135" s="1895">
        <v>0.28375733855185908</v>
      </c>
      <c r="G135" s="1894">
        <v>0.27134724857685011</v>
      </c>
      <c r="H135" s="1895">
        <v>0.21869488536155202</v>
      </c>
      <c r="I135" s="1894">
        <v>0.14102564102564102</v>
      </c>
      <c r="J135" s="1896">
        <v>5.8700209643605873E-2</v>
      </c>
    </row>
    <row r="136" spans="1:10" ht="15" x14ac:dyDescent="0.25">
      <c r="A136" s="5144"/>
      <c r="B136" s="1027" t="s">
        <v>6</v>
      </c>
      <c r="C136" s="1897">
        <v>0.42336717104003063</v>
      </c>
      <c r="D136" s="1898">
        <v>0.53846153846153844</v>
      </c>
      <c r="E136" s="1898">
        <v>0.46009975062344138</v>
      </c>
      <c r="F136" s="1899">
        <v>0.43159203980099503</v>
      </c>
      <c r="G136" s="1898">
        <v>0.46305931321540061</v>
      </c>
      <c r="H136" s="1899">
        <v>0.36493374108053006</v>
      </c>
      <c r="I136" s="1898">
        <v>0.31048805815160957</v>
      </c>
      <c r="J136" s="1900">
        <v>0.1586582048957389</v>
      </c>
    </row>
    <row r="137" spans="1:10" ht="15" x14ac:dyDescent="0.25">
      <c r="A137" s="5144"/>
      <c r="B137" s="1027" t="s">
        <v>11</v>
      </c>
      <c r="C137" s="1897">
        <v>0.42048078228982749</v>
      </c>
      <c r="D137" s="1898">
        <v>0.49220489977728288</v>
      </c>
      <c r="E137" s="1898">
        <v>0.50106609808102343</v>
      </c>
      <c r="F137" s="1899">
        <v>0.43507972665148065</v>
      </c>
      <c r="G137" s="1898">
        <v>0.40551181102362205</v>
      </c>
      <c r="H137" s="1899">
        <v>0.37029702970297029</v>
      </c>
      <c r="I137" s="1898">
        <v>0.26138279932546377</v>
      </c>
      <c r="J137" s="1900">
        <v>7.130124777183601E-2</v>
      </c>
    </row>
    <row r="138" spans="1:10" ht="15" x14ac:dyDescent="0.25">
      <c r="A138" s="5227"/>
      <c r="B138" s="3310" t="s">
        <v>12</v>
      </c>
      <c r="C138" s="1901">
        <v>0.3957121518320007</v>
      </c>
      <c r="D138" s="1902">
        <v>0.47602131438721135</v>
      </c>
      <c r="E138" s="1902">
        <v>0.42431063590320767</v>
      </c>
      <c r="F138" s="1903">
        <v>0.38939566704675027</v>
      </c>
      <c r="G138" s="1902">
        <v>0.39779559118236474</v>
      </c>
      <c r="H138" s="1903">
        <v>0.32586458840720894</v>
      </c>
      <c r="I138" s="1902">
        <v>0.252616555661275</v>
      </c>
      <c r="J138" s="1904">
        <v>0.11349836524988323</v>
      </c>
    </row>
    <row r="139" spans="1:10" ht="15.75" x14ac:dyDescent="0.2">
      <c r="A139" s="1924"/>
      <c r="B139" s="192"/>
    </row>
    <row r="140" spans="1:10" ht="15" x14ac:dyDescent="0.25">
      <c r="A140" s="5161" t="s">
        <v>163</v>
      </c>
      <c r="B140" s="1026" t="s">
        <v>6</v>
      </c>
      <c r="C140" s="1893">
        <v>0.62723770677543622</v>
      </c>
      <c r="D140" s="1894">
        <v>0.6327054794520548</v>
      </c>
      <c r="E140" s="1894">
        <v>0.63774220724515585</v>
      </c>
      <c r="F140" s="1895">
        <v>0.6658395368072787</v>
      </c>
      <c r="G140" s="1894">
        <v>0.67489711934156382</v>
      </c>
      <c r="H140" s="1895">
        <v>0.65714285714285714</v>
      </c>
      <c r="I140" s="1894">
        <v>0.58059071729957801</v>
      </c>
      <c r="J140" s="1896">
        <v>0.3862520458265139</v>
      </c>
    </row>
    <row r="141" spans="1:10" ht="15" x14ac:dyDescent="0.25">
      <c r="A141" s="5162"/>
      <c r="B141" s="1027" t="s">
        <v>11</v>
      </c>
      <c r="C141" s="1897">
        <v>0.65294325822814669</v>
      </c>
      <c r="D141" s="1898">
        <v>0.69926047658175838</v>
      </c>
      <c r="E141" s="1898">
        <v>0.73314203730272598</v>
      </c>
      <c r="F141" s="1899">
        <v>0.73488045007032354</v>
      </c>
      <c r="G141" s="1898">
        <v>0.73159933591588266</v>
      </c>
      <c r="H141" s="1899">
        <v>0.71263035921205098</v>
      </c>
      <c r="I141" s="1898">
        <v>0.65755053507728889</v>
      </c>
      <c r="J141" s="1900">
        <v>0.41478439425051333</v>
      </c>
    </row>
    <row r="142" spans="1:10" ht="15" x14ac:dyDescent="0.25">
      <c r="A142" s="5162"/>
      <c r="B142" s="1027" t="s">
        <v>7</v>
      </c>
      <c r="C142" s="1897">
        <v>0.59924114671163575</v>
      </c>
      <c r="D142" s="1898">
        <v>0.63745704467353947</v>
      </c>
      <c r="E142" s="1898">
        <v>0.65415986949429039</v>
      </c>
      <c r="F142" s="1899">
        <v>0.68672839506172845</v>
      </c>
      <c r="G142" s="1898">
        <v>0.67842031029619176</v>
      </c>
      <c r="H142" s="1899">
        <v>0.63049853372434017</v>
      </c>
      <c r="I142" s="1898">
        <v>0.50624999999999998</v>
      </c>
      <c r="J142" s="1900">
        <v>0.23765432098765432</v>
      </c>
    </row>
    <row r="143" spans="1:10" ht="15" x14ac:dyDescent="0.25">
      <c r="A143" s="5228"/>
      <c r="B143" s="3310" t="s">
        <v>12</v>
      </c>
      <c r="C143" s="1901">
        <v>0.63470641973258035</v>
      </c>
      <c r="D143" s="1902">
        <v>0.66093697337377821</v>
      </c>
      <c r="E143" s="1902">
        <v>0.6825297432686287</v>
      </c>
      <c r="F143" s="1903">
        <v>0.69990850869167431</v>
      </c>
      <c r="G143" s="1902">
        <v>0.70130850528434829</v>
      </c>
      <c r="H143" s="1903">
        <v>0.67771004505698385</v>
      </c>
      <c r="I143" s="1902">
        <v>0.60393498716852012</v>
      </c>
      <c r="J143" s="1904">
        <v>0.36985890123086163</v>
      </c>
    </row>
    <row r="144" spans="1:10" ht="15" x14ac:dyDescent="0.2">
      <c r="A144" s="1905"/>
      <c r="B144" s="1905"/>
      <c r="C144" s="1906"/>
      <c r="D144" s="1906"/>
      <c r="E144" s="1906"/>
      <c r="F144" s="1906"/>
      <c r="G144" s="1906"/>
      <c r="H144" s="1906"/>
      <c r="I144" s="1906"/>
      <c r="J144" s="1906"/>
    </row>
    <row r="145" spans="1:12" ht="15" x14ac:dyDescent="0.2">
      <c r="A145" s="5330" t="s">
        <v>76</v>
      </c>
      <c r="B145" s="5330"/>
      <c r="C145" s="1907">
        <v>0.50453388442249048</v>
      </c>
      <c r="D145" s="1907">
        <v>0.54155419803949423</v>
      </c>
      <c r="E145" s="1907">
        <v>0.54217367256637172</v>
      </c>
      <c r="F145" s="1907">
        <v>0.53786176820404386</v>
      </c>
      <c r="G145" s="1907">
        <v>0.52375152253349577</v>
      </c>
      <c r="H145" s="1907">
        <v>0.47169811320754718</v>
      </c>
      <c r="I145" s="1907">
        <v>0.38583138173302106</v>
      </c>
      <c r="J145" s="1907">
        <v>0.21637699755044909</v>
      </c>
    </row>
    <row r="148" spans="1:12" ht="15.75" x14ac:dyDescent="0.25">
      <c r="A148" s="1908" t="s">
        <v>683</v>
      </c>
    </row>
    <row r="150" spans="1:12" ht="15" x14ac:dyDescent="0.2">
      <c r="A150" s="5020" t="s">
        <v>16</v>
      </c>
      <c r="B150" s="5020" t="s">
        <v>4</v>
      </c>
      <c r="C150" s="5331" t="s">
        <v>677</v>
      </c>
      <c r="D150" s="5332"/>
      <c r="E150" s="5332"/>
      <c r="F150" s="5332"/>
      <c r="G150" s="5332"/>
      <c r="H150" s="5332"/>
      <c r="I150" s="5332"/>
      <c r="J150" s="5332"/>
      <c r="K150" s="5332"/>
      <c r="L150" s="5333"/>
    </row>
    <row r="151" spans="1:12" ht="15" x14ac:dyDescent="0.2">
      <c r="A151" s="5021"/>
      <c r="B151" s="5021"/>
      <c r="C151" s="1891" t="s">
        <v>682</v>
      </c>
      <c r="D151" s="1891">
        <v>1998</v>
      </c>
      <c r="E151" s="1891">
        <v>1999</v>
      </c>
      <c r="F151" s="1891">
        <v>2000</v>
      </c>
      <c r="G151" s="1891">
        <v>2001</v>
      </c>
      <c r="H151" s="1891">
        <v>2002</v>
      </c>
      <c r="I151" s="1891">
        <v>2003</v>
      </c>
      <c r="J151" s="1891">
        <v>2004</v>
      </c>
      <c r="K151" s="1891">
        <v>2005</v>
      </c>
      <c r="L151" s="1890">
        <v>2006</v>
      </c>
    </row>
    <row r="152" spans="1:12" ht="15" x14ac:dyDescent="0.2">
      <c r="A152" s="1892"/>
      <c r="B152" s="1892"/>
      <c r="C152" s="1892"/>
      <c r="D152" s="1892"/>
      <c r="E152" s="1892"/>
      <c r="F152" s="1892"/>
      <c r="G152" s="1892"/>
      <c r="H152" s="1892"/>
      <c r="I152" s="1892"/>
      <c r="J152" s="1892"/>
      <c r="K152" s="1892"/>
      <c r="L152" s="1892"/>
    </row>
    <row r="153" spans="1:12" ht="15" x14ac:dyDescent="0.25">
      <c r="A153" s="5146" t="s">
        <v>161</v>
      </c>
      <c r="B153" s="1026" t="s">
        <v>5</v>
      </c>
      <c r="C153" s="1893">
        <v>0.34255210180041762</v>
      </c>
      <c r="D153" s="1894">
        <v>0.28484848484848485</v>
      </c>
      <c r="E153" s="1894">
        <v>0.27310924369747897</v>
      </c>
      <c r="F153" s="1895">
        <v>0.27186311787072243</v>
      </c>
      <c r="G153" s="1894">
        <v>0.25195968645016797</v>
      </c>
      <c r="H153" s="1895">
        <v>0.26315789473684209</v>
      </c>
      <c r="I153" s="1894">
        <v>0.23340040241448692</v>
      </c>
      <c r="J153" s="1895">
        <v>0.17373461012311903</v>
      </c>
      <c r="K153" s="1894">
        <v>8.593155893536121E-2</v>
      </c>
      <c r="L153" s="1894">
        <v>2.6262626262626262E-2</v>
      </c>
    </row>
    <row r="154" spans="1:12" ht="15" x14ac:dyDescent="0.25">
      <c r="A154" s="5147"/>
      <c r="B154" s="1027" t="s">
        <v>679</v>
      </c>
      <c r="C154" s="1897">
        <v>0.56210935691467201</v>
      </c>
      <c r="D154" s="1898">
        <v>0.57326203208556148</v>
      </c>
      <c r="E154" s="1898">
        <v>0.53892821031344795</v>
      </c>
      <c r="F154" s="1899">
        <v>0.54563691073219656</v>
      </c>
      <c r="G154" s="1898">
        <v>0.50106609808102343</v>
      </c>
      <c r="H154" s="1899">
        <v>0.4758241758241758</v>
      </c>
      <c r="I154" s="1898">
        <v>0.46572361262241568</v>
      </c>
      <c r="J154" s="1899">
        <v>0.43814432989690721</v>
      </c>
      <c r="K154" s="1898">
        <v>0.33748584371460927</v>
      </c>
      <c r="L154" s="1898">
        <v>0.22909507445589919</v>
      </c>
    </row>
    <row r="155" spans="1:12" ht="15" x14ac:dyDescent="0.25">
      <c r="A155" s="5147"/>
      <c r="B155" s="1027" t="s">
        <v>7</v>
      </c>
      <c r="C155" s="1897">
        <v>0.51095450739603687</v>
      </c>
      <c r="D155" s="1898">
        <v>0.59935897435897434</v>
      </c>
      <c r="E155" s="1898">
        <v>0.5898876404494382</v>
      </c>
      <c r="F155" s="1899">
        <v>0.5280665280665281</v>
      </c>
      <c r="G155" s="1898">
        <v>0.56466302367941712</v>
      </c>
      <c r="H155" s="1899">
        <v>0.55049504950495054</v>
      </c>
      <c r="I155" s="1898">
        <v>0.54185692541856922</v>
      </c>
      <c r="J155" s="1899">
        <v>0.52146263910969792</v>
      </c>
      <c r="K155" s="1898">
        <v>0.39891696750902528</v>
      </c>
      <c r="L155" s="1898">
        <v>0.23505154639175257</v>
      </c>
    </row>
    <row r="156" spans="1:12" ht="15" x14ac:dyDescent="0.25">
      <c r="A156" s="5226"/>
      <c r="B156" s="3310" t="s">
        <v>12</v>
      </c>
      <c r="C156" s="1901">
        <v>0.45925889682617349</v>
      </c>
      <c r="D156" s="1902">
        <v>0.45652173913043476</v>
      </c>
      <c r="E156" s="1902">
        <v>0.4323626981201622</v>
      </c>
      <c r="F156" s="1903">
        <v>0.42845849802371544</v>
      </c>
      <c r="G156" s="1902">
        <v>0.42262405382674517</v>
      </c>
      <c r="H156" s="1903">
        <v>0.41322680869951178</v>
      </c>
      <c r="I156" s="1902">
        <v>0.39533073929961088</v>
      </c>
      <c r="J156" s="1903">
        <v>0.32897745834694542</v>
      </c>
      <c r="K156" s="1902">
        <v>0.22965116279069767</v>
      </c>
      <c r="L156" s="1902">
        <v>0.1241646148434752</v>
      </c>
    </row>
    <row r="157" spans="1:12" ht="15.75" x14ac:dyDescent="0.2">
      <c r="A157" s="692"/>
      <c r="B157" s="192"/>
    </row>
    <row r="158" spans="1:12" ht="15" x14ac:dyDescent="0.25">
      <c r="A158" s="5149" t="s">
        <v>410</v>
      </c>
      <c r="B158" s="1026" t="s">
        <v>6</v>
      </c>
      <c r="C158" s="1893" t="s">
        <v>680</v>
      </c>
      <c r="D158" s="1894" t="s">
        <v>680</v>
      </c>
      <c r="E158" s="1894" t="s">
        <v>680</v>
      </c>
      <c r="F158" s="1895" t="s">
        <v>680</v>
      </c>
      <c r="G158" s="1894" t="s">
        <v>680</v>
      </c>
      <c r="H158" s="1895" t="s">
        <v>680</v>
      </c>
      <c r="I158" s="1894" t="s">
        <v>680</v>
      </c>
      <c r="J158" s="1895" t="s">
        <v>680</v>
      </c>
      <c r="K158" s="1894">
        <v>0.61290322580645162</v>
      </c>
      <c r="L158" s="1894">
        <v>0.44444444444444442</v>
      </c>
    </row>
    <row r="159" spans="1:12" ht="15" x14ac:dyDescent="0.25">
      <c r="A159" s="5150"/>
      <c r="B159" s="1027" t="s">
        <v>9</v>
      </c>
      <c r="C159" s="1897" t="s">
        <v>680</v>
      </c>
      <c r="D159" s="1898" t="s">
        <v>680</v>
      </c>
      <c r="E159" s="1898" t="s">
        <v>680</v>
      </c>
      <c r="F159" s="1899" t="s">
        <v>680</v>
      </c>
      <c r="G159" s="1898" t="s">
        <v>680</v>
      </c>
      <c r="H159" s="1899" t="s">
        <v>680</v>
      </c>
      <c r="I159" s="1898" t="s">
        <v>680</v>
      </c>
      <c r="J159" s="1899" t="s">
        <v>680</v>
      </c>
      <c r="K159" s="1898">
        <v>0.35135135135135137</v>
      </c>
      <c r="L159" s="1898">
        <v>0</v>
      </c>
    </row>
    <row r="160" spans="1:12" ht="15" x14ac:dyDescent="0.25">
      <c r="A160" s="5150"/>
      <c r="B160" s="1027" t="s">
        <v>74</v>
      </c>
      <c r="C160" s="1897" t="s">
        <v>680</v>
      </c>
      <c r="D160" s="1898" t="s">
        <v>680</v>
      </c>
      <c r="E160" s="1898" t="s">
        <v>680</v>
      </c>
      <c r="F160" s="1899" t="s">
        <v>680</v>
      </c>
      <c r="G160" s="1898" t="s">
        <v>680</v>
      </c>
      <c r="H160" s="1899" t="s">
        <v>680</v>
      </c>
      <c r="I160" s="1898" t="s">
        <v>680</v>
      </c>
      <c r="J160" s="1899" t="s">
        <v>680</v>
      </c>
      <c r="K160" s="1898">
        <v>0.4</v>
      </c>
      <c r="L160" s="1898">
        <v>0.33333333333333331</v>
      </c>
    </row>
    <row r="161" spans="1:12" ht="15" x14ac:dyDescent="0.25">
      <c r="A161" s="5229"/>
      <c r="B161" s="3310" t="s">
        <v>12</v>
      </c>
      <c r="C161" s="1901" t="s">
        <v>680</v>
      </c>
      <c r="D161" s="1902" t="s">
        <v>680</v>
      </c>
      <c r="E161" s="1902" t="s">
        <v>680</v>
      </c>
      <c r="F161" s="1903" t="s">
        <v>680</v>
      </c>
      <c r="G161" s="1902" t="s">
        <v>680</v>
      </c>
      <c r="H161" s="1903" t="s">
        <v>680</v>
      </c>
      <c r="I161" s="1902" t="s">
        <v>680</v>
      </c>
      <c r="J161" s="1903" t="s">
        <v>680</v>
      </c>
      <c r="K161" s="1902">
        <v>0.50588235294117645</v>
      </c>
      <c r="L161" s="1902">
        <v>0.37113402061855671</v>
      </c>
    </row>
    <row r="162" spans="1:12" ht="15.75" x14ac:dyDescent="0.2">
      <c r="A162" s="1924"/>
      <c r="B162" s="192"/>
    </row>
    <row r="163" spans="1:12" ht="15" x14ac:dyDescent="0.25">
      <c r="A163" s="5143" t="s">
        <v>162</v>
      </c>
      <c r="B163" s="1026" t="s">
        <v>5</v>
      </c>
      <c r="C163" s="1893">
        <v>0.32801742307151888</v>
      </c>
      <c r="D163" s="1894">
        <v>0.31988041853512705</v>
      </c>
      <c r="E163" s="1894">
        <v>0.31333333333333335</v>
      </c>
      <c r="F163" s="1895">
        <v>0.32758620689655171</v>
      </c>
      <c r="G163" s="1894">
        <v>0.33482142857142855</v>
      </c>
      <c r="H163" s="1895">
        <v>0.26679841897233203</v>
      </c>
      <c r="I163" s="1894">
        <v>0.24609375</v>
      </c>
      <c r="J163" s="1895">
        <v>0.23719165085388993</v>
      </c>
      <c r="K163" s="1894">
        <v>0.13532513181019332</v>
      </c>
      <c r="L163" s="1894">
        <v>6.2043795620437957E-2</v>
      </c>
    </row>
    <row r="164" spans="1:12" ht="15" x14ac:dyDescent="0.25">
      <c r="A164" s="5144"/>
      <c r="B164" s="1027" t="s">
        <v>6</v>
      </c>
      <c r="C164" s="1897">
        <v>0.41528010662539233</v>
      </c>
      <c r="D164" s="1898">
        <v>0.47754353803849681</v>
      </c>
      <c r="E164" s="1898">
        <v>0.45289079229122053</v>
      </c>
      <c r="F164" s="1899">
        <v>0.48574821852731592</v>
      </c>
      <c r="G164" s="1898">
        <v>0.51763224181360201</v>
      </c>
      <c r="H164" s="1899">
        <v>0.43478260869565216</v>
      </c>
      <c r="I164" s="1898">
        <v>0.40148698884758366</v>
      </c>
      <c r="J164" s="1899">
        <v>0.43541666666666667</v>
      </c>
      <c r="K164" s="1898">
        <v>0.30173292558613657</v>
      </c>
      <c r="L164" s="1898">
        <v>0.17047817047817049</v>
      </c>
    </row>
    <row r="165" spans="1:12" ht="15" x14ac:dyDescent="0.25">
      <c r="A165" s="5144"/>
      <c r="B165" s="1027" t="s">
        <v>11</v>
      </c>
      <c r="C165" s="1897">
        <v>0.41485406944554298</v>
      </c>
      <c r="D165" s="1898">
        <v>0.41489361702127658</v>
      </c>
      <c r="E165" s="1898">
        <v>0.42784163473818648</v>
      </c>
      <c r="F165" s="1899">
        <v>0.54565217391304344</v>
      </c>
      <c r="G165" s="1898">
        <v>0.46799116997792495</v>
      </c>
      <c r="H165" s="1899">
        <v>0.47121535181236673</v>
      </c>
      <c r="I165" s="1898">
        <v>0.38181818181818183</v>
      </c>
      <c r="J165" s="1899">
        <v>0.34842519685039369</v>
      </c>
      <c r="K165" s="1898">
        <v>0.27272727272727271</v>
      </c>
      <c r="L165" s="1898">
        <v>0.12121212121212122</v>
      </c>
    </row>
    <row r="166" spans="1:12" ht="15" x14ac:dyDescent="0.25">
      <c r="A166" s="5227"/>
      <c r="B166" s="3310" t="s">
        <v>12</v>
      </c>
      <c r="C166" s="1901">
        <v>0.39041027584418692</v>
      </c>
      <c r="D166" s="1902">
        <v>0.4167306216423638</v>
      </c>
      <c r="E166" s="1902">
        <v>0.4082865774708675</v>
      </c>
      <c r="F166" s="1903">
        <v>0.45164718384697133</v>
      </c>
      <c r="G166" s="1902">
        <v>0.45550972304066001</v>
      </c>
      <c r="H166" s="1903">
        <v>0.39707536557930256</v>
      </c>
      <c r="I166" s="1902">
        <v>0.35133598635588403</v>
      </c>
      <c r="J166" s="1903">
        <v>0.36090225563909772</v>
      </c>
      <c r="K166" s="1902">
        <v>0.24854085603112841</v>
      </c>
      <c r="L166" s="1902">
        <v>0.12832699619771862</v>
      </c>
    </row>
    <row r="167" spans="1:12" ht="15.75" x14ac:dyDescent="0.2">
      <c r="A167" s="1924"/>
      <c r="B167" s="192"/>
    </row>
    <row r="168" spans="1:12" ht="15" x14ac:dyDescent="0.25">
      <c r="A168" s="5161" t="s">
        <v>163</v>
      </c>
      <c r="B168" s="1026" t="s">
        <v>6</v>
      </c>
      <c r="C168" s="1893">
        <v>0.62626928656204672</v>
      </c>
      <c r="D168" s="1894">
        <v>0.6586080586080586</v>
      </c>
      <c r="E168" s="1894">
        <v>0.61634695579649712</v>
      </c>
      <c r="F168" s="1895">
        <v>0.60606060606060608</v>
      </c>
      <c r="G168" s="1894">
        <v>0.62393887945670623</v>
      </c>
      <c r="H168" s="1895">
        <v>0.6269907795473596</v>
      </c>
      <c r="I168" s="1894">
        <v>0.65702479338842978</v>
      </c>
      <c r="J168" s="1895">
        <v>0.65051194539249146</v>
      </c>
      <c r="K168" s="1894">
        <v>0.60087719298245612</v>
      </c>
      <c r="L168" s="1894">
        <v>0.40352348993288589</v>
      </c>
    </row>
    <row r="169" spans="1:12" ht="15" x14ac:dyDescent="0.25">
      <c r="A169" s="5162"/>
      <c r="B169" s="1027" t="s">
        <v>11</v>
      </c>
      <c r="C169" s="1897">
        <v>0.64747666080368016</v>
      </c>
      <c r="D169" s="1898">
        <v>0.69533169533169537</v>
      </c>
      <c r="E169" s="1898">
        <v>0.65794907088781829</v>
      </c>
      <c r="F169" s="1899">
        <v>0.70077519379844966</v>
      </c>
      <c r="G169" s="1898">
        <v>0.69281045751633985</v>
      </c>
      <c r="H169" s="1899">
        <v>0.72467902995720401</v>
      </c>
      <c r="I169" s="1898">
        <v>0.72128851540616246</v>
      </c>
      <c r="J169" s="1899">
        <v>0.7104972375690608</v>
      </c>
      <c r="K169" s="1898">
        <v>0.66010422698320792</v>
      </c>
      <c r="L169" s="1898">
        <v>0.41824644549763035</v>
      </c>
    </row>
    <row r="170" spans="1:12" ht="15" x14ac:dyDescent="0.25">
      <c r="A170" s="5162"/>
      <c r="B170" s="1027" t="s">
        <v>7</v>
      </c>
      <c r="C170" s="1897">
        <v>0.59383472236168289</v>
      </c>
      <c r="D170" s="1898">
        <v>0.67249602543720188</v>
      </c>
      <c r="E170" s="1898">
        <v>0.59771986970684043</v>
      </c>
      <c r="F170" s="1899">
        <v>0.59286775631500743</v>
      </c>
      <c r="G170" s="1898">
        <v>0.62436548223350252</v>
      </c>
      <c r="H170" s="1899">
        <v>0.63695299837925445</v>
      </c>
      <c r="I170" s="1898">
        <v>0.66158536585365857</v>
      </c>
      <c r="J170" s="1899">
        <v>0.63687150837988826</v>
      </c>
      <c r="K170" s="1898">
        <v>0.54664723032069973</v>
      </c>
      <c r="L170" s="1898">
        <v>0.32550860719874802</v>
      </c>
    </row>
    <row r="171" spans="1:12" ht="15" x14ac:dyDescent="0.25">
      <c r="A171" s="5228"/>
      <c r="B171" s="3310" t="s">
        <v>12</v>
      </c>
      <c r="C171" s="1901">
        <v>0.63115043679342242</v>
      </c>
      <c r="D171" s="1902">
        <v>0.67752622860298173</v>
      </c>
      <c r="E171" s="1902">
        <v>0.63135333741579913</v>
      </c>
      <c r="F171" s="1903">
        <v>0.64201840685496669</v>
      </c>
      <c r="G171" s="1902">
        <v>0.65218843969261608</v>
      </c>
      <c r="H171" s="1903">
        <v>0.67154420921544211</v>
      </c>
      <c r="I171" s="1902">
        <v>0.68579234972677594</v>
      </c>
      <c r="J171" s="1903">
        <v>0.67526935605111504</v>
      </c>
      <c r="K171" s="1902">
        <v>0.61809045226130654</v>
      </c>
      <c r="L171" s="1902">
        <v>0.39641943734015345</v>
      </c>
    </row>
    <row r="172" spans="1:12" ht="15" x14ac:dyDescent="0.2">
      <c r="A172" s="1905"/>
      <c r="B172" s="1905"/>
      <c r="C172" s="1906"/>
      <c r="D172" s="1906"/>
      <c r="E172" s="1906"/>
      <c r="F172" s="1906"/>
      <c r="G172" s="1906"/>
      <c r="H172" s="1906"/>
      <c r="I172" s="1906"/>
      <c r="J172" s="1906"/>
      <c r="K172" s="1906"/>
      <c r="L172" s="1906"/>
    </row>
    <row r="173" spans="1:12" ht="15" x14ac:dyDescent="0.2">
      <c r="A173" s="5330" t="s">
        <v>76</v>
      </c>
      <c r="B173" s="5330"/>
      <c r="C173" s="1907">
        <v>0.50100447263747461</v>
      </c>
      <c r="D173" s="1907">
        <v>0.53444419592932235</v>
      </c>
      <c r="E173" s="1907">
        <v>0.50397782063645136</v>
      </c>
      <c r="F173" s="1907">
        <v>0.52320507735025779</v>
      </c>
      <c r="G173" s="1907">
        <v>0.52773061686474254</v>
      </c>
      <c r="H173" s="1907">
        <v>0.52381609830180864</v>
      </c>
      <c r="I173" s="1907">
        <v>0.51069132887314705</v>
      </c>
      <c r="J173" s="1907">
        <v>0.48878081131866918</v>
      </c>
      <c r="K173" s="1907">
        <v>0.40712410092476309</v>
      </c>
      <c r="L173" s="1907">
        <v>0.23986920471797268</v>
      </c>
    </row>
  </sheetData>
  <mergeCells count="49">
    <mergeCell ref="A59:B59"/>
    <mergeCell ref="A22:A25"/>
    <mergeCell ref="A4:A5"/>
    <mergeCell ref="B4:B5"/>
    <mergeCell ref="C4:J4"/>
    <mergeCell ref="A7:A10"/>
    <mergeCell ref="A12:A15"/>
    <mergeCell ref="A17:A20"/>
    <mergeCell ref="A27:A30"/>
    <mergeCell ref="A32:B32"/>
    <mergeCell ref="A36:A37"/>
    <mergeCell ref="B36:B37"/>
    <mergeCell ref="C36:J36"/>
    <mergeCell ref="A39:A42"/>
    <mergeCell ref="A44:A47"/>
    <mergeCell ref="C94:J94"/>
    <mergeCell ref="A74:A77"/>
    <mergeCell ref="A79:A82"/>
    <mergeCell ref="A84:A87"/>
    <mergeCell ref="A89:B89"/>
    <mergeCell ref="C66:J66"/>
    <mergeCell ref="A69:A72"/>
    <mergeCell ref="A49:A52"/>
    <mergeCell ref="A54:A57"/>
    <mergeCell ref="A163:A166"/>
    <mergeCell ref="C122:J122"/>
    <mergeCell ref="A125:A128"/>
    <mergeCell ref="A130:A133"/>
    <mergeCell ref="C150:L150"/>
    <mergeCell ref="A135:A138"/>
    <mergeCell ref="A122:A123"/>
    <mergeCell ref="B122:B123"/>
    <mergeCell ref="A117:B117"/>
    <mergeCell ref="A66:A67"/>
    <mergeCell ref="B66:B67"/>
    <mergeCell ref="A97:A100"/>
    <mergeCell ref="A168:A171"/>
    <mergeCell ref="A173:B173"/>
    <mergeCell ref="A140:A143"/>
    <mergeCell ref="A145:B145"/>
    <mergeCell ref="A150:A151"/>
    <mergeCell ref="B150:B151"/>
    <mergeCell ref="A153:A156"/>
    <mergeCell ref="A158:A161"/>
    <mergeCell ref="A102:A105"/>
    <mergeCell ref="A107:A110"/>
    <mergeCell ref="A112:A115"/>
    <mergeCell ref="A94:A95"/>
    <mergeCell ref="B94:B95"/>
  </mergeCells>
  <printOptions horizontalCentered="1" verticalCentered="1"/>
  <pageMargins left="0.70866141732283472" right="0.70866141732283472" top="0.55118110236220474" bottom="0.55118110236220474" header="0.31496062992125984" footer="0.31496062992125984"/>
  <pageSetup scale="65" orientation="landscape" r:id="rId1"/>
  <colBreaks count="1" manualBreakCount="1">
    <brk id="12" max="139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2:G137"/>
  <sheetViews>
    <sheetView showGridLines="0" zoomScaleNormal="100" workbookViewId="0">
      <selection activeCell="K106" sqref="K106"/>
    </sheetView>
  </sheetViews>
  <sheetFormatPr baseColWidth="10" defaultRowHeight="12.75" x14ac:dyDescent="0.2"/>
  <cols>
    <col min="1" max="1" width="15.7109375" customWidth="1"/>
    <col min="2" max="2" width="37.7109375" bestFit="1" customWidth="1"/>
    <col min="3" max="3" width="25.140625" customWidth="1"/>
    <col min="4" max="4" width="7.7109375" customWidth="1"/>
    <col min="5" max="5" width="22.85546875" customWidth="1"/>
    <col min="6" max="6" width="18.85546875" bestFit="1" customWidth="1"/>
    <col min="7" max="7" width="20.7109375" customWidth="1"/>
  </cols>
  <sheetData>
    <row r="2" spans="1:7" ht="15.75" x14ac:dyDescent="0.25">
      <c r="A2" s="5356" t="s">
        <v>1520</v>
      </c>
      <c r="B2" s="5356"/>
      <c r="C2" s="5356"/>
      <c r="D2" s="5356"/>
      <c r="E2" s="5356"/>
      <c r="F2" s="5356"/>
      <c r="G2" s="5356"/>
    </row>
    <row r="4" spans="1:7" ht="15" customHeight="1" x14ac:dyDescent="0.2">
      <c r="A4" s="5357" t="s">
        <v>4</v>
      </c>
      <c r="B4" s="5358" t="s">
        <v>77</v>
      </c>
      <c r="C4" s="5359" t="s">
        <v>1409</v>
      </c>
      <c r="D4" s="5360"/>
      <c r="E4" s="5360"/>
      <c r="F4" s="5360"/>
      <c r="G4" s="5361"/>
    </row>
    <row r="5" spans="1:7" ht="45" x14ac:dyDescent="0.2">
      <c r="A5" s="5357"/>
      <c r="B5" s="5358"/>
      <c r="C5" s="4419" t="s">
        <v>1141</v>
      </c>
      <c r="D5" s="4419" t="s">
        <v>1142</v>
      </c>
      <c r="E5" s="4419" t="s">
        <v>1143</v>
      </c>
      <c r="F5" s="4420" t="s">
        <v>1144</v>
      </c>
      <c r="G5" s="4419" t="s">
        <v>1145</v>
      </c>
    </row>
    <row r="6" spans="1:7" x14ac:dyDescent="0.2">
      <c r="A6" s="208"/>
      <c r="B6" s="208"/>
      <c r="C6" s="208"/>
      <c r="D6" s="208"/>
      <c r="E6" s="208"/>
      <c r="F6" s="208"/>
      <c r="G6" s="208"/>
    </row>
    <row r="7" spans="1:7" ht="15" customHeight="1" x14ac:dyDescent="0.2">
      <c r="A7" s="5350" t="s">
        <v>1146</v>
      </c>
      <c r="B7" s="3395" t="s">
        <v>1147</v>
      </c>
      <c r="C7" s="3396" t="s">
        <v>1148</v>
      </c>
      <c r="D7" s="3397"/>
      <c r="E7" s="3398"/>
      <c r="F7" s="3399">
        <v>43343</v>
      </c>
      <c r="G7" s="3400"/>
    </row>
    <row r="8" spans="1:7" ht="15" customHeight="1" x14ac:dyDescent="0.2">
      <c r="A8" s="5350"/>
      <c r="B8" s="3401" t="s">
        <v>1149</v>
      </c>
      <c r="C8" s="3402" t="s">
        <v>1148</v>
      </c>
      <c r="D8" s="3403"/>
      <c r="E8" s="3404"/>
      <c r="F8" s="4421">
        <v>43415</v>
      </c>
      <c r="G8" s="3405"/>
    </row>
    <row r="9" spans="1:7" ht="15" x14ac:dyDescent="0.2">
      <c r="A9" s="5350"/>
      <c r="B9" s="3401" t="s">
        <v>1150</v>
      </c>
      <c r="C9" s="3402" t="s">
        <v>1148</v>
      </c>
      <c r="D9" s="3403"/>
      <c r="E9" s="3404"/>
      <c r="F9" s="3406">
        <v>43343</v>
      </c>
      <c r="G9" s="3405"/>
    </row>
    <row r="10" spans="1:7" ht="15" x14ac:dyDescent="0.2">
      <c r="A10" s="5350"/>
      <c r="B10" s="3401" t="s">
        <v>1151</v>
      </c>
      <c r="C10" s="3402" t="s">
        <v>1148</v>
      </c>
      <c r="D10" s="3403"/>
      <c r="E10" s="3404"/>
      <c r="F10" s="3406">
        <v>43343</v>
      </c>
      <c r="G10" s="3405"/>
    </row>
    <row r="11" spans="1:7" ht="15" x14ac:dyDescent="0.2">
      <c r="A11" s="5350"/>
      <c r="B11" s="3401" t="s">
        <v>1152</v>
      </c>
      <c r="C11" s="3402" t="s">
        <v>1148</v>
      </c>
      <c r="D11" s="3403"/>
      <c r="E11" s="3404"/>
      <c r="F11" s="4421">
        <v>43415</v>
      </c>
      <c r="G11" s="3405"/>
    </row>
    <row r="12" spans="1:7" ht="15" x14ac:dyDescent="0.2">
      <c r="A12" s="5350"/>
      <c r="B12" s="3401" t="s">
        <v>1153</v>
      </c>
      <c r="C12" s="3402" t="s">
        <v>1148</v>
      </c>
      <c r="D12" s="3403"/>
      <c r="E12" s="3404"/>
      <c r="F12" s="3406">
        <v>43343</v>
      </c>
      <c r="G12" s="3405"/>
    </row>
    <row r="13" spans="1:7" ht="15" x14ac:dyDescent="0.2">
      <c r="A13" s="5350"/>
      <c r="B13" s="3401" t="s">
        <v>1154</v>
      </c>
      <c r="C13" s="3402" t="s">
        <v>1148</v>
      </c>
      <c r="D13" s="3403"/>
      <c r="E13" s="3404"/>
      <c r="F13" s="3406">
        <v>43343</v>
      </c>
      <c r="G13" s="3405"/>
    </row>
    <row r="14" spans="1:7" ht="15" x14ac:dyDescent="0.2">
      <c r="A14" s="5350"/>
      <c r="B14" s="3401" t="s">
        <v>1155</v>
      </c>
      <c r="C14" s="3402" t="s">
        <v>1148</v>
      </c>
      <c r="D14" s="3403"/>
      <c r="E14" s="3404"/>
      <c r="F14" s="3406">
        <v>43343</v>
      </c>
      <c r="G14" s="3405"/>
    </row>
    <row r="15" spans="1:7" ht="15" x14ac:dyDescent="0.2">
      <c r="A15" s="5350"/>
      <c r="B15" s="3401" t="s">
        <v>1156</v>
      </c>
      <c r="C15" s="3402" t="s">
        <v>1148</v>
      </c>
      <c r="D15" s="3403"/>
      <c r="E15" s="3404"/>
      <c r="F15" s="4421">
        <v>43415</v>
      </c>
      <c r="G15" s="3405"/>
    </row>
    <row r="16" spans="1:7" ht="15" x14ac:dyDescent="0.2">
      <c r="A16" s="5350"/>
      <c r="B16" s="3407" t="s">
        <v>461</v>
      </c>
      <c r="C16" s="3408" t="s">
        <v>1148</v>
      </c>
      <c r="D16" s="3409"/>
      <c r="E16" s="3410"/>
      <c r="F16" s="3406">
        <v>43343</v>
      </c>
      <c r="G16" s="3411"/>
    </row>
    <row r="17" spans="1:7" ht="15" customHeight="1" x14ac:dyDescent="0.2">
      <c r="A17" s="5350" t="s">
        <v>1157</v>
      </c>
      <c r="B17" s="3412" t="s">
        <v>462</v>
      </c>
      <c r="C17" s="3413" t="s">
        <v>1158</v>
      </c>
      <c r="D17" s="3414"/>
      <c r="E17" s="3415"/>
      <c r="F17" s="3416">
        <v>42793</v>
      </c>
      <c r="G17" s="3417"/>
    </row>
    <row r="18" spans="1:7" ht="15" customHeight="1" x14ac:dyDescent="0.2">
      <c r="A18" s="5350"/>
      <c r="B18" s="3418" t="s">
        <v>463</v>
      </c>
      <c r="C18" s="3419" t="s">
        <v>1159</v>
      </c>
      <c r="D18" s="3420">
        <v>2</v>
      </c>
      <c r="E18" s="3421">
        <v>38254</v>
      </c>
      <c r="F18" s="3422"/>
      <c r="G18" s="3423"/>
    </row>
    <row r="19" spans="1:7" ht="15" x14ac:dyDescent="0.2">
      <c r="A19" s="5350"/>
      <c r="B19" s="3401" t="s">
        <v>464</v>
      </c>
      <c r="C19" s="3424" t="s">
        <v>1160</v>
      </c>
      <c r="D19" s="247"/>
      <c r="E19" s="3404"/>
      <c r="F19" s="4421">
        <v>42183</v>
      </c>
      <c r="G19" s="4422" t="s">
        <v>1187</v>
      </c>
    </row>
    <row r="20" spans="1:7" ht="15" x14ac:dyDescent="0.2">
      <c r="A20" s="5350"/>
      <c r="B20" s="3425" t="s">
        <v>465</v>
      </c>
      <c r="C20" s="3426" t="s">
        <v>1161</v>
      </c>
      <c r="D20" s="248"/>
      <c r="E20" s="3427"/>
      <c r="F20" s="3428">
        <v>43700</v>
      </c>
      <c r="G20" s="3429"/>
    </row>
    <row r="21" spans="1:7" ht="15" customHeight="1" x14ac:dyDescent="0.2">
      <c r="A21" s="5350" t="s">
        <v>1162</v>
      </c>
      <c r="B21" s="3430" t="s">
        <v>466</v>
      </c>
      <c r="C21" s="3431" t="s">
        <v>1163</v>
      </c>
      <c r="D21" s="3432"/>
      <c r="E21" s="3433"/>
      <c r="F21" s="3434">
        <v>43281</v>
      </c>
      <c r="G21" s="4423"/>
    </row>
    <row r="22" spans="1:7" ht="15" customHeight="1" x14ac:dyDescent="0.2">
      <c r="A22" s="5350"/>
      <c r="B22" s="3401" t="s">
        <v>467</v>
      </c>
      <c r="C22" s="3424" t="s">
        <v>1164</v>
      </c>
      <c r="D22" s="247"/>
      <c r="E22" s="3404"/>
      <c r="F22" s="3435">
        <v>43618</v>
      </c>
      <c r="G22" s="4423"/>
    </row>
    <row r="23" spans="1:7" ht="15" x14ac:dyDescent="0.2">
      <c r="A23" s="5350"/>
      <c r="B23" s="3436" t="s">
        <v>468</v>
      </c>
      <c r="C23" s="3437" t="s">
        <v>1164</v>
      </c>
      <c r="D23" s="249"/>
      <c r="E23" s="3438"/>
      <c r="F23" s="3435">
        <v>43618</v>
      </c>
      <c r="G23" s="4423"/>
    </row>
    <row r="24" spans="1:7" ht="12.75" customHeight="1" x14ac:dyDescent="0.2">
      <c r="A24" s="375" t="s">
        <v>1165</v>
      </c>
      <c r="B24" s="4424"/>
      <c r="C24" s="4424"/>
      <c r="D24" s="4424"/>
      <c r="E24" s="4424"/>
      <c r="F24" s="5351" t="s">
        <v>1166</v>
      </c>
      <c r="G24" s="5352"/>
    </row>
    <row r="25" spans="1:7" ht="15" customHeight="1" x14ac:dyDescent="0.2">
      <c r="A25" s="375" t="s">
        <v>1167</v>
      </c>
      <c r="B25" s="4418"/>
      <c r="C25" s="4418"/>
      <c r="D25" s="3439"/>
      <c r="E25" s="3439"/>
      <c r="F25" s="5353"/>
      <c r="G25" s="5353"/>
    </row>
    <row r="26" spans="1:7" x14ac:dyDescent="0.2">
      <c r="A26" s="322" t="s">
        <v>1168</v>
      </c>
      <c r="B26" s="375"/>
      <c r="C26" s="375"/>
      <c r="D26" s="375"/>
      <c r="E26" s="375"/>
      <c r="F26" s="5353"/>
      <c r="G26" s="5353"/>
    </row>
    <row r="27" spans="1:7" x14ac:dyDescent="0.2">
      <c r="A27" s="375" t="s">
        <v>1169</v>
      </c>
      <c r="B27" s="375"/>
      <c r="C27" s="375"/>
      <c r="D27" s="375"/>
      <c r="E27" s="375"/>
      <c r="F27" s="5353"/>
      <c r="G27" s="5353"/>
    </row>
    <row r="28" spans="1:7" x14ac:dyDescent="0.2">
      <c r="A28" s="375" t="s">
        <v>1170</v>
      </c>
      <c r="B28" s="375"/>
      <c r="C28" s="375"/>
      <c r="D28" s="375"/>
      <c r="E28" s="375"/>
      <c r="F28" s="5353"/>
      <c r="G28" s="5353"/>
    </row>
    <row r="29" spans="1:7" x14ac:dyDescent="0.2">
      <c r="A29" s="375" t="s">
        <v>1171</v>
      </c>
      <c r="B29" s="322"/>
      <c r="C29" s="322"/>
      <c r="D29" s="322"/>
      <c r="E29" s="322"/>
      <c r="F29" s="322"/>
      <c r="G29" s="322"/>
    </row>
    <row r="30" spans="1:7" x14ac:dyDescent="0.2">
      <c r="A30" s="322" t="s">
        <v>1172</v>
      </c>
      <c r="B30" s="375"/>
      <c r="C30" s="375"/>
      <c r="D30" s="375"/>
      <c r="E30" s="375"/>
      <c r="F30" s="375"/>
      <c r="G30" s="375"/>
    </row>
    <row r="32" spans="1:7" ht="15.75" x14ac:dyDescent="0.25">
      <c r="A32" s="5356" t="s">
        <v>1520</v>
      </c>
      <c r="B32" s="5356"/>
      <c r="C32" s="5356"/>
      <c r="D32" s="5356"/>
      <c r="E32" s="5356"/>
      <c r="F32" s="5356"/>
      <c r="G32" s="5356"/>
    </row>
    <row r="34" spans="1:7" ht="15" customHeight="1" x14ac:dyDescent="0.2">
      <c r="A34" s="5357" t="s">
        <v>4</v>
      </c>
      <c r="B34" s="5358" t="s">
        <v>77</v>
      </c>
      <c r="C34" s="5365" t="s">
        <v>1410</v>
      </c>
      <c r="D34" s="5366"/>
      <c r="E34" s="5366"/>
      <c r="F34" s="5366"/>
      <c r="G34" s="5367"/>
    </row>
    <row r="35" spans="1:7" ht="45" x14ac:dyDescent="0.2">
      <c r="A35" s="5357"/>
      <c r="B35" s="5358"/>
      <c r="C35" s="4419" t="s">
        <v>1141</v>
      </c>
      <c r="D35" s="4419" t="s">
        <v>1142</v>
      </c>
      <c r="E35" s="4419" t="s">
        <v>1143</v>
      </c>
      <c r="F35" s="4420" t="s">
        <v>1144</v>
      </c>
      <c r="G35" s="4419" t="s">
        <v>1173</v>
      </c>
    </row>
    <row r="36" spans="1:7" x14ac:dyDescent="0.2">
      <c r="A36" s="208"/>
      <c r="B36" s="208"/>
      <c r="C36" s="208"/>
      <c r="D36" s="208"/>
      <c r="E36" s="208"/>
      <c r="F36" s="208"/>
      <c r="G36" s="208"/>
    </row>
    <row r="37" spans="1:7" ht="12.75" customHeight="1" x14ac:dyDescent="0.25">
      <c r="A37" s="5350" t="s">
        <v>1157</v>
      </c>
      <c r="B37" s="3440" t="s">
        <v>1174</v>
      </c>
      <c r="C37" s="3441"/>
      <c r="D37" s="3441"/>
      <c r="E37" s="3442"/>
      <c r="F37" s="3443"/>
      <c r="G37" s="3444">
        <v>38551</v>
      </c>
    </row>
    <row r="38" spans="1:7" ht="12.75" customHeight="1" x14ac:dyDescent="0.25">
      <c r="A38" s="5350"/>
      <c r="B38" s="3445" t="s">
        <v>463</v>
      </c>
      <c r="C38" s="3446"/>
      <c r="D38" s="3447"/>
      <c r="E38" s="3448"/>
      <c r="F38" s="3449"/>
      <c r="G38" s="3450" t="s">
        <v>1411</v>
      </c>
    </row>
    <row r="39" spans="1:7" ht="12.75" customHeight="1" x14ac:dyDescent="0.25">
      <c r="A39" s="5350"/>
      <c r="B39" s="3445" t="s">
        <v>1175</v>
      </c>
      <c r="C39" s="3446"/>
      <c r="D39" s="3447"/>
      <c r="E39" s="3448"/>
      <c r="F39" s="3449"/>
      <c r="G39" s="3450" t="s">
        <v>1176</v>
      </c>
    </row>
    <row r="40" spans="1:7" ht="12.75" customHeight="1" x14ac:dyDescent="0.25">
      <c r="A40" s="5350"/>
      <c r="B40" s="3451" t="s">
        <v>502</v>
      </c>
      <c r="C40" s="3452"/>
      <c r="D40" s="3453"/>
      <c r="E40" s="3454"/>
      <c r="F40" s="3455"/>
      <c r="G40" s="3456" t="s">
        <v>1176</v>
      </c>
    </row>
    <row r="41" spans="1:7" ht="15" customHeight="1" x14ac:dyDescent="0.25">
      <c r="A41" s="5350" t="s">
        <v>1177</v>
      </c>
      <c r="B41" s="3395" t="s">
        <v>503</v>
      </c>
      <c r="C41" s="3457"/>
      <c r="D41" s="3441"/>
      <c r="E41" s="3458"/>
      <c r="F41" s="3443"/>
      <c r="G41" s="3459" t="s">
        <v>1178</v>
      </c>
    </row>
    <row r="42" spans="1:7" ht="12.75" customHeight="1" x14ac:dyDescent="0.25">
      <c r="A42" s="5350"/>
      <c r="B42" s="3445" t="s">
        <v>1179</v>
      </c>
      <c r="C42" s="3446"/>
      <c r="D42" s="3447"/>
      <c r="E42" s="3448"/>
      <c r="F42" s="3449"/>
      <c r="G42" s="3450" t="s">
        <v>1176</v>
      </c>
    </row>
    <row r="43" spans="1:7" ht="12.75" customHeight="1" x14ac:dyDescent="0.25">
      <c r="A43" s="5350"/>
      <c r="B43" s="3451" t="s">
        <v>505</v>
      </c>
      <c r="C43" s="3452"/>
      <c r="D43" s="3453"/>
      <c r="E43" s="3454"/>
      <c r="F43" s="3455"/>
      <c r="G43" s="3456" t="s">
        <v>1176</v>
      </c>
    </row>
    <row r="44" spans="1:7" ht="12.75" customHeight="1" x14ac:dyDescent="0.25">
      <c r="A44" s="5350" t="s">
        <v>1180</v>
      </c>
      <c r="B44" s="3430" t="s">
        <v>1181</v>
      </c>
      <c r="C44" s="3441"/>
      <c r="D44" s="3460"/>
      <c r="E44" s="3461"/>
      <c r="F44" s="3443"/>
      <c r="G44" s="3459">
        <v>38490</v>
      </c>
    </row>
    <row r="45" spans="1:7" ht="12.75" customHeight="1" x14ac:dyDescent="0.25">
      <c r="A45" s="5350"/>
      <c r="B45" s="3401" t="s">
        <v>506</v>
      </c>
      <c r="C45" s="3446"/>
      <c r="D45" s="3447"/>
      <c r="E45" s="3448"/>
      <c r="F45" s="3449"/>
      <c r="G45" s="3450">
        <v>38490</v>
      </c>
    </row>
    <row r="46" spans="1:7" ht="15" x14ac:dyDescent="0.25">
      <c r="A46" s="5350"/>
      <c r="B46" s="3436" t="s">
        <v>1182</v>
      </c>
      <c r="C46" s="3462"/>
      <c r="D46" s="3463"/>
      <c r="E46" s="3464"/>
      <c r="F46" s="3465"/>
      <c r="G46" s="3466">
        <v>39659</v>
      </c>
    </row>
    <row r="47" spans="1:7" ht="12.75" customHeight="1" x14ac:dyDescent="0.25">
      <c r="A47" s="5350"/>
      <c r="B47" s="4425" t="s">
        <v>508</v>
      </c>
      <c r="C47" s="3462"/>
      <c r="D47" s="3463"/>
      <c r="E47" s="3464"/>
      <c r="F47" s="3455"/>
      <c r="G47" s="3467" t="s">
        <v>1183</v>
      </c>
    </row>
    <row r="48" spans="1:7" ht="12.75" customHeight="1" x14ac:dyDescent="0.2">
      <c r="A48" s="375" t="s">
        <v>1168</v>
      </c>
      <c r="B48" s="4424"/>
      <c r="C48" s="4424"/>
      <c r="D48" s="4424"/>
      <c r="E48" s="4424"/>
      <c r="F48" s="5352" t="s">
        <v>1184</v>
      </c>
      <c r="G48" s="5352"/>
    </row>
    <row r="49" spans="1:7" ht="12.75" customHeight="1" x14ac:dyDescent="0.2">
      <c r="A49" s="3468"/>
      <c r="B49" s="3468"/>
      <c r="C49" s="3468"/>
      <c r="D49" s="3468"/>
      <c r="E49" s="3468"/>
      <c r="F49" s="5353"/>
      <c r="G49" s="5353"/>
    </row>
    <row r="50" spans="1:7" ht="12.75" customHeight="1" x14ac:dyDescent="0.2">
      <c r="A50" s="208"/>
      <c r="B50" s="208"/>
      <c r="C50" s="208"/>
      <c r="D50" s="208"/>
      <c r="E50" s="208"/>
      <c r="F50" s="5353"/>
      <c r="G50" s="5353"/>
    </row>
    <row r="51" spans="1:7" x14ac:dyDescent="0.2">
      <c r="A51" s="208"/>
      <c r="B51" s="208"/>
      <c r="C51" s="208"/>
      <c r="D51" s="208"/>
      <c r="E51" s="208"/>
      <c r="F51" s="5353"/>
      <c r="G51" s="5353"/>
    </row>
    <row r="52" spans="1:7" ht="12.75" customHeight="1" x14ac:dyDescent="0.2"/>
    <row r="53" spans="1:7" ht="12.75" customHeight="1" x14ac:dyDescent="0.25">
      <c r="A53" s="5356" t="s">
        <v>1520</v>
      </c>
      <c r="B53" s="5356"/>
      <c r="C53" s="5356"/>
      <c r="D53" s="5356"/>
      <c r="E53" s="5356"/>
      <c r="F53" s="5356"/>
      <c r="G53" s="5356"/>
    </row>
    <row r="54" spans="1:7" ht="12.75" customHeight="1" x14ac:dyDescent="0.2"/>
    <row r="55" spans="1:7" ht="12.75" customHeight="1" x14ac:dyDescent="0.2">
      <c r="A55" s="5357" t="s">
        <v>4</v>
      </c>
      <c r="B55" s="5358" t="s">
        <v>77</v>
      </c>
      <c r="C55" s="5355" t="s">
        <v>1412</v>
      </c>
      <c r="D55" s="5355"/>
      <c r="E55" s="5355"/>
      <c r="F55" s="5355"/>
      <c r="G55" s="5355"/>
    </row>
    <row r="56" spans="1:7" ht="42" customHeight="1" x14ac:dyDescent="0.2">
      <c r="A56" s="5357"/>
      <c r="B56" s="5358"/>
      <c r="C56" s="4221" t="s">
        <v>1141</v>
      </c>
      <c r="D56" s="4419" t="s">
        <v>1142</v>
      </c>
      <c r="E56" s="4419" t="s">
        <v>1143</v>
      </c>
      <c r="F56" s="4420" t="s">
        <v>1144</v>
      </c>
      <c r="G56" s="4419" t="s">
        <v>1145</v>
      </c>
    </row>
    <row r="57" spans="1:7" ht="15" x14ac:dyDescent="0.2">
      <c r="A57" s="250"/>
      <c r="B57" s="250"/>
      <c r="C57" s="250"/>
      <c r="D57" s="250"/>
      <c r="E57" s="250"/>
      <c r="F57" s="250"/>
      <c r="G57" s="250"/>
    </row>
    <row r="58" spans="1:7" ht="12.75" customHeight="1" x14ac:dyDescent="0.2">
      <c r="A58" s="5350" t="s">
        <v>1146</v>
      </c>
      <c r="B58" s="3395" t="s">
        <v>1185</v>
      </c>
      <c r="C58" s="3396" t="s">
        <v>1148</v>
      </c>
      <c r="D58" s="3397"/>
      <c r="E58" s="3398"/>
      <c r="F58" s="3399">
        <v>43553</v>
      </c>
      <c r="G58" s="3400"/>
    </row>
    <row r="59" spans="1:7" ht="12.75" customHeight="1" x14ac:dyDescent="0.2">
      <c r="A59" s="5350"/>
      <c r="B59" s="3401" t="s">
        <v>1186</v>
      </c>
      <c r="C59" s="3424"/>
      <c r="D59" s="247"/>
      <c r="E59" s="3469"/>
      <c r="F59" s="3470"/>
      <c r="G59" s="3405"/>
    </row>
    <row r="60" spans="1:7" ht="12.75" customHeight="1" x14ac:dyDescent="0.2">
      <c r="A60" s="5350"/>
      <c r="B60" s="3401" t="s">
        <v>1155</v>
      </c>
      <c r="C60" s="3424" t="s">
        <v>1159</v>
      </c>
      <c r="D60" s="247">
        <v>1</v>
      </c>
      <c r="E60" s="3469">
        <v>39755</v>
      </c>
      <c r="F60" s="3470"/>
      <c r="G60" s="4426"/>
    </row>
    <row r="61" spans="1:7" ht="12.75" customHeight="1" x14ac:dyDescent="0.2">
      <c r="A61" s="5350"/>
      <c r="B61" s="3401" t="s">
        <v>471</v>
      </c>
      <c r="C61" s="3424"/>
      <c r="D61" s="247"/>
      <c r="E61" s="3469"/>
      <c r="F61" s="3470"/>
      <c r="G61" s="4426"/>
    </row>
    <row r="62" spans="1:7" ht="15" x14ac:dyDescent="0.2">
      <c r="A62" s="5350"/>
      <c r="B62" s="3401" t="s">
        <v>472</v>
      </c>
      <c r="C62" s="3424" t="s">
        <v>1159</v>
      </c>
      <c r="D62" s="247">
        <v>1</v>
      </c>
      <c r="E62" s="3469">
        <v>39755</v>
      </c>
      <c r="F62" s="3470"/>
      <c r="G62" s="3405"/>
    </row>
    <row r="63" spans="1:7" ht="15" x14ac:dyDescent="0.2">
      <c r="A63" s="5350"/>
      <c r="B63" s="3401" t="s">
        <v>1156</v>
      </c>
      <c r="C63" s="3424"/>
      <c r="D63" s="247"/>
      <c r="E63" s="3469"/>
      <c r="F63" s="3470"/>
      <c r="G63" s="4427"/>
    </row>
    <row r="64" spans="1:7" ht="15" x14ac:dyDescent="0.2">
      <c r="A64" s="5350"/>
      <c r="B64" s="3401" t="s">
        <v>1188</v>
      </c>
      <c r="C64" s="3424" t="s">
        <v>1159</v>
      </c>
      <c r="D64" s="247">
        <v>1</v>
      </c>
      <c r="E64" s="3469">
        <v>39755</v>
      </c>
      <c r="F64" s="3470"/>
      <c r="G64" s="3405"/>
    </row>
    <row r="65" spans="1:7" ht="15" x14ac:dyDescent="0.2">
      <c r="A65" s="5350"/>
      <c r="B65" s="3401" t="s">
        <v>474</v>
      </c>
      <c r="C65" s="3424" t="s">
        <v>1159</v>
      </c>
      <c r="D65" s="247">
        <v>1</v>
      </c>
      <c r="E65" s="3469">
        <v>39755</v>
      </c>
      <c r="F65" s="3470"/>
      <c r="G65" s="4428"/>
    </row>
    <row r="66" spans="1:7" ht="15" x14ac:dyDescent="0.2">
      <c r="A66" s="5350"/>
      <c r="B66" s="3425" t="s">
        <v>475</v>
      </c>
      <c r="C66" s="248" t="s">
        <v>1189</v>
      </c>
      <c r="D66" s="248"/>
      <c r="E66" s="3471"/>
      <c r="F66" s="4429">
        <v>42683</v>
      </c>
      <c r="G66" s="3429"/>
    </row>
    <row r="67" spans="1:7" ht="15" customHeight="1" x14ac:dyDescent="0.2">
      <c r="A67" s="5371" t="s">
        <v>1190</v>
      </c>
      <c r="B67" s="3430" t="s">
        <v>462</v>
      </c>
      <c r="C67" s="3424" t="s">
        <v>1159</v>
      </c>
      <c r="D67" s="247">
        <v>1</v>
      </c>
      <c r="E67" s="3472"/>
      <c r="F67" s="4430"/>
      <c r="G67" s="4426"/>
    </row>
    <row r="68" spans="1:7" ht="15" x14ac:dyDescent="0.2">
      <c r="A68" s="5371"/>
      <c r="B68" s="3401" t="s">
        <v>476</v>
      </c>
      <c r="C68" s="3424" t="s">
        <v>1159</v>
      </c>
      <c r="D68" s="247">
        <v>2</v>
      </c>
      <c r="E68" s="3469">
        <v>37970</v>
      </c>
      <c r="F68" s="3470"/>
      <c r="G68" s="3405"/>
    </row>
    <row r="69" spans="1:7" ht="15" x14ac:dyDescent="0.2">
      <c r="A69" s="5371"/>
      <c r="B69" s="3401" t="s">
        <v>477</v>
      </c>
      <c r="C69" s="3424" t="s">
        <v>1159</v>
      </c>
      <c r="D69" s="247">
        <v>1</v>
      </c>
      <c r="E69" s="3469">
        <v>37698</v>
      </c>
      <c r="F69" s="3470"/>
      <c r="G69" s="3405"/>
    </row>
    <row r="70" spans="1:7" ht="12.75" customHeight="1" x14ac:dyDescent="0.2">
      <c r="A70" s="5371"/>
      <c r="B70" s="3401" t="s">
        <v>478</v>
      </c>
      <c r="C70" s="3424" t="s">
        <v>1159</v>
      </c>
      <c r="D70" s="247">
        <v>1</v>
      </c>
      <c r="E70" s="3469">
        <v>37698</v>
      </c>
      <c r="F70" s="3470"/>
      <c r="G70" s="3405"/>
    </row>
    <row r="71" spans="1:7" ht="12.75" customHeight="1" x14ac:dyDescent="0.2">
      <c r="A71" s="5371"/>
      <c r="B71" s="3401" t="s">
        <v>464</v>
      </c>
      <c r="C71" s="3424" t="s">
        <v>1159</v>
      </c>
      <c r="D71" s="247">
        <v>1</v>
      </c>
      <c r="E71" s="3469">
        <v>37970</v>
      </c>
      <c r="F71" s="3470"/>
      <c r="G71" s="3405"/>
    </row>
    <row r="72" spans="1:7" ht="12.75" customHeight="1" x14ac:dyDescent="0.2">
      <c r="A72" s="5371"/>
      <c r="B72" s="3401" t="s">
        <v>465</v>
      </c>
      <c r="C72" s="3424" t="s">
        <v>1161</v>
      </c>
      <c r="D72" s="3473"/>
      <c r="E72" s="3474"/>
      <c r="F72" s="3470">
        <v>42754</v>
      </c>
      <c r="G72" s="3405"/>
    </row>
    <row r="73" spans="1:7" ht="12.75" customHeight="1" x14ac:dyDescent="0.2">
      <c r="A73" s="5371"/>
      <c r="B73" s="3401" t="s">
        <v>479</v>
      </c>
      <c r="C73" s="3424" t="s">
        <v>1159</v>
      </c>
      <c r="D73" s="247">
        <v>1</v>
      </c>
      <c r="E73" s="3469">
        <v>37698</v>
      </c>
      <c r="F73" s="3470"/>
      <c r="G73" s="3405"/>
    </row>
    <row r="74" spans="1:7" ht="15" x14ac:dyDescent="0.2">
      <c r="A74" s="5371"/>
      <c r="B74" s="3401" t="s">
        <v>1191</v>
      </c>
      <c r="C74" s="3424" t="s">
        <v>1159</v>
      </c>
      <c r="D74" s="247">
        <v>1</v>
      </c>
      <c r="E74" s="3469">
        <v>37698</v>
      </c>
      <c r="F74" s="3470"/>
      <c r="G74" s="3405"/>
    </row>
    <row r="75" spans="1:7" ht="12.75" customHeight="1" x14ac:dyDescent="0.2">
      <c r="A75" s="5371"/>
      <c r="B75" s="3401" t="s">
        <v>481</v>
      </c>
      <c r="C75" s="3424" t="s">
        <v>1159</v>
      </c>
      <c r="D75" s="247">
        <v>1</v>
      </c>
      <c r="E75" s="3469">
        <v>37970</v>
      </c>
      <c r="F75" s="3470"/>
      <c r="G75" s="3405"/>
    </row>
    <row r="76" spans="1:7" ht="12.75" customHeight="1" x14ac:dyDescent="0.2">
      <c r="A76" s="5371"/>
      <c r="B76" s="3401" t="s">
        <v>482</v>
      </c>
      <c r="C76" s="3424" t="s">
        <v>1159</v>
      </c>
      <c r="D76" s="247">
        <v>1</v>
      </c>
      <c r="E76" s="3469"/>
      <c r="F76" s="3470"/>
      <c r="G76" s="4426"/>
    </row>
    <row r="77" spans="1:7" ht="12.75" customHeight="1" x14ac:dyDescent="0.2">
      <c r="A77" s="5371"/>
      <c r="B77" s="3425" t="s">
        <v>1193</v>
      </c>
      <c r="C77" s="3426"/>
      <c r="D77" s="248"/>
      <c r="E77" s="3475"/>
      <c r="F77" s="3476"/>
      <c r="G77" s="3429"/>
    </row>
    <row r="78" spans="1:7" ht="12.75" customHeight="1" x14ac:dyDescent="0.2">
      <c r="A78" s="5371" t="s">
        <v>1194</v>
      </c>
      <c r="B78" s="3401" t="s">
        <v>484</v>
      </c>
      <c r="C78" s="3424" t="s">
        <v>1159</v>
      </c>
      <c r="D78" s="247">
        <v>1</v>
      </c>
      <c r="E78" s="3469">
        <v>39042</v>
      </c>
      <c r="F78" s="3477"/>
      <c r="G78" s="3405"/>
    </row>
    <row r="79" spans="1:7" ht="15" x14ac:dyDescent="0.2">
      <c r="A79" s="5371"/>
      <c r="B79" s="3401" t="s">
        <v>1195</v>
      </c>
      <c r="C79" s="3424" t="s">
        <v>1159</v>
      </c>
      <c r="D79" s="247">
        <v>1</v>
      </c>
      <c r="E79" s="3469">
        <v>39353</v>
      </c>
      <c r="F79" s="3470"/>
      <c r="G79" s="3405"/>
    </row>
    <row r="80" spans="1:7" ht="12.75" customHeight="1" x14ac:dyDescent="0.2">
      <c r="A80" s="5371"/>
      <c r="B80" s="3401" t="s">
        <v>486</v>
      </c>
      <c r="C80" s="3424" t="s">
        <v>1159</v>
      </c>
      <c r="D80" s="247">
        <v>1</v>
      </c>
      <c r="E80" s="3469">
        <v>39042</v>
      </c>
      <c r="F80" s="3470"/>
      <c r="G80" s="3405"/>
    </row>
    <row r="81" spans="1:7" ht="12.75" customHeight="1" x14ac:dyDescent="0.2">
      <c r="A81" s="5371"/>
      <c r="B81" s="3401" t="s">
        <v>487</v>
      </c>
      <c r="C81" s="3424"/>
      <c r="D81" s="247"/>
      <c r="E81" s="3469"/>
      <c r="F81" s="3470"/>
      <c r="G81" s="3405"/>
    </row>
    <row r="82" spans="1:7" ht="12.75" customHeight="1" x14ac:dyDescent="0.2">
      <c r="A82" s="5371"/>
      <c r="B82" s="3401" t="s">
        <v>488</v>
      </c>
      <c r="C82" s="3424" t="s">
        <v>1148</v>
      </c>
      <c r="D82" s="247"/>
      <c r="E82" s="3469"/>
      <c r="F82" s="3470">
        <v>42928</v>
      </c>
      <c r="G82" s="3478"/>
    </row>
    <row r="83" spans="1:7" ht="12.75" customHeight="1" x14ac:dyDescent="0.2">
      <c r="A83" s="5371"/>
      <c r="B83" s="3425" t="s">
        <v>489</v>
      </c>
      <c r="C83" s="3424" t="s">
        <v>1148</v>
      </c>
      <c r="D83" s="248"/>
      <c r="E83" s="3469"/>
      <c r="F83" s="3470">
        <v>42928</v>
      </c>
      <c r="G83" s="3479"/>
    </row>
    <row r="84" spans="1:7" ht="12.75" customHeight="1" x14ac:dyDescent="0.2">
      <c r="A84" s="3439" t="s">
        <v>1165</v>
      </c>
      <c r="B84" s="4424"/>
      <c r="C84" s="4424"/>
      <c r="D84" s="4424"/>
      <c r="E84" s="4424"/>
      <c r="F84" s="5352" t="s">
        <v>1196</v>
      </c>
      <c r="G84" s="5352"/>
    </row>
    <row r="85" spans="1:7" ht="12.75" customHeight="1" x14ac:dyDescent="0.2">
      <c r="A85" s="3439" t="s">
        <v>1168</v>
      </c>
      <c r="B85" s="375"/>
      <c r="C85" s="375"/>
      <c r="D85" s="375"/>
      <c r="E85" s="375"/>
      <c r="F85" s="5368"/>
      <c r="G85" s="5368"/>
    </row>
    <row r="86" spans="1:7" ht="12.75" customHeight="1" x14ac:dyDescent="0.2">
      <c r="A86" s="375" t="s">
        <v>1197</v>
      </c>
      <c r="B86" s="375"/>
      <c r="C86" s="375"/>
      <c r="D86" s="375"/>
      <c r="E86" s="375"/>
      <c r="F86" s="5368"/>
      <c r="G86" s="5368"/>
    </row>
    <row r="87" spans="1:7" ht="12.75" customHeight="1" x14ac:dyDescent="0.2">
      <c r="A87" s="375" t="s">
        <v>1198</v>
      </c>
      <c r="B87" s="375"/>
      <c r="C87" s="375"/>
      <c r="D87" s="375"/>
      <c r="E87" s="375"/>
      <c r="F87" s="5368"/>
      <c r="G87" s="5368"/>
    </row>
    <row r="88" spans="1:7" ht="12.75" customHeight="1" x14ac:dyDescent="0.2">
      <c r="A88" s="375" t="s">
        <v>1170</v>
      </c>
      <c r="B88" s="375"/>
      <c r="C88" s="375"/>
      <c r="D88" s="375"/>
      <c r="E88" s="375"/>
      <c r="F88" s="375"/>
      <c r="G88" s="375"/>
    </row>
    <row r="89" spans="1:7" x14ac:dyDescent="0.2">
      <c r="A89" s="375" t="s">
        <v>1199</v>
      </c>
      <c r="B89" s="3480"/>
      <c r="C89" s="3480"/>
      <c r="D89" s="3480"/>
      <c r="E89" s="3480"/>
      <c r="F89" s="3480"/>
      <c r="G89" s="3480"/>
    </row>
    <row r="90" spans="1:7" ht="12.75" customHeight="1" x14ac:dyDescent="0.2">
      <c r="A90" s="375" t="s">
        <v>1200</v>
      </c>
      <c r="B90" s="3481"/>
      <c r="C90" s="208"/>
      <c r="D90" s="208"/>
      <c r="E90" s="208"/>
      <c r="F90" s="208"/>
      <c r="G90" s="208"/>
    </row>
    <row r="91" spans="1:7" ht="12.75" customHeight="1" x14ac:dyDescent="0.2"/>
    <row r="92" spans="1:7" ht="12.75" customHeight="1" x14ac:dyDescent="0.25">
      <c r="A92" s="5356" t="s">
        <v>1520</v>
      </c>
      <c r="B92" s="5356"/>
      <c r="C92" s="5356"/>
      <c r="D92" s="5356"/>
      <c r="E92" s="5356"/>
      <c r="F92" s="5356"/>
      <c r="G92" s="5356"/>
    </row>
    <row r="94" spans="1:7" ht="15.75" x14ac:dyDescent="0.2">
      <c r="A94" s="5357" t="s">
        <v>4</v>
      </c>
      <c r="B94" s="5358" t="s">
        <v>77</v>
      </c>
      <c r="C94" s="5354" t="s">
        <v>1413</v>
      </c>
      <c r="D94" s="5354"/>
      <c r="E94" s="5354"/>
      <c r="F94" s="5354"/>
      <c r="G94" s="5354"/>
    </row>
    <row r="95" spans="1:7" ht="45" x14ac:dyDescent="0.2">
      <c r="A95" s="5357"/>
      <c r="B95" s="5358"/>
      <c r="C95" s="4419" t="s">
        <v>1141</v>
      </c>
      <c r="D95" s="4419" t="s">
        <v>1142</v>
      </c>
      <c r="E95" s="4419" t="s">
        <v>1143</v>
      </c>
      <c r="F95" s="4420" t="s">
        <v>1144</v>
      </c>
      <c r="G95" s="4419" t="s">
        <v>1173</v>
      </c>
    </row>
    <row r="96" spans="1:7" ht="15" x14ac:dyDescent="0.2">
      <c r="A96" s="250"/>
      <c r="B96" s="250"/>
      <c r="C96" s="250"/>
      <c r="D96" s="250"/>
      <c r="E96" s="250"/>
      <c r="F96" s="250"/>
      <c r="G96" s="250"/>
    </row>
    <row r="97" spans="1:7" ht="60" customHeight="1" x14ac:dyDescent="0.2">
      <c r="A97" s="4431" t="s">
        <v>1146</v>
      </c>
      <c r="B97" s="3482" t="s">
        <v>1201</v>
      </c>
      <c r="C97" s="4432"/>
      <c r="D97" s="4432"/>
      <c r="E97" s="4433"/>
      <c r="F97" s="4433"/>
      <c r="G97" s="4433">
        <v>40588</v>
      </c>
    </row>
    <row r="98" spans="1:7" ht="12.75" customHeight="1" x14ac:dyDescent="0.2">
      <c r="A98" s="5362" t="s">
        <v>1157</v>
      </c>
      <c r="B98" s="3395" t="s">
        <v>1202</v>
      </c>
      <c r="C98" s="3483"/>
      <c r="D98" s="3484"/>
      <c r="E98" s="3485"/>
      <c r="F98" s="3486"/>
      <c r="G98" s="3400">
        <v>40598</v>
      </c>
    </row>
    <row r="99" spans="1:7" ht="15" x14ac:dyDescent="0.2">
      <c r="A99" s="5364"/>
      <c r="B99" s="3425" t="s">
        <v>625</v>
      </c>
      <c r="C99" s="3487"/>
      <c r="D99" s="3488"/>
      <c r="E99" s="3489"/>
      <c r="F99" s="3490"/>
      <c r="G99" s="3429">
        <v>41254</v>
      </c>
    </row>
    <row r="100" spans="1:7" ht="60" customHeight="1" x14ac:dyDescent="0.2">
      <c r="A100" s="4431" t="s">
        <v>1194</v>
      </c>
      <c r="B100" s="3491" t="s">
        <v>511</v>
      </c>
      <c r="C100" s="3492"/>
      <c r="D100" s="3492"/>
      <c r="E100" s="3493"/>
      <c r="F100" s="3493"/>
      <c r="G100" s="3493">
        <v>40598</v>
      </c>
    </row>
    <row r="101" spans="1:7" x14ac:dyDescent="0.2">
      <c r="A101" s="208"/>
      <c r="B101" s="86"/>
      <c r="C101" s="208"/>
      <c r="D101" s="208"/>
      <c r="E101" s="208"/>
      <c r="F101" s="5369" t="s">
        <v>1203</v>
      </c>
      <c r="G101" s="5369"/>
    </row>
    <row r="103" spans="1:7" ht="15.75" x14ac:dyDescent="0.25">
      <c r="A103" s="5356" t="s">
        <v>1520</v>
      </c>
      <c r="B103" s="5356"/>
      <c r="C103" s="5356"/>
      <c r="D103" s="5356"/>
      <c r="E103" s="5356"/>
      <c r="F103" s="5356"/>
      <c r="G103" s="5356"/>
    </row>
    <row r="105" spans="1:7" ht="15.75" x14ac:dyDescent="0.2">
      <c r="A105" s="5357" t="s">
        <v>4</v>
      </c>
      <c r="B105" s="5358" t="s">
        <v>77</v>
      </c>
      <c r="C105" s="5370" t="s">
        <v>1414</v>
      </c>
      <c r="D105" s="5370"/>
      <c r="E105" s="5370"/>
      <c r="F105" s="5370"/>
      <c r="G105" s="5370"/>
    </row>
    <row r="106" spans="1:7" ht="45" x14ac:dyDescent="0.2">
      <c r="A106" s="5357"/>
      <c r="B106" s="5358"/>
      <c r="C106" s="4419" t="s">
        <v>1141</v>
      </c>
      <c r="D106" s="4419" t="s">
        <v>1142</v>
      </c>
      <c r="E106" s="4419" t="s">
        <v>1143</v>
      </c>
      <c r="F106" s="4420" t="s">
        <v>1144</v>
      </c>
      <c r="G106" s="4419" t="s">
        <v>1145</v>
      </c>
    </row>
    <row r="107" spans="1:7" x14ac:dyDescent="0.2">
      <c r="A107" s="208"/>
      <c r="B107" s="208"/>
      <c r="C107" s="208"/>
      <c r="D107" s="208"/>
      <c r="E107" s="208"/>
      <c r="F107" s="208"/>
      <c r="G107" s="208"/>
    </row>
    <row r="108" spans="1:7" ht="15" customHeight="1" x14ac:dyDescent="0.2">
      <c r="A108" s="5362" t="s">
        <v>1157</v>
      </c>
      <c r="B108" s="3395" t="s">
        <v>462</v>
      </c>
      <c r="C108" s="3494" t="s">
        <v>1158</v>
      </c>
      <c r="D108" s="246"/>
      <c r="E108" s="3495"/>
      <c r="F108" s="4434">
        <v>42714</v>
      </c>
      <c r="G108" s="3400"/>
    </row>
    <row r="109" spans="1:7" ht="15" x14ac:dyDescent="0.2">
      <c r="A109" s="5363"/>
      <c r="B109" s="3401" t="s">
        <v>490</v>
      </c>
      <c r="C109" s="3424" t="s">
        <v>1161</v>
      </c>
      <c r="D109" s="247"/>
      <c r="E109" s="3469"/>
      <c r="F109" s="4421">
        <v>42620</v>
      </c>
      <c r="G109" s="3405"/>
    </row>
    <row r="110" spans="1:7" ht="15" x14ac:dyDescent="0.2">
      <c r="A110" s="5363"/>
      <c r="B110" s="3401" t="s">
        <v>464</v>
      </c>
      <c r="C110" s="3424"/>
      <c r="D110" s="247"/>
      <c r="E110" s="3469"/>
      <c r="F110" s="4421"/>
      <c r="G110" s="4435"/>
    </row>
    <row r="111" spans="1:7" ht="15" x14ac:dyDescent="0.2">
      <c r="A111" s="5363"/>
      <c r="B111" s="3401" t="s">
        <v>581</v>
      </c>
      <c r="C111" s="3424" t="s">
        <v>1192</v>
      </c>
      <c r="D111" s="247"/>
      <c r="E111" s="3470"/>
      <c r="F111" s="3405">
        <v>42773</v>
      </c>
      <c r="G111" s="4436"/>
    </row>
    <row r="112" spans="1:7" ht="15" x14ac:dyDescent="0.2">
      <c r="A112" s="5363"/>
      <c r="B112" s="3401" t="s">
        <v>465</v>
      </c>
      <c r="C112" s="3424" t="s">
        <v>1161</v>
      </c>
      <c r="D112" s="247"/>
      <c r="E112" s="3469"/>
      <c r="F112" s="3470">
        <v>42578</v>
      </c>
      <c r="G112" s="3405"/>
    </row>
    <row r="113" spans="1:7" ht="15" x14ac:dyDescent="0.2">
      <c r="A113" s="5364"/>
      <c r="B113" s="3425" t="s">
        <v>492</v>
      </c>
      <c r="C113" s="3426" t="s">
        <v>1161</v>
      </c>
      <c r="D113" s="248"/>
      <c r="E113" s="3475"/>
      <c r="F113" s="4421">
        <v>42620</v>
      </c>
      <c r="G113" s="3429"/>
    </row>
    <row r="114" spans="1:7" ht="15" customHeight="1" x14ac:dyDescent="0.2">
      <c r="A114" s="5362" t="s">
        <v>1194</v>
      </c>
      <c r="B114" s="3395" t="s">
        <v>484</v>
      </c>
      <c r="C114" s="3494" t="s">
        <v>1204</v>
      </c>
      <c r="D114" s="246"/>
      <c r="E114" s="3495"/>
      <c r="F114" s="3477">
        <v>43591</v>
      </c>
      <c r="G114" s="3400"/>
    </row>
    <row r="115" spans="1:7" ht="15" x14ac:dyDescent="0.2">
      <c r="A115" s="5363"/>
      <c r="B115" s="3401" t="s">
        <v>493</v>
      </c>
      <c r="C115" s="3424"/>
      <c r="D115" s="247"/>
      <c r="E115" s="3469"/>
      <c r="F115" s="3470"/>
      <c r="G115" s="3405"/>
    </row>
    <row r="116" spans="1:7" ht="15" x14ac:dyDescent="0.2">
      <c r="A116" s="5363"/>
      <c r="B116" s="3401" t="s">
        <v>1205</v>
      </c>
      <c r="C116" s="4437" t="s">
        <v>1206</v>
      </c>
      <c r="D116" s="4438"/>
      <c r="E116" s="4439"/>
      <c r="F116" s="4440">
        <v>41981</v>
      </c>
      <c r="G116" s="4436" t="s">
        <v>1415</v>
      </c>
    </row>
    <row r="117" spans="1:7" ht="15" x14ac:dyDescent="0.2">
      <c r="A117" s="5363"/>
      <c r="B117" s="3401" t="s">
        <v>1207</v>
      </c>
      <c r="C117" s="3424" t="s">
        <v>1159</v>
      </c>
      <c r="D117" s="247">
        <v>2</v>
      </c>
      <c r="E117" s="3469">
        <v>37571</v>
      </c>
      <c r="F117" s="3470"/>
      <c r="G117" s="3405"/>
    </row>
    <row r="118" spans="1:7" ht="15" x14ac:dyDescent="0.2">
      <c r="A118" s="5363"/>
      <c r="B118" s="3401" t="s">
        <v>496</v>
      </c>
      <c r="C118" s="3424" t="s">
        <v>1159</v>
      </c>
      <c r="D118" s="247">
        <v>3</v>
      </c>
      <c r="E118" s="3469">
        <v>37239</v>
      </c>
      <c r="F118" s="3470"/>
      <c r="G118" s="3405"/>
    </row>
    <row r="119" spans="1:7" ht="15" x14ac:dyDescent="0.2">
      <c r="A119" s="5363"/>
      <c r="B119" s="3401" t="s">
        <v>497</v>
      </c>
      <c r="C119" s="3424" t="s">
        <v>1208</v>
      </c>
      <c r="D119" s="247"/>
      <c r="E119" s="3469"/>
      <c r="F119" s="3470">
        <v>42603</v>
      </c>
      <c r="G119" s="3405"/>
    </row>
    <row r="120" spans="1:7" ht="15" x14ac:dyDescent="0.2">
      <c r="A120" s="5363"/>
      <c r="B120" s="3401" t="s">
        <v>1209</v>
      </c>
      <c r="C120" s="3424" t="s">
        <v>1210</v>
      </c>
      <c r="D120" s="247"/>
      <c r="E120" s="3469"/>
      <c r="F120" s="3470">
        <v>42085</v>
      </c>
      <c r="G120" s="4441"/>
    </row>
    <row r="121" spans="1:7" ht="15" x14ac:dyDescent="0.2">
      <c r="A121" s="5364"/>
      <c r="B121" s="3425" t="s">
        <v>499</v>
      </c>
      <c r="C121" s="3426" t="s">
        <v>1211</v>
      </c>
      <c r="D121" s="248"/>
      <c r="E121" s="3475"/>
      <c r="F121" s="3476">
        <v>42277</v>
      </c>
      <c r="G121" s="3429"/>
    </row>
    <row r="122" spans="1:7" ht="15" customHeight="1" x14ac:dyDescent="0.2">
      <c r="A122" s="5362" t="s">
        <v>1162</v>
      </c>
      <c r="B122" s="3395" t="s">
        <v>466</v>
      </c>
      <c r="C122" s="3494" t="s">
        <v>1163</v>
      </c>
      <c r="D122" s="246"/>
      <c r="E122" s="3495"/>
      <c r="F122" s="3477">
        <v>43646</v>
      </c>
      <c r="G122" s="4436"/>
    </row>
    <row r="123" spans="1:7" ht="15" x14ac:dyDescent="0.2">
      <c r="A123" s="5363"/>
      <c r="B123" s="3401" t="s">
        <v>467</v>
      </c>
      <c r="C123" s="3424" t="s">
        <v>1159</v>
      </c>
      <c r="D123" s="247">
        <v>1</v>
      </c>
      <c r="E123" s="3469">
        <v>38428</v>
      </c>
      <c r="F123" s="3470"/>
      <c r="G123" s="3405"/>
    </row>
    <row r="124" spans="1:7" ht="15" x14ac:dyDescent="0.2">
      <c r="A124" s="5363"/>
      <c r="B124" s="3401" t="s">
        <v>468</v>
      </c>
      <c r="C124" s="3424" t="s">
        <v>1159</v>
      </c>
      <c r="D124" s="247">
        <v>2</v>
      </c>
      <c r="E124" s="3469">
        <v>37769</v>
      </c>
      <c r="F124" s="3470"/>
      <c r="G124" s="3405"/>
    </row>
    <row r="125" spans="1:7" ht="15" x14ac:dyDescent="0.2">
      <c r="A125" s="5364"/>
      <c r="B125" s="3436" t="s">
        <v>1212</v>
      </c>
      <c r="C125" s="3437" t="s">
        <v>1159</v>
      </c>
      <c r="D125" s="249">
        <v>1</v>
      </c>
      <c r="E125" s="3496">
        <v>40919</v>
      </c>
      <c r="F125" s="3497"/>
      <c r="G125" s="3498"/>
    </row>
    <row r="126" spans="1:7" ht="12.75" customHeight="1" x14ac:dyDescent="0.2">
      <c r="A126" s="3439" t="s">
        <v>1198</v>
      </c>
      <c r="B126" s="4424"/>
      <c r="C126" s="4424"/>
      <c r="D126" s="4424"/>
      <c r="E126" s="4424"/>
      <c r="F126" s="5352" t="s">
        <v>1196</v>
      </c>
      <c r="G126" s="5352"/>
    </row>
    <row r="127" spans="1:7" x14ac:dyDescent="0.2">
      <c r="A127" s="3439" t="s">
        <v>1170</v>
      </c>
      <c r="B127" s="375"/>
      <c r="C127" s="375"/>
      <c r="D127" s="375"/>
      <c r="E127" s="375"/>
      <c r="F127" s="5368"/>
      <c r="G127" s="5368"/>
    </row>
    <row r="128" spans="1:7" x14ac:dyDescent="0.2">
      <c r="A128" s="3439" t="s">
        <v>1213</v>
      </c>
      <c r="B128" s="375"/>
      <c r="C128" s="375"/>
      <c r="D128" s="375"/>
      <c r="E128" s="375"/>
      <c r="F128" s="5368"/>
      <c r="G128" s="5368"/>
    </row>
    <row r="129" spans="1:7" x14ac:dyDescent="0.2">
      <c r="A129" s="3439" t="s">
        <v>1199</v>
      </c>
      <c r="B129" s="375"/>
      <c r="C129" s="375"/>
      <c r="D129" s="375"/>
      <c r="E129" s="375"/>
      <c r="F129" s="5368"/>
      <c r="G129" s="5368"/>
    </row>
    <row r="130" spans="1:7" ht="15" customHeight="1" x14ac:dyDescent="0.2">
      <c r="A130" s="3439" t="s">
        <v>1214</v>
      </c>
      <c r="B130" s="375"/>
      <c r="C130" s="375"/>
      <c r="D130" s="375"/>
      <c r="E130" s="375"/>
      <c r="F130" s="375"/>
      <c r="G130" s="375"/>
    </row>
    <row r="131" spans="1:7" x14ac:dyDescent="0.2">
      <c r="A131" s="3439" t="s">
        <v>1215</v>
      </c>
      <c r="B131" s="375"/>
      <c r="C131" s="375"/>
      <c r="D131" s="375"/>
      <c r="E131" s="375"/>
      <c r="F131" s="375"/>
      <c r="G131" s="375"/>
    </row>
    <row r="132" spans="1:7" ht="12.75" customHeight="1" x14ac:dyDescent="0.2">
      <c r="A132" s="3439" t="s">
        <v>1216</v>
      </c>
      <c r="B132" s="375"/>
      <c r="C132" s="375"/>
      <c r="D132" s="375"/>
      <c r="E132" s="375"/>
      <c r="F132" s="375"/>
      <c r="G132" s="375"/>
    </row>
    <row r="133" spans="1:7" x14ac:dyDescent="0.2">
      <c r="A133" s="3439" t="s">
        <v>1168</v>
      </c>
      <c r="B133" s="375"/>
      <c r="C133" s="375"/>
      <c r="D133" s="375"/>
      <c r="E133" s="375"/>
      <c r="F133" s="375"/>
      <c r="G133" s="375"/>
    </row>
    <row r="134" spans="1:7" x14ac:dyDescent="0.2">
      <c r="A134" s="3439" t="s">
        <v>1217</v>
      </c>
      <c r="B134" s="375"/>
      <c r="C134" s="375"/>
      <c r="D134" s="375"/>
      <c r="E134" s="375"/>
      <c r="F134" s="375"/>
      <c r="G134" s="375"/>
    </row>
    <row r="135" spans="1:7" x14ac:dyDescent="0.2">
      <c r="A135" s="3439" t="s">
        <v>1218</v>
      </c>
      <c r="B135" s="375"/>
      <c r="C135" s="375"/>
      <c r="D135" s="375"/>
      <c r="E135" s="375"/>
      <c r="F135" s="375"/>
      <c r="G135" s="375"/>
    </row>
    <row r="136" spans="1:7" x14ac:dyDescent="0.2">
      <c r="A136" s="3439" t="s">
        <v>1219</v>
      </c>
      <c r="B136" s="375"/>
      <c r="C136" s="375"/>
      <c r="D136" s="375"/>
      <c r="E136" s="375"/>
      <c r="F136" s="375"/>
      <c r="G136" s="375"/>
    </row>
    <row r="137" spans="1:7" x14ac:dyDescent="0.2">
      <c r="A137" s="3439" t="s">
        <v>1220</v>
      </c>
      <c r="B137" s="375"/>
      <c r="C137" s="375"/>
      <c r="D137" s="375"/>
      <c r="E137" s="375"/>
      <c r="F137" s="375"/>
      <c r="G137" s="375"/>
    </row>
  </sheetData>
  <mergeCells count="38">
    <mergeCell ref="F126:G129"/>
    <mergeCell ref="A2:G2"/>
    <mergeCell ref="A98:A99"/>
    <mergeCell ref="F101:G101"/>
    <mergeCell ref="A105:A106"/>
    <mergeCell ref="B105:B106"/>
    <mergeCell ref="C105:G105"/>
    <mergeCell ref="A108:A113"/>
    <mergeCell ref="A58:A66"/>
    <mergeCell ref="A67:A77"/>
    <mergeCell ref="A78:A83"/>
    <mergeCell ref="F84:G87"/>
    <mergeCell ref="A94:A95"/>
    <mergeCell ref="B94:B95"/>
    <mergeCell ref="A55:A56"/>
    <mergeCell ref="B55:B56"/>
    <mergeCell ref="A114:A121"/>
    <mergeCell ref="A122:A125"/>
    <mergeCell ref="A34:A35"/>
    <mergeCell ref="B34:B35"/>
    <mergeCell ref="C34:G34"/>
    <mergeCell ref="A103:G103"/>
    <mergeCell ref="A4:A5"/>
    <mergeCell ref="B4:B5"/>
    <mergeCell ref="C4:G4"/>
    <mergeCell ref="A7:A16"/>
    <mergeCell ref="A17:A20"/>
    <mergeCell ref="A21:A23"/>
    <mergeCell ref="F24:G28"/>
    <mergeCell ref="C94:G94"/>
    <mergeCell ref="A37:A40"/>
    <mergeCell ref="A41:A43"/>
    <mergeCell ref="A44:A47"/>
    <mergeCell ref="F48:G51"/>
    <mergeCell ref="C55:G55"/>
    <mergeCell ref="A32:G32"/>
    <mergeCell ref="A53:G53"/>
    <mergeCell ref="A92:G92"/>
  </mergeCells>
  <printOptions horizontalCentered="1" verticalCentered="1"/>
  <pageMargins left="0.51181102362204722" right="0.51181102362204722" top="0.55118110236220474" bottom="0.55118110236220474" header="0.31496062992125984" footer="0.31496062992125984"/>
  <pageSetup scale="88" orientation="landscape" r:id="rId1"/>
  <rowBreaks count="4" manualBreakCount="4">
    <brk id="30" max="16383" man="1"/>
    <brk id="51" max="16383" man="1"/>
    <brk id="90" max="16383" man="1"/>
    <brk id="101" max="16383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2:K186"/>
  <sheetViews>
    <sheetView showGridLines="0" zoomScaleNormal="100" workbookViewId="0">
      <selection activeCell="M19" sqref="M19"/>
    </sheetView>
  </sheetViews>
  <sheetFormatPr baseColWidth="10" defaultRowHeight="12.75" x14ac:dyDescent="0.2"/>
  <cols>
    <col min="1" max="1" width="15.85546875" bestFit="1" customWidth="1"/>
    <col min="4" max="4" width="13.5703125" customWidth="1"/>
    <col min="5" max="5" width="15.5703125" customWidth="1"/>
    <col min="9" max="9" width="9" bestFit="1" customWidth="1"/>
    <col min="10" max="10" width="7.140625" bestFit="1" customWidth="1"/>
  </cols>
  <sheetData>
    <row r="2" spans="1:11" ht="15.75" customHeight="1" x14ac:dyDescent="0.25">
      <c r="A2" s="5382" t="s">
        <v>1134</v>
      </c>
      <c r="B2" s="5382"/>
      <c r="C2" s="5382"/>
      <c r="D2" s="5382"/>
      <c r="E2" s="5382"/>
      <c r="F2" s="5382"/>
      <c r="G2" s="5382"/>
      <c r="H2" s="5382"/>
      <c r="I2" s="5382"/>
      <c r="J2" s="5382"/>
    </row>
    <row r="3" spans="1:11" ht="15.75" customHeight="1" x14ac:dyDescent="0.25">
      <c r="A3" s="4411"/>
      <c r="B3" s="4411"/>
      <c r="C3" s="4411"/>
      <c r="D3" s="4411"/>
      <c r="E3" s="4411"/>
      <c r="F3" s="4411"/>
      <c r="G3" s="4411"/>
      <c r="H3" s="4411"/>
      <c r="I3" s="4411"/>
      <c r="J3" s="4411"/>
    </row>
    <row r="4" spans="1:11" ht="15.75" customHeight="1" x14ac:dyDescent="0.25">
      <c r="A4" s="5384" t="s">
        <v>51</v>
      </c>
      <c r="B4" s="5384" t="s">
        <v>702</v>
      </c>
      <c r="C4" s="5385" t="s">
        <v>1416</v>
      </c>
      <c r="D4" s="5385" t="s">
        <v>1126</v>
      </c>
      <c r="E4" s="5386" t="s">
        <v>1418</v>
      </c>
      <c r="F4" s="5387"/>
      <c r="G4" s="5387"/>
      <c r="H4" s="5388"/>
      <c r="I4" s="4448"/>
      <c r="J4" s="4449"/>
      <c r="K4" s="3313"/>
    </row>
    <row r="5" spans="1:11" ht="15.75" customHeight="1" x14ac:dyDescent="0.2">
      <c r="A5" s="5384"/>
      <c r="B5" s="5384"/>
      <c r="C5" s="5385"/>
      <c r="D5" s="5385"/>
      <c r="E5" s="4442" t="s">
        <v>1417</v>
      </c>
      <c r="F5" s="4443" t="s">
        <v>1128</v>
      </c>
      <c r="G5" s="4444" t="s">
        <v>160</v>
      </c>
      <c r="H5" s="4443" t="s">
        <v>1129</v>
      </c>
      <c r="I5" s="5389" t="s">
        <v>1130</v>
      </c>
      <c r="J5" s="5390"/>
    </row>
    <row r="6" spans="1:11" ht="15.75" customHeight="1" x14ac:dyDescent="0.2">
      <c r="A6" s="4450"/>
      <c r="B6" s="4450"/>
      <c r="C6" s="4450"/>
      <c r="D6" s="4450"/>
      <c r="E6" s="4450"/>
      <c r="F6" s="4450"/>
      <c r="G6" s="4450"/>
      <c r="H6" s="4450"/>
      <c r="I6" s="4450"/>
      <c r="J6" s="4451"/>
    </row>
    <row r="7" spans="1:11" ht="15.75" customHeight="1" x14ac:dyDescent="0.2">
      <c r="A7" s="5391" t="s">
        <v>161</v>
      </c>
      <c r="B7" s="4452" t="s">
        <v>5</v>
      </c>
      <c r="C7" s="3503">
        <v>10</v>
      </c>
      <c r="D7" s="3504">
        <v>10</v>
      </c>
      <c r="E7" s="4452"/>
      <c r="F7" s="3503">
        <v>10</v>
      </c>
      <c r="G7" s="3504">
        <f>SUM(E7:F7)</f>
        <v>10</v>
      </c>
      <c r="H7" s="4453">
        <f>G7/D7</f>
        <v>1</v>
      </c>
      <c r="I7" s="4452">
        <f>D7-G7</f>
        <v>0</v>
      </c>
      <c r="J7" s="4454">
        <f>1-H7</f>
        <v>0</v>
      </c>
    </row>
    <row r="8" spans="1:11" ht="15.75" customHeight="1" x14ac:dyDescent="0.2">
      <c r="A8" s="5392"/>
      <c r="B8" s="4455" t="s">
        <v>6</v>
      </c>
      <c r="C8" s="4456">
        <v>4</v>
      </c>
      <c r="D8" s="4457">
        <v>4</v>
      </c>
      <c r="E8" s="4455"/>
      <c r="F8" s="4456">
        <v>3</v>
      </c>
      <c r="G8" s="4457">
        <f>SUM(E8:F8)</f>
        <v>3</v>
      </c>
      <c r="H8" s="4458">
        <f t="shared" ref="H8:H10" si="0">G8/D8</f>
        <v>0.75</v>
      </c>
      <c r="I8" s="4455">
        <f t="shared" ref="I8:I32" si="1">D8-G8</f>
        <v>1</v>
      </c>
      <c r="J8" s="4459">
        <f>1-H8</f>
        <v>0.25</v>
      </c>
    </row>
    <row r="9" spans="1:11" ht="15.75" customHeight="1" x14ac:dyDescent="0.2">
      <c r="A9" s="5392"/>
      <c r="B9" s="4460" t="s">
        <v>7</v>
      </c>
      <c r="C9" s="4461">
        <v>3</v>
      </c>
      <c r="D9" s="4462">
        <v>3</v>
      </c>
      <c r="E9" s="4460"/>
      <c r="F9" s="4461">
        <v>3</v>
      </c>
      <c r="G9" s="4462">
        <f>SUM(E9:F9)</f>
        <v>3</v>
      </c>
      <c r="H9" s="4463">
        <f t="shared" si="0"/>
        <v>1</v>
      </c>
      <c r="I9" s="4460">
        <f t="shared" si="1"/>
        <v>0</v>
      </c>
      <c r="J9" s="4464">
        <f>1-H9</f>
        <v>0</v>
      </c>
    </row>
    <row r="10" spans="1:11" ht="15.75" customHeight="1" x14ac:dyDescent="0.2">
      <c r="A10" s="5393"/>
      <c r="B10" s="4465" t="s">
        <v>12</v>
      </c>
      <c r="C10" s="4466">
        <f>SUM(C7:C9)</f>
        <v>17</v>
      </c>
      <c r="D10" s="4467">
        <f>SUM(D7:D9)</f>
        <v>17</v>
      </c>
      <c r="E10" s="4465">
        <f>SUM(E7:E9)</f>
        <v>0</v>
      </c>
      <c r="F10" s="4466">
        <f>SUM(F7:F9)</f>
        <v>16</v>
      </c>
      <c r="G10" s="4467">
        <f>SUM(E10:F10)</f>
        <v>16</v>
      </c>
      <c r="H10" s="4468">
        <f t="shared" si="0"/>
        <v>0.94117647058823528</v>
      </c>
      <c r="I10" s="4465">
        <f t="shared" si="1"/>
        <v>1</v>
      </c>
      <c r="J10" s="4469">
        <f>1-H10</f>
        <v>5.8823529411764719E-2</v>
      </c>
    </row>
    <row r="11" spans="1:11" ht="15.75" customHeight="1" x14ac:dyDescent="0.2">
      <c r="A11" s="4445"/>
      <c r="B11" s="4470"/>
      <c r="C11" s="4470"/>
      <c r="D11" s="4470"/>
      <c r="E11" s="4470"/>
      <c r="F11" s="4470"/>
      <c r="G11" s="4471"/>
      <c r="H11" s="4471"/>
      <c r="I11" s="4471"/>
      <c r="J11" s="4471"/>
    </row>
    <row r="12" spans="1:11" ht="15.75" customHeight="1" x14ac:dyDescent="0.2">
      <c r="A12" s="5394" t="s">
        <v>410</v>
      </c>
      <c r="B12" s="4452" t="s">
        <v>6</v>
      </c>
      <c r="C12" s="3503">
        <v>4</v>
      </c>
      <c r="D12" s="3504">
        <v>3</v>
      </c>
      <c r="E12" s="4452"/>
      <c r="F12" s="3503"/>
      <c r="G12" s="3504">
        <f>SUM(E12:F12)</f>
        <v>0</v>
      </c>
      <c r="H12" s="4453">
        <f>G12/D12</f>
        <v>0</v>
      </c>
      <c r="I12" s="4452">
        <f t="shared" si="1"/>
        <v>3</v>
      </c>
      <c r="J12" s="4454">
        <f>1-H12</f>
        <v>1</v>
      </c>
    </row>
    <row r="13" spans="1:11" ht="15.75" customHeight="1" x14ac:dyDescent="0.2">
      <c r="A13" s="5395"/>
      <c r="B13" s="4455" t="s">
        <v>9</v>
      </c>
      <c r="C13" s="4456">
        <v>3</v>
      </c>
      <c r="D13" s="4457">
        <v>3</v>
      </c>
      <c r="E13" s="4455"/>
      <c r="F13" s="4456"/>
      <c r="G13" s="4457">
        <f>SUM(E13:F13)</f>
        <v>0</v>
      </c>
      <c r="H13" s="4458">
        <f>G13/D13</f>
        <v>0</v>
      </c>
      <c r="I13" s="4455">
        <f t="shared" si="1"/>
        <v>3</v>
      </c>
      <c r="J13" s="4459">
        <f>1-H13</f>
        <v>1</v>
      </c>
    </row>
    <row r="14" spans="1:11" ht="15.75" customHeight="1" x14ac:dyDescent="0.2">
      <c r="A14" s="5395"/>
      <c r="B14" s="4460" t="s">
        <v>74</v>
      </c>
      <c r="C14" s="4461">
        <v>4</v>
      </c>
      <c r="D14" s="4462">
        <v>3</v>
      </c>
      <c r="E14" s="4460"/>
      <c r="F14" s="4461"/>
      <c r="G14" s="4462">
        <f>SUM(E14:F14)</f>
        <v>0</v>
      </c>
      <c r="H14" s="4463">
        <f>G14/D14</f>
        <v>0</v>
      </c>
      <c r="I14" s="4460">
        <f t="shared" si="1"/>
        <v>3</v>
      </c>
      <c r="J14" s="4464">
        <f>1-H14</f>
        <v>1</v>
      </c>
    </row>
    <row r="15" spans="1:11" ht="15.75" customHeight="1" x14ac:dyDescent="0.2">
      <c r="A15" s="5396"/>
      <c r="B15" s="4465" t="s">
        <v>12</v>
      </c>
      <c r="C15" s="4466">
        <f>SUM(C12:C14)</f>
        <v>11</v>
      </c>
      <c r="D15" s="4467">
        <f>SUM(D12:D14)</f>
        <v>9</v>
      </c>
      <c r="E15" s="4465">
        <f>SUM(E12:E14)</f>
        <v>0</v>
      </c>
      <c r="F15" s="4466">
        <f>SUM(F12:F14)</f>
        <v>0</v>
      </c>
      <c r="G15" s="4467">
        <f>SUM(E15:F15)</f>
        <v>0</v>
      </c>
      <c r="H15" s="4468">
        <f>G15/D15</f>
        <v>0</v>
      </c>
      <c r="I15" s="4465">
        <f t="shared" si="1"/>
        <v>9</v>
      </c>
      <c r="J15" s="4469">
        <f>1-H15</f>
        <v>1</v>
      </c>
    </row>
    <row r="16" spans="1:11" ht="15.75" customHeight="1" x14ac:dyDescent="0.2">
      <c r="A16" s="4446"/>
      <c r="B16" s="4472"/>
      <c r="C16" s="4472"/>
      <c r="D16" s="4472"/>
      <c r="E16" s="4473"/>
      <c r="F16" s="4474"/>
      <c r="G16" s="4474"/>
      <c r="H16" s="4474"/>
      <c r="I16" s="4474"/>
      <c r="J16" s="4475"/>
    </row>
    <row r="17" spans="1:10" ht="15.75" customHeight="1" x14ac:dyDescent="0.2">
      <c r="A17" s="5397" t="s">
        <v>162</v>
      </c>
      <c r="B17" s="4452" t="s">
        <v>5</v>
      </c>
      <c r="C17" s="3503">
        <v>9</v>
      </c>
      <c r="D17" s="3504">
        <v>9</v>
      </c>
      <c r="E17" s="4452">
        <v>4</v>
      </c>
      <c r="F17" s="3503">
        <v>2</v>
      </c>
      <c r="G17" s="3504">
        <f>SUM(E17:F17)</f>
        <v>6</v>
      </c>
      <c r="H17" s="4453">
        <f>G17/D17</f>
        <v>0.66666666666666663</v>
      </c>
      <c r="I17" s="4452">
        <f t="shared" si="1"/>
        <v>3</v>
      </c>
      <c r="J17" s="4454">
        <f>1-H17</f>
        <v>0.33333333333333337</v>
      </c>
    </row>
    <row r="18" spans="1:10" ht="15.75" customHeight="1" x14ac:dyDescent="0.2">
      <c r="A18" s="5398"/>
      <c r="B18" s="4455" t="s">
        <v>6</v>
      </c>
      <c r="C18" s="4456">
        <v>11</v>
      </c>
      <c r="D18" s="4457">
        <v>11</v>
      </c>
      <c r="E18" s="4455">
        <v>8</v>
      </c>
      <c r="F18" s="4456">
        <v>1</v>
      </c>
      <c r="G18" s="4457">
        <f t="shared" ref="G18:G20" si="2">SUM(E18:F18)</f>
        <v>9</v>
      </c>
      <c r="H18" s="4458">
        <f t="shared" ref="H18:H20" si="3">G18/D18</f>
        <v>0.81818181818181823</v>
      </c>
      <c r="I18" s="4455">
        <f t="shared" si="1"/>
        <v>2</v>
      </c>
      <c r="J18" s="4459">
        <f>1-H18</f>
        <v>0.18181818181818177</v>
      </c>
    </row>
    <row r="19" spans="1:10" ht="15.75" customHeight="1" x14ac:dyDescent="0.2">
      <c r="A19" s="5398"/>
      <c r="B19" s="4460" t="s">
        <v>11</v>
      </c>
      <c r="C19" s="4461">
        <v>6</v>
      </c>
      <c r="D19" s="4462">
        <v>6</v>
      </c>
      <c r="E19" s="4460">
        <v>3</v>
      </c>
      <c r="F19" s="4461">
        <v>2</v>
      </c>
      <c r="G19" s="4462">
        <f t="shared" si="2"/>
        <v>5</v>
      </c>
      <c r="H19" s="4463">
        <f t="shared" si="3"/>
        <v>0.83333333333333337</v>
      </c>
      <c r="I19" s="4460">
        <f t="shared" si="1"/>
        <v>1</v>
      </c>
      <c r="J19" s="4464">
        <f>1-H19</f>
        <v>0.16666666666666663</v>
      </c>
    </row>
    <row r="20" spans="1:10" ht="15.75" customHeight="1" x14ac:dyDescent="0.2">
      <c r="A20" s="5399"/>
      <c r="B20" s="4465" t="s">
        <v>12</v>
      </c>
      <c r="C20" s="4466">
        <f>SUM(C17:C19)</f>
        <v>26</v>
      </c>
      <c r="D20" s="4467">
        <f>SUM(D17:D19)</f>
        <v>26</v>
      </c>
      <c r="E20" s="4465">
        <f>SUM(E17:E19)</f>
        <v>15</v>
      </c>
      <c r="F20" s="4466">
        <f>SUM(F17:F19)</f>
        <v>5</v>
      </c>
      <c r="G20" s="4467">
        <f t="shared" si="2"/>
        <v>20</v>
      </c>
      <c r="H20" s="4468">
        <f t="shared" si="3"/>
        <v>0.76923076923076927</v>
      </c>
      <c r="I20" s="4465">
        <f t="shared" si="1"/>
        <v>6</v>
      </c>
      <c r="J20" s="4469">
        <f>1-H20</f>
        <v>0.23076923076923073</v>
      </c>
    </row>
    <row r="21" spans="1:10" ht="15.75" customHeight="1" x14ac:dyDescent="0.2">
      <c r="A21" s="4447"/>
      <c r="B21" s="4476"/>
      <c r="C21" s="4472"/>
      <c r="D21" s="4472"/>
      <c r="E21" s="4473"/>
      <c r="F21" s="4474"/>
      <c r="G21" s="4474"/>
      <c r="H21" s="4474"/>
      <c r="I21" s="4474"/>
      <c r="J21" s="4475"/>
    </row>
    <row r="22" spans="1:10" ht="15.75" customHeight="1" x14ac:dyDescent="0.2">
      <c r="A22" s="5375" t="s">
        <v>411</v>
      </c>
      <c r="B22" s="4452" t="s">
        <v>5</v>
      </c>
      <c r="C22" s="3503">
        <v>1</v>
      </c>
      <c r="D22" s="3504"/>
      <c r="E22" s="4452"/>
      <c r="F22" s="3503"/>
      <c r="G22" s="3504">
        <f>SUM(E22:F22)</f>
        <v>0</v>
      </c>
      <c r="H22" s="4453"/>
      <c r="I22" s="4452">
        <f t="shared" si="1"/>
        <v>0</v>
      </c>
      <c r="J22" s="4454"/>
    </row>
    <row r="23" spans="1:10" ht="15.75" customHeight="1" x14ac:dyDescent="0.2">
      <c r="A23" s="5376"/>
      <c r="B23" s="4455" t="s">
        <v>6</v>
      </c>
      <c r="C23" s="4456">
        <v>2</v>
      </c>
      <c r="D23" s="4457"/>
      <c r="E23" s="4455"/>
      <c r="F23" s="4456"/>
      <c r="G23" s="4457">
        <f>SUM(E23:F23)</f>
        <v>0</v>
      </c>
      <c r="H23" s="4458"/>
      <c r="I23" s="4455">
        <f t="shared" si="1"/>
        <v>0</v>
      </c>
      <c r="J23" s="4459"/>
    </row>
    <row r="24" spans="1:10" ht="15.75" customHeight="1" x14ac:dyDescent="0.2">
      <c r="A24" s="5376"/>
      <c r="B24" s="4460" t="s">
        <v>11</v>
      </c>
      <c r="C24" s="4461">
        <v>1</v>
      </c>
      <c r="D24" s="4462"/>
      <c r="E24" s="4460"/>
      <c r="F24" s="4461"/>
      <c r="G24" s="4462">
        <f>SUM(E24:F24)</f>
        <v>0</v>
      </c>
      <c r="H24" s="4463"/>
      <c r="I24" s="4460">
        <f t="shared" si="1"/>
        <v>0</v>
      </c>
      <c r="J24" s="4464"/>
    </row>
    <row r="25" spans="1:10" ht="15.75" customHeight="1" x14ac:dyDescent="0.2">
      <c r="A25" s="5377"/>
      <c r="B25" s="4465" t="s">
        <v>12</v>
      </c>
      <c r="C25" s="4466">
        <f>SUM(C22:C24)</f>
        <v>4</v>
      </c>
      <c r="D25" s="4467">
        <f>SUM(D22:D24)</f>
        <v>0</v>
      </c>
      <c r="E25" s="4465">
        <f>SUM(E22:E24)</f>
        <v>0</v>
      </c>
      <c r="F25" s="4466">
        <f>SUM(F22:F24)</f>
        <v>0</v>
      </c>
      <c r="G25" s="4467">
        <f>SUM(E25:F25)</f>
        <v>0</v>
      </c>
      <c r="H25" s="4468"/>
      <c r="I25" s="4465">
        <f t="shared" si="1"/>
        <v>0</v>
      </c>
      <c r="J25" s="4469"/>
    </row>
    <row r="26" spans="1:10" ht="15.75" customHeight="1" x14ac:dyDescent="0.2">
      <c r="A26" s="3376"/>
      <c r="B26" s="4449"/>
      <c r="C26" s="4449"/>
      <c r="D26" s="4449"/>
      <c r="E26" s="4474"/>
      <c r="F26" s="4474"/>
      <c r="G26" s="4474"/>
      <c r="H26" s="4474"/>
      <c r="I26" s="4474"/>
      <c r="J26" s="4475"/>
    </row>
    <row r="27" spans="1:10" ht="15.75" customHeight="1" x14ac:dyDescent="0.2">
      <c r="A27" s="5378" t="s">
        <v>163</v>
      </c>
      <c r="B27" s="4452" t="s">
        <v>6</v>
      </c>
      <c r="C27" s="3503">
        <v>6</v>
      </c>
      <c r="D27" s="3504">
        <v>6</v>
      </c>
      <c r="E27" s="4452"/>
      <c r="F27" s="3503">
        <v>5</v>
      </c>
      <c r="G27" s="3504">
        <f>SUM(E27:F27)</f>
        <v>5</v>
      </c>
      <c r="H27" s="4453">
        <f>G27/D27</f>
        <v>0.83333333333333337</v>
      </c>
      <c r="I27" s="4452">
        <f t="shared" si="1"/>
        <v>1</v>
      </c>
      <c r="J27" s="4454">
        <f>1-H27</f>
        <v>0.16666666666666663</v>
      </c>
    </row>
    <row r="28" spans="1:10" ht="15.75" customHeight="1" x14ac:dyDescent="0.2">
      <c r="A28" s="5379"/>
      <c r="B28" s="4455" t="s">
        <v>11</v>
      </c>
      <c r="C28" s="4456">
        <v>8</v>
      </c>
      <c r="D28" s="4457">
        <v>8</v>
      </c>
      <c r="E28" s="4455"/>
      <c r="F28" s="4456">
        <v>4</v>
      </c>
      <c r="G28" s="4457">
        <f>SUM(E28:F28)</f>
        <v>4</v>
      </c>
      <c r="H28" s="4458">
        <f t="shared" ref="H28:H30" si="4">G28/D28</f>
        <v>0.5</v>
      </c>
      <c r="I28" s="4455">
        <f t="shared" si="1"/>
        <v>4</v>
      </c>
      <c r="J28" s="4459">
        <f>1-H28</f>
        <v>0.5</v>
      </c>
    </row>
    <row r="29" spans="1:10" ht="15.75" customHeight="1" x14ac:dyDescent="0.2">
      <c r="A29" s="5379"/>
      <c r="B29" s="4460" t="s">
        <v>7</v>
      </c>
      <c r="C29" s="4461">
        <v>4</v>
      </c>
      <c r="D29" s="4462">
        <v>4</v>
      </c>
      <c r="E29" s="4460">
        <v>2</v>
      </c>
      <c r="F29" s="4461">
        <v>1</v>
      </c>
      <c r="G29" s="4462">
        <f>SUM(E29:F29)</f>
        <v>3</v>
      </c>
      <c r="H29" s="4463">
        <f t="shared" si="4"/>
        <v>0.75</v>
      </c>
      <c r="I29" s="4460">
        <f t="shared" si="1"/>
        <v>1</v>
      </c>
      <c r="J29" s="4464">
        <f>1-H29</f>
        <v>0.25</v>
      </c>
    </row>
    <row r="30" spans="1:10" ht="15.75" customHeight="1" x14ac:dyDescent="0.2">
      <c r="A30" s="5380"/>
      <c r="B30" s="4465" t="s">
        <v>12</v>
      </c>
      <c r="C30" s="4466">
        <f>SUM(C27:C29)</f>
        <v>18</v>
      </c>
      <c r="D30" s="4467">
        <f>SUM(D27:D29)</f>
        <v>18</v>
      </c>
      <c r="E30" s="4465">
        <f>SUM(E27:E29)</f>
        <v>2</v>
      </c>
      <c r="F30" s="4466">
        <f>SUM(F27:F29)</f>
        <v>10</v>
      </c>
      <c r="G30" s="4467">
        <f>SUM(E30:F30)</f>
        <v>12</v>
      </c>
      <c r="H30" s="4468">
        <f t="shared" si="4"/>
        <v>0.66666666666666663</v>
      </c>
      <c r="I30" s="4465">
        <f t="shared" si="1"/>
        <v>6</v>
      </c>
      <c r="J30" s="4469">
        <f>1-H30</f>
        <v>0.33333333333333337</v>
      </c>
    </row>
    <row r="31" spans="1:10" ht="15.75" customHeight="1" x14ac:dyDescent="0.2">
      <c r="A31" s="4449"/>
      <c r="B31" s="4449"/>
      <c r="C31" s="4449"/>
      <c r="D31" s="4449"/>
      <c r="E31" s="4474"/>
      <c r="F31" s="4474"/>
      <c r="G31" s="4474"/>
      <c r="H31" s="4474"/>
      <c r="I31" s="4474"/>
      <c r="J31" s="4475"/>
    </row>
    <row r="32" spans="1:10" ht="15.75" customHeight="1" x14ac:dyDescent="0.2">
      <c r="A32" s="5381" t="s">
        <v>60</v>
      </c>
      <c r="B32" s="5381"/>
      <c r="C32" s="4477">
        <f>SUM(C10,C20,C30,C15,C25)</f>
        <v>76</v>
      </c>
      <c r="D32" s="4466">
        <f>SUM(D10,D20,D30,D15,D25)</f>
        <v>70</v>
      </c>
      <c r="E32" s="4465">
        <f>SUM(E10,E20,E30,E15,E25)</f>
        <v>17</v>
      </c>
      <c r="F32" s="4466">
        <f>SUM(F10,F20,F30,F15,F25)</f>
        <v>31</v>
      </c>
      <c r="G32" s="4467">
        <f>SUM(G10,G20,G30,G15,G25)</f>
        <v>48</v>
      </c>
      <c r="H32" s="4478">
        <f t="shared" ref="H32" si="5">G32/D32</f>
        <v>0.68571428571428572</v>
      </c>
      <c r="I32" s="4465">
        <f t="shared" si="1"/>
        <v>22</v>
      </c>
      <c r="J32" s="4469">
        <f>1-H32</f>
        <v>0.31428571428571428</v>
      </c>
    </row>
    <row r="33" spans="1:10" ht="15.75" customHeight="1" x14ac:dyDescent="0.25">
      <c r="A33" s="4411"/>
      <c r="B33" s="4411"/>
      <c r="C33" s="4411"/>
      <c r="D33" s="4411"/>
      <c r="E33" s="4411"/>
      <c r="F33" s="4411"/>
      <c r="G33" s="4411"/>
      <c r="H33" s="4411"/>
      <c r="I33" s="4411"/>
      <c r="J33" s="4411"/>
    </row>
    <row r="34" spans="1:10" ht="15" x14ac:dyDescent="0.25">
      <c r="A34" s="5383"/>
      <c r="B34" s="5383"/>
      <c r="C34" s="5383"/>
      <c r="D34" s="5383"/>
      <c r="E34" s="5383"/>
      <c r="F34" s="5383"/>
      <c r="G34" s="5383"/>
      <c r="H34" s="5383"/>
      <c r="I34" s="3534"/>
      <c r="J34" s="3313"/>
    </row>
    <row r="35" spans="1:10" ht="15" x14ac:dyDescent="0.25">
      <c r="A35" s="5419" t="s">
        <v>51</v>
      </c>
      <c r="B35" s="5419" t="s">
        <v>702</v>
      </c>
      <c r="C35" s="5400" t="s">
        <v>1131</v>
      </c>
      <c r="D35" s="5400" t="s">
        <v>1126</v>
      </c>
      <c r="E35" s="5372" t="s">
        <v>1132</v>
      </c>
      <c r="F35" s="5373"/>
      <c r="G35" s="5373"/>
      <c r="H35" s="5374"/>
      <c r="I35" s="3349"/>
      <c r="J35" s="3344"/>
    </row>
    <row r="36" spans="1:10" ht="30" x14ac:dyDescent="0.2">
      <c r="A36" s="5419"/>
      <c r="B36" s="5419"/>
      <c r="C36" s="5400"/>
      <c r="D36" s="5400"/>
      <c r="E36" s="3533" t="s">
        <v>1127</v>
      </c>
      <c r="F36" s="3533" t="s">
        <v>1128</v>
      </c>
      <c r="G36" s="3350" t="s">
        <v>160</v>
      </c>
      <c r="H36" s="3533" t="s">
        <v>1129</v>
      </c>
      <c r="I36" s="5401" t="s">
        <v>1130</v>
      </c>
      <c r="J36" s="5402"/>
    </row>
    <row r="37" spans="1:10" ht="15" x14ac:dyDescent="0.25">
      <c r="A37" s="3351"/>
      <c r="B37" s="3351"/>
      <c r="C37" s="3351"/>
      <c r="D37" s="3351"/>
      <c r="E37" s="3351"/>
      <c r="F37" s="3351"/>
      <c r="G37" s="3351"/>
      <c r="H37" s="3351"/>
      <c r="I37" s="3351"/>
      <c r="J37" s="3351"/>
    </row>
    <row r="38" spans="1:10" ht="15" customHeight="1" x14ac:dyDescent="0.25">
      <c r="A38" s="5403" t="s">
        <v>3</v>
      </c>
      <c r="B38" s="3352" t="s">
        <v>5</v>
      </c>
      <c r="C38" s="3353">
        <v>10</v>
      </c>
      <c r="D38" s="3354">
        <v>10</v>
      </c>
      <c r="E38" s="3352"/>
      <c r="F38" s="3354">
        <v>10</v>
      </c>
      <c r="G38" s="3354">
        <f>SUM(E38:F38)</f>
        <v>10</v>
      </c>
      <c r="H38" s="3355">
        <f>G38/D38</f>
        <v>1</v>
      </c>
      <c r="I38" s="3352">
        <f>D38-G38</f>
        <v>0</v>
      </c>
      <c r="J38" s="3355">
        <f>1-H38</f>
        <v>0</v>
      </c>
    </row>
    <row r="39" spans="1:10" ht="15" customHeight="1" x14ac:dyDescent="0.25">
      <c r="A39" s="5404"/>
      <c r="B39" s="3356" t="s">
        <v>6</v>
      </c>
      <c r="C39" s="3357">
        <v>4</v>
      </c>
      <c r="D39" s="3358">
        <v>4</v>
      </c>
      <c r="E39" s="3356"/>
      <c r="F39" s="3358">
        <v>3</v>
      </c>
      <c r="G39" s="3358">
        <f>SUM(E39:F39)</f>
        <v>3</v>
      </c>
      <c r="H39" s="3359">
        <f t="shared" ref="H39:H41" si="6">G39/D39</f>
        <v>0.75</v>
      </c>
      <c r="I39" s="3356">
        <f t="shared" ref="I39:I63" si="7">D39-G39</f>
        <v>1</v>
      </c>
      <c r="J39" s="3359">
        <f>1-H39</f>
        <v>0.25</v>
      </c>
    </row>
    <row r="40" spans="1:10" ht="15" x14ac:dyDescent="0.25">
      <c r="A40" s="5404"/>
      <c r="B40" s="3360" t="s">
        <v>7</v>
      </c>
      <c r="C40" s="3361">
        <v>3</v>
      </c>
      <c r="D40" s="3362">
        <v>3</v>
      </c>
      <c r="E40" s="3360"/>
      <c r="F40" s="3362">
        <v>3</v>
      </c>
      <c r="G40" s="3362">
        <f>SUM(E40:F40)</f>
        <v>3</v>
      </c>
      <c r="H40" s="3363">
        <f t="shared" si="6"/>
        <v>1</v>
      </c>
      <c r="I40" s="3360">
        <f t="shared" si="7"/>
        <v>0</v>
      </c>
      <c r="J40" s="3363">
        <f>1-H40</f>
        <v>0</v>
      </c>
    </row>
    <row r="41" spans="1:10" ht="15" x14ac:dyDescent="0.25">
      <c r="A41" s="5405"/>
      <c r="B41" s="3364" t="s">
        <v>12</v>
      </c>
      <c r="C41" s="3365">
        <f>SUM(C38:C40)</f>
        <v>17</v>
      </c>
      <c r="D41" s="3366">
        <f>SUM(D38:D40)</f>
        <v>17</v>
      </c>
      <c r="E41" s="3364">
        <f>SUM(E38:E40)</f>
        <v>0</v>
      </c>
      <c r="F41" s="3366">
        <f>SUM(F38:F40)</f>
        <v>16</v>
      </c>
      <c r="G41" s="3366">
        <f>SUM(E41:F41)</f>
        <v>16</v>
      </c>
      <c r="H41" s="3367">
        <f t="shared" si="6"/>
        <v>0.94117647058823528</v>
      </c>
      <c r="I41" s="3364">
        <f t="shared" si="7"/>
        <v>1</v>
      </c>
      <c r="J41" s="3367">
        <f>1-H41</f>
        <v>5.8823529411764719E-2</v>
      </c>
    </row>
    <row r="42" spans="1:10" ht="15" x14ac:dyDescent="0.25">
      <c r="A42" s="3345"/>
      <c r="B42" s="3345"/>
      <c r="C42" s="3345"/>
      <c r="D42" s="3345"/>
      <c r="E42" s="3345"/>
      <c r="F42" s="3345"/>
      <c r="G42" s="3346"/>
      <c r="H42" s="3346"/>
      <c r="I42" s="3346"/>
      <c r="J42" s="3346"/>
    </row>
    <row r="43" spans="1:10" ht="15" x14ac:dyDescent="0.25">
      <c r="A43" s="5406" t="s">
        <v>8</v>
      </c>
      <c r="B43" s="3352" t="s">
        <v>6</v>
      </c>
      <c r="C43" s="3353">
        <v>4</v>
      </c>
      <c r="D43" s="3354">
        <v>1</v>
      </c>
      <c r="E43" s="3352"/>
      <c r="F43" s="3354"/>
      <c r="G43" s="3354">
        <f>SUM(E43:F43)</f>
        <v>0</v>
      </c>
      <c r="H43" s="3355">
        <f>G43/D43</f>
        <v>0</v>
      </c>
      <c r="I43" s="3352">
        <f t="shared" si="7"/>
        <v>1</v>
      </c>
      <c r="J43" s="3355">
        <f>1-H43</f>
        <v>1</v>
      </c>
    </row>
    <row r="44" spans="1:10" ht="15" x14ac:dyDescent="0.25">
      <c r="A44" s="5407"/>
      <c r="B44" s="3356" t="s">
        <v>9</v>
      </c>
      <c r="C44" s="3357">
        <v>3</v>
      </c>
      <c r="D44" s="3358">
        <v>1</v>
      </c>
      <c r="E44" s="3356"/>
      <c r="F44" s="3358"/>
      <c r="G44" s="3358">
        <f>SUM(E44:F44)</f>
        <v>0</v>
      </c>
      <c r="H44" s="3359">
        <f>G44/D44</f>
        <v>0</v>
      </c>
      <c r="I44" s="3356">
        <f t="shared" si="7"/>
        <v>1</v>
      </c>
      <c r="J44" s="3359">
        <f>1-H44</f>
        <v>1</v>
      </c>
    </row>
    <row r="45" spans="1:10" ht="15" x14ac:dyDescent="0.25">
      <c r="A45" s="5407"/>
      <c r="B45" s="3360" t="s">
        <v>74</v>
      </c>
      <c r="C45" s="3361">
        <v>4</v>
      </c>
      <c r="D45" s="3362">
        <v>2</v>
      </c>
      <c r="E45" s="3360"/>
      <c r="F45" s="3362"/>
      <c r="G45" s="3362">
        <f>SUM(E45:F45)</f>
        <v>0</v>
      </c>
      <c r="H45" s="3363">
        <f>G45/D45</f>
        <v>0</v>
      </c>
      <c r="I45" s="3360">
        <f t="shared" si="7"/>
        <v>2</v>
      </c>
      <c r="J45" s="3363">
        <f>1-H45</f>
        <v>1</v>
      </c>
    </row>
    <row r="46" spans="1:10" ht="15" x14ac:dyDescent="0.25">
      <c r="A46" s="5408"/>
      <c r="B46" s="3364" t="s">
        <v>12</v>
      </c>
      <c r="C46" s="3365">
        <f>SUM(C43:C45)</f>
        <v>11</v>
      </c>
      <c r="D46" s="3366">
        <f>SUM(D43:D45)</f>
        <v>4</v>
      </c>
      <c r="E46" s="3364">
        <f>SUM(E43:E45)</f>
        <v>0</v>
      </c>
      <c r="F46" s="3366">
        <f>SUM(F43:F45)</f>
        <v>0</v>
      </c>
      <c r="G46" s="3366">
        <f>SUM(E46:F46)</f>
        <v>0</v>
      </c>
      <c r="H46" s="3367">
        <f>G46/D46</f>
        <v>0</v>
      </c>
      <c r="I46" s="3364">
        <f t="shared" si="7"/>
        <v>4</v>
      </c>
      <c r="J46" s="3367">
        <f>1-H46</f>
        <v>1</v>
      </c>
    </row>
    <row r="47" spans="1:10" ht="15" x14ac:dyDescent="0.25">
      <c r="A47" s="3368"/>
      <c r="B47" s="3369"/>
      <c r="C47" s="3369"/>
      <c r="D47" s="3369"/>
      <c r="E47" s="3370"/>
      <c r="F47" s="3347"/>
      <c r="G47" s="3347"/>
      <c r="H47" s="3347"/>
      <c r="I47" s="3347"/>
      <c r="J47" s="3347"/>
    </row>
    <row r="48" spans="1:10" ht="15" customHeight="1" x14ac:dyDescent="0.25">
      <c r="A48" s="5409" t="s">
        <v>75</v>
      </c>
      <c r="B48" s="3352" t="s">
        <v>5</v>
      </c>
      <c r="C48" s="3353">
        <v>9</v>
      </c>
      <c r="D48" s="3354">
        <v>9</v>
      </c>
      <c r="E48" s="3352">
        <v>3</v>
      </c>
      <c r="F48" s="3354">
        <v>4</v>
      </c>
      <c r="G48" s="3354">
        <f>SUM(E48:F48)</f>
        <v>7</v>
      </c>
      <c r="H48" s="3355">
        <f>G48/D48</f>
        <v>0.77777777777777779</v>
      </c>
      <c r="I48" s="3352">
        <f t="shared" si="7"/>
        <v>2</v>
      </c>
      <c r="J48" s="3355">
        <f>1-H48</f>
        <v>0.22222222222222221</v>
      </c>
    </row>
    <row r="49" spans="1:10" ht="15" customHeight="1" x14ac:dyDescent="0.25">
      <c r="A49" s="5410"/>
      <c r="B49" s="3356" t="s">
        <v>6</v>
      </c>
      <c r="C49" s="3357">
        <v>11</v>
      </c>
      <c r="D49" s="3358">
        <v>11</v>
      </c>
      <c r="E49" s="3356">
        <v>6</v>
      </c>
      <c r="F49" s="3358">
        <v>3</v>
      </c>
      <c r="G49" s="3358">
        <f t="shared" ref="G49:G51" si="8">SUM(E49:F49)</f>
        <v>9</v>
      </c>
      <c r="H49" s="3359">
        <f t="shared" ref="H49:H51" si="9">G49/D49</f>
        <v>0.81818181818181823</v>
      </c>
      <c r="I49" s="3356">
        <f t="shared" si="7"/>
        <v>2</v>
      </c>
      <c r="J49" s="3359">
        <f>1-H49</f>
        <v>0.18181818181818177</v>
      </c>
    </row>
    <row r="50" spans="1:10" ht="15" x14ac:dyDescent="0.25">
      <c r="A50" s="5410"/>
      <c r="B50" s="3360" t="s">
        <v>11</v>
      </c>
      <c r="C50" s="3361">
        <v>6</v>
      </c>
      <c r="D50" s="3362">
        <v>6</v>
      </c>
      <c r="E50" s="3360">
        <v>3</v>
      </c>
      <c r="F50" s="3362">
        <v>2</v>
      </c>
      <c r="G50" s="3362">
        <f t="shared" si="8"/>
        <v>5</v>
      </c>
      <c r="H50" s="3363">
        <f t="shared" si="9"/>
        <v>0.83333333333333337</v>
      </c>
      <c r="I50" s="3360">
        <f t="shared" si="7"/>
        <v>1</v>
      </c>
      <c r="J50" s="3363">
        <f>1-H50</f>
        <v>0.16666666666666663</v>
      </c>
    </row>
    <row r="51" spans="1:10" ht="15" x14ac:dyDescent="0.25">
      <c r="A51" s="5411"/>
      <c r="B51" s="3364" t="s">
        <v>12</v>
      </c>
      <c r="C51" s="3365">
        <f>SUM(C48:C50)</f>
        <v>26</v>
      </c>
      <c r="D51" s="3366">
        <f>SUM(D48:D50)</f>
        <v>26</v>
      </c>
      <c r="E51" s="3364">
        <f>SUM(E48:E50)</f>
        <v>12</v>
      </c>
      <c r="F51" s="3366">
        <f>SUM(F48:F50)</f>
        <v>9</v>
      </c>
      <c r="G51" s="3366">
        <f t="shared" si="8"/>
        <v>21</v>
      </c>
      <c r="H51" s="3367">
        <f t="shared" si="9"/>
        <v>0.80769230769230771</v>
      </c>
      <c r="I51" s="3364">
        <f t="shared" si="7"/>
        <v>5</v>
      </c>
      <c r="J51" s="3367">
        <f>1-H51</f>
        <v>0.19230769230769229</v>
      </c>
    </row>
    <row r="52" spans="1:10" ht="15" customHeight="1" x14ac:dyDescent="0.25">
      <c r="A52" s="3371"/>
      <c r="B52" s="3372"/>
      <c r="C52" s="3369"/>
      <c r="D52" s="3369"/>
      <c r="E52" s="3370"/>
      <c r="F52" s="3347"/>
      <c r="G52" s="3347"/>
      <c r="H52" s="3347"/>
      <c r="I52" s="3347"/>
      <c r="J52" s="3347"/>
    </row>
    <row r="53" spans="1:10" ht="15" customHeight="1" x14ac:dyDescent="0.25">
      <c r="A53" s="5412" t="s">
        <v>326</v>
      </c>
      <c r="B53" s="3352" t="s">
        <v>5</v>
      </c>
      <c r="C53" s="3353">
        <v>1</v>
      </c>
      <c r="D53" s="3354"/>
      <c r="E53" s="3352"/>
      <c r="F53" s="3354"/>
      <c r="G53" s="3354">
        <f>SUM(E53:F53)</f>
        <v>0</v>
      </c>
      <c r="H53" s="3355"/>
      <c r="I53" s="3352">
        <f t="shared" si="7"/>
        <v>0</v>
      </c>
      <c r="J53" s="3355"/>
    </row>
    <row r="54" spans="1:10" ht="15" x14ac:dyDescent="0.25">
      <c r="A54" s="5413"/>
      <c r="B54" s="3356" t="s">
        <v>6</v>
      </c>
      <c r="C54" s="3357">
        <v>2</v>
      </c>
      <c r="D54" s="3358"/>
      <c r="E54" s="3356"/>
      <c r="F54" s="3358"/>
      <c r="G54" s="3358">
        <f>SUM(E54:F54)</f>
        <v>0</v>
      </c>
      <c r="H54" s="3359"/>
      <c r="I54" s="3356">
        <f t="shared" si="7"/>
        <v>0</v>
      </c>
      <c r="J54" s="3359"/>
    </row>
    <row r="55" spans="1:10" ht="15" customHeight="1" x14ac:dyDescent="0.25">
      <c r="A55" s="5413"/>
      <c r="B55" s="3360" t="s">
        <v>11</v>
      </c>
      <c r="C55" s="3361">
        <v>1</v>
      </c>
      <c r="D55" s="3362"/>
      <c r="E55" s="3360"/>
      <c r="F55" s="3362"/>
      <c r="G55" s="3362">
        <f>SUM(E55:F55)</f>
        <v>0</v>
      </c>
      <c r="H55" s="3363"/>
      <c r="I55" s="3360">
        <f t="shared" si="7"/>
        <v>0</v>
      </c>
      <c r="J55" s="3363"/>
    </row>
    <row r="56" spans="1:10" ht="15" customHeight="1" x14ac:dyDescent="0.25">
      <c r="A56" s="5414"/>
      <c r="B56" s="3364" t="s">
        <v>12</v>
      </c>
      <c r="C56" s="3365">
        <f>SUM(C53:C55)</f>
        <v>4</v>
      </c>
      <c r="D56" s="3366">
        <f>SUM(D53:D55)</f>
        <v>0</v>
      </c>
      <c r="E56" s="3364">
        <f>SUM(E53:E55)</f>
        <v>0</v>
      </c>
      <c r="F56" s="3366">
        <f>SUM(F53:F55)</f>
        <v>0</v>
      </c>
      <c r="G56" s="3366">
        <f>SUM(E56:F56)</f>
        <v>0</v>
      </c>
      <c r="H56" s="3367"/>
      <c r="I56" s="3364">
        <f t="shared" si="7"/>
        <v>0</v>
      </c>
      <c r="J56" s="3367"/>
    </row>
    <row r="57" spans="1:10" ht="15" x14ac:dyDescent="0.25">
      <c r="A57" s="3373"/>
      <c r="B57" s="3348"/>
      <c r="C57" s="3348"/>
      <c r="D57" s="3348"/>
      <c r="E57" s="3347"/>
      <c r="F57" s="3347"/>
      <c r="G57" s="3347"/>
      <c r="H57" s="3347"/>
      <c r="I57" s="3347"/>
      <c r="J57" s="3347"/>
    </row>
    <row r="58" spans="1:10" ht="15" x14ac:dyDescent="0.25">
      <c r="A58" s="5415" t="s">
        <v>10</v>
      </c>
      <c r="B58" s="3352" t="s">
        <v>6</v>
      </c>
      <c r="C58" s="3353">
        <v>6</v>
      </c>
      <c r="D58" s="3354">
        <v>6</v>
      </c>
      <c r="E58" s="3352"/>
      <c r="F58" s="3354">
        <v>5</v>
      </c>
      <c r="G58" s="3354">
        <f>SUM(E58:F58)</f>
        <v>5</v>
      </c>
      <c r="H58" s="3355">
        <f>G58/D58</f>
        <v>0.83333333333333337</v>
      </c>
      <c r="I58" s="3352">
        <f t="shared" si="7"/>
        <v>1</v>
      </c>
      <c r="J58" s="3355">
        <f>1-H58</f>
        <v>0.16666666666666663</v>
      </c>
    </row>
    <row r="59" spans="1:10" ht="15" x14ac:dyDescent="0.25">
      <c r="A59" s="5416"/>
      <c r="B59" s="3356" t="s">
        <v>11</v>
      </c>
      <c r="C59" s="3357">
        <v>8</v>
      </c>
      <c r="D59" s="3358">
        <v>8</v>
      </c>
      <c r="E59" s="3356"/>
      <c r="F59" s="3358">
        <v>5</v>
      </c>
      <c r="G59" s="3358">
        <f>SUM(E59:F59)</f>
        <v>5</v>
      </c>
      <c r="H59" s="3359">
        <f t="shared" ref="H59:H61" si="10">G59/D59</f>
        <v>0.625</v>
      </c>
      <c r="I59" s="3356">
        <f t="shared" si="7"/>
        <v>3</v>
      </c>
      <c r="J59" s="3359">
        <f>1-H59</f>
        <v>0.375</v>
      </c>
    </row>
    <row r="60" spans="1:10" ht="15" x14ac:dyDescent="0.25">
      <c r="A60" s="5416"/>
      <c r="B60" s="3360" t="s">
        <v>7</v>
      </c>
      <c r="C60" s="3361">
        <v>4</v>
      </c>
      <c r="D60" s="3362">
        <v>4</v>
      </c>
      <c r="E60" s="3360">
        <v>2</v>
      </c>
      <c r="F60" s="3362">
        <v>1</v>
      </c>
      <c r="G60" s="3362">
        <f>SUM(E60:F60)</f>
        <v>3</v>
      </c>
      <c r="H60" s="3363">
        <f t="shared" si="10"/>
        <v>0.75</v>
      </c>
      <c r="I60" s="3360">
        <f t="shared" si="7"/>
        <v>1</v>
      </c>
      <c r="J60" s="3363">
        <f>1-H60</f>
        <v>0.25</v>
      </c>
    </row>
    <row r="61" spans="1:10" ht="15" x14ac:dyDescent="0.25">
      <c r="A61" s="5417"/>
      <c r="B61" s="3364" t="s">
        <v>12</v>
      </c>
      <c r="C61" s="3365">
        <f>SUM(C58:C60)</f>
        <v>18</v>
      </c>
      <c r="D61" s="3366">
        <f>SUM(D58:D60)</f>
        <v>18</v>
      </c>
      <c r="E61" s="3364">
        <f>SUM(E58:E60)</f>
        <v>2</v>
      </c>
      <c r="F61" s="3366">
        <f>SUM(F58:F60)</f>
        <v>11</v>
      </c>
      <c r="G61" s="3366">
        <f>SUM(E61:F61)</f>
        <v>13</v>
      </c>
      <c r="H61" s="3367">
        <f t="shared" si="10"/>
        <v>0.72222222222222221</v>
      </c>
      <c r="I61" s="3364">
        <f t="shared" si="7"/>
        <v>5</v>
      </c>
      <c r="J61" s="3367">
        <f>1-H61</f>
        <v>0.27777777777777779</v>
      </c>
    </row>
    <row r="62" spans="1:10" ht="15" x14ac:dyDescent="0.25">
      <c r="A62" s="3348"/>
      <c r="B62" s="3348"/>
      <c r="C62" s="3348"/>
      <c r="D62" s="3348"/>
      <c r="E62" s="3347"/>
      <c r="F62" s="3347"/>
      <c r="G62" s="3347"/>
      <c r="H62" s="3347"/>
      <c r="I62" s="3347"/>
      <c r="J62" s="3347"/>
    </row>
    <row r="63" spans="1:10" ht="15" x14ac:dyDescent="0.25">
      <c r="A63" s="5418" t="s">
        <v>60</v>
      </c>
      <c r="B63" s="5418"/>
      <c r="C63" s="3365">
        <f>SUM(C41,C51,C61,C46,C56)</f>
        <v>76</v>
      </c>
      <c r="D63" s="3365">
        <f>SUM(D41,D51,D61,D46,D56)</f>
        <v>65</v>
      </c>
      <c r="E63" s="3364">
        <f>SUM(E41,E51,E61,E46,E56)</f>
        <v>14</v>
      </c>
      <c r="F63" s="3366">
        <f>SUM(F41,F51,F61,F46,F56)</f>
        <v>36</v>
      </c>
      <c r="G63" s="3366">
        <f>SUM(G41,G51,G61,G46,G56)</f>
        <v>50</v>
      </c>
      <c r="H63" s="3367">
        <f t="shared" ref="H63" si="11">G63/D63</f>
        <v>0.76923076923076927</v>
      </c>
      <c r="I63" s="3364">
        <f t="shared" si="7"/>
        <v>15</v>
      </c>
      <c r="J63" s="3367">
        <f>1-H63</f>
        <v>0.23076923076923073</v>
      </c>
    </row>
    <row r="67" spans="1:9" ht="15" customHeight="1" x14ac:dyDescent="0.25">
      <c r="A67" s="5419" t="s">
        <v>51</v>
      </c>
      <c r="B67" s="5419" t="s">
        <v>702</v>
      </c>
      <c r="C67" s="5400" t="s">
        <v>1136</v>
      </c>
      <c r="D67" s="5400" t="s">
        <v>1126</v>
      </c>
      <c r="E67" s="5372" t="s">
        <v>1133</v>
      </c>
      <c r="F67" s="5373"/>
      <c r="G67" s="5373"/>
      <c r="H67" s="5374"/>
      <c r="I67" s="3313"/>
    </row>
    <row r="68" spans="1:9" ht="30" x14ac:dyDescent="0.2">
      <c r="A68" s="5419"/>
      <c r="B68" s="5419"/>
      <c r="C68" s="5400"/>
      <c r="D68" s="5400"/>
      <c r="E68" s="3533" t="s">
        <v>1127</v>
      </c>
      <c r="F68" s="3533" t="s">
        <v>1128</v>
      </c>
      <c r="G68" s="3350" t="s">
        <v>160</v>
      </c>
      <c r="H68" s="3533" t="s">
        <v>1129</v>
      </c>
      <c r="I68" s="3374" t="s">
        <v>1130</v>
      </c>
    </row>
    <row r="69" spans="1:9" x14ac:dyDescent="0.2">
      <c r="A69" s="3314"/>
      <c r="B69" s="3314"/>
      <c r="C69" s="3314"/>
      <c r="D69" s="3314"/>
      <c r="E69" s="3314"/>
      <c r="F69" s="3314"/>
      <c r="G69" s="3314"/>
      <c r="H69" s="3314"/>
      <c r="I69" s="3315"/>
    </row>
    <row r="70" spans="1:9" ht="12.75" customHeight="1" x14ac:dyDescent="0.2">
      <c r="A70" s="5427" t="s">
        <v>3</v>
      </c>
      <c r="B70" s="3316" t="s">
        <v>5</v>
      </c>
      <c r="C70" s="3317">
        <v>10</v>
      </c>
      <c r="D70" s="3318">
        <v>10</v>
      </c>
      <c r="E70" s="3317"/>
      <c r="F70" s="3318">
        <v>10</v>
      </c>
      <c r="G70" s="3317">
        <f>SUM(E70:F70)</f>
        <v>10</v>
      </c>
      <c r="H70" s="3319">
        <f>G70/D70</f>
        <v>1</v>
      </c>
      <c r="I70" s="3320">
        <f>1-H70</f>
        <v>0</v>
      </c>
    </row>
    <row r="71" spans="1:9" ht="12.75" customHeight="1" x14ac:dyDescent="0.2">
      <c r="A71" s="5428"/>
      <c r="B71" s="3321" t="s">
        <v>6</v>
      </c>
      <c r="C71" s="3322">
        <v>4</v>
      </c>
      <c r="D71" s="3323">
        <v>4</v>
      </c>
      <c r="E71" s="3322"/>
      <c r="F71" s="3323">
        <v>3</v>
      </c>
      <c r="G71" s="3322">
        <f>SUM(E71:F71)</f>
        <v>3</v>
      </c>
      <c r="H71" s="3324">
        <f t="shared" ref="H71:H73" si="12">G71/D71</f>
        <v>0.75</v>
      </c>
      <c r="I71" s="3325">
        <f>1-H71</f>
        <v>0.25</v>
      </c>
    </row>
    <row r="72" spans="1:9" ht="12.75" customHeight="1" x14ac:dyDescent="0.2">
      <c r="A72" s="5428"/>
      <c r="B72" s="3326" t="s">
        <v>7</v>
      </c>
      <c r="C72" s="3327">
        <v>3</v>
      </c>
      <c r="D72" s="3328">
        <v>3</v>
      </c>
      <c r="E72" s="3327"/>
      <c r="F72" s="3328">
        <v>3</v>
      </c>
      <c r="G72" s="3327">
        <f>SUM(E72:F72)</f>
        <v>3</v>
      </c>
      <c r="H72" s="3329">
        <f t="shared" si="12"/>
        <v>1</v>
      </c>
      <c r="I72" s="3330">
        <f>1-H72</f>
        <v>0</v>
      </c>
    </row>
    <row r="73" spans="1:9" ht="12.75" customHeight="1" x14ac:dyDescent="0.2">
      <c r="A73" s="5429"/>
      <c r="B73" s="3331" t="s">
        <v>12</v>
      </c>
      <c r="C73" s="3332">
        <f>SUM(C70:C72)</f>
        <v>17</v>
      </c>
      <c r="D73" s="3333">
        <f>SUM(D70:D72)</f>
        <v>17</v>
      </c>
      <c r="E73" s="3332">
        <f>SUM(E70:E72)</f>
        <v>0</v>
      </c>
      <c r="F73" s="3333">
        <f>SUM(F70:F72)</f>
        <v>16</v>
      </c>
      <c r="G73" s="3332">
        <f>SUM(E73:F73)</f>
        <v>16</v>
      </c>
      <c r="H73" s="3334">
        <f t="shared" si="12"/>
        <v>0.94117647058823528</v>
      </c>
      <c r="I73" s="3335">
        <f>1-H73</f>
        <v>5.8823529411764719E-2</v>
      </c>
    </row>
    <row r="74" spans="1:9" ht="15" customHeight="1" x14ac:dyDescent="0.25">
      <c r="A74" s="3336"/>
      <c r="B74" s="3336"/>
      <c r="C74" s="3336"/>
      <c r="D74" s="3336"/>
      <c r="E74" s="3336"/>
      <c r="F74" s="3336"/>
      <c r="G74" s="3336"/>
      <c r="H74" s="3336"/>
      <c r="I74" s="3336"/>
    </row>
    <row r="75" spans="1:9" ht="12.75" customHeight="1" x14ac:dyDescent="0.2">
      <c r="A75" s="5430" t="s">
        <v>8</v>
      </c>
      <c r="B75" s="3316" t="s">
        <v>6</v>
      </c>
      <c r="C75" s="3317">
        <v>4</v>
      </c>
      <c r="D75" s="3318">
        <v>2</v>
      </c>
      <c r="E75" s="3317"/>
      <c r="F75" s="3318"/>
      <c r="G75" s="3317">
        <f>SUM(E75:F75)</f>
        <v>0</v>
      </c>
      <c r="H75" s="3319">
        <f>G75/D75</f>
        <v>0</v>
      </c>
      <c r="I75" s="3320">
        <f>1-H75</f>
        <v>1</v>
      </c>
    </row>
    <row r="76" spans="1:9" ht="12.75" customHeight="1" x14ac:dyDescent="0.2">
      <c r="A76" s="5431"/>
      <c r="B76" s="3321" t="s">
        <v>9</v>
      </c>
      <c r="C76" s="3322">
        <v>3</v>
      </c>
      <c r="D76" s="3323">
        <v>1</v>
      </c>
      <c r="E76" s="3322"/>
      <c r="F76" s="3323"/>
      <c r="G76" s="3322">
        <f>SUM(E76:F76)</f>
        <v>0</v>
      </c>
      <c r="H76" s="3324">
        <f>G76/D76</f>
        <v>0</v>
      </c>
      <c r="I76" s="3325">
        <f>1-H76</f>
        <v>1</v>
      </c>
    </row>
    <row r="77" spans="1:9" ht="12.75" customHeight="1" x14ac:dyDescent="0.2">
      <c r="A77" s="5431"/>
      <c r="B77" s="3326" t="s">
        <v>74</v>
      </c>
      <c r="C77" s="3327">
        <v>4</v>
      </c>
      <c r="D77" s="3328">
        <v>2</v>
      </c>
      <c r="E77" s="3327"/>
      <c r="F77" s="3328"/>
      <c r="G77" s="3327">
        <f>SUM(E77:F77)</f>
        <v>0</v>
      </c>
      <c r="H77" s="3329">
        <f>G77/D77</f>
        <v>0</v>
      </c>
      <c r="I77" s="3330">
        <f>1-H77</f>
        <v>1</v>
      </c>
    </row>
    <row r="78" spans="1:9" ht="12.75" customHeight="1" x14ac:dyDescent="0.2">
      <c r="A78" s="5432"/>
      <c r="B78" s="3331" t="s">
        <v>12</v>
      </c>
      <c r="C78" s="3332">
        <f>SUM(C75:C77)</f>
        <v>11</v>
      </c>
      <c r="D78" s="3333">
        <f>SUM(D75:D77)</f>
        <v>5</v>
      </c>
      <c r="E78" s="3332">
        <f>SUM(E75:E77)</f>
        <v>0</v>
      </c>
      <c r="F78" s="3333">
        <f>SUM(F75:F77)</f>
        <v>0</v>
      </c>
      <c r="G78" s="3332">
        <f>SUM(E78:F78)</f>
        <v>0</v>
      </c>
      <c r="H78" s="3334">
        <f>G78/D78</f>
        <v>0</v>
      </c>
      <c r="I78" s="3335">
        <f>1-H78</f>
        <v>1</v>
      </c>
    </row>
    <row r="79" spans="1:9" ht="15" x14ac:dyDescent="0.25">
      <c r="A79" s="3337"/>
      <c r="B79" s="3338"/>
      <c r="C79" s="3338"/>
      <c r="D79" s="3338"/>
      <c r="E79" s="3338"/>
      <c r="F79" s="3342"/>
      <c r="G79" s="3342"/>
      <c r="H79" s="3342"/>
      <c r="I79" s="3343"/>
    </row>
    <row r="80" spans="1:9" ht="12.75" customHeight="1" x14ac:dyDescent="0.2">
      <c r="A80" s="5433" t="s">
        <v>75</v>
      </c>
      <c r="B80" s="3316" t="s">
        <v>5</v>
      </c>
      <c r="C80" s="3317">
        <v>9</v>
      </c>
      <c r="D80" s="3318">
        <v>9</v>
      </c>
      <c r="E80" s="3317">
        <v>3</v>
      </c>
      <c r="F80" s="3318">
        <v>5</v>
      </c>
      <c r="G80" s="3317">
        <f>SUM(E80:F80)</f>
        <v>8</v>
      </c>
      <c r="H80" s="3319">
        <f>G80/D80</f>
        <v>0.88888888888888884</v>
      </c>
      <c r="I80" s="3320">
        <f>1-H80</f>
        <v>0.11111111111111116</v>
      </c>
    </row>
    <row r="81" spans="1:9" ht="12.75" customHeight="1" x14ac:dyDescent="0.2">
      <c r="A81" s="5434"/>
      <c r="B81" s="3321" t="s">
        <v>6</v>
      </c>
      <c r="C81" s="3322">
        <v>11</v>
      </c>
      <c r="D81" s="3323">
        <v>11</v>
      </c>
      <c r="E81" s="3322">
        <v>6</v>
      </c>
      <c r="F81" s="3323">
        <v>3</v>
      </c>
      <c r="G81" s="3322">
        <f t="shared" ref="G81:G83" si="13">SUM(E81:F81)</f>
        <v>9</v>
      </c>
      <c r="H81" s="3324">
        <f t="shared" ref="H81:H83" si="14">G81/D81</f>
        <v>0.81818181818181823</v>
      </c>
      <c r="I81" s="3325">
        <f>1-H81</f>
        <v>0.18181818181818177</v>
      </c>
    </row>
    <row r="82" spans="1:9" ht="12.75" customHeight="1" x14ac:dyDescent="0.2">
      <c r="A82" s="5434"/>
      <c r="B82" s="3326" t="s">
        <v>11</v>
      </c>
      <c r="C82" s="3327">
        <v>6</v>
      </c>
      <c r="D82" s="3328">
        <v>6</v>
      </c>
      <c r="E82" s="3327">
        <v>3</v>
      </c>
      <c r="F82" s="3328">
        <v>2</v>
      </c>
      <c r="G82" s="3327">
        <f t="shared" si="13"/>
        <v>5</v>
      </c>
      <c r="H82" s="3329">
        <f t="shared" si="14"/>
        <v>0.83333333333333337</v>
      </c>
      <c r="I82" s="3330">
        <f>1-H82</f>
        <v>0.16666666666666663</v>
      </c>
    </row>
    <row r="83" spans="1:9" ht="12.75" customHeight="1" x14ac:dyDescent="0.2">
      <c r="A83" s="5435"/>
      <c r="B83" s="3331" t="s">
        <v>12</v>
      </c>
      <c r="C83" s="3332">
        <f>SUM(C80:C82)</f>
        <v>26</v>
      </c>
      <c r="D83" s="3333">
        <f>SUM(D80:D82)</f>
        <v>26</v>
      </c>
      <c r="E83" s="3332">
        <f>SUM(E80:E82)</f>
        <v>12</v>
      </c>
      <c r="F83" s="3333">
        <f>SUM(F80:F82)</f>
        <v>10</v>
      </c>
      <c r="G83" s="3332">
        <f t="shared" si="13"/>
        <v>22</v>
      </c>
      <c r="H83" s="3334">
        <f t="shared" si="14"/>
        <v>0.84615384615384615</v>
      </c>
      <c r="I83" s="3335">
        <f>1-H83</f>
        <v>0.15384615384615385</v>
      </c>
    </row>
    <row r="84" spans="1:9" ht="15" x14ac:dyDescent="0.25">
      <c r="A84" s="3339"/>
      <c r="B84" s="3340"/>
      <c r="C84" s="3338"/>
      <c r="D84" s="3338"/>
      <c r="E84" s="3338"/>
      <c r="F84" s="3342"/>
      <c r="G84" s="3342"/>
      <c r="H84" s="3342"/>
      <c r="I84" s="3343"/>
    </row>
    <row r="85" spans="1:9" ht="12.75" customHeight="1" x14ac:dyDescent="0.2">
      <c r="A85" s="5420" t="s">
        <v>326</v>
      </c>
      <c r="B85" s="3316" t="s">
        <v>5</v>
      </c>
      <c r="C85" s="3317">
        <v>1</v>
      </c>
      <c r="D85" s="3318"/>
      <c r="E85" s="3317"/>
      <c r="F85" s="3318"/>
      <c r="G85" s="3317">
        <f>SUM(E85:F85)</f>
        <v>0</v>
      </c>
      <c r="H85" s="3319"/>
      <c r="I85" s="3320"/>
    </row>
    <row r="86" spans="1:9" ht="12.75" customHeight="1" x14ac:dyDescent="0.2">
      <c r="A86" s="5421"/>
      <c r="B86" s="3321" t="s">
        <v>6</v>
      </c>
      <c r="C86" s="3322">
        <v>2</v>
      </c>
      <c r="D86" s="3323"/>
      <c r="E86" s="3322"/>
      <c r="F86" s="3323"/>
      <c r="G86" s="3322">
        <f>SUM(E86:F86)</f>
        <v>0</v>
      </c>
      <c r="H86" s="3324"/>
      <c r="I86" s="3325"/>
    </row>
    <row r="87" spans="1:9" ht="12.75" customHeight="1" x14ac:dyDescent="0.2">
      <c r="A87" s="5421"/>
      <c r="B87" s="3326" t="s">
        <v>11</v>
      </c>
      <c r="C87" s="3327">
        <v>1</v>
      </c>
      <c r="D87" s="3328"/>
      <c r="E87" s="3327"/>
      <c r="F87" s="3328"/>
      <c r="G87" s="3327">
        <f>SUM(E87:F87)</f>
        <v>0</v>
      </c>
      <c r="H87" s="3329"/>
      <c r="I87" s="3330"/>
    </row>
    <row r="88" spans="1:9" ht="42" customHeight="1" x14ac:dyDescent="0.2">
      <c r="A88" s="5422"/>
      <c r="B88" s="3501" t="s">
        <v>12</v>
      </c>
      <c r="C88" s="3375">
        <f>SUM(C85:C87)</f>
        <v>4</v>
      </c>
      <c r="D88" s="3502">
        <f>SUM(D85:D87)</f>
        <v>0</v>
      </c>
      <c r="E88" s="3375">
        <f>SUM(E85:E87)</f>
        <v>0</v>
      </c>
      <c r="F88" s="3502">
        <f>SUM(F85:F87)</f>
        <v>0</v>
      </c>
      <c r="G88" s="3375">
        <f>SUM(E88:F88)</f>
        <v>0</v>
      </c>
      <c r="H88" s="3499"/>
      <c r="I88" s="3500"/>
    </row>
    <row r="89" spans="1:9" ht="15" x14ac:dyDescent="0.25">
      <c r="A89" s="3341"/>
      <c r="B89" s="3342"/>
      <c r="C89" s="3342"/>
      <c r="D89" s="3342"/>
      <c r="E89" s="3342"/>
      <c r="F89" s="3342"/>
      <c r="G89" s="3342"/>
      <c r="H89" s="3342"/>
      <c r="I89" s="3343"/>
    </row>
    <row r="90" spans="1:9" ht="12.75" customHeight="1" x14ac:dyDescent="0.2">
      <c r="A90" s="5423" t="s">
        <v>10</v>
      </c>
      <c r="B90" s="3316" t="s">
        <v>6</v>
      </c>
      <c r="C90" s="3317">
        <v>6</v>
      </c>
      <c r="D90" s="3318">
        <v>6</v>
      </c>
      <c r="E90" s="3317"/>
      <c r="F90" s="3318">
        <v>5</v>
      </c>
      <c r="G90" s="3317">
        <f>SUM(E90:F90)</f>
        <v>5</v>
      </c>
      <c r="H90" s="3319">
        <f>G90/D90</f>
        <v>0.83333333333333337</v>
      </c>
      <c r="I90" s="3320">
        <f>1-H90</f>
        <v>0.16666666666666663</v>
      </c>
    </row>
    <row r="91" spans="1:9" ht="12.75" customHeight="1" x14ac:dyDescent="0.2">
      <c r="A91" s="5424"/>
      <c r="B91" s="3321" t="s">
        <v>11</v>
      </c>
      <c r="C91" s="3322">
        <v>8</v>
      </c>
      <c r="D91" s="3323">
        <v>8</v>
      </c>
      <c r="E91" s="3322">
        <v>1</v>
      </c>
      <c r="F91" s="3323">
        <v>5</v>
      </c>
      <c r="G91" s="3322">
        <f>SUM(E91:F91)</f>
        <v>6</v>
      </c>
      <c r="H91" s="3324">
        <f t="shared" ref="H91:H93" si="15">G91/D91</f>
        <v>0.75</v>
      </c>
      <c r="I91" s="3325">
        <f>1-H91</f>
        <v>0.25</v>
      </c>
    </row>
    <row r="92" spans="1:9" ht="12.75" customHeight="1" x14ac:dyDescent="0.2">
      <c r="A92" s="5424"/>
      <c r="B92" s="3326" t="s">
        <v>7</v>
      </c>
      <c r="C92" s="3327">
        <v>4</v>
      </c>
      <c r="D92" s="3328">
        <v>4</v>
      </c>
      <c r="E92" s="3327">
        <v>2</v>
      </c>
      <c r="F92" s="3328">
        <v>1</v>
      </c>
      <c r="G92" s="3327">
        <f>SUM(E92:F92)</f>
        <v>3</v>
      </c>
      <c r="H92" s="3329">
        <f t="shared" si="15"/>
        <v>0.75</v>
      </c>
      <c r="I92" s="3330">
        <f>1-H92</f>
        <v>0.25</v>
      </c>
    </row>
    <row r="93" spans="1:9" ht="12.75" customHeight="1" x14ac:dyDescent="0.2">
      <c r="A93" s="5425"/>
      <c r="B93" s="3331" t="s">
        <v>12</v>
      </c>
      <c r="C93" s="3332">
        <f>SUM(C90:C92)</f>
        <v>18</v>
      </c>
      <c r="D93" s="3333">
        <f>SUM(D90:D92)</f>
        <v>18</v>
      </c>
      <c r="E93" s="3332">
        <f>SUM(E90:E92)</f>
        <v>3</v>
      </c>
      <c r="F93" s="3333">
        <f>SUM(F90:F92)</f>
        <v>11</v>
      </c>
      <c r="G93" s="3332">
        <f>SUM(E93:F93)</f>
        <v>14</v>
      </c>
      <c r="H93" s="3334">
        <f t="shared" si="15"/>
        <v>0.77777777777777779</v>
      </c>
      <c r="I93" s="3335">
        <f>1-H93</f>
        <v>0.22222222222222221</v>
      </c>
    </row>
    <row r="94" spans="1:9" ht="15" x14ac:dyDescent="0.25">
      <c r="A94" s="3342"/>
      <c r="B94" s="3342"/>
      <c r="C94" s="3342"/>
      <c r="D94" s="3342"/>
      <c r="E94" s="3342"/>
      <c r="F94" s="3342"/>
      <c r="G94" s="3342"/>
      <c r="H94" s="3342"/>
      <c r="I94" s="3343"/>
    </row>
    <row r="95" spans="1:9" x14ac:dyDescent="0.2">
      <c r="A95" s="5426" t="s">
        <v>60</v>
      </c>
      <c r="B95" s="5426"/>
      <c r="C95" s="3332">
        <f>SUM(C73,C83,C93,C78,C88)</f>
        <v>76</v>
      </c>
      <c r="D95" s="3332">
        <f>SUM(D73,D83,D93,D78,D88)</f>
        <v>66</v>
      </c>
      <c r="E95" s="3332">
        <f>SUM(E73,E83,E93,E78,E88)</f>
        <v>15</v>
      </c>
      <c r="F95" s="3332">
        <f>SUM(F73,F83,F93,F78,F88)</f>
        <v>37</v>
      </c>
      <c r="G95" s="3332">
        <f>SUM(G73,G83,G93,G78,G88)</f>
        <v>52</v>
      </c>
      <c r="H95" s="3334">
        <f t="shared" ref="H95" si="16">G95/D95</f>
        <v>0.78787878787878785</v>
      </c>
      <c r="I95" s="3335">
        <f>1-H95</f>
        <v>0.21212121212121215</v>
      </c>
    </row>
    <row r="99" spans="1:9" ht="15" customHeight="1" x14ac:dyDescent="0.25">
      <c r="A99" s="5419" t="s">
        <v>51</v>
      </c>
      <c r="B99" s="5419" t="s">
        <v>702</v>
      </c>
      <c r="C99" s="5400" t="s">
        <v>1137</v>
      </c>
      <c r="D99" s="5400" t="s">
        <v>1126</v>
      </c>
      <c r="E99" s="5372" t="s">
        <v>1135</v>
      </c>
      <c r="F99" s="5373"/>
      <c r="G99" s="5373"/>
      <c r="H99" s="5374"/>
      <c r="I99" s="3313"/>
    </row>
    <row r="100" spans="1:9" ht="30" x14ac:dyDescent="0.2">
      <c r="A100" s="5419"/>
      <c r="B100" s="5419"/>
      <c r="C100" s="5400"/>
      <c r="D100" s="5400"/>
      <c r="E100" s="3533" t="s">
        <v>1127</v>
      </c>
      <c r="F100" s="3533" t="s">
        <v>1128</v>
      </c>
      <c r="G100" s="3350" t="s">
        <v>160</v>
      </c>
      <c r="H100" s="3533" t="s">
        <v>1129</v>
      </c>
      <c r="I100" s="3374" t="s">
        <v>1130</v>
      </c>
    </row>
    <row r="101" spans="1:9" x14ac:dyDescent="0.2">
      <c r="A101" s="3314"/>
      <c r="B101" s="3314"/>
      <c r="C101" s="3314"/>
      <c r="D101" s="3314"/>
      <c r="E101" s="3314"/>
      <c r="F101" s="3314"/>
      <c r="G101" s="3314"/>
      <c r="H101" s="3314"/>
      <c r="I101" s="3315"/>
    </row>
    <row r="102" spans="1:9" ht="12.75" customHeight="1" x14ac:dyDescent="0.2">
      <c r="A102" s="5427" t="s">
        <v>3</v>
      </c>
      <c r="B102" s="3316" t="s">
        <v>5</v>
      </c>
      <c r="C102" s="3317">
        <v>10</v>
      </c>
      <c r="D102" s="3318">
        <v>10</v>
      </c>
      <c r="E102" s="3317"/>
      <c r="F102" s="3318">
        <v>10</v>
      </c>
      <c r="G102" s="3317">
        <f>SUM(E102:F102)</f>
        <v>10</v>
      </c>
      <c r="H102" s="3319">
        <f>G102/D102</f>
        <v>1</v>
      </c>
      <c r="I102" s="3320">
        <f>1-H102</f>
        <v>0</v>
      </c>
    </row>
    <row r="103" spans="1:9" ht="12.75" customHeight="1" x14ac:dyDescent="0.2">
      <c r="A103" s="5428"/>
      <c r="B103" s="3321" t="s">
        <v>6</v>
      </c>
      <c r="C103" s="3322">
        <v>4</v>
      </c>
      <c r="D103" s="3323">
        <v>4</v>
      </c>
      <c r="E103" s="3322"/>
      <c r="F103" s="3323">
        <v>3</v>
      </c>
      <c r="G103" s="3322">
        <f>SUM(E103:F103)</f>
        <v>3</v>
      </c>
      <c r="H103" s="3324">
        <f t="shared" ref="H103:H105" si="17">G103/D103</f>
        <v>0.75</v>
      </c>
      <c r="I103" s="3325">
        <f>1-H103</f>
        <v>0.25</v>
      </c>
    </row>
    <row r="104" spans="1:9" ht="12.75" customHeight="1" x14ac:dyDescent="0.2">
      <c r="A104" s="5428"/>
      <c r="B104" s="3326" t="s">
        <v>7</v>
      </c>
      <c r="C104" s="3327">
        <v>3</v>
      </c>
      <c r="D104" s="3328">
        <v>3</v>
      </c>
      <c r="E104" s="3327"/>
      <c r="F104" s="3328">
        <v>3</v>
      </c>
      <c r="G104" s="3327">
        <f>SUM(E104:F104)</f>
        <v>3</v>
      </c>
      <c r="H104" s="3329">
        <f t="shared" si="17"/>
        <v>1</v>
      </c>
      <c r="I104" s="3330">
        <f>1-H104</f>
        <v>0</v>
      </c>
    </row>
    <row r="105" spans="1:9" ht="12.75" customHeight="1" x14ac:dyDescent="0.2">
      <c r="A105" s="5429"/>
      <c r="B105" s="3331" t="s">
        <v>12</v>
      </c>
      <c r="C105" s="3332">
        <f>SUM(C102:C104)</f>
        <v>17</v>
      </c>
      <c r="D105" s="3333">
        <f>SUM(D102:D104)</f>
        <v>17</v>
      </c>
      <c r="E105" s="3332">
        <f>SUM(E102:E104)</f>
        <v>0</v>
      </c>
      <c r="F105" s="3333">
        <f>SUM(F102:F104)</f>
        <v>16</v>
      </c>
      <c r="G105" s="3332">
        <f>SUM(E105:F105)</f>
        <v>16</v>
      </c>
      <c r="H105" s="3334">
        <f t="shared" si="17"/>
        <v>0.94117647058823528</v>
      </c>
      <c r="I105" s="3335">
        <f>1-H105</f>
        <v>5.8823529411764719E-2</v>
      </c>
    </row>
    <row r="106" spans="1:9" ht="15" x14ac:dyDescent="0.25">
      <c r="A106" s="3336"/>
      <c r="B106" s="3336"/>
      <c r="C106" s="3336"/>
      <c r="D106" s="3336"/>
      <c r="E106" s="3336"/>
      <c r="F106" s="3336"/>
      <c r="G106" s="3336"/>
      <c r="H106" s="3336"/>
      <c r="I106" s="3336"/>
    </row>
    <row r="107" spans="1:9" ht="12.75" customHeight="1" x14ac:dyDescent="0.2">
      <c r="A107" s="5430" t="s">
        <v>8</v>
      </c>
      <c r="B107" s="3316" t="s">
        <v>6</v>
      </c>
      <c r="C107" s="3317">
        <v>4</v>
      </c>
      <c r="D107" s="3318">
        <v>2</v>
      </c>
      <c r="E107" s="3317"/>
      <c r="F107" s="3318"/>
      <c r="G107" s="3317">
        <f>SUM(E107:F107)</f>
        <v>0</v>
      </c>
      <c r="H107" s="3319">
        <f>G107/D107</f>
        <v>0</v>
      </c>
      <c r="I107" s="3320">
        <f>1-H107</f>
        <v>1</v>
      </c>
    </row>
    <row r="108" spans="1:9" ht="12.75" customHeight="1" x14ac:dyDescent="0.2">
      <c r="A108" s="5431"/>
      <c r="B108" s="3321" t="s">
        <v>9</v>
      </c>
      <c r="C108" s="3322">
        <v>3</v>
      </c>
      <c r="D108" s="3323">
        <v>1</v>
      </c>
      <c r="E108" s="3322"/>
      <c r="F108" s="3323"/>
      <c r="G108" s="3322">
        <f>SUM(E108:F108)</f>
        <v>0</v>
      </c>
      <c r="H108" s="3324">
        <f>G108/D108</f>
        <v>0</v>
      </c>
      <c r="I108" s="3325">
        <f>1-H108</f>
        <v>1</v>
      </c>
    </row>
    <row r="109" spans="1:9" ht="12.75" customHeight="1" x14ac:dyDescent="0.2">
      <c r="A109" s="5431"/>
      <c r="B109" s="3326" t="s">
        <v>74</v>
      </c>
      <c r="C109" s="3327">
        <v>4</v>
      </c>
      <c r="D109" s="3328">
        <v>2</v>
      </c>
      <c r="E109" s="3327">
        <v>1</v>
      </c>
      <c r="F109" s="3328"/>
      <c r="G109" s="3327">
        <f>SUM(E109:F109)</f>
        <v>1</v>
      </c>
      <c r="H109" s="3329">
        <f>G109/D109</f>
        <v>0.5</v>
      </c>
      <c r="I109" s="3330">
        <f>1-H109</f>
        <v>0.5</v>
      </c>
    </row>
    <row r="110" spans="1:9" ht="12.75" customHeight="1" x14ac:dyDescent="0.2">
      <c r="A110" s="5432"/>
      <c r="B110" s="3331" t="s">
        <v>12</v>
      </c>
      <c r="C110" s="3332">
        <f>SUM(C107:C109)</f>
        <v>11</v>
      </c>
      <c r="D110" s="3333">
        <f>SUM(D107:D109)</f>
        <v>5</v>
      </c>
      <c r="E110" s="3332">
        <f>SUM(E107:E109)</f>
        <v>1</v>
      </c>
      <c r="F110" s="3333">
        <f>SUM(F107:F109)</f>
        <v>0</v>
      </c>
      <c r="G110" s="3332">
        <f>SUM(E110:F110)</f>
        <v>1</v>
      </c>
      <c r="H110" s="3334">
        <f>G110/D110</f>
        <v>0.2</v>
      </c>
      <c r="I110" s="3335">
        <f>1-H110</f>
        <v>0.8</v>
      </c>
    </row>
    <row r="111" spans="1:9" ht="15" x14ac:dyDescent="0.25">
      <c r="A111" s="3337"/>
      <c r="B111" s="3338"/>
      <c r="C111" s="3338"/>
      <c r="D111" s="3338"/>
      <c r="E111" s="3338"/>
      <c r="F111" s="3342"/>
      <c r="G111" s="3342"/>
      <c r="H111" s="3342"/>
      <c r="I111" s="3343"/>
    </row>
    <row r="112" spans="1:9" ht="12.75" customHeight="1" x14ac:dyDescent="0.2">
      <c r="A112" s="5433" t="s">
        <v>75</v>
      </c>
      <c r="B112" s="3316" t="s">
        <v>5</v>
      </c>
      <c r="C112" s="3317">
        <v>9</v>
      </c>
      <c r="D112" s="3318">
        <v>9</v>
      </c>
      <c r="E112" s="3317">
        <v>3</v>
      </c>
      <c r="F112" s="3318">
        <v>5</v>
      </c>
      <c r="G112" s="3317">
        <f>SUM(E112:F112)</f>
        <v>8</v>
      </c>
      <c r="H112" s="3319">
        <f>G112/D112</f>
        <v>0.88888888888888884</v>
      </c>
      <c r="I112" s="3320">
        <f>1-H112</f>
        <v>0.11111111111111116</v>
      </c>
    </row>
    <row r="113" spans="1:9" ht="12.75" customHeight="1" x14ac:dyDescent="0.2">
      <c r="A113" s="5434"/>
      <c r="B113" s="3321" t="s">
        <v>6</v>
      </c>
      <c r="C113" s="3322">
        <v>11</v>
      </c>
      <c r="D113" s="3323">
        <v>11</v>
      </c>
      <c r="E113" s="3322">
        <v>6</v>
      </c>
      <c r="F113" s="3323">
        <v>3</v>
      </c>
      <c r="G113" s="3322">
        <f t="shared" ref="G113:G115" si="18">SUM(E113:F113)</f>
        <v>9</v>
      </c>
      <c r="H113" s="3324">
        <f t="shared" ref="H113:H115" si="19">G113/D113</f>
        <v>0.81818181818181823</v>
      </c>
      <c r="I113" s="3325">
        <f>1-H113</f>
        <v>0.18181818181818177</v>
      </c>
    </row>
    <row r="114" spans="1:9" ht="12.75" customHeight="1" x14ac:dyDescent="0.2">
      <c r="A114" s="5434"/>
      <c r="B114" s="3326" t="s">
        <v>11</v>
      </c>
      <c r="C114" s="3327">
        <v>6</v>
      </c>
      <c r="D114" s="3328">
        <v>6</v>
      </c>
      <c r="E114" s="3327">
        <v>3</v>
      </c>
      <c r="F114" s="3328">
        <v>2</v>
      </c>
      <c r="G114" s="3327">
        <f t="shared" si="18"/>
        <v>5</v>
      </c>
      <c r="H114" s="3329">
        <f t="shared" si="19"/>
        <v>0.83333333333333337</v>
      </c>
      <c r="I114" s="3330">
        <f>1-H114</f>
        <v>0.16666666666666663</v>
      </c>
    </row>
    <row r="115" spans="1:9" ht="12.75" customHeight="1" x14ac:dyDescent="0.2">
      <c r="A115" s="5435"/>
      <c r="B115" s="3331" t="s">
        <v>12</v>
      </c>
      <c r="C115" s="3332">
        <f>SUM(C112:C114)</f>
        <v>26</v>
      </c>
      <c r="D115" s="3333">
        <f>SUM(D112:D114)</f>
        <v>26</v>
      </c>
      <c r="E115" s="3332">
        <f>SUM(E112:E114)</f>
        <v>12</v>
      </c>
      <c r="F115" s="3333">
        <f>SUM(F112:F114)</f>
        <v>10</v>
      </c>
      <c r="G115" s="3332">
        <f t="shared" si="18"/>
        <v>22</v>
      </c>
      <c r="H115" s="3334">
        <f t="shared" si="19"/>
        <v>0.84615384615384615</v>
      </c>
      <c r="I115" s="3335">
        <f>1-H115</f>
        <v>0.15384615384615385</v>
      </c>
    </row>
    <row r="116" spans="1:9" ht="15" customHeight="1" x14ac:dyDescent="0.25">
      <c r="A116" s="3339"/>
      <c r="B116" s="3340"/>
      <c r="C116" s="3338"/>
      <c r="D116" s="3338"/>
      <c r="E116" s="3338"/>
      <c r="F116" s="3342"/>
      <c r="G116" s="3342"/>
      <c r="H116" s="3342"/>
      <c r="I116" s="3343"/>
    </row>
    <row r="117" spans="1:9" ht="12.75" customHeight="1" x14ac:dyDescent="0.2">
      <c r="A117" s="5420" t="s">
        <v>326</v>
      </c>
      <c r="B117" s="3316" t="s">
        <v>5</v>
      </c>
      <c r="C117" s="3317">
        <v>1</v>
      </c>
      <c r="D117" s="3318"/>
      <c r="E117" s="3317"/>
      <c r="F117" s="3318"/>
      <c r="G117" s="3317">
        <f>SUM(E117:F117)</f>
        <v>0</v>
      </c>
      <c r="H117" s="3319"/>
      <c r="I117" s="3320"/>
    </row>
    <row r="118" spans="1:9" ht="12.75" customHeight="1" x14ac:dyDescent="0.2">
      <c r="A118" s="5421"/>
      <c r="B118" s="3321" t="s">
        <v>6</v>
      </c>
      <c r="C118" s="3322">
        <v>1</v>
      </c>
      <c r="D118" s="3323"/>
      <c r="E118" s="3322"/>
      <c r="F118" s="3323"/>
      <c r="G118" s="3322">
        <f>SUM(E118:F118)</f>
        <v>0</v>
      </c>
      <c r="H118" s="3324"/>
      <c r="I118" s="3325"/>
    </row>
    <row r="119" spans="1:9" ht="12.75" customHeight="1" x14ac:dyDescent="0.2">
      <c r="A119" s="5421"/>
      <c r="B119" s="3326" t="s">
        <v>11</v>
      </c>
      <c r="C119" s="3327">
        <v>1</v>
      </c>
      <c r="D119" s="3328"/>
      <c r="E119" s="3327"/>
      <c r="F119" s="3328"/>
      <c r="G119" s="3327">
        <f>SUM(E119:F119)</f>
        <v>0</v>
      </c>
      <c r="H119" s="3329"/>
      <c r="I119" s="3330"/>
    </row>
    <row r="120" spans="1:9" ht="12.75" customHeight="1" x14ac:dyDescent="0.2">
      <c r="A120" s="5422"/>
      <c r="B120" s="3331" t="s">
        <v>12</v>
      </c>
      <c r="C120" s="3332">
        <f>SUM(C117:C119)</f>
        <v>3</v>
      </c>
      <c r="D120" s="3333">
        <f>SUM(D117:D119)</f>
        <v>0</v>
      </c>
      <c r="E120" s="3332">
        <f>SUM(E117:E119)</f>
        <v>0</v>
      </c>
      <c r="F120" s="3333">
        <f>SUM(F117:F119)</f>
        <v>0</v>
      </c>
      <c r="G120" s="3332">
        <f>SUM(E120:F120)</f>
        <v>0</v>
      </c>
      <c r="H120" s="3334"/>
      <c r="I120" s="3335"/>
    </row>
    <row r="121" spans="1:9" ht="15" x14ac:dyDescent="0.25">
      <c r="A121" s="3341"/>
      <c r="B121" s="3342"/>
      <c r="C121" s="3342"/>
      <c r="D121" s="3342"/>
      <c r="E121" s="3342"/>
      <c r="F121" s="3342"/>
      <c r="G121" s="3342"/>
      <c r="H121" s="3342"/>
      <c r="I121" s="3343"/>
    </row>
    <row r="122" spans="1:9" ht="12.75" customHeight="1" x14ac:dyDescent="0.2">
      <c r="A122" s="5423" t="s">
        <v>10</v>
      </c>
      <c r="B122" s="3316" t="s">
        <v>6</v>
      </c>
      <c r="C122" s="3317">
        <v>6</v>
      </c>
      <c r="D122" s="3318">
        <v>6</v>
      </c>
      <c r="E122" s="3317"/>
      <c r="F122" s="3318">
        <v>6</v>
      </c>
      <c r="G122" s="3317">
        <f>SUM(E122:F122)</f>
        <v>6</v>
      </c>
      <c r="H122" s="3319">
        <f>G122/D122</f>
        <v>1</v>
      </c>
      <c r="I122" s="3320">
        <f>1-H122</f>
        <v>0</v>
      </c>
    </row>
    <row r="123" spans="1:9" ht="12.75" customHeight="1" x14ac:dyDescent="0.2">
      <c r="A123" s="5424"/>
      <c r="B123" s="3321" t="s">
        <v>11</v>
      </c>
      <c r="C123" s="3322">
        <v>8</v>
      </c>
      <c r="D123" s="3323">
        <v>8</v>
      </c>
      <c r="E123" s="3322">
        <v>1</v>
      </c>
      <c r="F123" s="3323">
        <v>5</v>
      </c>
      <c r="G123" s="3322">
        <f>SUM(E123:F123)</f>
        <v>6</v>
      </c>
      <c r="H123" s="3324">
        <f t="shared" ref="H123:H125" si="20">G123/D123</f>
        <v>0.75</v>
      </c>
      <c r="I123" s="3325">
        <f>1-H123</f>
        <v>0.25</v>
      </c>
    </row>
    <row r="124" spans="1:9" ht="12.75" customHeight="1" x14ac:dyDescent="0.2">
      <c r="A124" s="5424"/>
      <c r="B124" s="3326" t="s">
        <v>7</v>
      </c>
      <c r="C124" s="3327">
        <v>4</v>
      </c>
      <c r="D124" s="3328">
        <v>4</v>
      </c>
      <c r="E124" s="3327">
        <v>2</v>
      </c>
      <c r="F124" s="3328">
        <v>1</v>
      </c>
      <c r="G124" s="3327">
        <f>SUM(E124:F124)</f>
        <v>3</v>
      </c>
      <c r="H124" s="3329">
        <f t="shared" si="20"/>
        <v>0.75</v>
      </c>
      <c r="I124" s="3330">
        <f>1-H124</f>
        <v>0.25</v>
      </c>
    </row>
    <row r="125" spans="1:9" ht="12.75" customHeight="1" x14ac:dyDescent="0.2">
      <c r="A125" s="5425"/>
      <c r="B125" s="3331" t="s">
        <v>12</v>
      </c>
      <c r="C125" s="3332">
        <f>SUM(C122:C124)</f>
        <v>18</v>
      </c>
      <c r="D125" s="3333">
        <f>SUM(D122:D124)</f>
        <v>18</v>
      </c>
      <c r="E125" s="3332">
        <f>SUM(E122:E124)</f>
        <v>3</v>
      </c>
      <c r="F125" s="3333">
        <f>SUM(F122:F124)</f>
        <v>12</v>
      </c>
      <c r="G125" s="3332">
        <f>SUM(E125:F125)</f>
        <v>15</v>
      </c>
      <c r="H125" s="3334">
        <f t="shared" si="20"/>
        <v>0.83333333333333337</v>
      </c>
      <c r="I125" s="3335">
        <f>1-H125</f>
        <v>0.16666666666666663</v>
      </c>
    </row>
    <row r="126" spans="1:9" ht="15" x14ac:dyDescent="0.25">
      <c r="A126" s="3342"/>
      <c r="B126" s="3342"/>
      <c r="C126" s="3342"/>
      <c r="D126" s="3342"/>
      <c r="E126" s="3342"/>
      <c r="F126" s="3342"/>
      <c r="G126" s="3342"/>
      <c r="H126" s="3342"/>
      <c r="I126" s="3343"/>
    </row>
    <row r="127" spans="1:9" x14ac:dyDescent="0.2">
      <c r="A127" s="5436" t="s">
        <v>60</v>
      </c>
      <c r="B127" s="5437"/>
      <c r="C127" s="3375">
        <f>SUM(C105,C115,C125,C110,C120)</f>
        <v>75</v>
      </c>
      <c r="D127" s="3375">
        <f>SUM(D105,D115,D125,D110,D120)</f>
        <v>66</v>
      </c>
      <c r="E127" s="3375">
        <f>SUM(E105,E115,E125,E110,E120)</f>
        <v>16</v>
      </c>
      <c r="F127" s="3375">
        <f>SUM(F105,F115,F125,F110,F120)</f>
        <v>38</v>
      </c>
      <c r="G127" s="3375">
        <f>SUM(G105,G115,G125,G110,G120)</f>
        <v>54</v>
      </c>
      <c r="H127" s="3499">
        <f t="shared" ref="H127" si="21">G127/D127</f>
        <v>0.81818181818181823</v>
      </c>
      <c r="I127" s="3500">
        <f>1-H127</f>
        <v>0.18181818181818177</v>
      </c>
    </row>
    <row r="131" spans="1:8" ht="12.75" customHeight="1" x14ac:dyDescent="0.25">
      <c r="A131" s="5419" t="s">
        <v>51</v>
      </c>
      <c r="B131" s="5419" t="s">
        <v>702</v>
      </c>
      <c r="C131" s="5400" t="s">
        <v>1137</v>
      </c>
      <c r="D131" s="5400" t="s">
        <v>1126</v>
      </c>
      <c r="E131" s="5372" t="s">
        <v>1138</v>
      </c>
      <c r="F131" s="5373"/>
      <c r="G131" s="5373"/>
      <c r="H131" s="5374"/>
    </row>
    <row r="132" spans="1:8" ht="30" x14ac:dyDescent="0.2">
      <c r="A132" s="5419"/>
      <c r="B132" s="5419"/>
      <c r="C132" s="5400"/>
      <c r="D132" s="5400"/>
      <c r="E132" s="3533" t="s">
        <v>1127</v>
      </c>
      <c r="F132" s="3533" t="s">
        <v>1128</v>
      </c>
      <c r="G132" s="3350" t="s">
        <v>160</v>
      </c>
      <c r="H132" s="3533" t="s">
        <v>1129</v>
      </c>
    </row>
    <row r="133" spans="1:8" x14ac:dyDescent="0.2">
      <c r="A133" s="3314"/>
      <c r="B133" s="3314"/>
      <c r="C133" s="3314"/>
      <c r="D133" s="3314"/>
      <c r="E133" s="3314"/>
      <c r="F133" s="3314"/>
      <c r="G133" s="3314"/>
      <c r="H133" s="3314"/>
    </row>
    <row r="134" spans="1:8" x14ac:dyDescent="0.2">
      <c r="A134" s="5427" t="s">
        <v>3</v>
      </c>
      <c r="B134" s="3316" t="s">
        <v>5</v>
      </c>
      <c r="C134" s="3317">
        <v>10</v>
      </c>
      <c r="D134" s="3318">
        <v>10</v>
      </c>
      <c r="E134" s="3317"/>
      <c r="F134" s="3318">
        <v>10</v>
      </c>
      <c r="G134" s="3317">
        <f>SUM(E134:F134)</f>
        <v>10</v>
      </c>
      <c r="H134" s="3319">
        <f>G134/D134</f>
        <v>1</v>
      </c>
    </row>
    <row r="135" spans="1:8" x14ac:dyDescent="0.2">
      <c r="A135" s="5428"/>
      <c r="B135" s="3321" t="s">
        <v>6</v>
      </c>
      <c r="C135" s="3322">
        <v>4</v>
      </c>
      <c r="D135" s="3323">
        <v>4</v>
      </c>
      <c r="E135" s="3322"/>
      <c r="F135" s="3323">
        <v>2</v>
      </c>
      <c r="G135" s="3322">
        <f>SUM(E135:F135)</f>
        <v>2</v>
      </c>
      <c r="H135" s="3324">
        <f t="shared" ref="H135:H137" si="22">G135/D135</f>
        <v>0.5</v>
      </c>
    </row>
    <row r="136" spans="1:8" x14ac:dyDescent="0.2">
      <c r="A136" s="5428"/>
      <c r="B136" s="3326" t="s">
        <v>7</v>
      </c>
      <c r="C136" s="3327">
        <v>3</v>
      </c>
      <c r="D136" s="3328">
        <v>3</v>
      </c>
      <c r="E136" s="3327"/>
      <c r="F136" s="3328">
        <v>3</v>
      </c>
      <c r="G136" s="3327">
        <f>SUM(E136:F136)</f>
        <v>3</v>
      </c>
      <c r="H136" s="3329">
        <f t="shared" si="22"/>
        <v>1</v>
      </c>
    </row>
    <row r="137" spans="1:8" x14ac:dyDescent="0.2">
      <c r="A137" s="5429"/>
      <c r="B137" s="3331" t="s">
        <v>12</v>
      </c>
      <c r="C137" s="3332">
        <f>SUM(C134:C136)</f>
        <v>17</v>
      </c>
      <c r="D137" s="3333">
        <f>SUM(D134:D136)</f>
        <v>17</v>
      </c>
      <c r="E137" s="3332">
        <f>SUM(E134:E136)</f>
        <v>0</v>
      </c>
      <c r="F137" s="3333">
        <f>SUM(F134:F136)</f>
        <v>15</v>
      </c>
      <c r="G137" s="3332">
        <f>SUM(E137:F137)</f>
        <v>15</v>
      </c>
      <c r="H137" s="3334">
        <f t="shared" si="22"/>
        <v>0.88235294117647056</v>
      </c>
    </row>
    <row r="138" spans="1:8" ht="15" x14ac:dyDescent="0.25">
      <c r="A138" s="3337"/>
      <c r="B138" s="3338"/>
      <c r="C138" s="3338"/>
      <c r="D138" s="3338"/>
      <c r="E138" s="3338"/>
      <c r="F138" s="3342"/>
      <c r="G138" s="3342"/>
      <c r="H138" s="3342"/>
    </row>
    <row r="139" spans="1:8" x14ac:dyDescent="0.2">
      <c r="A139" s="5433" t="s">
        <v>75</v>
      </c>
      <c r="B139" s="3316" t="s">
        <v>5</v>
      </c>
      <c r="C139" s="3503">
        <v>9</v>
      </c>
      <c r="D139" s="3504">
        <v>9</v>
      </c>
      <c r="E139" s="3503">
        <v>3</v>
      </c>
      <c r="F139" s="3504">
        <v>5</v>
      </c>
      <c r="G139" s="3503">
        <f>SUM(E139:F139)</f>
        <v>8</v>
      </c>
      <c r="H139" s="3505">
        <f>G139/D139</f>
        <v>0.88888888888888884</v>
      </c>
    </row>
    <row r="140" spans="1:8" x14ac:dyDescent="0.2">
      <c r="A140" s="5434"/>
      <c r="B140" s="3321" t="s">
        <v>6</v>
      </c>
      <c r="C140" s="3322">
        <v>11</v>
      </c>
      <c r="D140" s="3323">
        <v>11</v>
      </c>
      <c r="E140" s="3322">
        <v>6</v>
      </c>
      <c r="F140" s="3323">
        <v>2</v>
      </c>
      <c r="G140" s="3322">
        <f t="shared" ref="G140:G157" si="23">SUM(E140:F140)</f>
        <v>8</v>
      </c>
      <c r="H140" s="3324">
        <f t="shared" ref="H140:H142" si="24">G140/D140</f>
        <v>0.72727272727272729</v>
      </c>
    </row>
    <row r="141" spans="1:8" ht="15" customHeight="1" x14ac:dyDescent="0.2">
      <c r="A141" s="5434"/>
      <c r="B141" s="3326" t="s">
        <v>11</v>
      </c>
      <c r="C141" s="3327">
        <v>6</v>
      </c>
      <c r="D141" s="3328">
        <v>6</v>
      </c>
      <c r="E141" s="3327">
        <v>2</v>
      </c>
      <c r="F141" s="3328">
        <v>1</v>
      </c>
      <c r="G141" s="3327">
        <f t="shared" si="23"/>
        <v>3</v>
      </c>
      <c r="H141" s="3329">
        <f t="shared" si="24"/>
        <v>0.5</v>
      </c>
    </row>
    <row r="142" spans="1:8" x14ac:dyDescent="0.2">
      <c r="A142" s="5435"/>
      <c r="B142" s="3331" t="s">
        <v>12</v>
      </c>
      <c r="C142" s="3332">
        <f>SUM(C139:C141)</f>
        <v>26</v>
      </c>
      <c r="D142" s="3333">
        <f>SUM(D139:D141)</f>
        <v>26</v>
      </c>
      <c r="E142" s="3332">
        <f>SUM(E139:E141)</f>
        <v>11</v>
      </c>
      <c r="F142" s="3333">
        <f>SUM(F139:F141)</f>
        <v>8</v>
      </c>
      <c r="G142" s="3332">
        <f t="shared" si="23"/>
        <v>19</v>
      </c>
      <c r="H142" s="3334">
        <f t="shared" si="24"/>
        <v>0.73076923076923073</v>
      </c>
    </row>
    <row r="143" spans="1:8" ht="15" x14ac:dyDescent="0.25">
      <c r="A143" s="3339"/>
      <c r="B143" s="3340"/>
      <c r="C143" s="3338"/>
      <c r="D143" s="3338"/>
      <c r="E143" s="3338"/>
      <c r="F143" s="3342"/>
      <c r="G143" s="3342"/>
      <c r="H143" s="3342"/>
    </row>
    <row r="144" spans="1:8" x14ac:dyDescent="0.2">
      <c r="A144" s="5423" t="s">
        <v>10</v>
      </c>
      <c r="B144" s="3316" t="s">
        <v>6</v>
      </c>
      <c r="C144" s="3317">
        <v>6</v>
      </c>
      <c r="D144" s="3318">
        <v>6</v>
      </c>
      <c r="E144" s="3317">
        <v>1</v>
      </c>
      <c r="F144" s="3318">
        <v>5</v>
      </c>
      <c r="G144" s="3317">
        <f t="shared" si="23"/>
        <v>6</v>
      </c>
      <c r="H144" s="3319">
        <f>G144/D144</f>
        <v>1</v>
      </c>
    </row>
    <row r="145" spans="1:8" x14ac:dyDescent="0.2">
      <c r="A145" s="5424"/>
      <c r="B145" s="3321" t="s">
        <v>11</v>
      </c>
      <c r="C145" s="3322">
        <v>8</v>
      </c>
      <c r="D145" s="3323">
        <v>8</v>
      </c>
      <c r="E145" s="3322"/>
      <c r="F145" s="3323">
        <v>6</v>
      </c>
      <c r="G145" s="3322">
        <f t="shared" si="23"/>
        <v>6</v>
      </c>
      <c r="H145" s="3324">
        <f t="shared" ref="H145:H147" si="25">G145/D145</f>
        <v>0.75</v>
      </c>
    </row>
    <row r="146" spans="1:8" x14ac:dyDescent="0.2">
      <c r="A146" s="5424"/>
      <c r="B146" s="3326" t="s">
        <v>7</v>
      </c>
      <c r="C146" s="3327">
        <v>4</v>
      </c>
      <c r="D146" s="3328">
        <v>4</v>
      </c>
      <c r="E146" s="3327">
        <v>1</v>
      </c>
      <c r="F146" s="3328">
        <v>2</v>
      </c>
      <c r="G146" s="3327">
        <f t="shared" si="23"/>
        <v>3</v>
      </c>
      <c r="H146" s="3329">
        <f t="shared" si="25"/>
        <v>0.75</v>
      </c>
    </row>
    <row r="147" spans="1:8" ht="15" customHeight="1" x14ac:dyDescent="0.2">
      <c r="A147" s="5425"/>
      <c r="B147" s="3331" t="s">
        <v>12</v>
      </c>
      <c r="C147" s="3332">
        <f>SUM(C144:C146)</f>
        <v>18</v>
      </c>
      <c r="D147" s="3333">
        <f>SUM(D144:D146)</f>
        <v>18</v>
      </c>
      <c r="E147" s="3332">
        <f>SUM(E144:E146)</f>
        <v>2</v>
      </c>
      <c r="F147" s="3333">
        <f>SUM(F144:F146)</f>
        <v>13</v>
      </c>
      <c r="G147" s="3332">
        <f t="shared" si="23"/>
        <v>15</v>
      </c>
      <c r="H147" s="3334">
        <f t="shared" si="25"/>
        <v>0.83333333333333337</v>
      </c>
    </row>
    <row r="148" spans="1:8" ht="15" x14ac:dyDescent="0.25">
      <c r="A148" s="3341"/>
      <c r="B148" s="3342"/>
      <c r="C148" s="3342"/>
      <c r="D148" s="3342"/>
      <c r="E148" s="3342"/>
      <c r="F148" s="3342"/>
      <c r="G148" s="3342"/>
      <c r="H148" s="3342"/>
    </row>
    <row r="149" spans="1:8" x14ac:dyDescent="0.2">
      <c r="A149" s="5430" t="s">
        <v>8</v>
      </c>
      <c r="B149" s="3316" t="s">
        <v>6</v>
      </c>
      <c r="C149" s="3317">
        <v>4</v>
      </c>
      <c r="D149" s="3318"/>
      <c r="E149" s="3317"/>
      <c r="F149" s="3318"/>
      <c r="G149" s="3317">
        <f t="shared" si="23"/>
        <v>0</v>
      </c>
      <c r="H149" s="3319"/>
    </row>
    <row r="150" spans="1:8" x14ac:dyDescent="0.2">
      <c r="A150" s="5431"/>
      <c r="B150" s="3321" t="s">
        <v>9</v>
      </c>
      <c r="C150" s="3322">
        <v>3</v>
      </c>
      <c r="D150" s="3323"/>
      <c r="E150" s="3322"/>
      <c r="F150" s="3323"/>
      <c r="G150" s="3322">
        <f t="shared" si="23"/>
        <v>0</v>
      </c>
      <c r="H150" s="3324"/>
    </row>
    <row r="151" spans="1:8" x14ac:dyDescent="0.2">
      <c r="A151" s="5431"/>
      <c r="B151" s="3326" t="s">
        <v>74</v>
      </c>
      <c r="C151" s="3327">
        <v>4</v>
      </c>
      <c r="D151" s="3328"/>
      <c r="E151" s="3327"/>
      <c r="F151" s="3328"/>
      <c r="G151" s="3327">
        <f t="shared" si="23"/>
        <v>0</v>
      </c>
      <c r="H151" s="3329"/>
    </row>
    <row r="152" spans="1:8" x14ac:dyDescent="0.2">
      <c r="A152" s="5432"/>
      <c r="B152" s="3331" t="s">
        <v>12</v>
      </c>
      <c r="C152" s="3332">
        <f>SUM(C149:C151)</f>
        <v>11</v>
      </c>
      <c r="D152" s="3333">
        <f>SUM(D149:D151)</f>
        <v>0</v>
      </c>
      <c r="E152" s="3332">
        <f>SUM(E149:E151)</f>
        <v>0</v>
      </c>
      <c r="F152" s="3333">
        <f t="shared" ref="F152" si="26">SUM(F149:F151)</f>
        <v>0</v>
      </c>
      <c r="G152" s="3332">
        <f t="shared" si="23"/>
        <v>0</v>
      </c>
      <c r="H152" s="3334"/>
    </row>
    <row r="153" spans="1:8" ht="15" x14ac:dyDescent="0.25">
      <c r="A153" s="3376"/>
      <c r="B153" s="3342"/>
      <c r="C153" s="3342"/>
      <c r="D153" s="3342"/>
      <c r="E153" s="3342"/>
      <c r="F153" s="3342"/>
      <c r="G153" s="3342"/>
      <c r="H153" s="3342"/>
    </row>
    <row r="154" spans="1:8" x14ac:dyDescent="0.2">
      <c r="A154" s="5420" t="s">
        <v>326</v>
      </c>
      <c r="B154" s="3316" t="s">
        <v>5</v>
      </c>
      <c r="C154" s="3317">
        <v>1</v>
      </c>
      <c r="D154" s="3318"/>
      <c r="E154" s="3317"/>
      <c r="F154" s="3318"/>
      <c r="G154" s="3317">
        <f t="shared" si="23"/>
        <v>0</v>
      </c>
      <c r="H154" s="3319"/>
    </row>
    <row r="155" spans="1:8" ht="15" customHeight="1" x14ac:dyDescent="0.2">
      <c r="A155" s="5421"/>
      <c r="B155" s="3321" t="s">
        <v>6</v>
      </c>
      <c r="C155" s="3322">
        <v>1</v>
      </c>
      <c r="D155" s="3323"/>
      <c r="E155" s="3322"/>
      <c r="F155" s="3323"/>
      <c r="G155" s="3322">
        <f t="shared" si="23"/>
        <v>0</v>
      </c>
      <c r="H155" s="3324"/>
    </row>
    <row r="156" spans="1:8" x14ac:dyDescent="0.2">
      <c r="A156" s="5421"/>
      <c r="B156" s="3326" t="s">
        <v>11</v>
      </c>
      <c r="C156" s="3327">
        <v>1</v>
      </c>
      <c r="D156" s="3328"/>
      <c r="E156" s="3327"/>
      <c r="F156" s="3328"/>
      <c r="G156" s="3327">
        <f t="shared" si="23"/>
        <v>0</v>
      </c>
      <c r="H156" s="3329"/>
    </row>
    <row r="157" spans="1:8" x14ac:dyDescent="0.2">
      <c r="A157" s="5422"/>
      <c r="B157" s="3331" t="s">
        <v>12</v>
      </c>
      <c r="C157" s="3332">
        <f>SUM(C154:C156)</f>
        <v>3</v>
      </c>
      <c r="D157" s="3333">
        <f>SUM(D154:D156)</f>
        <v>0</v>
      </c>
      <c r="E157" s="3332">
        <f>SUM(E154:E156)</f>
        <v>0</v>
      </c>
      <c r="F157" s="3333">
        <f>SUM(F154:F156)</f>
        <v>0</v>
      </c>
      <c r="G157" s="3332">
        <f t="shared" si="23"/>
        <v>0</v>
      </c>
      <c r="H157" s="3334"/>
    </row>
    <row r="158" spans="1:8" ht="15" x14ac:dyDescent="0.25">
      <c r="A158" s="3342"/>
      <c r="B158" s="3342"/>
      <c r="C158" s="3342"/>
      <c r="D158" s="3342"/>
      <c r="E158" s="3342"/>
      <c r="F158" s="3342"/>
      <c r="G158" s="3342"/>
      <c r="H158" s="3342"/>
    </row>
    <row r="159" spans="1:8" ht="12.75" customHeight="1" x14ac:dyDescent="0.2">
      <c r="A159" s="5426" t="s">
        <v>60</v>
      </c>
      <c r="B159" s="5426"/>
      <c r="C159" s="3332">
        <f>SUM(C137,C142,C147,C152,C157)</f>
        <v>75</v>
      </c>
      <c r="D159" s="3332">
        <f t="shared" ref="D159:G159" si="27">SUM(D137,D142,D147,D152,D157)</f>
        <v>61</v>
      </c>
      <c r="E159" s="3332">
        <f t="shared" si="27"/>
        <v>13</v>
      </c>
      <c r="F159" s="3332">
        <f t="shared" si="27"/>
        <v>36</v>
      </c>
      <c r="G159" s="3332">
        <f t="shared" si="27"/>
        <v>49</v>
      </c>
      <c r="H159" s="3334">
        <f t="shared" ref="H159" si="28">G159/D159</f>
        <v>0.80327868852459017</v>
      </c>
    </row>
    <row r="163" spans="1:6" ht="15" x14ac:dyDescent="0.2">
      <c r="A163" s="5419" t="s">
        <v>51</v>
      </c>
      <c r="B163" s="5419" t="s">
        <v>702</v>
      </c>
      <c r="C163" s="5400" t="s">
        <v>1137</v>
      </c>
      <c r="D163" s="5400" t="s">
        <v>1126</v>
      </c>
      <c r="E163" s="5438" t="s">
        <v>1140</v>
      </c>
      <c r="F163" s="5439"/>
    </row>
    <row r="164" spans="1:6" ht="45" x14ac:dyDescent="0.2">
      <c r="A164" s="5419"/>
      <c r="B164" s="5419"/>
      <c r="C164" s="5400"/>
      <c r="D164" s="5400"/>
      <c r="E164" s="3394" t="s">
        <v>1139</v>
      </c>
      <c r="F164" s="3377" t="s">
        <v>1129</v>
      </c>
    </row>
    <row r="165" spans="1:6" ht="12.75" customHeight="1" x14ac:dyDescent="0.2">
      <c r="A165" s="3378"/>
      <c r="B165" s="3378"/>
      <c r="C165" s="3378"/>
      <c r="D165" s="3378"/>
      <c r="E165" s="3378"/>
      <c r="F165" s="3378"/>
    </row>
    <row r="166" spans="1:6" x14ac:dyDescent="0.2">
      <c r="A166" s="5440" t="s">
        <v>3</v>
      </c>
      <c r="B166" s="3379" t="s">
        <v>5</v>
      </c>
      <c r="C166" s="3380">
        <v>10</v>
      </c>
      <c r="D166" s="3379">
        <v>10</v>
      </c>
      <c r="E166" s="3380">
        <v>10</v>
      </c>
      <c r="F166" s="3381">
        <f>E166/D166</f>
        <v>1</v>
      </c>
    </row>
    <row r="167" spans="1:6" x14ac:dyDescent="0.2">
      <c r="A167" s="5441"/>
      <c r="B167" s="3382" t="s">
        <v>6</v>
      </c>
      <c r="C167" s="3383">
        <v>4</v>
      </c>
      <c r="D167" s="3382">
        <v>4</v>
      </c>
      <c r="E167" s="3383">
        <v>2</v>
      </c>
      <c r="F167" s="3384">
        <f t="shared" ref="F167:F186" si="29">E167/D167</f>
        <v>0.5</v>
      </c>
    </row>
    <row r="168" spans="1:6" x14ac:dyDescent="0.2">
      <c r="A168" s="5441"/>
      <c r="B168" s="3385" t="s">
        <v>7</v>
      </c>
      <c r="C168" s="3386">
        <v>3</v>
      </c>
      <c r="D168" s="3385">
        <v>3</v>
      </c>
      <c r="E168" s="3386">
        <v>3</v>
      </c>
      <c r="F168" s="3387">
        <f t="shared" si="29"/>
        <v>1</v>
      </c>
    </row>
    <row r="169" spans="1:6" x14ac:dyDescent="0.2">
      <c r="A169" s="5442"/>
      <c r="B169" s="3388" t="s">
        <v>12</v>
      </c>
      <c r="C169" s="3389">
        <f>SUM(C166:C168)</f>
        <v>17</v>
      </c>
      <c r="D169" s="3388">
        <f>SUM(D166:D168)</f>
        <v>17</v>
      </c>
      <c r="E169" s="3390">
        <f>SUM(E166:E168)</f>
        <v>15</v>
      </c>
      <c r="F169" s="3391">
        <f t="shared" si="29"/>
        <v>0.88235294117647056</v>
      </c>
    </row>
    <row r="170" spans="1:6" x14ac:dyDescent="0.2">
      <c r="A170" s="3392"/>
      <c r="B170" s="3392"/>
      <c r="C170" s="3392"/>
      <c r="D170" s="3392"/>
      <c r="F170" s="760"/>
    </row>
    <row r="171" spans="1:6" x14ac:dyDescent="0.2">
      <c r="A171" s="5440" t="s">
        <v>75</v>
      </c>
      <c r="B171" s="3379" t="s">
        <v>5</v>
      </c>
      <c r="C171" s="3380">
        <v>9</v>
      </c>
      <c r="D171" s="3379">
        <v>9</v>
      </c>
      <c r="E171" s="3380">
        <v>7</v>
      </c>
      <c r="F171" s="3381">
        <f t="shared" si="29"/>
        <v>0.77777777777777779</v>
      </c>
    </row>
    <row r="172" spans="1:6" x14ac:dyDescent="0.2">
      <c r="A172" s="5441"/>
      <c r="B172" s="3382" t="s">
        <v>6</v>
      </c>
      <c r="C172" s="3383">
        <v>11</v>
      </c>
      <c r="D172" s="3382">
        <v>11</v>
      </c>
      <c r="E172" s="3383">
        <v>8</v>
      </c>
      <c r="F172" s="3384">
        <f t="shared" si="29"/>
        <v>0.72727272727272729</v>
      </c>
    </row>
    <row r="173" spans="1:6" x14ac:dyDescent="0.2">
      <c r="A173" s="5441"/>
      <c r="B173" s="3385" t="s">
        <v>11</v>
      </c>
      <c r="C173" s="3386">
        <v>6</v>
      </c>
      <c r="D173" s="3385">
        <v>6</v>
      </c>
      <c r="E173" s="3386">
        <v>3</v>
      </c>
      <c r="F173" s="3387">
        <f t="shared" si="29"/>
        <v>0.5</v>
      </c>
    </row>
    <row r="174" spans="1:6" x14ac:dyDescent="0.2">
      <c r="A174" s="5442"/>
      <c r="B174" s="3388" t="s">
        <v>12</v>
      </c>
      <c r="C174" s="3389">
        <f>SUM(C171:C173)</f>
        <v>26</v>
      </c>
      <c r="D174" s="3388">
        <f>SUM(D171:D173)</f>
        <v>26</v>
      </c>
      <c r="E174" s="3390">
        <f>SUM(E171:E173)</f>
        <v>18</v>
      </c>
      <c r="F174" s="3391">
        <f t="shared" si="29"/>
        <v>0.69230769230769229</v>
      </c>
    </row>
    <row r="175" spans="1:6" x14ac:dyDescent="0.2">
      <c r="A175" s="3393"/>
      <c r="B175" s="3393"/>
      <c r="C175" s="3392"/>
      <c r="D175" s="3392"/>
      <c r="E175" s="3392"/>
      <c r="F175" s="760"/>
    </row>
    <row r="176" spans="1:6" x14ac:dyDescent="0.2">
      <c r="A176" s="5440" t="s">
        <v>10</v>
      </c>
      <c r="B176" s="3379" t="s">
        <v>6</v>
      </c>
      <c r="C176" s="3380">
        <v>6</v>
      </c>
      <c r="D176" s="3379">
        <v>6</v>
      </c>
      <c r="E176" s="3380">
        <v>6</v>
      </c>
      <c r="F176" s="3381">
        <f t="shared" si="29"/>
        <v>1</v>
      </c>
    </row>
    <row r="177" spans="1:6" x14ac:dyDescent="0.2">
      <c r="A177" s="5441"/>
      <c r="B177" s="3382" t="s">
        <v>11</v>
      </c>
      <c r="C177" s="3383">
        <v>8</v>
      </c>
      <c r="D177" s="3382">
        <v>8</v>
      </c>
      <c r="E177" s="3383">
        <v>5</v>
      </c>
      <c r="F177" s="3384">
        <f t="shared" si="29"/>
        <v>0.625</v>
      </c>
    </row>
    <row r="178" spans="1:6" x14ac:dyDescent="0.2">
      <c r="A178" s="5441"/>
      <c r="B178" s="3385" t="s">
        <v>7</v>
      </c>
      <c r="C178" s="3386">
        <v>4</v>
      </c>
      <c r="D178" s="3385">
        <v>4</v>
      </c>
      <c r="E178" s="3386">
        <v>3</v>
      </c>
      <c r="F178" s="3387">
        <f t="shared" si="29"/>
        <v>0.75</v>
      </c>
    </row>
    <row r="179" spans="1:6" x14ac:dyDescent="0.2">
      <c r="A179" s="5442"/>
      <c r="B179" s="3388" t="s">
        <v>12</v>
      </c>
      <c r="C179" s="3389">
        <f>SUM(C176:C178)</f>
        <v>18</v>
      </c>
      <c r="D179" s="3388">
        <f>SUM(D176:D178)</f>
        <v>18</v>
      </c>
      <c r="E179" s="3390">
        <f>SUM(E176:E178)</f>
        <v>14</v>
      </c>
      <c r="F179" s="3391">
        <f t="shared" si="29"/>
        <v>0.77777777777777779</v>
      </c>
    </row>
    <row r="181" spans="1:6" x14ac:dyDescent="0.2">
      <c r="A181" s="5440" t="s">
        <v>8</v>
      </c>
      <c r="B181" s="3379" t="s">
        <v>6</v>
      </c>
      <c r="C181" s="3380">
        <v>4</v>
      </c>
      <c r="D181" s="3379">
        <v>0</v>
      </c>
      <c r="E181" s="3380">
        <v>0</v>
      </c>
      <c r="F181" s="3381"/>
    </row>
    <row r="182" spans="1:6" x14ac:dyDescent="0.2">
      <c r="A182" s="5441"/>
      <c r="B182" s="3382" t="s">
        <v>9</v>
      </c>
      <c r="C182" s="3383">
        <v>3</v>
      </c>
      <c r="D182" s="3382">
        <v>0</v>
      </c>
      <c r="E182" s="3383">
        <v>0</v>
      </c>
      <c r="F182" s="3384"/>
    </row>
    <row r="183" spans="1:6" x14ac:dyDescent="0.2">
      <c r="A183" s="5441"/>
      <c r="B183" s="3385" t="s">
        <v>74</v>
      </c>
      <c r="C183" s="3386">
        <v>4</v>
      </c>
      <c r="D183" s="3385">
        <v>0</v>
      </c>
      <c r="E183" s="3386">
        <v>0</v>
      </c>
      <c r="F183" s="3387"/>
    </row>
    <row r="184" spans="1:6" x14ac:dyDescent="0.2">
      <c r="A184" s="5442"/>
      <c r="B184" s="3388" t="s">
        <v>12</v>
      </c>
      <c r="C184" s="3389">
        <f>SUM(C181:C183)</f>
        <v>11</v>
      </c>
      <c r="D184" s="3388"/>
      <c r="E184" s="3390"/>
      <c r="F184" s="3391"/>
    </row>
    <row r="185" spans="1:6" x14ac:dyDescent="0.2">
      <c r="A185" s="3393"/>
      <c r="B185" s="3393"/>
      <c r="C185" s="3392"/>
      <c r="D185" s="3392"/>
      <c r="E185" s="3392"/>
      <c r="F185" s="760"/>
    </row>
    <row r="186" spans="1:6" x14ac:dyDescent="0.2">
      <c r="A186" s="5443" t="s">
        <v>60</v>
      </c>
      <c r="B186" s="5443"/>
      <c r="C186" s="3388">
        <f>SUM(C169,C184,C174,C179)</f>
        <v>72</v>
      </c>
      <c r="D186" s="3388">
        <f>SUM(D169,D184,D174,D179)</f>
        <v>61</v>
      </c>
      <c r="E186" s="3388">
        <f>SUM(E169,E184,E174,E179)</f>
        <v>47</v>
      </c>
      <c r="F186" s="3391">
        <f t="shared" si="29"/>
        <v>0.77049180327868849</v>
      </c>
    </row>
  </sheetData>
  <mergeCells count="69">
    <mergeCell ref="A166:A169"/>
    <mergeCell ref="A171:A174"/>
    <mergeCell ref="A176:A179"/>
    <mergeCell ref="A181:A184"/>
    <mergeCell ref="A186:B186"/>
    <mergeCell ref="D163:D164"/>
    <mergeCell ref="E163:F163"/>
    <mergeCell ref="A134:A137"/>
    <mergeCell ref="A139:A142"/>
    <mergeCell ref="A144:A147"/>
    <mergeCell ref="A149:A152"/>
    <mergeCell ref="A154:A157"/>
    <mergeCell ref="A159:B159"/>
    <mergeCell ref="A163:A164"/>
    <mergeCell ref="B163:B164"/>
    <mergeCell ref="C163:C164"/>
    <mergeCell ref="A131:A132"/>
    <mergeCell ref="B131:B132"/>
    <mergeCell ref="C131:C132"/>
    <mergeCell ref="D131:D132"/>
    <mergeCell ref="E131:H131"/>
    <mergeCell ref="A117:A120"/>
    <mergeCell ref="A122:A125"/>
    <mergeCell ref="A127:B127"/>
    <mergeCell ref="A99:A100"/>
    <mergeCell ref="B99:B100"/>
    <mergeCell ref="A112:A115"/>
    <mergeCell ref="C99:C100"/>
    <mergeCell ref="D99:D100"/>
    <mergeCell ref="E99:H99"/>
    <mergeCell ref="A102:A105"/>
    <mergeCell ref="A107:A110"/>
    <mergeCell ref="A85:A88"/>
    <mergeCell ref="A90:A93"/>
    <mergeCell ref="A95:B95"/>
    <mergeCell ref="A70:A73"/>
    <mergeCell ref="A75:A78"/>
    <mergeCell ref="A80:A83"/>
    <mergeCell ref="C67:C68"/>
    <mergeCell ref="D67:D68"/>
    <mergeCell ref="E67:H67"/>
    <mergeCell ref="I36:J36"/>
    <mergeCell ref="A38:A41"/>
    <mergeCell ref="A43:A46"/>
    <mergeCell ref="A48:A51"/>
    <mergeCell ref="A53:A56"/>
    <mergeCell ref="A58:A61"/>
    <mergeCell ref="A63:B63"/>
    <mergeCell ref="A67:A68"/>
    <mergeCell ref="B67:B68"/>
    <mergeCell ref="A35:A36"/>
    <mergeCell ref="B35:B36"/>
    <mergeCell ref="C35:C36"/>
    <mergeCell ref="D35:D36"/>
    <mergeCell ref="E35:H35"/>
    <mergeCell ref="A22:A25"/>
    <mergeCell ref="A27:A30"/>
    <mergeCell ref="A32:B32"/>
    <mergeCell ref="A2:J2"/>
    <mergeCell ref="A34:H34"/>
    <mergeCell ref="A4:A5"/>
    <mergeCell ref="B4:B5"/>
    <mergeCell ref="C4:C5"/>
    <mergeCell ref="D4:D5"/>
    <mergeCell ref="E4:H4"/>
    <mergeCell ref="I5:J5"/>
    <mergeCell ref="A7:A10"/>
    <mergeCell ref="A12:A15"/>
    <mergeCell ref="A17:A20"/>
  </mergeCells>
  <printOptions horizontalCentered="1" verticalCentered="1"/>
  <pageMargins left="0.51181102362204722" right="0.51181102362204722" top="0.35433070866141736" bottom="0.35433070866141736" header="0.31496062992125984" footer="0.31496062992125984"/>
  <pageSetup scale="63" orientation="landscape" r:id="rId1"/>
  <rowBreaks count="2" manualBreakCount="2">
    <brk id="64" max="16383" man="1"/>
    <brk id="128" max="16383" man="1"/>
  </rowBreaks>
  <ignoredErrors>
    <ignoredError sqref="G58:G60 G70:G82 E90:H114 G122:G124 G134:G146 G38:G50 G7:G29" formulaRange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3:G16"/>
  <sheetViews>
    <sheetView showGridLines="0" zoomScaleNormal="100" workbookViewId="0">
      <selection activeCell="B23" sqref="B23"/>
    </sheetView>
  </sheetViews>
  <sheetFormatPr baseColWidth="10" defaultRowHeight="12.75" x14ac:dyDescent="0.2"/>
  <sheetData>
    <row r="3" spans="1:7" ht="18.75" x14ac:dyDescent="0.3">
      <c r="G3" s="2052"/>
    </row>
    <row r="4" spans="1:7" x14ac:dyDescent="0.2">
      <c r="A4" s="4390" t="s">
        <v>698</v>
      </c>
      <c r="B4" s="4390">
        <v>2003</v>
      </c>
    </row>
    <row r="5" spans="1:7" x14ac:dyDescent="0.2">
      <c r="A5" s="4390" t="s">
        <v>699</v>
      </c>
      <c r="B5" s="4390">
        <v>2004</v>
      </c>
    </row>
    <row r="6" spans="1:7" x14ac:dyDescent="0.2">
      <c r="A6" s="4390"/>
      <c r="B6" s="4390">
        <v>2005</v>
      </c>
    </row>
    <row r="7" spans="1:7" x14ac:dyDescent="0.2">
      <c r="A7" s="4390"/>
      <c r="B7" s="4390">
        <v>2006</v>
      </c>
    </row>
    <row r="8" spans="1:7" x14ac:dyDescent="0.2">
      <c r="A8" s="4390"/>
      <c r="B8" s="4390">
        <v>2007</v>
      </c>
    </row>
    <row r="9" spans="1:7" x14ac:dyDescent="0.2">
      <c r="A9" s="4390"/>
      <c r="B9" s="4390">
        <v>2008</v>
      </c>
    </row>
    <row r="10" spans="1:7" x14ac:dyDescent="0.2">
      <c r="A10" s="4390"/>
      <c r="B10" s="4390">
        <v>2009</v>
      </c>
    </row>
    <row r="11" spans="1:7" x14ac:dyDescent="0.2">
      <c r="A11" s="4390"/>
      <c r="B11" s="4390">
        <v>2010</v>
      </c>
    </row>
    <row r="12" spans="1:7" x14ac:dyDescent="0.2">
      <c r="A12" s="4390"/>
      <c r="B12" s="4390">
        <v>2011</v>
      </c>
    </row>
    <row r="13" spans="1:7" x14ac:dyDescent="0.2">
      <c r="A13" s="4390"/>
      <c r="B13" s="4390">
        <v>2012</v>
      </c>
    </row>
    <row r="14" spans="1:7" x14ac:dyDescent="0.2">
      <c r="A14" s="4390"/>
      <c r="B14" s="4390">
        <v>2013</v>
      </c>
    </row>
    <row r="15" spans="1:7" x14ac:dyDescent="0.2">
      <c r="A15" s="4390"/>
      <c r="B15" s="4390">
        <v>2014</v>
      </c>
    </row>
    <row r="16" spans="1:7" x14ac:dyDescent="0.2">
      <c r="A16" s="4390"/>
      <c r="B16" s="4390">
        <v>2015</v>
      </c>
    </row>
  </sheetData>
  <printOptions horizontalCentered="1" verticalCentered="1"/>
  <pageMargins left="0.70866141732283472" right="0.70866141732283472" top="0.74803149606299213" bottom="0.74803149606299213" header="0.31496062992125984" footer="0.31496062992125984"/>
  <pageSetup scale="90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3:D16"/>
  <sheetViews>
    <sheetView showGridLines="0" zoomScaleNormal="100" workbookViewId="0">
      <selection activeCell="P3" sqref="P3"/>
    </sheetView>
  </sheetViews>
  <sheetFormatPr baseColWidth="10" defaultRowHeight="12.75" x14ac:dyDescent="0.2"/>
  <sheetData>
    <row r="3" spans="1:4" ht="18.75" x14ac:dyDescent="0.3">
      <c r="D3" s="2052"/>
    </row>
    <row r="4" spans="1:4" x14ac:dyDescent="0.2">
      <c r="A4" s="4390" t="s">
        <v>698</v>
      </c>
      <c r="B4" s="4390">
        <v>2003</v>
      </c>
    </row>
    <row r="5" spans="1:4" x14ac:dyDescent="0.2">
      <c r="A5" s="4390" t="s">
        <v>699</v>
      </c>
      <c r="B5" s="4390">
        <v>2004</v>
      </c>
    </row>
    <row r="6" spans="1:4" x14ac:dyDescent="0.2">
      <c r="A6" s="4390"/>
      <c r="B6" s="4390">
        <v>2005</v>
      </c>
    </row>
    <row r="7" spans="1:4" x14ac:dyDescent="0.2">
      <c r="A7" s="4390"/>
      <c r="B7" s="4390">
        <v>2006</v>
      </c>
    </row>
    <row r="8" spans="1:4" x14ac:dyDescent="0.2">
      <c r="A8" s="4390"/>
      <c r="B8" s="4390">
        <v>2007</v>
      </c>
    </row>
    <row r="9" spans="1:4" x14ac:dyDescent="0.2">
      <c r="A9" s="4390"/>
      <c r="B9" s="4390">
        <v>2008</v>
      </c>
    </row>
    <row r="10" spans="1:4" x14ac:dyDescent="0.2">
      <c r="A10" s="4390"/>
      <c r="B10" s="4390">
        <v>2009</v>
      </c>
    </row>
    <row r="11" spans="1:4" x14ac:dyDescent="0.2">
      <c r="A11" s="4390"/>
      <c r="B11" s="4390">
        <v>2010</v>
      </c>
    </row>
    <row r="12" spans="1:4" x14ac:dyDescent="0.2">
      <c r="A12" s="4390"/>
      <c r="B12" s="4390">
        <v>2011</v>
      </c>
    </row>
    <row r="13" spans="1:4" x14ac:dyDescent="0.2">
      <c r="A13" s="4390"/>
      <c r="B13" s="4390">
        <v>2012</v>
      </c>
    </row>
    <row r="14" spans="1:4" x14ac:dyDescent="0.2">
      <c r="A14" s="4390"/>
      <c r="B14" s="4390">
        <v>2013</v>
      </c>
    </row>
    <row r="15" spans="1:4" x14ac:dyDescent="0.2">
      <c r="A15" s="4390"/>
      <c r="B15" s="4390">
        <v>2014</v>
      </c>
    </row>
    <row r="16" spans="1:4" x14ac:dyDescent="0.2">
      <c r="A16" s="4390"/>
      <c r="B16" s="4390">
        <v>2015</v>
      </c>
    </row>
  </sheetData>
  <printOptions horizontalCentered="1" verticalCentered="1"/>
  <pageMargins left="0.70866141732283472" right="0.70866141732283472" top="0.74803149606299213" bottom="0.74803149606299213" header="0.31496062992125984" footer="0.31496062992125984"/>
  <pageSetup scale="90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BD135"/>
  <sheetViews>
    <sheetView showGridLines="0" zoomScaleNormal="100" zoomScaleSheetLayoutView="90" workbookViewId="0">
      <pane xSplit="4" ySplit="4" topLeftCell="BA14" activePane="bottomRight" state="frozen"/>
      <selection pane="topRight" activeCell="E1" sqref="E1"/>
      <selection pane="bottomLeft" activeCell="A5" sqref="A5"/>
      <selection pane="bottomRight" activeCell="D24" sqref="D24"/>
    </sheetView>
  </sheetViews>
  <sheetFormatPr baseColWidth="10" defaultRowHeight="12.75" x14ac:dyDescent="0.2"/>
  <cols>
    <col min="1" max="1" width="8.85546875" style="209" customWidth="1"/>
    <col min="2" max="3" width="9.42578125" style="228" customWidth="1"/>
    <col min="4" max="4" width="70.140625" style="209" bestFit="1" customWidth="1"/>
    <col min="5" max="7" width="7.7109375" style="209" customWidth="1"/>
    <col min="8" max="8" width="7.7109375" style="222" customWidth="1"/>
    <col min="9" max="11" width="7.7109375" style="209" customWidth="1"/>
    <col min="12" max="12" width="7.7109375" style="222" customWidth="1"/>
    <col min="13" max="15" width="7.7109375" style="209" customWidth="1"/>
    <col min="16" max="16" width="7.7109375" style="222" customWidth="1"/>
    <col min="17" max="19" width="7.7109375" style="209" customWidth="1"/>
    <col min="20" max="20" width="7.7109375" style="222" customWidth="1"/>
    <col min="21" max="23" width="7.7109375" style="209" customWidth="1"/>
    <col min="24" max="24" width="7.7109375" style="222" customWidth="1"/>
    <col min="25" max="27" width="7.7109375" style="211" customWidth="1"/>
    <col min="28" max="28" width="7.7109375" style="236" customWidth="1"/>
    <col min="29" max="31" width="7.7109375" style="211" customWidth="1"/>
    <col min="32" max="32" width="7.7109375" style="236" customWidth="1"/>
    <col min="33" max="35" width="7.7109375" style="228" customWidth="1"/>
    <col min="36" max="56" width="7.7109375" style="209" customWidth="1"/>
    <col min="57" max="256" width="11.42578125" style="209"/>
    <col min="257" max="257" width="2" style="209" customWidth="1"/>
    <col min="258" max="258" width="15.85546875" style="209" customWidth="1"/>
    <col min="259" max="259" width="9.28515625" style="209" bestFit="1" customWidth="1"/>
    <col min="260" max="260" width="50.28515625" style="209" customWidth="1"/>
    <col min="261" max="262" width="6.5703125" style="209" customWidth="1"/>
    <col min="263" max="263" width="7.5703125" style="209" customWidth="1"/>
    <col min="264" max="264" width="7.42578125" style="209" customWidth="1"/>
    <col min="265" max="265" width="8.42578125" style="209" customWidth="1"/>
    <col min="266" max="266" width="7.28515625" style="209" customWidth="1"/>
    <col min="267" max="267" width="7.5703125" style="209" customWidth="1"/>
    <col min="268" max="268" width="7.7109375" style="209" customWidth="1"/>
    <col min="269" max="270" width="6.42578125" style="209" customWidth="1"/>
    <col min="271" max="271" width="7.28515625" style="209" customWidth="1"/>
    <col min="272" max="272" width="7.85546875" style="209" customWidth="1"/>
    <col min="273" max="273" width="6.42578125" style="209" customWidth="1"/>
    <col min="274" max="274" width="7.28515625" style="209" customWidth="1"/>
    <col min="275" max="275" width="7.5703125" style="209" customWidth="1"/>
    <col min="276" max="276" width="8" style="209" customWidth="1"/>
    <col min="277" max="278" width="6.42578125" style="209" customWidth="1"/>
    <col min="279" max="279" width="7.28515625" style="209" customWidth="1"/>
    <col min="280" max="280" width="8.28515625" style="209" customWidth="1"/>
    <col min="281" max="282" width="6.42578125" style="209" customWidth="1"/>
    <col min="283" max="283" width="7.28515625" style="209" customWidth="1"/>
    <col min="284" max="284" width="8.28515625" style="209" customWidth="1"/>
    <col min="285" max="286" width="6.42578125" style="209" customWidth="1"/>
    <col min="287" max="287" width="7.28515625" style="209" customWidth="1"/>
    <col min="288" max="288" width="8.28515625" style="209" customWidth="1"/>
    <col min="289" max="512" width="11.42578125" style="209"/>
    <col min="513" max="513" width="2" style="209" customWidth="1"/>
    <col min="514" max="514" width="15.85546875" style="209" customWidth="1"/>
    <col min="515" max="515" width="9.28515625" style="209" bestFit="1" customWidth="1"/>
    <col min="516" max="516" width="50.28515625" style="209" customWidth="1"/>
    <col min="517" max="518" width="6.5703125" style="209" customWidth="1"/>
    <col min="519" max="519" width="7.5703125" style="209" customWidth="1"/>
    <col min="520" max="520" width="7.42578125" style="209" customWidth="1"/>
    <col min="521" max="521" width="8.42578125" style="209" customWidth="1"/>
    <col min="522" max="522" width="7.28515625" style="209" customWidth="1"/>
    <col min="523" max="523" width="7.5703125" style="209" customWidth="1"/>
    <col min="524" max="524" width="7.7109375" style="209" customWidth="1"/>
    <col min="525" max="526" width="6.42578125" style="209" customWidth="1"/>
    <col min="527" max="527" width="7.28515625" style="209" customWidth="1"/>
    <col min="528" max="528" width="7.85546875" style="209" customWidth="1"/>
    <col min="529" max="529" width="6.42578125" style="209" customWidth="1"/>
    <col min="530" max="530" width="7.28515625" style="209" customWidth="1"/>
    <col min="531" max="531" width="7.5703125" style="209" customWidth="1"/>
    <col min="532" max="532" width="8" style="209" customWidth="1"/>
    <col min="533" max="534" width="6.42578125" style="209" customWidth="1"/>
    <col min="535" max="535" width="7.28515625" style="209" customWidth="1"/>
    <col min="536" max="536" width="8.28515625" style="209" customWidth="1"/>
    <col min="537" max="538" width="6.42578125" style="209" customWidth="1"/>
    <col min="539" max="539" width="7.28515625" style="209" customWidth="1"/>
    <col min="540" max="540" width="8.28515625" style="209" customWidth="1"/>
    <col min="541" max="542" width="6.42578125" style="209" customWidth="1"/>
    <col min="543" max="543" width="7.28515625" style="209" customWidth="1"/>
    <col min="544" max="544" width="8.28515625" style="209" customWidth="1"/>
    <col min="545" max="768" width="11.42578125" style="209"/>
    <col min="769" max="769" width="2" style="209" customWidth="1"/>
    <col min="770" max="770" width="15.85546875" style="209" customWidth="1"/>
    <col min="771" max="771" width="9.28515625" style="209" bestFit="1" customWidth="1"/>
    <col min="772" max="772" width="50.28515625" style="209" customWidth="1"/>
    <col min="773" max="774" width="6.5703125" style="209" customWidth="1"/>
    <col min="775" max="775" width="7.5703125" style="209" customWidth="1"/>
    <col min="776" max="776" width="7.42578125" style="209" customWidth="1"/>
    <col min="777" max="777" width="8.42578125" style="209" customWidth="1"/>
    <col min="778" max="778" width="7.28515625" style="209" customWidth="1"/>
    <col min="779" max="779" width="7.5703125" style="209" customWidth="1"/>
    <col min="780" max="780" width="7.7109375" style="209" customWidth="1"/>
    <col min="781" max="782" width="6.42578125" style="209" customWidth="1"/>
    <col min="783" max="783" width="7.28515625" style="209" customWidth="1"/>
    <col min="784" max="784" width="7.85546875" style="209" customWidth="1"/>
    <col min="785" max="785" width="6.42578125" style="209" customWidth="1"/>
    <col min="786" max="786" width="7.28515625" style="209" customWidth="1"/>
    <col min="787" max="787" width="7.5703125" style="209" customWidth="1"/>
    <col min="788" max="788" width="8" style="209" customWidth="1"/>
    <col min="789" max="790" width="6.42578125" style="209" customWidth="1"/>
    <col min="791" max="791" width="7.28515625" style="209" customWidth="1"/>
    <col min="792" max="792" width="8.28515625" style="209" customWidth="1"/>
    <col min="793" max="794" width="6.42578125" style="209" customWidth="1"/>
    <col min="795" max="795" width="7.28515625" style="209" customWidth="1"/>
    <col min="796" max="796" width="8.28515625" style="209" customWidth="1"/>
    <col min="797" max="798" width="6.42578125" style="209" customWidth="1"/>
    <col min="799" max="799" width="7.28515625" style="209" customWidth="1"/>
    <col min="800" max="800" width="8.28515625" style="209" customWidth="1"/>
    <col min="801" max="1024" width="11.42578125" style="209"/>
    <col min="1025" max="1025" width="2" style="209" customWidth="1"/>
    <col min="1026" max="1026" width="15.85546875" style="209" customWidth="1"/>
    <col min="1027" max="1027" width="9.28515625" style="209" bestFit="1" customWidth="1"/>
    <col min="1028" max="1028" width="50.28515625" style="209" customWidth="1"/>
    <col min="1029" max="1030" width="6.5703125" style="209" customWidth="1"/>
    <col min="1031" max="1031" width="7.5703125" style="209" customWidth="1"/>
    <col min="1032" max="1032" width="7.42578125" style="209" customWidth="1"/>
    <col min="1033" max="1033" width="8.42578125" style="209" customWidth="1"/>
    <col min="1034" max="1034" width="7.28515625" style="209" customWidth="1"/>
    <col min="1035" max="1035" width="7.5703125" style="209" customWidth="1"/>
    <col min="1036" max="1036" width="7.7109375" style="209" customWidth="1"/>
    <col min="1037" max="1038" width="6.42578125" style="209" customWidth="1"/>
    <col min="1039" max="1039" width="7.28515625" style="209" customWidth="1"/>
    <col min="1040" max="1040" width="7.85546875" style="209" customWidth="1"/>
    <col min="1041" max="1041" width="6.42578125" style="209" customWidth="1"/>
    <col min="1042" max="1042" width="7.28515625" style="209" customWidth="1"/>
    <col min="1043" max="1043" width="7.5703125" style="209" customWidth="1"/>
    <col min="1044" max="1044" width="8" style="209" customWidth="1"/>
    <col min="1045" max="1046" width="6.42578125" style="209" customWidth="1"/>
    <col min="1047" max="1047" width="7.28515625" style="209" customWidth="1"/>
    <col min="1048" max="1048" width="8.28515625" style="209" customWidth="1"/>
    <col min="1049" max="1050" width="6.42578125" style="209" customWidth="1"/>
    <col min="1051" max="1051" width="7.28515625" style="209" customWidth="1"/>
    <col min="1052" max="1052" width="8.28515625" style="209" customWidth="1"/>
    <col min="1053" max="1054" width="6.42578125" style="209" customWidth="1"/>
    <col min="1055" max="1055" width="7.28515625" style="209" customWidth="1"/>
    <col min="1056" max="1056" width="8.28515625" style="209" customWidth="1"/>
    <col min="1057" max="1280" width="11.42578125" style="209"/>
    <col min="1281" max="1281" width="2" style="209" customWidth="1"/>
    <col min="1282" max="1282" width="15.85546875" style="209" customWidth="1"/>
    <col min="1283" max="1283" width="9.28515625" style="209" bestFit="1" customWidth="1"/>
    <col min="1284" max="1284" width="50.28515625" style="209" customWidth="1"/>
    <col min="1285" max="1286" width="6.5703125" style="209" customWidth="1"/>
    <col min="1287" max="1287" width="7.5703125" style="209" customWidth="1"/>
    <col min="1288" max="1288" width="7.42578125" style="209" customWidth="1"/>
    <col min="1289" max="1289" width="8.42578125" style="209" customWidth="1"/>
    <col min="1290" max="1290" width="7.28515625" style="209" customWidth="1"/>
    <col min="1291" max="1291" width="7.5703125" style="209" customWidth="1"/>
    <col min="1292" max="1292" width="7.7109375" style="209" customWidth="1"/>
    <col min="1293" max="1294" width="6.42578125" style="209" customWidth="1"/>
    <col min="1295" max="1295" width="7.28515625" style="209" customWidth="1"/>
    <col min="1296" max="1296" width="7.85546875" style="209" customWidth="1"/>
    <col min="1297" max="1297" width="6.42578125" style="209" customWidth="1"/>
    <col min="1298" max="1298" width="7.28515625" style="209" customWidth="1"/>
    <col min="1299" max="1299" width="7.5703125" style="209" customWidth="1"/>
    <col min="1300" max="1300" width="8" style="209" customWidth="1"/>
    <col min="1301" max="1302" width="6.42578125" style="209" customWidth="1"/>
    <col min="1303" max="1303" width="7.28515625" style="209" customWidth="1"/>
    <col min="1304" max="1304" width="8.28515625" style="209" customWidth="1"/>
    <col min="1305" max="1306" width="6.42578125" style="209" customWidth="1"/>
    <col min="1307" max="1307" width="7.28515625" style="209" customWidth="1"/>
    <col min="1308" max="1308" width="8.28515625" style="209" customWidth="1"/>
    <col min="1309" max="1310" width="6.42578125" style="209" customWidth="1"/>
    <col min="1311" max="1311" width="7.28515625" style="209" customWidth="1"/>
    <col min="1312" max="1312" width="8.28515625" style="209" customWidth="1"/>
    <col min="1313" max="1536" width="11.42578125" style="209"/>
    <col min="1537" max="1537" width="2" style="209" customWidth="1"/>
    <col min="1538" max="1538" width="15.85546875" style="209" customWidth="1"/>
    <col min="1539" max="1539" width="9.28515625" style="209" bestFit="1" customWidth="1"/>
    <col min="1540" max="1540" width="50.28515625" style="209" customWidth="1"/>
    <col min="1541" max="1542" width="6.5703125" style="209" customWidth="1"/>
    <col min="1543" max="1543" width="7.5703125" style="209" customWidth="1"/>
    <col min="1544" max="1544" width="7.42578125" style="209" customWidth="1"/>
    <col min="1545" max="1545" width="8.42578125" style="209" customWidth="1"/>
    <col min="1546" max="1546" width="7.28515625" style="209" customWidth="1"/>
    <col min="1547" max="1547" width="7.5703125" style="209" customWidth="1"/>
    <col min="1548" max="1548" width="7.7109375" style="209" customWidth="1"/>
    <col min="1549" max="1550" width="6.42578125" style="209" customWidth="1"/>
    <col min="1551" max="1551" width="7.28515625" style="209" customWidth="1"/>
    <col min="1552" max="1552" width="7.85546875" style="209" customWidth="1"/>
    <col min="1553" max="1553" width="6.42578125" style="209" customWidth="1"/>
    <col min="1554" max="1554" width="7.28515625" style="209" customWidth="1"/>
    <col min="1555" max="1555" width="7.5703125" style="209" customWidth="1"/>
    <col min="1556" max="1556" width="8" style="209" customWidth="1"/>
    <col min="1557" max="1558" width="6.42578125" style="209" customWidth="1"/>
    <col min="1559" max="1559" width="7.28515625" style="209" customWidth="1"/>
    <col min="1560" max="1560" width="8.28515625" style="209" customWidth="1"/>
    <col min="1561" max="1562" width="6.42578125" style="209" customWidth="1"/>
    <col min="1563" max="1563" width="7.28515625" style="209" customWidth="1"/>
    <col min="1564" max="1564" width="8.28515625" style="209" customWidth="1"/>
    <col min="1565" max="1566" width="6.42578125" style="209" customWidth="1"/>
    <col min="1567" max="1567" width="7.28515625" style="209" customWidth="1"/>
    <col min="1568" max="1568" width="8.28515625" style="209" customWidth="1"/>
    <col min="1569" max="1792" width="11.42578125" style="209"/>
    <col min="1793" max="1793" width="2" style="209" customWidth="1"/>
    <col min="1794" max="1794" width="15.85546875" style="209" customWidth="1"/>
    <col min="1795" max="1795" width="9.28515625" style="209" bestFit="1" customWidth="1"/>
    <col min="1796" max="1796" width="50.28515625" style="209" customWidth="1"/>
    <col min="1797" max="1798" width="6.5703125" style="209" customWidth="1"/>
    <col min="1799" max="1799" width="7.5703125" style="209" customWidth="1"/>
    <col min="1800" max="1800" width="7.42578125" style="209" customWidth="1"/>
    <col min="1801" max="1801" width="8.42578125" style="209" customWidth="1"/>
    <col min="1802" max="1802" width="7.28515625" style="209" customWidth="1"/>
    <col min="1803" max="1803" width="7.5703125" style="209" customWidth="1"/>
    <col min="1804" max="1804" width="7.7109375" style="209" customWidth="1"/>
    <col min="1805" max="1806" width="6.42578125" style="209" customWidth="1"/>
    <col min="1807" max="1807" width="7.28515625" style="209" customWidth="1"/>
    <col min="1808" max="1808" width="7.85546875" style="209" customWidth="1"/>
    <col min="1809" max="1809" width="6.42578125" style="209" customWidth="1"/>
    <col min="1810" max="1810" width="7.28515625" style="209" customWidth="1"/>
    <col min="1811" max="1811" width="7.5703125" style="209" customWidth="1"/>
    <col min="1812" max="1812" width="8" style="209" customWidth="1"/>
    <col min="1813" max="1814" width="6.42578125" style="209" customWidth="1"/>
    <col min="1815" max="1815" width="7.28515625" style="209" customWidth="1"/>
    <col min="1816" max="1816" width="8.28515625" style="209" customWidth="1"/>
    <col min="1817" max="1818" width="6.42578125" style="209" customWidth="1"/>
    <col min="1819" max="1819" width="7.28515625" style="209" customWidth="1"/>
    <col min="1820" max="1820" width="8.28515625" style="209" customWidth="1"/>
    <col min="1821" max="1822" width="6.42578125" style="209" customWidth="1"/>
    <col min="1823" max="1823" width="7.28515625" style="209" customWidth="1"/>
    <col min="1824" max="1824" width="8.28515625" style="209" customWidth="1"/>
    <col min="1825" max="2048" width="11.42578125" style="209"/>
    <col min="2049" max="2049" width="2" style="209" customWidth="1"/>
    <col min="2050" max="2050" width="15.85546875" style="209" customWidth="1"/>
    <col min="2051" max="2051" width="9.28515625" style="209" bestFit="1" customWidth="1"/>
    <col min="2052" max="2052" width="50.28515625" style="209" customWidth="1"/>
    <col min="2053" max="2054" width="6.5703125" style="209" customWidth="1"/>
    <col min="2055" max="2055" width="7.5703125" style="209" customWidth="1"/>
    <col min="2056" max="2056" width="7.42578125" style="209" customWidth="1"/>
    <col min="2057" max="2057" width="8.42578125" style="209" customWidth="1"/>
    <col min="2058" max="2058" width="7.28515625" style="209" customWidth="1"/>
    <col min="2059" max="2059" width="7.5703125" style="209" customWidth="1"/>
    <col min="2060" max="2060" width="7.7109375" style="209" customWidth="1"/>
    <col min="2061" max="2062" width="6.42578125" style="209" customWidth="1"/>
    <col min="2063" max="2063" width="7.28515625" style="209" customWidth="1"/>
    <col min="2064" max="2064" width="7.85546875" style="209" customWidth="1"/>
    <col min="2065" max="2065" width="6.42578125" style="209" customWidth="1"/>
    <col min="2066" max="2066" width="7.28515625" style="209" customWidth="1"/>
    <col min="2067" max="2067" width="7.5703125" style="209" customWidth="1"/>
    <col min="2068" max="2068" width="8" style="209" customWidth="1"/>
    <col min="2069" max="2070" width="6.42578125" style="209" customWidth="1"/>
    <col min="2071" max="2071" width="7.28515625" style="209" customWidth="1"/>
    <col min="2072" max="2072" width="8.28515625" style="209" customWidth="1"/>
    <col min="2073" max="2074" width="6.42578125" style="209" customWidth="1"/>
    <col min="2075" max="2075" width="7.28515625" style="209" customWidth="1"/>
    <col min="2076" max="2076" width="8.28515625" style="209" customWidth="1"/>
    <col min="2077" max="2078" width="6.42578125" style="209" customWidth="1"/>
    <col min="2079" max="2079" width="7.28515625" style="209" customWidth="1"/>
    <col min="2080" max="2080" width="8.28515625" style="209" customWidth="1"/>
    <col min="2081" max="2304" width="11.42578125" style="209"/>
    <col min="2305" max="2305" width="2" style="209" customWidth="1"/>
    <col min="2306" max="2306" width="15.85546875" style="209" customWidth="1"/>
    <col min="2307" max="2307" width="9.28515625" style="209" bestFit="1" customWidth="1"/>
    <col min="2308" max="2308" width="50.28515625" style="209" customWidth="1"/>
    <col min="2309" max="2310" width="6.5703125" style="209" customWidth="1"/>
    <col min="2311" max="2311" width="7.5703125" style="209" customWidth="1"/>
    <col min="2312" max="2312" width="7.42578125" style="209" customWidth="1"/>
    <col min="2313" max="2313" width="8.42578125" style="209" customWidth="1"/>
    <col min="2314" max="2314" width="7.28515625" style="209" customWidth="1"/>
    <col min="2315" max="2315" width="7.5703125" style="209" customWidth="1"/>
    <col min="2316" max="2316" width="7.7109375" style="209" customWidth="1"/>
    <col min="2317" max="2318" width="6.42578125" style="209" customWidth="1"/>
    <col min="2319" max="2319" width="7.28515625" style="209" customWidth="1"/>
    <col min="2320" max="2320" width="7.85546875" style="209" customWidth="1"/>
    <col min="2321" max="2321" width="6.42578125" style="209" customWidth="1"/>
    <col min="2322" max="2322" width="7.28515625" style="209" customWidth="1"/>
    <col min="2323" max="2323" width="7.5703125" style="209" customWidth="1"/>
    <col min="2324" max="2324" width="8" style="209" customWidth="1"/>
    <col min="2325" max="2326" width="6.42578125" style="209" customWidth="1"/>
    <col min="2327" max="2327" width="7.28515625" style="209" customWidth="1"/>
    <col min="2328" max="2328" width="8.28515625" style="209" customWidth="1"/>
    <col min="2329" max="2330" width="6.42578125" style="209" customWidth="1"/>
    <col min="2331" max="2331" width="7.28515625" style="209" customWidth="1"/>
    <col min="2332" max="2332" width="8.28515625" style="209" customWidth="1"/>
    <col min="2333" max="2334" width="6.42578125" style="209" customWidth="1"/>
    <col min="2335" max="2335" width="7.28515625" style="209" customWidth="1"/>
    <col min="2336" max="2336" width="8.28515625" style="209" customWidth="1"/>
    <col min="2337" max="2560" width="11.42578125" style="209"/>
    <col min="2561" max="2561" width="2" style="209" customWidth="1"/>
    <col min="2562" max="2562" width="15.85546875" style="209" customWidth="1"/>
    <col min="2563" max="2563" width="9.28515625" style="209" bestFit="1" customWidth="1"/>
    <col min="2564" max="2564" width="50.28515625" style="209" customWidth="1"/>
    <col min="2565" max="2566" width="6.5703125" style="209" customWidth="1"/>
    <col min="2567" max="2567" width="7.5703125" style="209" customWidth="1"/>
    <col min="2568" max="2568" width="7.42578125" style="209" customWidth="1"/>
    <col min="2569" max="2569" width="8.42578125" style="209" customWidth="1"/>
    <col min="2570" max="2570" width="7.28515625" style="209" customWidth="1"/>
    <col min="2571" max="2571" width="7.5703125" style="209" customWidth="1"/>
    <col min="2572" max="2572" width="7.7109375" style="209" customWidth="1"/>
    <col min="2573" max="2574" width="6.42578125" style="209" customWidth="1"/>
    <col min="2575" max="2575" width="7.28515625" style="209" customWidth="1"/>
    <col min="2576" max="2576" width="7.85546875" style="209" customWidth="1"/>
    <col min="2577" max="2577" width="6.42578125" style="209" customWidth="1"/>
    <col min="2578" max="2578" width="7.28515625" style="209" customWidth="1"/>
    <col min="2579" max="2579" width="7.5703125" style="209" customWidth="1"/>
    <col min="2580" max="2580" width="8" style="209" customWidth="1"/>
    <col min="2581" max="2582" width="6.42578125" style="209" customWidth="1"/>
    <col min="2583" max="2583" width="7.28515625" style="209" customWidth="1"/>
    <col min="2584" max="2584" width="8.28515625" style="209" customWidth="1"/>
    <col min="2585" max="2586" width="6.42578125" style="209" customWidth="1"/>
    <col min="2587" max="2587" width="7.28515625" style="209" customWidth="1"/>
    <col min="2588" max="2588" width="8.28515625" style="209" customWidth="1"/>
    <col min="2589" max="2590" width="6.42578125" style="209" customWidth="1"/>
    <col min="2591" max="2591" width="7.28515625" style="209" customWidth="1"/>
    <col min="2592" max="2592" width="8.28515625" style="209" customWidth="1"/>
    <col min="2593" max="2816" width="11.42578125" style="209"/>
    <col min="2817" max="2817" width="2" style="209" customWidth="1"/>
    <col min="2818" max="2818" width="15.85546875" style="209" customWidth="1"/>
    <col min="2819" max="2819" width="9.28515625" style="209" bestFit="1" customWidth="1"/>
    <col min="2820" max="2820" width="50.28515625" style="209" customWidth="1"/>
    <col min="2821" max="2822" width="6.5703125" style="209" customWidth="1"/>
    <col min="2823" max="2823" width="7.5703125" style="209" customWidth="1"/>
    <col min="2824" max="2824" width="7.42578125" style="209" customWidth="1"/>
    <col min="2825" max="2825" width="8.42578125" style="209" customWidth="1"/>
    <col min="2826" max="2826" width="7.28515625" style="209" customWidth="1"/>
    <col min="2827" max="2827" width="7.5703125" style="209" customWidth="1"/>
    <col min="2828" max="2828" width="7.7109375" style="209" customWidth="1"/>
    <col min="2829" max="2830" width="6.42578125" style="209" customWidth="1"/>
    <col min="2831" max="2831" width="7.28515625" style="209" customWidth="1"/>
    <col min="2832" max="2832" width="7.85546875" style="209" customWidth="1"/>
    <col min="2833" max="2833" width="6.42578125" style="209" customWidth="1"/>
    <col min="2834" max="2834" width="7.28515625" style="209" customWidth="1"/>
    <col min="2835" max="2835" width="7.5703125" style="209" customWidth="1"/>
    <col min="2836" max="2836" width="8" style="209" customWidth="1"/>
    <col min="2837" max="2838" width="6.42578125" style="209" customWidth="1"/>
    <col min="2839" max="2839" width="7.28515625" style="209" customWidth="1"/>
    <col min="2840" max="2840" width="8.28515625" style="209" customWidth="1"/>
    <col min="2841" max="2842" width="6.42578125" style="209" customWidth="1"/>
    <col min="2843" max="2843" width="7.28515625" style="209" customWidth="1"/>
    <col min="2844" max="2844" width="8.28515625" style="209" customWidth="1"/>
    <col min="2845" max="2846" width="6.42578125" style="209" customWidth="1"/>
    <col min="2847" max="2847" width="7.28515625" style="209" customWidth="1"/>
    <col min="2848" max="2848" width="8.28515625" style="209" customWidth="1"/>
    <col min="2849" max="3072" width="11.42578125" style="209"/>
    <col min="3073" max="3073" width="2" style="209" customWidth="1"/>
    <col min="3074" max="3074" width="15.85546875" style="209" customWidth="1"/>
    <col min="3075" max="3075" width="9.28515625" style="209" bestFit="1" customWidth="1"/>
    <col min="3076" max="3076" width="50.28515625" style="209" customWidth="1"/>
    <col min="3077" max="3078" width="6.5703125" style="209" customWidth="1"/>
    <col min="3079" max="3079" width="7.5703125" style="209" customWidth="1"/>
    <col min="3080" max="3080" width="7.42578125" style="209" customWidth="1"/>
    <col min="3081" max="3081" width="8.42578125" style="209" customWidth="1"/>
    <col min="3082" max="3082" width="7.28515625" style="209" customWidth="1"/>
    <col min="3083" max="3083" width="7.5703125" style="209" customWidth="1"/>
    <col min="3084" max="3084" width="7.7109375" style="209" customWidth="1"/>
    <col min="3085" max="3086" width="6.42578125" style="209" customWidth="1"/>
    <col min="3087" max="3087" width="7.28515625" style="209" customWidth="1"/>
    <col min="3088" max="3088" width="7.85546875" style="209" customWidth="1"/>
    <col min="3089" max="3089" width="6.42578125" style="209" customWidth="1"/>
    <col min="3090" max="3090" width="7.28515625" style="209" customWidth="1"/>
    <col min="3091" max="3091" width="7.5703125" style="209" customWidth="1"/>
    <col min="3092" max="3092" width="8" style="209" customWidth="1"/>
    <col min="3093" max="3094" width="6.42578125" style="209" customWidth="1"/>
    <col min="3095" max="3095" width="7.28515625" style="209" customWidth="1"/>
    <col min="3096" max="3096" width="8.28515625" style="209" customWidth="1"/>
    <col min="3097" max="3098" width="6.42578125" style="209" customWidth="1"/>
    <col min="3099" max="3099" width="7.28515625" style="209" customWidth="1"/>
    <col min="3100" max="3100" width="8.28515625" style="209" customWidth="1"/>
    <col min="3101" max="3102" width="6.42578125" style="209" customWidth="1"/>
    <col min="3103" max="3103" width="7.28515625" style="209" customWidth="1"/>
    <col min="3104" max="3104" width="8.28515625" style="209" customWidth="1"/>
    <col min="3105" max="3328" width="11.42578125" style="209"/>
    <col min="3329" max="3329" width="2" style="209" customWidth="1"/>
    <col min="3330" max="3330" width="15.85546875" style="209" customWidth="1"/>
    <col min="3331" max="3331" width="9.28515625" style="209" bestFit="1" customWidth="1"/>
    <col min="3332" max="3332" width="50.28515625" style="209" customWidth="1"/>
    <col min="3333" max="3334" width="6.5703125" style="209" customWidth="1"/>
    <col min="3335" max="3335" width="7.5703125" style="209" customWidth="1"/>
    <col min="3336" max="3336" width="7.42578125" style="209" customWidth="1"/>
    <col min="3337" max="3337" width="8.42578125" style="209" customWidth="1"/>
    <col min="3338" max="3338" width="7.28515625" style="209" customWidth="1"/>
    <col min="3339" max="3339" width="7.5703125" style="209" customWidth="1"/>
    <col min="3340" max="3340" width="7.7109375" style="209" customWidth="1"/>
    <col min="3341" max="3342" width="6.42578125" style="209" customWidth="1"/>
    <col min="3343" max="3343" width="7.28515625" style="209" customWidth="1"/>
    <col min="3344" max="3344" width="7.85546875" style="209" customWidth="1"/>
    <col min="3345" max="3345" width="6.42578125" style="209" customWidth="1"/>
    <col min="3346" max="3346" width="7.28515625" style="209" customWidth="1"/>
    <col min="3347" max="3347" width="7.5703125" style="209" customWidth="1"/>
    <col min="3348" max="3348" width="8" style="209" customWidth="1"/>
    <col min="3349" max="3350" width="6.42578125" style="209" customWidth="1"/>
    <col min="3351" max="3351" width="7.28515625" style="209" customWidth="1"/>
    <col min="3352" max="3352" width="8.28515625" style="209" customWidth="1"/>
    <col min="3353" max="3354" width="6.42578125" style="209" customWidth="1"/>
    <col min="3355" max="3355" width="7.28515625" style="209" customWidth="1"/>
    <col min="3356" max="3356" width="8.28515625" style="209" customWidth="1"/>
    <col min="3357" max="3358" width="6.42578125" style="209" customWidth="1"/>
    <col min="3359" max="3359" width="7.28515625" style="209" customWidth="1"/>
    <col min="3360" max="3360" width="8.28515625" style="209" customWidth="1"/>
    <col min="3361" max="3584" width="11.42578125" style="209"/>
    <col min="3585" max="3585" width="2" style="209" customWidth="1"/>
    <col min="3586" max="3586" width="15.85546875" style="209" customWidth="1"/>
    <col min="3587" max="3587" width="9.28515625" style="209" bestFit="1" customWidth="1"/>
    <col min="3588" max="3588" width="50.28515625" style="209" customWidth="1"/>
    <col min="3589" max="3590" width="6.5703125" style="209" customWidth="1"/>
    <col min="3591" max="3591" width="7.5703125" style="209" customWidth="1"/>
    <col min="3592" max="3592" width="7.42578125" style="209" customWidth="1"/>
    <col min="3593" max="3593" width="8.42578125" style="209" customWidth="1"/>
    <col min="3594" max="3594" width="7.28515625" style="209" customWidth="1"/>
    <col min="3595" max="3595" width="7.5703125" style="209" customWidth="1"/>
    <col min="3596" max="3596" width="7.7109375" style="209" customWidth="1"/>
    <col min="3597" max="3598" width="6.42578125" style="209" customWidth="1"/>
    <col min="3599" max="3599" width="7.28515625" style="209" customWidth="1"/>
    <col min="3600" max="3600" width="7.85546875" style="209" customWidth="1"/>
    <col min="3601" max="3601" width="6.42578125" style="209" customWidth="1"/>
    <col min="3602" max="3602" width="7.28515625" style="209" customWidth="1"/>
    <col min="3603" max="3603" width="7.5703125" style="209" customWidth="1"/>
    <col min="3604" max="3604" width="8" style="209" customWidth="1"/>
    <col min="3605" max="3606" width="6.42578125" style="209" customWidth="1"/>
    <col min="3607" max="3607" width="7.28515625" style="209" customWidth="1"/>
    <col min="3608" max="3608" width="8.28515625" style="209" customWidth="1"/>
    <col min="3609" max="3610" width="6.42578125" style="209" customWidth="1"/>
    <col min="3611" max="3611" width="7.28515625" style="209" customWidth="1"/>
    <col min="3612" max="3612" width="8.28515625" style="209" customWidth="1"/>
    <col min="3613" max="3614" width="6.42578125" style="209" customWidth="1"/>
    <col min="3615" max="3615" width="7.28515625" style="209" customWidth="1"/>
    <col min="3616" max="3616" width="8.28515625" style="209" customWidth="1"/>
    <col min="3617" max="3840" width="11.42578125" style="209"/>
    <col min="3841" max="3841" width="2" style="209" customWidth="1"/>
    <col min="3842" max="3842" width="15.85546875" style="209" customWidth="1"/>
    <col min="3843" max="3843" width="9.28515625" style="209" bestFit="1" customWidth="1"/>
    <col min="3844" max="3844" width="50.28515625" style="209" customWidth="1"/>
    <col min="3845" max="3846" width="6.5703125" style="209" customWidth="1"/>
    <col min="3847" max="3847" width="7.5703125" style="209" customWidth="1"/>
    <col min="3848" max="3848" width="7.42578125" style="209" customWidth="1"/>
    <col min="3849" max="3849" width="8.42578125" style="209" customWidth="1"/>
    <col min="3850" max="3850" width="7.28515625" style="209" customWidth="1"/>
    <col min="3851" max="3851" width="7.5703125" style="209" customWidth="1"/>
    <col min="3852" max="3852" width="7.7109375" style="209" customWidth="1"/>
    <col min="3853" max="3854" width="6.42578125" style="209" customWidth="1"/>
    <col min="3855" max="3855" width="7.28515625" style="209" customWidth="1"/>
    <col min="3856" max="3856" width="7.85546875" style="209" customWidth="1"/>
    <col min="3857" max="3857" width="6.42578125" style="209" customWidth="1"/>
    <col min="3858" max="3858" width="7.28515625" style="209" customWidth="1"/>
    <col min="3859" max="3859" width="7.5703125" style="209" customWidth="1"/>
    <col min="3860" max="3860" width="8" style="209" customWidth="1"/>
    <col min="3861" max="3862" width="6.42578125" style="209" customWidth="1"/>
    <col min="3863" max="3863" width="7.28515625" style="209" customWidth="1"/>
    <col min="3864" max="3864" width="8.28515625" style="209" customWidth="1"/>
    <col min="3865" max="3866" width="6.42578125" style="209" customWidth="1"/>
    <col min="3867" max="3867" width="7.28515625" style="209" customWidth="1"/>
    <col min="3868" max="3868" width="8.28515625" style="209" customWidth="1"/>
    <col min="3869" max="3870" width="6.42578125" style="209" customWidth="1"/>
    <col min="3871" max="3871" width="7.28515625" style="209" customWidth="1"/>
    <col min="3872" max="3872" width="8.28515625" style="209" customWidth="1"/>
    <col min="3873" max="4096" width="11.42578125" style="209"/>
    <col min="4097" max="4097" width="2" style="209" customWidth="1"/>
    <col min="4098" max="4098" width="15.85546875" style="209" customWidth="1"/>
    <col min="4099" max="4099" width="9.28515625" style="209" bestFit="1" customWidth="1"/>
    <col min="4100" max="4100" width="50.28515625" style="209" customWidth="1"/>
    <col min="4101" max="4102" width="6.5703125" style="209" customWidth="1"/>
    <col min="4103" max="4103" width="7.5703125" style="209" customWidth="1"/>
    <col min="4104" max="4104" width="7.42578125" style="209" customWidth="1"/>
    <col min="4105" max="4105" width="8.42578125" style="209" customWidth="1"/>
    <col min="4106" max="4106" width="7.28515625" style="209" customWidth="1"/>
    <col min="4107" max="4107" width="7.5703125" style="209" customWidth="1"/>
    <col min="4108" max="4108" width="7.7109375" style="209" customWidth="1"/>
    <col min="4109" max="4110" width="6.42578125" style="209" customWidth="1"/>
    <col min="4111" max="4111" width="7.28515625" style="209" customWidth="1"/>
    <col min="4112" max="4112" width="7.85546875" style="209" customWidth="1"/>
    <col min="4113" max="4113" width="6.42578125" style="209" customWidth="1"/>
    <col min="4114" max="4114" width="7.28515625" style="209" customWidth="1"/>
    <col min="4115" max="4115" width="7.5703125" style="209" customWidth="1"/>
    <col min="4116" max="4116" width="8" style="209" customWidth="1"/>
    <col min="4117" max="4118" width="6.42578125" style="209" customWidth="1"/>
    <col min="4119" max="4119" width="7.28515625" style="209" customWidth="1"/>
    <col min="4120" max="4120" width="8.28515625" style="209" customWidth="1"/>
    <col min="4121" max="4122" width="6.42578125" style="209" customWidth="1"/>
    <col min="4123" max="4123" width="7.28515625" style="209" customWidth="1"/>
    <col min="4124" max="4124" width="8.28515625" style="209" customWidth="1"/>
    <col min="4125" max="4126" width="6.42578125" style="209" customWidth="1"/>
    <col min="4127" max="4127" width="7.28515625" style="209" customWidth="1"/>
    <col min="4128" max="4128" width="8.28515625" style="209" customWidth="1"/>
    <col min="4129" max="4352" width="11.42578125" style="209"/>
    <col min="4353" max="4353" width="2" style="209" customWidth="1"/>
    <col min="4354" max="4354" width="15.85546875" style="209" customWidth="1"/>
    <col min="4355" max="4355" width="9.28515625" style="209" bestFit="1" customWidth="1"/>
    <col min="4356" max="4356" width="50.28515625" style="209" customWidth="1"/>
    <col min="4357" max="4358" width="6.5703125" style="209" customWidth="1"/>
    <col min="4359" max="4359" width="7.5703125" style="209" customWidth="1"/>
    <col min="4360" max="4360" width="7.42578125" style="209" customWidth="1"/>
    <col min="4361" max="4361" width="8.42578125" style="209" customWidth="1"/>
    <col min="4362" max="4362" width="7.28515625" style="209" customWidth="1"/>
    <col min="4363" max="4363" width="7.5703125" style="209" customWidth="1"/>
    <col min="4364" max="4364" width="7.7109375" style="209" customWidth="1"/>
    <col min="4365" max="4366" width="6.42578125" style="209" customWidth="1"/>
    <col min="4367" max="4367" width="7.28515625" style="209" customWidth="1"/>
    <col min="4368" max="4368" width="7.85546875" style="209" customWidth="1"/>
    <col min="4369" max="4369" width="6.42578125" style="209" customWidth="1"/>
    <col min="4370" max="4370" width="7.28515625" style="209" customWidth="1"/>
    <col min="4371" max="4371" width="7.5703125" style="209" customWidth="1"/>
    <col min="4372" max="4372" width="8" style="209" customWidth="1"/>
    <col min="4373" max="4374" width="6.42578125" style="209" customWidth="1"/>
    <col min="4375" max="4375" width="7.28515625" style="209" customWidth="1"/>
    <col min="4376" max="4376" width="8.28515625" style="209" customWidth="1"/>
    <col min="4377" max="4378" width="6.42578125" style="209" customWidth="1"/>
    <col min="4379" max="4379" width="7.28515625" style="209" customWidth="1"/>
    <col min="4380" max="4380" width="8.28515625" style="209" customWidth="1"/>
    <col min="4381" max="4382" width="6.42578125" style="209" customWidth="1"/>
    <col min="4383" max="4383" width="7.28515625" style="209" customWidth="1"/>
    <col min="4384" max="4384" width="8.28515625" style="209" customWidth="1"/>
    <col min="4385" max="4608" width="11.42578125" style="209"/>
    <col min="4609" max="4609" width="2" style="209" customWidth="1"/>
    <col min="4610" max="4610" width="15.85546875" style="209" customWidth="1"/>
    <col min="4611" max="4611" width="9.28515625" style="209" bestFit="1" customWidth="1"/>
    <col min="4612" max="4612" width="50.28515625" style="209" customWidth="1"/>
    <col min="4613" max="4614" width="6.5703125" style="209" customWidth="1"/>
    <col min="4615" max="4615" width="7.5703125" style="209" customWidth="1"/>
    <col min="4616" max="4616" width="7.42578125" style="209" customWidth="1"/>
    <col min="4617" max="4617" width="8.42578125" style="209" customWidth="1"/>
    <col min="4618" max="4618" width="7.28515625" style="209" customWidth="1"/>
    <col min="4619" max="4619" width="7.5703125" style="209" customWidth="1"/>
    <col min="4620" max="4620" width="7.7109375" style="209" customWidth="1"/>
    <col min="4621" max="4622" width="6.42578125" style="209" customWidth="1"/>
    <col min="4623" max="4623" width="7.28515625" style="209" customWidth="1"/>
    <col min="4624" max="4624" width="7.85546875" style="209" customWidth="1"/>
    <col min="4625" max="4625" width="6.42578125" style="209" customWidth="1"/>
    <col min="4626" max="4626" width="7.28515625" style="209" customWidth="1"/>
    <col min="4627" max="4627" width="7.5703125" style="209" customWidth="1"/>
    <col min="4628" max="4628" width="8" style="209" customWidth="1"/>
    <col min="4629" max="4630" width="6.42578125" style="209" customWidth="1"/>
    <col min="4631" max="4631" width="7.28515625" style="209" customWidth="1"/>
    <col min="4632" max="4632" width="8.28515625" style="209" customWidth="1"/>
    <col min="4633" max="4634" width="6.42578125" style="209" customWidth="1"/>
    <col min="4635" max="4635" width="7.28515625" style="209" customWidth="1"/>
    <col min="4636" max="4636" width="8.28515625" style="209" customWidth="1"/>
    <col min="4637" max="4638" width="6.42578125" style="209" customWidth="1"/>
    <col min="4639" max="4639" width="7.28515625" style="209" customWidth="1"/>
    <col min="4640" max="4640" width="8.28515625" style="209" customWidth="1"/>
    <col min="4641" max="4864" width="11.42578125" style="209"/>
    <col min="4865" max="4865" width="2" style="209" customWidth="1"/>
    <col min="4866" max="4866" width="15.85546875" style="209" customWidth="1"/>
    <col min="4867" max="4867" width="9.28515625" style="209" bestFit="1" customWidth="1"/>
    <col min="4868" max="4868" width="50.28515625" style="209" customWidth="1"/>
    <col min="4869" max="4870" width="6.5703125" style="209" customWidth="1"/>
    <col min="4871" max="4871" width="7.5703125" style="209" customWidth="1"/>
    <col min="4872" max="4872" width="7.42578125" style="209" customWidth="1"/>
    <col min="4873" max="4873" width="8.42578125" style="209" customWidth="1"/>
    <col min="4874" max="4874" width="7.28515625" style="209" customWidth="1"/>
    <col min="4875" max="4875" width="7.5703125" style="209" customWidth="1"/>
    <col min="4876" max="4876" width="7.7109375" style="209" customWidth="1"/>
    <col min="4877" max="4878" width="6.42578125" style="209" customWidth="1"/>
    <col min="4879" max="4879" width="7.28515625" style="209" customWidth="1"/>
    <col min="4880" max="4880" width="7.85546875" style="209" customWidth="1"/>
    <col min="4881" max="4881" width="6.42578125" style="209" customWidth="1"/>
    <col min="4882" max="4882" width="7.28515625" style="209" customWidth="1"/>
    <col min="4883" max="4883" width="7.5703125" style="209" customWidth="1"/>
    <col min="4884" max="4884" width="8" style="209" customWidth="1"/>
    <col min="4885" max="4886" width="6.42578125" style="209" customWidth="1"/>
    <col min="4887" max="4887" width="7.28515625" style="209" customWidth="1"/>
    <col min="4888" max="4888" width="8.28515625" style="209" customWidth="1"/>
    <col min="4889" max="4890" width="6.42578125" style="209" customWidth="1"/>
    <col min="4891" max="4891" width="7.28515625" style="209" customWidth="1"/>
    <col min="4892" max="4892" width="8.28515625" style="209" customWidth="1"/>
    <col min="4893" max="4894" width="6.42578125" style="209" customWidth="1"/>
    <col min="4895" max="4895" width="7.28515625" style="209" customWidth="1"/>
    <col min="4896" max="4896" width="8.28515625" style="209" customWidth="1"/>
    <col min="4897" max="5120" width="11.42578125" style="209"/>
    <col min="5121" max="5121" width="2" style="209" customWidth="1"/>
    <col min="5122" max="5122" width="15.85546875" style="209" customWidth="1"/>
    <col min="5123" max="5123" width="9.28515625" style="209" bestFit="1" customWidth="1"/>
    <col min="5124" max="5124" width="50.28515625" style="209" customWidth="1"/>
    <col min="5125" max="5126" width="6.5703125" style="209" customWidth="1"/>
    <col min="5127" max="5127" width="7.5703125" style="209" customWidth="1"/>
    <col min="5128" max="5128" width="7.42578125" style="209" customWidth="1"/>
    <col min="5129" max="5129" width="8.42578125" style="209" customWidth="1"/>
    <col min="5130" max="5130" width="7.28515625" style="209" customWidth="1"/>
    <col min="5131" max="5131" width="7.5703125" style="209" customWidth="1"/>
    <col min="5132" max="5132" width="7.7109375" style="209" customWidth="1"/>
    <col min="5133" max="5134" width="6.42578125" style="209" customWidth="1"/>
    <col min="5135" max="5135" width="7.28515625" style="209" customWidth="1"/>
    <col min="5136" max="5136" width="7.85546875" style="209" customWidth="1"/>
    <col min="5137" max="5137" width="6.42578125" style="209" customWidth="1"/>
    <col min="5138" max="5138" width="7.28515625" style="209" customWidth="1"/>
    <col min="5139" max="5139" width="7.5703125" style="209" customWidth="1"/>
    <col min="5140" max="5140" width="8" style="209" customWidth="1"/>
    <col min="5141" max="5142" width="6.42578125" style="209" customWidth="1"/>
    <col min="5143" max="5143" width="7.28515625" style="209" customWidth="1"/>
    <col min="5144" max="5144" width="8.28515625" style="209" customWidth="1"/>
    <col min="5145" max="5146" width="6.42578125" style="209" customWidth="1"/>
    <col min="5147" max="5147" width="7.28515625" style="209" customWidth="1"/>
    <col min="5148" max="5148" width="8.28515625" style="209" customWidth="1"/>
    <col min="5149" max="5150" width="6.42578125" style="209" customWidth="1"/>
    <col min="5151" max="5151" width="7.28515625" style="209" customWidth="1"/>
    <col min="5152" max="5152" width="8.28515625" style="209" customWidth="1"/>
    <col min="5153" max="5376" width="11.42578125" style="209"/>
    <col min="5377" max="5377" width="2" style="209" customWidth="1"/>
    <col min="5378" max="5378" width="15.85546875" style="209" customWidth="1"/>
    <col min="5379" max="5379" width="9.28515625" style="209" bestFit="1" customWidth="1"/>
    <col min="5380" max="5380" width="50.28515625" style="209" customWidth="1"/>
    <col min="5381" max="5382" width="6.5703125" style="209" customWidth="1"/>
    <col min="5383" max="5383" width="7.5703125" style="209" customWidth="1"/>
    <col min="5384" max="5384" width="7.42578125" style="209" customWidth="1"/>
    <col min="5385" max="5385" width="8.42578125" style="209" customWidth="1"/>
    <col min="5386" max="5386" width="7.28515625" style="209" customWidth="1"/>
    <col min="5387" max="5387" width="7.5703125" style="209" customWidth="1"/>
    <col min="5388" max="5388" width="7.7109375" style="209" customWidth="1"/>
    <col min="5389" max="5390" width="6.42578125" style="209" customWidth="1"/>
    <col min="5391" max="5391" width="7.28515625" style="209" customWidth="1"/>
    <col min="5392" max="5392" width="7.85546875" style="209" customWidth="1"/>
    <col min="5393" max="5393" width="6.42578125" style="209" customWidth="1"/>
    <col min="5394" max="5394" width="7.28515625" style="209" customWidth="1"/>
    <col min="5395" max="5395" width="7.5703125" style="209" customWidth="1"/>
    <col min="5396" max="5396" width="8" style="209" customWidth="1"/>
    <col min="5397" max="5398" width="6.42578125" style="209" customWidth="1"/>
    <col min="5399" max="5399" width="7.28515625" style="209" customWidth="1"/>
    <col min="5400" max="5400" width="8.28515625" style="209" customWidth="1"/>
    <col min="5401" max="5402" width="6.42578125" style="209" customWidth="1"/>
    <col min="5403" max="5403" width="7.28515625" style="209" customWidth="1"/>
    <col min="5404" max="5404" width="8.28515625" style="209" customWidth="1"/>
    <col min="5405" max="5406" width="6.42578125" style="209" customWidth="1"/>
    <col min="5407" max="5407" width="7.28515625" style="209" customWidth="1"/>
    <col min="5408" max="5408" width="8.28515625" style="209" customWidth="1"/>
    <col min="5409" max="5632" width="11.42578125" style="209"/>
    <col min="5633" max="5633" width="2" style="209" customWidth="1"/>
    <col min="5634" max="5634" width="15.85546875" style="209" customWidth="1"/>
    <col min="5635" max="5635" width="9.28515625" style="209" bestFit="1" customWidth="1"/>
    <col min="5636" max="5636" width="50.28515625" style="209" customWidth="1"/>
    <col min="5637" max="5638" width="6.5703125" style="209" customWidth="1"/>
    <col min="5639" max="5639" width="7.5703125" style="209" customWidth="1"/>
    <col min="5640" max="5640" width="7.42578125" style="209" customWidth="1"/>
    <col min="5641" max="5641" width="8.42578125" style="209" customWidth="1"/>
    <col min="5642" max="5642" width="7.28515625" style="209" customWidth="1"/>
    <col min="5643" max="5643" width="7.5703125" style="209" customWidth="1"/>
    <col min="5644" max="5644" width="7.7109375" style="209" customWidth="1"/>
    <col min="5645" max="5646" width="6.42578125" style="209" customWidth="1"/>
    <col min="5647" max="5647" width="7.28515625" style="209" customWidth="1"/>
    <col min="5648" max="5648" width="7.85546875" style="209" customWidth="1"/>
    <col min="5649" max="5649" width="6.42578125" style="209" customWidth="1"/>
    <col min="5650" max="5650" width="7.28515625" style="209" customWidth="1"/>
    <col min="5651" max="5651" width="7.5703125" style="209" customWidth="1"/>
    <col min="5652" max="5652" width="8" style="209" customWidth="1"/>
    <col min="5653" max="5654" width="6.42578125" style="209" customWidth="1"/>
    <col min="5655" max="5655" width="7.28515625" style="209" customWidth="1"/>
    <col min="5656" max="5656" width="8.28515625" style="209" customWidth="1"/>
    <col min="5657" max="5658" width="6.42578125" style="209" customWidth="1"/>
    <col min="5659" max="5659" width="7.28515625" style="209" customWidth="1"/>
    <col min="5660" max="5660" width="8.28515625" style="209" customWidth="1"/>
    <col min="5661" max="5662" width="6.42578125" style="209" customWidth="1"/>
    <col min="5663" max="5663" width="7.28515625" style="209" customWidth="1"/>
    <col min="5664" max="5664" width="8.28515625" style="209" customWidth="1"/>
    <col min="5665" max="5888" width="11.42578125" style="209"/>
    <col min="5889" max="5889" width="2" style="209" customWidth="1"/>
    <col min="5890" max="5890" width="15.85546875" style="209" customWidth="1"/>
    <col min="5891" max="5891" width="9.28515625" style="209" bestFit="1" customWidth="1"/>
    <col min="5892" max="5892" width="50.28515625" style="209" customWidth="1"/>
    <col min="5893" max="5894" width="6.5703125" style="209" customWidth="1"/>
    <col min="5895" max="5895" width="7.5703125" style="209" customWidth="1"/>
    <col min="5896" max="5896" width="7.42578125" style="209" customWidth="1"/>
    <col min="5897" max="5897" width="8.42578125" style="209" customWidth="1"/>
    <col min="5898" max="5898" width="7.28515625" style="209" customWidth="1"/>
    <col min="5899" max="5899" width="7.5703125" style="209" customWidth="1"/>
    <col min="5900" max="5900" width="7.7109375" style="209" customWidth="1"/>
    <col min="5901" max="5902" width="6.42578125" style="209" customWidth="1"/>
    <col min="5903" max="5903" width="7.28515625" style="209" customWidth="1"/>
    <col min="5904" max="5904" width="7.85546875" style="209" customWidth="1"/>
    <col min="5905" max="5905" width="6.42578125" style="209" customWidth="1"/>
    <col min="5906" max="5906" width="7.28515625" style="209" customWidth="1"/>
    <col min="5907" max="5907" width="7.5703125" style="209" customWidth="1"/>
    <col min="5908" max="5908" width="8" style="209" customWidth="1"/>
    <col min="5909" max="5910" width="6.42578125" style="209" customWidth="1"/>
    <col min="5911" max="5911" width="7.28515625" style="209" customWidth="1"/>
    <col min="5912" max="5912" width="8.28515625" style="209" customWidth="1"/>
    <col min="5913" max="5914" width="6.42578125" style="209" customWidth="1"/>
    <col min="5915" max="5915" width="7.28515625" style="209" customWidth="1"/>
    <col min="5916" max="5916" width="8.28515625" style="209" customWidth="1"/>
    <col min="5917" max="5918" width="6.42578125" style="209" customWidth="1"/>
    <col min="5919" max="5919" width="7.28515625" style="209" customWidth="1"/>
    <col min="5920" max="5920" width="8.28515625" style="209" customWidth="1"/>
    <col min="5921" max="6144" width="11.42578125" style="209"/>
    <col min="6145" max="6145" width="2" style="209" customWidth="1"/>
    <col min="6146" max="6146" width="15.85546875" style="209" customWidth="1"/>
    <col min="6147" max="6147" width="9.28515625" style="209" bestFit="1" customWidth="1"/>
    <col min="6148" max="6148" width="50.28515625" style="209" customWidth="1"/>
    <col min="6149" max="6150" width="6.5703125" style="209" customWidth="1"/>
    <col min="6151" max="6151" width="7.5703125" style="209" customWidth="1"/>
    <col min="6152" max="6152" width="7.42578125" style="209" customWidth="1"/>
    <col min="6153" max="6153" width="8.42578125" style="209" customWidth="1"/>
    <col min="6154" max="6154" width="7.28515625" style="209" customWidth="1"/>
    <col min="6155" max="6155" width="7.5703125" style="209" customWidth="1"/>
    <col min="6156" max="6156" width="7.7109375" style="209" customWidth="1"/>
    <col min="6157" max="6158" width="6.42578125" style="209" customWidth="1"/>
    <col min="6159" max="6159" width="7.28515625" style="209" customWidth="1"/>
    <col min="6160" max="6160" width="7.85546875" style="209" customWidth="1"/>
    <col min="6161" max="6161" width="6.42578125" style="209" customWidth="1"/>
    <col min="6162" max="6162" width="7.28515625" style="209" customWidth="1"/>
    <col min="6163" max="6163" width="7.5703125" style="209" customWidth="1"/>
    <col min="6164" max="6164" width="8" style="209" customWidth="1"/>
    <col min="6165" max="6166" width="6.42578125" style="209" customWidth="1"/>
    <col min="6167" max="6167" width="7.28515625" style="209" customWidth="1"/>
    <col min="6168" max="6168" width="8.28515625" style="209" customWidth="1"/>
    <col min="6169" max="6170" width="6.42578125" style="209" customWidth="1"/>
    <col min="6171" max="6171" width="7.28515625" style="209" customWidth="1"/>
    <col min="6172" max="6172" width="8.28515625" style="209" customWidth="1"/>
    <col min="6173" max="6174" width="6.42578125" style="209" customWidth="1"/>
    <col min="6175" max="6175" width="7.28515625" style="209" customWidth="1"/>
    <col min="6176" max="6176" width="8.28515625" style="209" customWidth="1"/>
    <col min="6177" max="6400" width="11.42578125" style="209"/>
    <col min="6401" max="6401" width="2" style="209" customWidth="1"/>
    <col min="6402" max="6402" width="15.85546875" style="209" customWidth="1"/>
    <col min="6403" max="6403" width="9.28515625" style="209" bestFit="1" customWidth="1"/>
    <col min="6404" max="6404" width="50.28515625" style="209" customWidth="1"/>
    <col min="6405" max="6406" width="6.5703125" style="209" customWidth="1"/>
    <col min="6407" max="6407" width="7.5703125" style="209" customWidth="1"/>
    <col min="6408" max="6408" width="7.42578125" style="209" customWidth="1"/>
    <col min="6409" max="6409" width="8.42578125" style="209" customWidth="1"/>
    <col min="6410" max="6410" width="7.28515625" style="209" customWidth="1"/>
    <col min="6411" max="6411" width="7.5703125" style="209" customWidth="1"/>
    <col min="6412" max="6412" width="7.7109375" style="209" customWidth="1"/>
    <col min="6413" max="6414" width="6.42578125" style="209" customWidth="1"/>
    <col min="6415" max="6415" width="7.28515625" style="209" customWidth="1"/>
    <col min="6416" max="6416" width="7.85546875" style="209" customWidth="1"/>
    <col min="6417" max="6417" width="6.42578125" style="209" customWidth="1"/>
    <col min="6418" max="6418" width="7.28515625" style="209" customWidth="1"/>
    <col min="6419" max="6419" width="7.5703125" style="209" customWidth="1"/>
    <col min="6420" max="6420" width="8" style="209" customWidth="1"/>
    <col min="6421" max="6422" width="6.42578125" style="209" customWidth="1"/>
    <col min="6423" max="6423" width="7.28515625" style="209" customWidth="1"/>
    <col min="6424" max="6424" width="8.28515625" style="209" customWidth="1"/>
    <col min="6425" max="6426" width="6.42578125" style="209" customWidth="1"/>
    <col min="6427" max="6427" width="7.28515625" style="209" customWidth="1"/>
    <col min="6428" max="6428" width="8.28515625" style="209" customWidth="1"/>
    <col min="6429" max="6430" width="6.42578125" style="209" customWidth="1"/>
    <col min="6431" max="6431" width="7.28515625" style="209" customWidth="1"/>
    <col min="6432" max="6432" width="8.28515625" style="209" customWidth="1"/>
    <col min="6433" max="6656" width="11.42578125" style="209"/>
    <col min="6657" max="6657" width="2" style="209" customWidth="1"/>
    <col min="6658" max="6658" width="15.85546875" style="209" customWidth="1"/>
    <col min="6659" max="6659" width="9.28515625" style="209" bestFit="1" customWidth="1"/>
    <col min="6660" max="6660" width="50.28515625" style="209" customWidth="1"/>
    <col min="6661" max="6662" width="6.5703125" style="209" customWidth="1"/>
    <col min="6663" max="6663" width="7.5703125" style="209" customWidth="1"/>
    <col min="6664" max="6664" width="7.42578125" style="209" customWidth="1"/>
    <col min="6665" max="6665" width="8.42578125" style="209" customWidth="1"/>
    <col min="6666" max="6666" width="7.28515625" style="209" customWidth="1"/>
    <col min="6667" max="6667" width="7.5703125" style="209" customWidth="1"/>
    <col min="6668" max="6668" width="7.7109375" style="209" customWidth="1"/>
    <col min="6669" max="6670" width="6.42578125" style="209" customWidth="1"/>
    <col min="6671" max="6671" width="7.28515625" style="209" customWidth="1"/>
    <col min="6672" max="6672" width="7.85546875" style="209" customWidth="1"/>
    <col min="6673" max="6673" width="6.42578125" style="209" customWidth="1"/>
    <col min="6674" max="6674" width="7.28515625" style="209" customWidth="1"/>
    <col min="6675" max="6675" width="7.5703125" style="209" customWidth="1"/>
    <col min="6676" max="6676" width="8" style="209" customWidth="1"/>
    <col min="6677" max="6678" width="6.42578125" style="209" customWidth="1"/>
    <col min="6679" max="6679" width="7.28515625" style="209" customWidth="1"/>
    <col min="6680" max="6680" width="8.28515625" style="209" customWidth="1"/>
    <col min="6681" max="6682" width="6.42578125" style="209" customWidth="1"/>
    <col min="6683" max="6683" width="7.28515625" style="209" customWidth="1"/>
    <col min="6684" max="6684" width="8.28515625" style="209" customWidth="1"/>
    <col min="6685" max="6686" width="6.42578125" style="209" customWidth="1"/>
    <col min="6687" max="6687" width="7.28515625" style="209" customWidth="1"/>
    <col min="6688" max="6688" width="8.28515625" style="209" customWidth="1"/>
    <col min="6689" max="6912" width="11.42578125" style="209"/>
    <col min="6913" max="6913" width="2" style="209" customWidth="1"/>
    <col min="6914" max="6914" width="15.85546875" style="209" customWidth="1"/>
    <col min="6915" max="6915" width="9.28515625" style="209" bestFit="1" customWidth="1"/>
    <col min="6916" max="6916" width="50.28515625" style="209" customWidth="1"/>
    <col min="6917" max="6918" width="6.5703125" style="209" customWidth="1"/>
    <col min="6919" max="6919" width="7.5703125" style="209" customWidth="1"/>
    <col min="6920" max="6920" width="7.42578125" style="209" customWidth="1"/>
    <col min="6921" max="6921" width="8.42578125" style="209" customWidth="1"/>
    <col min="6922" max="6922" width="7.28515625" style="209" customWidth="1"/>
    <col min="6923" max="6923" width="7.5703125" style="209" customWidth="1"/>
    <col min="6924" max="6924" width="7.7109375" style="209" customWidth="1"/>
    <col min="6925" max="6926" width="6.42578125" style="209" customWidth="1"/>
    <col min="6927" max="6927" width="7.28515625" style="209" customWidth="1"/>
    <col min="6928" max="6928" width="7.85546875" style="209" customWidth="1"/>
    <col min="6929" max="6929" width="6.42578125" style="209" customWidth="1"/>
    <col min="6930" max="6930" width="7.28515625" style="209" customWidth="1"/>
    <col min="6931" max="6931" width="7.5703125" style="209" customWidth="1"/>
    <col min="6932" max="6932" width="8" style="209" customWidth="1"/>
    <col min="6933" max="6934" width="6.42578125" style="209" customWidth="1"/>
    <col min="6935" max="6935" width="7.28515625" style="209" customWidth="1"/>
    <col min="6936" max="6936" width="8.28515625" style="209" customWidth="1"/>
    <col min="6937" max="6938" width="6.42578125" style="209" customWidth="1"/>
    <col min="6939" max="6939" width="7.28515625" style="209" customWidth="1"/>
    <col min="6940" max="6940" width="8.28515625" style="209" customWidth="1"/>
    <col min="6941" max="6942" width="6.42578125" style="209" customWidth="1"/>
    <col min="6943" max="6943" width="7.28515625" style="209" customWidth="1"/>
    <col min="6944" max="6944" width="8.28515625" style="209" customWidth="1"/>
    <col min="6945" max="7168" width="11.42578125" style="209"/>
    <col min="7169" max="7169" width="2" style="209" customWidth="1"/>
    <col min="7170" max="7170" width="15.85546875" style="209" customWidth="1"/>
    <col min="7171" max="7171" width="9.28515625" style="209" bestFit="1" customWidth="1"/>
    <col min="7172" max="7172" width="50.28515625" style="209" customWidth="1"/>
    <col min="7173" max="7174" width="6.5703125" style="209" customWidth="1"/>
    <col min="7175" max="7175" width="7.5703125" style="209" customWidth="1"/>
    <col min="7176" max="7176" width="7.42578125" style="209" customWidth="1"/>
    <col min="7177" max="7177" width="8.42578125" style="209" customWidth="1"/>
    <col min="7178" max="7178" width="7.28515625" style="209" customWidth="1"/>
    <col min="7179" max="7179" width="7.5703125" style="209" customWidth="1"/>
    <col min="7180" max="7180" width="7.7109375" style="209" customWidth="1"/>
    <col min="7181" max="7182" width="6.42578125" style="209" customWidth="1"/>
    <col min="7183" max="7183" width="7.28515625" style="209" customWidth="1"/>
    <col min="7184" max="7184" width="7.85546875" style="209" customWidth="1"/>
    <col min="7185" max="7185" width="6.42578125" style="209" customWidth="1"/>
    <col min="7186" max="7186" width="7.28515625" style="209" customWidth="1"/>
    <col min="7187" max="7187" width="7.5703125" style="209" customWidth="1"/>
    <col min="7188" max="7188" width="8" style="209" customWidth="1"/>
    <col min="7189" max="7190" width="6.42578125" style="209" customWidth="1"/>
    <col min="7191" max="7191" width="7.28515625" style="209" customWidth="1"/>
    <col min="7192" max="7192" width="8.28515625" style="209" customWidth="1"/>
    <col min="7193" max="7194" width="6.42578125" style="209" customWidth="1"/>
    <col min="7195" max="7195" width="7.28515625" style="209" customWidth="1"/>
    <col min="7196" max="7196" width="8.28515625" style="209" customWidth="1"/>
    <col min="7197" max="7198" width="6.42578125" style="209" customWidth="1"/>
    <col min="7199" max="7199" width="7.28515625" style="209" customWidth="1"/>
    <col min="7200" max="7200" width="8.28515625" style="209" customWidth="1"/>
    <col min="7201" max="7424" width="11.42578125" style="209"/>
    <col min="7425" max="7425" width="2" style="209" customWidth="1"/>
    <col min="7426" max="7426" width="15.85546875" style="209" customWidth="1"/>
    <col min="7427" max="7427" width="9.28515625" style="209" bestFit="1" customWidth="1"/>
    <col min="7428" max="7428" width="50.28515625" style="209" customWidth="1"/>
    <col min="7429" max="7430" width="6.5703125" style="209" customWidth="1"/>
    <col min="7431" max="7431" width="7.5703125" style="209" customWidth="1"/>
    <col min="7432" max="7432" width="7.42578125" style="209" customWidth="1"/>
    <col min="7433" max="7433" width="8.42578125" style="209" customWidth="1"/>
    <col min="7434" max="7434" width="7.28515625" style="209" customWidth="1"/>
    <col min="7435" max="7435" width="7.5703125" style="209" customWidth="1"/>
    <col min="7436" max="7436" width="7.7109375" style="209" customWidth="1"/>
    <col min="7437" max="7438" width="6.42578125" style="209" customWidth="1"/>
    <col min="7439" max="7439" width="7.28515625" style="209" customWidth="1"/>
    <col min="7440" max="7440" width="7.85546875" style="209" customWidth="1"/>
    <col min="7441" max="7441" width="6.42578125" style="209" customWidth="1"/>
    <col min="7442" max="7442" width="7.28515625" style="209" customWidth="1"/>
    <col min="7443" max="7443" width="7.5703125" style="209" customWidth="1"/>
    <col min="7444" max="7444" width="8" style="209" customWidth="1"/>
    <col min="7445" max="7446" width="6.42578125" style="209" customWidth="1"/>
    <col min="7447" max="7447" width="7.28515625" style="209" customWidth="1"/>
    <col min="7448" max="7448" width="8.28515625" style="209" customWidth="1"/>
    <col min="7449" max="7450" width="6.42578125" style="209" customWidth="1"/>
    <col min="7451" max="7451" width="7.28515625" style="209" customWidth="1"/>
    <col min="7452" max="7452" width="8.28515625" style="209" customWidth="1"/>
    <col min="7453" max="7454" width="6.42578125" style="209" customWidth="1"/>
    <col min="7455" max="7455" width="7.28515625" style="209" customWidth="1"/>
    <col min="7456" max="7456" width="8.28515625" style="209" customWidth="1"/>
    <col min="7457" max="7680" width="11.42578125" style="209"/>
    <col min="7681" max="7681" width="2" style="209" customWidth="1"/>
    <col min="7682" max="7682" width="15.85546875" style="209" customWidth="1"/>
    <col min="7683" max="7683" width="9.28515625" style="209" bestFit="1" customWidth="1"/>
    <col min="7684" max="7684" width="50.28515625" style="209" customWidth="1"/>
    <col min="7685" max="7686" width="6.5703125" style="209" customWidth="1"/>
    <col min="7687" max="7687" width="7.5703125" style="209" customWidth="1"/>
    <col min="7688" max="7688" width="7.42578125" style="209" customWidth="1"/>
    <col min="7689" max="7689" width="8.42578125" style="209" customWidth="1"/>
    <col min="7690" max="7690" width="7.28515625" style="209" customWidth="1"/>
    <col min="7691" max="7691" width="7.5703125" style="209" customWidth="1"/>
    <col min="7692" max="7692" width="7.7109375" style="209" customWidth="1"/>
    <col min="7693" max="7694" width="6.42578125" style="209" customWidth="1"/>
    <col min="7695" max="7695" width="7.28515625" style="209" customWidth="1"/>
    <col min="7696" max="7696" width="7.85546875" style="209" customWidth="1"/>
    <col min="7697" max="7697" width="6.42578125" style="209" customWidth="1"/>
    <col min="7698" max="7698" width="7.28515625" style="209" customWidth="1"/>
    <col min="7699" max="7699" width="7.5703125" style="209" customWidth="1"/>
    <col min="7700" max="7700" width="8" style="209" customWidth="1"/>
    <col min="7701" max="7702" width="6.42578125" style="209" customWidth="1"/>
    <col min="7703" max="7703" width="7.28515625" style="209" customWidth="1"/>
    <col min="7704" max="7704" width="8.28515625" style="209" customWidth="1"/>
    <col min="7705" max="7706" width="6.42578125" style="209" customWidth="1"/>
    <col min="7707" max="7707" width="7.28515625" style="209" customWidth="1"/>
    <col min="7708" max="7708" width="8.28515625" style="209" customWidth="1"/>
    <col min="7709" max="7710" width="6.42578125" style="209" customWidth="1"/>
    <col min="7711" max="7711" width="7.28515625" style="209" customWidth="1"/>
    <col min="7712" max="7712" width="8.28515625" style="209" customWidth="1"/>
    <col min="7713" max="7936" width="11.42578125" style="209"/>
    <col min="7937" max="7937" width="2" style="209" customWidth="1"/>
    <col min="7938" max="7938" width="15.85546875" style="209" customWidth="1"/>
    <col min="7939" max="7939" width="9.28515625" style="209" bestFit="1" customWidth="1"/>
    <col min="7940" max="7940" width="50.28515625" style="209" customWidth="1"/>
    <col min="7941" max="7942" width="6.5703125" style="209" customWidth="1"/>
    <col min="7943" max="7943" width="7.5703125" style="209" customWidth="1"/>
    <col min="7944" max="7944" width="7.42578125" style="209" customWidth="1"/>
    <col min="7945" max="7945" width="8.42578125" style="209" customWidth="1"/>
    <col min="7946" max="7946" width="7.28515625" style="209" customWidth="1"/>
    <col min="7947" max="7947" width="7.5703125" style="209" customWidth="1"/>
    <col min="7948" max="7948" width="7.7109375" style="209" customWidth="1"/>
    <col min="7949" max="7950" width="6.42578125" style="209" customWidth="1"/>
    <col min="7951" max="7951" width="7.28515625" style="209" customWidth="1"/>
    <col min="7952" max="7952" width="7.85546875" style="209" customWidth="1"/>
    <col min="7953" max="7953" width="6.42578125" style="209" customWidth="1"/>
    <col min="7954" max="7954" width="7.28515625" style="209" customWidth="1"/>
    <col min="7955" max="7955" width="7.5703125" style="209" customWidth="1"/>
    <col min="7956" max="7956" width="8" style="209" customWidth="1"/>
    <col min="7957" max="7958" width="6.42578125" style="209" customWidth="1"/>
    <col min="7959" max="7959" width="7.28515625" style="209" customWidth="1"/>
    <col min="7960" max="7960" width="8.28515625" style="209" customWidth="1"/>
    <col min="7961" max="7962" width="6.42578125" style="209" customWidth="1"/>
    <col min="7963" max="7963" width="7.28515625" style="209" customWidth="1"/>
    <col min="7964" max="7964" width="8.28515625" style="209" customWidth="1"/>
    <col min="7965" max="7966" width="6.42578125" style="209" customWidth="1"/>
    <col min="7967" max="7967" width="7.28515625" style="209" customWidth="1"/>
    <col min="7968" max="7968" width="8.28515625" style="209" customWidth="1"/>
    <col min="7969" max="8192" width="11.42578125" style="209"/>
    <col min="8193" max="8193" width="2" style="209" customWidth="1"/>
    <col min="8194" max="8194" width="15.85546875" style="209" customWidth="1"/>
    <col min="8195" max="8195" width="9.28515625" style="209" bestFit="1" customWidth="1"/>
    <col min="8196" max="8196" width="50.28515625" style="209" customWidth="1"/>
    <col min="8197" max="8198" width="6.5703125" style="209" customWidth="1"/>
    <col min="8199" max="8199" width="7.5703125" style="209" customWidth="1"/>
    <col min="8200" max="8200" width="7.42578125" style="209" customWidth="1"/>
    <col min="8201" max="8201" width="8.42578125" style="209" customWidth="1"/>
    <col min="8202" max="8202" width="7.28515625" style="209" customWidth="1"/>
    <col min="8203" max="8203" width="7.5703125" style="209" customWidth="1"/>
    <col min="8204" max="8204" width="7.7109375" style="209" customWidth="1"/>
    <col min="8205" max="8206" width="6.42578125" style="209" customWidth="1"/>
    <col min="8207" max="8207" width="7.28515625" style="209" customWidth="1"/>
    <col min="8208" max="8208" width="7.85546875" style="209" customWidth="1"/>
    <col min="8209" max="8209" width="6.42578125" style="209" customWidth="1"/>
    <col min="8210" max="8210" width="7.28515625" style="209" customWidth="1"/>
    <col min="8211" max="8211" width="7.5703125" style="209" customWidth="1"/>
    <col min="8212" max="8212" width="8" style="209" customWidth="1"/>
    <col min="8213" max="8214" width="6.42578125" style="209" customWidth="1"/>
    <col min="8215" max="8215" width="7.28515625" style="209" customWidth="1"/>
    <col min="8216" max="8216" width="8.28515625" style="209" customWidth="1"/>
    <col min="8217" max="8218" width="6.42578125" style="209" customWidth="1"/>
    <col min="8219" max="8219" width="7.28515625" style="209" customWidth="1"/>
    <col min="8220" max="8220" width="8.28515625" style="209" customWidth="1"/>
    <col min="8221" max="8222" width="6.42578125" style="209" customWidth="1"/>
    <col min="8223" max="8223" width="7.28515625" style="209" customWidth="1"/>
    <col min="8224" max="8224" width="8.28515625" style="209" customWidth="1"/>
    <col min="8225" max="8448" width="11.42578125" style="209"/>
    <col min="8449" max="8449" width="2" style="209" customWidth="1"/>
    <col min="8450" max="8450" width="15.85546875" style="209" customWidth="1"/>
    <col min="8451" max="8451" width="9.28515625" style="209" bestFit="1" customWidth="1"/>
    <col min="8452" max="8452" width="50.28515625" style="209" customWidth="1"/>
    <col min="8453" max="8454" width="6.5703125" style="209" customWidth="1"/>
    <col min="8455" max="8455" width="7.5703125" style="209" customWidth="1"/>
    <col min="8456" max="8456" width="7.42578125" style="209" customWidth="1"/>
    <col min="8457" max="8457" width="8.42578125" style="209" customWidth="1"/>
    <col min="8458" max="8458" width="7.28515625" style="209" customWidth="1"/>
    <col min="8459" max="8459" width="7.5703125" style="209" customWidth="1"/>
    <col min="8460" max="8460" width="7.7109375" style="209" customWidth="1"/>
    <col min="8461" max="8462" width="6.42578125" style="209" customWidth="1"/>
    <col min="8463" max="8463" width="7.28515625" style="209" customWidth="1"/>
    <col min="8464" max="8464" width="7.85546875" style="209" customWidth="1"/>
    <col min="8465" max="8465" width="6.42578125" style="209" customWidth="1"/>
    <col min="8466" max="8466" width="7.28515625" style="209" customWidth="1"/>
    <col min="8467" max="8467" width="7.5703125" style="209" customWidth="1"/>
    <col min="8468" max="8468" width="8" style="209" customWidth="1"/>
    <col min="8469" max="8470" width="6.42578125" style="209" customWidth="1"/>
    <col min="8471" max="8471" width="7.28515625" style="209" customWidth="1"/>
    <col min="8472" max="8472" width="8.28515625" style="209" customWidth="1"/>
    <col min="8473" max="8474" width="6.42578125" style="209" customWidth="1"/>
    <col min="8475" max="8475" width="7.28515625" style="209" customWidth="1"/>
    <col min="8476" max="8476" width="8.28515625" style="209" customWidth="1"/>
    <col min="8477" max="8478" width="6.42578125" style="209" customWidth="1"/>
    <col min="8479" max="8479" width="7.28515625" style="209" customWidth="1"/>
    <col min="8480" max="8480" width="8.28515625" style="209" customWidth="1"/>
    <col min="8481" max="8704" width="11.42578125" style="209"/>
    <col min="8705" max="8705" width="2" style="209" customWidth="1"/>
    <col min="8706" max="8706" width="15.85546875" style="209" customWidth="1"/>
    <col min="8707" max="8707" width="9.28515625" style="209" bestFit="1" customWidth="1"/>
    <col min="8708" max="8708" width="50.28515625" style="209" customWidth="1"/>
    <col min="8709" max="8710" width="6.5703125" style="209" customWidth="1"/>
    <col min="8711" max="8711" width="7.5703125" style="209" customWidth="1"/>
    <col min="8712" max="8712" width="7.42578125" style="209" customWidth="1"/>
    <col min="8713" max="8713" width="8.42578125" style="209" customWidth="1"/>
    <col min="8714" max="8714" width="7.28515625" style="209" customWidth="1"/>
    <col min="8715" max="8715" width="7.5703125" style="209" customWidth="1"/>
    <col min="8716" max="8716" width="7.7109375" style="209" customWidth="1"/>
    <col min="8717" max="8718" width="6.42578125" style="209" customWidth="1"/>
    <col min="8719" max="8719" width="7.28515625" style="209" customWidth="1"/>
    <col min="8720" max="8720" width="7.85546875" style="209" customWidth="1"/>
    <col min="8721" max="8721" width="6.42578125" style="209" customWidth="1"/>
    <col min="8722" max="8722" width="7.28515625" style="209" customWidth="1"/>
    <col min="8723" max="8723" width="7.5703125" style="209" customWidth="1"/>
    <col min="8724" max="8724" width="8" style="209" customWidth="1"/>
    <col min="8725" max="8726" width="6.42578125" style="209" customWidth="1"/>
    <col min="8727" max="8727" width="7.28515625" style="209" customWidth="1"/>
    <col min="8728" max="8728" width="8.28515625" style="209" customWidth="1"/>
    <col min="8729" max="8730" width="6.42578125" style="209" customWidth="1"/>
    <col min="8731" max="8731" width="7.28515625" style="209" customWidth="1"/>
    <col min="8732" max="8732" width="8.28515625" style="209" customWidth="1"/>
    <col min="8733" max="8734" width="6.42578125" style="209" customWidth="1"/>
    <col min="8735" max="8735" width="7.28515625" style="209" customWidth="1"/>
    <col min="8736" max="8736" width="8.28515625" style="209" customWidth="1"/>
    <col min="8737" max="8960" width="11.42578125" style="209"/>
    <col min="8961" max="8961" width="2" style="209" customWidth="1"/>
    <col min="8962" max="8962" width="15.85546875" style="209" customWidth="1"/>
    <col min="8963" max="8963" width="9.28515625" style="209" bestFit="1" customWidth="1"/>
    <col min="8964" max="8964" width="50.28515625" style="209" customWidth="1"/>
    <col min="8965" max="8966" width="6.5703125" style="209" customWidth="1"/>
    <col min="8967" max="8967" width="7.5703125" style="209" customWidth="1"/>
    <col min="8968" max="8968" width="7.42578125" style="209" customWidth="1"/>
    <col min="8969" max="8969" width="8.42578125" style="209" customWidth="1"/>
    <col min="8970" max="8970" width="7.28515625" style="209" customWidth="1"/>
    <col min="8971" max="8971" width="7.5703125" style="209" customWidth="1"/>
    <col min="8972" max="8972" width="7.7109375" style="209" customWidth="1"/>
    <col min="8973" max="8974" width="6.42578125" style="209" customWidth="1"/>
    <col min="8975" max="8975" width="7.28515625" style="209" customWidth="1"/>
    <col min="8976" max="8976" width="7.85546875" style="209" customWidth="1"/>
    <col min="8977" max="8977" width="6.42578125" style="209" customWidth="1"/>
    <col min="8978" max="8978" width="7.28515625" style="209" customWidth="1"/>
    <col min="8979" max="8979" width="7.5703125" style="209" customWidth="1"/>
    <col min="8980" max="8980" width="8" style="209" customWidth="1"/>
    <col min="8981" max="8982" width="6.42578125" style="209" customWidth="1"/>
    <col min="8983" max="8983" width="7.28515625" style="209" customWidth="1"/>
    <col min="8984" max="8984" width="8.28515625" style="209" customWidth="1"/>
    <col min="8985" max="8986" width="6.42578125" style="209" customWidth="1"/>
    <col min="8987" max="8987" width="7.28515625" style="209" customWidth="1"/>
    <col min="8988" max="8988" width="8.28515625" style="209" customWidth="1"/>
    <col min="8989" max="8990" width="6.42578125" style="209" customWidth="1"/>
    <col min="8991" max="8991" width="7.28515625" style="209" customWidth="1"/>
    <col min="8992" max="8992" width="8.28515625" style="209" customWidth="1"/>
    <col min="8993" max="9216" width="11.42578125" style="209"/>
    <col min="9217" max="9217" width="2" style="209" customWidth="1"/>
    <col min="9218" max="9218" width="15.85546875" style="209" customWidth="1"/>
    <col min="9219" max="9219" width="9.28515625" style="209" bestFit="1" customWidth="1"/>
    <col min="9220" max="9220" width="50.28515625" style="209" customWidth="1"/>
    <col min="9221" max="9222" width="6.5703125" style="209" customWidth="1"/>
    <col min="9223" max="9223" width="7.5703125" style="209" customWidth="1"/>
    <col min="9224" max="9224" width="7.42578125" style="209" customWidth="1"/>
    <col min="9225" max="9225" width="8.42578125" style="209" customWidth="1"/>
    <col min="9226" max="9226" width="7.28515625" style="209" customWidth="1"/>
    <col min="9227" max="9227" width="7.5703125" style="209" customWidth="1"/>
    <col min="9228" max="9228" width="7.7109375" style="209" customWidth="1"/>
    <col min="9229" max="9230" width="6.42578125" style="209" customWidth="1"/>
    <col min="9231" max="9231" width="7.28515625" style="209" customWidth="1"/>
    <col min="9232" max="9232" width="7.85546875" style="209" customWidth="1"/>
    <col min="9233" max="9233" width="6.42578125" style="209" customWidth="1"/>
    <col min="9234" max="9234" width="7.28515625" style="209" customWidth="1"/>
    <col min="9235" max="9235" width="7.5703125" style="209" customWidth="1"/>
    <col min="9236" max="9236" width="8" style="209" customWidth="1"/>
    <col min="9237" max="9238" width="6.42578125" style="209" customWidth="1"/>
    <col min="9239" max="9239" width="7.28515625" style="209" customWidth="1"/>
    <col min="9240" max="9240" width="8.28515625" style="209" customWidth="1"/>
    <col min="9241" max="9242" width="6.42578125" style="209" customWidth="1"/>
    <col min="9243" max="9243" width="7.28515625" style="209" customWidth="1"/>
    <col min="9244" max="9244" width="8.28515625" style="209" customWidth="1"/>
    <col min="9245" max="9246" width="6.42578125" style="209" customWidth="1"/>
    <col min="9247" max="9247" width="7.28515625" style="209" customWidth="1"/>
    <col min="9248" max="9248" width="8.28515625" style="209" customWidth="1"/>
    <col min="9249" max="9472" width="11.42578125" style="209"/>
    <col min="9473" max="9473" width="2" style="209" customWidth="1"/>
    <col min="9474" max="9474" width="15.85546875" style="209" customWidth="1"/>
    <col min="9475" max="9475" width="9.28515625" style="209" bestFit="1" customWidth="1"/>
    <col min="9476" max="9476" width="50.28515625" style="209" customWidth="1"/>
    <col min="9477" max="9478" width="6.5703125" style="209" customWidth="1"/>
    <col min="9479" max="9479" width="7.5703125" style="209" customWidth="1"/>
    <col min="9480" max="9480" width="7.42578125" style="209" customWidth="1"/>
    <col min="9481" max="9481" width="8.42578125" style="209" customWidth="1"/>
    <col min="9482" max="9482" width="7.28515625" style="209" customWidth="1"/>
    <col min="9483" max="9483" width="7.5703125" style="209" customWidth="1"/>
    <col min="9484" max="9484" width="7.7109375" style="209" customWidth="1"/>
    <col min="9485" max="9486" width="6.42578125" style="209" customWidth="1"/>
    <col min="9487" max="9487" width="7.28515625" style="209" customWidth="1"/>
    <col min="9488" max="9488" width="7.85546875" style="209" customWidth="1"/>
    <col min="9489" max="9489" width="6.42578125" style="209" customWidth="1"/>
    <col min="9490" max="9490" width="7.28515625" style="209" customWidth="1"/>
    <col min="9491" max="9491" width="7.5703125" style="209" customWidth="1"/>
    <col min="9492" max="9492" width="8" style="209" customWidth="1"/>
    <col min="9493" max="9494" width="6.42578125" style="209" customWidth="1"/>
    <col min="9495" max="9495" width="7.28515625" style="209" customWidth="1"/>
    <col min="9496" max="9496" width="8.28515625" style="209" customWidth="1"/>
    <col min="9497" max="9498" width="6.42578125" style="209" customWidth="1"/>
    <col min="9499" max="9499" width="7.28515625" style="209" customWidth="1"/>
    <col min="9500" max="9500" width="8.28515625" style="209" customWidth="1"/>
    <col min="9501" max="9502" width="6.42578125" style="209" customWidth="1"/>
    <col min="9503" max="9503" width="7.28515625" style="209" customWidth="1"/>
    <col min="9504" max="9504" width="8.28515625" style="209" customWidth="1"/>
    <col min="9505" max="9728" width="11.42578125" style="209"/>
    <col min="9729" max="9729" width="2" style="209" customWidth="1"/>
    <col min="9730" max="9730" width="15.85546875" style="209" customWidth="1"/>
    <col min="9731" max="9731" width="9.28515625" style="209" bestFit="1" customWidth="1"/>
    <col min="9732" max="9732" width="50.28515625" style="209" customWidth="1"/>
    <col min="9733" max="9734" width="6.5703125" style="209" customWidth="1"/>
    <col min="9735" max="9735" width="7.5703125" style="209" customWidth="1"/>
    <col min="9736" max="9736" width="7.42578125" style="209" customWidth="1"/>
    <col min="9737" max="9737" width="8.42578125" style="209" customWidth="1"/>
    <col min="9738" max="9738" width="7.28515625" style="209" customWidth="1"/>
    <col min="9739" max="9739" width="7.5703125" style="209" customWidth="1"/>
    <col min="9740" max="9740" width="7.7109375" style="209" customWidth="1"/>
    <col min="9741" max="9742" width="6.42578125" style="209" customWidth="1"/>
    <col min="9743" max="9743" width="7.28515625" style="209" customWidth="1"/>
    <col min="9744" max="9744" width="7.85546875" style="209" customWidth="1"/>
    <col min="9745" max="9745" width="6.42578125" style="209" customWidth="1"/>
    <col min="9746" max="9746" width="7.28515625" style="209" customWidth="1"/>
    <col min="9747" max="9747" width="7.5703125" style="209" customWidth="1"/>
    <col min="9748" max="9748" width="8" style="209" customWidth="1"/>
    <col min="9749" max="9750" width="6.42578125" style="209" customWidth="1"/>
    <col min="9751" max="9751" width="7.28515625" style="209" customWidth="1"/>
    <col min="9752" max="9752" width="8.28515625" style="209" customWidth="1"/>
    <col min="9753" max="9754" width="6.42578125" style="209" customWidth="1"/>
    <col min="9755" max="9755" width="7.28515625" style="209" customWidth="1"/>
    <col min="9756" max="9756" width="8.28515625" style="209" customWidth="1"/>
    <col min="9757" max="9758" width="6.42578125" style="209" customWidth="1"/>
    <col min="9759" max="9759" width="7.28515625" style="209" customWidth="1"/>
    <col min="9760" max="9760" width="8.28515625" style="209" customWidth="1"/>
    <col min="9761" max="9984" width="11.42578125" style="209"/>
    <col min="9985" max="9985" width="2" style="209" customWidth="1"/>
    <col min="9986" max="9986" width="15.85546875" style="209" customWidth="1"/>
    <col min="9987" max="9987" width="9.28515625" style="209" bestFit="1" customWidth="1"/>
    <col min="9988" max="9988" width="50.28515625" style="209" customWidth="1"/>
    <col min="9989" max="9990" width="6.5703125" style="209" customWidth="1"/>
    <col min="9991" max="9991" width="7.5703125" style="209" customWidth="1"/>
    <col min="9992" max="9992" width="7.42578125" style="209" customWidth="1"/>
    <col min="9993" max="9993" width="8.42578125" style="209" customWidth="1"/>
    <col min="9994" max="9994" width="7.28515625" style="209" customWidth="1"/>
    <col min="9995" max="9995" width="7.5703125" style="209" customWidth="1"/>
    <col min="9996" max="9996" width="7.7109375" style="209" customWidth="1"/>
    <col min="9997" max="9998" width="6.42578125" style="209" customWidth="1"/>
    <col min="9999" max="9999" width="7.28515625" style="209" customWidth="1"/>
    <col min="10000" max="10000" width="7.85546875" style="209" customWidth="1"/>
    <col min="10001" max="10001" width="6.42578125" style="209" customWidth="1"/>
    <col min="10002" max="10002" width="7.28515625" style="209" customWidth="1"/>
    <col min="10003" max="10003" width="7.5703125" style="209" customWidth="1"/>
    <col min="10004" max="10004" width="8" style="209" customWidth="1"/>
    <col min="10005" max="10006" width="6.42578125" style="209" customWidth="1"/>
    <col min="10007" max="10007" width="7.28515625" style="209" customWidth="1"/>
    <col min="10008" max="10008" width="8.28515625" style="209" customWidth="1"/>
    <col min="10009" max="10010" width="6.42578125" style="209" customWidth="1"/>
    <col min="10011" max="10011" width="7.28515625" style="209" customWidth="1"/>
    <col min="10012" max="10012" width="8.28515625" style="209" customWidth="1"/>
    <col min="10013" max="10014" width="6.42578125" style="209" customWidth="1"/>
    <col min="10015" max="10015" width="7.28515625" style="209" customWidth="1"/>
    <col min="10016" max="10016" width="8.28515625" style="209" customWidth="1"/>
    <col min="10017" max="10240" width="11.42578125" style="209"/>
    <col min="10241" max="10241" width="2" style="209" customWidth="1"/>
    <col min="10242" max="10242" width="15.85546875" style="209" customWidth="1"/>
    <col min="10243" max="10243" width="9.28515625" style="209" bestFit="1" customWidth="1"/>
    <col min="10244" max="10244" width="50.28515625" style="209" customWidth="1"/>
    <col min="10245" max="10246" width="6.5703125" style="209" customWidth="1"/>
    <col min="10247" max="10247" width="7.5703125" style="209" customWidth="1"/>
    <col min="10248" max="10248" width="7.42578125" style="209" customWidth="1"/>
    <col min="10249" max="10249" width="8.42578125" style="209" customWidth="1"/>
    <col min="10250" max="10250" width="7.28515625" style="209" customWidth="1"/>
    <col min="10251" max="10251" width="7.5703125" style="209" customWidth="1"/>
    <col min="10252" max="10252" width="7.7109375" style="209" customWidth="1"/>
    <col min="10253" max="10254" width="6.42578125" style="209" customWidth="1"/>
    <col min="10255" max="10255" width="7.28515625" style="209" customWidth="1"/>
    <col min="10256" max="10256" width="7.85546875" style="209" customWidth="1"/>
    <col min="10257" max="10257" width="6.42578125" style="209" customWidth="1"/>
    <col min="10258" max="10258" width="7.28515625" style="209" customWidth="1"/>
    <col min="10259" max="10259" width="7.5703125" style="209" customWidth="1"/>
    <col min="10260" max="10260" width="8" style="209" customWidth="1"/>
    <col min="10261" max="10262" width="6.42578125" style="209" customWidth="1"/>
    <col min="10263" max="10263" width="7.28515625" style="209" customWidth="1"/>
    <col min="10264" max="10264" width="8.28515625" style="209" customWidth="1"/>
    <col min="10265" max="10266" width="6.42578125" style="209" customWidth="1"/>
    <col min="10267" max="10267" width="7.28515625" style="209" customWidth="1"/>
    <col min="10268" max="10268" width="8.28515625" style="209" customWidth="1"/>
    <col min="10269" max="10270" width="6.42578125" style="209" customWidth="1"/>
    <col min="10271" max="10271" width="7.28515625" style="209" customWidth="1"/>
    <col min="10272" max="10272" width="8.28515625" style="209" customWidth="1"/>
    <col min="10273" max="10496" width="11.42578125" style="209"/>
    <col min="10497" max="10497" width="2" style="209" customWidth="1"/>
    <col min="10498" max="10498" width="15.85546875" style="209" customWidth="1"/>
    <col min="10499" max="10499" width="9.28515625" style="209" bestFit="1" customWidth="1"/>
    <col min="10500" max="10500" width="50.28515625" style="209" customWidth="1"/>
    <col min="10501" max="10502" width="6.5703125" style="209" customWidth="1"/>
    <col min="10503" max="10503" width="7.5703125" style="209" customWidth="1"/>
    <col min="10504" max="10504" width="7.42578125" style="209" customWidth="1"/>
    <col min="10505" max="10505" width="8.42578125" style="209" customWidth="1"/>
    <col min="10506" max="10506" width="7.28515625" style="209" customWidth="1"/>
    <col min="10507" max="10507" width="7.5703125" style="209" customWidth="1"/>
    <col min="10508" max="10508" width="7.7109375" style="209" customWidth="1"/>
    <col min="10509" max="10510" width="6.42578125" style="209" customWidth="1"/>
    <col min="10511" max="10511" width="7.28515625" style="209" customWidth="1"/>
    <col min="10512" max="10512" width="7.85546875" style="209" customWidth="1"/>
    <col min="10513" max="10513" width="6.42578125" style="209" customWidth="1"/>
    <col min="10514" max="10514" width="7.28515625" style="209" customWidth="1"/>
    <col min="10515" max="10515" width="7.5703125" style="209" customWidth="1"/>
    <col min="10516" max="10516" width="8" style="209" customWidth="1"/>
    <col min="10517" max="10518" width="6.42578125" style="209" customWidth="1"/>
    <col min="10519" max="10519" width="7.28515625" style="209" customWidth="1"/>
    <col min="10520" max="10520" width="8.28515625" style="209" customWidth="1"/>
    <col min="10521" max="10522" width="6.42578125" style="209" customWidth="1"/>
    <col min="10523" max="10523" width="7.28515625" style="209" customWidth="1"/>
    <col min="10524" max="10524" width="8.28515625" style="209" customWidth="1"/>
    <col min="10525" max="10526" width="6.42578125" style="209" customWidth="1"/>
    <col min="10527" max="10527" width="7.28515625" style="209" customWidth="1"/>
    <col min="10528" max="10528" width="8.28515625" style="209" customWidth="1"/>
    <col min="10529" max="10752" width="11.42578125" style="209"/>
    <col min="10753" max="10753" width="2" style="209" customWidth="1"/>
    <col min="10754" max="10754" width="15.85546875" style="209" customWidth="1"/>
    <col min="10755" max="10755" width="9.28515625" style="209" bestFit="1" customWidth="1"/>
    <col min="10756" max="10756" width="50.28515625" style="209" customWidth="1"/>
    <col min="10757" max="10758" width="6.5703125" style="209" customWidth="1"/>
    <col min="10759" max="10759" width="7.5703125" style="209" customWidth="1"/>
    <col min="10760" max="10760" width="7.42578125" style="209" customWidth="1"/>
    <col min="10761" max="10761" width="8.42578125" style="209" customWidth="1"/>
    <col min="10762" max="10762" width="7.28515625" style="209" customWidth="1"/>
    <col min="10763" max="10763" width="7.5703125" style="209" customWidth="1"/>
    <col min="10764" max="10764" width="7.7109375" style="209" customWidth="1"/>
    <col min="10765" max="10766" width="6.42578125" style="209" customWidth="1"/>
    <col min="10767" max="10767" width="7.28515625" style="209" customWidth="1"/>
    <col min="10768" max="10768" width="7.85546875" style="209" customWidth="1"/>
    <col min="10769" max="10769" width="6.42578125" style="209" customWidth="1"/>
    <col min="10770" max="10770" width="7.28515625" style="209" customWidth="1"/>
    <col min="10771" max="10771" width="7.5703125" style="209" customWidth="1"/>
    <col min="10772" max="10772" width="8" style="209" customWidth="1"/>
    <col min="10773" max="10774" width="6.42578125" style="209" customWidth="1"/>
    <col min="10775" max="10775" width="7.28515625" style="209" customWidth="1"/>
    <col min="10776" max="10776" width="8.28515625" style="209" customWidth="1"/>
    <col min="10777" max="10778" width="6.42578125" style="209" customWidth="1"/>
    <col min="10779" max="10779" width="7.28515625" style="209" customWidth="1"/>
    <col min="10780" max="10780" width="8.28515625" style="209" customWidth="1"/>
    <col min="10781" max="10782" width="6.42578125" style="209" customWidth="1"/>
    <col min="10783" max="10783" width="7.28515625" style="209" customWidth="1"/>
    <col min="10784" max="10784" width="8.28515625" style="209" customWidth="1"/>
    <col min="10785" max="11008" width="11.42578125" style="209"/>
    <col min="11009" max="11009" width="2" style="209" customWidth="1"/>
    <col min="11010" max="11010" width="15.85546875" style="209" customWidth="1"/>
    <col min="11011" max="11011" width="9.28515625" style="209" bestFit="1" customWidth="1"/>
    <col min="11012" max="11012" width="50.28515625" style="209" customWidth="1"/>
    <col min="11013" max="11014" width="6.5703125" style="209" customWidth="1"/>
    <col min="11015" max="11015" width="7.5703125" style="209" customWidth="1"/>
    <col min="11016" max="11016" width="7.42578125" style="209" customWidth="1"/>
    <col min="11017" max="11017" width="8.42578125" style="209" customWidth="1"/>
    <col min="11018" max="11018" width="7.28515625" style="209" customWidth="1"/>
    <col min="11019" max="11019" width="7.5703125" style="209" customWidth="1"/>
    <col min="11020" max="11020" width="7.7109375" style="209" customWidth="1"/>
    <col min="11021" max="11022" width="6.42578125" style="209" customWidth="1"/>
    <col min="11023" max="11023" width="7.28515625" style="209" customWidth="1"/>
    <col min="11024" max="11024" width="7.85546875" style="209" customWidth="1"/>
    <col min="11025" max="11025" width="6.42578125" style="209" customWidth="1"/>
    <col min="11026" max="11026" width="7.28515625" style="209" customWidth="1"/>
    <col min="11027" max="11027" width="7.5703125" style="209" customWidth="1"/>
    <col min="11028" max="11028" width="8" style="209" customWidth="1"/>
    <col min="11029" max="11030" width="6.42578125" style="209" customWidth="1"/>
    <col min="11031" max="11031" width="7.28515625" style="209" customWidth="1"/>
    <col min="11032" max="11032" width="8.28515625" style="209" customWidth="1"/>
    <col min="11033" max="11034" width="6.42578125" style="209" customWidth="1"/>
    <col min="11035" max="11035" width="7.28515625" style="209" customWidth="1"/>
    <col min="11036" max="11036" width="8.28515625" style="209" customWidth="1"/>
    <col min="11037" max="11038" width="6.42578125" style="209" customWidth="1"/>
    <col min="11039" max="11039" width="7.28515625" style="209" customWidth="1"/>
    <col min="11040" max="11040" width="8.28515625" style="209" customWidth="1"/>
    <col min="11041" max="11264" width="11.42578125" style="209"/>
    <col min="11265" max="11265" width="2" style="209" customWidth="1"/>
    <col min="11266" max="11266" width="15.85546875" style="209" customWidth="1"/>
    <col min="11267" max="11267" width="9.28515625" style="209" bestFit="1" customWidth="1"/>
    <col min="11268" max="11268" width="50.28515625" style="209" customWidth="1"/>
    <col min="11269" max="11270" width="6.5703125" style="209" customWidth="1"/>
    <col min="11271" max="11271" width="7.5703125" style="209" customWidth="1"/>
    <col min="11272" max="11272" width="7.42578125" style="209" customWidth="1"/>
    <col min="11273" max="11273" width="8.42578125" style="209" customWidth="1"/>
    <col min="11274" max="11274" width="7.28515625" style="209" customWidth="1"/>
    <col min="11275" max="11275" width="7.5703125" style="209" customWidth="1"/>
    <col min="11276" max="11276" width="7.7109375" style="209" customWidth="1"/>
    <col min="11277" max="11278" width="6.42578125" style="209" customWidth="1"/>
    <col min="11279" max="11279" width="7.28515625" style="209" customWidth="1"/>
    <col min="11280" max="11280" width="7.85546875" style="209" customWidth="1"/>
    <col min="11281" max="11281" width="6.42578125" style="209" customWidth="1"/>
    <col min="11282" max="11282" width="7.28515625" style="209" customWidth="1"/>
    <col min="11283" max="11283" width="7.5703125" style="209" customWidth="1"/>
    <col min="11284" max="11284" width="8" style="209" customWidth="1"/>
    <col min="11285" max="11286" width="6.42578125" style="209" customWidth="1"/>
    <col min="11287" max="11287" width="7.28515625" style="209" customWidth="1"/>
    <col min="11288" max="11288" width="8.28515625" style="209" customWidth="1"/>
    <col min="11289" max="11290" width="6.42578125" style="209" customWidth="1"/>
    <col min="11291" max="11291" width="7.28515625" style="209" customWidth="1"/>
    <col min="11292" max="11292" width="8.28515625" style="209" customWidth="1"/>
    <col min="11293" max="11294" width="6.42578125" style="209" customWidth="1"/>
    <col min="11295" max="11295" width="7.28515625" style="209" customWidth="1"/>
    <col min="11296" max="11296" width="8.28515625" style="209" customWidth="1"/>
    <col min="11297" max="11520" width="11.42578125" style="209"/>
    <col min="11521" max="11521" width="2" style="209" customWidth="1"/>
    <col min="11522" max="11522" width="15.85546875" style="209" customWidth="1"/>
    <col min="11523" max="11523" width="9.28515625" style="209" bestFit="1" customWidth="1"/>
    <col min="11524" max="11524" width="50.28515625" style="209" customWidth="1"/>
    <col min="11525" max="11526" width="6.5703125" style="209" customWidth="1"/>
    <col min="11527" max="11527" width="7.5703125" style="209" customWidth="1"/>
    <col min="11528" max="11528" width="7.42578125" style="209" customWidth="1"/>
    <col min="11529" max="11529" width="8.42578125" style="209" customWidth="1"/>
    <col min="11530" max="11530" width="7.28515625" style="209" customWidth="1"/>
    <col min="11531" max="11531" width="7.5703125" style="209" customWidth="1"/>
    <col min="11532" max="11532" width="7.7109375" style="209" customWidth="1"/>
    <col min="11533" max="11534" width="6.42578125" style="209" customWidth="1"/>
    <col min="11535" max="11535" width="7.28515625" style="209" customWidth="1"/>
    <col min="11536" max="11536" width="7.85546875" style="209" customWidth="1"/>
    <col min="11537" max="11537" width="6.42578125" style="209" customWidth="1"/>
    <col min="11538" max="11538" width="7.28515625" style="209" customWidth="1"/>
    <col min="11539" max="11539" width="7.5703125" style="209" customWidth="1"/>
    <col min="11540" max="11540" width="8" style="209" customWidth="1"/>
    <col min="11541" max="11542" width="6.42578125" style="209" customWidth="1"/>
    <col min="11543" max="11543" width="7.28515625" style="209" customWidth="1"/>
    <col min="11544" max="11544" width="8.28515625" style="209" customWidth="1"/>
    <col min="11545" max="11546" width="6.42578125" style="209" customWidth="1"/>
    <col min="11547" max="11547" width="7.28515625" style="209" customWidth="1"/>
    <col min="11548" max="11548" width="8.28515625" style="209" customWidth="1"/>
    <col min="11549" max="11550" width="6.42578125" style="209" customWidth="1"/>
    <col min="11551" max="11551" width="7.28515625" style="209" customWidth="1"/>
    <col min="11552" max="11552" width="8.28515625" style="209" customWidth="1"/>
    <col min="11553" max="11776" width="11.42578125" style="209"/>
    <col min="11777" max="11777" width="2" style="209" customWidth="1"/>
    <col min="11778" max="11778" width="15.85546875" style="209" customWidth="1"/>
    <col min="11779" max="11779" width="9.28515625" style="209" bestFit="1" customWidth="1"/>
    <col min="11780" max="11780" width="50.28515625" style="209" customWidth="1"/>
    <col min="11781" max="11782" width="6.5703125" style="209" customWidth="1"/>
    <col min="11783" max="11783" width="7.5703125" style="209" customWidth="1"/>
    <col min="11784" max="11784" width="7.42578125" style="209" customWidth="1"/>
    <col min="11785" max="11785" width="8.42578125" style="209" customWidth="1"/>
    <col min="11786" max="11786" width="7.28515625" style="209" customWidth="1"/>
    <col min="11787" max="11787" width="7.5703125" style="209" customWidth="1"/>
    <col min="11788" max="11788" width="7.7109375" style="209" customWidth="1"/>
    <col min="11789" max="11790" width="6.42578125" style="209" customWidth="1"/>
    <col min="11791" max="11791" width="7.28515625" style="209" customWidth="1"/>
    <col min="11792" max="11792" width="7.85546875" style="209" customWidth="1"/>
    <col min="11793" max="11793" width="6.42578125" style="209" customWidth="1"/>
    <col min="11794" max="11794" width="7.28515625" style="209" customWidth="1"/>
    <col min="11795" max="11795" width="7.5703125" style="209" customWidth="1"/>
    <col min="11796" max="11796" width="8" style="209" customWidth="1"/>
    <col min="11797" max="11798" width="6.42578125" style="209" customWidth="1"/>
    <col min="11799" max="11799" width="7.28515625" style="209" customWidth="1"/>
    <col min="11800" max="11800" width="8.28515625" style="209" customWidth="1"/>
    <col min="11801" max="11802" width="6.42578125" style="209" customWidth="1"/>
    <col min="11803" max="11803" width="7.28515625" style="209" customWidth="1"/>
    <col min="11804" max="11804" width="8.28515625" style="209" customWidth="1"/>
    <col min="11805" max="11806" width="6.42578125" style="209" customWidth="1"/>
    <col min="11807" max="11807" width="7.28515625" style="209" customWidth="1"/>
    <col min="11808" max="11808" width="8.28515625" style="209" customWidth="1"/>
    <col min="11809" max="12032" width="11.42578125" style="209"/>
    <col min="12033" max="12033" width="2" style="209" customWidth="1"/>
    <col min="12034" max="12034" width="15.85546875" style="209" customWidth="1"/>
    <col min="12035" max="12035" width="9.28515625" style="209" bestFit="1" customWidth="1"/>
    <col min="12036" max="12036" width="50.28515625" style="209" customWidth="1"/>
    <col min="12037" max="12038" width="6.5703125" style="209" customWidth="1"/>
    <col min="12039" max="12039" width="7.5703125" style="209" customWidth="1"/>
    <col min="12040" max="12040" width="7.42578125" style="209" customWidth="1"/>
    <col min="12041" max="12041" width="8.42578125" style="209" customWidth="1"/>
    <col min="12042" max="12042" width="7.28515625" style="209" customWidth="1"/>
    <col min="12043" max="12043" width="7.5703125" style="209" customWidth="1"/>
    <col min="12044" max="12044" width="7.7109375" style="209" customWidth="1"/>
    <col min="12045" max="12046" width="6.42578125" style="209" customWidth="1"/>
    <col min="12047" max="12047" width="7.28515625" style="209" customWidth="1"/>
    <col min="12048" max="12048" width="7.85546875" style="209" customWidth="1"/>
    <col min="12049" max="12049" width="6.42578125" style="209" customWidth="1"/>
    <col min="12050" max="12050" width="7.28515625" style="209" customWidth="1"/>
    <col min="12051" max="12051" width="7.5703125" style="209" customWidth="1"/>
    <col min="12052" max="12052" width="8" style="209" customWidth="1"/>
    <col min="12053" max="12054" width="6.42578125" style="209" customWidth="1"/>
    <col min="12055" max="12055" width="7.28515625" style="209" customWidth="1"/>
    <col min="12056" max="12056" width="8.28515625" style="209" customWidth="1"/>
    <col min="12057" max="12058" width="6.42578125" style="209" customWidth="1"/>
    <col min="12059" max="12059" width="7.28515625" style="209" customWidth="1"/>
    <col min="12060" max="12060" width="8.28515625" style="209" customWidth="1"/>
    <col min="12061" max="12062" width="6.42578125" style="209" customWidth="1"/>
    <col min="12063" max="12063" width="7.28515625" style="209" customWidth="1"/>
    <col min="12064" max="12064" width="8.28515625" style="209" customWidth="1"/>
    <col min="12065" max="12288" width="11.42578125" style="209"/>
    <col min="12289" max="12289" width="2" style="209" customWidth="1"/>
    <col min="12290" max="12290" width="15.85546875" style="209" customWidth="1"/>
    <col min="12291" max="12291" width="9.28515625" style="209" bestFit="1" customWidth="1"/>
    <col min="12292" max="12292" width="50.28515625" style="209" customWidth="1"/>
    <col min="12293" max="12294" width="6.5703125" style="209" customWidth="1"/>
    <col min="12295" max="12295" width="7.5703125" style="209" customWidth="1"/>
    <col min="12296" max="12296" width="7.42578125" style="209" customWidth="1"/>
    <col min="12297" max="12297" width="8.42578125" style="209" customWidth="1"/>
    <col min="12298" max="12298" width="7.28515625" style="209" customWidth="1"/>
    <col min="12299" max="12299" width="7.5703125" style="209" customWidth="1"/>
    <col min="12300" max="12300" width="7.7109375" style="209" customWidth="1"/>
    <col min="12301" max="12302" width="6.42578125" style="209" customWidth="1"/>
    <col min="12303" max="12303" width="7.28515625" style="209" customWidth="1"/>
    <col min="12304" max="12304" width="7.85546875" style="209" customWidth="1"/>
    <col min="12305" max="12305" width="6.42578125" style="209" customWidth="1"/>
    <col min="12306" max="12306" width="7.28515625" style="209" customWidth="1"/>
    <col min="12307" max="12307" width="7.5703125" style="209" customWidth="1"/>
    <col min="12308" max="12308" width="8" style="209" customWidth="1"/>
    <col min="12309" max="12310" width="6.42578125" style="209" customWidth="1"/>
    <col min="12311" max="12311" width="7.28515625" style="209" customWidth="1"/>
    <col min="12312" max="12312" width="8.28515625" style="209" customWidth="1"/>
    <col min="12313" max="12314" width="6.42578125" style="209" customWidth="1"/>
    <col min="12315" max="12315" width="7.28515625" style="209" customWidth="1"/>
    <col min="12316" max="12316" width="8.28515625" style="209" customWidth="1"/>
    <col min="12317" max="12318" width="6.42578125" style="209" customWidth="1"/>
    <col min="12319" max="12319" width="7.28515625" style="209" customWidth="1"/>
    <col min="12320" max="12320" width="8.28515625" style="209" customWidth="1"/>
    <col min="12321" max="12544" width="11.42578125" style="209"/>
    <col min="12545" max="12545" width="2" style="209" customWidth="1"/>
    <col min="12546" max="12546" width="15.85546875" style="209" customWidth="1"/>
    <col min="12547" max="12547" width="9.28515625" style="209" bestFit="1" customWidth="1"/>
    <col min="12548" max="12548" width="50.28515625" style="209" customWidth="1"/>
    <col min="12549" max="12550" width="6.5703125" style="209" customWidth="1"/>
    <col min="12551" max="12551" width="7.5703125" style="209" customWidth="1"/>
    <col min="12552" max="12552" width="7.42578125" style="209" customWidth="1"/>
    <col min="12553" max="12553" width="8.42578125" style="209" customWidth="1"/>
    <col min="12554" max="12554" width="7.28515625" style="209" customWidth="1"/>
    <col min="12555" max="12555" width="7.5703125" style="209" customWidth="1"/>
    <col min="12556" max="12556" width="7.7109375" style="209" customWidth="1"/>
    <col min="12557" max="12558" width="6.42578125" style="209" customWidth="1"/>
    <col min="12559" max="12559" width="7.28515625" style="209" customWidth="1"/>
    <col min="12560" max="12560" width="7.85546875" style="209" customWidth="1"/>
    <col min="12561" max="12561" width="6.42578125" style="209" customWidth="1"/>
    <col min="12562" max="12562" width="7.28515625" style="209" customWidth="1"/>
    <col min="12563" max="12563" width="7.5703125" style="209" customWidth="1"/>
    <col min="12564" max="12564" width="8" style="209" customWidth="1"/>
    <col min="12565" max="12566" width="6.42578125" style="209" customWidth="1"/>
    <col min="12567" max="12567" width="7.28515625" style="209" customWidth="1"/>
    <col min="12568" max="12568" width="8.28515625" style="209" customWidth="1"/>
    <col min="12569" max="12570" width="6.42578125" style="209" customWidth="1"/>
    <col min="12571" max="12571" width="7.28515625" style="209" customWidth="1"/>
    <col min="12572" max="12572" width="8.28515625" style="209" customWidth="1"/>
    <col min="12573" max="12574" width="6.42578125" style="209" customWidth="1"/>
    <col min="12575" max="12575" width="7.28515625" style="209" customWidth="1"/>
    <col min="12576" max="12576" width="8.28515625" style="209" customWidth="1"/>
    <col min="12577" max="12800" width="11.42578125" style="209"/>
    <col min="12801" max="12801" width="2" style="209" customWidth="1"/>
    <col min="12802" max="12802" width="15.85546875" style="209" customWidth="1"/>
    <col min="12803" max="12803" width="9.28515625" style="209" bestFit="1" customWidth="1"/>
    <col min="12804" max="12804" width="50.28515625" style="209" customWidth="1"/>
    <col min="12805" max="12806" width="6.5703125" style="209" customWidth="1"/>
    <col min="12807" max="12807" width="7.5703125" style="209" customWidth="1"/>
    <col min="12808" max="12808" width="7.42578125" style="209" customWidth="1"/>
    <col min="12809" max="12809" width="8.42578125" style="209" customWidth="1"/>
    <col min="12810" max="12810" width="7.28515625" style="209" customWidth="1"/>
    <col min="12811" max="12811" width="7.5703125" style="209" customWidth="1"/>
    <col min="12812" max="12812" width="7.7109375" style="209" customWidth="1"/>
    <col min="12813" max="12814" width="6.42578125" style="209" customWidth="1"/>
    <col min="12815" max="12815" width="7.28515625" style="209" customWidth="1"/>
    <col min="12816" max="12816" width="7.85546875" style="209" customWidth="1"/>
    <col min="12817" max="12817" width="6.42578125" style="209" customWidth="1"/>
    <col min="12818" max="12818" width="7.28515625" style="209" customWidth="1"/>
    <col min="12819" max="12819" width="7.5703125" style="209" customWidth="1"/>
    <col min="12820" max="12820" width="8" style="209" customWidth="1"/>
    <col min="12821" max="12822" width="6.42578125" style="209" customWidth="1"/>
    <col min="12823" max="12823" width="7.28515625" style="209" customWidth="1"/>
    <col min="12824" max="12824" width="8.28515625" style="209" customWidth="1"/>
    <col min="12825" max="12826" width="6.42578125" style="209" customWidth="1"/>
    <col min="12827" max="12827" width="7.28515625" style="209" customWidth="1"/>
    <col min="12828" max="12828" width="8.28515625" style="209" customWidth="1"/>
    <col min="12829" max="12830" width="6.42578125" style="209" customWidth="1"/>
    <col min="12831" max="12831" width="7.28515625" style="209" customWidth="1"/>
    <col min="12832" max="12832" width="8.28515625" style="209" customWidth="1"/>
    <col min="12833" max="13056" width="11.42578125" style="209"/>
    <col min="13057" max="13057" width="2" style="209" customWidth="1"/>
    <col min="13058" max="13058" width="15.85546875" style="209" customWidth="1"/>
    <col min="13059" max="13059" width="9.28515625" style="209" bestFit="1" customWidth="1"/>
    <col min="13060" max="13060" width="50.28515625" style="209" customWidth="1"/>
    <col min="13061" max="13062" width="6.5703125" style="209" customWidth="1"/>
    <col min="13063" max="13063" width="7.5703125" style="209" customWidth="1"/>
    <col min="13064" max="13064" width="7.42578125" style="209" customWidth="1"/>
    <col min="13065" max="13065" width="8.42578125" style="209" customWidth="1"/>
    <col min="13066" max="13066" width="7.28515625" style="209" customWidth="1"/>
    <col min="13067" max="13067" width="7.5703125" style="209" customWidth="1"/>
    <col min="13068" max="13068" width="7.7109375" style="209" customWidth="1"/>
    <col min="13069" max="13070" width="6.42578125" style="209" customWidth="1"/>
    <col min="13071" max="13071" width="7.28515625" style="209" customWidth="1"/>
    <col min="13072" max="13072" width="7.85546875" style="209" customWidth="1"/>
    <col min="13073" max="13073" width="6.42578125" style="209" customWidth="1"/>
    <col min="13074" max="13074" width="7.28515625" style="209" customWidth="1"/>
    <col min="13075" max="13075" width="7.5703125" style="209" customWidth="1"/>
    <col min="13076" max="13076" width="8" style="209" customWidth="1"/>
    <col min="13077" max="13078" width="6.42578125" style="209" customWidth="1"/>
    <col min="13079" max="13079" width="7.28515625" style="209" customWidth="1"/>
    <col min="13080" max="13080" width="8.28515625" style="209" customWidth="1"/>
    <col min="13081" max="13082" width="6.42578125" style="209" customWidth="1"/>
    <col min="13083" max="13083" width="7.28515625" style="209" customWidth="1"/>
    <col min="13084" max="13084" width="8.28515625" style="209" customWidth="1"/>
    <col min="13085" max="13086" width="6.42578125" style="209" customWidth="1"/>
    <col min="13087" max="13087" width="7.28515625" style="209" customWidth="1"/>
    <col min="13088" max="13088" width="8.28515625" style="209" customWidth="1"/>
    <col min="13089" max="13312" width="11.42578125" style="209"/>
    <col min="13313" max="13313" width="2" style="209" customWidth="1"/>
    <col min="13314" max="13314" width="15.85546875" style="209" customWidth="1"/>
    <col min="13315" max="13315" width="9.28515625" style="209" bestFit="1" customWidth="1"/>
    <col min="13316" max="13316" width="50.28515625" style="209" customWidth="1"/>
    <col min="13317" max="13318" width="6.5703125" style="209" customWidth="1"/>
    <col min="13319" max="13319" width="7.5703125" style="209" customWidth="1"/>
    <col min="13320" max="13320" width="7.42578125" style="209" customWidth="1"/>
    <col min="13321" max="13321" width="8.42578125" style="209" customWidth="1"/>
    <col min="13322" max="13322" width="7.28515625" style="209" customWidth="1"/>
    <col min="13323" max="13323" width="7.5703125" style="209" customWidth="1"/>
    <col min="13324" max="13324" width="7.7109375" style="209" customWidth="1"/>
    <col min="13325" max="13326" width="6.42578125" style="209" customWidth="1"/>
    <col min="13327" max="13327" width="7.28515625" style="209" customWidth="1"/>
    <col min="13328" max="13328" width="7.85546875" style="209" customWidth="1"/>
    <col min="13329" max="13329" width="6.42578125" style="209" customWidth="1"/>
    <col min="13330" max="13330" width="7.28515625" style="209" customWidth="1"/>
    <col min="13331" max="13331" width="7.5703125" style="209" customWidth="1"/>
    <col min="13332" max="13332" width="8" style="209" customWidth="1"/>
    <col min="13333" max="13334" width="6.42578125" style="209" customWidth="1"/>
    <col min="13335" max="13335" width="7.28515625" style="209" customWidth="1"/>
    <col min="13336" max="13336" width="8.28515625" style="209" customWidth="1"/>
    <col min="13337" max="13338" width="6.42578125" style="209" customWidth="1"/>
    <col min="13339" max="13339" width="7.28515625" style="209" customWidth="1"/>
    <col min="13340" max="13340" width="8.28515625" style="209" customWidth="1"/>
    <col min="13341" max="13342" width="6.42578125" style="209" customWidth="1"/>
    <col min="13343" max="13343" width="7.28515625" style="209" customWidth="1"/>
    <col min="13344" max="13344" width="8.28515625" style="209" customWidth="1"/>
    <col min="13345" max="13568" width="11.42578125" style="209"/>
    <col min="13569" max="13569" width="2" style="209" customWidth="1"/>
    <col min="13570" max="13570" width="15.85546875" style="209" customWidth="1"/>
    <col min="13571" max="13571" width="9.28515625" style="209" bestFit="1" customWidth="1"/>
    <col min="13572" max="13572" width="50.28515625" style="209" customWidth="1"/>
    <col min="13573" max="13574" width="6.5703125" style="209" customWidth="1"/>
    <col min="13575" max="13575" width="7.5703125" style="209" customWidth="1"/>
    <col min="13576" max="13576" width="7.42578125" style="209" customWidth="1"/>
    <col min="13577" max="13577" width="8.42578125" style="209" customWidth="1"/>
    <col min="13578" max="13578" width="7.28515625" style="209" customWidth="1"/>
    <col min="13579" max="13579" width="7.5703125" style="209" customWidth="1"/>
    <col min="13580" max="13580" width="7.7109375" style="209" customWidth="1"/>
    <col min="13581" max="13582" width="6.42578125" style="209" customWidth="1"/>
    <col min="13583" max="13583" width="7.28515625" style="209" customWidth="1"/>
    <col min="13584" max="13584" width="7.85546875" style="209" customWidth="1"/>
    <col min="13585" max="13585" width="6.42578125" style="209" customWidth="1"/>
    <col min="13586" max="13586" width="7.28515625" style="209" customWidth="1"/>
    <col min="13587" max="13587" width="7.5703125" style="209" customWidth="1"/>
    <col min="13588" max="13588" width="8" style="209" customWidth="1"/>
    <col min="13589" max="13590" width="6.42578125" style="209" customWidth="1"/>
    <col min="13591" max="13591" width="7.28515625" style="209" customWidth="1"/>
    <col min="13592" max="13592" width="8.28515625" style="209" customWidth="1"/>
    <col min="13593" max="13594" width="6.42578125" style="209" customWidth="1"/>
    <col min="13595" max="13595" width="7.28515625" style="209" customWidth="1"/>
    <col min="13596" max="13596" width="8.28515625" style="209" customWidth="1"/>
    <col min="13597" max="13598" width="6.42578125" style="209" customWidth="1"/>
    <col min="13599" max="13599" width="7.28515625" style="209" customWidth="1"/>
    <col min="13600" max="13600" width="8.28515625" style="209" customWidth="1"/>
    <col min="13601" max="13824" width="11.42578125" style="209"/>
    <col min="13825" max="13825" width="2" style="209" customWidth="1"/>
    <col min="13826" max="13826" width="15.85546875" style="209" customWidth="1"/>
    <col min="13827" max="13827" width="9.28515625" style="209" bestFit="1" customWidth="1"/>
    <col min="13828" max="13828" width="50.28515625" style="209" customWidth="1"/>
    <col min="13829" max="13830" width="6.5703125" style="209" customWidth="1"/>
    <col min="13831" max="13831" width="7.5703125" style="209" customWidth="1"/>
    <col min="13832" max="13832" width="7.42578125" style="209" customWidth="1"/>
    <col min="13833" max="13833" width="8.42578125" style="209" customWidth="1"/>
    <col min="13834" max="13834" width="7.28515625" style="209" customWidth="1"/>
    <col min="13835" max="13835" width="7.5703125" style="209" customWidth="1"/>
    <col min="13836" max="13836" width="7.7109375" style="209" customWidth="1"/>
    <col min="13837" max="13838" width="6.42578125" style="209" customWidth="1"/>
    <col min="13839" max="13839" width="7.28515625" style="209" customWidth="1"/>
    <col min="13840" max="13840" width="7.85546875" style="209" customWidth="1"/>
    <col min="13841" max="13841" width="6.42578125" style="209" customWidth="1"/>
    <col min="13842" max="13842" width="7.28515625" style="209" customWidth="1"/>
    <col min="13843" max="13843" width="7.5703125" style="209" customWidth="1"/>
    <col min="13844" max="13844" width="8" style="209" customWidth="1"/>
    <col min="13845" max="13846" width="6.42578125" style="209" customWidth="1"/>
    <col min="13847" max="13847" width="7.28515625" style="209" customWidth="1"/>
    <col min="13848" max="13848" width="8.28515625" style="209" customWidth="1"/>
    <col min="13849" max="13850" width="6.42578125" style="209" customWidth="1"/>
    <col min="13851" max="13851" width="7.28515625" style="209" customWidth="1"/>
    <col min="13852" max="13852" width="8.28515625" style="209" customWidth="1"/>
    <col min="13853" max="13854" width="6.42578125" style="209" customWidth="1"/>
    <col min="13855" max="13855" width="7.28515625" style="209" customWidth="1"/>
    <col min="13856" max="13856" width="8.28515625" style="209" customWidth="1"/>
    <col min="13857" max="14080" width="11.42578125" style="209"/>
    <col min="14081" max="14081" width="2" style="209" customWidth="1"/>
    <col min="14082" max="14082" width="15.85546875" style="209" customWidth="1"/>
    <col min="14083" max="14083" width="9.28515625" style="209" bestFit="1" customWidth="1"/>
    <col min="14084" max="14084" width="50.28515625" style="209" customWidth="1"/>
    <col min="14085" max="14086" width="6.5703125" style="209" customWidth="1"/>
    <col min="14087" max="14087" width="7.5703125" style="209" customWidth="1"/>
    <col min="14088" max="14088" width="7.42578125" style="209" customWidth="1"/>
    <col min="14089" max="14089" width="8.42578125" style="209" customWidth="1"/>
    <col min="14090" max="14090" width="7.28515625" style="209" customWidth="1"/>
    <col min="14091" max="14091" width="7.5703125" style="209" customWidth="1"/>
    <col min="14092" max="14092" width="7.7109375" style="209" customWidth="1"/>
    <col min="14093" max="14094" width="6.42578125" style="209" customWidth="1"/>
    <col min="14095" max="14095" width="7.28515625" style="209" customWidth="1"/>
    <col min="14096" max="14096" width="7.85546875" style="209" customWidth="1"/>
    <col min="14097" max="14097" width="6.42578125" style="209" customWidth="1"/>
    <col min="14098" max="14098" width="7.28515625" style="209" customWidth="1"/>
    <col min="14099" max="14099" width="7.5703125" style="209" customWidth="1"/>
    <col min="14100" max="14100" width="8" style="209" customWidth="1"/>
    <col min="14101" max="14102" width="6.42578125" style="209" customWidth="1"/>
    <col min="14103" max="14103" width="7.28515625" style="209" customWidth="1"/>
    <col min="14104" max="14104" width="8.28515625" style="209" customWidth="1"/>
    <col min="14105" max="14106" width="6.42578125" style="209" customWidth="1"/>
    <col min="14107" max="14107" width="7.28515625" style="209" customWidth="1"/>
    <col min="14108" max="14108" width="8.28515625" style="209" customWidth="1"/>
    <col min="14109" max="14110" width="6.42578125" style="209" customWidth="1"/>
    <col min="14111" max="14111" width="7.28515625" style="209" customWidth="1"/>
    <col min="14112" max="14112" width="8.28515625" style="209" customWidth="1"/>
    <col min="14113" max="14336" width="11.42578125" style="209"/>
    <col min="14337" max="14337" width="2" style="209" customWidth="1"/>
    <col min="14338" max="14338" width="15.85546875" style="209" customWidth="1"/>
    <col min="14339" max="14339" width="9.28515625" style="209" bestFit="1" customWidth="1"/>
    <col min="14340" max="14340" width="50.28515625" style="209" customWidth="1"/>
    <col min="14341" max="14342" width="6.5703125" style="209" customWidth="1"/>
    <col min="14343" max="14343" width="7.5703125" style="209" customWidth="1"/>
    <col min="14344" max="14344" width="7.42578125" style="209" customWidth="1"/>
    <col min="14345" max="14345" width="8.42578125" style="209" customWidth="1"/>
    <col min="14346" max="14346" width="7.28515625" style="209" customWidth="1"/>
    <col min="14347" max="14347" width="7.5703125" style="209" customWidth="1"/>
    <col min="14348" max="14348" width="7.7109375" style="209" customWidth="1"/>
    <col min="14349" max="14350" width="6.42578125" style="209" customWidth="1"/>
    <col min="14351" max="14351" width="7.28515625" style="209" customWidth="1"/>
    <col min="14352" max="14352" width="7.85546875" style="209" customWidth="1"/>
    <col min="14353" max="14353" width="6.42578125" style="209" customWidth="1"/>
    <col min="14354" max="14354" width="7.28515625" style="209" customWidth="1"/>
    <col min="14355" max="14355" width="7.5703125" style="209" customWidth="1"/>
    <col min="14356" max="14356" width="8" style="209" customWidth="1"/>
    <col min="14357" max="14358" width="6.42578125" style="209" customWidth="1"/>
    <col min="14359" max="14359" width="7.28515625" style="209" customWidth="1"/>
    <col min="14360" max="14360" width="8.28515625" style="209" customWidth="1"/>
    <col min="14361" max="14362" width="6.42578125" style="209" customWidth="1"/>
    <col min="14363" max="14363" width="7.28515625" style="209" customWidth="1"/>
    <col min="14364" max="14364" width="8.28515625" style="209" customWidth="1"/>
    <col min="14365" max="14366" width="6.42578125" style="209" customWidth="1"/>
    <col min="14367" max="14367" width="7.28515625" style="209" customWidth="1"/>
    <col min="14368" max="14368" width="8.28515625" style="209" customWidth="1"/>
    <col min="14369" max="14592" width="11.42578125" style="209"/>
    <col min="14593" max="14593" width="2" style="209" customWidth="1"/>
    <col min="14594" max="14594" width="15.85546875" style="209" customWidth="1"/>
    <col min="14595" max="14595" width="9.28515625" style="209" bestFit="1" customWidth="1"/>
    <col min="14596" max="14596" width="50.28515625" style="209" customWidth="1"/>
    <col min="14597" max="14598" width="6.5703125" style="209" customWidth="1"/>
    <col min="14599" max="14599" width="7.5703125" style="209" customWidth="1"/>
    <col min="14600" max="14600" width="7.42578125" style="209" customWidth="1"/>
    <col min="14601" max="14601" width="8.42578125" style="209" customWidth="1"/>
    <col min="14602" max="14602" width="7.28515625" style="209" customWidth="1"/>
    <col min="14603" max="14603" width="7.5703125" style="209" customWidth="1"/>
    <col min="14604" max="14604" width="7.7109375" style="209" customWidth="1"/>
    <col min="14605" max="14606" width="6.42578125" style="209" customWidth="1"/>
    <col min="14607" max="14607" width="7.28515625" style="209" customWidth="1"/>
    <col min="14608" max="14608" width="7.85546875" style="209" customWidth="1"/>
    <col min="14609" max="14609" width="6.42578125" style="209" customWidth="1"/>
    <col min="14610" max="14610" width="7.28515625" style="209" customWidth="1"/>
    <col min="14611" max="14611" width="7.5703125" style="209" customWidth="1"/>
    <col min="14612" max="14612" width="8" style="209" customWidth="1"/>
    <col min="14613" max="14614" width="6.42578125" style="209" customWidth="1"/>
    <col min="14615" max="14615" width="7.28515625" style="209" customWidth="1"/>
    <col min="14616" max="14616" width="8.28515625" style="209" customWidth="1"/>
    <col min="14617" max="14618" width="6.42578125" style="209" customWidth="1"/>
    <col min="14619" max="14619" width="7.28515625" style="209" customWidth="1"/>
    <col min="14620" max="14620" width="8.28515625" style="209" customWidth="1"/>
    <col min="14621" max="14622" width="6.42578125" style="209" customWidth="1"/>
    <col min="14623" max="14623" width="7.28515625" style="209" customWidth="1"/>
    <col min="14624" max="14624" width="8.28515625" style="209" customWidth="1"/>
    <col min="14625" max="14848" width="11.42578125" style="209"/>
    <col min="14849" max="14849" width="2" style="209" customWidth="1"/>
    <col min="14850" max="14850" width="15.85546875" style="209" customWidth="1"/>
    <col min="14851" max="14851" width="9.28515625" style="209" bestFit="1" customWidth="1"/>
    <col min="14852" max="14852" width="50.28515625" style="209" customWidth="1"/>
    <col min="14853" max="14854" width="6.5703125" style="209" customWidth="1"/>
    <col min="14855" max="14855" width="7.5703125" style="209" customWidth="1"/>
    <col min="14856" max="14856" width="7.42578125" style="209" customWidth="1"/>
    <col min="14857" max="14857" width="8.42578125" style="209" customWidth="1"/>
    <col min="14858" max="14858" width="7.28515625" style="209" customWidth="1"/>
    <col min="14859" max="14859" width="7.5703125" style="209" customWidth="1"/>
    <col min="14860" max="14860" width="7.7109375" style="209" customWidth="1"/>
    <col min="14861" max="14862" width="6.42578125" style="209" customWidth="1"/>
    <col min="14863" max="14863" width="7.28515625" style="209" customWidth="1"/>
    <col min="14864" max="14864" width="7.85546875" style="209" customWidth="1"/>
    <col min="14865" max="14865" width="6.42578125" style="209" customWidth="1"/>
    <col min="14866" max="14866" width="7.28515625" style="209" customWidth="1"/>
    <col min="14867" max="14867" width="7.5703125" style="209" customWidth="1"/>
    <col min="14868" max="14868" width="8" style="209" customWidth="1"/>
    <col min="14869" max="14870" width="6.42578125" style="209" customWidth="1"/>
    <col min="14871" max="14871" width="7.28515625" style="209" customWidth="1"/>
    <col min="14872" max="14872" width="8.28515625" style="209" customWidth="1"/>
    <col min="14873" max="14874" width="6.42578125" style="209" customWidth="1"/>
    <col min="14875" max="14875" width="7.28515625" style="209" customWidth="1"/>
    <col min="14876" max="14876" width="8.28515625" style="209" customWidth="1"/>
    <col min="14877" max="14878" width="6.42578125" style="209" customWidth="1"/>
    <col min="14879" max="14879" width="7.28515625" style="209" customWidth="1"/>
    <col min="14880" max="14880" width="8.28515625" style="209" customWidth="1"/>
    <col min="14881" max="15104" width="11.42578125" style="209"/>
    <col min="15105" max="15105" width="2" style="209" customWidth="1"/>
    <col min="15106" max="15106" width="15.85546875" style="209" customWidth="1"/>
    <col min="15107" max="15107" width="9.28515625" style="209" bestFit="1" customWidth="1"/>
    <col min="15108" max="15108" width="50.28515625" style="209" customWidth="1"/>
    <col min="15109" max="15110" width="6.5703125" style="209" customWidth="1"/>
    <col min="15111" max="15111" width="7.5703125" style="209" customWidth="1"/>
    <col min="15112" max="15112" width="7.42578125" style="209" customWidth="1"/>
    <col min="15113" max="15113" width="8.42578125" style="209" customWidth="1"/>
    <col min="15114" max="15114" width="7.28515625" style="209" customWidth="1"/>
    <col min="15115" max="15115" width="7.5703125" style="209" customWidth="1"/>
    <col min="15116" max="15116" width="7.7109375" style="209" customWidth="1"/>
    <col min="15117" max="15118" width="6.42578125" style="209" customWidth="1"/>
    <col min="15119" max="15119" width="7.28515625" style="209" customWidth="1"/>
    <col min="15120" max="15120" width="7.85546875" style="209" customWidth="1"/>
    <col min="15121" max="15121" width="6.42578125" style="209" customWidth="1"/>
    <col min="15122" max="15122" width="7.28515625" style="209" customWidth="1"/>
    <col min="15123" max="15123" width="7.5703125" style="209" customWidth="1"/>
    <col min="15124" max="15124" width="8" style="209" customWidth="1"/>
    <col min="15125" max="15126" width="6.42578125" style="209" customWidth="1"/>
    <col min="15127" max="15127" width="7.28515625" style="209" customWidth="1"/>
    <col min="15128" max="15128" width="8.28515625" style="209" customWidth="1"/>
    <col min="15129" max="15130" width="6.42578125" style="209" customWidth="1"/>
    <col min="15131" max="15131" width="7.28515625" style="209" customWidth="1"/>
    <col min="15132" max="15132" width="8.28515625" style="209" customWidth="1"/>
    <col min="15133" max="15134" width="6.42578125" style="209" customWidth="1"/>
    <col min="15135" max="15135" width="7.28515625" style="209" customWidth="1"/>
    <col min="15136" max="15136" width="8.28515625" style="209" customWidth="1"/>
    <col min="15137" max="15360" width="11.42578125" style="209"/>
    <col min="15361" max="15361" width="2" style="209" customWidth="1"/>
    <col min="15362" max="15362" width="15.85546875" style="209" customWidth="1"/>
    <col min="15363" max="15363" width="9.28515625" style="209" bestFit="1" customWidth="1"/>
    <col min="15364" max="15364" width="50.28515625" style="209" customWidth="1"/>
    <col min="15365" max="15366" width="6.5703125" style="209" customWidth="1"/>
    <col min="15367" max="15367" width="7.5703125" style="209" customWidth="1"/>
    <col min="15368" max="15368" width="7.42578125" style="209" customWidth="1"/>
    <col min="15369" max="15369" width="8.42578125" style="209" customWidth="1"/>
    <col min="15370" max="15370" width="7.28515625" style="209" customWidth="1"/>
    <col min="15371" max="15371" width="7.5703125" style="209" customWidth="1"/>
    <col min="15372" max="15372" width="7.7109375" style="209" customWidth="1"/>
    <col min="15373" max="15374" width="6.42578125" style="209" customWidth="1"/>
    <col min="15375" max="15375" width="7.28515625" style="209" customWidth="1"/>
    <col min="15376" max="15376" width="7.85546875" style="209" customWidth="1"/>
    <col min="15377" max="15377" width="6.42578125" style="209" customWidth="1"/>
    <col min="15378" max="15378" width="7.28515625" style="209" customWidth="1"/>
    <col min="15379" max="15379" width="7.5703125" style="209" customWidth="1"/>
    <col min="15380" max="15380" width="8" style="209" customWidth="1"/>
    <col min="15381" max="15382" width="6.42578125" style="209" customWidth="1"/>
    <col min="15383" max="15383" width="7.28515625" style="209" customWidth="1"/>
    <col min="15384" max="15384" width="8.28515625" style="209" customWidth="1"/>
    <col min="15385" max="15386" width="6.42578125" style="209" customWidth="1"/>
    <col min="15387" max="15387" width="7.28515625" style="209" customWidth="1"/>
    <col min="15388" max="15388" width="8.28515625" style="209" customWidth="1"/>
    <col min="15389" max="15390" width="6.42578125" style="209" customWidth="1"/>
    <col min="15391" max="15391" width="7.28515625" style="209" customWidth="1"/>
    <col min="15392" max="15392" width="8.28515625" style="209" customWidth="1"/>
    <col min="15393" max="15616" width="11.42578125" style="209"/>
    <col min="15617" max="15617" width="2" style="209" customWidth="1"/>
    <col min="15618" max="15618" width="15.85546875" style="209" customWidth="1"/>
    <col min="15619" max="15619" width="9.28515625" style="209" bestFit="1" customWidth="1"/>
    <col min="15620" max="15620" width="50.28515625" style="209" customWidth="1"/>
    <col min="15621" max="15622" width="6.5703125" style="209" customWidth="1"/>
    <col min="15623" max="15623" width="7.5703125" style="209" customWidth="1"/>
    <col min="15624" max="15624" width="7.42578125" style="209" customWidth="1"/>
    <col min="15625" max="15625" width="8.42578125" style="209" customWidth="1"/>
    <col min="15626" max="15626" width="7.28515625" style="209" customWidth="1"/>
    <col min="15627" max="15627" width="7.5703125" style="209" customWidth="1"/>
    <col min="15628" max="15628" width="7.7109375" style="209" customWidth="1"/>
    <col min="15629" max="15630" width="6.42578125" style="209" customWidth="1"/>
    <col min="15631" max="15631" width="7.28515625" style="209" customWidth="1"/>
    <col min="15632" max="15632" width="7.85546875" style="209" customWidth="1"/>
    <col min="15633" max="15633" width="6.42578125" style="209" customWidth="1"/>
    <col min="15634" max="15634" width="7.28515625" style="209" customWidth="1"/>
    <col min="15635" max="15635" width="7.5703125" style="209" customWidth="1"/>
    <col min="15636" max="15636" width="8" style="209" customWidth="1"/>
    <col min="15637" max="15638" width="6.42578125" style="209" customWidth="1"/>
    <col min="15639" max="15639" width="7.28515625" style="209" customWidth="1"/>
    <col min="15640" max="15640" width="8.28515625" style="209" customWidth="1"/>
    <col min="15641" max="15642" width="6.42578125" style="209" customWidth="1"/>
    <col min="15643" max="15643" width="7.28515625" style="209" customWidth="1"/>
    <col min="15644" max="15644" width="8.28515625" style="209" customWidth="1"/>
    <col min="15645" max="15646" width="6.42578125" style="209" customWidth="1"/>
    <col min="15647" max="15647" width="7.28515625" style="209" customWidth="1"/>
    <col min="15648" max="15648" width="8.28515625" style="209" customWidth="1"/>
    <col min="15649" max="15872" width="11.42578125" style="209"/>
    <col min="15873" max="15873" width="2" style="209" customWidth="1"/>
    <col min="15874" max="15874" width="15.85546875" style="209" customWidth="1"/>
    <col min="15875" max="15875" width="9.28515625" style="209" bestFit="1" customWidth="1"/>
    <col min="15876" max="15876" width="50.28515625" style="209" customWidth="1"/>
    <col min="15877" max="15878" width="6.5703125" style="209" customWidth="1"/>
    <col min="15879" max="15879" width="7.5703125" style="209" customWidth="1"/>
    <col min="15880" max="15880" width="7.42578125" style="209" customWidth="1"/>
    <col min="15881" max="15881" width="8.42578125" style="209" customWidth="1"/>
    <col min="15882" max="15882" width="7.28515625" style="209" customWidth="1"/>
    <col min="15883" max="15883" width="7.5703125" style="209" customWidth="1"/>
    <col min="15884" max="15884" width="7.7109375" style="209" customWidth="1"/>
    <col min="15885" max="15886" width="6.42578125" style="209" customWidth="1"/>
    <col min="15887" max="15887" width="7.28515625" style="209" customWidth="1"/>
    <col min="15888" max="15888" width="7.85546875" style="209" customWidth="1"/>
    <col min="15889" max="15889" width="6.42578125" style="209" customWidth="1"/>
    <col min="15890" max="15890" width="7.28515625" style="209" customWidth="1"/>
    <col min="15891" max="15891" width="7.5703125" style="209" customWidth="1"/>
    <col min="15892" max="15892" width="8" style="209" customWidth="1"/>
    <col min="15893" max="15894" width="6.42578125" style="209" customWidth="1"/>
    <col min="15895" max="15895" width="7.28515625" style="209" customWidth="1"/>
    <col min="15896" max="15896" width="8.28515625" style="209" customWidth="1"/>
    <col min="15897" max="15898" width="6.42578125" style="209" customWidth="1"/>
    <col min="15899" max="15899" width="7.28515625" style="209" customWidth="1"/>
    <col min="15900" max="15900" width="8.28515625" style="209" customWidth="1"/>
    <col min="15901" max="15902" width="6.42578125" style="209" customWidth="1"/>
    <col min="15903" max="15903" width="7.28515625" style="209" customWidth="1"/>
    <col min="15904" max="15904" width="8.28515625" style="209" customWidth="1"/>
    <col min="15905" max="16128" width="11.42578125" style="209"/>
    <col min="16129" max="16129" width="2" style="209" customWidth="1"/>
    <col min="16130" max="16130" width="15.85546875" style="209" customWidth="1"/>
    <col min="16131" max="16131" width="9.28515625" style="209" bestFit="1" customWidth="1"/>
    <col min="16132" max="16132" width="50.28515625" style="209" customWidth="1"/>
    <col min="16133" max="16134" width="6.5703125" style="209" customWidth="1"/>
    <col min="16135" max="16135" width="7.5703125" style="209" customWidth="1"/>
    <col min="16136" max="16136" width="7.42578125" style="209" customWidth="1"/>
    <col min="16137" max="16137" width="8.42578125" style="209" customWidth="1"/>
    <col min="16138" max="16138" width="7.28515625" style="209" customWidth="1"/>
    <col min="16139" max="16139" width="7.5703125" style="209" customWidth="1"/>
    <col min="16140" max="16140" width="7.7109375" style="209" customWidth="1"/>
    <col min="16141" max="16142" width="6.42578125" style="209" customWidth="1"/>
    <col min="16143" max="16143" width="7.28515625" style="209" customWidth="1"/>
    <col min="16144" max="16144" width="7.85546875" style="209" customWidth="1"/>
    <col min="16145" max="16145" width="6.42578125" style="209" customWidth="1"/>
    <col min="16146" max="16146" width="7.28515625" style="209" customWidth="1"/>
    <col min="16147" max="16147" width="7.5703125" style="209" customWidth="1"/>
    <col min="16148" max="16148" width="8" style="209" customWidth="1"/>
    <col min="16149" max="16150" width="6.42578125" style="209" customWidth="1"/>
    <col min="16151" max="16151" width="7.28515625" style="209" customWidth="1"/>
    <col min="16152" max="16152" width="8.28515625" style="209" customWidth="1"/>
    <col min="16153" max="16154" width="6.42578125" style="209" customWidth="1"/>
    <col min="16155" max="16155" width="7.28515625" style="209" customWidth="1"/>
    <col min="16156" max="16156" width="8.28515625" style="209" customWidth="1"/>
    <col min="16157" max="16158" width="6.42578125" style="209" customWidth="1"/>
    <col min="16159" max="16159" width="7.28515625" style="209" customWidth="1"/>
    <col min="16160" max="16160" width="8.28515625" style="209" customWidth="1"/>
    <col min="16161" max="16384" width="11.42578125" style="209"/>
  </cols>
  <sheetData>
    <row r="1" spans="1:56" ht="15.75" x14ac:dyDescent="0.2">
      <c r="A1" s="191" t="s">
        <v>1364</v>
      </c>
      <c r="B1" s="4133"/>
      <c r="C1" s="4133"/>
      <c r="D1" s="639"/>
      <c r="E1" s="639"/>
      <c r="F1" s="639"/>
      <c r="G1" s="639"/>
      <c r="H1" s="639"/>
      <c r="I1" s="639"/>
      <c r="J1" s="639"/>
      <c r="K1" s="639"/>
      <c r="L1" s="639"/>
      <c r="M1" s="639"/>
      <c r="N1" s="639"/>
      <c r="O1" s="639"/>
      <c r="P1" s="639"/>
      <c r="Q1" s="639"/>
      <c r="R1" s="639"/>
      <c r="S1" s="639"/>
      <c r="T1" s="639"/>
      <c r="U1" s="639"/>
      <c r="V1" s="639"/>
      <c r="W1" s="639"/>
      <c r="X1" s="639"/>
      <c r="Y1" s="639"/>
      <c r="Z1" s="639"/>
      <c r="AA1" s="639"/>
      <c r="AB1" s="639"/>
      <c r="AC1" s="639"/>
      <c r="AD1" s="639"/>
      <c r="AE1" s="639"/>
      <c r="AF1" s="639"/>
      <c r="AG1" s="639"/>
      <c r="AH1" s="639"/>
      <c r="AI1" s="639"/>
      <c r="AJ1" s="639"/>
      <c r="AK1" s="639"/>
      <c r="AL1" s="639"/>
      <c r="AM1" s="639"/>
      <c r="AN1" s="639"/>
    </row>
    <row r="2" spans="1:56" x14ac:dyDescent="0.2">
      <c r="B2" s="209"/>
      <c r="C2" s="209"/>
      <c r="H2" s="209"/>
      <c r="L2" s="209"/>
      <c r="P2" s="209"/>
      <c r="T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</row>
    <row r="3" spans="1:56" ht="12.75" customHeight="1" x14ac:dyDescent="0.2">
      <c r="A3" s="5106" t="s">
        <v>16</v>
      </c>
      <c r="B3" s="5106" t="s">
        <v>4</v>
      </c>
      <c r="C3" s="5020" t="s">
        <v>144</v>
      </c>
      <c r="D3" s="5106" t="s">
        <v>77</v>
      </c>
      <c r="E3" s="5444">
        <v>2003</v>
      </c>
      <c r="F3" s="5445"/>
      <c r="G3" s="5445"/>
      <c r="H3" s="5446"/>
      <c r="I3" s="5444">
        <v>2004</v>
      </c>
      <c r="J3" s="5445"/>
      <c r="K3" s="5445"/>
      <c r="L3" s="5446"/>
      <c r="M3" s="5444">
        <v>2005</v>
      </c>
      <c r="N3" s="5445"/>
      <c r="O3" s="5445"/>
      <c r="P3" s="5446"/>
      <c r="Q3" s="5444">
        <v>2006</v>
      </c>
      <c r="R3" s="5445"/>
      <c r="S3" s="5445"/>
      <c r="T3" s="5446"/>
      <c r="U3" s="5444">
        <v>2007</v>
      </c>
      <c r="V3" s="5445"/>
      <c r="W3" s="5445"/>
      <c r="X3" s="5446"/>
      <c r="Y3" s="5444">
        <v>2008</v>
      </c>
      <c r="Z3" s="5445"/>
      <c r="AA3" s="5445"/>
      <c r="AB3" s="5446"/>
      <c r="AC3" s="5444">
        <v>2009</v>
      </c>
      <c r="AD3" s="5445"/>
      <c r="AE3" s="5445"/>
      <c r="AF3" s="5446"/>
      <c r="AG3" s="5444">
        <v>2010</v>
      </c>
      <c r="AH3" s="5445"/>
      <c r="AI3" s="5445"/>
      <c r="AJ3" s="5446"/>
      <c r="AK3" s="5444">
        <v>2011</v>
      </c>
      <c r="AL3" s="5445"/>
      <c r="AM3" s="5445"/>
      <c r="AN3" s="5446"/>
      <c r="AO3" s="5444">
        <v>2012</v>
      </c>
      <c r="AP3" s="5445"/>
      <c r="AQ3" s="5445"/>
      <c r="AR3" s="5446"/>
      <c r="AS3" s="5444">
        <v>2013</v>
      </c>
      <c r="AT3" s="5445"/>
      <c r="AU3" s="5445"/>
      <c r="AV3" s="5446"/>
      <c r="AW3" s="5444">
        <v>2014</v>
      </c>
      <c r="AX3" s="5445"/>
      <c r="AY3" s="5445"/>
      <c r="AZ3" s="5446"/>
      <c r="BA3" s="5444">
        <v>2015</v>
      </c>
      <c r="BB3" s="5445"/>
      <c r="BC3" s="5445"/>
      <c r="BD3" s="5446"/>
    </row>
    <row r="4" spans="1:56" ht="15" x14ac:dyDescent="0.2">
      <c r="A4" s="5106"/>
      <c r="B4" s="5106"/>
      <c r="C4" s="5021"/>
      <c r="D4" s="5106"/>
      <c r="E4" s="1092" t="s">
        <v>670</v>
      </c>
      <c r="F4" s="1093" t="s">
        <v>668</v>
      </c>
      <c r="G4" s="1094" t="s">
        <v>669</v>
      </c>
      <c r="H4" s="1090" t="s">
        <v>160</v>
      </c>
      <c r="I4" s="2168" t="s">
        <v>670</v>
      </c>
      <c r="J4" s="2169" t="s">
        <v>668</v>
      </c>
      <c r="K4" s="2170" t="s">
        <v>669</v>
      </c>
      <c r="L4" s="1090" t="s">
        <v>160</v>
      </c>
      <c r="M4" s="2168" t="s">
        <v>670</v>
      </c>
      <c r="N4" s="2169" t="s">
        <v>668</v>
      </c>
      <c r="O4" s="2170" t="s">
        <v>669</v>
      </c>
      <c r="P4" s="1090" t="s">
        <v>160</v>
      </c>
      <c r="Q4" s="2168" t="s">
        <v>670</v>
      </c>
      <c r="R4" s="2169" t="s">
        <v>668</v>
      </c>
      <c r="S4" s="2170" t="s">
        <v>669</v>
      </c>
      <c r="T4" s="1090" t="s">
        <v>160</v>
      </c>
      <c r="U4" s="2168" t="s">
        <v>670</v>
      </c>
      <c r="V4" s="2169" t="s">
        <v>668</v>
      </c>
      <c r="W4" s="2170" t="s">
        <v>669</v>
      </c>
      <c r="X4" s="1090" t="s">
        <v>160</v>
      </c>
      <c r="Y4" s="2168" t="s">
        <v>670</v>
      </c>
      <c r="Z4" s="2169" t="s">
        <v>668</v>
      </c>
      <c r="AA4" s="2170" t="s">
        <v>669</v>
      </c>
      <c r="AB4" s="1090" t="s">
        <v>160</v>
      </c>
      <c r="AC4" s="2168" t="s">
        <v>670</v>
      </c>
      <c r="AD4" s="2169" t="s">
        <v>668</v>
      </c>
      <c r="AE4" s="2170" t="s">
        <v>669</v>
      </c>
      <c r="AF4" s="1090" t="s">
        <v>160</v>
      </c>
      <c r="AG4" s="2168" t="s">
        <v>670</v>
      </c>
      <c r="AH4" s="2169" t="s">
        <v>668</v>
      </c>
      <c r="AI4" s="2170" t="s">
        <v>669</v>
      </c>
      <c r="AJ4" s="1090" t="s">
        <v>160</v>
      </c>
      <c r="AK4" s="2168" t="s">
        <v>670</v>
      </c>
      <c r="AL4" s="2169" t="s">
        <v>668</v>
      </c>
      <c r="AM4" s="2170" t="s">
        <v>669</v>
      </c>
      <c r="AN4" s="1090" t="s">
        <v>160</v>
      </c>
      <c r="AO4" s="2168" t="s">
        <v>670</v>
      </c>
      <c r="AP4" s="2169" t="s">
        <v>668</v>
      </c>
      <c r="AQ4" s="2170" t="s">
        <v>669</v>
      </c>
      <c r="AR4" s="1090" t="s">
        <v>160</v>
      </c>
      <c r="AS4" s="2168" t="s">
        <v>670</v>
      </c>
      <c r="AT4" s="2169" t="s">
        <v>668</v>
      </c>
      <c r="AU4" s="2170" t="s">
        <v>669</v>
      </c>
      <c r="AV4" s="1090" t="s">
        <v>160</v>
      </c>
      <c r="AW4" s="2168" t="s">
        <v>670</v>
      </c>
      <c r="AX4" s="2169" t="s">
        <v>668</v>
      </c>
      <c r="AY4" s="2170" t="s">
        <v>669</v>
      </c>
      <c r="AZ4" s="1090" t="s">
        <v>160</v>
      </c>
      <c r="BA4" s="4360" t="s">
        <v>670</v>
      </c>
      <c r="BB4" s="4361" t="s">
        <v>668</v>
      </c>
      <c r="BC4" s="4362" t="s">
        <v>669</v>
      </c>
      <c r="BD4" s="1090" t="s">
        <v>160</v>
      </c>
    </row>
    <row r="5" spans="1:56" s="212" customFormat="1" ht="15" x14ac:dyDescent="0.2">
      <c r="A5" s="5457" t="s">
        <v>446</v>
      </c>
      <c r="B5" s="5457" t="s">
        <v>5</v>
      </c>
      <c r="C5" s="1101" t="s">
        <v>528</v>
      </c>
      <c r="D5" s="1102" t="s">
        <v>566</v>
      </c>
      <c r="E5" s="1224"/>
      <c r="F5" s="1225"/>
      <c r="G5" s="1225"/>
      <c r="H5" s="1111"/>
      <c r="I5" s="1225"/>
      <c r="J5" s="1225"/>
      <c r="K5" s="1225"/>
      <c r="L5" s="1111"/>
      <c r="M5" s="1224"/>
      <c r="N5" s="1225"/>
      <c r="O5" s="1225">
        <v>12</v>
      </c>
      <c r="P5" s="1111">
        <f>SUM(M5:O5)</f>
        <v>12</v>
      </c>
      <c r="Q5" s="1224"/>
      <c r="R5" s="1225"/>
      <c r="S5" s="1225"/>
      <c r="T5" s="1111"/>
      <c r="U5" s="1224"/>
      <c r="V5" s="1225"/>
      <c r="W5" s="1225"/>
      <c r="X5" s="1111"/>
      <c r="Y5" s="1224"/>
      <c r="Z5" s="1225"/>
      <c r="AA5" s="1225"/>
      <c r="AB5" s="1111"/>
      <c r="AC5" s="1224"/>
      <c r="AD5" s="1225"/>
      <c r="AE5" s="1225"/>
      <c r="AF5" s="1111"/>
      <c r="AG5" s="1224"/>
      <c r="AH5" s="1225"/>
      <c r="AI5" s="1225"/>
      <c r="AJ5" s="1111"/>
      <c r="AK5" s="1224"/>
      <c r="AL5" s="1225"/>
      <c r="AM5" s="1225"/>
      <c r="AN5" s="1111"/>
      <c r="AO5" s="1224"/>
      <c r="AP5" s="1225"/>
      <c r="AQ5" s="1225"/>
      <c r="AR5" s="1111"/>
      <c r="AS5" s="1224"/>
      <c r="AT5" s="1225"/>
      <c r="AU5" s="1225"/>
      <c r="AV5" s="1111"/>
      <c r="AW5" s="1224"/>
      <c r="AX5" s="1225"/>
      <c r="AY5" s="1225"/>
      <c r="AZ5" s="1114">
        <f t="shared" ref="AZ5:AZ14" si="0">SUM(AW5:AY5)</f>
        <v>0</v>
      </c>
      <c r="BA5" s="1224"/>
      <c r="BB5" s="1225"/>
      <c r="BC5" s="1225"/>
      <c r="BD5" s="1114">
        <f t="shared" ref="BD5:BD14" si="1">SUM(BA5:BC5)</f>
        <v>0</v>
      </c>
    </row>
    <row r="6" spans="1:56" s="212" customFormat="1" ht="15" x14ac:dyDescent="0.2">
      <c r="A6" s="5458"/>
      <c r="B6" s="5458"/>
      <c r="C6" s="5455" t="s">
        <v>527</v>
      </c>
      <c r="D6" s="1103" t="s">
        <v>567</v>
      </c>
      <c r="E6" s="1216"/>
      <c r="F6" s="1115"/>
      <c r="G6" s="1115"/>
      <c r="H6" s="1114"/>
      <c r="I6" s="1115"/>
      <c r="J6" s="1115"/>
      <c r="K6" s="1115"/>
      <c r="L6" s="1114"/>
      <c r="M6" s="1216">
        <v>20</v>
      </c>
      <c r="N6" s="1115">
        <v>11</v>
      </c>
      <c r="O6" s="1115">
        <v>18</v>
      </c>
      <c r="P6" s="1114">
        <f>SUM(M6:O6)</f>
        <v>49</v>
      </c>
      <c r="Q6" s="1216">
        <v>24</v>
      </c>
      <c r="R6" s="1115"/>
      <c r="S6" s="1115">
        <v>30</v>
      </c>
      <c r="T6" s="1114">
        <f>SUM(Q6:S6)</f>
        <v>54</v>
      </c>
      <c r="U6" s="1216">
        <v>4</v>
      </c>
      <c r="V6" s="1115">
        <v>13</v>
      </c>
      <c r="W6" s="1115"/>
      <c r="X6" s="1114">
        <f>SUM(U6:W6)</f>
        <v>17</v>
      </c>
      <c r="Y6" s="1216">
        <v>7</v>
      </c>
      <c r="Z6" s="1115"/>
      <c r="AA6" s="1115">
        <v>25</v>
      </c>
      <c r="AB6" s="1114">
        <f>SUM(Y6:AA6)</f>
        <v>32</v>
      </c>
      <c r="AC6" s="1216">
        <v>9</v>
      </c>
      <c r="AD6" s="1115"/>
      <c r="AE6" s="1115">
        <v>29</v>
      </c>
      <c r="AF6" s="1114">
        <f>SUM(AC6:AE6)</f>
        <v>38</v>
      </c>
      <c r="AG6" s="1216">
        <v>21</v>
      </c>
      <c r="AH6" s="1115">
        <v>1</v>
      </c>
      <c r="AI6" s="1115">
        <v>18</v>
      </c>
      <c r="AJ6" s="1114">
        <f>SUM(AG6:AI6)</f>
        <v>40</v>
      </c>
      <c r="AK6" s="1216">
        <v>19</v>
      </c>
      <c r="AL6" s="1115"/>
      <c r="AM6" s="1115">
        <v>30</v>
      </c>
      <c r="AN6" s="1114">
        <f>SUM(AK6:AM6)</f>
        <v>49</v>
      </c>
      <c r="AO6" s="1216">
        <v>8</v>
      </c>
      <c r="AP6" s="1115"/>
      <c r="AQ6" s="1115">
        <v>14</v>
      </c>
      <c r="AR6" s="1114">
        <f>SUM(AO6:AQ6)</f>
        <v>22</v>
      </c>
      <c r="AS6" s="1216">
        <v>10</v>
      </c>
      <c r="AT6" s="1115"/>
      <c r="AU6" s="1115">
        <v>32</v>
      </c>
      <c r="AV6" s="1114">
        <f>SUM(AS6:AU6)</f>
        <v>42</v>
      </c>
      <c r="AW6" s="1216">
        <v>48</v>
      </c>
      <c r="AX6" s="1115"/>
      <c r="AY6" s="1115">
        <v>51</v>
      </c>
      <c r="AZ6" s="1114">
        <f t="shared" si="0"/>
        <v>99</v>
      </c>
      <c r="BA6" s="1216">
        <v>9</v>
      </c>
      <c r="BB6" s="1115"/>
      <c r="BC6" s="1115">
        <v>60</v>
      </c>
      <c r="BD6" s="1114">
        <f t="shared" si="1"/>
        <v>69</v>
      </c>
    </row>
    <row r="7" spans="1:56" s="212" customFormat="1" ht="15" x14ac:dyDescent="0.2">
      <c r="A7" s="5458"/>
      <c r="B7" s="5458"/>
      <c r="C7" s="5456"/>
      <c r="D7" s="1104" t="s">
        <v>136</v>
      </c>
      <c r="E7" s="1216"/>
      <c r="F7" s="1115"/>
      <c r="G7" s="1115"/>
      <c r="H7" s="1114"/>
      <c r="I7" s="1115"/>
      <c r="J7" s="1115"/>
      <c r="K7" s="1115"/>
      <c r="L7" s="1114"/>
      <c r="M7" s="1216"/>
      <c r="N7" s="1115"/>
      <c r="O7" s="1115">
        <v>21</v>
      </c>
      <c r="P7" s="1114">
        <f t="shared" ref="P7:P12" si="2">SUM(M7:O7)</f>
        <v>21</v>
      </c>
      <c r="Q7" s="1216">
        <v>2</v>
      </c>
      <c r="R7" s="1115"/>
      <c r="S7" s="1115">
        <v>11</v>
      </c>
      <c r="T7" s="1114">
        <f t="shared" ref="T7:T12" si="3">SUM(Q7:S7)</f>
        <v>13</v>
      </c>
      <c r="U7" s="1216">
        <v>2</v>
      </c>
      <c r="V7" s="1115"/>
      <c r="W7" s="1115"/>
      <c r="X7" s="1114">
        <f>SUM(U7:W7)</f>
        <v>2</v>
      </c>
      <c r="Y7" s="1216"/>
      <c r="Z7" s="1115"/>
      <c r="AA7" s="1115">
        <v>12</v>
      </c>
      <c r="AB7" s="1114">
        <f t="shared" ref="AB7:AB12" si="4">SUM(Y7:AA7)</f>
        <v>12</v>
      </c>
      <c r="AC7" s="1216"/>
      <c r="AD7" s="1115"/>
      <c r="AE7" s="1115">
        <v>6</v>
      </c>
      <c r="AF7" s="1114">
        <f>SUM(AC7:AE7)</f>
        <v>6</v>
      </c>
      <c r="AG7" s="1216"/>
      <c r="AH7" s="1115"/>
      <c r="AI7" s="1115"/>
      <c r="AJ7" s="1114"/>
      <c r="AK7" s="1216"/>
      <c r="AL7" s="1115"/>
      <c r="AM7" s="1115">
        <v>29</v>
      </c>
      <c r="AN7" s="1114">
        <f>SUM(AK7:AM7)</f>
        <v>29</v>
      </c>
      <c r="AO7" s="1216"/>
      <c r="AP7" s="1115">
        <v>3</v>
      </c>
      <c r="AQ7" s="1115">
        <v>24</v>
      </c>
      <c r="AR7" s="1114">
        <f>SUM(AO7:AQ7)</f>
        <v>27</v>
      </c>
      <c r="AS7" s="1216"/>
      <c r="AT7" s="1115"/>
      <c r="AU7" s="1115">
        <v>39</v>
      </c>
      <c r="AV7" s="1114">
        <f>SUM(AS7:AU7)</f>
        <v>39</v>
      </c>
      <c r="AW7" s="1216"/>
      <c r="AX7" s="1115"/>
      <c r="AY7" s="1115">
        <v>34</v>
      </c>
      <c r="AZ7" s="1114">
        <f t="shared" si="0"/>
        <v>34</v>
      </c>
      <c r="BA7" s="1216"/>
      <c r="BB7" s="1115"/>
      <c r="BC7" s="1115">
        <v>27</v>
      </c>
      <c r="BD7" s="1114">
        <f t="shared" si="1"/>
        <v>27</v>
      </c>
    </row>
    <row r="8" spans="1:56" s="212" customFormat="1" ht="15" x14ac:dyDescent="0.2">
      <c r="A8" s="5458"/>
      <c r="B8" s="5458"/>
      <c r="C8" s="5456"/>
      <c r="D8" s="1103" t="s">
        <v>135</v>
      </c>
      <c r="E8" s="1216"/>
      <c r="F8" s="1115"/>
      <c r="G8" s="1115"/>
      <c r="H8" s="1114"/>
      <c r="I8" s="1115"/>
      <c r="J8" s="1115"/>
      <c r="K8" s="1115"/>
      <c r="L8" s="1114"/>
      <c r="M8" s="1216"/>
      <c r="N8" s="1115">
        <v>11</v>
      </c>
      <c r="O8" s="1115"/>
      <c r="P8" s="1114">
        <f t="shared" si="2"/>
        <v>11</v>
      </c>
      <c r="Q8" s="1216">
        <v>3</v>
      </c>
      <c r="R8" s="1115"/>
      <c r="S8" s="1115">
        <v>23</v>
      </c>
      <c r="T8" s="1114">
        <f t="shared" si="3"/>
        <v>26</v>
      </c>
      <c r="U8" s="1216"/>
      <c r="V8" s="1115"/>
      <c r="W8" s="1115"/>
      <c r="X8" s="1114"/>
      <c r="Y8" s="1216"/>
      <c r="Z8" s="1115"/>
      <c r="AA8" s="1115">
        <v>21</v>
      </c>
      <c r="AB8" s="1114">
        <f t="shared" si="4"/>
        <v>21</v>
      </c>
      <c r="AC8" s="1216">
        <v>14</v>
      </c>
      <c r="AD8" s="1115"/>
      <c r="AE8" s="1115">
        <v>22</v>
      </c>
      <c r="AF8" s="1114">
        <f>SUM(AC8:AE8)</f>
        <v>36</v>
      </c>
      <c r="AG8" s="1216">
        <v>13</v>
      </c>
      <c r="AH8" s="1115"/>
      <c r="AI8" s="1115">
        <v>14</v>
      </c>
      <c r="AJ8" s="1114">
        <f>SUM(AG8:AI8)</f>
        <v>27</v>
      </c>
      <c r="AK8" s="1216"/>
      <c r="AL8" s="1115"/>
      <c r="AM8" s="1115"/>
      <c r="AN8" s="1114"/>
      <c r="AO8" s="1216"/>
      <c r="AP8" s="1115"/>
      <c r="AQ8" s="1115"/>
      <c r="AR8" s="1114"/>
      <c r="AS8" s="1216"/>
      <c r="AT8" s="1115"/>
      <c r="AU8" s="1115"/>
      <c r="AV8" s="1114"/>
      <c r="AW8" s="1216"/>
      <c r="AX8" s="1115"/>
      <c r="AY8" s="1115"/>
      <c r="AZ8" s="1114">
        <f t="shared" si="0"/>
        <v>0</v>
      </c>
      <c r="BA8" s="1216">
        <v>2</v>
      </c>
      <c r="BB8" s="1115"/>
      <c r="BC8" s="1115">
        <v>4</v>
      </c>
      <c r="BD8" s="1114">
        <f t="shared" si="1"/>
        <v>6</v>
      </c>
    </row>
    <row r="9" spans="1:56" s="212" customFormat="1" ht="15" x14ac:dyDescent="0.2">
      <c r="A9" s="5458"/>
      <c r="B9" s="5458"/>
      <c r="C9" s="5456"/>
      <c r="D9" s="1103" t="s">
        <v>412</v>
      </c>
      <c r="E9" s="1216"/>
      <c r="F9" s="1115"/>
      <c r="G9" s="1115"/>
      <c r="H9" s="1114"/>
      <c r="I9" s="1115"/>
      <c r="J9" s="1115"/>
      <c r="K9" s="1115"/>
      <c r="L9" s="1114"/>
      <c r="M9" s="1216"/>
      <c r="N9" s="1115"/>
      <c r="O9" s="1115"/>
      <c r="P9" s="1114"/>
      <c r="Q9" s="1216"/>
      <c r="R9" s="1115"/>
      <c r="S9" s="1115"/>
      <c r="T9" s="1114"/>
      <c r="U9" s="1216"/>
      <c r="V9" s="1115"/>
      <c r="W9" s="1115"/>
      <c r="X9" s="1114"/>
      <c r="Y9" s="1216"/>
      <c r="Z9" s="1115"/>
      <c r="AA9" s="1115"/>
      <c r="AB9" s="1114"/>
      <c r="AC9" s="1216"/>
      <c r="AD9" s="1115"/>
      <c r="AE9" s="1115"/>
      <c r="AF9" s="1114"/>
      <c r="AG9" s="1216"/>
      <c r="AH9" s="1115"/>
      <c r="AI9" s="1115"/>
      <c r="AJ9" s="1114"/>
      <c r="AK9" s="1216"/>
      <c r="AL9" s="1115"/>
      <c r="AM9" s="1115"/>
      <c r="AN9" s="1114"/>
      <c r="AO9" s="1216"/>
      <c r="AP9" s="1115"/>
      <c r="AQ9" s="1115"/>
      <c r="AR9" s="1114"/>
      <c r="AS9" s="1216">
        <v>18</v>
      </c>
      <c r="AT9" s="1115"/>
      <c r="AU9" s="1115"/>
      <c r="AV9" s="1114">
        <f t="shared" ref="AV9:AV14" si="5">SUM(AS9:AU9)</f>
        <v>18</v>
      </c>
      <c r="AW9" s="1216">
        <v>13</v>
      </c>
      <c r="AX9" s="1115"/>
      <c r="AY9" s="1115">
        <v>10</v>
      </c>
      <c r="AZ9" s="1114">
        <f t="shared" si="0"/>
        <v>23</v>
      </c>
      <c r="BA9" s="1216">
        <v>15</v>
      </c>
      <c r="BB9" s="1115"/>
      <c r="BC9" s="1115">
        <v>12</v>
      </c>
      <c r="BD9" s="1114">
        <f t="shared" si="1"/>
        <v>27</v>
      </c>
    </row>
    <row r="10" spans="1:56" s="212" customFormat="1" ht="15" x14ac:dyDescent="0.2">
      <c r="A10" s="5458"/>
      <c r="B10" s="5458"/>
      <c r="C10" s="5465"/>
      <c r="D10" s="1103" t="s">
        <v>413</v>
      </c>
      <c r="E10" s="1216"/>
      <c r="F10" s="1115"/>
      <c r="G10" s="1115"/>
      <c r="H10" s="1114"/>
      <c r="I10" s="1115"/>
      <c r="J10" s="1115"/>
      <c r="K10" s="1115"/>
      <c r="L10" s="1114"/>
      <c r="M10" s="1216"/>
      <c r="N10" s="1115"/>
      <c r="O10" s="1115"/>
      <c r="P10" s="1114"/>
      <c r="Q10" s="1216"/>
      <c r="R10" s="1115"/>
      <c r="S10" s="1115"/>
      <c r="T10" s="1114"/>
      <c r="U10" s="1216"/>
      <c r="V10" s="1115"/>
      <c r="W10" s="1115"/>
      <c r="X10" s="1114"/>
      <c r="Y10" s="1216"/>
      <c r="Z10" s="1115"/>
      <c r="AA10" s="1115"/>
      <c r="AB10" s="1114"/>
      <c r="AC10" s="1216"/>
      <c r="AD10" s="1115"/>
      <c r="AE10" s="1115"/>
      <c r="AF10" s="1114"/>
      <c r="AG10" s="1216"/>
      <c r="AH10" s="1115"/>
      <c r="AI10" s="1115"/>
      <c r="AJ10" s="1114"/>
      <c r="AK10" s="1216"/>
      <c r="AL10" s="1115"/>
      <c r="AM10" s="1115"/>
      <c r="AN10" s="1114"/>
      <c r="AO10" s="1216"/>
      <c r="AP10" s="1115">
        <v>4</v>
      </c>
      <c r="AQ10" s="1115">
        <v>5</v>
      </c>
      <c r="AR10" s="1114">
        <f>SUM(AO10:AQ10)</f>
        <v>9</v>
      </c>
      <c r="AS10" s="1216"/>
      <c r="AT10" s="1115"/>
      <c r="AU10" s="1115">
        <v>12</v>
      </c>
      <c r="AV10" s="1114">
        <f t="shared" si="5"/>
        <v>12</v>
      </c>
      <c r="AW10" s="1216"/>
      <c r="AX10" s="1115"/>
      <c r="AY10" s="1115">
        <v>10</v>
      </c>
      <c r="AZ10" s="1114">
        <f t="shared" si="0"/>
        <v>10</v>
      </c>
      <c r="BA10" s="1216">
        <v>3</v>
      </c>
      <c r="BB10" s="1115"/>
      <c r="BC10" s="1115">
        <v>6</v>
      </c>
      <c r="BD10" s="1114">
        <f t="shared" si="1"/>
        <v>9</v>
      </c>
    </row>
    <row r="11" spans="1:56" s="212" customFormat="1" ht="15" x14ac:dyDescent="0.2">
      <c r="A11" s="5458"/>
      <c r="B11" s="5458"/>
      <c r="C11" s="5455" t="s">
        <v>526</v>
      </c>
      <c r="D11" s="1103" t="s">
        <v>568</v>
      </c>
      <c r="E11" s="1216"/>
      <c r="F11" s="1115"/>
      <c r="G11" s="1115"/>
      <c r="H11" s="1114"/>
      <c r="I11" s="1115"/>
      <c r="J11" s="1115"/>
      <c r="K11" s="1115"/>
      <c r="L11" s="1114"/>
      <c r="M11" s="1216">
        <v>1</v>
      </c>
      <c r="N11" s="1115"/>
      <c r="O11" s="1115"/>
      <c r="P11" s="1114">
        <f t="shared" si="2"/>
        <v>1</v>
      </c>
      <c r="Q11" s="1216">
        <v>2</v>
      </c>
      <c r="R11" s="1115">
        <v>1</v>
      </c>
      <c r="S11" s="1115">
        <v>3</v>
      </c>
      <c r="T11" s="1114">
        <f t="shared" si="3"/>
        <v>6</v>
      </c>
      <c r="U11" s="1216">
        <v>6</v>
      </c>
      <c r="V11" s="1115">
        <v>4</v>
      </c>
      <c r="W11" s="1115"/>
      <c r="X11" s="1114">
        <f>SUM(U11:W11)</f>
        <v>10</v>
      </c>
      <c r="Y11" s="1216"/>
      <c r="Z11" s="1115">
        <v>7</v>
      </c>
      <c r="AA11" s="1115">
        <v>5</v>
      </c>
      <c r="AB11" s="1114">
        <f t="shared" si="4"/>
        <v>12</v>
      </c>
      <c r="AC11" s="1216">
        <v>2</v>
      </c>
      <c r="AD11" s="1115"/>
      <c r="AE11" s="1115">
        <v>1</v>
      </c>
      <c r="AF11" s="1114">
        <f>SUM(AC11:AE11)</f>
        <v>3</v>
      </c>
      <c r="AG11" s="1216"/>
      <c r="AH11" s="1115"/>
      <c r="AI11" s="1115"/>
      <c r="AJ11" s="1114"/>
      <c r="AK11" s="1216">
        <v>3</v>
      </c>
      <c r="AL11" s="1115">
        <v>4</v>
      </c>
      <c r="AM11" s="1115">
        <v>1</v>
      </c>
      <c r="AN11" s="1114">
        <f>SUM(AK11:AM11)</f>
        <v>8</v>
      </c>
      <c r="AO11" s="1216">
        <v>1</v>
      </c>
      <c r="AP11" s="1115"/>
      <c r="AQ11" s="1115">
        <v>4</v>
      </c>
      <c r="AR11" s="1114">
        <f>SUM(AO11:AQ11)</f>
        <v>5</v>
      </c>
      <c r="AS11" s="1216">
        <v>6</v>
      </c>
      <c r="AT11" s="1115"/>
      <c r="AU11" s="1115">
        <v>5</v>
      </c>
      <c r="AV11" s="1114">
        <f t="shared" si="5"/>
        <v>11</v>
      </c>
      <c r="AW11" s="1216">
        <v>4</v>
      </c>
      <c r="AX11" s="1115">
        <v>6</v>
      </c>
      <c r="AY11" s="1115">
        <v>9</v>
      </c>
      <c r="AZ11" s="1114">
        <f t="shared" si="0"/>
        <v>19</v>
      </c>
      <c r="BA11" s="1216">
        <v>5</v>
      </c>
      <c r="BB11" s="1115">
        <v>6</v>
      </c>
      <c r="BC11" s="1115">
        <v>12</v>
      </c>
      <c r="BD11" s="1114">
        <f t="shared" si="1"/>
        <v>23</v>
      </c>
    </row>
    <row r="12" spans="1:56" s="212" customFormat="1" ht="15" x14ac:dyDescent="0.2">
      <c r="A12" s="5458"/>
      <c r="B12" s="5458"/>
      <c r="C12" s="5456"/>
      <c r="D12" s="1103" t="s">
        <v>137</v>
      </c>
      <c r="E12" s="1216"/>
      <c r="F12" s="1115"/>
      <c r="G12" s="1115"/>
      <c r="H12" s="1114"/>
      <c r="I12" s="1115"/>
      <c r="J12" s="1115"/>
      <c r="K12" s="1115"/>
      <c r="L12" s="1114"/>
      <c r="M12" s="1216"/>
      <c r="N12" s="1115"/>
      <c r="O12" s="1115">
        <v>2</v>
      </c>
      <c r="P12" s="1114">
        <f t="shared" si="2"/>
        <v>2</v>
      </c>
      <c r="Q12" s="1216"/>
      <c r="R12" s="1115"/>
      <c r="S12" s="1115">
        <v>2</v>
      </c>
      <c r="T12" s="1114">
        <f t="shared" si="3"/>
        <v>2</v>
      </c>
      <c r="U12" s="1216"/>
      <c r="V12" s="1115"/>
      <c r="W12" s="1115"/>
      <c r="X12" s="1114"/>
      <c r="Y12" s="1216"/>
      <c r="Z12" s="1115"/>
      <c r="AA12" s="1115">
        <v>1</v>
      </c>
      <c r="AB12" s="1114">
        <f t="shared" si="4"/>
        <v>1</v>
      </c>
      <c r="AC12" s="1216"/>
      <c r="AD12" s="1115"/>
      <c r="AE12" s="1115">
        <v>1</v>
      </c>
      <c r="AF12" s="1114">
        <f>SUM(AC12:AE12)</f>
        <v>1</v>
      </c>
      <c r="AG12" s="1216">
        <v>2</v>
      </c>
      <c r="AH12" s="1115"/>
      <c r="AI12" s="1115">
        <v>19</v>
      </c>
      <c r="AJ12" s="1114">
        <f>SUM(AG12:AI12)</f>
        <v>21</v>
      </c>
      <c r="AK12" s="1216"/>
      <c r="AL12" s="1115"/>
      <c r="AM12" s="1115"/>
      <c r="AN12" s="1114"/>
      <c r="AO12" s="1216"/>
      <c r="AP12" s="1115"/>
      <c r="AQ12" s="1115"/>
      <c r="AR12" s="1114"/>
      <c r="AS12" s="1216"/>
      <c r="AT12" s="1115"/>
      <c r="AU12" s="1115">
        <v>7</v>
      </c>
      <c r="AV12" s="1114">
        <f t="shared" si="5"/>
        <v>7</v>
      </c>
      <c r="AW12" s="1216">
        <v>1</v>
      </c>
      <c r="AX12" s="1115"/>
      <c r="AY12" s="1115">
        <v>1</v>
      </c>
      <c r="AZ12" s="1114">
        <f t="shared" si="0"/>
        <v>2</v>
      </c>
      <c r="BA12" s="1216"/>
      <c r="BB12" s="1115"/>
      <c r="BC12" s="1115">
        <v>1</v>
      </c>
      <c r="BD12" s="1114">
        <f t="shared" si="1"/>
        <v>1</v>
      </c>
    </row>
    <row r="13" spans="1:56" s="212" customFormat="1" ht="15" x14ac:dyDescent="0.2">
      <c r="A13" s="5458"/>
      <c r="B13" s="5458"/>
      <c r="C13" s="5456"/>
      <c r="D13" s="1103" t="s">
        <v>627</v>
      </c>
      <c r="E13" s="1213"/>
      <c r="F13" s="1214"/>
      <c r="G13" s="1214"/>
      <c r="H13" s="1803"/>
      <c r="I13" s="1214"/>
      <c r="J13" s="1214"/>
      <c r="K13" s="1214"/>
      <c r="L13" s="1803"/>
      <c r="M13" s="1213"/>
      <c r="N13" s="1214"/>
      <c r="O13" s="1214"/>
      <c r="P13" s="1803"/>
      <c r="Q13" s="1213"/>
      <c r="R13" s="1214"/>
      <c r="S13" s="1214"/>
      <c r="T13" s="1803"/>
      <c r="U13" s="1213"/>
      <c r="V13" s="1214"/>
      <c r="W13" s="1214"/>
      <c r="X13" s="1803"/>
      <c r="Y13" s="1213"/>
      <c r="Z13" s="1214"/>
      <c r="AA13" s="1214"/>
      <c r="AB13" s="1803"/>
      <c r="AC13" s="1213"/>
      <c r="AD13" s="1214"/>
      <c r="AE13" s="1214"/>
      <c r="AF13" s="1803"/>
      <c r="AG13" s="1213"/>
      <c r="AH13" s="1214"/>
      <c r="AI13" s="1214"/>
      <c r="AJ13" s="1803"/>
      <c r="AK13" s="1213"/>
      <c r="AL13" s="1214"/>
      <c r="AM13" s="1214"/>
      <c r="AN13" s="1803"/>
      <c r="AO13" s="1213"/>
      <c r="AP13" s="1214"/>
      <c r="AQ13" s="1214"/>
      <c r="AR13" s="1803"/>
      <c r="AS13" s="1213"/>
      <c r="AT13" s="1214"/>
      <c r="AU13" s="1214">
        <v>3</v>
      </c>
      <c r="AV13" s="1114">
        <f t="shared" si="5"/>
        <v>3</v>
      </c>
      <c r="AW13" s="1213"/>
      <c r="AX13" s="1214"/>
      <c r="AY13" s="1214">
        <v>3</v>
      </c>
      <c r="AZ13" s="1114">
        <f t="shared" si="0"/>
        <v>3</v>
      </c>
      <c r="BA13" s="1213">
        <v>2</v>
      </c>
      <c r="BB13" s="1214"/>
      <c r="BC13" s="1214">
        <v>4</v>
      </c>
      <c r="BD13" s="1114">
        <f t="shared" si="1"/>
        <v>6</v>
      </c>
    </row>
    <row r="14" spans="1:56" s="212" customFormat="1" ht="15" x14ac:dyDescent="0.2">
      <c r="A14" s="5458"/>
      <c r="B14" s="5458"/>
      <c r="C14" s="5456"/>
      <c r="D14" s="1103" t="s">
        <v>628</v>
      </c>
      <c r="E14" s="1213"/>
      <c r="F14" s="1214"/>
      <c r="G14" s="1214"/>
      <c r="H14" s="1803"/>
      <c r="I14" s="1214"/>
      <c r="J14" s="1214"/>
      <c r="K14" s="1214"/>
      <c r="L14" s="1803"/>
      <c r="M14" s="1213"/>
      <c r="N14" s="1214"/>
      <c r="O14" s="1214"/>
      <c r="P14" s="1803"/>
      <c r="Q14" s="1213"/>
      <c r="R14" s="1214"/>
      <c r="S14" s="1214"/>
      <c r="T14" s="1803"/>
      <c r="U14" s="1213"/>
      <c r="V14" s="1214"/>
      <c r="W14" s="1214"/>
      <c r="X14" s="1803"/>
      <c r="Y14" s="1213"/>
      <c r="Z14" s="1214"/>
      <c r="AA14" s="1214"/>
      <c r="AB14" s="1803"/>
      <c r="AC14" s="1213"/>
      <c r="AD14" s="1214"/>
      <c r="AE14" s="1214"/>
      <c r="AF14" s="1803"/>
      <c r="AG14" s="1213"/>
      <c r="AH14" s="1214"/>
      <c r="AI14" s="1214"/>
      <c r="AJ14" s="1803"/>
      <c r="AK14" s="1213"/>
      <c r="AL14" s="1214"/>
      <c r="AM14" s="1214"/>
      <c r="AN14" s="1803"/>
      <c r="AO14" s="1213"/>
      <c r="AP14" s="1214"/>
      <c r="AQ14" s="1214"/>
      <c r="AR14" s="1803"/>
      <c r="AS14" s="1213"/>
      <c r="AT14" s="1214"/>
      <c r="AU14" s="1214">
        <v>3</v>
      </c>
      <c r="AV14" s="1114">
        <f t="shared" si="5"/>
        <v>3</v>
      </c>
      <c r="AW14" s="1213"/>
      <c r="AX14" s="1214"/>
      <c r="AY14" s="1214">
        <v>2</v>
      </c>
      <c r="AZ14" s="1114">
        <f t="shared" si="0"/>
        <v>2</v>
      </c>
      <c r="BA14" s="1213">
        <v>1</v>
      </c>
      <c r="BB14" s="1214"/>
      <c r="BC14" s="1214"/>
      <c r="BD14" s="1114">
        <f t="shared" si="1"/>
        <v>1</v>
      </c>
    </row>
    <row r="15" spans="1:56" s="212" customFormat="1" ht="15" x14ac:dyDescent="0.2">
      <c r="A15" s="5458"/>
      <c r="B15" s="5460"/>
      <c r="C15" s="1105"/>
      <c r="D15" s="1106" t="s">
        <v>160</v>
      </c>
      <c r="E15" s="1762"/>
      <c r="F15" s="1763"/>
      <c r="G15" s="1763"/>
      <c r="H15" s="1764"/>
      <c r="I15" s="1762"/>
      <c r="J15" s="1763"/>
      <c r="K15" s="1763"/>
      <c r="L15" s="1764"/>
      <c r="M15" s="1762">
        <f t="shared" ref="M15:AR15" si="6">SUM(M5:M12)</f>
        <v>21</v>
      </c>
      <c r="N15" s="1763">
        <f t="shared" si="6"/>
        <v>22</v>
      </c>
      <c r="O15" s="1763">
        <f t="shared" si="6"/>
        <v>53</v>
      </c>
      <c r="P15" s="1765">
        <f t="shared" si="6"/>
        <v>96</v>
      </c>
      <c r="Q15" s="1762">
        <f t="shared" si="6"/>
        <v>31</v>
      </c>
      <c r="R15" s="1763">
        <f t="shared" si="6"/>
        <v>1</v>
      </c>
      <c r="S15" s="1763">
        <f t="shared" si="6"/>
        <v>69</v>
      </c>
      <c r="T15" s="1765">
        <f t="shared" si="6"/>
        <v>101</v>
      </c>
      <c r="U15" s="1762">
        <f t="shared" si="6"/>
        <v>12</v>
      </c>
      <c r="V15" s="1763">
        <f t="shared" si="6"/>
        <v>17</v>
      </c>
      <c r="W15" s="1763">
        <f t="shared" si="6"/>
        <v>0</v>
      </c>
      <c r="X15" s="1765">
        <f t="shared" si="6"/>
        <v>29</v>
      </c>
      <c r="Y15" s="1762">
        <f t="shared" si="6"/>
        <v>7</v>
      </c>
      <c r="Z15" s="1763">
        <f t="shared" si="6"/>
        <v>7</v>
      </c>
      <c r="AA15" s="1763">
        <f t="shared" si="6"/>
        <v>64</v>
      </c>
      <c r="AB15" s="1765">
        <f t="shared" si="6"/>
        <v>78</v>
      </c>
      <c r="AC15" s="1762">
        <f t="shared" si="6"/>
        <v>25</v>
      </c>
      <c r="AD15" s="1763">
        <f t="shared" si="6"/>
        <v>0</v>
      </c>
      <c r="AE15" s="1763">
        <f t="shared" si="6"/>
        <v>59</v>
      </c>
      <c r="AF15" s="1765">
        <f t="shared" si="6"/>
        <v>84</v>
      </c>
      <c r="AG15" s="1762">
        <f t="shared" si="6"/>
        <v>36</v>
      </c>
      <c r="AH15" s="1763">
        <f t="shared" si="6"/>
        <v>1</v>
      </c>
      <c r="AI15" s="1763">
        <f t="shared" si="6"/>
        <v>51</v>
      </c>
      <c r="AJ15" s="1765">
        <f t="shared" si="6"/>
        <v>88</v>
      </c>
      <c r="AK15" s="1762">
        <f t="shared" si="6"/>
        <v>22</v>
      </c>
      <c r="AL15" s="1763">
        <f t="shared" si="6"/>
        <v>4</v>
      </c>
      <c r="AM15" s="1763">
        <f t="shared" si="6"/>
        <v>60</v>
      </c>
      <c r="AN15" s="1765">
        <f t="shared" si="6"/>
        <v>86</v>
      </c>
      <c r="AO15" s="1762">
        <f t="shared" si="6"/>
        <v>9</v>
      </c>
      <c r="AP15" s="1763">
        <f t="shared" si="6"/>
        <v>7</v>
      </c>
      <c r="AQ15" s="1763">
        <f t="shared" si="6"/>
        <v>47</v>
      </c>
      <c r="AR15" s="1765">
        <f t="shared" si="6"/>
        <v>63</v>
      </c>
      <c r="AS15" s="1762">
        <f>SUM(AS5:AS14)</f>
        <v>34</v>
      </c>
      <c r="AT15" s="1763">
        <f>SUM(AT5:AT14)</f>
        <v>0</v>
      </c>
      <c r="AU15" s="1763">
        <f>SUM(AU5:AU14)</f>
        <v>101</v>
      </c>
      <c r="AV15" s="1765">
        <f>SUM(AV6:AV14)</f>
        <v>135</v>
      </c>
      <c r="AW15" s="1762">
        <f>SUM(AW5:AW14)</f>
        <v>66</v>
      </c>
      <c r="AX15" s="1763">
        <f>SUM(AX5:AX14)</f>
        <v>6</v>
      </c>
      <c r="AY15" s="1763">
        <f>SUM(AY5:AY14)</f>
        <v>120</v>
      </c>
      <c r="AZ15" s="1765">
        <f>SUM(AZ6:AZ14)</f>
        <v>192</v>
      </c>
      <c r="BA15" s="1762">
        <f>SUM(BA5:BA14)</f>
        <v>37</v>
      </c>
      <c r="BB15" s="1763">
        <f>SUM(BB5:BB14)</f>
        <v>6</v>
      </c>
      <c r="BC15" s="1763">
        <f>SUM(BC5:BC14)</f>
        <v>126</v>
      </c>
      <c r="BD15" s="1765">
        <f>SUM(BD6:BD14)</f>
        <v>169</v>
      </c>
    </row>
    <row r="16" spans="1:56" s="212" customFormat="1" ht="15" x14ac:dyDescent="0.2">
      <c r="A16" s="5458"/>
      <c r="B16" s="5458" t="s">
        <v>6</v>
      </c>
      <c r="C16" s="5455" t="s">
        <v>528</v>
      </c>
      <c r="D16" s="1107" t="s">
        <v>138</v>
      </c>
      <c r="E16" s="1221"/>
      <c r="F16" s="1766"/>
      <c r="G16" s="1766"/>
      <c r="H16" s="1127"/>
      <c r="I16" s="1130"/>
      <c r="J16" s="1109"/>
      <c r="K16" s="1109">
        <v>23</v>
      </c>
      <c r="L16" s="1110">
        <f>SUM(I16:K16)</f>
        <v>23</v>
      </c>
      <c r="M16" s="1130"/>
      <c r="N16" s="1109"/>
      <c r="O16" s="1109">
        <v>28</v>
      </c>
      <c r="P16" s="1110">
        <f>SUM(M16:O16)</f>
        <v>28</v>
      </c>
      <c r="Q16" s="1130"/>
      <c r="R16" s="1109"/>
      <c r="S16" s="1109"/>
      <c r="T16" s="1110"/>
      <c r="U16" s="1130"/>
      <c r="V16" s="1109"/>
      <c r="W16" s="1109">
        <v>29</v>
      </c>
      <c r="X16" s="1110">
        <f>SUM(U16:W16)</f>
        <v>29</v>
      </c>
      <c r="Y16" s="1130"/>
      <c r="Z16" s="1109"/>
      <c r="AA16" s="1109">
        <v>27</v>
      </c>
      <c r="AB16" s="1110">
        <f>SUM(Y16:AA16)</f>
        <v>27</v>
      </c>
      <c r="AC16" s="1130"/>
      <c r="AD16" s="1109"/>
      <c r="AE16" s="1109">
        <v>36</v>
      </c>
      <c r="AF16" s="1110">
        <f>SUM(AC16:AE16)</f>
        <v>36</v>
      </c>
      <c r="AG16" s="1130"/>
      <c r="AH16" s="1109"/>
      <c r="AI16" s="1109">
        <v>32</v>
      </c>
      <c r="AJ16" s="1110">
        <f>SUM(AG16:AI16)</f>
        <v>32</v>
      </c>
      <c r="AK16" s="1130"/>
      <c r="AL16" s="1109">
        <v>52</v>
      </c>
      <c r="AM16" s="1109"/>
      <c r="AN16" s="1110">
        <f>SUM(AK16:AM16)</f>
        <v>52</v>
      </c>
      <c r="AO16" s="1130"/>
      <c r="AP16" s="1109"/>
      <c r="AQ16" s="1109">
        <v>16</v>
      </c>
      <c r="AR16" s="1110">
        <f>SUM(AO16:AQ16)</f>
        <v>16</v>
      </c>
      <c r="AS16" s="1130"/>
      <c r="AT16" s="1109">
        <v>50</v>
      </c>
      <c r="AU16" s="1109"/>
      <c r="AV16" s="1111">
        <f>SUM(AS16:AU16)</f>
        <v>50</v>
      </c>
      <c r="AW16" s="1130"/>
      <c r="AX16" s="1109"/>
      <c r="AY16" s="1109">
        <v>47</v>
      </c>
      <c r="AZ16" s="1111">
        <f>SUM(AW16:AY16)</f>
        <v>47</v>
      </c>
      <c r="BA16" s="1130"/>
      <c r="BB16" s="1109"/>
      <c r="BC16" s="1109">
        <v>29</v>
      </c>
      <c r="BD16" s="1111">
        <f>SUM(BA16:BC16)</f>
        <v>29</v>
      </c>
    </row>
    <row r="17" spans="1:56" s="212" customFormat="1" ht="15" x14ac:dyDescent="0.2">
      <c r="A17" s="5458"/>
      <c r="B17" s="5458"/>
      <c r="C17" s="5456"/>
      <c r="D17" s="1103" t="s">
        <v>360</v>
      </c>
      <c r="E17" s="1216"/>
      <c r="F17" s="1767"/>
      <c r="G17" s="1767"/>
      <c r="H17" s="1113"/>
      <c r="I17" s="1137"/>
      <c r="J17" s="1112"/>
      <c r="K17" s="1112">
        <v>26</v>
      </c>
      <c r="L17" s="1113">
        <f>SUM(I17:K17)</f>
        <v>26</v>
      </c>
      <c r="M17" s="1137"/>
      <c r="N17" s="1112"/>
      <c r="O17" s="1112">
        <v>26</v>
      </c>
      <c r="P17" s="1113">
        <f>SUM(M17:O17)</f>
        <v>26</v>
      </c>
      <c r="Q17" s="1137"/>
      <c r="R17" s="1112"/>
      <c r="S17" s="1112"/>
      <c r="T17" s="1113"/>
      <c r="U17" s="1137"/>
      <c r="V17" s="1112"/>
      <c r="W17" s="1112"/>
      <c r="X17" s="1113"/>
      <c r="Y17" s="1137"/>
      <c r="Z17" s="1112"/>
      <c r="AA17" s="1112">
        <v>35</v>
      </c>
      <c r="AB17" s="1113">
        <f>SUM(Y17:AA17)</f>
        <v>35</v>
      </c>
      <c r="AC17" s="1137"/>
      <c r="AD17" s="1112"/>
      <c r="AE17" s="1112"/>
      <c r="AF17" s="1113"/>
      <c r="AG17" s="1137"/>
      <c r="AH17" s="1112"/>
      <c r="AI17" s="1112">
        <v>36</v>
      </c>
      <c r="AJ17" s="1113">
        <f>SUM(AG17:AI17)</f>
        <v>36</v>
      </c>
      <c r="AK17" s="1137"/>
      <c r="AL17" s="1112">
        <v>27</v>
      </c>
      <c r="AM17" s="1112"/>
      <c r="AN17" s="1113">
        <f>SUM(AK17:AM17)</f>
        <v>27</v>
      </c>
      <c r="AO17" s="1137"/>
      <c r="AP17" s="1112"/>
      <c r="AQ17" s="1112"/>
      <c r="AR17" s="1113"/>
      <c r="AS17" s="1137"/>
      <c r="AT17" s="1112">
        <v>33</v>
      </c>
      <c r="AU17" s="1112"/>
      <c r="AV17" s="1114">
        <f>SUM(AS17:AU17)</f>
        <v>33</v>
      </c>
      <c r="AW17" s="1137"/>
      <c r="AX17" s="1112"/>
      <c r="AY17" s="1112"/>
      <c r="AZ17" s="1114">
        <f>SUM(AW17:AY17)</f>
        <v>0</v>
      </c>
      <c r="BA17" s="1137"/>
      <c r="BB17" s="1112"/>
      <c r="BC17" s="1112">
        <v>29</v>
      </c>
      <c r="BD17" s="1114">
        <f>SUM(BA17:BC17)</f>
        <v>29</v>
      </c>
    </row>
    <row r="18" spans="1:56" s="212" customFormat="1" ht="15" x14ac:dyDescent="0.2">
      <c r="A18" s="5458"/>
      <c r="B18" s="5458"/>
      <c r="C18" s="5465"/>
      <c r="D18" s="1103" t="s">
        <v>406</v>
      </c>
      <c r="E18" s="1216"/>
      <c r="F18" s="1767"/>
      <c r="G18" s="1767"/>
      <c r="H18" s="1113"/>
      <c r="I18" s="1137"/>
      <c r="J18" s="1112"/>
      <c r="K18" s="1112"/>
      <c r="L18" s="1113"/>
      <c r="M18" s="1137"/>
      <c r="N18" s="1112"/>
      <c r="O18" s="1112"/>
      <c r="P18" s="1113"/>
      <c r="Q18" s="1137"/>
      <c r="R18" s="1112"/>
      <c r="S18" s="1112"/>
      <c r="T18" s="1113"/>
      <c r="U18" s="1137"/>
      <c r="V18" s="1112"/>
      <c r="W18" s="1112"/>
      <c r="X18" s="1113"/>
      <c r="Y18" s="1137"/>
      <c r="Z18" s="1112"/>
      <c r="AA18" s="1112"/>
      <c r="AB18" s="1113"/>
      <c r="AC18" s="1137"/>
      <c r="AD18" s="1112"/>
      <c r="AE18" s="1112">
        <v>4</v>
      </c>
      <c r="AF18" s="1113">
        <f>SUM(AC18:AE18)</f>
        <v>4</v>
      </c>
      <c r="AG18" s="1137"/>
      <c r="AH18" s="1112"/>
      <c r="AI18" s="1112"/>
      <c r="AJ18" s="1113"/>
      <c r="AK18" s="1137"/>
      <c r="AL18" s="1112"/>
      <c r="AM18" s="1112"/>
      <c r="AN18" s="1113">
        <f>SUM(AK18:AM18)</f>
        <v>0</v>
      </c>
      <c r="AO18" s="1137"/>
      <c r="AP18" s="1112"/>
      <c r="AQ18" s="1112"/>
      <c r="AR18" s="1113"/>
      <c r="AS18" s="1137"/>
      <c r="AT18" s="1112"/>
      <c r="AU18" s="1112"/>
      <c r="AV18" s="1113"/>
      <c r="AW18" s="1137"/>
      <c r="AX18" s="1112"/>
      <c r="AY18" s="1112"/>
      <c r="AZ18" s="1114">
        <f t="shared" ref="AZ18:AZ28" si="7">SUM(AW18:AY18)</f>
        <v>0</v>
      </c>
      <c r="BA18" s="1137"/>
      <c r="BB18" s="1112"/>
      <c r="BC18" s="1112"/>
      <c r="BD18" s="1114">
        <f t="shared" ref="BD18:BD28" si="8">SUM(BA18:BC18)</f>
        <v>0</v>
      </c>
    </row>
    <row r="19" spans="1:56" s="212" customFormat="1" ht="15" x14ac:dyDescent="0.2">
      <c r="A19" s="5458"/>
      <c r="B19" s="5458"/>
      <c r="C19" s="5455" t="s">
        <v>527</v>
      </c>
      <c r="D19" s="1103" t="s">
        <v>370</v>
      </c>
      <c r="E19" s="1216"/>
      <c r="F19" s="1767"/>
      <c r="G19" s="1767"/>
      <c r="H19" s="1113"/>
      <c r="I19" s="1137"/>
      <c r="J19" s="1112"/>
      <c r="K19" s="1112">
        <v>46</v>
      </c>
      <c r="L19" s="1113">
        <f>SUM(I19:K19)</f>
        <v>46</v>
      </c>
      <c r="M19" s="1137"/>
      <c r="N19" s="1112"/>
      <c r="O19" s="1112"/>
      <c r="P19" s="1113"/>
      <c r="Q19" s="1137"/>
      <c r="R19" s="1112"/>
      <c r="S19" s="1112"/>
      <c r="T19" s="1113"/>
      <c r="U19" s="1137"/>
      <c r="V19" s="1112"/>
      <c r="W19" s="1112"/>
      <c r="X19" s="1113"/>
      <c r="Y19" s="1137"/>
      <c r="Z19" s="1112"/>
      <c r="AA19" s="1112"/>
      <c r="AB19" s="1113"/>
      <c r="AC19" s="1137"/>
      <c r="AD19" s="1112"/>
      <c r="AE19" s="1112">
        <v>45</v>
      </c>
      <c r="AF19" s="1113">
        <f>SUM(AC19:AE19)</f>
        <v>45</v>
      </c>
      <c r="AG19" s="1137"/>
      <c r="AH19" s="1112"/>
      <c r="AI19" s="1112"/>
      <c r="AJ19" s="1113"/>
      <c r="AK19" s="1137"/>
      <c r="AL19" s="1112">
        <v>55</v>
      </c>
      <c r="AM19" s="1112"/>
      <c r="AN19" s="1113">
        <f>SUM(AK19:AM19)</f>
        <v>55</v>
      </c>
      <c r="AO19" s="1137"/>
      <c r="AP19" s="1112"/>
      <c r="AQ19" s="1112"/>
      <c r="AR19" s="1113"/>
      <c r="AS19" s="1137"/>
      <c r="AT19" s="1112"/>
      <c r="AU19" s="1112"/>
      <c r="AV19" s="1113"/>
      <c r="AW19" s="1137"/>
      <c r="AX19" s="1112"/>
      <c r="AY19" s="1112"/>
      <c r="AZ19" s="1114">
        <f t="shared" si="7"/>
        <v>0</v>
      </c>
      <c r="BA19" s="1137"/>
      <c r="BB19" s="1112"/>
      <c r="BC19" s="1112">
        <v>47</v>
      </c>
      <c r="BD19" s="1114">
        <f t="shared" si="8"/>
        <v>47</v>
      </c>
    </row>
    <row r="20" spans="1:56" s="212" customFormat="1" ht="15" x14ac:dyDescent="0.2">
      <c r="A20" s="5458"/>
      <c r="B20" s="5458"/>
      <c r="C20" s="5456"/>
      <c r="D20" s="1103" t="s">
        <v>368</v>
      </c>
      <c r="E20" s="1216"/>
      <c r="F20" s="1767"/>
      <c r="G20" s="1767"/>
      <c r="H20" s="1113"/>
      <c r="I20" s="1137"/>
      <c r="J20" s="1112"/>
      <c r="K20" s="1112"/>
      <c r="L20" s="1113"/>
      <c r="M20" s="1137"/>
      <c r="N20" s="1112"/>
      <c r="O20" s="1112"/>
      <c r="P20" s="1113"/>
      <c r="Q20" s="1137"/>
      <c r="R20" s="1112"/>
      <c r="S20" s="1112"/>
      <c r="T20" s="1113"/>
      <c r="U20" s="1137"/>
      <c r="V20" s="1112"/>
      <c r="W20" s="1112"/>
      <c r="X20" s="1113"/>
      <c r="Y20" s="1137"/>
      <c r="Z20" s="1112"/>
      <c r="AA20" s="1112"/>
      <c r="AB20" s="1113"/>
      <c r="AC20" s="1137"/>
      <c r="AD20" s="1112"/>
      <c r="AE20" s="1112"/>
      <c r="AF20" s="1113"/>
      <c r="AG20" s="1137"/>
      <c r="AH20" s="1112"/>
      <c r="AI20" s="1112"/>
      <c r="AJ20" s="1113"/>
      <c r="AK20" s="1137"/>
      <c r="AL20" s="1112"/>
      <c r="AM20" s="1112"/>
      <c r="AN20" s="1113"/>
      <c r="AO20" s="1137"/>
      <c r="AP20" s="1112"/>
      <c r="AQ20" s="1112"/>
      <c r="AR20" s="1113"/>
      <c r="AS20" s="1137"/>
      <c r="AT20" s="1112"/>
      <c r="AU20" s="1112"/>
      <c r="AV20" s="1113"/>
      <c r="AW20" s="1137"/>
      <c r="AX20" s="1112"/>
      <c r="AY20" s="1112"/>
      <c r="AZ20" s="1114">
        <f t="shared" si="7"/>
        <v>0</v>
      </c>
      <c r="BA20" s="1137"/>
      <c r="BB20" s="1112"/>
      <c r="BC20" s="1112"/>
      <c r="BD20" s="1114">
        <f t="shared" si="8"/>
        <v>0</v>
      </c>
    </row>
    <row r="21" spans="1:56" s="212" customFormat="1" ht="15" x14ac:dyDescent="0.2">
      <c r="A21" s="5458"/>
      <c r="B21" s="5458"/>
      <c r="C21" s="5456"/>
      <c r="D21" s="1104" t="s">
        <v>139</v>
      </c>
      <c r="E21" s="1216"/>
      <c r="F21" s="1767"/>
      <c r="G21" s="1767"/>
      <c r="H21" s="1113"/>
      <c r="I21" s="1137"/>
      <c r="J21" s="1112"/>
      <c r="K21" s="1112"/>
      <c r="L21" s="1113"/>
      <c r="M21" s="1137"/>
      <c r="N21" s="1112"/>
      <c r="O21" s="1112">
        <v>23</v>
      </c>
      <c r="P21" s="1113">
        <f>SUM(M21:O21)</f>
        <v>23</v>
      </c>
      <c r="Q21" s="1137">
        <v>21</v>
      </c>
      <c r="R21" s="1112"/>
      <c r="S21" s="1112"/>
      <c r="T21" s="1113">
        <f>SUM(Q21:S21)</f>
        <v>21</v>
      </c>
      <c r="U21" s="1137"/>
      <c r="V21" s="1112"/>
      <c r="W21" s="1112"/>
      <c r="X21" s="1113"/>
      <c r="Y21" s="1137"/>
      <c r="Z21" s="1112"/>
      <c r="AA21" s="1112"/>
      <c r="AB21" s="1113"/>
      <c r="AC21" s="1137"/>
      <c r="AD21" s="1112"/>
      <c r="AE21" s="1112"/>
      <c r="AF21" s="1113"/>
      <c r="AG21" s="1137"/>
      <c r="AH21" s="1112"/>
      <c r="AI21" s="1112"/>
      <c r="AJ21" s="1113"/>
      <c r="AK21" s="1137"/>
      <c r="AL21" s="1112"/>
      <c r="AM21" s="1112"/>
      <c r="AN21" s="1113"/>
      <c r="AO21" s="1137"/>
      <c r="AP21" s="1112"/>
      <c r="AQ21" s="1112"/>
      <c r="AR21" s="1113"/>
      <c r="AS21" s="1137"/>
      <c r="AT21" s="1112"/>
      <c r="AU21" s="1112">
        <v>42</v>
      </c>
      <c r="AV21" s="1113">
        <f>SUM(AS21:AU21)</f>
        <v>42</v>
      </c>
      <c r="AW21" s="1137"/>
      <c r="AX21" s="1112"/>
      <c r="AY21" s="1112"/>
      <c r="AZ21" s="1114">
        <f t="shared" si="7"/>
        <v>0</v>
      </c>
      <c r="BA21" s="1137"/>
      <c r="BB21" s="1112"/>
      <c r="BC21" s="1112"/>
      <c r="BD21" s="1114">
        <f t="shared" si="8"/>
        <v>0</v>
      </c>
    </row>
    <row r="22" spans="1:56" s="212" customFormat="1" ht="15" x14ac:dyDescent="0.2">
      <c r="A22" s="5458"/>
      <c r="B22" s="5458"/>
      <c r="C22" s="5456"/>
      <c r="D22" s="1103" t="s">
        <v>369</v>
      </c>
      <c r="E22" s="1768"/>
      <c r="F22" s="1767"/>
      <c r="G22" s="1767"/>
      <c r="H22" s="1113"/>
      <c r="I22" s="1137"/>
      <c r="J22" s="1112"/>
      <c r="K22" s="1112"/>
      <c r="L22" s="1113"/>
      <c r="M22" s="1137"/>
      <c r="N22" s="1112"/>
      <c r="O22" s="1112">
        <v>79</v>
      </c>
      <c r="P22" s="1113">
        <f>SUM(M22:O22)</f>
        <v>79</v>
      </c>
      <c r="Q22" s="1137"/>
      <c r="R22" s="1112"/>
      <c r="S22" s="1112"/>
      <c r="T22" s="1113"/>
      <c r="U22" s="1137"/>
      <c r="V22" s="1112"/>
      <c r="W22" s="1112">
        <v>63</v>
      </c>
      <c r="X22" s="1113">
        <f>SUM(U22:W22)</f>
        <v>63</v>
      </c>
      <c r="Y22" s="1137"/>
      <c r="Z22" s="1112"/>
      <c r="AA22" s="1112"/>
      <c r="AB22" s="1113"/>
      <c r="AC22" s="1137"/>
      <c r="AD22" s="1112"/>
      <c r="AE22" s="1112">
        <v>88</v>
      </c>
      <c r="AF22" s="1113">
        <f>SUM(AC22:AE22)</f>
        <v>88</v>
      </c>
      <c r="AG22" s="1137"/>
      <c r="AH22" s="1112"/>
      <c r="AI22" s="1112"/>
      <c r="AJ22" s="1113"/>
      <c r="AK22" s="1137"/>
      <c r="AL22" s="1112">
        <v>85</v>
      </c>
      <c r="AM22" s="1112"/>
      <c r="AN22" s="1113">
        <f>SUM(AK22:AM22)</f>
        <v>85</v>
      </c>
      <c r="AO22" s="1137">
        <v>15</v>
      </c>
      <c r="AP22" s="1112"/>
      <c r="AQ22" s="1112"/>
      <c r="AR22" s="1113">
        <f>SUM(AO22:AQ22)</f>
        <v>15</v>
      </c>
      <c r="AS22" s="1137"/>
      <c r="AT22" s="1112"/>
      <c r="AU22" s="1112"/>
      <c r="AV22" s="1113"/>
      <c r="AW22" s="1137">
        <v>64</v>
      </c>
      <c r="AX22" s="1112"/>
      <c r="AY22" s="1112"/>
      <c r="AZ22" s="1114">
        <f t="shared" si="7"/>
        <v>64</v>
      </c>
      <c r="BA22" s="1137"/>
      <c r="BB22" s="1112"/>
      <c r="BC22" s="1112">
        <v>79</v>
      </c>
      <c r="BD22" s="1114">
        <f t="shared" si="8"/>
        <v>79</v>
      </c>
    </row>
    <row r="23" spans="1:56" s="212" customFormat="1" ht="15" x14ac:dyDescent="0.2">
      <c r="A23" s="5458"/>
      <c r="B23" s="5458"/>
      <c r="C23" s="5456"/>
      <c r="D23" s="1103" t="s">
        <v>141</v>
      </c>
      <c r="E23" s="1768"/>
      <c r="F23" s="1767"/>
      <c r="G23" s="1767"/>
      <c r="H23" s="1113"/>
      <c r="I23" s="1137"/>
      <c r="J23" s="1112"/>
      <c r="K23" s="1112"/>
      <c r="L23" s="1113"/>
      <c r="M23" s="1137"/>
      <c r="N23" s="1112"/>
      <c r="O23" s="1112"/>
      <c r="P23" s="1113"/>
      <c r="Q23" s="1137"/>
      <c r="R23" s="1112"/>
      <c r="S23" s="1112"/>
      <c r="T23" s="1113"/>
      <c r="U23" s="1137"/>
      <c r="V23" s="1112"/>
      <c r="W23" s="1112">
        <v>42</v>
      </c>
      <c r="X23" s="1113">
        <f>SUM(U23:W23)</f>
        <v>42</v>
      </c>
      <c r="Y23" s="1137">
        <v>42</v>
      </c>
      <c r="Z23" s="1112"/>
      <c r="AA23" s="1112"/>
      <c r="AB23" s="1113">
        <f>SUM(Y23:AA23)</f>
        <v>42</v>
      </c>
      <c r="AC23" s="1137"/>
      <c r="AD23" s="1112"/>
      <c r="AE23" s="1112">
        <v>35</v>
      </c>
      <c r="AF23" s="1113">
        <f>SUM(AC23:AE23)</f>
        <v>35</v>
      </c>
      <c r="AG23" s="1137"/>
      <c r="AH23" s="1112"/>
      <c r="AI23" s="1112">
        <v>30</v>
      </c>
      <c r="AJ23" s="1113">
        <f>SUM(AG23:AI23)</f>
        <v>30</v>
      </c>
      <c r="AK23" s="1137"/>
      <c r="AL23" s="1112">
        <v>45</v>
      </c>
      <c r="AM23" s="1112"/>
      <c r="AN23" s="1113">
        <f>SUM(AK23:AM23)</f>
        <v>45</v>
      </c>
      <c r="AO23" s="1137"/>
      <c r="AP23" s="1112"/>
      <c r="AQ23" s="1112">
        <v>12</v>
      </c>
      <c r="AR23" s="1113">
        <f>SUM(AO23:AQ23)</f>
        <v>12</v>
      </c>
      <c r="AS23" s="1137"/>
      <c r="AT23" s="1112">
        <v>69</v>
      </c>
      <c r="AU23" s="1112"/>
      <c r="AV23" s="1113">
        <f>SUM(AS23:AU23)</f>
        <v>69</v>
      </c>
      <c r="AW23" s="1137"/>
      <c r="AX23" s="1112"/>
      <c r="AY23" s="1112">
        <v>73</v>
      </c>
      <c r="AZ23" s="1114">
        <f t="shared" si="7"/>
        <v>73</v>
      </c>
      <c r="BA23" s="1137"/>
      <c r="BB23" s="1112"/>
      <c r="BC23" s="1112"/>
      <c r="BD23" s="1114">
        <f t="shared" si="8"/>
        <v>0</v>
      </c>
    </row>
    <row r="24" spans="1:56" s="212" customFormat="1" ht="15" x14ac:dyDescent="0.2">
      <c r="A24" s="5458"/>
      <c r="B24" s="5458"/>
      <c r="C24" s="5456"/>
      <c r="D24" s="1103" t="s">
        <v>533</v>
      </c>
      <c r="E24" s="1768"/>
      <c r="F24" s="1767"/>
      <c r="G24" s="1767"/>
      <c r="H24" s="1113"/>
      <c r="I24" s="1137"/>
      <c r="J24" s="1112"/>
      <c r="K24" s="1112"/>
      <c r="L24" s="1113"/>
      <c r="M24" s="1137"/>
      <c r="N24" s="1112"/>
      <c r="O24" s="1112"/>
      <c r="P24" s="1113"/>
      <c r="Q24" s="1137"/>
      <c r="R24" s="1112"/>
      <c r="S24" s="1112"/>
      <c r="T24" s="1113"/>
      <c r="U24" s="1137"/>
      <c r="V24" s="1112"/>
      <c r="W24" s="1112"/>
      <c r="X24" s="1113"/>
      <c r="Y24" s="1137"/>
      <c r="Z24" s="1112"/>
      <c r="AA24" s="1112"/>
      <c r="AB24" s="1113"/>
      <c r="AC24" s="1137"/>
      <c r="AD24" s="1112"/>
      <c r="AE24" s="1112"/>
      <c r="AF24" s="1113"/>
      <c r="AG24" s="1137"/>
      <c r="AH24" s="1112"/>
      <c r="AI24" s="1112"/>
      <c r="AJ24" s="1113"/>
      <c r="AK24" s="1137"/>
      <c r="AL24" s="1112"/>
      <c r="AM24" s="1112"/>
      <c r="AN24" s="1113"/>
      <c r="AO24" s="1137"/>
      <c r="AP24" s="1112"/>
      <c r="AQ24" s="1112">
        <v>12</v>
      </c>
      <c r="AR24" s="1113">
        <f>SUM(AO24:AQ24)</f>
        <v>12</v>
      </c>
      <c r="AS24" s="1137"/>
      <c r="AT24" s="1112"/>
      <c r="AU24" s="1112"/>
      <c r="AV24" s="1113"/>
      <c r="AW24" s="1137"/>
      <c r="AX24" s="1112"/>
      <c r="AY24" s="1112">
        <v>56</v>
      </c>
      <c r="AZ24" s="1114">
        <f t="shared" si="7"/>
        <v>56</v>
      </c>
      <c r="BA24" s="1137"/>
      <c r="BB24" s="1112"/>
      <c r="BC24" s="1112"/>
      <c r="BD24" s="1114">
        <f t="shared" si="8"/>
        <v>0</v>
      </c>
    </row>
    <row r="25" spans="1:56" s="212" customFormat="1" ht="15" customHeight="1" x14ac:dyDescent="0.2">
      <c r="A25" s="5458"/>
      <c r="B25" s="5458"/>
      <c r="C25" s="5465"/>
      <c r="D25" s="1108" t="s">
        <v>140</v>
      </c>
      <c r="E25" s="1769"/>
      <c r="F25" s="1770"/>
      <c r="G25" s="1770"/>
      <c r="H25" s="1120"/>
      <c r="I25" s="1133"/>
      <c r="J25" s="1119"/>
      <c r="K25" s="1119"/>
      <c r="L25" s="1120"/>
      <c r="M25" s="1133"/>
      <c r="N25" s="1119"/>
      <c r="O25" s="1119">
        <v>34</v>
      </c>
      <c r="P25" s="1120">
        <f>SUM(M25:O25)</f>
        <v>34</v>
      </c>
      <c r="Q25" s="1133"/>
      <c r="R25" s="1119"/>
      <c r="S25" s="1119"/>
      <c r="T25" s="1120"/>
      <c r="U25" s="1133"/>
      <c r="V25" s="1119"/>
      <c r="W25" s="1119">
        <v>51</v>
      </c>
      <c r="X25" s="1120">
        <f>SUM(U25:W25)</f>
        <v>51</v>
      </c>
      <c r="Y25" s="1133">
        <v>51</v>
      </c>
      <c r="Z25" s="1119"/>
      <c r="AA25" s="1119"/>
      <c r="AB25" s="1120">
        <f>SUM(Y25:AA25)</f>
        <v>51</v>
      </c>
      <c r="AC25" s="1133"/>
      <c r="AD25" s="1119"/>
      <c r="AE25" s="1119">
        <v>19</v>
      </c>
      <c r="AF25" s="1120">
        <f>SUM(AC25:AE25)</f>
        <v>19</v>
      </c>
      <c r="AG25" s="1133"/>
      <c r="AH25" s="1119"/>
      <c r="AI25" s="1119"/>
      <c r="AJ25" s="1120"/>
      <c r="AK25" s="1133"/>
      <c r="AL25" s="1119">
        <v>192</v>
      </c>
      <c r="AM25" s="1119"/>
      <c r="AN25" s="1120">
        <f>SUM(AK25:AM25)</f>
        <v>192</v>
      </c>
      <c r="AO25" s="1133"/>
      <c r="AP25" s="1119"/>
      <c r="AQ25" s="1119"/>
      <c r="AR25" s="1120"/>
      <c r="AS25" s="1133"/>
      <c r="AT25" s="1119">
        <v>53</v>
      </c>
      <c r="AU25" s="1119"/>
      <c r="AV25" s="1113">
        <f>SUM(AS25:AU25)</f>
        <v>53</v>
      </c>
      <c r="AW25" s="1133"/>
      <c r="AX25" s="1119"/>
      <c r="AY25" s="1119"/>
      <c r="AZ25" s="1114">
        <f t="shared" si="7"/>
        <v>0</v>
      </c>
      <c r="BA25" s="1133"/>
      <c r="BB25" s="1119"/>
      <c r="BC25" s="1119">
        <v>22</v>
      </c>
      <c r="BD25" s="1114">
        <f t="shared" si="8"/>
        <v>22</v>
      </c>
    </row>
    <row r="26" spans="1:56" s="212" customFormat="1" ht="15" x14ac:dyDescent="0.2">
      <c r="A26" s="5458"/>
      <c r="B26" s="5458"/>
      <c r="C26" s="5455" t="s">
        <v>526</v>
      </c>
      <c r="D26" s="1103" t="s">
        <v>371</v>
      </c>
      <c r="E26" s="1216"/>
      <c r="F26" s="1767"/>
      <c r="G26" s="1767"/>
      <c r="H26" s="1113"/>
      <c r="I26" s="1137"/>
      <c r="J26" s="1112"/>
      <c r="K26" s="1112"/>
      <c r="L26" s="1113"/>
      <c r="M26" s="1137"/>
      <c r="N26" s="1112"/>
      <c r="O26" s="1112"/>
      <c r="P26" s="1113"/>
      <c r="Q26" s="1137"/>
      <c r="R26" s="1112"/>
      <c r="S26" s="1112"/>
      <c r="T26" s="1113"/>
      <c r="U26" s="1137"/>
      <c r="V26" s="1112"/>
      <c r="W26" s="1112"/>
      <c r="X26" s="1113"/>
      <c r="Y26" s="1137"/>
      <c r="Z26" s="1112"/>
      <c r="AA26" s="1112"/>
      <c r="AB26" s="1113"/>
      <c r="AC26" s="1137"/>
      <c r="AD26" s="1112"/>
      <c r="AE26" s="1112">
        <v>22</v>
      </c>
      <c r="AF26" s="1113">
        <f>SUM(AC26:AE26)</f>
        <v>22</v>
      </c>
      <c r="AG26" s="1137"/>
      <c r="AH26" s="1112"/>
      <c r="AI26" s="1112"/>
      <c r="AJ26" s="1113"/>
      <c r="AK26" s="1137"/>
      <c r="AL26" s="1112"/>
      <c r="AM26" s="1112"/>
      <c r="AN26" s="1113"/>
      <c r="AO26" s="1137"/>
      <c r="AP26" s="1112"/>
      <c r="AQ26" s="1112"/>
      <c r="AR26" s="1113"/>
      <c r="AS26" s="1137"/>
      <c r="AT26" s="1112"/>
      <c r="AU26" s="1112"/>
      <c r="AV26" s="1113"/>
      <c r="AW26" s="1137"/>
      <c r="AX26" s="1112"/>
      <c r="AY26" s="1112"/>
      <c r="AZ26" s="1114">
        <f t="shared" si="7"/>
        <v>0</v>
      </c>
      <c r="BA26" s="1137"/>
      <c r="BB26" s="1112"/>
      <c r="BC26" s="1112">
        <v>26</v>
      </c>
      <c r="BD26" s="1114">
        <f t="shared" si="8"/>
        <v>26</v>
      </c>
    </row>
    <row r="27" spans="1:56" s="212" customFormat="1" ht="15" x14ac:dyDescent="0.2">
      <c r="A27" s="5458"/>
      <c r="B27" s="5458"/>
      <c r="C27" s="5456"/>
      <c r="D27" s="1104" t="s">
        <v>143</v>
      </c>
      <c r="E27" s="1768"/>
      <c r="F27" s="1767"/>
      <c r="G27" s="1767"/>
      <c r="H27" s="1113"/>
      <c r="I27" s="1137"/>
      <c r="J27" s="1112"/>
      <c r="K27" s="1112"/>
      <c r="L27" s="1113"/>
      <c r="M27" s="1137">
        <v>10</v>
      </c>
      <c r="N27" s="1112"/>
      <c r="O27" s="1112"/>
      <c r="P27" s="1113">
        <f>SUM(M27:O27)</f>
        <v>10</v>
      </c>
      <c r="Q27" s="1137">
        <v>8</v>
      </c>
      <c r="R27" s="1112"/>
      <c r="S27" s="1112"/>
      <c r="T27" s="1113">
        <f>SUM(Q27:S27)</f>
        <v>8</v>
      </c>
      <c r="U27" s="1137"/>
      <c r="V27" s="1112"/>
      <c r="W27" s="1112"/>
      <c r="X27" s="1113"/>
      <c r="Y27" s="1137"/>
      <c r="Z27" s="1112"/>
      <c r="AA27" s="1112"/>
      <c r="AB27" s="1113"/>
      <c r="AC27" s="1137"/>
      <c r="AD27" s="1112"/>
      <c r="AE27" s="1112"/>
      <c r="AF27" s="1113"/>
      <c r="AG27" s="1137"/>
      <c r="AH27" s="1112"/>
      <c r="AI27" s="1112"/>
      <c r="AJ27" s="1113"/>
      <c r="AK27" s="1137"/>
      <c r="AL27" s="1112"/>
      <c r="AM27" s="1112"/>
      <c r="AN27" s="1113"/>
      <c r="AO27" s="1137"/>
      <c r="AP27" s="1112"/>
      <c r="AQ27" s="1112"/>
      <c r="AR27" s="1113"/>
      <c r="AS27" s="1137"/>
      <c r="AT27" s="1112"/>
      <c r="AU27" s="1112">
        <v>24</v>
      </c>
      <c r="AV27" s="1113">
        <f>SUM(AS27:AU27)</f>
        <v>24</v>
      </c>
      <c r="AW27" s="1137"/>
      <c r="AX27" s="1112"/>
      <c r="AY27" s="1112"/>
      <c r="AZ27" s="1114">
        <f t="shared" si="7"/>
        <v>0</v>
      </c>
      <c r="BA27" s="1137"/>
      <c r="BB27" s="1112"/>
      <c r="BC27" s="1112"/>
      <c r="BD27" s="1114">
        <f t="shared" si="8"/>
        <v>0</v>
      </c>
    </row>
    <row r="28" spans="1:56" s="212" customFormat="1" ht="15" x14ac:dyDescent="0.2">
      <c r="A28" s="5458"/>
      <c r="B28" s="5458"/>
      <c r="C28" s="5456"/>
      <c r="D28" s="1103" t="s">
        <v>142</v>
      </c>
      <c r="E28" s="1768"/>
      <c r="F28" s="1767"/>
      <c r="G28" s="1767"/>
      <c r="H28" s="1113"/>
      <c r="I28" s="1137"/>
      <c r="J28" s="1112"/>
      <c r="K28" s="1112"/>
      <c r="L28" s="1113"/>
      <c r="M28" s="1137">
        <v>22</v>
      </c>
      <c r="N28" s="1112"/>
      <c r="O28" s="1112"/>
      <c r="P28" s="1113">
        <f>SUM(M28:O28)</f>
        <v>22</v>
      </c>
      <c r="Q28" s="1137"/>
      <c r="R28" s="1112"/>
      <c r="S28" s="1112"/>
      <c r="T28" s="1113"/>
      <c r="U28" s="1137"/>
      <c r="V28" s="1112"/>
      <c r="W28" s="1112">
        <v>29</v>
      </c>
      <c r="X28" s="1113">
        <f>SUM(U28:W28)</f>
        <v>29</v>
      </c>
      <c r="Y28" s="1137"/>
      <c r="Z28" s="1112"/>
      <c r="AA28" s="1112"/>
      <c r="AB28" s="1113"/>
      <c r="AC28" s="1137"/>
      <c r="AD28" s="1112"/>
      <c r="AE28" s="1112"/>
      <c r="AF28" s="1113"/>
      <c r="AG28" s="1137"/>
      <c r="AH28" s="1112">
        <v>51</v>
      </c>
      <c r="AI28" s="1112"/>
      <c r="AJ28" s="1113">
        <f>SUM(AG28:AH28)</f>
        <v>51</v>
      </c>
      <c r="AK28" s="1137"/>
      <c r="AL28" s="1112">
        <v>20</v>
      </c>
      <c r="AM28" s="1112"/>
      <c r="AN28" s="1113">
        <f>SUM(AK28:AM28)</f>
        <v>20</v>
      </c>
      <c r="AO28" s="1137"/>
      <c r="AP28" s="1112"/>
      <c r="AQ28" s="1112">
        <v>11</v>
      </c>
      <c r="AR28" s="1113">
        <f>SUM(AO28:AQ28)</f>
        <v>11</v>
      </c>
      <c r="AS28" s="1137"/>
      <c r="AT28" s="1112"/>
      <c r="AU28" s="1112"/>
      <c r="AV28" s="1113"/>
      <c r="AW28" s="1137"/>
      <c r="AX28" s="1112"/>
      <c r="AY28" s="1112">
        <v>35</v>
      </c>
      <c r="AZ28" s="1114">
        <f t="shared" si="7"/>
        <v>35</v>
      </c>
      <c r="BA28" s="1137"/>
      <c r="BB28" s="1112"/>
      <c r="BC28" s="1112"/>
      <c r="BD28" s="1114">
        <f t="shared" si="8"/>
        <v>0</v>
      </c>
    </row>
    <row r="29" spans="1:56" s="212" customFormat="1" ht="15" x14ac:dyDescent="0.2">
      <c r="A29" s="5458"/>
      <c r="B29" s="5460"/>
      <c r="C29" s="1105"/>
      <c r="D29" s="1106" t="s">
        <v>160</v>
      </c>
      <c r="E29" s="1762"/>
      <c r="F29" s="1763"/>
      <c r="G29" s="1763"/>
      <c r="H29" s="1764"/>
      <c r="I29" s="1762"/>
      <c r="J29" s="1763"/>
      <c r="K29" s="1763">
        <f>SUM(K16:K28)</f>
        <v>95</v>
      </c>
      <c r="L29" s="1765">
        <f>SUM(L16:L28)</f>
        <v>95</v>
      </c>
      <c r="M29" s="1762">
        <f t="shared" ref="M29:AR29" si="9">SUM(M16:M28)</f>
        <v>32</v>
      </c>
      <c r="N29" s="1763">
        <f t="shared" si="9"/>
        <v>0</v>
      </c>
      <c r="O29" s="1763">
        <f t="shared" si="9"/>
        <v>190</v>
      </c>
      <c r="P29" s="1765">
        <f t="shared" si="9"/>
        <v>222</v>
      </c>
      <c r="Q29" s="1762">
        <f t="shared" si="9"/>
        <v>29</v>
      </c>
      <c r="R29" s="1763">
        <f t="shared" si="9"/>
        <v>0</v>
      </c>
      <c r="S29" s="1763">
        <f t="shared" si="9"/>
        <v>0</v>
      </c>
      <c r="T29" s="1765">
        <f t="shared" si="9"/>
        <v>29</v>
      </c>
      <c r="U29" s="1762">
        <f t="shared" si="9"/>
        <v>0</v>
      </c>
      <c r="V29" s="1763">
        <f t="shared" si="9"/>
        <v>0</v>
      </c>
      <c r="W29" s="1763">
        <f t="shared" si="9"/>
        <v>214</v>
      </c>
      <c r="X29" s="1765">
        <f t="shared" si="9"/>
        <v>214</v>
      </c>
      <c r="Y29" s="1762">
        <f t="shared" si="9"/>
        <v>93</v>
      </c>
      <c r="Z29" s="1763">
        <f t="shared" si="9"/>
        <v>0</v>
      </c>
      <c r="AA29" s="1763">
        <f t="shared" si="9"/>
        <v>62</v>
      </c>
      <c r="AB29" s="1765">
        <f t="shared" si="9"/>
        <v>155</v>
      </c>
      <c r="AC29" s="1762">
        <f t="shared" si="9"/>
        <v>0</v>
      </c>
      <c r="AD29" s="1763">
        <f t="shared" si="9"/>
        <v>0</v>
      </c>
      <c r="AE29" s="1763">
        <f t="shared" si="9"/>
        <v>249</v>
      </c>
      <c r="AF29" s="1765">
        <f t="shared" si="9"/>
        <v>249</v>
      </c>
      <c r="AG29" s="1762">
        <f t="shared" si="9"/>
        <v>0</v>
      </c>
      <c r="AH29" s="1763">
        <f t="shared" si="9"/>
        <v>51</v>
      </c>
      <c r="AI29" s="1763">
        <f t="shared" si="9"/>
        <v>98</v>
      </c>
      <c r="AJ29" s="1765">
        <f t="shared" si="9"/>
        <v>149</v>
      </c>
      <c r="AK29" s="1762">
        <f t="shared" si="9"/>
        <v>0</v>
      </c>
      <c r="AL29" s="1763">
        <f t="shared" si="9"/>
        <v>476</v>
      </c>
      <c r="AM29" s="1763">
        <f t="shared" si="9"/>
        <v>0</v>
      </c>
      <c r="AN29" s="1765">
        <f t="shared" si="9"/>
        <v>476</v>
      </c>
      <c r="AO29" s="1762">
        <f t="shared" si="9"/>
        <v>15</v>
      </c>
      <c r="AP29" s="1763">
        <f t="shared" si="9"/>
        <v>0</v>
      </c>
      <c r="AQ29" s="1763">
        <f t="shared" si="9"/>
        <v>51</v>
      </c>
      <c r="AR29" s="1765">
        <f t="shared" si="9"/>
        <v>66</v>
      </c>
      <c r="AS29" s="1762">
        <f t="shared" ref="AS29:AZ29" si="10">SUM(AS16:AS28)</f>
        <v>0</v>
      </c>
      <c r="AT29" s="1763">
        <f t="shared" si="10"/>
        <v>205</v>
      </c>
      <c r="AU29" s="1763">
        <f t="shared" si="10"/>
        <v>66</v>
      </c>
      <c r="AV29" s="1765">
        <f t="shared" si="10"/>
        <v>271</v>
      </c>
      <c r="AW29" s="1762">
        <f t="shared" si="10"/>
        <v>64</v>
      </c>
      <c r="AX29" s="1763">
        <f t="shared" si="10"/>
        <v>0</v>
      </c>
      <c r="AY29" s="1763">
        <f t="shared" si="10"/>
        <v>211</v>
      </c>
      <c r="AZ29" s="1765">
        <f t="shared" si="10"/>
        <v>275</v>
      </c>
      <c r="BA29" s="1762">
        <f t="shared" ref="BA29:BD29" si="11">SUM(BA16:BA28)</f>
        <v>0</v>
      </c>
      <c r="BB29" s="1763">
        <f t="shared" si="11"/>
        <v>0</v>
      </c>
      <c r="BC29" s="1763">
        <f t="shared" si="11"/>
        <v>232</v>
      </c>
      <c r="BD29" s="1765">
        <f t="shared" si="11"/>
        <v>232</v>
      </c>
    </row>
    <row r="30" spans="1:56" s="212" customFormat="1" ht="15" x14ac:dyDescent="0.2">
      <c r="A30" s="5458"/>
      <c r="B30" s="5457" t="s">
        <v>7</v>
      </c>
      <c r="C30" s="5466" t="s">
        <v>528</v>
      </c>
      <c r="D30" s="1102" t="s">
        <v>403</v>
      </c>
      <c r="E30" s="1771"/>
      <c r="F30" s="1772"/>
      <c r="G30" s="1772"/>
      <c r="H30" s="1110"/>
      <c r="I30" s="1109"/>
      <c r="J30" s="1109"/>
      <c r="K30" s="1109">
        <v>45</v>
      </c>
      <c r="L30" s="1110">
        <f>SUM(I30:K30)</f>
        <v>45</v>
      </c>
      <c r="M30" s="1109"/>
      <c r="N30" s="1109">
        <v>57</v>
      </c>
      <c r="O30" s="1109"/>
      <c r="P30" s="1110">
        <f>SUM(M30:O30)</f>
        <v>57</v>
      </c>
      <c r="Q30" s="1109"/>
      <c r="R30" s="1109">
        <v>72</v>
      </c>
      <c r="S30" s="1109"/>
      <c r="T30" s="1110">
        <f>SUM(Q30:S30)</f>
        <v>72</v>
      </c>
      <c r="U30" s="1109"/>
      <c r="V30" s="1109">
        <v>78</v>
      </c>
      <c r="W30" s="1109"/>
      <c r="X30" s="1110">
        <f>SUM(U30:W30)</f>
        <v>78</v>
      </c>
      <c r="Y30" s="1109"/>
      <c r="Z30" s="1109"/>
      <c r="AA30" s="1109">
        <v>65</v>
      </c>
      <c r="AB30" s="1110">
        <f>SUM(Y30:AA30)</f>
        <v>65</v>
      </c>
      <c r="AC30" s="1109"/>
      <c r="AD30" s="1109"/>
      <c r="AE30" s="1109">
        <v>130</v>
      </c>
      <c r="AF30" s="1110">
        <f>SUM(AC30:AE30)</f>
        <v>130</v>
      </c>
      <c r="AG30" s="1109"/>
      <c r="AH30" s="1109"/>
      <c r="AI30" s="1109">
        <v>193</v>
      </c>
      <c r="AJ30" s="1110">
        <f>SUM(AG30:AI30)</f>
        <v>193</v>
      </c>
      <c r="AK30" s="1109"/>
      <c r="AL30" s="1109"/>
      <c r="AM30" s="1109"/>
      <c r="AN30" s="1110">
        <f>SUM(AK30:AM30)</f>
        <v>0</v>
      </c>
      <c r="AO30" s="1109"/>
      <c r="AP30" s="1109"/>
      <c r="AQ30" s="1109">
        <v>207</v>
      </c>
      <c r="AR30" s="1111">
        <f>SUM(AO30:AQ30)</f>
        <v>207</v>
      </c>
      <c r="AS30" s="1109"/>
      <c r="AT30" s="1109"/>
      <c r="AU30" s="1109"/>
      <c r="AV30" s="1111"/>
      <c r="AW30" s="1109"/>
      <c r="AX30" s="1109"/>
      <c r="AY30" s="1109">
        <v>126</v>
      </c>
      <c r="AZ30" s="1114">
        <f>SUM(AW30:AY30)</f>
        <v>126</v>
      </c>
      <c r="BA30" s="1109"/>
      <c r="BB30" s="1109"/>
      <c r="BC30" s="1109"/>
      <c r="BD30" s="1114">
        <f>SUM(BA30:BC30)</f>
        <v>0</v>
      </c>
    </row>
    <row r="31" spans="1:56" s="212" customFormat="1" ht="15" x14ac:dyDescent="0.2">
      <c r="A31" s="5458"/>
      <c r="B31" s="5458"/>
      <c r="C31" s="5465"/>
      <c r="D31" s="1107" t="s">
        <v>1442</v>
      </c>
      <c r="E31" s="1782"/>
      <c r="F31" s="1766"/>
      <c r="G31" s="1766"/>
      <c r="H31" s="1127"/>
      <c r="I31" s="1126"/>
      <c r="J31" s="1126"/>
      <c r="K31" s="1126"/>
      <c r="L31" s="1127"/>
      <c r="M31" s="1126"/>
      <c r="N31" s="1126"/>
      <c r="O31" s="1126"/>
      <c r="P31" s="1127"/>
      <c r="Q31" s="1126"/>
      <c r="R31" s="1126"/>
      <c r="S31" s="1126"/>
      <c r="T31" s="1127"/>
      <c r="U31" s="1126"/>
      <c r="V31" s="1126"/>
      <c r="W31" s="1126"/>
      <c r="X31" s="1127"/>
      <c r="Y31" s="1126"/>
      <c r="Z31" s="1126"/>
      <c r="AA31" s="1126"/>
      <c r="AB31" s="1127"/>
      <c r="AC31" s="1126"/>
      <c r="AD31" s="1126"/>
      <c r="AE31" s="1126"/>
      <c r="AF31" s="1127"/>
      <c r="AG31" s="1126"/>
      <c r="AH31" s="1126"/>
      <c r="AI31" s="1126"/>
      <c r="AJ31" s="1127"/>
      <c r="AK31" s="1126"/>
      <c r="AL31" s="1126"/>
      <c r="AM31" s="1126"/>
      <c r="AN31" s="1127"/>
      <c r="AO31" s="1126"/>
      <c r="AP31" s="1126"/>
      <c r="AQ31" s="1126"/>
      <c r="AR31" s="4589"/>
      <c r="AS31" s="1126"/>
      <c r="AT31" s="1126"/>
      <c r="AU31" s="1126"/>
      <c r="AV31" s="4589"/>
      <c r="AW31" s="1126"/>
      <c r="AX31" s="1126"/>
      <c r="AY31" s="1126"/>
      <c r="AZ31" s="1114"/>
      <c r="BA31" s="1126">
        <v>1</v>
      </c>
      <c r="BB31" s="1126"/>
      <c r="BC31" s="1126"/>
      <c r="BD31" s="1114">
        <f>SUM(BA31:BC31)</f>
        <v>1</v>
      </c>
    </row>
    <row r="32" spans="1:56" s="212" customFormat="1" ht="15" x14ac:dyDescent="0.2">
      <c r="A32" s="5458"/>
      <c r="B32" s="5458"/>
      <c r="C32" s="5466" t="s">
        <v>527</v>
      </c>
      <c r="D32" s="1103" t="s">
        <v>404</v>
      </c>
      <c r="E32" s="1768"/>
      <c r="F32" s="1767"/>
      <c r="G32" s="1767"/>
      <c r="H32" s="1113"/>
      <c r="I32" s="1112"/>
      <c r="J32" s="1112"/>
      <c r="K32" s="1112">
        <v>60</v>
      </c>
      <c r="L32" s="1113">
        <f>SUM(I32:K32)</f>
        <v>60</v>
      </c>
      <c r="M32" s="1112"/>
      <c r="N32" s="1112">
        <v>40</v>
      </c>
      <c r="O32" s="1112"/>
      <c r="P32" s="1113">
        <f>SUM(M32:O32)</f>
        <v>40</v>
      </c>
      <c r="Q32" s="1112"/>
      <c r="R32" s="1112">
        <v>52</v>
      </c>
      <c r="S32" s="1112"/>
      <c r="T32" s="1113">
        <f>SUM(Q32:S32)</f>
        <v>52</v>
      </c>
      <c r="U32" s="1112"/>
      <c r="V32" s="1112">
        <v>33</v>
      </c>
      <c r="W32" s="1112"/>
      <c r="X32" s="1113">
        <f>SUM(U32:W32)</f>
        <v>33</v>
      </c>
      <c r="Y32" s="1112"/>
      <c r="Z32" s="1112"/>
      <c r="AA32" s="1112">
        <v>40</v>
      </c>
      <c r="AB32" s="1113">
        <f>SUM(Y32:AA32)</f>
        <v>40</v>
      </c>
      <c r="AC32" s="1112"/>
      <c r="AD32" s="1112"/>
      <c r="AE32" s="1112">
        <v>52</v>
      </c>
      <c r="AF32" s="1113">
        <f>SUM(AC32:AE32)</f>
        <v>52</v>
      </c>
      <c r="AG32" s="1112"/>
      <c r="AH32" s="1112"/>
      <c r="AI32" s="1112">
        <v>41</v>
      </c>
      <c r="AJ32" s="1113">
        <f>SUM(AG32:AI32)</f>
        <v>41</v>
      </c>
      <c r="AK32" s="1112"/>
      <c r="AL32" s="1112"/>
      <c r="AM32" s="1112"/>
      <c r="AN32" s="1113">
        <f>SUM(AK32:AM32)</f>
        <v>0</v>
      </c>
      <c r="AO32" s="1112"/>
      <c r="AP32" s="1112"/>
      <c r="AQ32" s="1112">
        <v>9</v>
      </c>
      <c r="AR32" s="1114">
        <f>SUM(AO32:AQ32)</f>
        <v>9</v>
      </c>
      <c r="AS32" s="1112"/>
      <c r="AT32" s="1112"/>
      <c r="AU32" s="1112">
        <v>49</v>
      </c>
      <c r="AV32" s="1114">
        <f>SUM(AS32:AU32)</f>
        <v>49</v>
      </c>
      <c r="AW32" s="1112"/>
      <c r="AX32" s="1112"/>
      <c r="AY32" s="1112">
        <v>7</v>
      </c>
      <c r="AZ32" s="1114">
        <f>SUM(AW32:AY32)</f>
        <v>7</v>
      </c>
      <c r="BA32" s="1112"/>
      <c r="BB32" s="1112"/>
      <c r="BC32" s="1112"/>
      <c r="BD32" s="1114">
        <f>SUM(BA32:BC32)</f>
        <v>0</v>
      </c>
    </row>
    <row r="33" spans="1:56" s="212" customFormat="1" ht="15" x14ac:dyDescent="0.25">
      <c r="A33" s="5458"/>
      <c r="B33" s="5458"/>
      <c r="C33" s="5456"/>
      <c r="D33" s="1152" t="s">
        <v>1400</v>
      </c>
      <c r="E33" s="1768"/>
      <c r="F33" s="1767"/>
      <c r="G33" s="1767"/>
      <c r="H33" s="1113"/>
      <c r="I33" s="1112"/>
      <c r="J33" s="1112"/>
      <c r="K33" s="1112"/>
      <c r="L33" s="1113"/>
      <c r="M33" s="1112"/>
      <c r="N33" s="1112"/>
      <c r="O33" s="1112"/>
      <c r="P33" s="1113"/>
      <c r="Q33" s="1112"/>
      <c r="R33" s="1112"/>
      <c r="S33" s="1112"/>
      <c r="T33" s="1113"/>
      <c r="U33" s="1112"/>
      <c r="V33" s="1112"/>
      <c r="W33" s="1112"/>
      <c r="X33" s="1113"/>
      <c r="Y33" s="1112"/>
      <c r="Z33" s="1112"/>
      <c r="AA33" s="1112"/>
      <c r="AB33" s="1113"/>
      <c r="AC33" s="1112"/>
      <c r="AD33" s="1112"/>
      <c r="AE33" s="1112"/>
      <c r="AF33" s="1113"/>
      <c r="AG33" s="1112"/>
      <c r="AH33" s="1112"/>
      <c r="AI33" s="1112"/>
      <c r="AJ33" s="1113"/>
      <c r="AK33" s="1112"/>
      <c r="AL33" s="1112"/>
      <c r="AM33" s="1112"/>
      <c r="AN33" s="1113"/>
      <c r="AO33" s="1112"/>
      <c r="AP33" s="1112"/>
      <c r="AQ33" s="1112"/>
      <c r="AR33" s="1114"/>
      <c r="AS33" s="1112"/>
      <c r="AT33" s="1112"/>
      <c r="AU33" s="1112"/>
      <c r="AV33" s="1114"/>
      <c r="AW33" s="1112"/>
      <c r="AX33" s="1112"/>
      <c r="AY33" s="1112"/>
      <c r="AZ33" s="1114"/>
      <c r="BA33" s="1112"/>
      <c r="BB33" s="1112">
        <v>10</v>
      </c>
      <c r="BC33" s="1112">
        <v>8</v>
      </c>
      <c r="BD33" s="1114">
        <f t="shared" ref="BD33:BD38" si="12">SUM(BA33:BC33)</f>
        <v>18</v>
      </c>
    </row>
    <row r="34" spans="1:56" s="212" customFormat="1" ht="15" x14ac:dyDescent="0.25">
      <c r="A34" s="5458"/>
      <c r="B34" s="5458"/>
      <c r="C34" s="5456"/>
      <c r="D34" s="1152" t="s">
        <v>1395</v>
      </c>
      <c r="E34" s="1768"/>
      <c r="F34" s="1767"/>
      <c r="G34" s="1767"/>
      <c r="H34" s="1113"/>
      <c r="I34" s="1112"/>
      <c r="J34" s="1112"/>
      <c r="K34" s="1112"/>
      <c r="L34" s="1113"/>
      <c r="M34" s="1112"/>
      <c r="N34" s="1112"/>
      <c r="O34" s="1112"/>
      <c r="P34" s="1113"/>
      <c r="Q34" s="1112"/>
      <c r="R34" s="1112"/>
      <c r="S34" s="1112"/>
      <c r="T34" s="1113"/>
      <c r="U34" s="1112"/>
      <c r="V34" s="1112"/>
      <c r="W34" s="1112"/>
      <c r="X34" s="1113"/>
      <c r="Y34" s="1112"/>
      <c r="Z34" s="1112"/>
      <c r="AA34" s="1112"/>
      <c r="AB34" s="1113"/>
      <c r="AC34" s="1112"/>
      <c r="AD34" s="1112"/>
      <c r="AE34" s="1112"/>
      <c r="AF34" s="1113"/>
      <c r="AG34" s="1112"/>
      <c r="AH34" s="1112"/>
      <c r="AI34" s="1112"/>
      <c r="AJ34" s="1113"/>
      <c r="AK34" s="1112"/>
      <c r="AL34" s="1112"/>
      <c r="AM34" s="1112"/>
      <c r="AN34" s="1113"/>
      <c r="AO34" s="1112"/>
      <c r="AP34" s="1112"/>
      <c r="AQ34" s="1112"/>
      <c r="AR34" s="1114"/>
      <c r="AS34" s="1112"/>
      <c r="AT34" s="1112"/>
      <c r="AU34" s="1112"/>
      <c r="AV34" s="1114"/>
      <c r="AW34" s="1112"/>
      <c r="AX34" s="1112"/>
      <c r="AY34" s="1112"/>
      <c r="AZ34" s="1114"/>
      <c r="BA34" s="1112"/>
      <c r="BB34" s="1112">
        <v>9</v>
      </c>
      <c r="BC34" s="1112">
        <v>5</v>
      </c>
      <c r="BD34" s="1114">
        <f t="shared" si="12"/>
        <v>14</v>
      </c>
    </row>
    <row r="35" spans="1:56" s="212" customFormat="1" ht="15" x14ac:dyDescent="0.25">
      <c r="A35" s="5458"/>
      <c r="B35" s="5458"/>
      <c r="C35" s="5456"/>
      <c r="D35" s="1152" t="s">
        <v>1396</v>
      </c>
      <c r="E35" s="1768"/>
      <c r="F35" s="1767"/>
      <c r="G35" s="1767"/>
      <c r="H35" s="1113"/>
      <c r="I35" s="1112"/>
      <c r="J35" s="1112"/>
      <c r="K35" s="1112"/>
      <c r="L35" s="1113"/>
      <c r="M35" s="1112"/>
      <c r="N35" s="1112"/>
      <c r="O35" s="1112"/>
      <c r="P35" s="1113"/>
      <c r="Q35" s="1112"/>
      <c r="R35" s="1112"/>
      <c r="S35" s="1112"/>
      <c r="T35" s="1113"/>
      <c r="U35" s="1112"/>
      <c r="V35" s="1112"/>
      <c r="W35" s="1112"/>
      <c r="X35" s="1113"/>
      <c r="Y35" s="1112"/>
      <c r="Z35" s="1112"/>
      <c r="AA35" s="1112"/>
      <c r="AB35" s="1113"/>
      <c r="AC35" s="1112"/>
      <c r="AD35" s="1112"/>
      <c r="AE35" s="1112"/>
      <c r="AF35" s="1113"/>
      <c r="AG35" s="1112"/>
      <c r="AH35" s="1112"/>
      <c r="AI35" s="1112"/>
      <c r="AJ35" s="1113"/>
      <c r="AK35" s="1112"/>
      <c r="AL35" s="1112"/>
      <c r="AM35" s="1112"/>
      <c r="AN35" s="1113"/>
      <c r="AO35" s="1112"/>
      <c r="AP35" s="1112"/>
      <c r="AQ35" s="1112"/>
      <c r="AR35" s="1114"/>
      <c r="AS35" s="1112"/>
      <c r="AT35" s="1112"/>
      <c r="AU35" s="1112"/>
      <c r="AV35" s="1114"/>
      <c r="AW35" s="1112"/>
      <c r="AX35" s="1112"/>
      <c r="AY35" s="1112"/>
      <c r="AZ35" s="1114"/>
      <c r="BA35" s="1112"/>
      <c r="BB35" s="1112">
        <v>34</v>
      </c>
      <c r="BC35" s="1112"/>
      <c r="BD35" s="1114">
        <f t="shared" si="12"/>
        <v>34</v>
      </c>
    </row>
    <row r="36" spans="1:56" s="212" customFormat="1" ht="15" x14ac:dyDescent="0.25">
      <c r="A36" s="5458"/>
      <c r="B36" s="5458"/>
      <c r="C36" s="5456"/>
      <c r="D36" s="1152" t="s">
        <v>1397</v>
      </c>
      <c r="E36" s="1768"/>
      <c r="F36" s="1767"/>
      <c r="G36" s="1767"/>
      <c r="H36" s="1113"/>
      <c r="I36" s="1112"/>
      <c r="J36" s="1112"/>
      <c r="K36" s="1112"/>
      <c r="L36" s="1113"/>
      <c r="M36" s="1112"/>
      <c r="N36" s="1112"/>
      <c r="O36" s="1112"/>
      <c r="P36" s="1113"/>
      <c r="Q36" s="1112"/>
      <c r="R36" s="1112"/>
      <c r="S36" s="1112"/>
      <c r="T36" s="1113"/>
      <c r="U36" s="1112"/>
      <c r="V36" s="1112"/>
      <c r="W36" s="1112"/>
      <c r="X36" s="1113"/>
      <c r="Y36" s="1112"/>
      <c r="Z36" s="1112"/>
      <c r="AA36" s="1112"/>
      <c r="AB36" s="1113"/>
      <c r="AC36" s="1112"/>
      <c r="AD36" s="1112"/>
      <c r="AE36" s="1112"/>
      <c r="AF36" s="1113"/>
      <c r="AG36" s="1112"/>
      <c r="AH36" s="1112"/>
      <c r="AI36" s="1112"/>
      <c r="AJ36" s="1113"/>
      <c r="AK36" s="1112"/>
      <c r="AL36" s="1112"/>
      <c r="AM36" s="1112"/>
      <c r="AN36" s="1113"/>
      <c r="AO36" s="1112"/>
      <c r="AP36" s="1112"/>
      <c r="AQ36" s="1112"/>
      <c r="AR36" s="1114"/>
      <c r="AS36" s="1112"/>
      <c r="AT36" s="1112"/>
      <c r="AU36" s="1112"/>
      <c r="AV36" s="1114"/>
      <c r="AW36" s="1112"/>
      <c r="AX36" s="1112"/>
      <c r="AY36" s="1112"/>
      <c r="AZ36" s="1114"/>
      <c r="BA36" s="1112">
        <v>4</v>
      </c>
      <c r="BB36" s="1112"/>
      <c r="BC36" s="1112">
        <v>8</v>
      </c>
      <c r="BD36" s="1114">
        <f t="shared" si="12"/>
        <v>12</v>
      </c>
    </row>
    <row r="37" spans="1:56" s="212" customFormat="1" ht="15" x14ac:dyDescent="0.25">
      <c r="A37" s="5458"/>
      <c r="B37" s="5458"/>
      <c r="C37" s="5456"/>
      <c r="D37" s="1152" t="s">
        <v>1398</v>
      </c>
      <c r="E37" s="1768"/>
      <c r="F37" s="1767"/>
      <c r="G37" s="1767"/>
      <c r="H37" s="1113"/>
      <c r="I37" s="1112"/>
      <c r="J37" s="1112"/>
      <c r="K37" s="1112"/>
      <c r="L37" s="1113"/>
      <c r="M37" s="1112"/>
      <c r="N37" s="1112"/>
      <c r="O37" s="1112"/>
      <c r="P37" s="1113"/>
      <c r="Q37" s="1112"/>
      <c r="R37" s="1112"/>
      <c r="S37" s="1112"/>
      <c r="T37" s="1113"/>
      <c r="U37" s="1112"/>
      <c r="V37" s="1112"/>
      <c r="W37" s="1112"/>
      <c r="X37" s="1113"/>
      <c r="Y37" s="1112"/>
      <c r="Z37" s="1112"/>
      <c r="AA37" s="1112"/>
      <c r="AB37" s="1113"/>
      <c r="AC37" s="1112"/>
      <c r="AD37" s="1112"/>
      <c r="AE37" s="1112"/>
      <c r="AF37" s="1113"/>
      <c r="AG37" s="1112"/>
      <c r="AH37" s="1112"/>
      <c r="AI37" s="1112"/>
      <c r="AJ37" s="1113"/>
      <c r="AK37" s="1112"/>
      <c r="AL37" s="1112"/>
      <c r="AM37" s="1112"/>
      <c r="AN37" s="1113"/>
      <c r="AO37" s="1112"/>
      <c r="AP37" s="1112"/>
      <c r="AQ37" s="1112"/>
      <c r="AR37" s="1114"/>
      <c r="AS37" s="1112"/>
      <c r="AT37" s="1112"/>
      <c r="AU37" s="1112"/>
      <c r="AV37" s="1114"/>
      <c r="AW37" s="1112"/>
      <c r="AX37" s="1112"/>
      <c r="AY37" s="1112"/>
      <c r="AZ37" s="1114"/>
      <c r="BA37" s="1112"/>
      <c r="BB37" s="1112">
        <v>10</v>
      </c>
      <c r="BC37" s="1112">
        <v>9</v>
      </c>
      <c r="BD37" s="1114">
        <f t="shared" si="12"/>
        <v>19</v>
      </c>
    </row>
    <row r="38" spans="1:56" s="212" customFormat="1" ht="30" x14ac:dyDescent="0.25">
      <c r="A38" s="5458"/>
      <c r="B38" s="5458"/>
      <c r="C38" s="5465"/>
      <c r="D38" s="1152" t="s">
        <v>1399</v>
      </c>
      <c r="E38" s="1768"/>
      <c r="F38" s="1767"/>
      <c r="G38" s="1767"/>
      <c r="H38" s="1113"/>
      <c r="I38" s="1112"/>
      <c r="J38" s="1112"/>
      <c r="K38" s="1112"/>
      <c r="L38" s="1113"/>
      <c r="M38" s="1112"/>
      <c r="N38" s="1112"/>
      <c r="O38" s="1112"/>
      <c r="P38" s="1113"/>
      <c r="Q38" s="1112"/>
      <c r="R38" s="1112"/>
      <c r="S38" s="1112"/>
      <c r="T38" s="1113"/>
      <c r="U38" s="1112"/>
      <c r="V38" s="1112"/>
      <c r="W38" s="1112"/>
      <c r="X38" s="1113"/>
      <c r="Y38" s="1112"/>
      <c r="Z38" s="1112"/>
      <c r="AA38" s="1112"/>
      <c r="AB38" s="1113"/>
      <c r="AC38" s="1112"/>
      <c r="AD38" s="1112"/>
      <c r="AE38" s="1112"/>
      <c r="AF38" s="1113"/>
      <c r="AG38" s="1112"/>
      <c r="AH38" s="1112"/>
      <c r="AI38" s="1112"/>
      <c r="AJ38" s="1113"/>
      <c r="AK38" s="1112"/>
      <c r="AL38" s="1112"/>
      <c r="AM38" s="1112"/>
      <c r="AN38" s="1113"/>
      <c r="AO38" s="1112"/>
      <c r="AP38" s="1112"/>
      <c r="AQ38" s="1112"/>
      <c r="AR38" s="1114"/>
      <c r="AS38" s="1112"/>
      <c r="AT38" s="1112"/>
      <c r="AU38" s="1112"/>
      <c r="AV38" s="1114"/>
      <c r="AW38" s="1112"/>
      <c r="AX38" s="1112"/>
      <c r="AY38" s="1112"/>
      <c r="AZ38" s="1114"/>
      <c r="BA38" s="1112"/>
      <c r="BB38" s="1112">
        <v>4</v>
      </c>
      <c r="BC38" s="1112">
        <v>8</v>
      </c>
      <c r="BD38" s="1114">
        <f t="shared" si="12"/>
        <v>12</v>
      </c>
    </row>
    <row r="39" spans="1:56" s="212" customFormat="1" ht="15" x14ac:dyDescent="0.25">
      <c r="A39" s="5458"/>
      <c r="B39" s="5458"/>
      <c r="C39" s="518" t="s">
        <v>526</v>
      </c>
      <c r="D39" s="1103" t="s">
        <v>405</v>
      </c>
      <c r="E39" s="1216"/>
      <c r="F39" s="1115"/>
      <c r="G39" s="1115"/>
      <c r="H39" s="1114"/>
      <c r="I39" s="1115"/>
      <c r="J39" s="1115"/>
      <c r="K39" s="1115"/>
      <c r="L39" s="1114"/>
      <c r="M39" s="1115"/>
      <c r="N39" s="1115">
        <v>18</v>
      </c>
      <c r="O39" s="1115"/>
      <c r="P39" s="1114">
        <f>SUM(M39:O39)</f>
        <v>18</v>
      </c>
      <c r="Q39" s="1115"/>
      <c r="R39" s="1115">
        <v>21</v>
      </c>
      <c r="S39" s="1115"/>
      <c r="T39" s="1114">
        <f>SUM(Q39:S39)</f>
        <v>21</v>
      </c>
      <c r="U39" s="1115"/>
      <c r="V39" s="1115">
        <v>24</v>
      </c>
      <c r="W39" s="1115"/>
      <c r="X39" s="1114">
        <f>SUM(U39:W39)</f>
        <v>24</v>
      </c>
      <c r="Y39" s="1115"/>
      <c r="Z39" s="1115"/>
      <c r="AA39" s="1115">
        <v>22</v>
      </c>
      <c r="AB39" s="1114">
        <f>SUM(Y39:AA39)</f>
        <v>22</v>
      </c>
      <c r="AC39" s="1115"/>
      <c r="AD39" s="1115"/>
      <c r="AE39" s="1115">
        <v>14</v>
      </c>
      <c r="AF39" s="1114">
        <f>SUM(AC39:AE39)</f>
        <v>14</v>
      </c>
      <c r="AG39" s="1773"/>
      <c r="AH39" s="1773"/>
      <c r="AI39" s="1773">
        <v>56</v>
      </c>
      <c r="AJ39" s="1114">
        <f>SUM(AG39:AI39)</f>
        <v>56</v>
      </c>
      <c r="AK39" s="1773"/>
      <c r="AL39" s="1773"/>
      <c r="AM39" s="1773">
        <v>94</v>
      </c>
      <c r="AN39" s="1114">
        <f>SUM(AK39:AM39)</f>
        <v>94</v>
      </c>
      <c r="AO39" s="1773"/>
      <c r="AP39" s="1773"/>
      <c r="AQ39" s="1773">
        <v>27</v>
      </c>
      <c r="AR39" s="1114">
        <f>SUM(AO39:AQ39)</f>
        <v>27</v>
      </c>
      <c r="AS39" s="1773"/>
      <c r="AT39" s="1773"/>
      <c r="AU39" s="1773">
        <v>3</v>
      </c>
      <c r="AV39" s="1114">
        <f>SUM(AS39:AU39)</f>
        <v>3</v>
      </c>
      <c r="AW39" s="1773"/>
      <c r="AX39" s="1773"/>
      <c r="AY39" s="1773">
        <v>82</v>
      </c>
      <c r="AZ39" s="1114">
        <f>SUM(AW39:AY39)</f>
        <v>82</v>
      </c>
      <c r="BA39" s="1773"/>
      <c r="BB39" s="1773"/>
      <c r="BC39" s="1773"/>
      <c r="BD39" s="1114">
        <f>SUM(BA39:BC39)</f>
        <v>0</v>
      </c>
    </row>
    <row r="40" spans="1:56" s="212" customFormat="1" ht="15" x14ac:dyDescent="0.25">
      <c r="A40" s="5458"/>
      <c r="B40" s="5458"/>
      <c r="C40" s="518"/>
      <c r="D40" s="1108" t="s">
        <v>1443</v>
      </c>
      <c r="E40" s="1213"/>
      <c r="F40" s="1214"/>
      <c r="G40" s="1214"/>
      <c r="H40" s="1803"/>
      <c r="I40" s="1214"/>
      <c r="J40" s="1214"/>
      <c r="K40" s="1214"/>
      <c r="L40" s="1803"/>
      <c r="M40" s="1214"/>
      <c r="N40" s="1214"/>
      <c r="O40" s="1214"/>
      <c r="P40" s="1803"/>
      <c r="Q40" s="1214"/>
      <c r="R40" s="1214"/>
      <c r="S40" s="1214"/>
      <c r="T40" s="1803"/>
      <c r="U40" s="1214"/>
      <c r="V40" s="1214"/>
      <c r="W40" s="1214"/>
      <c r="X40" s="1803"/>
      <c r="Y40" s="1214"/>
      <c r="Z40" s="1214"/>
      <c r="AA40" s="1214"/>
      <c r="AB40" s="1803"/>
      <c r="AC40" s="1214"/>
      <c r="AD40" s="1214"/>
      <c r="AE40" s="1214"/>
      <c r="AF40" s="1803"/>
      <c r="AG40" s="1781"/>
      <c r="AH40" s="1781"/>
      <c r="AI40" s="1781"/>
      <c r="AJ40" s="1803"/>
      <c r="AK40" s="1781"/>
      <c r="AL40" s="1781"/>
      <c r="AM40" s="1781"/>
      <c r="AN40" s="1803"/>
      <c r="AO40" s="1781"/>
      <c r="AP40" s="1781"/>
      <c r="AQ40" s="1781"/>
      <c r="AR40" s="1803"/>
      <c r="AS40" s="1781"/>
      <c r="AT40" s="1781"/>
      <c r="AU40" s="1781"/>
      <c r="AV40" s="1803"/>
      <c r="AW40" s="1781"/>
      <c r="AX40" s="1781"/>
      <c r="AY40" s="1781"/>
      <c r="AZ40" s="1803"/>
      <c r="BA40" s="1781"/>
      <c r="BB40" s="1781"/>
      <c r="BC40" s="1781"/>
      <c r="BD40" s="1114">
        <f t="shared" ref="BD40:BD42" si="13">SUM(BA40:BC40)</f>
        <v>0</v>
      </c>
    </row>
    <row r="41" spans="1:56" s="212" customFormat="1" ht="15" x14ac:dyDescent="0.25">
      <c r="A41" s="5458"/>
      <c r="B41" s="5458"/>
      <c r="C41" s="518"/>
      <c r="D41" s="1152" t="s">
        <v>1396</v>
      </c>
      <c r="E41" s="1213"/>
      <c r="F41" s="1214"/>
      <c r="G41" s="1214"/>
      <c r="H41" s="1803"/>
      <c r="I41" s="1214"/>
      <c r="J41" s="1214"/>
      <c r="K41" s="1214"/>
      <c r="L41" s="1803"/>
      <c r="M41" s="1214"/>
      <c r="N41" s="1214"/>
      <c r="O41" s="1214"/>
      <c r="P41" s="1803"/>
      <c r="Q41" s="1214"/>
      <c r="R41" s="1214"/>
      <c r="S41" s="1214"/>
      <c r="T41" s="1803"/>
      <c r="U41" s="1214"/>
      <c r="V41" s="1214"/>
      <c r="W41" s="1214"/>
      <c r="X41" s="1803"/>
      <c r="Y41" s="1214"/>
      <c r="Z41" s="1214"/>
      <c r="AA41" s="1214"/>
      <c r="AB41" s="1803"/>
      <c r="AC41" s="1214"/>
      <c r="AD41" s="1214"/>
      <c r="AE41" s="1214"/>
      <c r="AF41" s="1803"/>
      <c r="AG41" s="1781"/>
      <c r="AH41" s="1781"/>
      <c r="AI41" s="1781"/>
      <c r="AJ41" s="1803"/>
      <c r="AK41" s="1781"/>
      <c r="AL41" s="1781"/>
      <c r="AM41" s="1781"/>
      <c r="AN41" s="1803"/>
      <c r="AO41" s="1781"/>
      <c r="AP41" s="1781"/>
      <c r="AQ41" s="1781"/>
      <c r="AR41" s="1803"/>
      <c r="AS41" s="1781"/>
      <c r="AT41" s="1781"/>
      <c r="AU41" s="1781"/>
      <c r="AV41" s="1803"/>
      <c r="AW41" s="1781"/>
      <c r="AX41" s="1781"/>
      <c r="AY41" s="1781"/>
      <c r="AZ41" s="1803"/>
      <c r="BA41" s="1781">
        <v>6</v>
      </c>
      <c r="BB41" s="1781"/>
      <c r="BC41" s="1781"/>
      <c r="BD41" s="1114">
        <f t="shared" si="13"/>
        <v>6</v>
      </c>
    </row>
    <row r="42" spans="1:56" s="212" customFormat="1" ht="15" x14ac:dyDescent="0.25">
      <c r="A42" s="5458"/>
      <c r="B42" s="5458"/>
      <c r="C42" s="518"/>
      <c r="D42" s="1152" t="s">
        <v>1398</v>
      </c>
      <c r="E42" s="1213"/>
      <c r="F42" s="1214"/>
      <c r="G42" s="1214"/>
      <c r="H42" s="1803"/>
      <c r="I42" s="1214"/>
      <c r="J42" s="1214"/>
      <c r="K42" s="1214"/>
      <c r="L42" s="1803"/>
      <c r="M42" s="1214"/>
      <c r="N42" s="1214"/>
      <c r="O42" s="1214"/>
      <c r="P42" s="1803"/>
      <c r="Q42" s="1214"/>
      <c r="R42" s="1214"/>
      <c r="S42" s="1214"/>
      <c r="T42" s="1803"/>
      <c r="U42" s="1214"/>
      <c r="V42" s="1214"/>
      <c r="W42" s="1214"/>
      <c r="X42" s="1803"/>
      <c r="Y42" s="1214"/>
      <c r="Z42" s="1214"/>
      <c r="AA42" s="1214"/>
      <c r="AB42" s="1803"/>
      <c r="AC42" s="1214"/>
      <c r="AD42" s="1214"/>
      <c r="AE42" s="1214"/>
      <c r="AF42" s="1803"/>
      <c r="AG42" s="1781"/>
      <c r="AH42" s="1781"/>
      <c r="AI42" s="1781"/>
      <c r="AJ42" s="1803"/>
      <c r="AK42" s="1781"/>
      <c r="AL42" s="1781"/>
      <c r="AM42" s="1781"/>
      <c r="AN42" s="1803"/>
      <c r="AO42" s="1781"/>
      <c r="AP42" s="1781"/>
      <c r="AQ42" s="1781"/>
      <c r="AR42" s="1803"/>
      <c r="AS42" s="1781"/>
      <c r="AT42" s="1781"/>
      <c r="AU42" s="1781"/>
      <c r="AV42" s="1803"/>
      <c r="AW42" s="1781"/>
      <c r="AX42" s="1781"/>
      <c r="AY42" s="1781"/>
      <c r="AZ42" s="1803"/>
      <c r="BA42" s="1781">
        <v>4</v>
      </c>
      <c r="BB42" s="1781"/>
      <c r="BC42" s="1781"/>
      <c r="BD42" s="1114">
        <f t="shared" si="13"/>
        <v>4</v>
      </c>
    </row>
    <row r="43" spans="1:56" s="212" customFormat="1" ht="15" x14ac:dyDescent="0.2">
      <c r="A43" s="5458"/>
      <c r="B43" s="5460"/>
      <c r="C43" s="1105"/>
      <c r="D43" s="1106" t="s">
        <v>160</v>
      </c>
      <c r="E43" s="1762"/>
      <c r="F43" s="1763"/>
      <c r="G43" s="1763"/>
      <c r="H43" s="1765"/>
      <c r="I43" s="1762"/>
      <c r="J43" s="1763"/>
      <c r="K43" s="1763">
        <f>SUM(K30:K39)</f>
        <v>105</v>
      </c>
      <c r="L43" s="1765">
        <f>SUM(L30:L39)</f>
        <v>105</v>
      </c>
      <c r="M43" s="1762">
        <f>SUM(M30:M39)</f>
        <v>0</v>
      </c>
      <c r="N43" s="1763">
        <f t="shared" ref="N43:AR43" si="14">SUM(N30:N39)</f>
        <v>115</v>
      </c>
      <c r="O43" s="1763">
        <f t="shared" si="14"/>
        <v>0</v>
      </c>
      <c r="P43" s="1765">
        <f t="shared" si="14"/>
        <v>115</v>
      </c>
      <c r="Q43" s="1762">
        <f t="shared" si="14"/>
        <v>0</v>
      </c>
      <c r="R43" s="1763">
        <f t="shared" si="14"/>
        <v>145</v>
      </c>
      <c r="S43" s="1763">
        <f t="shared" si="14"/>
        <v>0</v>
      </c>
      <c r="T43" s="1765">
        <f t="shared" si="14"/>
        <v>145</v>
      </c>
      <c r="U43" s="1762">
        <f t="shared" si="14"/>
        <v>0</v>
      </c>
      <c r="V43" s="1763">
        <f t="shared" si="14"/>
        <v>135</v>
      </c>
      <c r="W43" s="1763">
        <f t="shared" si="14"/>
        <v>0</v>
      </c>
      <c r="X43" s="1765">
        <f t="shared" si="14"/>
        <v>135</v>
      </c>
      <c r="Y43" s="1762">
        <f t="shared" si="14"/>
        <v>0</v>
      </c>
      <c r="Z43" s="1763">
        <f t="shared" si="14"/>
        <v>0</v>
      </c>
      <c r="AA43" s="1763">
        <f t="shared" si="14"/>
        <v>127</v>
      </c>
      <c r="AB43" s="1765">
        <f t="shared" si="14"/>
        <v>127</v>
      </c>
      <c r="AC43" s="1762">
        <f t="shared" si="14"/>
        <v>0</v>
      </c>
      <c r="AD43" s="1763">
        <f t="shared" si="14"/>
        <v>0</v>
      </c>
      <c r="AE43" s="1763">
        <f t="shared" si="14"/>
        <v>196</v>
      </c>
      <c r="AF43" s="1765">
        <f t="shared" si="14"/>
        <v>196</v>
      </c>
      <c r="AG43" s="1762">
        <f t="shared" si="14"/>
        <v>0</v>
      </c>
      <c r="AH43" s="1763">
        <f t="shared" si="14"/>
        <v>0</v>
      </c>
      <c r="AI43" s="1763">
        <f t="shared" si="14"/>
        <v>290</v>
      </c>
      <c r="AJ43" s="1765">
        <f t="shared" si="14"/>
        <v>290</v>
      </c>
      <c r="AK43" s="1762">
        <f t="shared" si="14"/>
        <v>0</v>
      </c>
      <c r="AL43" s="1763">
        <f t="shared" si="14"/>
        <v>0</v>
      </c>
      <c r="AM43" s="1763">
        <f t="shared" si="14"/>
        <v>94</v>
      </c>
      <c r="AN43" s="1765">
        <f t="shared" si="14"/>
        <v>94</v>
      </c>
      <c r="AO43" s="1762">
        <f t="shared" si="14"/>
        <v>0</v>
      </c>
      <c r="AP43" s="1763">
        <f t="shared" si="14"/>
        <v>0</v>
      </c>
      <c r="AQ43" s="1763">
        <f t="shared" si="14"/>
        <v>243</v>
      </c>
      <c r="AR43" s="1765">
        <f t="shared" si="14"/>
        <v>243</v>
      </c>
      <c r="AS43" s="1762">
        <f t="shared" ref="AS43:AZ43" si="15">SUM(AS30:AS39)</f>
        <v>0</v>
      </c>
      <c r="AT43" s="1763">
        <f t="shared" si="15"/>
        <v>0</v>
      </c>
      <c r="AU43" s="1763">
        <f t="shared" si="15"/>
        <v>52</v>
      </c>
      <c r="AV43" s="1765">
        <f t="shared" si="15"/>
        <v>52</v>
      </c>
      <c r="AW43" s="1762">
        <f t="shared" si="15"/>
        <v>0</v>
      </c>
      <c r="AX43" s="1763">
        <f t="shared" si="15"/>
        <v>0</v>
      </c>
      <c r="AY43" s="1763">
        <f t="shared" si="15"/>
        <v>215</v>
      </c>
      <c r="AZ43" s="1765">
        <f t="shared" si="15"/>
        <v>215</v>
      </c>
      <c r="BA43" s="1762">
        <f t="shared" ref="BA43:BB43" si="16">SUM(BA30:BA39)</f>
        <v>5</v>
      </c>
      <c r="BB43" s="1763">
        <f t="shared" si="16"/>
        <v>67</v>
      </c>
      <c r="BC43" s="1763">
        <f>SUM(BC30:BC42)</f>
        <v>38</v>
      </c>
      <c r="BD43" s="1765">
        <f>SUM(BD30:BD42)</f>
        <v>120</v>
      </c>
    </row>
    <row r="44" spans="1:56" s="212" customFormat="1" ht="12.75" customHeight="1" x14ac:dyDescent="0.2">
      <c r="A44" s="5459"/>
      <c r="B44" s="4128"/>
      <c r="C44" s="4128"/>
      <c r="D44" s="3989" t="s">
        <v>529</v>
      </c>
      <c r="E44" s="4103"/>
      <c r="F44" s="4104"/>
      <c r="G44" s="4104"/>
      <c r="H44" s="4105"/>
      <c r="I44" s="4106"/>
      <c r="J44" s="4107"/>
      <c r="K44" s="4107">
        <f>SUM(K43,K29,K15)</f>
        <v>200</v>
      </c>
      <c r="L44" s="4108">
        <f t="shared" ref="L44:AR44" si="17">SUM(L43,L29,L15)</f>
        <v>200</v>
      </c>
      <c r="M44" s="4106">
        <f t="shared" si="17"/>
        <v>53</v>
      </c>
      <c r="N44" s="4107">
        <f t="shared" si="17"/>
        <v>137</v>
      </c>
      <c r="O44" s="4107">
        <f t="shared" si="17"/>
        <v>243</v>
      </c>
      <c r="P44" s="4108">
        <f t="shared" si="17"/>
        <v>433</v>
      </c>
      <c r="Q44" s="4106">
        <f t="shared" si="17"/>
        <v>60</v>
      </c>
      <c r="R44" s="4107">
        <f t="shared" si="17"/>
        <v>146</v>
      </c>
      <c r="S44" s="4107">
        <f t="shared" si="17"/>
        <v>69</v>
      </c>
      <c r="T44" s="4108">
        <f t="shared" si="17"/>
        <v>275</v>
      </c>
      <c r="U44" s="4106">
        <f t="shared" si="17"/>
        <v>12</v>
      </c>
      <c r="V44" s="4107">
        <f t="shared" si="17"/>
        <v>152</v>
      </c>
      <c r="W44" s="4107">
        <f t="shared" si="17"/>
        <v>214</v>
      </c>
      <c r="X44" s="4108">
        <f t="shared" si="17"/>
        <v>378</v>
      </c>
      <c r="Y44" s="4109">
        <f t="shared" si="17"/>
        <v>100</v>
      </c>
      <c r="Z44" s="4109">
        <f t="shared" si="17"/>
        <v>7</v>
      </c>
      <c r="AA44" s="4109">
        <f t="shared" si="17"/>
        <v>253</v>
      </c>
      <c r="AB44" s="4109">
        <f t="shared" si="17"/>
        <v>360</v>
      </c>
      <c r="AC44" s="4106">
        <f t="shared" si="17"/>
        <v>25</v>
      </c>
      <c r="AD44" s="4107">
        <f t="shared" si="17"/>
        <v>0</v>
      </c>
      <c r="AE44" s="4107">
        <f t="shared" si="17"/>
        <v>504</v>
      </c>
      <c r="AF44" s="4108">
        <f t="shared" si="17"/>
        <v>529</v>
      </c>
      <c r="AG44" s="4109">
        <f t="shared" si="17"/>
        <v>36</v>
      </c>
      <c r="AH44" s="4109">
        <f t="shared" si="17"/>
        <v>52</v>
      </c>
      <c r="AI44" s="4109">
        <f t="shared" si="17"/>
        <v>439</v>
      </c>
      <c r="AJ44" s="4109">
        <f t="shared" si="17"/>
        <v>527</v>
      </c>
      <c r="AK44" s="4106">
        <f t="shared" si="17"/>
        <v>22</v>
      </c>
      <c r="AL44" s="4107">
        <f t="shared" si="17"/>
        <v>480</v>
      </c>
      <c r="AM44" s="4107">
        <f t="shared" si="17"/>
        <v>154</v>
      </c>
      <c r="AN44" s="4108">
        <f t="shared" si="17"/>
        <v>656</v>
      </c>
      <c r="AO44" s="4106">
        <f t="shared" si="17"/>
        <v>24</v>
      </c>
      <c r="AP44" s="4107">
        <f t="shared" si="17"/>
        <v>7</v>
      </c>
      <c r="AQ44" s="4107">
        <f t="shared" si="17"/>
        <v>341</v>
      </c>
      <c r="AR44" s="4108">
        <f t="shared" si="17"/>
        <v>372</v>
      </c>
      <c r="AS44" s="4106">
        <f t="shared" ref="AS44:AZ44" si="18">SUM(AS43,AS29,AS15)</f>
        <v>34</v>
      </c>
      <c r="AT44" s="4107">
        <f t="shared" si="18"/>
        <v>205</v>
      </c>
      <c r="AU44" s="4107">
        <f t="shared" si="18"/>
        <v>219</v>
      </c>
      <c r="AV44" s="4108">
        <f t="shared" si="18"/>
        <v>458</v>
      </c>
      <c r="AW44" s="4106">
        <f t="shared" si="18"/>
        <v>130</v>
      </c>
      <c r="AX44" s="4107">
        <f t="shared" si="18"/>
        <v>6</v>
      </c>
      <c r="AY44" s="4107">
        <f t="shared" si="18"/>
        <v>546</v>
      </c>
      <c r="AZ44" s="4108">
        <f t="shared" si="18"/>
        <v>682</v>
      </c>
      <c r="BA44" s="4106">
        <f t="shared" ref="BA44:BD44" si="19">SUM(BA43,BA29,BA15)</f>
        <v>42</v>
      </c>
      <c r="BB44" s="4107">
        <f t="shared" si="19"/>
        <v>73</v>
      </c>
      <c r="BC44" s="4107">
        <f t="shared" si="19"/>
        <v>396</v>
      </c>
      <c r="BD44" s="4108">
        <f t="shared" si="19"/>
        <v>521</v>
      </c>
    </row>
    <row r="45" spans="1:56" s="212" customFormat="1" ht="15" x14ac:dyDescent="0.2">
      <c r="A45" s="5461" t="s">
        <v>447</v>
      </c>
      <c r="B45" s="5461" t="s">
        <v>5</v>
      </c>
      <c r="C45" s="5455" t="s">
        <v>527</v>
      </c>
      <c r="D45" s="1116" t="s">
        <v>372</v>
      </c>
      <c r="E45" s="1771">
        <v>8</v>
      </c>
      <c r="F45" s="1772"/>
      <c r="G45" s="1772">
        <v>7</v>
      </c>
      <c r="H45" s="1110">
        <f>SUM(E45:G45)</f>
        <v>15</v>
      </c>
      <c r="I45" s="1109">
        <v>6</v>
      </c>
      <c r="J45" s="1109"/>
      <c r="K45" s="1109">
        <v>5</v>
      </c>
      <c r="L45" s="1110">
        <f>SUM(I45:K45)</f>
        <v>11</v>
      </c>
      <c r="M45" s="1109">
        <v>4</v>
      </c>
      <c r="N45" s="1109">
        <v>3</v>
      </c>
      <c r="O45" s="1109">
        <v>4</v>
      </c>
      <c r="P45" s="1110">
        <f>SUM(M45:O45)</f>
        <v>11</v>
      </c>
      <c r="Q45" s="1109">
        <v>3</v>
      </c>
      <c r="R45" s="1109">
        <v>6</v>
      </c>
      <c r="S45" s="1109">
        <v>6</v>
      </c>
      <c r="T45" s="1110">
        <f>SUM(Q45:S45)</f>
        <v>15</v>
      </c>
      <c r="U45" s="1109">
        <v>2</v>
      </c>
      <c r="V45" s="1109">
        <v>2</v>
      </c>
      <c r="W45" s="1109">
        <v>8</v>
      </c>
      <c r="X45" s="1110">
        <f>SUM(U45:W45)</f>
        <v>12</v>
      </c>
      <c r="Y45" s="1109"/>
      <c r="Z45" s="1109">
        <v>4</v>
      </c>
      <c r="AA45" s="1109">
        <v>2</v>
      </c>
      <c r="AB45" s="1110">
        <f t="shared" ref="AB45:AB57" si="20">SUM(Y45:AA45)</f>
        <v>6</v>
      </c>
      <c r="AC45" s="1109">
        <v>1</v>
      </c>
      <c r="AD45" s="1109">
        <v>5</v>
      </c>
      <c r="AE45" s="1109">
        <v>8</v>
      </c>
      <c r="AF45" s="1110">
        <f>SUM(AC45:AE45)</f>
        <v>14</v>
      </c>
      <c r="AG45" s="1109"/>
      <c r="AH45" s="1109">
        <v>4</v>
      </c>
      <c r="AI45" s="1109">
        <v>7</v>
      </c>
      <c r="AJ45" s="1110">
        <f t="shared" ref="AJ45:AJ59" si="21">SUM(AG45:AI45)</f>
        <v>11</v>
      </c>
      <c r="AK45" s="1109"/>
      <c r="AL45" s="1109"/>
      <c r="AM45" s="1109"/>
      <c r="AN45" s="1110"/>
      <c r="AO45" s="1109"/>
      <c r="AP45" s="1109"/>
      <c r="AQ45" s="1109"/>
      <c r="AR45" s="1110"/>
      <c r="AS45" s="1109">
        <v>2</v>
      </c>
      <c r="AT45" s="1109">
        <v>1</v>
      </c>
      <c r="AU45" s="1109">
        <v>1</v>
      </c>
      <c r="AV45" s="1113">
        <f t="shared" ref="AV45:AV51" si="22">SUM(AS45:AU45)</f>
        <v>4</v>
      </c>
      <c r="AW45" s="1109">
        <v>9</v>
      </c>
      <c r="AX45" s="1109">
        <v>3</v>
      </c>
      <c r="AY45" s="1109">
        <v>8</v>
      </c>
      <c r="AZ45" s="1113">
        <f t="shared" ref="AZ45:AZ59" si="23">SUM(AW45:AY45)</f>
        <v>20</v>
      </c>
      <c r="BA45" s="1109">
        <v>10</v>
      </c>
      <c r="BB45" s="1109">
        <v>9</v>
      </c>
      <c r="BC45" s="1109">
        <v>4</v>
      </c>
      <c r="BD45" s="1113">
        <f t="shared" ref="BD45:BD59" si="24">SUM(BA45:BC45)</f>
        <v>23</v>
      </c>
    </row>
    <row r="46" spans="1:56" s="212" customFormat="1" ht="15" x14ac:dyDescent="0.25">
      <c r="A46" s="5462"/>
      <c r="B46" s="5462"/>
      <c r="C46" s="5456"/>
      <c r="D46" s="1117" t="s">
        <v>382</v>
      </c>
      <c r="E46" s="1768">
        <v>5</v>
      </c>
      <c r="F46" s="1767">
        <v>13</v>
      </c>
      <c r="G46" s="1767">
        <v>7</v>
      </c>
      <c r="H46" s="1113">
        <f>SUM(E46:G46)</f>
        <v>25</v>
      </c>
      <c r="I46" s="1112">
        <v>3</v>
      </c>
      <c r="J46" s="1112">
        <v>6</v>
      </c>
      <c r="K46" s="1112">
        <v>22</v>
      </c>
      <c r="L46" s="1113">
        <f>SUM(I46:K46)</f>
        <v>31</v>
      </c>
      <c r="M46" s="1112">
        <v>11</v>
      </c>
      <c r="N46" s="1112">
        <v>17</v>
      </c>
      <c r="O46" s="1112">
        <v>22</v>
      </c>
      <c r="P46" s="1113">
        <f>SUM(M46:O46)</f>
        <v>50</v>
      </c>
      <c r="Q46" s="1112">
        <v>2</v>
      </c>
      <c r="R46" s="1112">
        <v>16</v>
      </c>
      <c r="S46" s="1112">
        <v>41</v>
      </c>
      <c r="T46" s="1113">
        <f>SUM(Q46:S46)</f>
        <v>59</v>
      </c>
      <c r="U46" s="1112">
        <v>2</v>
      </c>
      <c r="V46" s="1112">
        <v>10</v>
      </c>
      <c r="W46" s="1112">
        <v>23</v>
      </c>
      <c r="X46" s="1113">
        <f>SUM(U46:W46)</f>
        <v>35</v>
      </c>
      <c r="Y46" s="1112">
        <v>4</v>
      </c>
      <c r="Z46" s="1112">
        <v>13</v>
      </c>
      <c r="AA46" s="1112">
        <v>32</v>
      </c>
      <c r="AB46" s="1113">
        <f t="shared" si="20"/>
        <v>49</v>
      </c>
      <c r="AC46" s="1112">
        <v>2</v>
      </c>
      <c r="AD46" s="1112">
        <v>7</v>
      </c>
      <c r="AE46" s="1112">
        <v>44</v>
      </c>
      <c r="AF46" s="1113">
        <f>SUM(AC46:AE46)</f>
        <v>53</v>
      </c>
      <c r="AG46" s="1773">
        <v>2</v>
      </c>
      <c r="AH46" s="1773">
        <v>3</v>
      </c>
      <c r="AI46" s="1773">
        <v>23</v>
      </c>
      <c r="AJ46" s="1113">
        <f t="shared" si="21"/>
        <v>28</v>
      </c>
      <c r="AK46" s="1774"/>
      <c r="AL46" s="1774"/>
      <c r="AM46" s="1774"/>
      <c r="AN46" s="1113"/>
      <c r="AO46" s="1774"/>
      <c r="AP46" s="1774"/>
      <c r="AQ46" s="1774"/>
      <c r="AR46" s="1113"/>
      <c r="AS46" s="1112">
        <v>3</v>
      </c>
      <c r="AT46" s="1773">
        <v>11</v>
      </c>
      <c r="AU46" s="1775">
        <v>41</v>
      </c>
      <c r="AV46" s="1113">
        <f t="shared" si="22"/>
        <v>55</v>
      </c>
      <c r="AW46" s="1112"/>
      <c r="AX46" s="1773">
        <v>10</v>
      </c>
      <c r="AY46" s="1775">
        <v>48</v>
      </c>
      <c r="AZ46" s="1113">
        <f t="shared" si="23"/>
        <v>58</v>
      </c>
      <c r="BA46" s="1112"/>
      <c r="BB46" s="1773">
        <v>14</v>
      </c>
      <c r="BC46" s="1775">
        <v>52</v>
      </c>
      <c r="BD46" s="1113">
        <f t="shared" si="24"/>
        <v>66</v>
      </c>
    </row>
    <row r="47" spans="1:56" s="212" customFormat="1" ht="15" x14ac:dyDescent="0.25">
      <c r="A47" s="5462"/>
      <c r="B47" s="5462"/>
      <c r="C47" s="5456"/>
      <c r="D47" s="1117" t="s">
        <v>380</v>
      </c>
      <c r="E47" s="1768">
        <v>5</v>
      </c>
      <c r="F47" s="1767">
        <v>10</v>
      </c>
      <c r="G47" s="1767">
        <v>13</v>
      </c>
      <c r="H47" s="1113">
        <f>SUM(E47:G47)</f>
        <v>28</v>
      </c>
      <c r="I47" s="1112">
        <v>19</v>
      </c>
      <c r="J47" s="1112">
        <v>17</v>
      </c>
      <c r="K47" s="1112">
        <v>18</v>
      </c>
      <c r="L47" s="1113">
        <f>SUM(I47:K47)</f>
        <v>54</v>
      </c>
      <c r="M47" s="1112">
        <v>19</v>
      </c>
      <c r="N47" s="1112">
        <v>13</v>
      </c>
      <c r="O47" s="1112">
        <v>13</v>
      </c>
      <c r="P47" s="1113">
        <f>SUM(M47:O47)</f>
        <v>45</v>
      </c>
      <c r="Q47" s="1112">
        <v>7</v>
      </c>
      <c r="R47" s="1112">
        <v>5</v>
      </c>
      <c r="S47" s="1112">
        <v>14</v>
      </c>
      <c r="T47" s="1113">
        <f>SUM(Q47:S47)</f>
        <v>26</v>
      </c>
      <c r="U47" s="1112">
        <v>13</v>
      </c>
      <c r="V47" s="1112"/>
      <c r="W47" s="1112">
        <v>10</v>
      </c>
      <c r="X47" s="1113">
        <f>SUM(U47:W47)</f>
        <v>23</v>
      </c>
      <c r="Y47" s="1112">
        <v>5</v>
      </c>
      <c r="Z47" s="1112"/>
      <c r="AA47" s="1112">
        <v>11</v>
      </c>
      <c r="AB47" s="1113">
        <f t="shared" si="20"/>
        <v>16</v>
      </c>
      <c r="AC47" s="1112">
        <v>6</v>
      </c>
      <c r="AD47" s="1112"/>
      <c r="AE47" s="1112">
        <v>22</v>
      </c>
      <c r="AF47" s="1113">
        <f>SUM(AC47:AE47)</f>
        <v>28</v>
      </c>
      <c r="AG47" s="1773">
        <v>10</v>
      </c>
      <c r="AH47" s="1773"/>
      <c r="AI47" s="1773">
        <v>8</v>
      </c>
      <c r="AJ47" s="1113">
        <f t="shared" si="21"/>
        <v>18</v>
      </c>
      <c r="AK47" s="1774"/>
      <c r="AL47" s="1774"/>
      <c r="AM47" s="1774"/>
      <c r="AN47" s="1113"/>
      <c r="AO47" s="1774"/>
      <c r="AP47" s="1774"/>
      <c r="AQ47" s="1774"/>
      <c r="AR47" s="1113"/>
      <c r="AS47" s="1112">
        <v>14</v>
      </c>
      <c r="AT47" s="1773"/>
      <c r="AU47" s="1775">
        <v>13</v>
      </c>
      <c r="AV47" s="1113">
        <f t="shared" si="22"/>
        <v>27</v>
      </c>
      <c r="AW47" s="1112">
        <v>13</v>
      </c>
      <c r="AX47" s="1773"/>
      <c r="AY47" s="1775">
        <v>11</v>
      </c>
      <c r="AZ47" s="1113">
        <f t="shared" si="23"/>
        <v>24</v>
      </c>
      <c r="BA47" s="1112">
        <v>9</v>
      </c>
      <c r="BB47" s="1773"/>
      <c r="BC47" s="1775">
        <v>15</v>
      </c>
      <c r="BD47" s="1113">
        <f t="shared" si="24"/>
        <v>24</v>
      </c>
    </row>
    <row r="48" spans="1:56" s="212" customFormat="1" ht="15" x14ac:dyDescent="0.25">
      <c r="A48" s="5462"/>
      <c r="B48" s="5462"/>
      <c r="C48" s="5456"/>
      <c r="D48" s="1117" t="s">
        <v>378</v>
      </c>
      <c r="E48" s="1768">
        <v>1</v>
      </c>
      <c r="F48" s="1767"/>
      <c r="G48" s="1767">
        <v>28</v>
      </c>
      <c r="H48" s="1113">
        <f>SUM(E48:G48)</f>
        <v>29</v>
      </c>
      <c r="I48" s="1112">
        <v>4</v>
      </c>
      <c r="J48" s="1112"/>
      <c r="K48" s="1112">
        <v>25</v>
      </c>
      <c r="L48" s="1113">
        <f>SUM(I48:K48)</f>
        <v>29</v>
      </c>
      <c r="M48" s="1112">
        <v>3</v>
      </c>
      <c r="N48" s="1112"/>
      <c r="O48" s="1112">
        <v>16</v>
      </c>
      <c r="P48" s="1113">
        <f>SUM(M48:O48)</f>
        <v>19</v>
      </c>
      <c r="Q48" s="1112"/>
      <c r="R48" s="1112"/>
      <c r="S48" s="1112">
        <v>19</v>
      </c>
      <c r="T48" s="1113">
        <f>SUM(Q48:S48)</f>
        <v>19</v>
      </c>
      <c r="U48" s="1112"/>
      <c r="V48" s="1112"/>
      <c r="W48" s="1112">
        <v>7</v>
      </c>
      <c r="X48" s="1113">
        <f>SUM(U48:W48)</f>
        <v>7</v>
      </c>
      <c r="Y48" s="1112"/>
      <c r="Z48" s="1112"/>
      <c r="AA48" s="1112">
        <v>12</v>
      </c>
      <c r="AB48" s="1113">
        <f t="shared" si="20"/>
        <v>12</v>
      </c>
      <c r="AC48" s="1112"/>
      <c r="AD48" s="1112"/>
      <c r="AE48" s="1112">
        <v>17</v>
      </c>
      <c r="AF48" s="1113">
        <f>SUM(AC48:AE48)</f>
        <v>17</v>
      </c>
      <c r="AG48" s="1773">
        <v>1</v>
      </c>
      <c r="AH48" s="1773"/>
      <c r="AI48" s="1775">
        <v>13</v>
      </c>
      <c r="AJ48" s="1113">
        <f t="shared" si="21"/>
        <v>14</v>
      </c>
      <c r="AK48" s="1773"/>
      <c r="AL48" s="1773"/>
      <c r="AM48" s="1775"/>
      <c r="AN48" s="1113"/>
      <c r="AO48" s="1773"/>
      <c r="AP48" s="1773"/>
      <c r="AQ48" s="1775"/>
      <c r="AR48" s="1113"/>
      <c r="AS48" s="1773"/>
      <c r="AT48" s="1773"/>
      <c r="AU48" s="1775">
        <v>14</v>
      </c>
      <c r="AV48" s="1113">
        <f t="shared" si="22"/>
        <v>14</v>
      </c>
      <c r="AW48" s="1773"/>
      <c r="AX48" s="1773"/>
      <c r="AY48" s="1775">
        <v>12</v>
      </c>
      <c r="AZ48" s="1113">
        <f t="shared" si="23"/>
        <v>12</v>
      </c>
      <c r="BA48" s="1773">
        <v>1</v>
      </c>
      <c r="BB48" s="1773"/>
      <c r="BC48" s="1775">
        <v>21</v>
      </c>
      <c r="BD48" s="1113">
        <f t="shared" si="24"/>
        <v>22</v>
      </c>
    </row>
    <row r="49" spans="1:56" s="212" customFormat="1" ht="15" x14ac:dyDescent="0.25">
      <c r="A49" s="5462"/>
      <c r="B49" s="5462"/>
      <c r="C49" s="5456"/>
      <c r="D49" s="1117" t="s">
        <v>376</v>
      </c>
      <c r="E49" s="1768">
        <v>3</v>
      </c>
      <c r="F49" s="1767">
        <v>7</v>
      </c>
      <c r="G49" s="1767">
        <v>13</v>
      </c>
      <c r="H49" s="1113">
        <f>SUM(E49:G49)</f>
        <v>23</v>
      </c>
      <c r="I49" s="1112">
        <v>9</v>
      </c>
      <c r="J49" s="1112">
        <v>9</v>
      </c>
      <c r="K49" s="1112">
        <v>9</v>
      </c>
      <c r="L49" s="1113">
        <f>SUM(I49:K49)</f>
        <v>27</v>
      </c>
      <c r="M49" s="1112">
        <v>16</v>
      </c>
      <c r="N49" s="1112">
        <v>6</v>
      </c>
      <c r="O49" s="1112">
        <v>15</v>
      </c>
      <c r="P49" s="1113">
        <f>SUM(M49:O49)</f>
        <v>37</v>
      </c>
      <c r="Q49" s="1112">
        <v>13</v>
      </c>
      <c r="R49" s="1112">
        <v>10</v>
      </c>
      <c r="S49" s="1112">
        <v>9</v>
      </c>
      <c r="T49" s="1113">
        <f>SUM(Q49:S49)</f>
        <v>32</v>
      </c>
      <c r="U49" s="1112">
        <v>13</v>
      </c>
      <c r="V49" s="1112">
        <v>8</v>
      </c>
      <c r="W49" s="1112">
        <v>15</v>
      </c>
      <c r="X49" s="1113">
        <f>SUM(U49:W49)</f>
        <v>36</v>
      </c>
      <c r="Y49" s="1112">
        <v>17</v>
      </c>
      <c r="Z49" s="1112">
        <v>1</v>
      </c>
      <c r="AA49" s="1112">
        <v>10</v>
      </c>
      <c r="AB49" s="1113">
        <f t="shared" si="20"/>
        <v>28</v>
      </c>
      <c r="AC49" s="1112">
        <v>6</v>
      </c>
      <c r="AD49" s="1112">
        <v>3</v>
      </c>
      <c r="AE49" s="1112">
        <v>14</v>
      </c>
      <c r="AF49" s="1113">
        <f>SUM(AC49:AE49)</f>
        <v>23</v>
      </c>
      <c r="AG49" s="1775">
        <v>16</v>
      </c>
      <c r="AH49" s="1773">
        <v>6</v>
      </c>
      <c r="AI49" s="1775">
        <v>13</v>
      </c>
      <c r="AJ49" s="1113">
        <f t="shared" si="21"/>
        <v>35</v>
      </c>
      <c r="AK49" s="1775"/>
      <c r="AL49" s="1773"/>
      <c r="AM49" s="1775"/>
      <c r="AN49" s="1113"/>
      <c r="AO49" s="1775"/>
      <c r="AP49" s="1773"/>
      <c r="AQ49" s="1775"/>
      <c r="AR49" s="1113"/>
      <c r="AS49" s="1775">
        <v>10</v>
      </c>
      <c r="AT49" s="1773">
        <v>1</v>
      </c>
      <c r="AU49" s="1775">
        <v>13</v>
      </c>
      <c r="AV49" s="1113">
        <f t="shared" si="22"/>
        <v>24</v>
      </c>
      <c r="AW49" s="1775">
        <v>5</v>
      </c>
      <c r="AX49" s="1773">
        <v>2</v>
      </c>
      <c r="AY49" s="1775">
        <v>10</v>
      </c>
      <c r="AZ49" s="1113">
        <f t="shared" si="23"/>
        <v>17</v>
      </c>
      <c r="BA49" s="1775">
        <v>13</v>
      </c>
      <c r="BB49" s="1773">
        <v>9</v>
      </c>
      <c r="BC49" s="1775">
        <v>10</v>
      </c>
      <c r="BD49" s="1113">
        <f t="shared" si="24"/>
        <v>32</v>
      </c>
    </row>
    <row r="50" spans="1:56" s="212" customFormat="1" ht="15" x14ac:dyDescent="0.25">
      <c r="A50" s="5462"/>
      <c r="B50" s="5462"/>
      <c r="C50" s="5456"/>
      <c r="D50" s="1117" t="s">
        <v>68</v>
      </c>
      <c r="E50" s="1768"/>
      <c r="F50" s="1767"/>
      <c r="G50" s="1767"/>
      <c r="H50" s="1113"/>
      <c r="I50" s="1112"/>
      <c r="J50" s="1112"/>
      <c r="K50" s="1112"/>
      <c r="L50" s="1113"/>
      <c r="M50" s="1112"/>
      <c r="N50" s="1112"/>
      <c r="O50" s="1112"/>
      <c r="P50" s="1113"/>
      <c r="Q50" s="1112"/>
      <c r="R50" s="1112"/>
      <c r="S50" s="1112"/>
      <c r="T50" s="1113"/>
      <c r="U50" s="1112"/>
      <c r="V50" s="1112"/>
      <c r="W50" s="1112"/>
      <c r="X50" s="1113"/>
      <c r="Y50" s="1112"/>
      <c r="Z50" s="1112"/>
      <c r="AA50" s="1112"/>
      <c r="AB50" s="1113"/>
      <c r="AC50" s="1112"/>
      <c r="AD50" s="1112"/>
      <c r="AE50" s="1112"/>
      <c r="AF50" s="1113"/>
      <c r="AG50" s="1775"/>
      <c r="AH50" s="1773"/>
      <c r="AI50" s="1775"/>
      <c r="AJ50" s="1113"/>
      <c r="AK50" s="1775"/>
      <c r="AL50" s="1773"/>
      <c r="AM50" s="1775"/>
      <c r="AN50" s="1113"/>
      <c r="AO50" s="1775"/>
      <c r="AP50" s="1773"/>
      <c r="AQ50" s="1775"/>
      <c r="AR50" s="1113"/>
      <c r="AS50" s="1775">
        <v>2</v>
      </c>
      <c r="AT50" s="1773">
        <v>1</v>
      </c>
      <c r="AU50" s="1775">
        <v>40</v>
      </c>
      <c r="AV50" s="1113">
        <f t="shared" si="22"/>
        <v>43</v>
      </c>
      <c r="AW50" s="1775"/>
      <c r="AX50" s="1773"/>
      <c r="AY50" s="1775">
        <v>27</v>
      </c>
      <c r="AZ50" s="1113">
        <f t="shared" si="23"/>
        <v>27</v>
      </c>
      <c r="BA50" s="1775"/>
      <c r="BB50" s="1773"/>
      <c r="BC50" s="1775">
        <v>13</v>
      </c>
      <c r="BD50" s="1113">
        <f t="shared" si="24"/>
        <v>13</v>
      </c>
    </row>
    <row r="51" spans="1:56" s="212" customFormat="1" ht="15" x14ac:dyDescent="0.25">
      <c r="A51" s="5462"/>
      <c r="B51" s="5462"/>
      <c r="C51" s="5465"/>
      <c r="D51" s="1117" t="s">
        <v>593</v>
      </c>
      <c r="E51" s="1768"/>
      <c r="F51" s="1767"/>
      <c r="G51" s="1767"/>
      <c r="H51" s="1113"/>
      <c r="I51" s="1112"/>
      <c r="J51" s="1112"/>
      <c r="K51" s="1112"/>
      <c r="L51" s="1113"/>
      <c r="M51" s="1112"/>
      <c r="N51" s="1112"/>
      <c r="O51" s="1112"/>
      <c r="P51" s="1113"/>
      <c r="Q51" s="1112"/>
      <c r="R51" s="1112"/>
      <c r="S51" s="1112"/>
      <c r="T51" s="1113"/>
      <c r="U51" s="1112"/>
      <c r="V51" s="1112"/>
      <c r="W51" s="1112"/>
      <c r="X51" s="1113"/>
      <c r="Y51" s="1112"/>
      <c r="Z51" s="1112"/>
      <c r="AA51" s="1112"/>
      <c r="AB51" s="1113"/>
      <c r="AC51" s="1112"/>
      <c r="AD51" s="1112"/>
      <c r="AE51" s="1112"/>
      <c r="AF51" s="1113"/>
      <c r="AG51" s="1775"/>
      <c r="AH51" s="1773"/>
      <c r="AI51" s="1775"/>
      <c r="AJ51" s="1113"/>
      <c r="AK51" s="1775"/>
      <c r="AL51" s="1773"/>
      <c r="AM51" s="1775"/>
      <c r="AN51" s="1113"/>
      <c r="AO51" s="1775"/>
      <c r="AP51" s="1773"/>
      <c r="AQ51" s="1775"/>
      <c r="AR51" s="1113"/>
      <c r="AS51" s="1775">
        <v>36</v>
      </c>
      <c r="AT51" s="1773"/>
      <c r="AU51" s="1775"/>
      <c r="AV51" s="1113">
        <f t="shared" si="22"/>
        <v>36</v>
      </c>
      <c r="AW51" s="1775">
        <v>29</v>
      </c>
      <c r="AX51" s="1773"/>
      <c r="AY51" s="1775">
        <v>5</v>
      </c>
      <c r="AZ51" s="1113">
        <f t="shared" si="23"/>
        <v>34</v>
      </c>
      <c r="BA51" s="1775">
        <v>26</v>
      </c>
      <c r="BB51" s="1773"/>
      <c r="BC51" s="1775"/>
      <c r="BD51" s="1113">
        <f t="shared" si="24"/>
        <v>26</v>
      </c>
    </row>
    <row r="52" spans="1:56" s="212" customFormat="1" ht="15" x14ac:dyDescent="0.25">
      <c r="A52" s="5462"/>
      <c r="B52" s="5462"/>
      <c r="C52" s="5455" t="s">
        <v>526</v>
      </c>
      <c r="D52" s="1117" t="s">
        <v>373</v>
      </c>
      <c r="E52" s="1768"/>
      <c r="F52" s="1767"/>
      <c r="G52" s="1767"/>
      <c r="H52" s="1113"/>
      <c r="I52" s="1112"/>
      <c r="J52" s="1112"/>
      <c r="K52" s="1112"/>
      <c r="L52" s="1113"/>
      <c r="M52" s="1112"/>
      <c r="N52" s="1112"/>
      <c r="O52" s="1112"/>
      <c r="P52" s="1113"/>
      <c r="Q52" s="1112"/>
      <c r="R52" s="1112"/>
      <c r="S52" s="1112"/>
      <c r="T52" s="1113"/>
      <c r="U52" s="1112"/>
      <c r="V52" s="1112"/>
      <c r="W52" s="1112"/>
      <c r="X52" s="1113"/>
      <c r="Y52" s="1112">
        <v>1</v>
      </c>
      <c r="Z52" s="1112">
        <v>1</v>
      </c>
      <c r="AA52" s="1112">
        <v>2</v>
      </c>
      <c r="AB52" s="1113">
        <f t="shared" si="20"/>
        <v>4</v>
      </c>
      <c r="AC52" s="1112"/>
      <c r="AD52" s="1112"/>
      <c r="AE52" s="1112"/>
      <c r="AF52" s="1113"/>
      <c r="AG52" s="1112"/>
      <c r="AH52" s="1773">
        <v>1</v>
      </c>
      <c r="AI52" s="1775">
        <v>2</v>
      </c>
      <c r="AJ52" s="1113">
        <f t="shared" si="21"/>
        <v>3</v>
      </c>
      <c r="AK52" s="1112">
        <v>1</v>
      </c>
      <c r="AL52" s="1773">
        <v>6</v>
      </c>
      <c r="AM52" s="1775">
        <v>5</v>
      </c>
      <c r="AN52" s="1113">
        <f t="shared" ref="AN52:AN57" si="25">SUM(AK52:AM52)</f>
        <v>12</v>
      </c>
      <c r="AO52" s="1112">
        <v>4</v>
      </c>
      <c r="AP52" s="1773"/>
      <c r="AQ52" s="1775">
        <v>9</v>
      </c>
      <c r="AR52" s="1113">
        <f>SUM(AO52:AQ52)</f>
        <v>13</v>
      </c>
      <c r="AS52" s="1112">
        <v>1</v>
      </c>
      <c r="AT52" s="1773">
        <v>1</v>
      </c>
      <c r="AU52" s="1775">
        <v>3</v>
      </c>
      <c r="AV52" s="1113">
        <f>SUM(AS52:AU52)</f>
        <v>5</v>
      </c>
      <c r="AW52" s="1112"/>
      <c r="AX52" s="1773"/>
      <c r="AY52" s="1775">
        <v>1</v>
      </c>
      <c r="AZ52" s="1113">
        <f t="shared" si="23"/>
        <v>1</v>
      </c>
      <c r="BA52" s="1112">
        <v>6</v>
      </c>
      <c r="BB52" s="1773"/>
      <c r="BC52" s="1775">
        <v>4</v>
      </c>
      <c r="BD52" s="1113">
        <f t="shared" si="24"/>
        <v>10</v>
      </c>
    </row>
    <row r="53" spans="1:56" s="212" customFormat="1" ht="15" x14ac:dyDescent="0.25">
      <c r="A53" s="5462"/>
      <c r="B53" s="5462"/>
      <c r="C53" s="5456"/>
      <c r="D53" s="1117" t="s">
        <v>381</v>
      </c>
      <c r="E53" s="1768"/>
      <c r="F53" s="1767"/>
      <c r="G53" s="1767"/>
      <c r="H53" s="1113"/>
      <c r="I53" s="1112"/>
      <c r="J53" s="1112"/>
      <c r="K53" s="1112"/>
      <c r="L53" s="1113"/>
      <c r="M53" s="1112"/>
      <c r="N53" s="1112"/>
      <c r="O53" s="1112"/>
      <c r="P53" s="1113"/>
      <c r="Q53" s="1112"/>
      <c r="R53" s="1112"/>
      <c r="S53" s="1112"/>
      <c r="T53" s="1113"/>
      <c r="U53" s="1112"/>
      <c r="V53" s="1112"/>
      <c r="W53" s="1112"/>
      <c r="X53" s="1113"/>
      <c r="Y53" s="1112">
        <v>1</v>
      </c>
      <c r="Z53" s="1112"/>
      <c r="AA53" s="1112">
        <v>2</v>
      </c>
      <c r="AB53" s="1113">
        <f t="shared" si="20"/>
        <v>3</v>
      </c>
      <c r="AC53" s="1112"/>
      <c r="AD53" s="1112"/>
      <c r="AE53" s="1112"/>
      <c r="AF53" s="1113"/>
      <c r="AG53" s="1773">
        <v>2</v>
      </c>
      <c r="AH53" s="1773">
        <v>1</v>
      </c>
      <c r="AI53" s="1775">
        <v>3</v>
      </c>
      <c r="AJ53" s="1113">
        <f t="shared" si="21"/>
        <v>6</v>
      </c>
      <c r="AK53" s="1773">
        <v>12</v>
      </c>
      <c r="AL53" s="1773">
        <v>10</v>
      </c>
      <c r="AM53" s="1773">
        <v>48</v>
      </c>
      <c r="AN53" s="1113">
        <f t="shared" si="25"/>
        <v>70</v>
      </c>
      <c r="AO53" s="1773">
        <v>9</v>
      </c>
      <c r="AP53" s="1773">
        <v>4</v>
      </c>
      <c r="AQ53" s="1773">
        <v>51</v>
      </c>
      <c r="AR53" s="1113">
        <f>SUM(AO53:AQ53)</f>
        <v>64</v>
      </c>
      <c r="AS53" s="1773"/>
      <c r="AT53" s="1773">
        <v>1</v>
      </c>
      <c r="AU53" s="1773">
        <v>14</v>
      </c>
      <c r="AV53" s="1113">
        <f>SUM(AS53:AU53)</f>
        <v>15</v>
      </c>
      <c r="AW53" s="1773">
        <v>1</v>
      </c>
      <c r="AX53" s="1773">
        <v>2</v>
      </c>
      <c r="AY53" s="1773">
        <v>6</v>
      </c>
      <c r="AZ53" s="1113">
        <f t="shared" si="23"/>
        <v>9</v>
      </c>
      <c r="BA53" s="1773">
        <v>2</v>
      </c>
      <c r="BB53" s="1773">
        <v>3</v>
      </c>
      <c r="BC53" s="1773">
        <v>9</v>
      </c>
      <c r="BD53" s="1113">
        <f t="shared" si="24"/>
        <v>14</v>
      </c>
    </row>
    <row r="54" spans="1:56" s="212" customFormat="1" ht="15" x14ac:dyDescent="0.25">
      <c r="A54" s="5462"/>
      <c r="B54" s="5462"/>
      <c r="C54" s="5456"/>
      <c r="D54" s="1117" t="s">
        <v>379</v>
      </c>
      <c r="E54" s="1768"/>
      <c r="F54" s="1767"/>
      <c r="G54" s="1767"/>
      <c r="H54" s="1113"/>
      <c r="I54" s="1112"/>
      <c r="J54" s="1112"/>
      <c r="K54" s="1112"/>
      <c r="L54" s="1113"/>
      <c r="M54" s="1112"/>
      <c r="N54" s="1112"/>
      <c r="O54" s="1112"/>
      <c r="P54" s="1113"/>
      <c r="Q54" s="1112"/>
      <c r="R54" s="1112"/>
      <c r="S54" s="1112"/>
      <c r="T54" s="1113"/>
      <c r="U54" s="1112"/>
      <c r="V54" s="1112"/>
      <c r="W54" s="1112"/>
      <c r="X54" s="1113"/>
      <c r="Y54" s="1112">
        <v>3</v>
      </c>
      <c r="Z54" s="1112"/>
      <c r="AA54" s="1112">
        <v>6</v>
      </c>
      <c r="AB54" s="1113">
        <f t="shared" si="20"/>
        <v>9</v>
      </c>
      <c r="AC54" s="1112"/>
      <c r="AD54" s="1112"/>
      <c r="AE54" s="1112"/>
      <c r="AF54" s="1113"/>
      <c r="AG54" s="1773">
        <v>10</v>
      </c>
      <c r="AH54" s="1773"/>
      <c r="AI54" s="1775">
        <v>6</v>
      </c>
      <c r="AJ54" s="1113">
        <f t="shared" si="21"/>
        <v>16</v>
      </c>
      <c r="AK54" s="1773">
        <v>10</v>
      </c>
      <c r="AL54" s="1773">
        <v>0</v>
      </c>
      <c r="AM54" s="1773">
        <v>19</v>
      </c>
      <c r="AN54" s="1113">
        <f t="shared" si="25"/>
        <v>29</v>
      </c>
      <c r="AO54" s="1773">
        <v>21</v>
      </c>
      <c r="AP54" s="1773"/>
      <c r="AQ54" s="1773">
        <v>35</v>
      </c>
      <c r="AR54" s="1113">
        <f>SUM(AO54:AQ54)</f>
        <v>56</v>
      </c>
      <c r="AS54" s="1773">
        <v>10</v>
      </c>
      <c r="AT54" s="1773"/>
      <c r="AU54" s="1773">
        <v>4</v>
      </c>
      <c r="AV54" s="1113">
        <f>SUM(AS54:AU54)</f>
        <v>14</v>
      </c>
      <c r="AW54" s="1773">
        <v>5</v>
      </c>
      <c r="AX54" s="1773"/>
      <c r="AY54" s="1773">
        <v>7</v>
      </c>
      <c r="AZ54" s="1113">
        <f t="shared" si="23"/>
        <v>12</v>
      </c>
      <c r="BA54" s="1773">
        <v>1</v>
      </c>
      <c r="BB54" s="1773"/>
      <c r="BC54" s="1773">
        <v>2</v>
      </c>
      <c r="BD54" s="1113">
        <f t="shared" si="24"/>
        <v>3</v>
      </c>
    </row>
    <row r="55" spans="1:56" s="212" customFormat="1" ht="15" x14ac:dyDescent="0.25">
      <c r="A55" s="5462"/>
      <c r="B55" s="5462"/>
      <c r="C55" s="5456"/>
      <c r="D55" s="1117" t="s">
        <v>377</v>
      </c>
      <c r="E55" s="1768"/>
      <c r="F55" s="1767"/>
      <c r="G55" s="1767"/>
      <c r="H55" s="1113"/>
      <c r="I55" s="1112"/>
      <c r="J55" s="1112"/>
      <c r="K55" s="1112"/>
      <c r="L55" s="1113"/>
      <c r="M55" s="1112"/>
      <c r="N55" s="1112"/>
      <c r="O55" s="1112"/>
      <c r="P55" s="1113"/>
      <c r="Q55" s="1112"/>
      <c r="R55" s="1112"/>
      <c r="S55" s="1112"/>
      <c r="T55" s="1113"/>
      <c r="U55" s="1112"/>
      <c r="V55" s="1112"/>
      <c r="W55" s="1112"/>
      <c r="X55" s="1113"/>
      <c r="Y55" s="1112">
        <v>2</v>
      </c>
      <c r="Z55" s="1112"/>
      <c r="AA55" s="1112">
        <v>1</v>
      </c>
      <c r="AB55" s="1113">
        <f t="shared" si="20"/>
        <v>3</v>
      </c>
      <c r="AC55" s="1112"/>
      <c r="AD55" s="1112"/>
      <c r="AE55" s="1112"/>
      <c r="AF55" s="1113"/>
      <c r="AG55" s="1112"/>
      <c r="AH55" s="1773">
        <v>1</v>
      </c>
      <c r="AI55" s="1775">
        <v>1</v>
      </c>
      <c r="AJ55" s="1113">
        <f t="shared" si="21"/>
        <v>2</v>
      </c>
      <c r="AK55" s="1773">
        <v>1</v>
      </c>
      <c r="AL55" s="1773">
        <v>0</v>
      </c>
      <c r="AM55" s="1775">
        <v>16</v>
      </c>
      <c r="AN55" s="1113">
        <f t="shared" si="25"/>
        <v>17</v>
      </c>
      <c r="AO55" s="1773">
        <v>1</v>
      </c>
      <c r="AP55" s="1773"/>
      <c r="AQ55" s="1775">
        <v>19</v>
      </c>
      <c r="AR55" s="1113">
        <f t="shared" ref="AR55:AR70" si="26">SUM(AO55:AQ55)</f>
        <v>20</v>
      </c>
      <c r="AS55" s="1773"/>
      <c r="AT55" s="1773">
        <v>1</v>
      </c>
      <c r="AU55" s="1775">
        <v>3</v>
      </c>
      <c r="AV55" s="1113">
        <f>SUM(AS55:AU55)</f>
        <v>4</v>
      </c>
      <c r="AW55" s="1773">
        <v>1</v>
      </c>
      <c r="AX55" s="1773"/>
      <c r="AY55" s="1775"/>
      <c r="AZ55" s="1113">
        <f t="shared" si="23"/>
        <v>1</v>
      </c>
      <c r="BA55" s="1773"/>
      <c r="BB55" s="1773">
        <v>3</v>
      </c>
      <c r="BC55" s="1775">
        <v>3</v>
      </c>
      <c r="BD55" s="1113">
        <f t="shared" si="24"/>
        <v>6</v>
      </c>
    </row>
    <row r="56" spans="1:56" s="212" customFormat="1" ht="15" x14ac:dyDescent="0.25">
      <c r="A56" s="5462"/>
      <c r="B56" s="5462"/>
      <c r="C56" s="5456"/>
      <c r="D56" s="1117" t="s">
        <v>375</v>
      </c>
      <c r="E56" s="1768"/>
      <c r="F56" s="1767"/>
      <c r="G56" s="1767"/>
      <c r="H56" s="1113"/>
      <c r="I56" s="1112"/>
      <c r="J56" s="1112"/>
      <c r="K56" s="1112"/>
      <c r="L56" s="1113"/>
      <c r="M56" s="1112"/>
      <c r="N56" s="1112"/>
      <c r="O56" s="1112"/>
      <c r="P56" s="1113"/>
      <c r="Q56" s="1112"/>
      <c r="R56" s="1112"/>
      <c r="S56" s="1112"/>
      <c r="T56" s="1113"/>
      <c r="U56" s="1112"/>
      <c r="V56" s="1112"/>
      <c r="W56" s="1112"/>
      <c r="X56" s="1113"/>
      <c r="Y56" s="1112"/>
      <c r="Z56" s="1112"/>
      <c r="AA56" s="1112">
        <v>1</v>
      </c>
      <c r="AB56" s="1113">
        <f t="shared" si="20"/>
        <v>1</v>
      </c>
      <c r="AC56" s="1112"/>
      <c r="AD56" s="1112"/>
      <c r="AE56" s="1112"/>
      <c r="AF56" s="1113"/>
      <c r="AG56" s="1773">
        <v>1</v>
      </c>
      <c r="AH56" s="1773"/>
      <c r="AI56" s="1775">
        <v>2</v>
      </c>
      <c r="AJ56" s="1113">
        <f t="shared" si="21"/>
        <v>3</v>
      </c>
      <c r="AK56" s="1775">
        <v>12</v>
      </c>
      <c r="AL56" s="1773">
        <v>8</v>
      </c>
      <c r="AM56" s="1775">
        <v>16</v>
      </c>
      <c r="AN56" s="1113">
        <f t="shared" si="25"/>
        <v>36</v>
      </c>
      <c r="AO56" s="1775">
        <v>9</v>
      </c>
      <c r="AP56" s="1773">
        <v>8</v>
      </c>
      <c r="AQ56" s="1775">
        <v>15</v>
      </c>
      <c r="AR56" s="1113">
        <f t="shared" si="26"/>
        <v>32</v>
      </c>
      <c r="AS56" s="1775"/>
      <c r="AT56" s="1773">
        <v>5</v>
      </c>
      <c r="AU56" s="1775">
        <v>1</v>
      </c>
      <c r="AV56" s="1113">
        <f>SUM(AS56:AU56)</f>
        <v>6</v>
      </c>
      <c r="AW56" s="1775"/>
      <c r="AX56" s="1773">
        <v>1</v>
      </c>
      <c r="AY56" s="1775"/>
      <c r="AZ56" s="1113">
        <f t="shared" si="23"/>
        <v>1</v>
      </c>
      <c r="BA56" s="1775">
        <v>4</v>
      </c>
      <c r="BB56" s="1773">
        <v>1</v>
      </c>
      <c r="BC56" s="1775">
        <v>2</v>
      </c>
      <c r="BD56" s="1113">
        <f t="shared" si="24"/>
        <v>7</v>
      </c>
    </row>
    <row r="57" spans="1:56" s="212" customFormat="1" ht="15" x14ac:dyDescent="0.2">
      <c r="A57" s="5462"/>
      <c r="B57" s="5462"/>
      <c r="C57" s="5456"/>
      <c r="D57" s="1117" t="s">
        <v>374</v>
      </c>
      <c r="E57" s="1768"/>
      <c r="F57" s="1767"/>
      <c r="G57" s="1767"/>
      <c r="H57" s="1113"/>
      <c r="I57" s="1112"/>
      <c r="J57" s="1112"/>
      <c r="K57" s="1112"/>
      <c r="L57" s="1113"/>
      <c r="M57" s="1112"/>
      <c r="N57" s="1112"/>
      <c r="O57" s="1112">
        <v>28</v>
      </c>
      <c r="P57" s="1113">
        <f>SUM(M57:O57)</f>
        <v>28</v>
      </c>
      <c r="Q57" s="1112"/>
      <c r="R57" s="1112"/>
      <c r="S57" s="1112">
        <v>22</v>
      </c>
      <c r="T57" s="1113">
        <f>SUM(Q57:S57)</f>
        <v>22</v>
      </c>
      <c r="U57" s="1112"/>
      <c r="V57" s="1112"/>
      <c r="W57" s="1112">
        <v>17</v>
      </c>
      <c r="X57" s="1113">
        <f>SUM(U57:W57)</f>
        <v>17</v>
      </c>
      <c r="Y57" s="1112"/>
      <c r="Z57" s="1112"/>
      <c r="AA57" s="1112">
        <v>28</v>
      </c>
      <c r="AB57" s="1113">
        <f t="shared" si="20"/>
        <v>28</v>
      </c>
      <c r="AC57" s="1112"/>
      <c r="AD57" s="1112"/>
      <c r="AE57" s="1112">
        <v>36</v>
      </c>
      <c r="AF57" s="1113">
        <f>SUM(AC57:AE57)</f>
        <v>36</v>
      </c>
      <c r="AG57" s="1112"/>
      <c r="AH57" s="1112"/>
      <c r="AI57" s="1112">
        <v>37</v>
      </c>
      <c r="AJ57" s="1113">
        <f t="shared" si="21"/>
        <v>37</v>
      </c>
      <c r="AK57" s="1112">
        <v>2</v>
      </c>
      <c r="AL57" s="1112">
        <v>1</v>
      </c>
      <c r="AM57" s="1112">
        <v>40</v>
      </c>
      <c r="AN57" s="1113">
        <f t="shared" si="25"/>
        <v>43</v>
      </c>
      <c r="AO57" s="1112">
        <v>6</v>
      </c>
      <c r="AP57" s="1112">
        <v>2</v>
      </c>
      <c r="AQ57" s="1112">
        <v>35</v>
      </c>
      <c r="AR57" s="1113">
        <f t="shared" si="26"/>
        <v>43</v>
      </c>
      <c r="AS57" s="1112"/>
      <c r="AT57" s="1112"/>
      <c r="AU57" s="1112"/>
      <c r="AV57" s="1113"/>
      <c r="AW57" s="1112">
        <v>2</v>
      </c>
      <c r="AX57" s="1112">
        <v>3</v>
      </c>
      <c r="AY57" s="1112">
        <v>3</v>
      </c>
      <c r="AZ57" s="1113">
        <f t="shared" si="23"/>
        <v>8</v>
      </c>
      <c r="BA57" s="1112">
        <v>2</v>
      </c>
      <c r="BB57" s="1112">
        <v>3</v>
      </c>
      <c r="BC57" s="1112">
        <v>1</v>
      </c>
      <c r="BD57" s="1113">
        <f t="shared" si="24"/>
        <v>6</v>
      </c>
    </row>
    <row r="58" spans="1:56" s="212" customFormat="1" ht="15" x14ac:dyDescent="0.2">
      <c r="A58" s="5462"/>
      <c r="B58" s="5462"/>
      <c r="C58" s="5456"/>
      <c r="D58" s="1117" t="s">
        <v>666</v>
      </c>
      <c r="E58" s="1769"/>
      <c r="F58" s="1770"/>
      <c r="G58" s="1770"/>
      <c r="H58" s="1120"/>
      <c r="I58" s="1119"/>
      <c r="J58" s="1119"/>
      <c r="K58" s="1119"/>
      <c r="L58" s="1120"/>
      <c r="M58" s="1119"/>
      <c r="N58" s="1119"/>
      <c r="O58" s="1119"/>
      <c r="P58" s="1120"/>
      <c r="Q58" s="1119"/>
      <c r="R58" s="1119"/>
      <c r="S58" s="1119"/>
      <c r="T58" s="1120"/>
      <c r="U58" s="1119"/>
      <c r="V58" s="1119"/>
      <c r="W58" s="1119"/>
      <c r="X58" s="1120"/>
      <c r="Y58" s="1119"/>
      <c r="Z58" s="1119"/>
      <c r="AA58" s="1119"/>
      <c r="AB58" s="1120"/>
      <c r="AC58" s="1119"/>
      <c r="AD58" s="1119"/>
      <c r="AE58" s="1119"/>
      <c r="AF58" s="1120"/>
      <c r="AG58" s="1119"/>
      <c r="AH58" s="1119"/>
      <c r="AI58" s="1119"/>
      <c r="AJ58" s="1120"/>
      <c r="AK58" s="1119"/>
      <c r="AL58" s="1119"/>
      <c r="AM58" s="1119"/>
      <c r="AN58" s="1120"/>
      <c r="AO58" s="1119"/>
      <c r="AP58" s="1119"/>
      <c r="AQ58" s="1119"/>
      <c r="AR58" s="1120"/>
      <c r="AS58" s="1119"/>
      <c r="AT58" s="1119"/>
      <c r="AU58" s="1119"/>
      <c r="AV58" s="1113"/>
      <c r="AW58" s="1119">
        <v>3</v>
      </c>
      <c r="AX58" s="1119"/>
      <c r="AY58" s="1119"/>
      <c r="AZ58" s="1113">
        <f t="shared" si="23"/>
        <v>3</v>
      </c>
      <c r="BA58" s="1119">
        <v>5</v>
      </c>
      <c r="BB58" s="1119"/>
      <c r="BC58" s="1119"/>
      <c r="BD58" s="1113">
        <f t="shared" si="24"/>
        <v>5</v>
      </c>
    </row>
    <row r="59" spans="1:56" s="212" customFormat="1" ht="15" x14ac:dyDescent="0.25">
      <c r="A59" s="5462"/>
      <c r="B59" s="5462"/>
      <c r="C59" s="5456"/>
      <c r="D59" s="1118" t="s">
        <v>407</v>
      </c>
      <c r="E59" s="1769"/>
      <c r="F59" s="1770"/>
      <c r="G59" s="1770"/>
      <c r="H59" s="1120"/>
      <c r="I59" s="1119"/>
      <c r="J59" s="1119"/>
      <c r="K59" s="1119"/>
      <c r="L59" s="1120"/>
      <c r="M59" s="1119"/>
      <c r="N59" s="1119"/>
      <c r="O59" s="1119"/>
      <c r="P59" s="1120"/>
      <c r="Q59" s="1119"/>
      <c r="R59" s="1119"/>
      <c r="S59" s="1119"/>
      <c r="T59" s="1120"/>
      <c r="U59" s="1119"/>
      <c r="V59" s="1119"/>
      <c r="W59" s="1119"/>
      <c r="X59" s="1120"/>
      <c r="Y59" s="1119"/>
      <c r="Z59" s="1119"/>
      <c r="AA59" s="1119"/>
      <c r="AB59" s="1120"/>
      <c r="AC59" s="1119"/>
      <c r="AD59" s="1119"/>
      <c r="AE59" s="1119"/>
      <c r="AF59" s="1120"/>
      <c r="AG59" s="1119"/>
      <c r="AH59" s="1119"/>
      <c r="AI59" s="1776">
        <v>1</v>
      </c>
      <c r="AJ59" s="1120">
        <f t="shared" si="21"/>
        <v>1</v>
      </c>
      <c r="AK59" s="1119"/>
      <c r="AL59" s="1119"/>
      <c r="AM59" s="1776"/>
      <c r="AN59" s="1120"/>
      <c r="AO59" s="1119"/>
      <c r="AP59" s="1119"/>
      <c r="AQ59" s="1776"/>
      <c r="AR59" s="1120">
        <f t="shared" si="26"/>
        <v>0</v>
      </c>
      <c r="AS59" s="1119"/>
      <c r="AT59" s="1119"/>
      <c r="AU59" s="1776"/>
      <c r="AV59" s="1120"/>
      <c r="AW59" s="1119"/>
      <c r="AX59" s="1119"/>
      <c r="AY59" s="1776"/>
      <c r="AZ59" s="1113">
        <f t="shared" si="23"/>
        <v>0</v>
      </c>
      <c r="BA59" s="1119"/>
      <c r="BB59" s="1119"/>
      <c r="BC59" s="1776"/>
      <c r="BD59" s="1113">
        <f t="shared" si="24"/>
        <v>0</v>
      </c>
    </row>
    <row r="60" spans="1:56" s="212" customFormat="1" ht="15" x14ac:dyDescent="0.2">
      <c r="A60" s="5462"/>
      <c r="B60" s="5464"/>
      <c r="C60" s="1105"/>
      <c r="D60" s="1106" t="s">
        <v>160</v>
      </c>
      <c r="E60" s="1762">
        <f>SUM(E45:E59)</f>
        <v>22</v>
      </c>
      <c r="F60" s="1763">
        <f>SUM(F45:F59)</f>
        <v>30</v>
      </c>
      <c r="G60" s="1763">
        <f t="shared" ref="G60:AR60" si="27">SUM(G45:G59)</f>
        <v>68</v>
      </c>
      <c r="H60" s="1764">
        <f t="shared" si="27"/>
        <v>120</v>
      </c>
      <c r="I60" s="1762">
        <f t="shared" si="27"/>
        <v>41</v>
      </c>
      <c r="J60" s="1763">
        <f t="shared" si="27"/>
        <v>32</v>
      </c>
      <c r="K60" s="1763">
        <f t="shared" si="27"/>
        <v>79</v>
      </c>
      <c r="L60" s="1765">
        <f t="shared" si="27"/>
        <v>152</v>
      </c>
      <c r="M60" s="1762">
        <f t="shared" si="27"/>
        <v>53</v>
      </c>
      <c r="N60" s="1763">
        <f t="shared" si="27"/>
        <v>39</v>
      </c>
      <c r="O60" s="1763">
        <f t="shared" si="27"/>
        <v>98</v>
      </c>
      <c r="P60" s="1765">
        <f t="shared" si="27"/>
        <v>190</v>
      </c>
      <c r="Q60" s="1762">
        <f t="shared" si="27"/>
        <v>25</v>
      </c>
      <c r="R60" s="1763">
        <f t="shared" si="27"/>
        <v>37</v>
      </c>
      <c r="S60" s="1763">
        <f t="shared" si="27"/>
        <v>111</v>
      </c>
      <c r="T60" s="1765">
        <f t="shared" si="27"/>
        <v>173</v>
      </c>
      <c r="U60" s="1762">
        <f t="shared" si="27"/>
        <v>30</v>
      </c>
      <c r="V60" s="1763">
        <f t="shared" si="27"/>
        <v>20</v>
      </c>
      <c r="W60" s="1763">
        <f t="shared" si="27"/>
        <v>80</v>
      </c>
      <c r="X60" s="1765">
        <f t="shared" si="27"/>
        <v>130</v>
      </c>
      <c r="Y60" s="1762">
        <f t="shared" si="27"/>
        <v>33</v>
      </c>
      <c r="Z60" s="1763">
        <f t="shared" si="27"/>
        <v>19</v>
      </c>
      <c r="AA60" s="1763">
        <f t="shared" si="27"/>
        <v>107</v>
      </c>
      <c r="AB60" s="1765">
        <f t="shared" si="27"/>
        <v>159</v>
      </c>
      <c r="AC60" s="1762">
        <f t="shared" si="27"/>
        <v>15</v>
      </c>
      <c r="AD60" s="1763">
        <f t="shared" si="27"/>
        <v>15</v>
      </c>
      <c r="AE60" s="1763">
        <f t="shared" si="27"/>
        <v>141</v>
      </c>
      <c r="AF60" s="1765">
        <f t="shared" si="27"/>
        <v>171</v>
      </c>
      <c r="AG60" s="1762">
        <f t="shared" si="27"/>
        <v>42</v>
      </c>
      <c r="AH60" s="1763">
        <f t="shared" si="27"/>
        <v>16</v>
      </c>
      <c r="AI60" s="1763">
        <f t="shared" si="27"/>
        <v>116</v>
      </c>
      <c r="AJ60" s="1765">
        <f t="shared" si="27"/>
        <v>174</v>
      </c>
      <c r="AK60" s="1762">
        <f t="shared" si="27"/>
        <v>38</v>
      </c>
      <c r="AL60" s="1763">
        <f t="shared" si="27"/>
        <v>25</v>
      </c>
      <c r="AM60" s="1763">
        <f t="shared" si="27"/>
        <v>144</v>
      </c>
      <c r="AN60" s="1765">
        <f t="shared" si="27"/>
        <v>207</v>
      </c>
      <c r="AO60" s="1762">
        <f t="shared" si="27"/>
        <v>50</v>
      </c>
      <c r="AP60" s="1763">
        <f t="shared" si="27"/>
        <v>14</v>
      </c>
      <c r="AQ60" s="1763">
        <f t="shared" si="27"/>
        <v>164</v>
      </c>
      <c r="AR60" s="1765">
        <f t="shared" si="27"/>
        <v>228</v>
      </c>
      <c r="AS60" s="1762">
        <f t="shared" ref="AS60:AZ60" si="28">SUM(AS45:AS59)</f>
        <v>78</v>
      </c>
      <c r="AT60" s="1763">
        <f t="shared" si="28"/>
        <v>22</v>
      </c>
      <c r="AU60" s="1763">
        <f t="shared" si="28"/>
        <v>147</v>
      </c>
      <c r="AV60" s="1765">
        <f t="shared" si="28"/>
        <v>247</v>
      </c>
      <c r="AW60" s="1762">
        <f t="shared" si="28"/>
        <v>68</v>
      </c>
      <c r="AX60" s="1763">
        <f t="shared" si="28"/>
        <v>21</v>
      </c>
      <c r="AY60" s="1763">
        <f t="shared" si="28"/>
        <v>138</v>
      </c>
      <c r="AZ60" s="1765">
        <f t="shared" si="28"/>
        <v>227</v>
      </c>
      <c r="BA60" s="1762">
        <f>SUM(BA45:BA59)</f>
        <v>79</v>
      </c>
      <c r="BB60" s="1763">
        <f>SUM(BB45:BB59)</f>
        <v>42</v>
      </c>
      <c r="BC60" s="1763">
        <f>SUM(BC45:BC59)</f>
        <v>136</v>
      </c>
      <c r="BD60" s="1765">
        <f t="shared" ref="BD60" si="29">SUM(BD45:BD59)</f>
        <v>257</v>
      </c>
    </row>
    <row r="61" spans="1:56" s="212" customFormat="1" ht="15" x14ac:dyDescent="0.25">
      <c r="A61" s="5462"/>
      <c r="B61" s="5461" t="s">
        <v>6</v>
      </c>
      <c r="C61" s="1101" t="s">
        <v>528</v>
      </c>
      <c r="D61" s="1116" t="s">
        <v>78</v>
      </c>
      <c r="E61" s="1771"/>
      <c r="F61" s="1772"/>
      <c r="G61" s="1772">
        <v>186</v>
      </c>
      <c r="H61" s="1110">
        <f>SUM(E61:G61)</f>
        <v>186</v>
      </c>
      <c r="I61" s="1109"/>
      <c r="J61" s="1109"/>
      <c r="K61" s="1109">
        <v>206</v>
      </c>
      <c r="L61" s="1110">
        <f>SUM(I61:K61)</f>
        <v>206</v>
      </c>
      <c r="M61" s="1109"/>
      <c r="N61" s="1109"/>
      <c r="O61" s="1109">
        <v>59</v>
      </c>
      <c r="P61" s="1110">
        <f>SUM(M61:O61)</f>
        <v>59</v>
      </c>
      <c r="Q61" s="1109">
        <v>155</v>
      </c>
      <c r="R61" s="1109"/>
      <c r="S61" s="1109">
        <v>22</v>
      </c>
      <c r="T61" s="1110">
        <f>SUM(Q61:S61)</f>
        <v>177</v>
      </c>
      <c r="U61" s="1109">
        <v>132</v>
      </c>
      <c r="V61" s="1109"/>
      <c r="W61" s="1109">
        <v>102</v>
      </c>
      <c r="X61" s="1110">
        <f>SUM(U61:W61)</f>
        <v>234</v>
      </c>
      <c r="Y61" s="1109">
        <v>103</v>
      </c>
      <c r="Z61" s="1109"/>
      <c r="AA61" s="1109"/>
      <c r="AB61" s="1110">
        <f>SUM(Y61:AA61)</f>
        <v>103</v>
      </c>
      <c r="AC61" s="1109"/>
      <c r="AD61" s="1109">
        <v>208</v>
      </c>
      <c r="AE61" s="1109">
        <v>134</v>
      </c>
      <c r="AF61" s="1110">
        <f>SUM(AC61:AE61)</f>
        <v>342</v>
      </c>
      <c r="AG61" s="1109"/>
      <c r="AH61" s="1109"/>
      <c r="AI61" s="1777">
        <v>115</v>
      </c>
      <c r="AJ61" s="1110">
        <f>SUM(AG61:AI61)</f>
        <v>115</v>
      </c>
      <c r="AK61" s="1109"/>
      <c r="AL61" s="1109"/>
      <c r="AM61" s="1777">
        <v>69</v>
      </c>
      <c r="AN61" s="1110">
        <f>SUM(AK61:AM61)</f>
        <v>69</v>
      </c>
      <c r="AO61" s="1109"/>
      <c r="AP61" s="1109"/>
      <c r="AQ61" s="1777">
        <v>111</v>
      </c>
      <c r="AR61" s="1110">
        <f t="shared" si="26"/>
        <v>111</v>
      </c>
      <c r="AS61" s="1109"/>
      <c r="AT61" s="1109"/>
      <c r="AU61" s="1777"/>
      <c r="AV61" s="1110"/>
      <c r="AW61" s="1109"/>
      <c r="AX61" s="1109"/>
      <c r="AY61" s="1777">
        <v>115</v>
      </c>
      <c r="AZ61" s="1113">
        <f t="shared" ref="AZ61:AZ66" si="30">SUM(AW61:AY61)</f>
        <v>115</v>
      </c>
      <c r="BA61" s="1109">
        <v>53</v>
      </c>
      <c r="BB61" s="1109">
        <v>1</v>
      </c>
      <c r="BC61" s="1777">
        <v>38</v>
      </c>
      <c r="BD61" s="1113">
        <f t="shared" ref="BD61:BD66" si="31">SUM(BA61:BC61)</f>
        <v>92</v>
      </c>
    </row>
    <row r="62" spans="1:56" s="212" customFormat="1" ht="15" x14ac:dyDescent="0.2">
      <c r="A62" s="5462"/>
      <c r="B62" s="5462"/>
      <c r="C62" s="5455" t="s">
        <v>527</v>
      </c>
      <c r="D62" s="1117" t="s">
        <v>80</v>
      </c>
      <c r="E62" s="1768"/>
      <c r="F62" s="1767"/>
      <c r="G62" s="1767"/>
      <c r="H62" s="1113"/>
      <c r="I62" s="1112"/>
      <c r="J62" s="1112"/>
      <c r="K62" s="1112"/>
      <c r="L62" s="1113"/>
      <c r="M62" s="1112"/>
      <c r="N62" s="1112"/>
      <c r="O62" s="1112"/>
      <c r="P62" s="1113"/>
      <c r="Q62" s="1112"/>
      <c r="R62" s="1112"/>
      <c r="S62" s="1112"/>
      <c r="T62" s="1113"/>
      <c r="U62" s="1112"/>
      <c r="V62" s="1112"/>
      <c r="W62" s="1112"/>
      <c r="X62" s="1113"/>
      <c r="Y62" s="1112"/>
      <c r="Z62" s="1112"/>
      <c r="AA62" s="1112"/>
      <c r="AB62" s="1113"/>
      <c r="AC62" s="1112"/>
      <c r="AD62" s="1112"/>
      <c r="AE62" s="1112"/>
      <c r="AF62" s="1113"/>
      <c r="AG62" s="1112"/>
      <c r="AH62" s="1112"/>
      <c r="AI62" s="1112">
        <v>6</v>
      </c>
      <c r="AJ62" s="1113">
        <f>SUM(AG62:AI62)</f>
        <v>6</v>
      </c>
      <c r="AK62" s="1112"/>
      <c r="AL62" s="1112"/>
      <c r="AM62" s="1112"/>
      <c r="AN62" s="1113"/>
      <c r="AO62" s="1112"/>
      <c r="AP62" s="1112"/>
      <c r="AQ62" s="1112"/>
      <c r="AR62" s="1113"/>
      <c r="AS62" s="1112"/>
      <c r="AT62" s="1112"/>
      <c r="AU62" s="1112"/>
      <c r="AV62" s="1113"/>
      <c r="AW62" s="1112"/>
      <c r="AX62" s="1112"/>
      <c r="AY62" s="1112"/>
      <c r="AZ62" s="1113">
        <f t="shared" si="30"/>
        <v>0</v>
      </c>
      <c r="BA62" s="1112"/>
      <c r="BB62" s="1112"/>
      <c r="BC62" s="1112">
        <v>15</v>
      </c>
      <c r="BD62" s="1113">
        <f t="shared" si="31"/>
        <v>15</v>
      </c>
    </row>
    <row r="63" spans="1:56" s="212" customFormat="1" ht="15" x14ac:dyDescent="0.2">
      <c r="A63" s="5462"/>
      <c r="B63" s="5462"/>
      <c r="C63" s="5456"/>
      <c r="D63" s="1117" t="s">
        <v>81</v>
      </c>
      <c r="E63" s="1768"/>
      <c r="F63" s="1767"/>
      <c r="G63" s="1767">
        <v>81</v>
      </c>
      <c r="H63" s="1113">
        <f>SUM(E63:G63)</f>
        <v>81</v>
      </c>
      <c r="I63" s="1112"/>
      <c r="J63" s="1112">
        <v>33</v>
      </c>
      <c r="K63" s="1112">
        <v>20</v>
      </c>
      <c r="L63" s="1113">
        <f>SUM(I63:K63)</f>
        <v>53</v>
      </c>
      <c r="M63" s="1112"/>
      <c r="N63" s="1112"/>
      <c r="O63" s="1112">
        <v>49</v>
      </c>
      <c r="P63" s="1113">
        <f>SUM(M63:O63)</f>
        <v>49</v>
      </c>
      <c r="Q63" s="1112"/>
      <c r="R63" s="1112"/>
      <c r="S63" s="1112">
        <v>40</v>
      </c>
      <c r="T63" s="1113">
        <f>SUM(Q63:S63)</f>
        <v>40</v>
      </c>
      <c r="U63" s="1112"/>
      <c r="V63" s="1112"/>
      <c r="W63" s="1112">
        <v>93</v>
      </c>
      <c r="X63" s="1113">
        <f>SUM(U63:W63)</f>
        <v>93</v>
      </c>
      <c r="Y63" s="1112"/>
      <c r="Z63" s="1112"/>
      <c r="AA63" s="1112">
        <v>33</v>
      </c>
      <c r="AB63" s="1113">
        <f>SUM(Y63:AA63)</f>
        <v>33</v>
      </c>
      <c r="AC63" s="1112"/>
      <c r="AD63" s="1112"/>
      <c r="AE63" s="1112"/>
      <c r="AF63" s="1113"/>
      <c r="AG63" s="1112"/>
      <c r="AH63" s="1112"/>
      <c r="AI63" s="1112"/>
      <c r="AJ63" s="1113"/>
      <c r="AK63" s="1112"/>
      <c r="AL63" s="1112"/>
      <c r="AM63" s="1112">
        <v>75</v>
      </c>
      <c r="AN63" s="1113">
        <f>SUM(AK63:AM63)</f>
        <v>75</v>
      </c>
      <c r="AO63" s="1112"/>
      <c r="AP63" s="1112"/>
      <c r="AQ63" s="1112"/>
      <c r="AR63" s="1113"/>
      <c r="AS63" s="1112"/>
      <c r="AT63" s="1112"/>
      <c r="AU63" s="1112"/>
      <c r="AV63" s="1113"/>
      <c r="AW63" s="1112"/>
      <c r="AX63" s="1112">
        <v>44</v>
      </c>
      <c r="AY63" s="1112"/>
      <c r="AZ63" s="1113">
        <f t="shared" si="30"/>
        <v>44</v>
      </c>
      <c r="BA63" s="1112"/>
      <c r="BB63" s="1112"/>
      <c r="BC63" s="1112">
        <v>71</v>
      </c>
      <c r="BD63" s="1113">
        <f t="shared" si="31"/>
        <v>71</v>
      </c>
    </row>
    <row r="64" spans="1:56" s="212" customFormat="1" ht="15" x14ac:dyDescent="0.25">
      <c r="A64" s="5462"/>
      <c r="B64" s="5462"/>
      <c r="C64" s="5456"/>
      <c r="D64" s="1117" t="s">
        <v>79</v>
      </c>
      <c r="E64" s="1768"/>
      <c r="F64" s="1767"/>
      <c r="G64" s="1767">
        <v>17</v>
      </c>
      <c r="H64" s="1113">
        <f>SUM(E64:G64)</f>
        <v>17</v>
      </c>
      <c r="I64" s="1112"/>
      <c r="J64" s="1112"/>
      <c r="K64" s="1112"/>
      <c r="L64" s="1113"/>
      <c r="M64" s="1112">
        <v>132</v>
      </c>
      <c r="N64" s="1112"/>
      <c r="O64" s="1112"/>
      <c r="P64" s="1113">
        <f>SUM(M64:O64)</f>
        <v>132</v>
      </c>
      <c r="Q64" s="1112">
        <v>35</v>
      </c>
      <c r="R64" s="1112"/>
      <c r="S64" s="1112"/>
      <c r="T64" s="1113">
        <f>SUM(Q64:S64)</f>
        <v>35</v>
      </c>
      <c r="U64" s="1112">
        <v>147</v>
      </c>
      <c r="V64" s="1112"/>
      <c r="W64" s="1112"/>
      <c r="X64" s="1113">
        <f>SUM(U64:W64)</f>
        <v>147</v>
      </c>
      <c r="Y64" s="1112"/>
      <c r="Z64" s="1112"/>
      <c r="AA64" s="1112">
        <v>234</v>
      </c>
      <c r="AB64" s="1113">
        <f>SUM(Y64:AA64)</f>
        <v>234</v>
      </c>
      <c r="AC64" s="1112"/>
      <c r="AD64" s="1112"/>
      <c r="AE64" s="1112">
        <v>86</v>
      </c>
      <c r="AF64" s="1113">
        <f>SUM(AC64:AE64)</f>
        <v>86</v>
      </c>
      <c r="AG64" s="1112"/>
      <c r="AH64" s="1112"/>
      <c r="AI64" s="1773">
        <v>140</v>
      </c>
      <c r="AJ64" s="1113">
        <f>SUM(AG64:AI64)</f>
        <v>140</v>
      </c>
      <c r="AK64" s="1112"/>
      <c r="AL64" s="1112"/>
      <c r="AM64" s="1773">
        <v>8</v>
      </c>
      <c r="AN64" s="1113">
        <f>SUM(AK64:AM64)</f>
        <v>8</v>
      </c>
      <c r="AO64" s="1112"/>
      <c r="AP64" s="1112"/>
      <c r="AQ64" s="1773">
        <v>165</v>
      </c>
      <c r="AR64" s="1113">
        <f>SUM(AO64:AQ64)</f>
        <v>165</v>
      </c>
      <c r="AS64" s="1112"/>
      <c r="AT64" s="1112"/>
      <c r="AU64" s="1773"/>
      <c r="AV64" s="1113"/>
      <c r="AW64" s="1112"/>
      <c r="AX64" s="1112"/>
      <c r="AY64" s="1773">
        <v>200</v>
      </c>
      <c r="AZ64" s="1113">
        <f t="shared" si="30"/>
        <v>200</v>
      </c>
      <c r="BA64" s="1112"/>
      <c r="BB64" s="1112"/>
      <c r="BC64" s="1773"/>
      <c r="BD64" s="1113">
        <f t="shared" si="31"/>
        <v>0</v>
      </c>
    </row>
    <row r="65" spans="1:56" s="212" customFormat="1" ht="15" x14ac:dyDescent="0.25">
      <c r="A65" s="5462"/>
      <c r="B65" s="5462"/>
      <c r="C65" s="5456"/>
      <c r="D65" s="1117" t="s">
        <v>82</v>
      </c>
      <c r="E65" s="1768"/>
      <c r="F65" s="1767"/>
      <c r="G65" s="1767">
        <v>36</v>
      </c>
      <c r="H65" s="1113">
        <f>SUM(E65:G65)</f>
        <v>36</v>
      </c>
      <c r="I65" s="1112"/>
      <c r="J65" s="1112"/>
      <c r="K65" s="1112">
        <v>143</v>
      </c>
      <c r="L65" s="1113">
        <f>SUM(I65:K65)</f>
        <v>143</v>
      </c>
      <c r="M65" s="1112">
        <v>4</v>
      </c>
      <c r="N65" s="1112"/>
      <c r="O65" s="1112">
        <v>16</v>
      </c>
      <c r="P65" s="1113">
        <f>SUM(M65:O65)</f>
        <v>20</v>
      </c>
      <c r="Q65" s="1112"/>
      <c r="R65" s="1112"/>
      <c r="S65" s="1112">
        <v>183</v>
      </c>
      <c r="T65" s="1113">
        <f>SUM(Q65:S65)</f>
        <v>183</v>
      </c>
      <c r="U65" s="1112"/>
      <c r="V65" s="1112"/>
      <c r="W65" s="1112">
        <v>39</v>
      </c>
      <c r="X65" s="1113">
        <f>SUM(U65:W65)</f>
        <v>39</v>
      </c>
      <c r="Y65" s="1112"/>
      <c r="Z65" s="1112"/>
      <c r="AA65" s="1112">
        <v>109</v>
      </c>
      <c r="AB65" s="1113">
        <f>SUM(Y65:AA65)</f>
        <v>109</v>
      </c>
      <c r="AC65" s="1112"/>
      <c r="AD65" s="1112"/>
      <c r="AE65" s="1112"/>
      <c r="AF65" s="1113"/>
      <c r="AG65" s="1112"/>
      <c r="AH65" s="1112"/>
      <c r="AI65" s="1773">
        <v>160</v>
      </c>
      <c r="AJ65" s="1113">
        <f>SUM(AG65:AI65)</f>
        <v>160</v>
      </c>
      <c r="AK65" s="1112"/>
      <c r="AL65" s="1112"/>
      <c r="AM65" s="1773"/>
      <c r="AN65" s="1113"/>
      <c r="AO65" s="1112"/>
      <c r="AP65" s="1112"/>
      <c r="AQ65" s="1773">
        <v>157</v>
      </c>
      <c r="AR65" s="1113">
        <f>SUM(AO65:AQ65)</f>
        <v>157</v>
      </c>
      <c r="AS65" s="1112"/>
      <c r="AT65" s="1112"/>
      <c r="AU65" s="1773"/>
      <c r="AV65" s="1113"/>
      <c r="AW65" s="1112"/>
      <c r="AX65" s="1112"/>
      <c r="AY65" s="1773">
        <v>139</v>
      </c>
      <c r="AZ65" s="1113">
        <f t="shared" si="30"/>
        <v>139</v>
      </c>
      <c r="BA65" s="1112"/>
      <c r="BB65" s="1112"/>
      <c r="BC65" s="1773"/>
      <c r="BD65" s="1113">
        <f t="shared" si="31"/>
        <v>0</v>
      </c>
    </row>
    <row r="66" spans="1:56" s="212" customFormat="1" ht="15" x14ac:dyDescent="0.2">
      <c r="A66" s="5462"/>
      <c r="B66" s="5462"/>
      <c r="C66" s="5465"/>
      <c r="D66" s="1121" t="s">
        <v>139</v>
      </c>
      <c r="E66" s="1768">
        <v>4</v>
      </c>
      <c r="F66" s="1767"/>
      <c r="G66" s="1767"/>
      <c r="H66" s="1113">
        <f>SUM(E66:G66)</f>
        <v>4</v>
      </c>
      <c r="I66" s="1112">
        <v>29</v>
      </c>
      <c r="J66" s="1112"/>
      <c r="K66" s="1112"/>
      <c r="L66" s="1113">
        <f>SUM(I66:K66)</f>
        <v>29</v>
      </c>
      <c r="M66" s="1112">
        <v>24</v>
      </c>
      <c r="N66" s="1112"/>
      <c r="O66" s="1112"/>
      <c r="P66" s="1113">
        <f>SUM(M66:O66)</f>
        <v>24</v>
      </c>
      <c r="Q66" s="1112">
        <v>21</v>
      </c>
      <c r="R66" s="1112"/>
      <c r="S66" s="1112"/>
      <c r="T66" s="1113">
        <f>SUM(Q66:S66)</f>
        <v>21</v>
      </c>
      <c r="U66" s="1112"/>
      <c r="V66" s="1112"/>
      <c r="W66" s="1112"/>
      <c r="X66" s="1113"/>
      <c r="Y66" s="1112"/>
      <c r="Z66" s="1112"/>
      <c r="AA66" s="1112"/>
      <c r="AB66" s="1113"/>
      <c r="AC66" s="1112"/>
      <c r="AD66" s="1112"/>
      <c r="AE66" s="1112"/>
      <c r="AF66" s="1113"/>
      <c r="AG66" s="1112"/>
      <c r="AH66" s="1112"/>
      <c r="AI66" s="1112"/>
      <c r="AJ66" s="1113"/>
      <c r="AK66" s="1112"/>
      <c r="AL66" s="1112"/>
      <c r="AM66" s="1112"/>
      <c r="AN66" s="1113"/>
      <c r="AO66" s="1112"/>
      <c r="AP66" s="1112"/>
      <c r="AQ66" s="1112"/>
      <c r="AR66" s="1113"/>
      <c r="AS66" s="1112"/>
      <c r="AT66" s="1112"/>
      <c r="AU66" s="1112"/>
      <c r="AV66" s="1113"/>
      <c r="AW66" s="1112">
        <v>13</v>
      </c>
      <c r="AX66" s="1112"/>
      <c r="AY66" s="1112"/>
      <c r="AZ66" s="1113">
        <f t="shared" si="30"/>
        <v>13</v>
      </c>
      <c r="BA66" s="1112">
        <v>10</v>
      </c>
      <c r="BB66" s="1112"/>
      <c r="BC66" s="1112"/>
      <c r="BD66" s="1113">
        <f t="shared" si="31"/>
        <v>10</v>
      </c>
    </row>
    <row r="67" spans="1:56" s="212" customFormat="1" ht="15" x14ac:dyDescent="0.25">
      <c r="A67" s="5462"/>
      <c r="B67" s="5462"/>
      <c r="C67" s="5455" t="s">
        <v>526</v>
      </c>
      <c r="D67" s="1117" t="s">
        <v>84</v>
      </c>
      <c r="E67" s="1768"/>
      <c r="F67" s="1767"/>
      <c r="G67" s="1767"/>
      <c r="H67" s="1113"/>
      <c r="I67" s="1112"/>
      <c r="J67" s="1112"/>
      <c r="K67" s="1112"/>
      <c r="L67" s="1113"/>
      <c r="M67" s="1112"/>
      <c r="N67" s="1112"/>
      <c r="O67" s="1112"/>
      <c r="P67" s="1113"/>
      <c r="Q67" s="1112"/>
      <c r="R67" s="1112"/>
      <c r="S67" s="1112"/>
      <c r="T67" s="1113"/>
      <c r="U67" s="1112"/>
      <c r="V67" s="1112"/>
      <c r="W67" s="1112"/>
      <c r="X67" s="1113"/>
      <c r="Y67" s="1112"/>
      <c r="Z67" s="1112"/>
      <c r="AA67" s="1112">
        <v>19</v>
      </c>
      <c r="AB67" s="1113">
        <f>SUM(Y67:AA67)</f>
        <v>19</v>
      </c>
      <c r="AC67" s="1112"/>
      <c r="AD67" s="1112"/>
      <c r="AE67" s="1112"/>
      <c r="AF67" s="1113"/>
      <c r="AG67" s="1112"/>
      <c r="AH67" s="1112"/>
      <c r="AI67" s="1773">
        <v>45</v>
      </c>
      <c r="AJ67" s="1113">
        <f>SUM(AG67:AI67)</f>
        <v>45</v>
      </c>
      <c r="AK67" s="1112"/>
      <c r="AL67" s="1112"/>
      <c r="AM67" s="1773"/>
      <c r="AN67" s="1113"/>
      <c r="AO67" s="1112"/>
      <c r="AP67" s="1112"/>
      <c r="AQ67" s="1773">
        <v>49</v>
      </c>
      <c r="AR67" s="1113">
        <f t="shared" si="26"/>
        <v>49</v>
      </c>
      <c r="AS67" s="1112"/>
      <c r="AT67" s="1112"/>
      <c r="AU67" s="1773">
        <v>58</v>
      </c>
      <c r="AV67" s="1113">
        <f>SUM(AS67:AU67)</f>
        <v>58</v>
      </c>
      <c r="AW67" s="1112"/>
      <c r="AX67" s="1112"/>
      <c r="AY67" s="1773">
        <v>54</v>
      </c>
      <c r="AZ67" s="1113">
        <f>SUM(AW67:AY67)</f>
        <v>54</v>
      </c>
      <c r="BA67" s="1112"/>
      <c r="BB67" s="1112"/>
      <c r="BC67" s="1773"/>
      <c r="BD67" s="1113">
        <f>SUM(BA67:BC67)</f>
        <v>0</v>
      </c>
    </row>
    <row r="68" spans="1:56" s="212" customFormat="1" ht="15" x14ac:dyDescent="0.25">
      <c r="A68" s="5462"/>
      <c r="B68" s="5462"/>
      <c r="C68" s="5456"/>
      <c r="D68" s="1117" t="s">
        <v>85</v>
      </c>
      <c r="E68" s="1768"/>
      <c r="F68" s="1767"/>
      <c r="G68" s="1767"/>
      <c r="H68" s="1113"/>
      <c r="I68" s="1112"/>
      <c r="J68" s="1112"/>
      <c r="K68" s="1112"/>
      <c r="L68" s="1113"/>
      <c r="M68" s="1112"/>
      <c r="N68" s="1112"/>
      <c r="O68" s="1112"/>
      <c r="P68" s="1113"/>
      <c r="Q68" s="1112"/>
      <c r="R68" s="1112"/>
      <c r="S68" s="1112"/>
      <c r="T68" s="1113"/>
      <c r="U68" s="1112"/>
      <c r="V68" s="1112"/>
      <c r="W68" s="1112"/>
      <c r="X68" s="1113"/>
      <c r="Y68" s="1112"/>
      <c r="Z68" s="1112"/>
      <c r="AA68" s="1112">
        <v>37</v>
      </c>
      <c r="AB68" s="1113">
        <f>SUM(Y68:AA68)</f>
        <v>37</v>
      </c>
      <c r="AC68" s="1112"/>
      <c r="AD68" s="1112">
        <v>52</v>
      </c>
      <c r="AE68" s="1112"/>
      <c r="AF68" s="1113">
        <f>SUM(AC68:AE68)</f>
        <v>52</v>
      </c>
      <c r="AG68" s="1112"/>
      <c r="AH68" s="1112"/>
      <c r="AI68" s="1775">
        <v>50</v>
      </c>
      <c r="AJ68" s="1113">
        <f>SUM(AG68:AI68)</f>
        <v>50</v>
      </c>
      <c r="AK68" s="1112">
        <v>3</v>
      </c>
      <c r="AL68" s="1112"/>
      <c r="AM68" s="1775"/>
      <c r="AN68" s="1113">
        <f>SUM(AK68:AM68)</f>
        <v>3</v>
      </c>
      <c r="AO68" s="1112"/>
      <c r="AP68" s="1112"/>
      <c r="AQ68" s="1775">
        <v>28</v>
      </c>
      <c r="AR68" s="1113">
        <f t="shared" si="26"/>
        <v>28</v>
      </c>
      <c r="AS68" s="1112"/>
      <c r="AT68" s="1112"/>
      <c r="AU68" s="1775">
        <v>7</v>
      </c>
      <c r="AV68" s="1113">
        <f>SUM(AS68:AU68)</f>
        <v>7</v>
      </c>
      <c r="AW68" s="1112"/>
      <c r="AX68" s="1112"/>
      <c r="AY68" s="1775">
        <v>23</v>
      </c>
      <c r="AZ68" s="1113">
        <f>SUM(AW68:AY68)</f>
        <v>23</v>
      </c>
      <c r="BA68" s="1112"/>
      <c r="BB68" s="1112"/>
      <c r="BC68" s="1775">
        <v>14</v>
      </c>
      <c r="BD68" s="1113">
        <f>SUM(BA68:BC68)</f>
        <v>14</v>
      </c>
    </row>
    <row r="69" spans="1:56" s="212" customFormat="1" ht="15" x14ac:dyDescent="0.25">
      <c r="A69" s="5462"/>
      <c r="B69" s="5462"/>
      <c r="C69" s="5456"/>
      <c r="D69" s="1117" t="s">
        <v>83</v>
      </c>
      <c r="E69" s="1768"/>
      <c r="F69" s="1767"/>
      <c r="G69" s="1767"/>
      <c r="H69" s="1113"/>
      <c r="I69" s="1112"/>
      <c r="J69" s="1112"/>
      <c r="K69" s="1112"/>
      <c r="L69" s="1113"/>
      <c r="M69" s="1112"/>
      <c r="N69" s="1112"/>
      <c r="O69" s="1112"/>
      <c r="P69" s="1113"/>
      <c r="Q69" s="1112"/>
      <c r="R69" s="1112"/>
      <c r="S69" s="1112"/>
      <c r="T69" s="1113"/>
      <c r="U69" s="1112"/>
      <c r="V69" s="1112"/>
      <c r="W69" s="1112"/>
      <c r="X69" s="1113"/>
      <c r="Y69" s="1112"/>
      <c r="Z69" s="1112"/>
      <c r="AA69" s="1112">
        <v>77</v>
      </c>
      <c r="AB69" s="1113">
        <f>SUM(Y69:AA69)</f>
        <v>77</v>
      </c>
      <c r="AC69" s="1112"/>
      <c r="AD69" s="1112"/>
      <c r="AE69" s="1112"/>
      <c r="AF69" s="1113"/>
      <c r="AG69" s="1112"/>
      <c r="AH69" s="1112"/>
      <c r="AI69" s="1775">
        <v>62</v>
      </c>
      <c r="AJ69" s="1113">
        <f>SUM(AG69:AI69)</f>
        <v>62</v>
      </c>
      <c r="AK69" s="1112"/>
      <c r="AL69" s="1112"/>
      <c r="AM69" s="1775">
        <v>93</v>
      </c>
      <c r="AN69" s="1113">
        <f>SUM(AK69:AM69)</f>
        <v>93</v>
      </c>
      <c r="AO69" s="1112"/>
      <c r="AP69" s="1112"/>
      <c r="AQ69" s="1775">
        <v>70</v>
      </c>
      <c r="AR69" s="1113">
        <f t="shared" si="26"/>
        <v>70</v>
      </c>
      <c r="AS69" s="1112"/>
      <c r="AT69" s="1112"/>
      <c r="AU69" s="1775">
        <v>74</v>
      </c>
      <c r="AV69" s="1113">
        <f>SUM(AS69:AU69)</f>
        <v>74</v>
      </c>
      <c r="AW69" s="1112"/>
      <c r="AX69" s="1112"/>
      <c r="AY69" s="1775">
        <v>93</v>
      </c>
      <c r="AZ69" s="1113">
        <f>SUM(AW69:AY69)</f>
        <v>93</v>
      </c>
      <c r="BA69" s="1112"/>
      <c r="BB69" s="1112"/>
      <c r="BC69" s="1775">
        <v>99</v>
      </c>
      <c r="BD69" s="1113">
        <f>SUM(BA69:BC69)</f>
        <v>99</v>
      </c>
    </row>
    <row r="70" spans="1:56" s="212" customFormat="1" ht="15" x14ac:dyDescent="0.25">
      <c r="A70" s="5462"/>
      <c r="B70" s="5462"/>
      <c r="C70" s="5456"/>
      <c r="D70" s="1117" t="s">
        <v>86</v>
      </c>
      <c r="E70" s="1768"/>
      <c r="F70" s="1767"/>
      <c r="G70" s="1767"/>
      <c r="H70" s="1113"/>
      <c r="I70" s="1112"/>
      <c r="J70" s="1112"/>
      <c r="K70" s="1112"/>
      <c r="L70" s="1113"/>
      <c r="M70" s="1112"/>
      <c r="N70" s="1112"/>
      <c r="O70" s="1112"/>
      <c r="P70" s="1113"/>
      <c r="Q70" s="1112"/>
      <c r="R70" s="1112"/>
      <c r="S70" s="1112"/>
      <c r="T70" s="1113"/>
      <c r="U70" s="1112"/>
      <c r="V70" s="1112"/>
      <c r="W70" s="1112"/>
      <c r="X70" s="1113"/>
      <c r="Y70" s="1112"/>
      <c r="Z70" s="1112"/>
      <c r="AA70" s="1112">
        <v>45</v>
      </c>
      <c r="AB70" s="1113">
        <f>SUM(Y70:AA70)</f>
        <v>45</v>
      </c>
      <c r="AC70" s="1112">
        <v>1</v>
      </c>
      <c r="AD70" s="1112"/>
      <c r="AE70" s="1112"/>
      <c r="AF70" s="1113">
        <f>SUM(AC70:AE70)</f>
        <v>1</v>
      </c>
      <c r="AG70" s="1112"/>
      <c r="AH70" s="1112"/>
      <c r="AI70" s="1775">
        <v>39</v>
      </c>
      <c r="AJ70" s="1113">
        <f>SUM(AG70:AI70)</f>
        <v>39</v>
      </c>
      <c r="AK70" s="1112">
        <v>15</v>
      </c>
      <c r="AL70" s="1112"/>
      <c r="AM70" s="1775"/>
      <c r="AN70" s="1113">
        <f>SUM(AK70:AM70)</f>
        <v>15</v>
      </c>
      <c r="AO70" s="1112"/>
      <c r="AP70" s="1112"/>
      <c r="AQ70" s="1775">
        <v>51</v>
      </c>
      <c r="AR70" s="1113">
        <f t="shared" si="26"/>
        <v>51</v>
      </c>
      <c r="AS70" s="1112"/>
      <c r="AT70" s="1112"/>
      <c r="AU70" s="1775"/>
      <c r="AV70" s="1113"/>
      <c r="AW70" s="1112"/>
      <c r="AX70" s="1112"/>
      <c r="AY70" s="1775">
        <v>39</v>
      </c>
      <c r="AZ70" s="1113">
        <f>SUM(AW70:AY70)</f>
        <v>39</v>
      </c>
      <c r="BA70" s="1112"/>
      <c r="BB70" s="1112"/>
      <c r="BC70" s="1775"/>
      <c r="BD70" s="1113">
        <f>SUM(BA70:BC70)</f>
        <v>0</v>
      </c>
    </row>
    <row r="71" spans="1:56" s="212" customFormat="1" ht="15" x14ac:dyDescent="0.2">
      <c r="A71" s="5462"/>
      <c r="B71" s="5462"/>
      <c r="C71" s="5456"/>
      <c r="D71" s="1117" t="s">
        <v>143</v>
      </c>
      <c r="E71" s="1768"/>
      <c r="F71" s="1767"/>
      <c r="G71" s="1767"/>
      <c r="H71" s="1113"/>
      <c r="I71" s="1112"/>
      <c r="J71" s="1112"/>
      <c r="K71" s="1112"/>
      <c r="L71" s="1113"/>
      <c r="M71" s="1112"/>
      <c r="N71" s="1112"/>
      <c r="O71" s="1112"/>
      <c r="P71" s="1113"/>
      <c r="Q71" s="1112"/>
      <c r="R71" s="1112"/>
      <c r="S71" s="1112"/>
      <c r="T71" s="1113"/>
      <c r="U71" s="1112"/>
      <c r="V71" s="1112"/>
      <c r="W71" s="1112"/>
      <c r="X71" s="1113"/>
      <c r="Y71" s="1112"/>
      <c r="Z71" s="1112"/>
      <c r="AA71" s="1112"/>
      <c r="AB71" s="1113"/>
      <c r="AC71" s="1112"/>
      <c r="AD71" s="1112"/>
      <c r="AE71" s="1112"/>
      <c r="AF71" s="1113"/>
      <c r="AG71" s="1112"/>
      <c r="AH71" s="1112"/>
      <c r="AI71" s="1112"/>
      <c r="AJ71" s="1113"/>
      <c r="AK71" s="1112"/>
      <c r="AL71" s="1112"/>
      <c r="AM71" s="1112"/>
      <c r="AN71" s="1113"/>
      <c r="AO71" s="1112"/>
      <c r="AP71" s="1112"/>
      <c r="AQ71" s="1112"/>
      <c r="AR71" s="1113"/>
      <c r="AS71" s="1112">
        <v>32</v>
      </c>
      <c r="AT71" s="1112"/>
      <c r="AU71" s="1112"/>
      <c r="AV71" s="1113">
        <f>SUM(AS71:AU71)</f>
        <v>32</v>
      </c>
      <c r="AW71" s="1112">
        <v>6</v>
      </c>
      <c r="AX71" s="1112"/>
      <c r="AY71" s="1112"/>
      <c r="AZ71" s="1113">
        <f>SUM(AW71:AY71)</f>
        <v>6</v>
      </c>
      <c r="BA71" s="1112">
        <v>15</v>
      </c>
      <c r="BB71" s="1112"/>
      <c r="BC71" s="1112"/>
      <c r="BD71" s="1113">
        <f>SUM(BA71:BC71)</f>
        <v>15</v>
      </c>
    </row>
    <row r="72" spans="1:56" s="212" customFormat="1" ht="15" x14ac:dyDescent="0.2">
      <c r="A72" s="5462"/>
      <c r="B72" s="5462"/>
      <c r="C72" s="1122"/>
      <c r="D72" s="1106" t="s">
        <v>160</v>
      </c>
      <c r="E72" s="1762">
        <f>SUM(E61:E71)</f>
        <v>4</v>
      </c>
      <c r="F72" s="1763">
        <f>SUM(F61:F71)</f>
        <v>0</v>
      </c>
      <c r="G72" s="1763">
        <f t="shared" ref="G72:AR72" si="32">SUM(G61:G71)</f>
        <v>320</v>
      </c>
      <c r="H72" s="1764">
        <f t="shared" si="32"/>
        <v>324</v>
      </c>
      <c r="I72" s="1762">
        <f t="shared" si="32"/>
        <v>29</v>
      </c>
      <c r="J72" s="1763">
        <f t="shared" si="32"/>
        <v>33</v>
      </c>
      <c r="K72" s="1763">
        <f t="shared" si="32"/>
        <v>369</v>
      </c>
      <c r="L72" s="1765">
        <f t="shared" si="32"/>
        <v>431</v>
      </c>
      <c r="M72" s="1762">
        <f t="shared" si="32"/>
        <v>160</v>
      </c>
      <c r="N72" s="1763">
        <f t="shared" si="32"/>
        <v>0</v>
      </c>
      <c r="O72" s="1763">
        <f t="shared" si="32"/>
        <v>124</v>
      </c>
      <c r="P72" s="1765">
        <f t="shared" si="32"/>
        <v>284</v>
      </c>
      <c r="Q72" s="1762">
        <f t="shared" si="32"/>
        <v>211</v>
      </c>
      <c r="R72" s="1763">
        <f t="shared" si="32"/>
        <v>0</v>
      </c>
      <c r="S72" s="1763">
        <f t="shared" si="32"/>
        <v>245</v>
      </c>
      <c r="T72" s="1765">
        <f t="shared" si="32"/>
        <v>456</v>
      </c>
      <c r="U72" s="1762">
        <f t="shared" si="32"/>
        <v>279</v>
      </c>
      <c r="V72" s="1763">
        <f t="shared" si="32"/>
        <v>0</v>
      </c>
      <c r="W72" s="1763">
        <f t="shared" si="32"/>
        <v>234</v>
      </c>
      <c r="X72" s="1765">
        <f t="shared" si="32"/>
        <v>513</v>
      </c>
      <c r="Y72" s="1762">
        <f t="shared" si="32"/>
        <v>103</v>
      </c>
      <c r="Z72" s="1763">
        <f t="shared" si="32"/>
        <v>0</v>
      </c>
      <c r="AA72" s="1763">
        <f t="shared" si="32"/>
        <v>554</v>
      </c>
      <c r="AB72" s="1765">
        <f t="shared" si="32"/>
        <v>657</v>
      </c>
      <c r="AC72" s="1762">
        <f t="shared" si="32"/>
        <v>1</v>
      </c>
      <c r="AD72" s="1763">
        <f t="shared" si="32"/>
        <v>260</v>
      </c>
      <c r="AE72" s="1763">
        <f t="shared" si="32"/>
        <v>220</v>
      </c>
      <c r="AF72" s="1765">
        <f t="shared" si="32"/>
        <v>481</v>
      </c>
      <c r="AG72" s="1762">
        <f t="shared" si="32"/>
        <v>0</v>
      </c>
      <c r="AH72" s="1763">
        <f t="shared" si="32"/>
        <v>0</v>
      </c>
      <c r="AI72" s="1763">
        <f t="shared" si="32"/>
        <v>617</v>
      </c>
      <c r="AJ72" s="1765">
        <f t="shared" si="32"/>
        <v>617</v>
      </c>
      <c r="AK72" s="1762">
        <f t="shared" si="32"/>
        <v>18</v>
      </c>
      <c r="AL72" s="1763">
        <f t="shared" si="32"/>
        <v>0</v>
      </c>
      <c r="AM72" s="1763">
        <f t="shared" si="32"/>
        <v>245</v>
      </c>
      <c r="AN72" s="1765">
        <f t="shared" si="32"/>
        <v>263</v>
      </c>
      <c r="AO72" s="1762">
        <f t="shared" si="32"/>
        <v>0</v>
      </c>
      <c r="AP72" s="1763">
        <f t="shared" si="32"/>
        <v>0</v>
      </c>
      <c r="AQ72" s="1763">
        <f t="shared" si="32"/>
        <v>631</v>
      </c>
      <c r="AR72" s="1765">
        <f t="shared" si="32"/>
        <v>631</v>
      </c>
      <c r="AS72" s="1762">
        <f t="shared" ref="AS72:AZ72" si="33">SUM(AS61:AS71)</f>
        <v>32</v>
      </c>
      <c r="AT72" s="1763">
        <f t="shared" si="33"/>
        <v>0</v>
      </c>
      <c r="AU72" s="1763">
        <f t="shared" si="33"/>
        <v>139</v>
      </c>
      <c r="AV72" s="1765">
        <f t="shared" si="33"/>
        <v>171</v>
      </c>
      <c r="AW72" s="1762">
        <f t="shared" si="33"/>
        <v>19</v>
      </c>
      <c r="AX72" s="1763">
        <f t="shared" si="33"/>
        <v>44</v>
      </c>
      <c r="AY72" s="1763">
        <f t="shared" si="33"/>
        <v>663</v>
      </c>
      <c r="AZ72" s="1765">
        <f t="shared" si="33"/>
        <v>726</v>
      </c>
      <c r="BA72" s="1762">
        <f t="shared" ref="BA72:BD72" si="34">SUM(BA61:BA71)</f>
        <v>78</v>
      </c>
      <c r="BB72" s="1763">
        <f t="shared" si="34"/>
        <v>1</v>
      </c>
      <c r="BC72" s="1763">
        <f t="shared" si="34"/>
        <v>237</v>
      </c>
      <c r="BD72" s="1765">
        <f t="shared" si="34"/>
        <v>316</v>
      </c>
    </row>
    <row r="73" spans="1:56" s="212" customFormat="1" ht="15" x14ac:dyDescent="0.25">
      <c r="A73" s="5462"/>
      <c r="B73" s="5461" t="s">
        <v>11</v>
      </c>
      <c r="C73" s="5455" t="s">
        <v>528</v>
      </c>
      <c r="D73" s="1123" t="s">
        <v>56</v>
      </c>
      <c r="E73" s="1771">
        <v>1</v>
      </c>
      <c r="F73" s="1772">
        <v>2</v>
      </c>
      <c r="G73" s="1772">
        <v>5</v>
      </c>
      <c r="H73" s="1110">
        <f>SUM(E73:G73)</f>
        <v>8</v>
      </c>
      <c r="I73" s="1109">
        <v>2</v>
      </c>
      <c r="J73" s="1109">
        <v>3</v>
      </c>
      <c r="K73" s="1109">
        <v>7</v>
      </c>
      <c r="L73" s="1110">
        <f>SUM(I73:K73)</f>
        <v>12</v>
      </c>
      <c r="M73" s="1109">
        <v>2</v>
      </c>
      <c r="N73" s="1109">
        <v>6</v>
      </c>
      <c r="O73" s="1109">
        <v>8</v>
      </c>
      <c r="P73" s="1110">
        <f>SUM(M73:O73)</f>
        <v>16</v>
      </c>
      <c r="Q73" s="1109">
        <v>13</v>
      </c>
      <c r="R73" s="1109">
        <v>7</v>
      </c>
      <c r="S73" s="1109">
        <v>11</v>
      </c>
      <c r="T73" s="1110">
        <f>SUM(Q73:S73)</f>
        <v>31</v>
      </c>
      <c r="U73" s="1109">
        <v>7</v>
      </c>
      <c r="V73" s="1109">
        <v>2</v>
      </c>
      <c r="W73" s="1109">
        <v>15</v>
      </c>
      <c r="X73" s="1110">
        <f>SUM(U73:W73)</f>
        <v>24</v>
      </c>
      <c r="Y73" s="1109">
        <v>2</v>
      </c>
      <c r="Z73" s="1109">
        <v>9</v>
      </c>
      <c r="AA73" s="1109">
        <v>9</v>
      </c>
      <c r="AB73" s="1110">
        <f>SUM(Y73:AA73)</f>
        <v>20</v>
      </c>
      <c r="AC73" s="1109">
        <v>3</v>
      </c>
      <c r="AD73" s="1109">
        <v>7</v>
      </c>
      <c r="AE73" s="1109">
        <v>11</v>
      </c>
      <c r="AF73" s="1110">
        <f>SUM(AC73:AE73)</f>
        <v>21</v>
      </c>
      <c r="AG73" s="1778">
        <v>7</v>
      </c>
      <c r="AH73" s="1779">
        <v>11</v>
      </c>
      <c r="AI73" s="1779">
        <v>38</v>
      </c>
      <c r="AJ73" s="1110">
        <f>SUM(AG73:AI73)</f>
        <v>56</v>
      </c>
      <c r="AK73" s="1778">
        <v>12</v>
      </c>
      <c r="AL73" s="1779">
        <v>6</v>
      </c>
      <c r="AM73" s="1779">
        <v>16</v>
      </c>
      <c r="AN73" s="1110">
        <f>SUM(AK73:AM73)</f>
        <v>34</v>
      </c>
      <c r="AO73" s="1778">
        <v>10</v>
      </c>
      <c r="AP73" s="1779">
        <v>15</v>
      </c>
      <c r="AQ73" s="1779">
        <v>8</v>
      </c>
      <c r="AR73" s="1110">
        <f t="shared" ref="AR73:AR81" si="35">SUM(AO73:AQ73)</f>
        <v>33</v>
      </c>
      <c r="AS73" s="1778">
        <v>6</v>
      </c>
      <c r="AT73" s="1779">
        <v>6</v>
      </c>
      <c r="AU73" s="1779">
        <v>7</v>
      </c>
      <c r="AV73" s="1110">
        <f t="shared" ref="AV73:AV81" si="36">SUM(AS73:AU73)</f>
        <v>19</v>
      </c>
      <c r="AW73" s="1778">
        <v>5</v>
      </c>
      <c r="AX73" s="1779">
        <v>9</v>
      </c>
      <c r="AY73" s="1779">
        <v>8</v>
      </c>
      <c r="AZ73" s="1110">
        <f t="shared" ref="AZ73:AZ81" si="37">SUM(AW73:AY73)</f>
        <v>22</v>
      </c>
      <c r="BA73" s="1778">
        <v>9</v>
      </c>
      <c r="BB73" s="1779">
        <v>6</v>
      </c>
      <c r="BC73" s="1779">
        <v>11</v>
      </c>
      <c r="BD73" s="1110">
        <f t="shared" ref="BD73:BD81" si="38">SUM(BA73:BC73)</f>
        <v>26</v>
      </c>
    </row>
    <row r="74" spans="1:56" s="212" customFormat="1" ht="15" x14ac:dyDescent="0.25">
      <c r="A74" s="5462"/>
      <c r="B74" s="5462"/>
      <c r="C74" s="5465"/>
      <c r="D74" s="1121" t="s">
        <v>534</v>
      </c>
      <c r="E74" s="1768"/>
      <c r="F74" s="1767"/>
      <c r="G74" s="1767">
        <v>18</v>
      </c>
      <c r="H74" s="1113">
        <f>SUM(E74:G74)</f>
        <v>18</v>
      </c>
      <c r="I74" s="1112"/>
      <c r="J74" s="1112"/>
      <c r="K74" s="1112">
        <v>19</v>
      </c>
      <c r="L74" s="1113">
        <f>SUM(I74:K74)</f>
        <v>19</v>
      </c>
      <c r="M74" s="1112"/>
      <c r="N74" s="1112"/>
      <c r="O74" s="1112">
        <v>11</v>
      </c>
      <c r="P74" s="1113">
        <f>SUM(M74:O74)</f>
        <v>11</v>
      </c>
      <c r="Q74" s="1112"/>
      <c r="R74" s="1112"/>
      <c r="S74" s="1112"/>
      <c r="T74" s="1113"/>
      <c r="U74" s="1112"/>
      <c r="V74" s="1112">
        <v>19</v>
      </c>
      <c r="W74" s="1112"/>
      <c r="X74" s="1113">
        <f>SUM(U74:W74)</f>
        <v>19</v>
      </c>
      <c r="Y74" s="1112"/>
      <c r="Z74" s="1112"/>
      <c r="AA74" s="1112">
        <v>22</v>
      </c>
      <c r="AB74" s="1113">
        <f>SUM(Y74:AA74)</f>
        <v>22</v>
      </c>
      <c r="AC74" s="1112"/>
      <c r="AD74" s="1112"/>
      <c r="AE74" s="1112">
        <v>7</v>
      </c>
      <c r="AF74" s="1113">
        <f>SUM(AC74:AE74)</f>
        <v>7</v>
      </c>
      <c r="AG74" s="1112"/>
      <c r="AH74" s="1112"/>
      <c r="AI74" s="1773">
        <v>17</v>
      </c>
      <c r="AJ74" s="1113">
        <f>SUM(AG74:AI74)</f>
        <v>17</v>
      </c>
      <c r="AK74" s="1112"/>
      <c r="AL74" s="1112"/>
      <c r="AM74" s="1773">
        <v>13</v>
      </c>
      <c r="AN74" s="1113">
        <f>SUM(AK74:AM74)</f>
        <v>13</v>
      </c>
      <c r="AO74" s="1112"/>
      <c r="AP74" s="1112"/>
      <c r="AQ74" s="1773">
        <v>12</v>
      </c>
      <c r="AR74" s="1113">
        <f t="shared" si="35"/>
        <v>12</v>
      </c>
      <c r="AS74" s="1112"/>
      <c r="AT74" s="1112"/>
      <c r="AU74" s="1773">
        <v>9</v>
      </c>
      <c r="AV74" s="1113">
        <f t="shared" si="36"/>
        <v>9</v>
      </c>
      <c r="AW74" s="1112"/>
      <c r="AX74" s="1112"/>
      <c r="AY74" s="1773">
        <v>4</v>
      </c>
      <c r="AZ74" s="1113">
        <f t="shared" si="37"/>
        <v>4</v>
      </c>
      <c r="BA74" s="1112"/>
      <c r="BB74" s="1112"/>
      <c r="BC74" s="1773">
        <v>1</v>
      </c>
      <c r="BD74" s="1113">
        <f t="shared" si="38"/>
        <v>1</v>
      </c>
    </row>
    <row r="75" spans="1:56" s="212" customFormat="1" ht="15" x14ac:dyDescent="0.25">
      <c r="A75" s="5462"/>
      <c r="B75" s="5462"/>
      <c r="C75" s="5455" t="s">
        <v>527</v>
      </c>
      <c r="D75" s="1117" t="s">
        <v>384</v>
      </c>
      <c r="E75" s="1768">
        <v>3</v>
      </c>
      <c r="F75" s="1767"/>
      <c r="G75" s="1767">
        <v>45</v>
      </c>
      <c r="H75" s="1113">
        <f>SUM(E75:G75)</f>
        <v>48</v>
      </c>
      <c r="I75" s="1112">
        <v>7</v>
      </c>
      <c r="J75" s="1112"/>
      <c r="K75" s="1112">
        <v>39</v>
      </c>
      <c r="L75" s="1113">
        <f>SUM(I75:K75)</f>
        <v>46</v>
      </c>
      <c r="M75" s="1112">
        <v>12</v>
      </c>
      <c r="N75" s="1112"/>
      <c r="O75" s="1112">
        <v>37</v>
      </c>
      <c r="P75" s="1113">
        <f>SUM(M75:O75)</f>
        <v>49</v>
      </c>
      <c r="Q75" s="1112">
        <v>13</v>
      </c>
      <c r="R75" s="1112"/>
      <c r="S75" s="1112">
        <v>49</v>
      </c>
      <c r="T75" s="1113">
        <f>SUM(Q75:S75)</f>
        <v>62</v>
      </c>
      <c r="U75" s="1112">
        <v>8</v>
      </c>
      <c r="V75" s="1112"/>
      <c r="W75" s="1112">
        <v>59</v>
      </c>
      <c r="X75" s="1113">
        <f>SUM(U75:W75)</f>
        <v>67</v>
      </c>
      <c r="Y75" s="1112"/>
      <c r="Z75" s="1112"/>
      <c r="AA75" s="1112">
        <v>51</v>
      </c>
      <c r="AB75" s="1113">
        <f>SUM(Y75:AA75)</f>
        <v>51</v>
      </c>
      <c r="AC75" s="1112"/>
      <c r="AD75" s="1112"/>
      <c r="AE75" s="1112">
        <v>46</v>
      </c>
      <c r="AF75" s="1113">
        <f>SUM(AC75:AE75)</f>
        <v>46</v>
      </c>
      <c r="AG75" s="1773"/>
      <c r="AH75" s="1773"/>
      <c r="AI75" s="1773">
        <v>69</v>
      </c>
      <c r="AJ75" s="1113">
        <f>SUM(AG75:AI75)</f>
        <v>69</v>
      </c>
      <c r="AK75" s="1773"/>
      <c r="AL75" s="1773"/>
      <c r="AM75" s="1773">
        <v>65</v>
      </c>
      <c r="AN75" s="1113">
        <f>SUM(AK75:AM75)</f>
        <v>65</v>
      </c>
      <c r="AO75" s="1773"/>
      <c r="AP75" s="1773"/>
      <c r="AQ75" s="1773">
        <v>49</v>
      </c>
      <c r="AR75" s="1113">
        <f t="shared" si="35"/>
        <v>49</v>
      </c>
      <c r="AS75" s="1773"/>
      <c r="AT75" s="1773"/>
      <c r="AU75" s="1773"/>
      <c r="AV75" s="1113"/>
      <c r="AW75" s="1773"/>
      <c r="AX75" s="1773"/>
      <c r="AY75" s="1773">
        <v>68</v>
      </c>
      <c r="AZ75" s="1113">
        <f t="shared" si="37"/>
        <v>68</v>
      </c>
      <c r="BA75" s="1773"/>
      <c r="BB75" s="1773"/>
      <c r="BC75" s="1773">
        <v>48</v>
      </c>
      <c r="BD75" s="1113">
        <f t="shared" si="38"/>
        <v>48</v>
      </c>
    </row>
    <row r="76" spans="1:56" s="212" customFormat="1" ht="15" x14ac:dyDescent="0.2">
      <c r="A76" s="5462"/>
      <c r="B76" s="5462"/>
      <c r="C76" s="5456"/>
      <c r="D76" s="1121" t="s">
        <v>386</v>
      </c>
      <c r="E76" s="1768"/>
      <c r="F76" s="1767"/>
      <c r="G76" s="1767"/>
      <c r="H76" s="1113"/>
      <c r="I76" s="1112"/>
      <c r="J76" s="1112"/>
      <c r="K76" s="1112"/>
      <c r="L76" s="1113"/>
      <c r="M76" s="1112"/>
      <c r="N76" s="1112"/>
      <c r="O76" s="1112"/>
      <c r="P76" s="1113"/>
      <c r="Q76" s="1112"/>
      <c r="R76" s="1112"/>
      <c r="S76" s="1112"/>
      <c r="T76" s="1113"/>
      <c r="U76" s="1112"/>
      <c r="V76" s="1112"/>
      <c r="W76" s="1112"/>
      <c r="X76" s="1113"/>
      <c r="Y76" s="1112"/>
      <c r="Z76" s="1112"/>
      <c r="AA76" s="1112"/>
      <c r="AB76" s="1113"/>
      <c r="AC76" s="1112"/>
      <c r="AD76" s="1112"/>
      <c r="AE76" s="1112"/>
      <c r="AF76" s="1113"/>
      <c r="AG76" s="1112"/>
      <c r="AH76" s="1112"/>
      <c r="AI76" s="1112"/>
      <c r="AJ76" s="1113"/>
      <c r="AK76" s="1112"/>
      <c r="AL76" s="1112"/>
      <c r="AM76" s="1112"/>
      <c r="AN76" s="1113"/>
      <c r="AO76" s="1112">
        <v>18</v>
      </c>
      <c r="AP76" s="1112"/>
      <c r="AQ76" s="1112">
        <v>12</v>
      </c>
      <c r="AR76" s="1113">
        <f t="shared" si="35"/>
        <v>30</v>
      </c>
      <c r="AS76" s="1112"/>
      <c r="AT76" s="1112"/>
      <c r="AU76" s="1112">
        <v>25</v>
      </c>
      <c r="AV76" s="1113">
        <f t="shared" si="36"/>
        <v>25</v>
      </c>
      <c r="AW76" s="1112"/>
      <c r="AX76" s="1112"/>
      <c r="AY76" s="1112">
        <v>28</v>
      </c>
      <c r="AZ76" s="1113">
        <f t="shared" si="37"/>
        <v>28</v>
      </c>
      <c r="BA76" s="1112"/>
      <c r="BB76" s="1112"/>
      <c r="BC76" s="1112">
        <v>18</v>
      </c>
      <c r="BD76" s="1113">
        <f t="shared" si="38"/>
        <v>18</v>
      </c>
    </row>
    <row r="77" spans="1:56" s="212" customFormat="1" ht="15" x14ac:dyDescent="0.25">
      <c r="A77" s="5462"/>
      <c r="B77" s="5462"/>
      <c r="C77" s="5456"/>
      <c r="D77" s="1117" t="s">
        <v>387</v>
      </c>
      <c r="E77" s="1768">
        <v>33</v>
      </c>
      <c r="F77" s="1767"/>
      <c r="G77" s="1767"/>
      <c r="H77" s="1113">
        <f>SUM(E77:G77)</f>
        <v>33</v>
      </c>
      <c r="I77" s="1112">
        <v>20</v>
      </c>
      <c r="J77" s="1112"/>
      <c r="K77" s="1112"/>
      <c r="L77" s="1113">
        <f>SUM(I77:K77)</f>
        <v>20</v>
      </c>
      <c r="M77" s="1112">
        <v>31</v>
      </c>
      <c r="N77" s="1112"/>
      <c r="O77" s="1112">
        <v>22</v>
      </c>
      <c r="P77" s="1113">
        <f>SUM(M77:O77)</f>
        <v>53</v>
      </c>
      <c r="Q77" s="1112">
        <v>2</v>
      </c>
      <c r="R77" s="1112"/>
      <c r="S77" s="1112">
        <v>19</v>
      </c>
      <c r="T77" s="1113">
        <f>SUM(Q77:S77)</f>
        <v>21</v>
      </c>
      <c r="U77" s="1112">
        <v>7</v>
      </c>
      <c r="V77" s="1112"/>
      <c r="W77" s="1112">
        <v>42</v>
      </c>
      <c r="X77" s="1113">
        <f>SUM(U77:W77)</f>
        <v>49</v>
      </c>
      <c r="Y77" s="1112"/>
      <c r="Z77" s="1112"/>
      <c r="AA77" s="1112">
        <v>31</v>
      </c>
      <c r="AB77" s="1113">
        <f>SUM(Y77:AA77)</f>
        <v>31</v>
      </c>
      <c r="AC77" s="1112"/>
      <c r="AD77" s="1112"/>
      <c r="AE77" s="1112">
        <v>39</v>
      </c>
      <c r="AF77" s="1113">
        <f>SUM(AC77:AE77)</f>
        <v>39</v>
      </c>
      <c r="AG77" s="1112"/>
      <c r="AH77" s="1112"/>
      <c r="AI77" s="1775">
        <v>54</v>
      </c>
      <c r="AJ77" s="1113">
        <f>SUM(AG77:AI77)</f>
        <v>54</v>
      </c>
      <c r="AK77" s="1112"/>
      <c r="AL77" s="1112"/>
      <c r="AM77" s="1775">
        <v>64</v>
      </c>
      <c r="AN77" s="1113">
        <f>SUM(AK77:AM77)</f>
        <v>64</v>
      </c>
      <c r="AO77" s="1112"/>
      <c r="AP77" s="1112"/>
      <c r="AQ77" s="1775">
        <v>45</v>
      </c>
      <c r="AR77" s="1113">
        <f t="shared" si="35"/>
        <v>45</v>
      </c>
      <c r="AS77" s="1112"/>
      <c r="AT77" s="1112"/>
      <c r="AU77" s="1775"/>
      <c r="AV77" s="1113"/>
      <c r="AW77" s="1112"/>
      <c r="AX77" s="1112"/>
      <c r="AY77" s="1775">
        <v>48</v>
      </c>
      <c r="AZ77" s="1113">
        <f t="shared" si="37"/>
        <v>48</v>
      </c>
      <c r="BA77" s="1112"/>
      <c r="BB77" s="1112"/>
      <c r="BC77" s="1775">
        <v>16</v>
      </c>
      <c r="BD77" s="1113">
        <f t="shared" si="38"/>
        <v>16</v>
      </c>
    </row>
    <row r="78" spans="1:56" s="212" customFormat="1" ht="15" x14ac:dyDescent="0.25">
      <c r="A78" s="5462"/>
      <c r="B78" s="5462"/>
      <c r="C78" s="5465"/>
      <c r="D78" s="1121" t="s">
        <v>87</v>
      </c>
      <c r="E78" s="1768"/>
      <c r="F78" s="1767"/>
      <c r="G78" s="1767">
        <v>19</v>
      </c>
      <c r="H78" s="1113">
        <f>SUM(E78:G78)</f>
        <v>19</v>
      </c>
      <c r="I78" s="1112"/>
      <c r="J78" s="1112"/>
      <c r="K78" s="1112">
        <v>23</v>
      </c>
      <c r="L78" s="1113">
        <f>SUM(I78:K78)</f>
        <v>23</v>
      </c>
      <c r="M78" s="1112"/>
      <c r="N78" s="1112"/>
      <c r="O78" s="1112">
        <v>21</v>
      </c>
      <c r="P78" s="1113">
        <f>SUM(M78:O78)</f>
        <v>21</v>
      </c>
      <c r="Q78" s="1112"/>
      <c r="R78" s="1112"/>
      <c r="S78" s="1112">
        <v>25</v>
      </c>
      <c r="T78" s="1113">
        <f>SUM(Q78:S78)</f>
        <v>25</v>
      </c>
      <c r="U78" s="1112"/>
      <c r="V78" s="1112"/>
      <c r="W78" s="1112">
        <v>26</v>
      </c>
      <c r="X78" s="1113">
        <f>SUM(U78:W78)</f>
        <v>26</v>
      </c>
      <c r="Y78" s="1112"/>
      <c r="Z78" s="1112"/>
      <c r="AA78" s="1112">
        <v>42</v>
      </c>
      <c r="AB78" s="1113">
        <f>SUM(Y78:AA78)</f>
        <v>42</v>
      </c>
      <c r="AC78" s="1112"/>
      <c r="AD78" s="1112"/>
      <c r="AE78" s="1112">
        <v>35</v>
      </c>
      <c r="AF78" s="1113">
        <f>SUM(AC78:AE78)</f>
        <v>35</v>
      </c>
      <c r="AG78" s="1112"/>
      <c r="AH78" s="1112"/>
      <c r="AI78" s="1775">
        <v>43</v>
      </c>
      <c r="AJ78" s="1113">
        <f>SUM(AG78:AI78)</f>
        <v>43</v>
      </c>
      <c r="AK78" s="1112"/>
      <c r="AL78" s="1112"/>
      <c r="AM78" s="1775">
        <v>38</v>
      </c>
      <c r="AN78" s="1113">
        <f>SUM(AK78:AM78)</f>
        <v>38</v>
      </c>
      <c r="AO78" s="1112"/>
      <c r="AP78" s="1112"/>
      <c r="AQ78" s="1775">
        <v>30</v>
      </c>
      <c r="AR78" s="1113">
        <f t="shared" si="35"/>
        <v>30</v>
      </c>
      <c r="AS78" s="1112"/>
      <c r="AT78" s="1112"/>
      <c r="AU78" s="1775">
        <v>42</v>
      </c>
      <c r="AV78" s="1113">
        <f t="shared" si="36"/>
        <v>42</v>
      </c>
      <c r="AW78" s="1112"/>
      <c r="AX78" s="1112"/>
      <c r="AY78" s="1775">
        <v>32</v>
      </c>
      <c r="AZ78" s="1113">
        <f t="shared" si="37"/>
        <v>32</v>
      </c>
      <c r="BA78" s="1112"/>
      <c r="BB78" s="1112"/>
      <c r="BC78" s="1775">
        <v>37</v>
      </c>
      <c r="BD78" s="1113">
        <f t="shared" si="38"/>
        <v>37</v>
      </c>
    </row>
    <row r="79" spans="1:56" s="212" customFormat="1" ht="15" x14ac:dyDescent="0.25">
      <c r="A79" s="5462"/>
      <c r="B79" s="5462"/>
      <c r="C79" s="5455" t="s">
        <v>526</v>
      </c>
      <c r="D79" s="1117" t="s">
        <v>385</v>
      </c>
      <c r="E79" s="1768"/>
      <c r="F79" s="1767"/>
      <c r="G79" s="1767"/>
      <c r="H79" s="1113"/>
      <c r="I79" s="1112"/>
      <c r="J79" s="1112"/>
      <c r="K79" s="1112"/>
      <c r="L79" s="1113"/>
      <c r="M79" s="1112"/>
      <c r="N79" s="1112"/>
      <c r="O79" s="1112"/>
      <c r="P79" s="1113"/>
      <c r="Q79" s="1112"/>
      <c r="R79" s="1112"/>
      <c r="S79" s="1112"/>
      <c r="T79" s="1113"/>
      <c r="U79" s="1112"/>
      <c r="V79" s="1112"/>
      <c r="W79" s="1112"/>
      <c r="X79" s="1113"/>
      <c r="Y79" s="1112">
        <v>3</v>
      </c>
      <c r="Z79" s="1112"/>
      <c r="AA79" s="1112">
        <v>11</v>
      </c>
      <c r="AB79" s="1113">
        <f>SUM(Y79:AA79)</f>
        <v>14</v>
      </c>
      <c r="AC79" s="1112">
        <v>8</v>
      </c>
      <c r="AD79" s="1112"/>
      <c r="AE79" s="1112">
        <v>9</v>
      </c>
      <c r="AF79" s="1113">
        <f>SUM(AC79:AE79)</f>
        <v>17</v>
      </c>
      <c r="AG79" s="1773">
        <v>22</v>
      </c>
      <c r="AH79" s="1773"/>
      <c r="AI79" s="1775">
        <v>14</v>
      </c>
      <c r="AJ79" s="1113">
        <f>SUM(AG79:AI79)</f>
        <v>36</v>
      </c>
      <c r="AK79" s="1773">
        <v>8</v>
      </c>
      <c r="AL79" s="1773"/>
      <c r="AM79" s="1775">
        <v>17</v>
      </c>
      <c r="AN79" s="1113">
        <f>SUM(AK79:AM79)</f>
        <v>25</v>
      </c>
      <c r="AO79" s="1773">
        <v>12</v>
      </c>
      <c r="AP79" s="1773"/>
      <c r="AQ79" s="1775">
        <v>11</v>
      </c>
      <c r="AR79" s="1113">
        <f t="shared" si="35"/>
        <v>23</v>
      </c>
      <c r="AS79" s="1773">
        <v>10</v>
      </c>
      <c r="AT79" s="1773"/>
      <c r="AU79" s="1775">
        <v>77</v>
      </c>
      <c r="AV79" s="1113">
        <f t="shared" si="36"/>
        <v>87</v>
      </c>
      <c r="AW79" s="1773">
        <v>12</v>
      </c>
      <c r="AX79" s="1773"/>
      <c r="AY79" s="1775">
        <v>13</v>
      </c>
      <c r="AZ79" s="1113">
        <f t="shared" si="37"/>
        <v>25</v>
      </c>
      <c r="BA79" s="1773">
        <v>9</v>
      </c>
      <c r="BB79" s="1773"/>
      <c r="BC79" s="1775">
        <v>23</v>
      </c>
      <c r="BD79" s="1113">
        <f t="shared" si="38"/>
        <v>32</v>
      </c>
    </row>
    <row r="80" spans="1:56" s="212" customFormat="1" ht="15" x14ac:dyDescent="0.25">
      <c r="A80" s="5462"/>
      <c r="B80" s="5462"/>
      <c r="C80" s="5456"/>
      <c r="D80" s="1117" t="s">
        <v>388</v>
      </c>
      <c r="E80" s="1768"/>
      <c r="F80" s="1767"/>
      <c r="G80" s="1767"/>
      <c r="H80" s="1113"/>
      <c r="I80" s="1112"/>
      <c r="J80" s="1112"/>
      <c r="K80" s="1112"/>
      <c r="L80" s="1113"/>
      <c r="M80" s="1112"/>
      <c r="N80" s="1112"/>
      <c r="O80" s="1112"/>
      <c r="P80" s="1113"/>
      <c r="Q80" s="1112"/>
      <c r="R80" s="1112"/>
      <c r="S80" s="1112"/>
      <c r="T80" s="1113"/>
      <c r="U80" s="1112"/>
      <c r="V80" s="1112"/>
      <c r="W80" s="1112"/>
      <c r="X80" s="1113"/>
      <c r="Y80" s="1112">
        <v>5</v>
      </c>
      <c r="Z80" s="1112"/>
      <c r="AA80" s="1112">
        <v>7</v>
      </c>
      <c r="AB80" s="1113">
        <f>SUM(Y80:AA80)</f>
        <v>12</v>
      </c>
      <c r="AC80" s="1112">
        <v>5</v>
      </c>
      <c r="AD80" s="1112"/>
      <c r="AE80" s="1112">
        <v>5</v>
      </c>
      <c r="AF80" s="1113">
        <f>SUM(AC80:AE80)</f>
        <v>10</v>
      </c>
      <c r="AG80" s="1773">
        <v>6</v>
      </c>
      <c r="AH80" s="1773"/>
      <c r="AI80" s="1775">
        <v>8</v>
      </c>
      <c r="AJ80" s="1113">
        <f>SUM(AG80:AI80)</f>
        <v>14</v>
      </c>
      <c r="AK80" s="1773">
        <v>9</v>
      </c>
      <c r="AL80" s="1773"/>
      <c r="AM80" s="1775">
        <v>14</v>
      </c>
      <c r="AN80" s="1113">
        <f>SUM(AK80:AM80)</f>
        <v>23</v>
      </c>
      <c r="AO80" s="1773">
        <v>12</v>
      </c>
      <c r="AP80" s="1773"/>
      <c r="AQ80" s="1775">
        <v>4</v>
      </c>
      <c r="AR80" s="1113">
        <f t="shared" si="35"/>
        <v>16</v>
      </c>
      <c r="AS80" s="1773">
        <v>15</v>
      </c>
      <c r="AT80" s="1773"/>
      <c r="AU80" s="1775">
        <v>40</v>
      </c>
      <c r="AV80" s="1113">
        <f t="shared" si="36"/>
        <v>55</v>
      </c>
      <c r="AW80" s="1773">
        <v>7</v>
      </c>
      <c r="AX80" s="1773"/>
      <c r="AY80" s="1775">
        <v>6</v>
      </c>
      <c r="AZ80" s="1113">
        <f t="shared" si="37"/>
        <v>13</v>
      </c>
      <c r="BA80" s="1773">
        <v>4</v>
      </c>
      <c r="BB80" s="1773"/>
      <c r="BC80" s="1775">
        <v>5</v>
      </c>
      <c r="BD80" s="1113">
        <f t="shared" si="38"/>
        <v>9</v>
      </c>
    </row>
    <row r="81" spans="1:56" s="212" customFormat="1" ht="15" x14ac:dyDescent="0.25">
      <c r="A81" s="5462"/>
      <c r="B81" s="5462"/>
      <c r="C81" s="5456"/>
      <c r="D81" s="1124" t="s">
        <v>361</v>
      </c>
      <c r="E81" s="1769">
        <v>8</v>
      </c>
      <c r="F81" s="1770"/>
      <c r="G81" s="1770">
        <v>10</v>
      </c>
      <c r="H81" s="1120">
        <f>SUM(E81:G81)</f>
        <v>18</v>
      </c>
      <c r="I81" s="1119">
        <v>10</v>
      </c>
      <c r="J81" s="1119"/>
      <c r="K81" s="1119">
        <v>15</v>
      </c>
      <c r="L81" s="1120">
        <f>SUM(I81:K81)</f>
        <v>25</v>
      </c>
      <c r="M81" s="1119">
        <v>19</v>
      </c>
      <c r="N81" s="1119"/>
      <c r="O81" s="1119">
        <v>10</v>
      </c>
      <c r="P81" s="1120">
        <f>SUM(M81:O81)</f>
        <v>29</v>
      </c>
      <c r="Q81" s="1119">
        <v>5</v>
      </c>
      <c r="R81" s="1119"/>
      <c r="S81" s="1119">
        <v>8</v>
      </c>
      <c r="T81" s="1120">
        <f>SUM(Q81:S81)</f>
        <v>13</v>
      </c>
      <c r="U81" s="1119">
        <v>4</v>
      </c>
      <c r="V81" s="1119"/>
      <c r="W81" s="1119">
        <v>19</v>
      </c>
      <c r="X81" s="1120">
        <f>SUM(U81:W81)</f>
        <v>23</v>
      </c>
      <c r="Y81" s="1119">
        <v>9</v>
      </c>
      <c r="Z81" s="1119"/>
      <c r="AA81" s="1119">
        <v>19</v>
      </c>
      <c r="AB81" s="1120">
        <f>SUM(Y81:AA81)</f>
        <v>28</v>
      </c>
      <c r="AC81" s="1119"/>
      <c r="AD81" s="1119"/>
      <c r="AE81" s="1119">
        <v>32</v>
      </c>
      <c r="AF81" s="1120">
        <f>SUM(AC81:AE81)</f>
        <v>32</v>
      </c>
      <c r="AG81" s="1780">
        <v>15</v>
      </c>
      <c r="AH81" s="1781"/>
      <c r="AI81" s="1776">
        <v>22</v>
      </c>
      <c r="AJ81" s="1120">
        <f>SUM(AG81:AI81)</f>
        <v>37</v>
      </c>
      <c r="AK81" s="1780">
        <v>10</v>
      </c>
      <c r="AL81" s="1781"/>
      <c r="AM81" s="1776">
        <v>19</v>
      </c>
      <c r="AN81" s="1120">
        <f>SUM(AK81:AM81)</f>
        <v>29</v>
      </c>
      <c r="AO81" s="1780">
        <v>15</v>
      </c>
      <c r="AP81" s="1781"/>
      <c r="AQ81" s="1776">
        <v>15</v>
      </c>
      <c r="AR81" s="1120">
        <f t="shared" si="35"/>
        <v>30</v>
      </c>
      <c r="AS81" s="1780">
        <v>7</v>
      </c>
      <c r="AT81" s="1781"/>
      <c r="AU81" s="1776">
        <v>13</v>
      </c>
      <c r="AV81" s="1120">
        <f t="shared" si="36"/>
        <v>20</v>
      </c>
      <c r="AW81" s="1780">
        <v>19</v>
      </c>
      <c r="AX81" s="1781"/>
      <c r="AY81" s="1776">
        <v>17</v>
      </c>
      <c r="AZ81" s="1120">
        <f t="shared" si="37"/>
        <v>36</v>
      </c>
      <c r="BA81" s="1780">
        <v>11</v>
      </c>
      <c r="BB81" s="1781"/>
      <c r="BC81" s="1776">
        <v>22</v>
      </c>
      <c r="BD81" s="1120">
        <f t="shared" si="38"/>
        <v>33</v>
      </c>
    </row>
    <row r="82" spans="1:56" s="212" customFormat="1" ht="15" x14ac:dyDescent="0.2">
      <c r="A82" s="5462"/>
      <c r="B82" s="5464"/>
      <c r="C82" s="1105"/>
      <c r="D82" s="1106" t="s">
        <v>160</v>
      </c>
      <c r="E82" s="1762">
        <f>SUM(E73:E81)</f>
        <v>45</v>
      </c>
      <c r="F82" s="1763">
        <f>SUM(F73:F81)</f>
        <v>2</v>
      </c>
      <c r="G82" s="1763">
        <f t="shared" ref="G82:AR82" si="39">SUM(G73:G81)</f>
        <v>97</v>
      </c>
      <c r="H82" s="1764">
        <f t="shared" si="39"/>
        <v>144</v>
      </c>
      <c r="I82" s="1762">
        <f t="shared" si="39"/>
        <v>39</v>
      </c>
      <c r="J82" s="1763">
        <f t="shared" si="39"/>
        <v>3</v>
      </c>
      <c r="K82" s="1763">
        <f t="shared" si="39"/>
        <v>103</v>
      </c>
      <c r="L82" s="1765">
        <f t="shared" si="39"/>
        <v>145</v>
      </c>
      <c r="M82" s="1762">
        <f t="shared" si="39"/>
        <v>64</v>
      </c>
      <c r="N82" s="1763">
        <f t="shared" si="39"/>
        <v>6</v>
      </c>
      <c r="O82" s="1763">
        <f t="shared" si="39"/>
        <v>109</v>
      </c>
      <c r="P82" s="1765">
        <f t="shared" si="39"/>
        <v>179</v>
      </c>
      <c r="Q82" s="1762">
        <f t="shared" si="39"/>
        <v>33</v>
      </c>
      <c r="R82" s="1763">
        <f t="shared" si="39"/>
        <v>7</v>
      </c>
      <c r="S82" s="1763">
        <f t="shared" si="39"/>
        <v>112</v>
      </c>
      <c r="T82" s="1765">
        <f t="shared" si="39"/>
        <v>152</v>
      </c>
      <c r="U82" s="1762">
        <f t="shared" si="39"/>
        <v>26</v>
      </c>
      <c r="V82" s="1763">
        <f t="shared" si="39"/>
        <v>21</v>
      </c>
      <c r="W82" s="1763">
        <f t="shared" si="39"/>
        <v>161</v>
      </c>
      <c r="X82" s="1765">
        <f t="shared" si="39"/>
        <v>208</v>
      </c>
      <c r="Y82" s="1762">
        <f t="shared" si="39"/>
        <v>19</v>
      </c>
      <c r="Z82" s="1763">
        <f t="shared" si="39"/>
        <v>9</v>
      </c>
      <c r="AA82" s="1763">
        <f t="shared" si="39"/>
        <v>192</v>
      </c>
      <c r="AB82" s="1765">
        <f t="shared" si="39"/>
        <v>220</v>
      </c>
      <c r="AC82" s="1762">
        <f t="shared" si="39"/>
        <v>16</v>
      </c>
      <c r="AD82" s="1763">
        <f t="shared" si="39"/>
        <v>7</v>
      </c>
      <c r="AE82" s="1763">
        <f t="shared" si="39"/>
        <v>184</v>
      </c>
      <c r="AF82" s="1765">
        <f t="shared" si="39"/>
        <v>207</v>
      </c>
      <c r="AG82" s="1762">
        <f t="shared" si="39"/>
        <v>50</v>
      </c>
      <c r="AH82" s="1763">
        <f t="shared" si="39"/>
        <v>11</v>
      </c>
      <c r="AI82" s="1763">
        <f t="shared" si="39"/>
        <v>265</v>
      </c>
      <c r="AJ82" s="1765">
        <f t="shared" si="39"/>
        <v>326</v>
      </c>
      <c r="AK82" s="1762">
        <f t="shared" si="39"/>
        <v>39</v>
      </c>
      <c r="AL82" s="1763">
        <f t="shared" si="39"/>
        <v>6</v>
      </c>
      <c r="AM82" s="1763">
        <f t="shared" si="39"/>
        <v>246</v>
      </c>
      <c r="AN82" s="1765">
        <f t="shared" si="39"/>
        <v>291</v>
      </c>
      <c r="AO82" s="1762">
        <f t="shared" si="39"/>
        <v>67</v>
      </c>
      <c r="AP82" s="1763">
        <f t="shared" si="39"/>
        <v>15</v>
      </c>
      <c r="AQ82" s="1763">
        <f t="shared" si="39"/>
        <v>186</v>
      </c>
      <c r="AR82" s="1765">
        <f t="shared" si="39"/>
        <v>268</v>
      </c>
      <c r="AS82" s="1762">
        <f t="shared" ref="AS82:AZ82" si="40">SUM(AS73:AS81)</f>
        <v>38</v>
      </c>
      <c r="AT82" s="1763">
        <f t="shared" si="40"/>
        <v>6</v>
      </c>
      <c r="AU82" s="1763">
        <f t="shared" si="40"/>
        <v>213</v>
      </c>
      <c r="AV82" s="1765">
        <f t="shared" si="40"/>
        <v>257</v>
      </c>
      <c r="AW82" s="1762">
        <f t="shared" si="40"/>
        <v>43</v>
      </c>
      <c r="AX82" s="1763">
        <f t="shared" si="40"/>
        <v>9</v>
      </c>
      <c r="AY82" s="1763">
        <f t="shared" si="40"/>
        <v>224</v>
      </c>
      <c r="AZ82" s="1765">
        <f t="shared" si="40"/>
        <v>276</v>
      </c>
      <c r="BA82" s="1762">
        <f t="shared" ref="BA82:BD82" si="41">SUM(BA73:BA81)</f>
        <v>33</v>
      </c>
      <c r="BB82" s="1763">
        <f t="shared" si="41"/>
        <v>6</v>
      </c>
      <c r="BC82" s="1763">
        <f>SUM(BC73:BC81)</f>
        <v>181</v>
      </c>
      <c r="BD82" s="1765">
        <f t="shared" si="41"/>
        <v>220</v>
      </c>
    </row>
    <row r="83" spans="1:56" s="212" customFormat="1" ht="15" x14ac:dyDescent="0.2">
      <c r="A83" s="5463"/>
      <c r="B83" s="4129"/>
      <c r="C83" s="4129"/>
      <c r="D83" s="3988" t="s">
        <v>530</v>
      </c>
      <c r="E83" s="4110">
        <f t="shared" ref="E83:AV83" si="42">SUM(E82,E72,E60)</f>
        <v>71</v>
      </c>
      <c r="F83" s="4111">
        <f t="shared" si="42"/>
        <v>32</v>
      </c>
      <c r="G83" s="4111">
        <f t="shared" si="42"/>
        <v>485</v>
      </c>
      <c r="H83" s="4112">
        <f t="shared" si="42"/>
        <v>588</v>
      </c>
      <c r="I83" s="4113">
        <f t="shared" si="42"/>
        <v>109</v>
      </c>
      <c r="J83" s="4114">
        <f t="shared" si="42"/>
        <v>68</v>
      </c>
      <c r="K83" s="4114">
        <f t="shared" si="42"/>
        <v>551</v>
      </c>
      <c r="L83" s="4115">
        <f t="shared" si="42"/>
        <v>728</v>
      </c>
      <c r="M83" s="4113">
        <f t="shared" si="42"/>
        <v>277</v>
      </c>
      <c r="N83" s="4114">
        <f t="shared" si="42"/>
        <v>45</v>
      </c>
      <c r="O83" s="4114">
        <f t="shared" si="42"/>
        <v>331</v>
      </c>
      <c r="P83" s="4115">
        <f t="shared" si="42"/>
        <v>653</v>
      </c>
      <c r="Q83" s="4113">
        <f t="shared" si="42"/>
        <v>269</v>
      </c>
      <c r="R83" s="4114">
        <f t="shared" si="42"/>
        <v>44</v>
      </c>
      <c r="S83" s="4114">
        <f t="shared" si="42"/>
        <v>468</v>
      </c>
      <c r="T83" s="4115">
        <f t="shared" si="42"/>
        <v>781</v>
      </c>
      <c r="U83" s="4113">
        <f t="shared" si="42"/>
        <v>335</v>
      </c>
      <c r="V83" s="4114">
        <f t="shared" si="42"/>
        <v>41</v>
      </c>
      <c r="W83" s="4114">
        <f t="shared" si="42"/>
        <v>475</v>
      </c>
      <c r="X83" s="4115">
        <f t="shared" si="42"/>
        <v>851</v>
      </c>
      <c r="Y83" s="4116">
        <f t="shared" si="42"/>
        <v>155</v>
      </c>
      <c r="Z83" s="4116">
        <f t="shared" si="42"/>
        <v>28</v>
      </c>
      <c r="AA83" s="4116">
        <f t="shared" si="42"/>
        <v>853</v>
      </c>
      <c r="AB83" s="4116">
        <f t="shared" si="42"/>
        <v>1036</v>
      </c>
      <c r="AC83" s="4113">
        <f t="shared" si="42"/>
        <v>32</v>
      </c>
      <c r="AD83" s="4114">
        <f t="shared" si="42"/>
        <v>282</v>
      </c>
      <c r="AE83" s="4114">
        <f t="shared" si="42"/>
        <v>545</v>
      </c>
      <c r="AF83" s="4115">
        <f t="shared" si="42"/>
        <v>859</v>
      </c>
      <c r="AG83" s="4116">
        <f t="shared" si="42"/>
        <v>92</v>
      </c>
      <c r="AH83" s="4116">
        <f t="shared" si="42"/>
        <v>27</v>
      </c>
      <c r="AI83" s="4116">
        <f t="shared" si="42"/>
        <v>998</v>
      </c>
      <c r="AJ83" s="4116">
        <f t="shared" si="42"/>
        <v>1117</v>
      </c>
      <c r="AK83" s="4113">
        <f t="shared" si="42"/>
        <v>95</v>
      </c>
      <c r="AL83" s="4114">
        <f t="shared" si="42"/>
        <v>31</v>
      </c>
      <c r="AM83" s="4114">
        <f t="shared" si="42"/>
        <v>635</v>
      </c>
      <c r="AN83" s="4115">
        <f t="shared" si="42"/>
        <v>761</v>
      </c>
      <c r="AO83" s="4113">
        <f t="shared" si="42"/>
        <v>117</v>
      </c>
      <c r="AP83" s="4114">
        <f t="shared" si="42"/>
        <v>29</v>
      </c>
      <c r="AQ83" s="4114">
        <f t="shared" si="42"/>
        <v>981</v>
      </c>
      <c r="AR83" s="4115">
        <f t="shared" si="42"/>
        <v>1127</v>
      </c>
      <c r="AS83" s="4113">
        <f t="shared" si="42"/>
        <v>148</v>
      </c>
      <c r="AT83" s="4114">
        <f t="shared" si="42"/>
        <v>28</v>
      </c>
      <c r="AU83" s="4114">
        <f t="shared" si="42"/>
        <v>499</v>
      </c>
      <c r="AV83" s="4115">
        <f t="shared" si="42"/>
        <v>675</v>
      </c>
      <c r="AW83" s="4113">
        <f t="shared" ref="AW83:AZ83" si="43">SUM(AW82,AW72,AW60)</f>
        <v>130</v>
      </c>
      <c r="AX83" s="4114">
        <f t="shared" si="43"/>
        <v>74</v>
      </c>
      <c r="AY83" s="4114">
        <f t="shared" si="43"/>
        <v>1025</v>
      </c>
      <c r="AZ83" s="4115">
        <f t="shared" si="43"/>
        <v>1229</v>
      </c>
      <c r="BA83" s="4113">
        <f>SUM(BA82,BA72,BA60)</f>
        <v>190</v>
      </c>
      <c r="BB83" s="4114">
        <f>SUM(BB82,BB72,BB60)</f>
        <v>49</v>
      </c>
      <c r="BC83" s="4114">
        <f>SUM(BC60,BC72,BC82)</f>
        <v>554</v>
      </c>
      <c r="BD83" s="4115">
        <f>SUM(BD60,BD72,BD82)</f>
        <v>793</v>
      </c>
    </row>
    <row r="84" spans="1:56" s="212" customFormat="1" ht="15" x14ac:dyDescent="0.2">
      <c r="A84" s="5447" t="s">
        <v>448</v>
      </c>
      <c r="B84" s="5447" t="s">
        <v>6</v>
      </c>
      <c r="C84" s="5455" t="s">
        <v>528</v>
      </c>
      <c r="D84" s="1116" t="s">
        <v>58</v>
      </c>
      <c r="E84" s="1771"/>
      <c r="F84" s="1772"/>
      <c r="G84" s="1772"/>
      <c r="H84" s="1110"/>
      <c r="I84" s="1109"/>
      <c r="J84" s="1109"/>
      <c r="K84" s="1109"/>
      <c r="L84" s="1110"/>
      <c r="M84" s="1109"/>
      <c r="N84" s="1109"/>
      <c r="O84" s="1109"/>
      <c r="P84" s="1110"/>
      <c r="Q84" s="1109"/>
      <c r="R84" s="1109"/>
      <c r="S84" s="1109">
        <v>95</v>
      </c>
      <c r="T84" s="1110">
        <f>SUM(Q84:S84)</f>
        <v>95</v>
      </c>
      <c r="U84" s="1109"/>
      <c r="V84" s="1109"/>
      <c r="W84" s="1109"/>
      <c r="X84" s="1110"/>
      <c r="Y84" s="1109"/>
      <c r="Z84" s="1109"/>
      <c r="AA84" s="1109">
        <v>118</v>
      </c>
      <c r="AB84" s="1110">
        <f>SUM(Y84:AA84)</f>
        <v>118</v>
      </c>
      <c r="AC84" s="1109"/>
      <c r="AD84" s="1109"/>
      <c r="AE84" s="1109"/>
      <c r="AF84" s="1110"/>
      <c r="AG84" s="1109"/>
      <c r="AH84" s="1109"/>
      <c r="AI84" s="1109"/>
      <c r="AJ84" s="1110"/>
      <c r="AK84" s="1109"/>
      <c r="AL84" s="1109"/>
      <c r="AM84" s="1109"/>
      <c r="AN84" s="1110"/>
      <c r="AO84" s="1109"/>
      <c r="AP84" s="1109"/>
      <c r="AQ84" s="1109">
        <v>222</v>
      </c>
      <c r="AR84" s="1110">
        <f>SUM(AO84:AQ84)</f>
        <v>222</v>
      </c>
      <c r="AS84" s="1109"/>
      <c r="AT84" s="1109"/>
      <c r="AU84" s="1109"/>
      <c r="AV84" s="1127"/>
      <c r="AW84" s="1109"/>
      <c r="AX84" s="1109"/>
      <c r="AY84" s="1109"/>
      <c r="AZ84" s="1113">
        <f t="shared" ref="AZ84:AZ92" si="44">SUM(AW84:AY84)</f>
        <v>0</v>
      </c>
      <c r="BA84" s="1109"/>
      <c r="BB84" s="1109"/>
      <c r="BC84" s="1109"/>
      <c r="BD84" s="1113">
        <f t="shared" ref="BD84:BD92" si="45">SUM(BA84:BC84)</f>
        <v>0</v>
      </c>
    </row>
    <row r="85" spans="1:56" s="212" customFormat="1" ht="15" x14ac:dyDescent="0.2">
      <c r="A85" s="5448"/>
      <c r="B85" s="5448"/>
      <c r="C85" s="5465"/>
      <c r="D85" s="1117" t="s">
        <v>390</v>
      </c>
      <c r="E85" s="1768"/>
      <c r="F85" s="1767"/>
      <c r="G85" s="1767"/>
      <c r="H85" s="1113"/>
      <c r="I85" s="1112"/>
      <c r="J85" s="1112"/>
      <c r="K85" s="1112"/>
      <c r="L85" s="1113"/>
      <c r="M85" s="1112"/>
      <c r="N85" s="1112"/>
      <c r="O85" s="1112">
        <v>70</v>
      </c>
      <c r="P85" s="1113">
        <f>SUM(M85:O85)</f>
        <v>70</v>
      </c>
      <c r="Q85" s="1112"/>
      <c r="R85" s="1112"/>
      <c r="S85" s="1112"/>
      <c r="T85" s="1113"/>
      <c r="U85" s="1112"/>
      <c r="V85" s="1112"/>
      <c r="W85" s="1112"/>
      <c r="X85" s="1113"/>
      <c r="Y85" s="1112"/>
      <c r="Z85" s="1112"/>
      <c r="AA85" s="1112"/>
      <c r="AB85" s="1113"/>
      <c r="AC85" s="1112"/>
      <c r="AD85" s="1112"/>
      <c r="AE85" s="1112"/>
      <c r="AF85" s="1113"/>
      <c r="AG85" s="1112"/>
      <c r="AH85" s="1112"/>
      <c r="AI85" s="1112"/>
      <c r="AJ85" s="1113"/>
      <c r="AK85" s="1112"/>
      <c r="AL85" s="1112"/>
      <c r="AM85" s="1112"/>
      <c r="AN85" s="1113"/>
      <c r="AO85" s="1112"/>
      <c r="AP85" s="1112"/>
      <c r="AQ85" s="1112"/>
      <c r="AR85" s="1113"/>
      <c r="AS85" s="1112"/>
      <c r="AT85" s="1112"/>
      <c r="AU85" s="1112">
        <v>117</v>
      </c>
      <c r="AV85" s="1113">
        <f>SUM(AS85:AU85)</f>
        <v>117</v>
      </c>
      <c r="AW85" s="1112"/>
      <c r="AX85" s="1112"/>
      <c r="AY85" s="1112"/>
      <c r="AZ85" s="1113">
        <f t="shared" si="44"/>
        <v>0</v>
      </c>
      <c r="BA85" s="1112"/>
      <c r="BB85" s="1112"/>
      <c r="BC85" s="1112"/>
      <c r="BD85" s="1113">
        <f t="shared" si="45"/>
        <v>0</v>
      </c>
    </row>
    <row r="86" spans="1:56" s="212" customFormat="1" ht="15" x14ac:dyDescent="0.2">
      <c r="A86" s="5448"/>
      <c r="B86" s="5448"/>
      <c r="C86" s="5455" t="s">
        <v>527</v>
      </c>
      <c r="D86" s="1117" t="s">
        <v>89</v>
      </c>
      <c r="E86" s="1768"/>
      <c r="F86" s="1767"/>
      <c r="G86" s="1767"/>
      <c r="H86" s="1113"/>
      <c r="I86" s="1112"/>
      <c r="J86" s="1112"/>
      <c r="K86" s="1112">
        <v>120</v>
      </c>
      <c r="L86" s="1113">
        <f>SUM(I86:K86)</f>
        <v>120</v>
      </c>
      <c r="M86" s="1112"/>
      <c r="N86" s="1112"/>
      <c r="O86" s="1112"/>
      <c r="P86" s="1113"/>
      <c r="Q86" s="1112"/>
      <c r="R86" s="1112"/>
      <c r="S86" s="1112"/>
      <c r="T86" s="1113"/>
      <c r="U86" s="1112"/>
      <c r="V86" s="1112"/>
      <c r="W86" s="1112">
        <v>31</v>
      </c>
      <c r="X86" s="1113">
        <f>SUM(U86:W86)</f>
        <v>31</v>
      </c>
      <c r="Y86" s="1112"/>
      <c r="Z86" s="1112"/>
      <c r="AA86" s="1112"/>
      <c r="AB86" s="1113"/>
      <c r="AC86" s="1112"/>
      <c r="AD86" s="1112"/>
      <c r="AE86" s="1112"/>
      <c r="AF86" s="1113"/>
      <c r="AG86" s="1112"/>
      <c r="AH86" s="1112"/>
      <c r="AI86" s="1112">
        <v>199</v>
      </c>
      <c r="AJ86" s="1113">
        <f>SUM(AG86:AI86)</f>
        <v>199</v>
      </c>
      <c r="AK86" s="1112"/>
      <c r="AL86" s="1112"/>
      <c r="AM86" s="1112"/>
      <c r="AN86" s="1113"/>
      <c r="AO86" s="1112"/>
      <c r="AP86" s="1112"/>
      <c r="AQ86" s="1112"/>
      <c r="AR86" s="1113"/>
      <c r="AS86" s="1112"/>
      <c r="AT86" s="1112"/>
      <c r="AU86" s="1112"/>
      <c r="AV86" s="1113"/>
      <c r="AW86" s="1112"/>
      <c r="AX86" s="1112"/>
      <c r="AY86" s="1112">
        <v>208</v>
      </c>
      <c r="AZ86" s="1113">
        <f t="shared" si="44"/>
        <v>208</v>
      </c>
      <c r="BA86" s="1112"/>
      <c r="BB86" s="1112"/>
      <c r="BC86" s="1112"/>
      <c r="BD86" s="1113">
        <f t="shared" si="45"/>
        <v>0</v>
      </c>
    </row>
    <row r="87" spans="1:56" s="212" customFormat="1" ht="15" x14ac:dyDescent="0.2">
      <c r="A87" s="5448"/>
      <c r="B87" s="5448"/>
      <c r="C87" s="5456"/>
      <c r="D87" s="1117" t="s">
        <v>391</v>
      </c>
      <c r="E87" s="1768"/>
      <c r="F87" s="1767"/>
      <c r="G87" s="1767">
        <v>76</v>
      </c>
      <c r="H87" s="1113">
        <f>SUM(E87:G87)</f>
        <v>76</v>
      </c>
      <c r="I87" s="1112"/>
      <c r="J87" s="1112"/>
      <c r="K87" s="1112"/>
      <c r="L87" s="1113"/>
      <c r="M87" s="1112"/>
      <c r="N87" s="1112"/>
      <c r="O87" s="1112"/>
      <c r="P87" s="1113"/>
      <c r="Q87" s="1112"/>
      <c r="R87" s="1112"/>
      <c r="S87" s="1112"/>
      <c r="T87" s="1113"/>
      <c r="U87" s="1112"/>
      <c r="V87" s="1112"/>
      <c r="W87" s="1112">
        <v>77</v>
      </c>
      <c r="X87" s="1113">
        <f>SUM(U87:W87)</f>
        <v>77</v>
      </c>
      <c r="Y87" s="1112"/>
      <c r="Z87" s="1112"/>
      <c r="AA87" s="1112"/>
      <c r="AB87" s="1113"/>
      <c r="AC87" s="1112"/>
      <c r="AD87" s="1112"/>
      <c r="AE87" s="1112">
        <v>83</v>
      </c>
      <c r="AF87" s="1113">
        <f>SUM(AC87:AE87)</f>
        <v>83</v>
      </c>
      <c r="AG87" s="1112"/>
      <c r="AH87" s="1112"/>
      <c r="AI87" s="1112"/>
      <c r="AJ87" s="1113"/>
      <c r="AK87" s="1112"/>
      <c r="AL87" s="1112"/>
      <c r="AM87" s="1112">
        <v>95</v>
      </c>
      <c r="AN87" s="1113">
        <f>SUM(AK87:AM87)</f>
        <v>95</v>
      </c>
      <c r="AO87" s="1112"/>
      <c r="AP87" s="1112"/>
      <c r="AQ87" s="1112"/>
      <c r="AR87" s="1113"/>
      <c r="AS87" s="1112"/>
      <c r="AT87" s="1112"/>
      <c r="AU87" s="1112"/>
      <c r="AV87" s="1113"/>
      <c r="AW87" s="1112"/>
      <c r="AX87" s="1112"/>
      <c r="AY87" s="1112"/>
      <c r="AZ87" s="1113">
        <f t="shared" si="44"/>
        <v>0</v>
      </c>
      <c r="BA87" s="1112"/>
      <c r="BB87" s="1112"/>
      <c r="BC87" s="1112">
        <v>107</v>
      </c>
      <c r="BD87" s="1113">
        <f t="shared" si="45"/>
        <v>107</v>
      </c>
    </row>
    <row r="88" spans="1:56" s="212" customFormat="1" ht="15" x14ac:dyDescent="0.2">
      <c r="A88" s="5448"/>
      <c r="B88" s="5448"/>
      <c r="C88" s="5456"/>
      <c r="D88" s="1121" t="s">
        <v>392</v>
      </c>
      <c r="E88" s="1768"/>
      <c r="F88" s="1767">
        <v>48</v>
      </c>
      <c r="G88" s="1767"/>
      <c r="H88" s="1113">
        <f>SUM(E88:G88)</f>
        <v>48</v>
      </c>
      <c r="I88" s="1112"/>
      <c r="J88" s="1112"/>
      <c r="K88" s="1112">
        <v>39</v>
      </c>
      <c r="L88" s="1113">
        <f t="shared" ref="L88:L93" si="46">SUM(I88:K88)</f>
        <v>39</v>
      </c>
      <c r="M88" s="1112"/>
      <c r="N88" s="1112"/>
      <c r="O88" s="1112"/>
      <c r="P88" s="1113"/>
      <c r="Q88" s="1112"/>
      <c r="R88" s="1112"/>
      <c r="S88" s="1112">
        <v>41</v>
      </c>
      <c r="T88" s="1113">
        <f t="shared" ref="T88:T93" si="47">SUM(Q88:S88)</f>
        <v>41</v>
      </c>
      <c r="U88" s="1112"/>
      <c r="V88" s="1112"/>
      <c r="W88" s="1112"/>
      <c r="X88" s="1113"/>
      <c r="Y88" s="1112"/>
      <c r="Z88" s="1112"/>
      <c r="AA88" s="1112">
        <v>74</v>
      </c>
      <c r="AB88" s="1113">
        <f t="shared" ref="AB88:AB93" si="48">SUM(Y88:AA88)</f>
        <v>74</v>
      </c>
      <c r="AC88" s="1112"/>
      <c r="AD88" s="1112"/>
      <c r="AE88" s="1112"/>
      <c r="AF88" s="1113"/>
      <c r="AG88" s="1112"/>
      <c r="AH88" s="1112"/>
      <c r="AI88" s="1112">
        <v>101</v>
      </c>
      <c r="AJ88" s="1113">
        <f>SUM(AG88:AI88)</f>
        <v>101</v>
      </c>
      <c r="AK88" s="1112"/>
      <c r="AL88" s="1112"/>
      <c r="AM88" s="1112"/>
      <c r="AN88" s="1113"/>
      <c r="AO88" s="1112"/>
      <c r="AP88" s="1112"/>
      <c r="AQ88" s="1112">
        <v>249</v>
      </c>
      <c r="AR88" s="1113">
        <f t="shared" ref="AR88:AR94" si="49">SUM(AO88:AQ88)</f>
        <v>249</v>
      </c>
      <c r="AS88" s="1112"/>
      <c r="AT88" s="1112"/>
      <c r="AU88" s="1112"/>
      <c r="AV88" s="1113"/>
      <c r="AW88" s="1112"/>
      <c r="AX88" s="1112"/>
      <c r="AY88" s="1112">
        <v>236</v>
      </c>
      <c r="AZ88" s="1113">
        <f t="shared" si="44"/>
        <v>236</v>
      </c>
      <c r="BA88" s="1112"/>
      <c r="BB88" s="1112"/>
      <c r="BC88" s="1112"/>
      <c r="BD88" s="1113">
        <f t="shared" si="45"/>
        <v>0</v>
      </c>
    </row>
    <row r="89" spans="1:56" s="212" customFormat="1" ht="15" x14ac:dyDescent="0.2">
      <c r="A89" s="5448"/>
      <c r="B89" s="5448"/>
      <c r="C89" s="5456"/>
      <c r="D89" s="1121" t="s">
        <v>349</v>
      </c>
      <c r="E89" s="1768"/>
      <c r="F89" s="1767"/>
      <c r="G89" s="1767"/>
      <c r="H89" s="1113"/>
      <c r="I89" s="1112"/>
      <c r="J89" s="1112"/>
      <c r="K89" s="1112">
        <v>29</v>
      </c>
      <c r="L89" s="1113">
        <f t="shared" si="46"/>
        <v>29</v>
      </c>
      <c r="M89" s="1112"/>
      <c r="N89" s="1112"/>
      <c r="O89" s="1112"/>
      <c r="P89" s="1113"/>
      <c r="Q89" s="1112"/>
      <c r="R89" s="1112"/>
      <c r="S89" s="1112">
        <v>33</v>
      </c>
      <c r="T89" s="1113">
        <f t="shared" si="47"/>
        <v>33</v>
      </c>
      <c r="U89" s="1112"/>
      <c r="V89" s="1112"/>
      <c r="W89" s="1112"/>
      <c r="X89" s="1113"/>
      <c r="Y89" s="1112"/>
      <c r="Z89" s="1112"/>
      <c r="AA89" s="1112">
        <v>44</v>
      </c>
      <c r="AB89" s="1113">
        <f t="shared" si="48"/>
        <v>44</v>
      </c>
      <c r="AC89" s="1112"/>
      <c r="AD89" s="1112"/>
      <c r="AE89" s="1112"/>
      <c r="AF89" s="1113"/>
      <c r="AG89" s="1112"/>
      <c r="AH89" s="1112"/>
      <c r="AI89" s="1112">
        <v>48</v>
      </c>
      <c r="AJ89" s="1113">
        <f>SUM(AG89:AI89)</f>
        <v>48</v>
      </c>
      <c r="AK89" s="1112"/>
      <c r="AL89" s="1112"/>
      <c r="AM89" s="1112"/>
      <c r="AN89" s="1113"/>
      <c r="AO89" s="1112"/>
      <c r="AP89" s="1112"/>
      <c r="AQ89" s="1112">
        <v>54</v>
      </c>
      <c r="AR89" s="1113">
        <f t="shared" si="49"/>
        <v>54</v>
      </c>
      <c r="AS89" s="1112"/>
      <c r="AT89" s="1112"/>
      <c r="AU89" s="1112"/>
      <c r="AV89" s="1113"/>
      <c r="AW89" s="1112"/>
      <c r="AX89" s="1112"/>
      <c r="AY89" s="1112">
        <v>30</v>
      </c>
      <c r="AZ89" s="1113">
        <f t="shared" si="44"/>
        <v>30</v>
      </c>
      <c r="BA89" s="1112"/>
      <c r="BB89" s="1112"/>
      <c r="BC89" s="1112"/>
      <c r="BD89" s="1113">
        <f t="shared" si="45"/>
        <v>0</v>
      </c>
    </row>
    <row r="90" spans="1:56" s="212" customFormat="1" ht="15" x14ac:dyDescent="0.2">
      <c r="A90" s="5448"/>
      <c r="B90" s="5448"/>
      <c r="C90" s="5456"/>
      <c r="D90" s="1121" t="s">
        <v>19</v>
      </c>
      <c r="E90" s="1768"/>
      <c r="F90" s="1767"/>
      <c r="G90" s="1767"/>
      <c r="H90" s="1113"/>
      <c r="I90" s="1112"/>
      <c r="J90" s="1112"/>
      <c r="K90" s="1112">
        <v>119</v>
      </c>
      <c r="L90" s="1113">
        <f t="shared" si="46"/>
        <v>119</v>
      </c>
      <c r="M90" s="1112"/>
      <c r="N90" s="1112"/>
      <c r="O90" s="1112"/>
      <c r="P90" s="1113"/>
      <c r="Q90" s="1112"/>
      <c r="R90" s="1112"/>
      <c r="S90" s="1112">
        <v>87</v>
      </c>
      <c r="T90" s="1113">
        <f t="shared" si="47"/>
        <v>87</v>
      </c>
      <c r="U90" s="1112"/>
      <c r="V90" s="1112"/>
      <c r="W90" s="1112"/>
      <c r="X90" s="1113"/>
      <c r="Y90" s="1112"/>
      <c r="Z90" s="1112"/>
      <c r="AA90" s="1112">
        <v>63</v>
      </c>
      <c r="AB90" s="1113">
        <f t="shared" si="48"/>
        <v>63</v>
      </c>
      <c r="AC90" s="1112"/>
      <c r="AD90" s="1112"/>
      <c r="AE90" s="1112"/>
      <c r="AF90" s="1113"/>
      <c r="AG90" s="1112"/>
      <c r="AH90" s="1112"/>
      <c r="AI90" s="1112">
        <v>75</v>
      </c>
      <c r="AJ90" s="1113">
        <f>SUM(AG90:AI90)</f>
        <v>75</v>
      </c>
      <c r="AK90" s="1112"/>
      <c r="AL90" s="1112"/>
      <c r="AM90" s="1112"/>
      <c r="AN90" s="1113"/>
      <c r="AO90" s="1112"/>
      <c r="AP90" s="1112"/>
      <c r="AQ90" s="1112">
        <v>110</v>
      </c>
      <c r="AR90" s="1113">
        <f t="shared" si="49"/>
        <v>110</v>
      </c>
      <c r="AS90" s="1112"/>
      <c r="AT90" s="1112"/>
      <c r="AU90" s="1112"/>
      <c r="AV90" s="1113"/>
      <c r="AW90" s="1112"/>
      <c r="AX90" s="1112"/>
      <c r="AY90" s="1112">
        <v>137</v>
      </c>
      <c r="AZ90" s="1113">
        <f t="shared" si="44"/>
        <v>137</v>
      </c>
      <c r="BA90" s="1112"/>
      <c r="BB90" s="1112"/>
      <c r="BC90" s="1112"/>
      <c r="BD90" s="1113">
        <f t="shared" si="45"/>
        <v>0</v>
      </c>
    </row>
    <row r="91" spans="1:56" s="212" customFormat="1" ht="15" x14ac:dyDescent="0.25">
      <c r="A91" s="5448"/>
      <c r="B91" s="5448"/>
      <c r="C91" s="5456"/>
      <c r="D91" s="1121" t="s">
        <v>88</v>
      </c>
      <c r="E91" s="1768"/>
      <c r="F91" s="1767"/>
      <c r="G91" s="1767"/>
      <c r="H91" s="1113"/>
      <c r="I91" s="1112"/>
      <c r="J91" s="1112"/>
      <c r="K91" s="1112">
        <v>63</v>
      </c>
      <c r="L91" s="1113">
        <f t="shared" si="46"/>
        <v>63</v>
      </c>
      <c r="M91" s="1112"/>
      <c r="N91" s="1112"/>
      <c r="O91" s="1112"/>
      <c r="P91" s="1113"/>
      <c r="Q91" s="1112"/>
      <c r="R91" s="1112"/>
      <c r="S91" s="1112">
        <v>47</v>
      </c>
      <c r="T91" s="1113">
        <f t="shared" si="47"/>
        <v>47</v>
      </c>
      <c r="U91" s="1112"/>
      <c r="V91" s="1112"/>
      <c r="W91" s="1112"/>
      <c r="X91" s="1113"/>
      <c r="Y91" s="1112"/>
      <c r="Z91" s="1112"/>
      <c r="AA91" s="1112">
        <v>62</v>
      </c>
      <c r="AB91" s="1113">
        <f t="shared" si="48"/>
        <v>62</v>
      </c>
      <c r="AC91" s="1112"/>
      <c r="AD91" s="1112"/>
      <c r="AE91" s="1112"/>
      <c r="AF91" s="1113"/>
      <c r="AG91" s="1112"/>
      <c r="AH91" s="1112"/>
      <c r="AI91" s="1775">
        <v>94</v>
      </c>
      <c r="AJ91" s="1113">
        <f>SUM(AG91:AI91)</f>
        <v>94</v>
      </c>
      <c r="AK91" s="1112"/>
      <c r="AL91" s="1112"/>
      <c r="AM91" s="1775"/>
      <c r="AN91" s="1113"/>
      <c r="AO91" s="1112"/>
      <c r="AP91" s="1112"/>
      <c r="AQ91" s="1775">
        <v>82</v>
      </c>
      <c r="AR91" s="1113">
        <f t="shared" si="49"/>
        <v>82</v>
      </c>
      <c r="AS91" s="1112"/>
      <c r="AT91" s="1112"/>
      <c r="AU91" s="1775"/>
      <c r="AV91" s="1113"/>
      <c r="AW91" s="1112"/>
      <c r="AX91" s="1112"/>
      <c r="AY91" s="1775">
        <v>106</v>
      </c>
      <c r="AZ91" s="1113">
        <f t="shared" si="44"/>
        <v>106</v>
      </c>
      <c r="BA91" s="1112"/>
      <c r="BB91" s="1112"/>
      <c r="BC91" s="1775"/>
      <c r="BD91" s="1113">
        <f t="shared" si="45"/>
        <v>0</v>
      </c>
    </row>
    <row r="92" spans="1:56" s="212" customFormat="1" ht="15" x14ac:dyDescent="0.25">
      <c r="A92" s="5448"/>
      <c r="B92" s="5448"/>
      <c r="C92" s="5456"/>
      <c r="D92" s="1121" t="s">
        <v>394</v>
      </c>
      <c r="E92" s="1768"/>
      <c r="F92" s="1767"/>
      <c r="G92" s="1767"/>
      <c r="H92" s="1113"/>
      <c r="I92" s="1112"/>
      <c r="J92" s="1112"/>
      <c r="K92" s="1112">
        <v>84</v>
      </c>
      <c r="L92" s="1113">
        <f t="shared" si="46"/>
        <v>84</v>
      </c>
      <c r="M92" s="1112"/>
      <c r="N92" s="1112"/>
      <c r="O92" s="1112"/>
      <c r="P92" s="1113"/>
      <c r="Q92" s="1112"/>
      <c r="R92" s="1112"/>
      <c r="S92" s="1112">
        <v>56</v>
      </c>
      <c r="T92" s="1113">
        <f t="shared" si="47"/>
        <v>56</v>
      </c>
      <c r="U92" s="1112"/>
      <c r="V92" s="1112"/>
      <c r="W92" s="1112"/>
      <c r="X92" s="1113"/>
      <c r="Y92" s="1112"/>
      <c r="Z92" s="1112"/>
      <c r="AA92" s="1112">
        <v>48</v>
      </c>
      <c r="AB92" s="1113">
        <f t="shared" si="48"/>
        <v>48</v>
      </c>
      <c r="AC92" s="1112"/>
      <c r="AD92" s="1112"/>
      <c r="AE92" s="1112"/>
      <c r="AF92" s="1113"/>
      <c r="AG92" s="1112"/>
      <c r="AH92" s="1112"/>
      <c r="AI92" s="1775">
        <v>68</v>
      </c>
      <c r="AJ92" s="1113">
        <f>SUM(AG92:AI92)</f>
        <v>68</v>
      </c>
      <c r="AK92" s="1112"/>
      <c r="AL92" s="1112"/>
      <c r="AM92" s="1775"/>
      <c r="AN92" s="1113"/>
      <c r="AO92" s="1112"/>
      <c r="AP92" s="1112"/>
      <c r="AQ92" s="1775">
        <v>131</v>
      </c>
      <c r="AR92" s="1113">
        <f t="shared" si="49"/>
        <v>131</v>
      </c>
      <c r="AS92" s="1112"/>
      <c r="AT92" s="1112"/>
      <c r="AU92" s="1775"/>
      <c r="AV92" s="1113"/>
      <c r="AW92" s="1112"/>
      <c r="AX92" s="1112"/>
      <c r="AY92" s="1775">
        <v>145</v>
      </c>
      <c r="AZ92" s="1113">
        <f t="shared" si="44"/>
        <v>145</v>
      </c>
      <c r="BA92" s="1112"/>
      <c r="BB92" s="1112"/>
      <c r="BC92" s="1775"/>
      <c r="BD92" s="1113">
        <f t="shared" si="45"/>
        <v>0</v>
      </c>
    </row>
    <row r="93" spans="1:56" s="212" customFormat="1" ht="15" x14ac:dyDescent="0.2">
      <c r="A93" s="5448"/>
      <c r="B93" s="5448"/>
      <c r="C93" s="5456"/>
      <c r="D93" s="1117" t="s">
        <v>139</v>
      </c>
      <c r="E93" s="1768"/>
      <c r="F93" s="1767"/>
      <c r="G93" s="1767"/>
      <c r="H93" s="1113"/>
      <c r="I93" s="1112">
        <v>20</v>
      </c>
      <c r="J93" s="1112"/>
      <c r="K93" s="1112"/>
      <c r="L93" s="1113">
        <f t="shared" si="46"/>
        <v>20</v>
      </c>
      <c r="M93" s="1112">
        <v>5</v>
      </c>
      <c r="N93" s="1112"/>
      <c r="O93" s="1112"/>
      <c r="P93" s="1113">
        <f>SUM(M93:O93)</f>
        <v>5</v>
      </c>
      <c r="Q93" s="1112">
        <v>13</v>
      </c>
      <c r="R93" s="1112"/>
      <c r="S93" s="1112"/>
      <c r="T93" s="1113">
        <f t="shared" si="47"/>
        <v>13</v>
      </c>
      <c r="U93" s="1112"/>
      <c r="V93" s="1112"/>
      <c r="W93" s="1112"/>
      <c r="X93" s="1113"/>
      <c r="Y93" s="1112">
        <v>39</v>
      </c>
      <c r="Z93" s="1112"/>
      <c r="AA93" s="1112"/>
      <c r="AB93" s="1113">
        <f t="shared" si="48"/>
        <v>39</v>
      </c>
      <c r="AC93" s="1112">
        <v>28</v>
      </c>
      <c r="AD93" s="1112"/>
      <c r="AE93" s="1112"/>
      <c r="AF93" s="1113">
        <f>SUM(AC93:AE93)</f>
        <v>28</v>
      </c>
      <c r="AG93" s="1112"/>
      <c r="AH93" s="1112"/>
      <c r="AI93" s="1112"/>
      <c r="AJ93" s="1113"/>
      <c r="AK93" s="1112">
        <v>32</v>
      </c>
      <c r="AL93" s="1112"/>
      <c r="AM93" s="1112"/>
      <c r="AN93" s="1113">
        <f>SUM(AK93:AM93)</f>
        <v>32</v>
      </c>
      <c r="AO93" s="1112">
        <v>48</v>
      </c>
      <c r="AP93" s="1112"/>
      <c r="AQ93" s="1112"/>
      <c r="AR93" s="1113">
        <f t="shared" si="49"/>
        <v>48</v>
      </c>
      <c r="AS93" s="1112">
        <v>82</v>
      </c>
      <c r="AT93" s="1112"/>
      <c r="AU93" s="1112"/>
      <c r="AV93" s="1113">
        <f>SUM(AS93:AU93)</f>
        <v>82</v>
      </c>
      <c r="AW93" s="1112"/>
      <c r="AX93" s="1112"/>
      <c r="AY93" s="1112"/>
      <c r="AZ93" s="1113">
        <f>SUM(AW93:AY93)</f>
        <v>0</v>
      </c>
      <c r="BA93" s="1112">
        <v>21</v>
      </c>
      <c r="BB93" s="1112"/>
      <c r="BC93" s="1112"/>
      <c r="BD93" s="1113">
        <f>SUM(BA93:BC93)</f>
        <v>21</v>
      </c>
    </row>
    <row r="94" spans="1:56" s="212" customFormat="1" ht="15" x14ac:dyDescent="0.2">
      <c r="A94" s="5448"/>
      <c r="B94" s="5448"/>
      <c r="C94" s="5465"/>
      <c r="D94" s="1117" t="s">
        <v>419</v>
      </c>
      <c r="E94" s="1768"/>
      <c r="F94" s="1767"/>
      <c r="G94" s="1767"/>
      <c r="H94" s="1113"/>
      <c r="I94" s="1112"/>
      <c r="J94" s="1112"/>
      <c r="K94" s="1112"/>
      <c r="L94" s="1113"/>
      <c r="M94" s="1112"/>
      <c r="N94" s="1112"/>
      <c r="O94" s="1112"/>
      <c r="P94" s="1113"/>
      <c r="Q94" s="1112"/>
      <c r="R94" s="1112"/>
      <c r="S94" s="1112"/>
      <c r="T94" s="1113"/>
      <c r="U94" s="1112"/>
      <c r="V94" s="1112"/>
      <c r="W94" s="1112"/>
      <c r="X94" s="1113"/>
      <c r="Y94" s="1112"/>
      <c r="Z94" s="1112"/>
      <c r="AA94" s="1112"/>
      <c r="AB94" s="1113"/>
      <c r="AC94" s="1112"/>
      <c r="AD94" s="1112"/>
      <c r="AE94" s="1112"/>
      <c r="AF94" s="1113"/>
      <c r="AG94" s="1112"/>
      <c r="AH94" s="1112"/>
      <c r="AI94" s="1112"/>
      <c r="AJ94" s="1113"/>
      <c r="AK94" s="1112"/>
      <c r="AL94" s="1112"/>
      <c r="AM94" s="1112"/>
      <c r="AN94" s="1113"/>
      <c r="AO94" s="1112">
        <v>28</v>
      </c>
      <c r="AP94" s="1112"/>
      <c r="AQ94" s="1112"/>
      <c r="AR94" s="1113">
        <f t="shared" si="49"/>
        <v>28</v>
      </c>
      <c r="AS94" s="1112"/>
      <c r="AT94" s="1112"/>
      <c r="AU94" s="1112"/>
      <c r="AV94" s="1113"/>
      <c r="AW94" s="1112">
        <v>45</v>
      </c>
      <c r="AX94" s="1112"/>
      <c r="AY94" s="1112"/>
      <c r="AZ94" s="1113">
        <f>SUM(AW94:AY94)</f>
        <v>45</v>
      </c>
      <c r="BA94" s="1112"/>
      <c r="BB94" s="1112"/>
      <c r="BC94" s="1112"/>
      <c r="BD94" s="1113">
        <f>SUM(BA94:BC94)</f>
        <v>0</v>
      </c>
    </row>
    <row r="95" spans="1:56" s="212" customFormat="1" ht="15" x14ac:dyDescent="0.2">
      <c r="A95" s="5448"/>
      <c r="B95" s="5448"/>
      <c r="C95" s="5455" t="s">
        <v>526</v>
      </c>
      <c r="D95" s="1117" t="s">
        <v>90</v>
      </c>
      <c r="E95" s="1768"/>
      <c r="F95" s="1767"/>
      <c r="G95" s="1767">
        <v>20</v>
      </c>
      <c r="H95" s="1113">
        <f>SUM(E95:G95)</f>
        <v>20</v>
      </c>
      <c r="I95" s="1112"/>
      <c r="J95" s="1112"/>
      <c r="K95" s="1112"/>
      <c r="L95" s="1113"/>
      <c r="M95" s="1112"/>
      <c r="N95" s="1112"/>
      <c r="O95" s="1112">
        <v>28</v>
      </c>
      <c r="P95" s="1113">
        <f>SUM(M95:O95)</f>
        <v>28</v>
      </c>
      <c r="Q95" s="1112"/>
      <c r="R95" s="1112"/>
      <c r="S95" s="1112"/>
      <c r="T95" s="1113"/>
      <c r="U95" s="1112"/>
      <c r="V95" s="1112"/>
      <c r="W95" s="1112">
        <v>29</v>
      </c>
      <c r="X95" s="1113">
        <f>SUM(U95:W95)</f>
        <v>29</v>
      </c>
      <c r="Y95" s="1112"/>
      <c r="Z95" s="1112"/>
      <c r="AA95" s="1112"/>
      <c r="AB95" s="1113"/>
      <c r="AC95" s="1112"/>
      <c r="AD95" s="1112"/>
      <c r="AE95" s="1112">
        <v>18</v>
      </c>
      <c r="AF95" s="1113">
        <f>SUM(AC95:AE95)</f>
        <v>18</v>
      </c>
      <c r="AG95" s="1112"/>
      <c r="AH95" s="1112"/>
      <c r="AI95" s="1112"/>
      <c r="AJ95" s="1113"/>
      <c r="AK95" s="1112"/>
      <c r="AL95" s="1112"/>
      <c r="AM95" s="1112">
        <v>37</v>
      </c>
      <c r="AN95" s="1113">
        <f>SUM(AK95:AM95)</f>
        <v>37</v>
      </c>
      <c r="AO95" s="1112"/>
      <c r="AP95" s="1112"/>
      <c r="AQ95" s="1112"/>
      <c r="AR95" s="1113"/>
      <c r="AS95" s="1112"/>
      <c r="AT95" s="1112"/>
      <c r="AU95" s="1112">
        <v>29</v>
      </c>
      <c r="AV95" s="1113">
        <f>SUM(AS95:AU95)</f>
        <v>29</v>
      </c>
      <c r="AW95" s="1112"/>
      <c r="AX95" s="1112"/>
      <c r="AY95" s="1112"/>
      <c r="AZ95" s="1113">
        <f>SUM(AW95:AY95)</f>
        <v>0</v>
      </c>
      <c r="BA95" s="1112"/>
      <c r="BB95" s="1112"/>
      <c r="BC95" s="1112">
        <v>35</v>
      </c>
      <c r="BD95" s="1113">
        <f>SUM(BA95:BC95)</f>
        <v>35</v>
      </c>
    </row>
    <row r="96" spans="1:56" s="212" customFormat="1" ht="15" x14ac:dyDescent="0.2">
      <c r="A96" s="5448"/>
      <c r="B96" s="5448"/>
      <c r="C96" s="5456"/>
      <c r="D96" s="1117" t="s">
        <v>143</v>
      </c>
      <c r="E96" s="1768"/>
      <c r="F96" s="1767"/>
      <c r="G96" s="1767"/>
      <c r="H96" s="1113"/>
      <c r="I96" s="1112">
        <v>6</v>
      </c>
      <c r="J96" s="1112"/>
      <c r="K96" s="1112"/>
      <c r="L96" s="1113">
        <f>SUM(I96:K96)</f>
        <v>6</v>
      </c>
      <c r="M96" s="1112">
        <v>6</v>
      </c>
      <c r="N96" s="1112"/>
      <c r="O96" s="1112"/>
      <c r="P96" s="1113">
        <f>SUM(M96:O96)</f>
        <v>6</v>
      </c>
      <c r="Q96" s="1112"/>
      <c r="R96" s="1112"/>
      <c r="S96" s="1112"/>
      <c r="T96" s="1113"/>
      <c r="U96" s="1112"/>
      <c r="V96" s="1112"/>
      <c r="W96" s="1112"/>
      <c r="X96" s="1113"/>
      <c r="Y96" s="1112">
        <v>3</v>
      </c>
      <c r="Z96" s="1112"/>
      <c r="AA96" s="1112"/>
      <c r="AB96" s="1113">
        <f>SUM(Y96:AA96)</f>
        <v>3</v>
      </c>
      <c r="AC96" s="1112">
        <v>13</v>
      </c>
      <c r="AD96" s="1112"/>
      <c r="AE96" s="1112"/>
      <c r="AF96" s="1113">
        <f>SUM(AC96:AE96)</f>
        <v>13</v>
      </c>
      <c r="AG96" s="1112"/>
      <c r="AH96" s="1112"/>
      <c r="AI96" s="1112"/>
      <c r="AJ96" s="1113"/>
      <c r="AK96" s="1112">
        <v>15</v>
      </c>
      <c r="AL96" s="1112"/>
      <c r="AM96" s="1112"/>
      <c r="AN96" s="1113">
        <f>SUM(AK96:AM96)</f>
        <v>15</v>
      </c>
      <c r="AO96" s="1112">
        <v>10</v>
      </c>
      <c r="AP96" s="1112"/>
      <c r="AQ96" s="1112"/>
      <c r="AR96" s="1113">
        <f>SUM(AO96:AQ96)</f>
        <v>10</v>
      </c>
      <c r="AS96" s="1112">
        <v>16</v>
      </c>
      <c r="AT96" s="1112"/>
      <c r="AU96" s="1112"/>
      <c r="AV96" s="1113">
        <f>SUM(AS96:AU96)</f>
        <v>16</v>
      </c>
      <c r="AW96" s="1112"/>
      <c r="AX96" s="1112"/>
      <c r="AY96" s="1112"/>
      <c r="AZ96" s="1113">
        <f>SUM(AW96:AY96)</f>
        <v>0</v>
      </c>
      <c r="BA96" s="1112">
        <v>9</v>
      </c>
      <c r="BB96" s="1112"/>
      <c r="BC96" s="1112"/>
      <c r="BD96" s="1113">
        <f>SUM(BA96:BC96)</f>
        <v>9</v>
      </c>
    </row>
    <row r="97" spans="1:56" s="212" customFormat="1" ht="15" x14ac:dyDescent="0.2">
      <c r="A97" s="5448"/>
      <c r="B97" s="5448"/>
      <c r="C97" s="5456"/>
      <c r="D97" s="1118" t="s">
        <v>20</v>
      </c>
      <c r="E97" s="1769"/>
      <c r="F97" s="1770"/>
      <c r="G97" s="1770"/>
      <c r="H97" s="1120"/>
      <c r="I97" s="1119"/>
      <c r="J97" s="1119"/>
      <c r="K97" s="1119"/>
      <c r="L97" s="1120"/>
      <c r="M97" s="1119">
        <v>89</v>
      </c>
      <c r="N97" s="1119"/>
      <c r="O97" s="1119"/>
      <c r="P97" s="1120">
        <f>SUM(M97:O97)</f>
        <v>89</v>
      </c>
      <c r="Q97" s="1119"/>
      <c r="R97" s="1119"/>
      <c r="S97" s="1119"/>
      <c r="T97" s="1120"/>
      <c r="U97" s="1119">
        <v>150</v>
      </c>
      <c r="V97" s="1119">
        <v>19</v>
      </c>
      <c r="W97" s="1119"/>
      <c r="X97" s="1120">
        <f>SUM(U97:W97)</f>
        <v>169</v>
      </c>
      <c r="Y97" s="1119">
        <v>14</v>
      </c>
      <c r="Z97" s="1119"/>
      <c r="AA97" s="1119"/>
      <c r="AB97" s="1120">
        <f>SUM(Y97:AA97)</f>
        <v>14</v>
      </c>
      <c r="AC97" s="1119">
        <v>141</v>
      </c>
      <c r="AD97" s="1119"/>
      <c r="AE97" s="1119"/>
      <c r="AF97" s="1120">
        <f>SUM(AC97:AE97)</f>
        <v>141</v>
      </c>
      <c r="AG97" s="1119"/>
      <c r="AH97" s="1119"/>
      <c r="AI97" s="1119"/>
      <c r="AJ97" s="1120"/>
      <c r="AK97" s="1119">
        <v>102</v>
      </c>
      <c r="AL97" s="1119"/>
      <c r="AM97" s="1119"/>
      <c r="AN97" s="1120">
        <f>SUM(AK97:AM97)</f>
        <v>102</v>
      </c>
      <c r="AO97" s="1119"/>
      <c r="AP97" s="1119"/>
      <c r="AQ97" s="1119"/>
      <c r="AR97" s="1120"/>
      <c r="AS97" s="1119">
        <v>124</v>
      </c>
      <c r="AT97" s="1119"/>
      <c r="AU97" s="1119"/>
      <c r="AV97" s="1113">
        <f>SUM(AS97:AU97)</f>
        <v>124</v>
      </c>
      <c r="AW97" s="1119"/>
      <c r="AX97" s="1119"/>
      <c r="AY97" s="1119"/>
      <c r="AZ97" s="1113">
        <f>SUM(AW97:AY97)</f>
        <v>0</v>
      </c>
      <c r="BA97" s="1119">
        <v>165</v>
      </c>
      <c r="BB97" s="1119"/>
      <c r="BC97" s="1119"/>
      <c r="BD97" s="1113">
        <f>SUM(BA97:BC97)</f>
        <v>165</v>
      </c>
    </row>
    <row r="98" spans="1:56" s="212" customFormat="1" ht="15" x14ac:dyDescent="0.2">
      <c r="A98" s="5448"/>
      <c r="B98" s="5450"/>
      <c r="C98" s="1105"/>
      <c r="D98" s="1106" t="s">
        <v>160</v>
      </c>
      <c r="E98" s="1762">
        <f>SUM(E84:E97)</f>
        <v>0</v>
      </c>
      <c r="F98" s="1763">
        <f>SUM(F84:F97)</f>
        <v>48</v>
      </c>
      <c r="G98" s="1763">
        <f t="shared" ref="G98:AR98" si="50">SUM(G84:G97)</f>
        <v>96</v>
      </c>
      <c r="H98" s="1764">
        <f t="shared" si="50"/>
        <v>144</v>
      </c>
      <c r="I98" s="1762">
        <f t="shared" si="50"/>
        <v>26</v>
      </c>
      <c r="J98" s="1763">
        <f t="shared" si="50"/>
        <v>0</v>
      </c>
      <c r="K98" s="1763">
        <f t="shared" si="50"/>
        <v>454</v>
      </c>
      <c r="L98" s="1765">
        <f t="shared" si="50"/>
        <v>480</v>
      </c>
      <c r="M98" s="1762">
        <f t="shared" si="50"/>
        <v>100</v>
      </c>
      <c r="N98" s="1763">
        <f t="shared" si="50"/>
        <v>0</v>
      </c>
      <c r="O98" s="1763">
        <f t="shared" si="50"/>
        <v>98</v>
      </c>
      <c r="P98" s="1765">
        <f t="shared" si="50"/>
        <v>198</v>
      </c>
      <c r="Q98" s="1762">
        <f t="shared" si="50"/>
        <v>13</v>
      </c>
      <c r="R98" s="1763">
        <f t="shared" si="50"/>
        <v>0</v>
      </c>
      <c r="S98" s="1763">
        <f t="shared" si="50"/>
        <v>359</v>
      </c>
      <c r="T98" s="1765">
        <f t="shared" si="50"/>
        <v>372</v>
      </c>
      <c r="U98" s="1762">
        <f t="shared" si="50"/>
        <v>150</v>
      </c>
      <c r="V98" s="1763">
        <f t="shared" si="50"/>
        <v>19</v>
      </c>
      <c r="W98" s="1763">
        <f t="shared" si="50"/>
        <v>137</v>
      </c>
      <c r="X98" s="1765">
        <f t="shared" si="50"/>
        <v>306</v>
      </c>
      <c r="Y98" s="1762">
        <f t="shared" si="50"/>
        <v>56</v>
      </c>
      <c r="Z98" s="1763">
        <f t="shared" si="50"/>
        <v>0</v>
      </c>
      <c r="AA98" s="1763">
        <f t="shared" si="50"/>
        <v>409</v>
      </c>
      <c r="AB98" s="1765">
        <f t="shared" si="50"/>
        <v>465</v>
      </c>
      <c r="AC98" s="1762">
        <f t="shared" si="50"/>
        <v>182</v>
      </c>
      <c r="AD98" s="1763">
        <f t="shared" si="50"/>
        <v>0</v>
      </c>
      <c r="AE98" s="1763">
        <f t="shared" si="50"/>
        <v>101</v>
      </c>
      <c r="AF98" s="1765">
        <f t="shared" si="50"/>
        <v>283</v>
      </c>
      <c r="AG98" s="1762">
        <f t="shared" si="50"/>
        <v>0</v>
      </c>
      <c r="AH98" s="1763">
        <f t="shared" si="50"/>
        <v>0</v>
      </c>
      <c r="AI98" s="1763">
        <f t="shared" si="50"/>
        <v>585</v>
      </c>
      <c r="AJ98" s="1765">
        <f t="shared" si="50"/>
        <v>585</v>
      </c>
      <c r="AK98" s="1762">
        <f t="shared" si="50"/>
        <v>149</v>
      </c>
      <c r="AL98" s="1763">
        <f t="shared" si="50"/>
        <v>0</v>
      </c>
      <c r="AM98" s="1763">
        <f t="shared" si="50"/>
        <v>132</v>
      </c>
      <c r="AN98" s="1765">
        <f t="shared" si="50"/>
        <v>281</v>
      </c>
      <c r="AO98" s="1762">
        <f t="shared" si="50"/>
        <v>86</v>
      </c>
      <c r="AP98" s="1763">
        <f t="shared" si="50"/>
        <v>0</v>
      </c>
      <c r="AQ98" s="1763">
        <f t="shared" si="50"/>
        <v>848</v>
      </c>
      <c r="AR98" s="1765">
        <f t="shared" si="50"/>
        <v>934</v>
      </c>
      <c r="AS98" s="1762">
        <f t="shared" ref="AS98:AZ98" si="51">SUM(AS84:AS97)</f>
        <v>222</v>
      </c>
      <c r="AT98" s="1763">
        <f t="shared" si="51"/>
        <v>0</v>
      </c>
      <c r="AU98" s="1763">
        <f t="shared" si="51"/>
        <v>146</v>
      </c>
      <c r="AV98" s="1765">
        <f t="shared" si="51"/>
        <v>368</v>
      </c>
      <c r="AW98" s="1762">
        <f t="shared" si="51"/>
        <v>45</v>
      </c>
      <c r="AX98" s="1763">
        <f t="shared" si="51"/>
        <v>0</v>
      </c>
      <c r="AY98" s="1763">
        <f t="shared" si="51"/>
        <v>862</v>
      </c>
      <c r="AZ98" s="1765">
        <f t="shared" si="51"/>
        <v>907</v>
      </c>
      <c r="BA98" s="1762">
        <f t="shared" ref="BA98:BD98" si="52">SUM(BA84:BA97)</f>
        <v>195</v>
      </c>
      <c r="BB98" s="1763">
        <f t="shared" si="52"/>
        <v>0</v>
      </c>
      <c r="BC98" s="1763">
        <f t="shared" si="52"/>
        <v>142</v>
      </c>
      <c r="BD98" s="1765">
        <f t="shared" si="52"/>
        <v>337</v>
      </c>
    </row>
    <row r="99" spans="1:56" s="212" customFormat="1" ht="15" x14ac:dyDescent="0.2">
      <c r="A99" s="5448"/>
      <c r="B99" s="5448" t="s">
        <v>11</v>
      </c>
      <c r="C99" s="5455" t="s">
        <v>528</v>
      </c>
      <c r="D99" s="1125" t="s">
        <v>535</v>
      </c>
      <c r="E99" s="1782"/>
      <c r="F99" s="1766"/>
      <c r="G99" s="1766"/>
      <c r="H99" s="1127"/>
      <c r="I99" s="1126">
        <v>27</v>
      </c>
      <c r="J99" s="1126"/>
      <c r="K99" s="1126"/>
      <c r="L99" s="1127">
        <f>SUM(I99:K99)</f>
        <v>27</v>
      </c>
      <c r="M99" s="1126"/>
      <c r="N99" s="1126"/>
      <c r="O99" s="1126"/>
      <c r="P99" s="1127"/>
      <c r="Q99" s="1126">
        <v>44</v>
      </c>
      <c r="R99" s="1126"/>
      <c r="S99" s="1126"/>
      <c r="T99" s="1127">
        <f>SUM(Q99:S99)</f>
        <v>44</v>
      </c>
      <c r="U99" s="1126">
        <v>28</v>
      </c>
      <c r="V99" s="1126"/>
      <c r="W99" s="1126"/>
      <c r="X99" s="1127">
        <f>SUM(U99:W99)</f>
        <v>28</v>
      </c>
      <c r="Y99" s="1126"/>
      <c r="Z99" s="1126"/>
      <c r="AA99" s="1126"/>
      <c r="AB99" s="1127"/>
      <c r="AC99" s="1126">
        <v>23</v>
      </c>
      <c r="AD99" s="1126"/>
      <c r="AE99" s="1126"/>
      <c r="AF99" s="1127">
        <f>SUM(AC99:AE99)</f>
        <v>23</v>
      </c>
      <c r="AG99" s="1126"/>
      <c r="AH99" s="1126">
        <v>5</v>
      </c>
      <c r="AI99" s="1126"/>
      <c r="AJ99" s="1127">
        <f>SUM(AG99:AI99)</f>
        <v>5</v>
      </c>
      <c r="AK99" s="1126">
        <v>92</v>
      </c>
      <c r="AL99" s="1126"/>
      <c r="AM99" s="1126"/>
      <c r="AN99" s="1127">
        <f t="shared" ref="AN99:AN120" si="53">SUM(AK99:AM99)</f>
        <v>92</v>
      </c>
      <c r="AO99" s="1126"/>
      <c r="AP99" s="1126"/>
      <c r="AQ99" s="1126"/>
      <c r="AR99" s="1127"/>
      <c r="AS99" s="1126">
        <v>79</v>
      </c>
      <c r="AT99" s="1126"/>
      <c r="AU99" s="1126"/>
      <c r="AV99" s="1113">
        <f>SUM(AS99:AU99)</f>
        <v>79</v>
      </c>
      <c r="AW99" s="1126"/>
      <c r="AX99" s="1126"/>
      <c r="AY99" s="1126"/>
      <c r="AZ99" s="1113">
        <f t="shared" ref="AZ99:AZ105" si="54">SUM(AW99:AY99)</f>
        <v>0</v>
      </c>
      <c r="BA99" s="1126">
        <v>79</v>
      </c>
      <c r="BB99" s="1126"/>
      <c r="BC99" s="1126"/>
      <c r="BD99" s="1113">
        <f t="shared" ref="BD99:BD111" si="55">SUM(BA99:BC99)</f>
        <v>79</v>
      </c>
    </row>
    <row r="100" spans="1:56" s="212" customFormat="1" ht="15" x14ac:dyDescent="0.2">
      <c r="A100" s="5448"/>
      <c r="B100" s="5448"/>
      <c r="C100" s="5456"/>
      <c r="D100" s="1121" t="s">
        <v>397</v>
      </c>
      <c r="E100" s="1768"/>
      <c r="F100" s="1767"/>
      <c r="G100" s="1767"/>
      <c r="H100" s="1113"/>
      <c r="I100" s="1112"/>
      <c r="J100" s="1112"/>
      <c r="K100" s="1112"/>
      <c r="L100" s="1113">
        <f>SUM(I100:K100)</f>
        <v>0</v>
      </c>
      <c r="M100" s="1112"/>
      <c r="N100" s="1112"/>
      <c r="O100" s="1112"/>
      <c r="P100" s="1113"/>
      <c r="Q100" s="1112"/>
      <c r="R100" s="1112"/>
      <c r="S100" s="1112"/>
      <c r="T100" s="1113"/>
      <c r="U100" s="1112"/>
      <c r="V100" s="1112"/>
      <c r="W100" s="1112"/>
      <c r="X100" s="1113"/>
      <c r="Y100" s="1112">
        <v>40</v>
      </c>
      <c r="Z100" s="1112"/>
      <c r="AA100" s="1112"/>
      <c r="AB100" s="1113">
        <f>SUM(Y100:AA100)</f>
        <v>40</v>
      </c>
      <c r="AC100" s="1112"/>
      <c r="AD100" s="1112"/>
      <c r="AE100" s="1112"/>
      <c r="AF100" s="1113"/>
      <c r="AG100" s="1112"/>
      <c r="AH100" s="1112"/>
      <c r="AI100" s="1112"/>
      <c r="AJ100" s="1113"/>
      <c r="AK100" s="1112"/>
      <c r="AL100" s="1112"/>
      <c r="AM100" s="1112"/>
      <c r="AN100" s="1113"/>
      <c r="AO100" s="1112"/>
      <c r="AP100" s="1112"/>
      <c r="AQ100" s="1112"/>
      <c r="AR100" s="1113"/>
      <c r="AS100" s="1112"/>
      <c r="AT100" s="1112"/>
      <c r="AU100" s="1112"/>
      <c r="AV100" s="1113"/>
      <c r="AW100" s="1112"/>
      <c r="AX100" s="1112"/>
      <c r="AY100" s="1112"/>
      <c r="AZ100" s="1113">
        <f t="shared" si="54"/>
        <v>0</v>
      </c>
      <c r="BA100" s="1112"/>
      <c r="BB100" s="1112"/>
      <c r="BC100" s="1112"/>
      <c r="BD100" s="1113">
        <f t="shared" si="55"/>
        <v>0</v>
      </c>
    </row>
    <row r="101" spans="1:56" s="212" customFormat="1" ht="15" x14ac:dyDescent="0.2">
      <c r="A101" s="5448"/>
      <c r="B101" s="5448"/>
      <c r="C101" s="5465"/>
      <c r="D101" s="1121" t="s">
        <v>91</v>
      </c>
      <c r="E101" s="1768"/>
      <c r="F101" s="1767"/>
      <c r="G101" s="1767"/>
      <c r="H101" s="1113"/>
      <c r="I101" s="1112"/>
      <c r="J101" s="1112"/>
      <c r="K101" s="1112"/>
      <c r="L101" s="1113">
        <v>0</v>
      </c>
      <c r="M101" s="1112"/>
      <c r="N101" s="1112"/>
      <c r="O101" s="1112"/>
      <c r="P101" s="1113"/>
      <c r="Q101" s="1112"/>
      <c r="R101" s="1112"/>
      <c r="S101" s="1112"/>
      <c r="T101" s="1113"/>
      <c r="U101" s="1112"/>
      <c r="V101" s="1112"/>
      <c r="W101" s="1112"/>
      <c r="X101" s="1113"/>
      <c r="Y101" s="1112"/>
      <c r="Z101" s="1112"/>
      <c r="AA101" s="1112"/>
      <c r="AB101" s="1113"/>
      <c r="AC101" s="1112"/>
      <c r="AD101" s="1112"/>
      <c r="AE101" s="1112"/>
      <c r="AF101" s="1113"/>
      <c r="AG101" s="1112"/>
      <c r="AH101" s="1112"/>
      <c r="AI101" s="1112"/>
      <c r="AJ101" s="1113"/>
      <c r="AK101" s="1112"/>
      <c r="AL101" s="1112"/>
      <c r="AM101" s="1112"/>
      <c r="AN101" s="1113"/>
      <c r="AO101" s="1112"/>
      <c r="AP101" s="1112"/>
      <c r="AQ101" s="1112"/>
      <c r="AR101" s="1113"/>
      <c r="AS101" s="1112"/>
      <c r="AT101" s="1112"/>
      <c r="AU101" s="1112"/>
      <c r="AV101" s="1113"/>
      <c r="AW101" s="1112"/>
      <c r="AX101" s="1112"/>
      <c r="AY101" s="1112"/>
      <c r="AZ101" s="1113">
        <f t="shared" si="54"/>
        <v>0</v>
      </c>
      <c r="BA101" s="1112"/>
      <c r="BB101" s="1112"/>
      <c r="BC101" s="1112"/>
      <c r="BD101" s="1113">
        <f t="shared" si="55"/>
        <v>0</v>
      </c>
    </row>
    <row r="102" spans="1:56" s="212" customFormat="1" ht="15" x14ac:dyDescent="0.2">
      <c r="A102" s="5448"/>
      <c r="B102" s="5448"/>
      <c r="C102" s="5455" t="s">
        <v>527</v>
      </c>
      <c r="D102" s="1121" t="s">
        <v>94</v>
      </c>
      <c r="E102" s="1768"/>
      <c r="F102" s="1767"/>
      <c r="G102" s="1767">
        <v>51</v>
      </c>
      <c r="H102" s="1113">
        <f>SUM(E102:G102)</f>
        <v>51</v>
      </c>
      <c r="I102" s="1112"/>
      <c r="J102" s="1112"/>
      <c r="K102" s="1112"/>
      <c r="L102" s="1113">
        <f t="shared" ref="L102:L116" si="56">SUM(I102:K102)</f>
        <v>0</v>
      </c>
      <c r="M102" s="1112"/>
      <c r="N102" s="1112"/>
      <c r="O102" s="1112">
        <v>41</v>
      </c>
      <c r="P102" s="1113">
        <f t="shared" ref="P102:P113" si="57">SUM(M102:O102)</f>
        <v>41</v>
      </c>
      <c r="Q102" s="1112"/>
      <c r="R102" s="1112"/>
      <c r="S102" s="1112"/>
      <c r="T102" s="1113"/>
      <c r="U102" s="1112"/>
      <c r="V102" s="1112"/>
      <c r="W102" s="1112">
        <v>55</v>
      </c>
      <c r="X102" s="1113">
        <f t="shared" ref="X102:X116" si="58">SUM(U102:W102)</f>
        <v>55</v>
      </c>
      <c r="Y102" s="1112"/>
      <c r="Z102" s="1112"/>
      <c r="AA102" s="1112"/>
      <c r="AB102" s="1113"/>
      <c r="AC102" s="1112"/>
      <c r="AD102" s="1112"/>
      <c r="AE102" s="1112">
        <v>60</v>
      </c>
      <c r="AF102" s="1113">
        <f t="shared" ref="AF102:AF116" si="59">SUM(AC102:AE102)</f>
        <v>60</v>
      </c>
      <c r="AG102" s="1112"/>
      <c r="AH102" s="1112"/>
      <c r="AI102" s="1112"/>
      <c r="AJ102" s="1113"/>
      <c r="AK102" s="1112"/>
      <c r="AL102" s="1112"/>
      <c r="AM102" s="1112">
        <v>46</v>
      </c>
      <c r="AN102" s="1113">
        <f t="shared" si="53"/>
        <v>46</v>
      </c>
      <c r="AO102" s="1112"/>
      <c r="AP102" s="1112"/>
      <c r="AQ102" s="1112"/>
      <c r="AR102" s="1113"/>
      <c r="AS102" s="1112"/>
      <c r="AT102" s="1112"/>
      <c r="AU102" s="1112">
        <v>64</v>
      </c>
      <c r="AV102" s="1113">
        <f>SUM(AS102:AU102)</f>
        <v>64</v>
      </c>
      <c r="AW102" s="1112"/>
      <c r="AX102" s="1112"/>
      <c r="AY102" s="1112"/>
      <c r="AZ102" s="1113">
        <f t="shared" si="54"/>
        <v>0</v>
      </c>
      <c r="BA102" s="1112"/>
      <c r="BB102" s="1112"/>
      <c r="BC102" s="1112">
        <v>64</v>
      </c>
      <c r="BD102" s="1113">
        <f t="shared" si="55"/>
        <v>64</v>
      </c>
    </row>
    <row r="103" spans="1:56" s="212" customFormat="1" ht="15" x14ac:dyDescent="0.25">
      <c r="A103" s="5448"/>
      <c r="B103" s="5448"/>
      <c r="C103" s="5456"/>
      <c r="D103" s="1121" t="s">
        <v>93</v>
      </c>
      <c r="E103" s="1768"/>
      <c r="F103" s="1767"/>
      <c r="G103" s="1767"/>
      <c r="H103" s="1113"/>
      <c r="I103" s="1112">
        <v>46</v>
      </c>
      <c r="J103" s="1112"/>
      <c r="K103" s="1112"/>
      <c r="L103" s="1113">
        <f t="shared" si="56"/>
        <v>46</v>
      </c>
      <c r="M103" s="1112"/>
      <c r="N103" s="1112"/>
      <c r="O103" s="1112">
        <v>41</v>
      </c>
      <c r="P103" s="1113">
        <f t="shared" si="57"/>
        <v>41</v>
      </c>
      <c r="Q103" s="1112"/>
      <c r="R103" s="1112"/>
      <c r="S103" s="1112">
        <v>31</v>
      </c>
      <c r="T103" s="1113">
        <f t="shared" ref="T103:T116" si="60">SUM(Q103:S103)</f>
        <v>31</v>
      </c>
      <c r="U103" s="1112"/>
      <c r="V103" s="1112"/>
      <c r="W103" s="1112">
        <v>38</v>
      </c>
      <c r="X103" s="1113">
        <f t="shared" si="58"/>
        <v>38</v>
      </c>
      <c r="Y103" s="1112"/>
      <c r="Z103" s="1112"/>
      <c r="AA103" s="1112">
        <v>28</v>
      </c>
      <c r="AB103" s="1113">
        <f t="shared" ref="AB103:AB116" si="61">SUM(Y103:AA103)</f>
        <v>28</v>
      </c>
      <c r="AC103" s="1112"/>
      <c r="AD103" s="1112"/>
      <c r="AE103" s="1112">
        <v>43</v>
      </c>
      <c r="AF103" s="1113">
        <f t="shared" si="59"/>
        <v>43</v>
      </c>
      <c r="AG103" s="1112"/>
      <c r="AH103" s="1775">
        <v>63</v>
      </c>
      <c r="AI103" s="1112"/>
      <c r="AJ103" s="1113">
        <f t="shared" ref="AJ103:AJ116" si="62">SUM(AG103:AI103)</f>
        <v>63</v>
      </c>
      <c r="AK103" s="1112"/>
      <c r="AL103" s="1775"/>
      <c r="AM103" s="1112">
        <v>77</v>
      </c>
      <c r="AN103" s="1113">
        <f t="shared" si="53"/>
        <v>77</v>
      </c>
      <c r="AO103" s="1112"/>
      <c r="AP103" s="1775"/>
      <c r="AQ103" s="1112">
        <v>94</v>
      </c>
      <c r="AR103" s="1113">
        <f t="shared" ref="AR103:AR120" si="63">SUM(AO103:AQ103)</f>
        <v>94</v>
      </c>
      <c r="AS103" s="1112"/>
      <c r="AT103" s="1775"/>
      <c r="AU103" s="1112">
        <v>91</v>
      </c>
      <c r="AV103" s="1113">
        <f t="shared" ref="AV103:AV111" si="64">SUM(AS103:AU103)</f>
        <v>91</v>
      </c>
      <c r="AW103" s="1112"/>
      <c r="AX103" s="1775"/>
      <c r="AY103" s="1112">
        <v>96</v>
      </c>
      <c r="AZ103" s="1113">
        <f t="shared" si="54"/>
        <v>96</v>
      </c>
      <c r="BA103" s="1112"/>
      <c r="BB103" s="1775"/>
      <c r="BC103" s="1112">
        <v>79</v>
      </c>
      <c r="BD103" s="1113">
        <f t="shared" si="55"/>
        <v>79</v>
      </c>
    </row>
    <row r="104" spans="1:56" s="212" customFormat="1" ht="15" x14ac:dyDescent="0.25">
      <c r="A104" s="5448"/>
      <c r="B104" s="5448"/>
      <c r="C104" s="5456"/>
      <c r="D104" s="1121" t="s">
        <v>398</v>
      </c>
      <c r="E104" s="1768"/>
      <c r="F104" s="1767">
        <v>28</v>
      </c>
      <c r="G104" s="1767"/>
      <c r="H104" s="1113">
        <f t="shared" ref="H104:H113" si="65">SUM(E104:G104)</f>
        <v>28</v>
      </c>
      <c r="I104" s="1112"/>
      <c r="J104" s="1112"/>
      <c r="K104" s="1112"/>
      <c r="L104" s="1113"/>
      <c r="M104" s="1112">
        <v>22</v>
      </c>
      <c r="N104" s="1112"/>
      <c r="O104" s="1112"/>
      <c r="P104" s="1113">
        <f t="shared" si="57"/>
        <v>22</v>
      </c>
      <c r="Q104" s="1112"/>
      <c r="R104" s="1112"/>
      <c r="S104" s="1112">
        <v>24</v>
      </c>
      <c r="T104" s="1113">
        <f t="shared" si="60"/>
        <v>24</v>
      </c>
      <c r="U104" s="1112"/>
      <c r="V104" s="1112"/>
      <c r="W104" s="1112"/>
      <c r="X104" s="1113"/>
      <c r="Y104" s="1112"/>
      <c r="Z104" s="1112">
        <v>29</v>
      </c>
      <c r="AA104" s="1112"/>
      <c r="AB104" s="1113">
        <f t="shared" si="61"/>
        <v>29</v>
      </c>
      <c r="AC104" s="1112"/>
      <c r="AD104" s="1112"/>
      <c r="AE104" s="1112"/>
      <c r="AF104" s="1113"/>
      <c r="AG104" s="1112"/>
      <c r="AH104" s="1775">
        <v>32</v>
      </c>
      <c r="AI104" s="1112"/>
      <c r="AJ104" s="1113">
        <f t="shared" si="62"/>
        <v>32</v>
      </c>
      <c r="AK104" s="1112"/>
      <c r="AL104" s="1775"/>
      <c r="AM104" s="1112">
        <v>35</v>
      </c>
      <c r="AN104" s="1113">
        <f t="shared" si="53"/>
        <v>35</v>
      </c>
      <c r="AO104" s="1112"/>
      <c r="AP104" s="1775"/>
      <c r="AQ104" s="1112"/>
      <c r="AR104" s="1113"/>
      <c r="AS104" s="1112"/>
      <c r="AT104" s="1775">
        <v>38</v>
      </c>
      <c r="AU104" s="1112"/>
      <c r="AV104" s="1113">
        <f t="shared" si="64"/>
        <v>38</v>
      </c>
      <c r="AW104" s="1112"/>
      <c r="AX104" s="1775"/>
      <c r="AY104" s="1112"/>
      <c r="AZ104" s="1113">
        <f t="shared" si="54"/>
        <v>0</v>
      </c>
      <c r="BA104" s="1112">
        <v>42</v>
      </c>
      <c r="BB104" s="1775"/>
      <c r="BC104" s="1112"/>
      <c r="BD104" s="1113">
        <f t="shared" si="55"/>
        <v>42</v>
      </c>
    </row>
    <row r="105" spans="1:56" s="212" customFormat="1" ht="15" x14ac:dyDescent="0.25">
      <c r="A105" s="5448"/>
      <c r="B105" s="5448"/>
      <c r="C105" s="5456"/>
      <c r="D105" s="1121" t="s">
        <v>443</v>
      </c>
      <c r="E105" s="1768"/>
      <c r="F105" s="1767"/>
      <c r="G105" s="1767">
        <v>13</v>
      </c>
      <c r="H105" s="1113">
        <f t="shared" si="65"/>
        <v>13</v>
      </c>
      <c r="I105" s="1112"/>
      <c r="J105" s="1112"/>
      <c r="K105" s="1112"/>
      <c r="L105" s="1113"/>
      <c r="M105" s="1112"/>
      <c r="N105" s="1112"/>
      <c r="O105" s="1112">
        <v>10</v>
      </c>
      <c r="P105" s="1113">
        <f t="shared" si="57"/>
        <v>10</v>
      </c>
      <c r="Q105" s="1112"/>
      <c r="R105" s="1112"/>
      <c r="S105" s="1112"/>
      <c r="T105" s="1113"/>
      <c r="U105" s="1112"/>
      <c r="V105" s="1112"/>
      <c r="W105" s="1112">
        <v>13</v>
      </c>
      <c r="X105" s="1113">
        <f t="shared" si="58"/>
        <v>13</v>
      </c>
      <c r="Y105" s="1112"/>
      <c r="Z105" s="1112"/>
      <c r="AA105" s="1112"/>
      <c r="AB105" s="1113"/>
      <c r="AC105" s="1112"/>
      <c r="AD105" s="1112"/>
      <c r="AE105" s="1112"/>
      <c r="AF105" s="1113"/>
      <c r="AG105" s="1112"/>
      <c r="AH105" s="1112"/>
      <c r="AI105" s="1115">
        <v>8</v>
      </c>
      <c r="AJ105" s="1113">
        <f t="shared" si="62"/>
        <v>8</v>
      </c>
      <c r="AK105" s="1112"/>
      <c r="AL105" s="1112"/>
      <c r="AM105" s="1775"/>
      <c r="AN105" s="1113"/>
      <c r="AO105" s="1112"/>
      <c r="AP105" s="1112"/>
      <c r="AQ105" s="1775">
        <v>9</v>
      </c>
      <c r="AR105" s="1113">
        <f t="shared" si="63"/>
        <v>9</v>
      </c>
      <c r="AS105" s="1112"/>
      <c r="AT105" s="1112"/>
      <c r="AU105" s="1775"/>
      <c r="AV105" s="1113"/>
      <c r="AW105" s="1112"/>
      <c r="AX105" s="1112"/>
      <c r="AY105" s="1775"/>
      <c r="AZ105" s="1113">
        <f t="shared" si="54"/>
        <v>0</v>
      </c>
      <c r="BA105" s="1112"/>
      <c r="BB105" s="1112"/>
      <c r="BC105" s="1775">
        <v>11</v>
      </c>
      <c r="BD105" s="1113">
        <f t="shared" si="55"/>
        <v>11</v>
      </c>
    </row>
    <row r="106" spans="1:56" s="212" customFormat="1" ht="15" x14ac:dyDescent="0.25">
      <c r="A106" s="5448"/>
      <c r="B106" s="5448"/>
      <c r="C106" s="5456"/>
      <c r="D106" s="1121" t="s">
        <v>95</v>
      </c>
      <c r="E106" s="1768"/>
      <c r="F106" s="1767">
        <v>3</v>
      </c>
      <c r="G106" s="1767"/>
      <c r="H106" s="1113">
        <f t="shared" si="65"/>
        <v>3</v>
      </c>
      <c r="I106" s="1112">
        <v>14</v>
      </c>
      <c r="J106" s="1112"/>
      <c r="K106" s="1112">
        <v>14</v>
      </c>
      <c r="L106" s="1113">
        <f t="shared" si="56"/>
        <v>28</v>
      </c>
      <c r="M106" s="1112">
        <v>7</v>
      </c>
      <c r="N106" s="1112">
        <v>9</v>
      </c>
      <c r="O106" s="1112">
        <v>20</v>
      </c>
      <c r="P106" s="1113">
        <f t="shared" si="57"/>
        <v>36</v>
      </c>
      <c r="Q106" s="1112">
        <v>11</v>
      </c>
      <c r="R106" s="1112">
        <v>9</v>
      </c>
      <c r="S106" s="1112">
        <v>18</v>
      </c>
      <c r="T106" s="1113">
        <f t="shared" si="60"/>
        <v>38</v>
      </c>
      <c r="U106" s="1112">
        <v>14</v>
      </c>
      <c r="V106" s="1112">
        <v>24</v>
      </c>
      <c r="W106" s="1112">
        <v>21</v>
      </c>
      <c r="X106" s="1113">
        <f t="shared" si="58"/>
        <v>59</v>
      </c>
      <c r="Y106" s="1112">
        <v>23</v>
      </c>
      <c r="Z106" s="1112">
        <v>22</v>
      </c>
      <c r="AA106" s="1112">
        <v>22</v>
      </c>
      <c r="AB106" s="1113">
        <f t="shared" si="61"/>
        <v>67</v>
      </c>
      <c r="AC106" s="1112">
        <v>17</v>
      </c>
      <c r="AD106" s="1112">
        <v>12</v>
      </c>
      <c r="AE106" s="1112">
        <v>25</v>
      </c>
      <c r="AF106" s="1113">
        <f t="shared" si="59"/>
        <v>54</v>
      </c>
      <c r="AG106" s="1775">
        <v>19</v>
      </c>
      <c r="AH106" s="1775">
        <v>15</v>
      </c>
      <c r="AI106" s="1783">
        <v>25</v>
      </c>
      <c r="AJ106" s="1113">
        <f>SUM(AG106:AI106)</f>
        <v>59</v>
      </c>
      <c r="AK106" s="1775">
        <v>28</v>
      </c>
      <c r="AL106" s="1775">
        <v>23</v>
      </c>
      <c r="AM106" s="1783">
        <v>15</v>
      </c>
      <c r="AN106" s="1113">
        <f t="shared" si="53"/>
        <v>66</v>
      </c>
      <c r="AO106" s="1775">
        <v>17</v>
      </c>
      <c r="AP106" s="1775">
        <v>28</v>
      </c>
      <c r="AQ106" s="1783">
        <v>15</v>
      </c>
      <c r="AR106" s="1113">
        <f t="shared" si="63"/>
        <v>60</v>
      </c>
      <c r="AS106" s="1775">
        <v>22</v>
      </c>
      <c r="AT106" s="1775">
        <v>27</v>
      </c>
      <c r="AU106" s="1783">
        <v>26</v>
      </c>
      <c r="AV106" s="1113">
        <f t="shared" si="64"/>
        <v>75</v>
      </c>
      <c r="AW106" s="1775">
        <v>31</v>
      </c>
      <c r="AX106" s="1775">
        <v>21</v>
      </c>
      <c r="AY106" s="1783">
        <v>17</v>
      </c>
      <c r="AZ106" s="1113">
        <f t="shared" ref="AZ106:AZ111" si="66">SUM(AW106:AY106)</f>
        <v>69</v>
      </c>
      <c r="BA106" s="1775">
        <v>22</v>
      </c>
      <c r="BB106" s="1775">
        <v>31</v>
      </c>
      <c r="BC106" s="1783">
        <v>22</v>
      </c>
      <c r="BD106" s="1113">
        <f t="shared" si="55"/>
        <v>75</v>
      </c>
    </row>
    <row r="107" spans="1:56" s="212" customFormat="1" ht="15" x14ac:dyDescent="0.25">
      <c r="A107" s="5448"/>
      <c r="B107" s="5448"/>
      <c r="C107" s="5456"/>
      <c r="D107" s="1121" t="s">
        <v>92</v>
      </c>
      <c r="E107" s="1768"/>
      <c r="F107" s="1767"/>
      <c r="G107" s="1767">
        <v>14</v>
      </c>
      <c r="H107" s="1113">
        <f t="shared" si="65"/>
        <v>14</v>
      </c>
      <c r="I107" s="1112"/>
      <c r="J107" s="1112"/>
      <c r="K107" s="1112">
        <v>14</v>
      </c>
      <c r="L107" s="1113">
        <f t="shared" si="56"/>
        <v>14</v>
      </c>
      <c r="M107" s="1112"/>
      <c r="N107" s="1112"/>
      <c r="O107" s="1112">
        <v>34</v>
      </c>
      <c r="P107" s="1113">
        <f t="shared" si="57"/>
        <v>34</v>
      </c>
      <c r="Q107" s="1112"/>
      <c r="R107" s="1112"/>
      <c r="S107" s="1112">
        <v>33</v>
      </c>
      <c r="T107" s="1113">
        <f t="shared" si="60"/>
        <v>33</v>
      </c>
      <c r="U107" s="1112"/>
      <c r="V107" s="1112"/>
      <c r="W107" s="1112">
        <v>25</v>
      </c>
      <c r="X107" s="1113">
        <f t="shared" si="58"/>
        <v>25</v>
      </c>
      <c r="Y107" s="1112"/>
      <c r="Z107" s="1112"/>
      <c r="AA107" s="1112">
        <v>31</v>
      </c>
      <c r="AB107" s="1113">
        <f t="shared" si="61"/>
        <v>31</v>
      </c>
      <c r="AC107" s="1112"/>
      <c r="AD107" s="1112"/>
      <c r="AE107" s="1112">
        <v>49</v>
      </c>
      <c r="AF107" s="1113">
        <f t="shared" si="59"/>
        <v>49</v>
      </c>
      <c r="AG107" s="1115"/>
      <c r="AH107" s="1115"/>
      <c r="AI107" s="1775">
        <v>51</v>
      </c>
      <c r="AJ107" s="1113">
        <f>SUM(AG107:AI107)</f>
        <v>51</v>
      </c>
      <c r="AK107" s="1115"/>
      <c r="AL107" s="1115">
        <v>24</v>
      </c>
      <c r="AM107" s="1775">
        <v>22</v>
      </c>
      <c r="AN107" s="1113">
        <f t="shared" si="53"/>
        <v>46</v>
      </c>
      <c r="AO107" s="1115"/>
      <c r="AP107" s="1115">
        <v>15</v>
      </c>
      <c r="AQ107" s="1775">
        <v>21</v>
      </c>
      <c r="AR107" s="1113">
        <f t="shared" si="63"/>
        <v>36</v>
      </c>
      <c r="AS107" s="1115"/>
      <c r="AT107" s="1115">
        <v>27</v>
      </c>
      <c r="AU107" s="1775">
        <v>33</v>
      </c>
      <c r="AV107" s="1113">
        <f t="shared" si="64"/>
        <v>60</v>
      </c>
      <c r="AW107" s="1115"/>
      <c r="AX107" s="1115">
        <v>23</v>
      </c>
      <c r="AY107" s="1775">
        <v>19</v>
      </c>
      <c r="AZ107" s="1113">
        <f t="shared" si="66"/>
        <v>42</v>
      </c>
      <c r="BA107" s="1115"/>
      <c r="BB107" s="1115">
        <v>22</v>
      </c>
      <c r="BC107" s="1775">
        <v>24</v>
      </c>
      <c r="BD107" s="1113">
        <f t="shared" si="55"/>
        <v>46</v>
      </c>
    </row>
    <row r="108" spans="1:56" s="212" customFormat="1" ht="15" x14ac:dyDescent="0.25">
      <c r="A108" s="5448"/>
      <c r="B108" s="5448"/>
      <c r="C108" s="5465"/>
      <c r="D108" s="1121" t="s">
        <v>781</v>
      </c>
      <c r="E108" s="1768"/>
      <c r="F108" s="1767"/>
      <c r="G108" s="1767"/>
      <c r="H108" s="1113"/>
      <c r="I108" s="1112"/>
      <c r="J108" s="1112"/>
      <c r="K108" s="1112"/>
      <c r="L108" s="1113"/>
      <c r="M108" s="1112"/>
      <c r="N108" s="1112"/>
      <c r="O108" s="1112"/>
      <c r="P108" s="1113"/>
      <c r="Q108" s="1112"/>
      <c r="R108" s="1112"/>
      <c r="S108" s="1112"/>
      <c r="T108" s="1113"/>
      <c r="U108" s="1112"/>
      <c r="V108" s="1112"/>
      <c r="W108" s="1112"/>
      <c r="X108" s="1113"/>
      <c r="Y108" s="1112"/>
      <c r="Z108" s="1112"/>
      <c r="AA108" s="1112"/>
      <c r="AB108" s="1113"/>
      <c r="AC108" s="1112"/>
      <c r="AD108" s="1112"/>
      <c r="AE108" s="1112"/>
      <c r="AF108" s="1113"/>
      <c r="AG108" s="1115"/>
      <c r="AH108" s="1115"/>
      <c r="AI108" s="1775"/>
      <c r="AJ108" s="1113"/>
      <c r="AK108" s="1115"/>
      <c r="AL108" s="1115"/>
      <c r="AM108" s="1775"/>
      <c r="AN108" s="1113"/>
      <c r="AO108" s="1115"/>
      <c r="AP108" s="1115"/>
      <c r="AQ108" s="1775"/>
      <c r="AR108" s="1113"/>
      <c r="AS108" s="1115"/>
      <c r="AT108" s="1115"/>
      <c r="AU108" s="1775"/>
      <c r="AV108" s="1113"/>
      <c r="AW108" s="1115"/>
      <c r="AX108" s="1115">
        <v>13</v>
      </c>
      <c r="AY108" s="1775"/>
      <c r="AZ108" s="1113">
        <f t="shared" si="66"/>
        <v>13</v>
      </c>
      <c r="BA108" s="1115"/>
      <c r="BB108" s="1115">
        <v>22</v>
      </c>
      <c r="BC108" s="1775"/>
      <c r="BD108" s="1113">
        <f t="shared" si="55"/>
        <v>22</v>
      </c>
    </row>
    <row r="109" spans="1:56" s="212" customFormat="1" ht="15" x14ac:dyDescent="0.25">
      <c r="A109" s="5448"/>
      <c r="B109" s="5448"/>
      <c r="C109" s="5455" t="s">
        <v>526</v>
      </c>
      <c r="D109" s="1117" t="s">
        <v>361</v>
      </c>
      <c r="E109" s="1768"/>
      <c r="F109" s="1767"/>
      <c r="G109" s="1767">
        <v>9</v>
      </c>
      <c r="H109" s="1113">
        <f t="shared" si="65"/>
        <v>9</v>
      </c>
      <c r="I109" s="1112">
        <v>6</v>
      </c>
      <c r="J109" s="1112"/>
      <c r="K109" s="1112">
        <v>10</v>
      </c>
      <c r="L109" s="1113">
        <f t="shared" si="56"/>
        <v>16</v>
      </c>
      <c r="M109" s="1112">
        <v>5</v>
      </c>
      <c r="N109" s="1112"/>
      <c r="O109" s="1112">
        <v>9</v>
      </c>
      <c r="P109" s="1113">
        <f t="shared" si="57"/>
        <v>14</v>
      </c>
      <c r="Q109" s="1112">
        <v>6</v>
      </c>
      <c r="R109" s="1112"/>
      <c r="S109" s="1112">
        <v>18</v>
      </c>
      <c r="T109" s="1113">
        <f t="shared" si="60"/>
        <v>24</v>
      </c>
      <c r="U109" s="1112">
        <v>15</v>
      </c>
      <c r="V109" s="1112"/>
      <c r="W109" s="1112">
        <v>18</v>
      </c>
      <c r="X109" s="1113">
        <f t="shared" si="58"/>
        <v>33</v>
      </c>
      <c r="Y109" s="1112">
        <v>9</v>
      </c>
      <c r="Z109" s="1112"/>
      <c r="AA109" s="1112">
        <v>15</v>
      </c>
      <c r="AB109" s="1113">
        <f t="shared" si="61"/>
        <v>24</v>
      </c>
      <c r="AC109" s="1112"/>
      <c r="AD109" s="1112"/>
      <c r="AE109" s="1112">
        <v>26</v>
      </c>
      <c r="AF109" s="1113">
        <f t="shared" si="59"/>
        <v>26</v>
      </c>
      <c r="AG109" s="1775">
        <v>10</v>
      </c>
      <c r="AH109" s="1775"/>
      <c r="AI109" s="1775">
        <v>16</v>
      </c>
      <c r="AJ109" s="1113">
        <f t="shared" si="62"/>
        <v>26</v>
      </c>
      <c r="AK109" s="1775">
        <v>14</v>
      </c>
      <c r="AL109" s="1775"/>
      <c r="AM109" s="1775">
        <v>18</v>
      </c>
      <c r="AN109" s="1113">
        <f t="shared" si="53"/>
        <v>32</v>
      </c>
      <c r="AO109" s="1775">
        <v>12</v>
      </c>
      <c r="AP109" s="1775"/>
      <c r="AQ109" s="1775">
        <v>10</v>
      </c>
      <c r="AR109" s="1113">
        <f t="shared" si="63"/>
        <v>22</v>
      </c>
      <c r="AS109" s="1775">
        <v>7</v>
      </c>
      <c r="AT109" s="1775"/>
      <c r="AU109" s="1775">
        <v>13</v>
      </c>
      <c r="AV109" s="1113">
        <f t="shared" si="64"/>
        <v>20</v>
      </c>
      <c r="AW109" s="1775">
        <v>14</v>
      </c>
      <c r="AX109" s="1775"/>
      <c r="AY109" s="1775">
        <v>14</v>
      </c>
      <c r="AZ109" s="1113">
        <f t="shared" si="66"/>
        <v>28</v>
      </c>
      <c r="BA109" s="1775">
        <v>15</v>
      </c>
      <c r="BB109" s="1775"/>
      <c r="BC109" s="1775">
        <v>26</v>
      </c>
      <c r="BD109" s="1113">
        <f t="shared" si="55"/>
        <v>41</v>
      </c>
    </row>
    <row r="110" spans="1:56" s="212" customFormat="1" ht="15" x14ac:dyDescent="0.2">
      <c r="A110" s="5448"/>
      <c r="B110" s="5448"/>
      <c r="C110" s="5456"/>
      <c r="D110" s="1118" t="s">
        <v>536</v>
      </c>
      <c r="E110" s="1769"/>
      <c r="F110" s="1770"/>
      <c r="G110" s="1770">
        <v>15</v>
      </c>
      <c r="H110" s="1120">
        <f t="shared" si="65"/>
        <v>15</v>
      </c>
      <c r="I110" s="1119"/>
      <c r="J110" s="1119"/>
      <c r="K110" s="1119">
        <v>4</v>
      </c>
      <c r="L110" s="1120">
        <f t="shared" si="56"/>
        <v>4</v>
      </c>
      <c r="M110" s="1119"/>
      <c r="N110" s="1119"/>
      <c r="O110" s="1119">
        <v>15</v>
      </c>
      <c r="P110" s="1120">
        <f t="shared" si="57"/>
        <v>15</v>
      </c>
      <c r="Q110" s="1119"/>
      <c r="R110" s="1119"/>
      <c r="S110" s="1119">
        <v>25</v>
      </c>
      <c r="T110" s="1120">
        <f t="shared" si="60"/>
        <v>25</v>
      </c>
      <c r="U110" s="1119"/>
      <c r="V110" s="1119"/>
      <c r="W110" s="1119">
        <v>43</v>
      </c>
      <c r="X110" s="1120">
        <f t="shared" si="58"/>
        <v>43</v>
      </c>
      <c r="Y110" s="1119"/>
      <c r="Z110" s="1119"/>
      <c r="AA110" s="1119"/>
      <c r="AB110" s="1120"/>
      <c r="AC110" s="1119">
        <v>40</v>
      </c>
      <c r="AD110" s="1119"/>
      <c r="AE110" s="1119"/>
      <c r="AF110" s="1120">
        <f t="shared" si="59"/>
        <v>40</v>
      </c>
      <c r="AG110" s="1119"/>
      <c r="AH110" s="1119"/>
      <c r="AI110" s="1119">
        <v>42</v>
      </c>
      <c r="AJ110" s="1120">
        <f t="shared" si="62"/>
        <v>42</v>
      </c>
      <c r="AK110" s="1119"/>
      <c r="AL110" s="1119"/>
      <c r="AM110" s="1119"/>
      <c r="AN110" s="1120"/>
      <c r="AO110" s="1119"/>
      <c r="AP110" s="1119"/>
      <c r="AQ110" s="1119">
        <v>58</v>
      </c>
      <c r="AR110" s="1120">
        <f t="shared" si="63"/>
        <v>58</v>
      </c>
      <c r="AS110" s="1119"/>
      <c r="AT110" s="1119"/>
      <c r="AU110" s="1119"/>
      <c r="AV110" s="1120"/>
      <c r="AW110" s="1119"/>
      <c r="AX110" s="1119"/>
      <c r="AY110" s="1119">
        <v>47</v>
      </c>
      <c r="AZ110" s="1120">
        <f t="shared" si="66"/>
        <v>47</v>
      </c>
      <c r="BA110" s="1119"/>
      <c r="BB110" s="1119"/>
      <c r="BC110" s="1119"/>
      <c r="BD110" s="1120">
        <f t="shared" si="55"/>
        <v>0</v>
      </c>
    </row>
    <row r="111" spans="1:56" s="212" customFormat="1" ht="15" x14ac:dyDescent="0.2">
      <c r="A111" s="5448"/>
      <c r="B111" s="1761"/>
      <c r="C111" s="5456"/>
      <c r="D111" s="1121" t="s">
        <v>594</v>
      </c>
      <c r="E111" s="1769"/>
      <c r="F111" s="1770"/>
      <c r="G111" s="1770"/>
      <c r="H111" s="1120"/>
      <c r="I111" s="1119"/>
      <c r="J111" s="1119"/>
      <c r="K111" s="1119"/>
      <c r="L111" s="1120"/>
      <c r="M111" s="1119"/>
      <c r="N111" s="1119"/>
      <c r="O111" s="1119"/>
      <c r="P111" s="1120"/>
      <c r="Q111" s="1119"/>
      <c r="R111" s="1119"/>
      <c r="S111" s="1119"/>
      <c r="T111" s="1120"/>
      <c r="U111" s="1119"/>
      <c r="V111" s="1119"/>
      <c r="W111" s="1119"/>
      <c r="X111" s="1120"/>
      <c r="Y111" s="1119"/>
      <c r="Z111" s="1119"/>
      <c r="AA111" s="1119"/>
      <c r="AB111" s="1120"/>
      <c r="AC111" s="1119"/>
      <c r="AD111" s="1119"/>
      <c r="AE111" s="1119"/>
      <c r="AF111" s="1120"/>
      <c r="AG111" s="1119"/>
      <c r="AH111" s="1119"/>
      <c r="AI111" s="1119"/>
      <c r="AJ111" s="1120"/>
      <c r="AK111" s="1119"/>
      <c r="AL111" s="1119"/>
      <c r="AM111" s="1119"/>
      <c r="AN111" s="1120"/>
      <c r="AO111" s="1119"/>
      <c r="AP111" s="1119"/>
      <c r="AQ111" s="1119"/>
      <c r="AR111" s="1120"/>
      <c r="AS111" s="1119">
        <v>12</v>
      </c>
      <c r="AT111" s="1119"/>
      <c r="AU111" s="1119"/>
      <c r="AV111" s="1120">
        <f t="shared" si="64"/>
        <v>12</v>
      </c>
      <c r="AW111" s="1119">
        <v>7</v>
      </c>
      <c r="AX111" s="1119"/>
      <c r="AY111" s="1119">
        <v>11</v>
      </c>
      <c r="AZ111" s="1120">
        <f t="shared" si="66"/>
        <v>18</v>
      </c>
      <c r="BA111" s="1119">
        <v>6</v>
      </c>
      <c r="BB111" s="1119"/>
      <c r="BC111" s="1119"/>
      <c r="BD111" s="1120">
        <f t="shared" si="55"/>
        <v>6</v>
      </c>
    </row>
    <row r="112" spans="1:56" s="212" customFormat="1" ht="15" x14ac:dyDescent="0.2">
      <c r="A112" s="5448"/>
      <c r="B112" s="1099"/>
      <c r="C112" s="1122"/>
      <c r="D112" s="1106" t="s">
        <v>160</v>
      </c>
      <c r="E112" s="1762">
        <f>SUM(E99:E110)</f>
        <v>0</v>
      </c>
      <c r="F112" s="1763">
        <f>SUM(F99:F110)</f>
        <v>31</v>
      </c>
      <c r="G112" s="1763">
        <f t="shared" ref="G112:AR112" si="67">SUM(G99:G110)</f>
        <v>102</v>
      </c>
      <c r="H112" s="1764">
        <f t="shared" si="67"/>
        <v>133</v>
      </c>
      <c r="I112" s="1762">
        <f t="shared" si="67"/>
        <v>93</v>
      </c>
      <c r="J112" s="1763">
        <f t="shared" si="67"/>
        <v>0</v>
      </c>
      <c r="K112" s="1763">
        <f t="shared" si="67"/>
        <v>42</v>
      </c>
      <c r="L112" s="1765">
        <f t="shared" si="67"/>
        <v>135</v>
      </c>
      <c r="M112" s="1762">
        <f t="shared" si="67"/>
        <v>34</v>
      </c>
      <c r="N112" s="1763">
        <f t="shared" si="67"/>
        <v>9</v>
      </c>
      <c r="O112" s="1763">
        <f t="shared" si="67"/>
        <v>170</v>
      </c>
      <c r="P112" s="1765">
        <f t="shared" si="67"/>
        <v>213</v>
      </c>
      <c r="Q112" s="1762">
        <f t="shared" si="67"/>
        <v>61</v>
      </c>
      <c r="R112" s="1763">
        <f t="shared" si="67"/>
        <v>9</v>
      </c>
      <c r="S112" s="1763">
        <f t="shared" si="67"/>
        <v>149</v>
      </c>
      <c r="T112" s="1765">
        <f t="shared" si="67"/>
        <v>219</v>
      </c>
      <c r="U112" s="1762">
        <f t="shared" si="67"/>
        <v>57</v>
      </c>
      <c r="V112" s="1763">
        <f t="shared" si="67"/>
        <v>24</v>
      </c>
      <c r="W112" s="1763">
        <f t="shared" si="67"/>
        <v>213</v>
      </c>
      <c r="X112" s="1765">
        <f t="shared" si="67"/>
        <v>294</v>
      </c>
      <c r="Y112" s="1762">
        <f t="shared" si="67"/>
        <v>72</v>
      </c>
      <c r="Z112" s="1763">
        <f t="shared" si="67"/>
        <v>51</v>
      </c>
      <c r="AA112" s="1763">
        <f t="shared" si="67"/>
        <v>96</v>
      </c>
      <c r="AB112" s="1765">
        <f t="shared" si="67"/>
        <v>219</v>
      </c>
      <c r="AC112" s="1762">
        <f t="shared" si="67"/>
        <v>80</v>
      </c>
      <c r="AD112" s="1763">
        <f t="shared" si="67"/>
        <v>12</v>
      </c>
      <c r="AE112" s="1763">
        <f t="shared" si="67"/>
        <v>203</v>
      </c>
      <c r="AF112" s="1765">
        <f t="shared" si="67"/>
        <v>295</v>
      </c>
      <c r="AG112" s="1762">
        <f t="shared" si="67"/>
        <v>29</v>
      </c>
      <c r="AH112" s="1763">
        <f t="shared" si="67"/>
        <v>115</v>
      </c>
      <c r="AI112" s="1763">
        <f t="shared" si="67"/>
        <v>142</v>
      </c>
      <c r="AJ112" s="1765">
        <f t="shared" si="67"/>
        <v>286</v>
      </c>
      <c r="AK112" s="1762">
        <f t="shared" si="67"/>
        <v>134</v>
      </c>
      <c r="AL112" s="1763">
        <f t="shared" si="67"/>
        <v>47</v>
      </c>
      <c r="AM112" s="1763">
        <f t="shared" si="67"/>
        <v>213</v>
      </c>
      <c r="AN112" s="1765">
        <f t="shared" si="67"/>
        <v>394</v>
      </c>
      <c r="AO112" s="1762">
        <f t="shared" si="67"/>
        <v>29</v>
      </c>
      <c r="AP112" s="1763">
        <f t="shared" si="67"/>
        <v>43</v>
      </c>
      <c r="AQ112" s="1763">
        <f t="shared" si="67"/>
        <v>207</v>
      </c>
      <c r="AR112" s="1765">
        <f t="shared" si="67"/>
        <v>279</v>
      </c>
      <c r="AS112" s="1762">
        <f t="shared" ref="AS112:AZ112" si="68">SUM(AS99:AS111)</f>
        <v>120</v>
      </c>
      <c r="AT112" s="1763">
        <f t="shared" si="68"/>
        <v>92</v>
      </c>
      <c r="AU112" s="1763">
        <f t="shared" si="68"/>
        <v>227</v>
      </c>
      <c r="AV112" s="1765">
        <f t="shared" si="68"/>
        <v>439</v>
      </c>
      <c r="AW112" s="1762">
        <f t="shared" si="68"/>
        <v>52</v>
      </c>
      <c r="AX112" s="1763">
        <f t="shared" si="68"/>
        <v>57</v>
      </c>
      <c r="AY112" s="1763">
        <f t="shared" si="68"/>
        <v>204</v>
      </c>
      <c r="AZ112" s="1765">
        <f t="shared" si="68"/>
        <v>313</v>
      </c>
      <c r="BA112" s="1762">
        <f>SUM(BA99:BA111)</f>
        <v>164</v>
      </c>
      <c r="BB112" s="1763">
        <f t="shared" ref="BB112:BD112" si="69">SUM(BB99:BB111)</f>
        <v>75</v>
      </c>
      <c r="BC112" s="1763">
        <f t="shared" si="69"/>
        <v>226</v>
      </c>
      <c r="BD112" s="1765">
        <f t="shared" si="69"/>
        <v>465</v>
      </c>
    </row>
    <row r="113" spans="1:56" s="212" customFormat="1" ht="15" x14ac:dyDescent="0.2">
      <c r="A113" s="5448"/>
      <c r="B113" s="5447" t="s">
        <v>7</v>
      </c>
      <c r="C113" s="5455" t="s">
        <v>527</v>
      </c>
      <c r="D113" s="1116" t="s">
        <v>1</v>
      </c>
      <c r="E113" s="1771"/>
      <c r="F113" s="1772"/>
      <c r="G113" s="1772">
        <v>44</v>
      </c>
      <c r="H113" s="1110">
        <f t="shared" si="65"/>
        <v>44</v>
      </c>
      <c r="I113" s="1109"/>
      <c r="J113" s="1109"/>
      <c r="K113" s="1109">
        <v>42</v>
      </c>
      <c r="L113" s="1110">
        <f t="shared" si="56"/>
        <v>42</v>
      </c>
      <c r="M113" s="1109"/>
      <c r="N113" s="1109"/>
      <c r="O113" s="1109">
        <v>48</v>
      </c>
      <c r="P113" s="1110">
        <f t="shared" si="57"/>
        <v>48</v>
      </c>
      <c r="Q113" s="1109"/>
      <c r="R113" s="1109"/>
      <c r="S113" s="1109">
        <v>48</v>
      </c>
      <c r="T113" s="1110">
        <f t="shared" si="60"/>
        <v>48</v>
      </c>
      <c r="U113" s="1109"/>
      <c r="V113" s="1109"/>
      <c r="W113" s="1109">
        <v>53</v>
      </c>
      <c r="X113" s="1110">
        <f t="shared" si="58"/>
        <v>53</v>
      </c>
      <c r="Y113" s="1109"/>
      <c r="Z113" s="1109"/>
      <c r="AA113" s="1109">
        <v>33</v>
      </c>
      <c r="AB113" s="1110">
        <f t="shared" si="61"/>
        <v>33</v>
      </c>
      <c r="AC113" s="1109"/>
      <c r="AD113" s="1109"/>
      <c r="AE113" s="1109">
        <v>52</v>
      </c>
      <c r="AF113" s="1110">
        <f t="shared" si="59"/>
        <v>52</v>
      </c>
      <c r="AG113" s="1109">
        <v>42</v>
      </c>
      <c r="AH113" s="1109"/>
      <c r="AI113" s="1109"/>
      <c r="AJ113" s="1110">
        <f t="shared" si="62"/>
        <v>42</v>
      </c>
      <c r="AK113" s="1109">
        <v>16</v>
      </c>
      <c r="AL113" s="1109"/>
      <c r="AM113" s="1109">
        <v>61</v>
      </c>
      <c r="AN113" s="1110">
        <f t="shared" si="53"/>
        <v>77</v>
      </c>
      <c r="AO113" s="1109"/>
      <c r="AP113" s="1109"/>
      <c r="AQ113" s="1109">
        <v>68</v>
      </c>
      <c r="AR113" s="1110">
        <f t="shared" si="63"/>
        <v>68</v>
      </c>
      <c r="AS113" s="1109"/>
      <c r="AT113" s="1109"/>
      <c r="AU113" s="1109">
        <v>51</v>
      </c>
      <c r="AV113" s="1110">
        <f>SUM(AS113:AU113)</f>
        <v>51</v>
      </c>
      <c r="AW113" s="1109"/>
      <c r="AX113" s="1109"/>
      <c r="AY113" s="1109">
        <v>84</v>
      </c>
      <c r="AZ113" s="1110">
        <f>SUM(AW113:AY113)</f>
        <v>84</v>
      </c>
      <c r="BA113" s="1109"/>
      <c r="BB113" s="1109"/>
      <c r="BC113" s="1109">
        <v>58</v>
      </c>
      <c r="BD113" s="1110">
        <f>SUM(BA113:BC113)</f>
        <v>58</v>
      </c>
    </row>
    <row r="114" spans="1:56" s="212" customFormat="1" ht="15" x14ac:dyDescent="0.2">
      <c r="A114" s="5448"/>
      <c r="B114" s="5448"/>
      <c r="C114" s="5456"/>
      <c r="D114" s="1117" t="s">
        <v>537</v>
      </c>
      <c r="E114" s="1768"/>
      <c r="F114" s="1767"/>
      <c r="G114" s="1767"/>
      <c r="H114" s="1113"/>
      <c r="I114" s="1112"/>
      <c r="J114" s="1112"/>
      <c r="K114" s="1112"/>
      <c r="L114" s="1113"/>
      <c r="M114" s="1112"/>
      <c r="N114" s="1112"/>
      <c r="O114" s="1112"/>
      <c r="P114" s="1113"/>
      <c r="Q114" s="1112"/>
      <c r="R114" s="1112"/>
      <c r="S114" s="1112"/>
      <c r="T114" s="1113"/>
      <c r="U114" s="1112"/>
      <c r="V114" s="1112"/>
      <c r="W114" s="1112"/>
      <c r="X114" s="1113"/>
      <c r="Y114" s="1112"/>
      <c r="Z114" s="1112"/>
      <c r="AA114" s="1112"/>
      <c r="AB114" s="1113"/>
      <c r="AC114" s="1112"/>
      <c r="AD114" s="1112">
        <v>23</v>
      </c>
      <c r="AE114" s="1112"/>
      <c r="AF114" s="1113">
        <f t="shared" si="59"/>
        <v>23</v>
      </c>
      <c r="AG114" s="1112"/>
      <c r="AH114" s="1112"/>
      <c r="AI114" s="1112"/>
      <c r="AJ114" s="1113"/>
      <c r="AK114" s="1112"/>
      <c r="AL114" s="1112">
        <v>103</v>
      </c>
      <c r="AM114" s="1112"/>
      <c r="AN114" s="1113">
        <f t="shared" si="53"/>
        <v>103</v>
      </c>
      <c r="AO114" s="1112"/>
      <c r="AP114" s="1112"/>
      <c r="AQ114" s="1112"/>
      <c r="AR114" s="1113">
        <f t="shared" si="63"/>
        <v>0</v>
      </c>
      <c r="AS114" s="1112"/>
      <c r="AT114" s="1112">
        <v>46</v>
      </c>
      <c r="AU114" s="1112"/>
      <c r="AV114" s="1113">
        <f>SUM(AS114:AU114)</f>
        <v>46</v>
      </c>
      <c r="AW114" s="1112"/>
      <c r="AX114" s="1112"/>
      <c r="AY114" s="1112"/>
      <c r="AZ114" s="1113">
        <f>SUM(AW114:AY114)</f>
        <v>0</v>
      </c>
      <c r="BA114" s="1112"/>
      <c r="BB114" s="1112">
        <v>55</v>
      </c>
      <c r="BC114" s="1112"/>
      <c r="BD114" s="1113">
        <f>SUM(BA114:BC114)</f>
        <v>55</v>
      </c>
    </row>
    <row r="115" spans="1:56" s="212" customFormat="1" ht="15" x14ac:dyDescent="0.2">
      <c r="A115" s="5448"/>
      <c r="B115" s="5448"/>
      <c r="C115" s="5465"/>
      <c r="D115" s="1117" t="s">
        <v>538</v>
      </c>
      <c r="E115" s="1768"/>
      <c r="F115" s="1767"/>
      <c r="G115" s="1767"/>
      <c r="H115" s="1113"/>
      <c r="I115" s="1112"/>
      <c r="J115" s="1112"/>
      <c r="K115" s="1112"/>
      <c r="L115" s="1113"/>
      <c r="M115" s="1112"/>
      <c r="N115" s="1112"/>
      <c r="O115" s="1112"/>
      <c r="P115" s="1113"/>
      <c r="Q115" s="1112"/>
      <c r="R115" s="1112"/>
      <c r="S115" s="1112"/>
      <c r="T115" s="1113"/>
      <c r="U115" s="1112"/>
      <c r="V115" s="1112"/>
      <c r="W115" s="1112"/>
      <c r="X115" s="1113"/>
      <c r="Y115" s="1112"/>
      <c r="Z115" s="1112"/>
      <c r="AA115" s="1112"/>
      <c r="AB115" s="1113"/>
      <c r="AC115" s="1112"/>
      <c r="AD115" s="1112"/>
      <c r="AE115" s="1112">
        <v>125</v>
      </c>
      <c r="AF115" s="1113">
        <f t="shared" si="59"/>
        <v>125</v>
      </c>
      <c r="AG115" s="1112"/>
      <c r="AH115" s="1112"/>
      <c r="AI115" s="1112"/>
      <c r="AJ115" s="1113"/>
      <c r="AK115" s="1112"/>
      <c r="AL115" s="1112">
        <v>25</v>
      </c>
      <c r="AM115" s="1112"/>
      <c r="AN115" s="1113">
        <f t="shared" si="53"/>
        <v>25</v>
      </c>
      <c r="AO115" s="1112"/>
      <c r="AP115" s="1112"/>
      <c r="AQ115" s="1112"/>
      <c r="AR115" s="1113">
        <f t="shared" si="63"/>
        <v>0</v>
      </c>
      <c r="AS115" s="1112"/>
      <c r="AT115" s="1112">
        <v>111</v>
      </c>
      <c r="AU115" s="1112"/>
      <c r="AV115" s="1113">
        <f>SUM(AS115:AU115)</f>
        <v>111</v>
      </c>
      <c r="AW115" s="1112"/>
      <c r="AX115" s="1112"/>
      <c r="AY115" s="1112"/>
      <c r="AZ115" s="1113">
        <f>SUM(AW115:AY115)</f>
        <v>0</v>
      </c>
      <c r="BA115" s="1112"/>
      <c r="BB115" s="1112">
        <v>70</v>
      </c>
      <c r="BC115" s="1112"/>
      <c r="BD115" s="1113">
        <f>SUM(BA115:BC115)</f>
        <v>70</v>
      </c>
    </row>
    <row r="116" spans="1:56" s="212" customFormat="1" ht="15" x14ac:dyDescent="0.2">
      <c r="A116" s="5448"/>
      <c r="B116" s="5448"/>
      <c r="C116" s="1095" t="s">
        <v>526</v>
      </c>
      <c r="D116" s="1118" t="s">
        <v>2</v>
      </c>
      <c r="E116" s="1769"/>
      <c r="F116" s="1770"/>
      <c r="G116" s="1770"/>
      <c r="H116" s="1120"/>
      <c r="I116" s="1119"/>
      <c r="J116" s="1119"/>
      <c r="K116" s="1119">
        <v>11</v>
      </c>
      <c r="L116" s="1120">
        <f t="shared" si="56"/>
        <v>11</v>
      </c>
      <c r="M116" s="1119"/>
      <c r="N116" s="1119"/>
      <c r="O116" s="1119"/>
      <c r="P116" s="1120"/>
      <c r="Q116" s="1119">
        <v>19</v>
      </c>
      <c r="R116" s="1119"/>
      <c r="S116" s="1119"/>
      <c r="T116" s="1120">
        <f t="shared" si="60"/>
        <v>19</v>
      </c>
      <c r="U116" s="1119">
        <v>11</v>
      </c>
      <c r="V116" s="1119"/>
      <c r="W116" s="1119"/>
      <c r="X116" s="1120">
        <f t="shared" si="58"/>
        <v>11</v>
      </c>
      <c r="Y116" s="1119">
        <v>18</v>
      </c>
      <c r="Z116" s="1119"/>
      <c r="AA116" s="1119"/>
      <c r="AB116" s="1120">
        <f t="shared" si="61"/>
        <v>18</v>
      </c>
      <c r="AC116" s="1119">
        <v>17</v>
      </c>
      <c r="AD116" s="1119"/>
      <c r="AE116" s="1119"/>
      <c r="AF116" s="1120">
        <f t="shared" si="59"/>
        <v>17</v>
      </c>
      <c r="AG116" s="1119">
        <v>17</v>
      </c>
      <c r="AH116" s="1119"/>
      <c r="AI116" s="1119"/>
      <c r="AJ116" s="1120">
        <f t="shared" si="62"/>
        <v>17</v>
      </c>
      <c r="AK116" s="1119"/>
      <c r="AL116" s="1119"/>
      <c r="AM116" s="1119"/>
      <c r="AN116" s="1120">
        <f t="shared" si="53"/>
        <v>0</v>
      </c>
      <c r="AO116" s="1119">
        <v>17</v>
      </c>
      <c r="AP116" s="1119"/>
      <c r="AQ116" s="1119"/>
      <c r="AR116" s="1120">
        <f t="shared" si="63"/>
        <v>17</v>
      </c>
      <c r="AS116" s="1119">
        <v>16</v>
      </c>
      <c r="AT116" s="1119"/>
      <c r="AU116" s="1119"/>
      <c r="AV116" s="1120">
        <f>SUM(AS116:AU116)</f>
        <v>16</v>
      </c>
      <c r="AW116" s="1119">
        <v>19</v>
      </c>
      <c r="AX116" s="1119"/>
      <c r="AY116" s="1119"/>
      <c r="AZ116" s="1120">
        <f>SUM(AW116:AY116)</f>
        <v>19</v>
      </c>
      <c r="BA116" s="1119">
        <v>14</v>
      </c>
      <c r="BB116" s="1119"/>
      <c r="BC116" s="1119"/>
      <c r="BD116" s="1120">
        <f>SUM(BA116:BC116)</f>
        <v>14</v>
      </c>
    </row>
    <row r="117" spans="1:56" s="212" customFormat="1" ht="15" x14ac:dyDescent="0.2">
      <c r="A117" s="5448"/>
      <c r="B117" s="5450"/>
      <c r="C117" s="1105"/>
      <c r="D117" s="1106" t="s">
        <v>160</v>
      </c>
      <c r="E117" s="1762">
        <f>SUM(E113:E116)</f>
        <v>0</v>
      </c>
      <c r="F117" s="1763">
        <f>SUM(F113:F116)</f>
        <v>0</v>
      </c>
      <c r="G117" s="1763">
        <f>SUM(G113:G116)</f>
        <v>44</v>
      </c>
      <c r="H117" s="1764">
        <f t="shared" ref="H117:AR117" si="70">SUM(H113:H116)</f>
        <v>44</v>
      </c>
      <c r="I117" s="1762">
        <f t="shared" si="70"/>
        <v>0</v>
      </c>
      <c r="J117" s="1763">
        <f t="shared" si="70"/>
        <v>0</v>
      </c>
      <c r="K117" s="1763">
        <f t="shared" si="70"/>
        <v>53</v>
      </c>
      <c r="L117" s="1765">
        <f t="shared" si="70"/>
        <v>53</v>
      </c>
      <c r="M117" s="1762">
        <f t="shared" si="70"/>
        <v>0</v>
      </c>
      <c r="N117" s="1763">
        <f t="shared" si="70"/>
        <v>0</v>
      </c>
      <c r="O117" s="1763">
        <f t="shared" si="70"/>
        <v>48</v>
      </c>
      <c r="P117" s="1765">
        <f t="shared" si="70"/>
        <v>48</v>
      </c>
      <c r="Q117" s="1762">
        <f t="shared" si="70"/>
        <v>19</v>
      </c>
      <c r="R117" s="1763">
        <f t="shared" si="70"/>
        <v>0</v>
      </c>
      <c r="S117" s="1763">
        <f t="shared" si="70"/>
        <v>48</v>
      </c>
      <c r="T117" s="1765">
        <f t="shared" si="70"/>
        <v>67</v>
      </c>
      <c r="U117" s="1762">
        <f t="shared" si="70"/>
        <v>11</v>
      </c>
      <c r="V117" s="1763">
        <f t="shared" si="70"/>
        <v>0</v>
      </c>
      <c r="W117" s="1763">
        <f t="shared" si="70"/>
        <v>53</v>
      </c>
      <c r="X117" s="1765">
        <f t="shared" si="70"/>
        <v>64</v>
      </c>
      <c r="Y117" s="1762">
        <f t="shared" si="70"/>
        <v>18</v>
      </c>
      <c r="Z117" s="1763">
        <f t="shared" si="70"/>
        <v>0</v>
      </c>
      <c r="AA117" s="1763">
        <f t="shared" si="70"/>
        <v>33</v>
      </c>
      <c r="AB117" s="1765">
        <f t="shared" si="70"/>
        <v>51</v>
      </c>
      <c r="AC117" s="1762">
        <f t="shared" si="70"/>
        <v>17</v>
      </c>
      <c r="AD117" s="1763">
        <f t="shared" si="70"/>
        <v>23</v>
      </c>
      <c r="AE117" s="1763">
        <f t="shared" si="70"/>
        <v>177</v>
      </c>
      <c r="AF117" s="1765">
        <f t="shared" si="70"/>
        <v>217</v>
      </c>
      <c r="AG117" s="1762">
        <f t="shared" si="70"/>
        <v>59</v>
      </c>
      <c r="AH117" s="1763">
        <f t="shared" si="70"/>
        <v>0</v>
      </c>
      <c r="AI117" s="1763">
        <f t="shared" si="70"/>
        <v>0</v>
      </c>
      <c r="AJ117" s="1765">
        <f t="shared" si="70"/>
        <v>59</v>
      </c>
      <c r="AK117" s="1762">
        <f t="shared" si="70"/>
        <v>16</v>
      </c>
      <c r="AL117" s="1763">
        <f t="shared" si="70"/>
        <v>128</v>
      </c>
      <c r="AM117" s="1763">
        <f t="shared" si="70"/>
        <v>61</v>
      </c>
      <c r="AN117" s="1765">
        <f t="shared" si="70"/>
        <v>205</v>
      </c>
      <c r="AO117" s="1762">
        <f t="shared" si="70"/>
        <v>17</v>
      </c>
      <c r="AP117" s="1763">
        <f t="shared" si="70"/>
        <v>0</v>
      </c>
      <c r="AQ117" s="1763">
        <f t="shared" si="70"/>
        <v>68</v>
      </c>
      <c r="AR117" s="1765">
        <f t="shared" si="70"/>
        <v>85</v>
      </c>
      <c r="AS117" s="1762">
        <f t="shared" ref="AS117:AZ117" si="71">SUM(AS113:AS116)</f>
        <v>16</v>
      </c>
      <c r="AT117" s="1763">
        <f t="shared" si="71"/>
        <v>157</v>
      </c>
      <c r="AU117" s="1763">
        <f t="shared" si="71"/>
        <v>51</v>
      </c>
      <c r="AV117" s="1765">
        <f t="shared" si="71"/>
        <v>224</v>
      </c>
      <c r="AW117" s="1762">
        <f t="shared" si="71"/>
        <v>19</v>
      </c>
      <c r="AX117" s="1763">
        <f t="shared" si="71"/>
        <v>0</v>
      </c>
      <c r="AY117" s="1763">
        <f t="shared" si="71"/>
        <v>84</v>
      </c>
      <c r="AZ117" s="1765">
        <f t="shared" si="71"/>
        <v>103</v>
      </c>
      <c r="BA117" s="1762">
        <f t="shared" ref="BA117:BD117" si="72">SUM(BA113:BA116)</f>
        <v>14</v>
      </c>
      <c r="BB117" s="1763">
        <f t="shared" si="72"/>
        <v>125</v>
      </c>
      <c r="BC117" s="1763">
        <f t="shared" si="72"/>
        <v>58</v>
      </c>
      <c r="BD117" s="1765">
        <f t="shared" si="72"/>
        <v>197</v>
      </c>
    </row>
    <row r="118" spans="1:56" s="212" customFormat="1" ht="15" x14ac:dyDescent="0.2">
      <c r="A118" s="5449"/>
      <c r="B118" s="4130"/>
      <c r="C118" s="4130"/>
      <c r="D118" s="3986" t="s">
        <v>531</v>
      </c>
      <c r="E118" s="4117">
        <f>SUM(E117,E112,E98)</f>
        <v>0</v>
      </c>
      <c r="F118" s="4118">
        <f t="shared" ref="F118:AR118" si="73">SUM(F117,F112,F98)</f>
        <v>79</v>
      </c>
      <c r="G118" s="4118">
        <f t="shared" si="73"/>
        <v>242</v>
      </c>
      <c r="H118" s="4119">
        <f t="shared" si="73"/>
        <v>321</v>
      </c>
      <c r="I118" s="4120">
        <f t="shared" si="73"/>
        <v>119</v>
      </c>
      <c r="J118" s="4121">
        <f t="shared" si="73"/>
        <v>0</v>
      </c>
      <c r="K118" s="4121">
        <f t="shared" si="73"/>
        <v>549</v>
      </c>
      <c r="L118" s="4122">
        <f t="shared" si="73"/>
        <v>668</v>
      </c>
      <c r="M118" s="4120">
        <f t="shared" si="73"/>
        <v>134</v>
      </c>
      <c r="N118" s="4121">
        <f t="shared" si="73"/>
        <v>9</v>
      </c>
      <c r="O118" s="4121">
        <f t="shared" si="73"/>
        <v>316</v>
      </c>
      <c r="P118" s="4122">
        <f t="shared" si="73"/>
        <v>459</v>
      </c>
      <c r="Q118" s="4120">
        <f t="shared" si="73"/>
        <v>93</v>
      </c>
      <c r="R118" s="4121">
        <f t="shared" si="73"/>
        <v>9</v>
      </c>
      <c r="S118" s="4121">
        <f t="shared" si="73"/>
        <v>556</v>
      </c>
      <c r="T118" s="4122">
        <f t="shared" si="73"/>
        <v>658</v>
      </c>
      <c r="U118" s="4120">
        <f t="shared" si="73"/>
        <v>218</v>
      </c>
      <c r="V118" s="4121">
        <f t="shared" si="73"/>
        <v>43</v>
      </c>
      <c r="W118" s="4121">
        <f t="shared" si="73"/>
        <v>403</v>
      </c>
      <c r="X118" s="4122">
        <f t="shared" si="73"/>
        <v>664</v>
      </c>
      <c r="Y118" s="4123">
        <f t="shared" si="73"/>
        <v>146</v>
      </c>
      <c r="Z118" s="4123">
        <f t="shared" si="73"/>
        <v>51</v>
      </c>
      <c r="AA118" s="4123">
        <f t="shared" si="73"/>
        <v>538</v>
      </c>
      <c r="AB118" s="4123">
        <f t="shared" si="73"/>
        <v>735</v>
      </c>
      <c r="AC118" s="4120">
        <f t="shared" si="73"/>
        <v>279</v>
      </c>
      <c r="AD118" s="4121">
        <f t="shared" si="73"/>
        <v>35</v>
      </c>
      <c r="AE118" s="4121">
        <f t="shared" si="73"/>
        <v>481</v>
      </c>
      <c r="AF118" s="4122">
        <f t="shared" si="73"/>
        <v>795</v>
      </c>
      <c r="AG118" s="4123">
        <f t="shared" si="73"/>
        <v>88</v>
      </c>
      <c r="AH118" s="4123">
        <f t="shared" si="73"/>
        <v>115</v>
      </c>
      <c r="AI118" s="4123">
        <f t="shared" si="73"/>
        <v>727</v>
      </c>
      <c r="AJ118" s="4123">
        <f t="shared" si="73"/>
        <v>930</v>
      </c>
      <c r="AK118" s="4120">
        <f t="shared" si="73"/>
        <v>299</v>
      </c>
      <c r="AL118" s="4121">
        <f t="shared" si="73"/>
        <v>175</v>
      </c>
      <c r="AM118" s="4121">
        <f t="shared" si="73"/>
        <v>406</v>
      </c>
      <c r="AN118" s="4122">
        <f t="shared" si="73"/>
        <v>880</v>
      </c>
      <c r="AO118" s="4120">
        <f t="shared" si="73"/>
        <v>132</v>
      </c>
      <c r="AP118" s="4121">
        <f t="shared" si="73"/>
        <v>43</v>
      </c>
      <c r="AQ118" s="4121">
        <f t="shared" si="73"/>
        <v>1123</v>
      </c>
      <c r="AR118" s="4122">
        <f t="shared" si="73"/>
        <v>1298</v>
      </c>
      <c r="AS118" s="4120">
        <f t="shared" ref="AS118:AZ118" si="74">SUM(AS117,AS112,AS98)</f>
        <v>358</v>
      </c>
      <c r="AT118" s="4121">
        <f t="shared" si="74"/>
        <v>249</v>
      </c>
      <c r="AU118" s="4121">
        <f t="shared" si="74"/>
        <v>424</v>
      </c>
      <c r="AV118" s="4122">
        <f t="shared" si="74"/>
        <v>1031</v>
      </c>
      <c r="AW118" s="4120">
        <f t="shared" si="74"/>
        <v>116</v>
      </c>
      <c r="AX118" s="4121">
        <f t="shared" si="74"/>
        <v>57</v>
      </c>
      <c r="AY118" s="4121">
        <f t="shared" si="74"/>
        <v>1150</v>
      </c>
      <c r="AZ118" s="4122">
        <f t="shared" si="74"/>
        <v>1323</v>
      </c>
      <c r="BA118" s="4120">
        <f t="shared" ref="BA118:BD118" si="75">SUM(BA117,BA112,BA98)</f>
        <v>373</v>
      </c>
      <c r="BB118" s="4121">
        <f t="shared" si="75"/>
        <v>200</v>
      </c>
      <c r="BC118" s="4121">
        <f t="shared" si="75"/>
        <v>426</v>
      </c>
      <c r="BD118" s="4122">
        <f t="shared" si="75"/>
        <v>999</v>
      </c>
    </row>
    <row r="119" spans="1:56" s="212" customFormat="1" ht="15" x14ac:dyDescent="0.2">
      <c r="A119" s="5451" t="s">
        <v>436</v>
      </c>
      <c r="B119" s="5453" t="s">
        <v>6</v>
      </c>
      <c r="C119" s="1101" t="s">
        <v>527</v>
      </c>
      <c r="D119" s="1128" t="s">
        <v>409</v>
      </c>
      <c r="E119" s="1771"/>
      <c r="F119" s="1772"/>
      <c r="G119" s="1772"/>
      <c r="H119" s="1110"/>
      <c r="I119" s="1126"/>
      <c r="J119" s="1126"/>
      <c r="K119" s="1126"/>
      <c r="L119" s="1129"/>
      <c r="M119" s="1130"/>
      <c r="N119" s="1109"/>
      <c r="O119" s="1109"/>
      <c r="P119" s="1110"/>
      <c r="Q119" s="1126"/>
      <c r="R119" s="1126"/>
      <c r="S119" s="1126"/>
      <c r="T119" s="1129"/>
      <c r="U119" s="1130"/>
      <c r="V119" s="1109"/>
      <c r="W119" s="1109"/>
      <c r="X119" s="1110"/>
      <c r="Y119" s="1126"/>
      <c r="Z119" s="1126"/>
      <c r="AA119" s="1126"/>
      <c r="AB119" s="1129"/>
      <c r="AC119" s="1130"/>
      <c r="AD119" s="1109"/>
      <c r="AE119" s="1109"/>
      <c r="AF119" s="1110"/>
      <c r="AG119" s="1131"/>
      <c r="AH119" s="1126"/>
      <c r="AI119" s="1126"/>
      <c r="AJ119" s="1127"/>
      <c r="AK119" s="1131">
        <v>105</v>
      </c>
      <c r="AL119" s="1126"/>
      <c r="AM119" s="1126"/>
      <c r="AN119" s="1127">
        <f t="shared" si="53"/>
        <v>105</v>
      </c>
      <c r="AO119" s="1126">
        <v>108</v>
      </c>
      <c r="AP119" s="1126"/>
      <c r="AQ119" s="1126"/>
      <c r="AR119" s="1127">
        <f t="shared" si="63"/>
        <v>108</v>
      </c>
      <c r="AS119" s="1126">
        <v>136</v>
      </c>
      <c r="AT119" s="1126"/>
      <c r="AU119" s="1126"/>
      <c r="AV119" s="1127">
        <f>SUM(AS119:AU119)</f>
        <v>136</v>
      </c>
      <c r="AW119" s="1126"/>
      <c r="AX119" s="1126"/>
      <c r="AY119" s="1126">
        <v>152</v>
      </c>
      <c r="AZ119" s="1127">
        <f>SUM(AW119:AY119)</f>
        <v>152</v>
      </c>
      <c r="BA119" s="1126"/>
      <c r="BB119" s="1126"/>
      <c r="BC119" s="1126">
        <v>86</v>
      </c>
      <c r="BD119" s="1127">
        <f>SUM(BA119:BC119)</f>
        <v>86</v>
      </c>
    </row>
    <row r="120" spans="1:56" s="212" customFormat="1" ht="15" x14ac:dyDescent="0.2">
      <c r="A120" s="5451"/>
      <c r="B120" s="5451"/>
      <c r="C120" s="518" t="s">
        <v>526</v>
      </c>
      <c r="D120" s="1118" t="s">
        <v>402</v>
      </c>
      <c r="E120" s="1769"/>
      <c r="F120" s="1770"/>
      <c r="G120" s="1770"/>
      <c r="H120" s="1120"/>
      <c r="I120" s="1119"/>
      <c r="J120" s="1119"/>
      <c r="K120" s="1119"/>
      <c r="L120" s="1132"/>
      <c r="M120" s="1133"/>
      <c r="N120" s="1119"/>
      <c r="O120" s="1119"/>
      <c r="P120" s="1120"/>
      <c r="Q120" s="1119"/>
      <c r="R120" s="1119"/>
      <c r="S120" s="1119"/>
      <c r="T120" s="1132"/>
      <c r="U120" s="1133"/>
      <c r="V120" s="1119"/>
      <c r="W120" s="1119"/>
      <c r="X120" s="1120"/>
      <c r="Y120" s="1119"/>
      <c r="Z120" s="1119"/>
      <c r="AA120" s="1119"/>
      <c r="AB120" s="1132"/>
      <c r="AC120" s="1133"/>
      <c r="AD120" s="1119"/>
      <c r="AE120" s="1119"/>
      <c r="AF120" s="1120"/>
      <c r="AG120" s="1133"/>
      <c r="AH120" s="1119"/>
      <c r="AI120" s="1119"/>
      <c r="AJ120" s="1120"/>
      <c r="AK120" s="1133">
        <v>66</v>
      </c>
      <c r="AL120" s="1119"/>
      <c r="AM120" s="1119"/>
      <c r="AN120" s="1120">
        <f t="shared" si="53"/>
        <v>66</v>
      </c>
      <c r="AO120" s="1119">
        <v>63</v>
      </c>
      <c r="AP120" s="1119"/>
      <c r="AQ120" s="1119"/>
      <c r="AR120" s="1120">
        <f t="shared" si="63"/>
        <v>63</v>
      </c>
      <c r="AS120" s="1119"/>
      <c r="AT120" s="1119"/>
      <c r="AU120" s="1119">
        <v>124</v>
      </c>
      <c r="AV120" s="1120">
        <f>SUM(AS120:AU120)</f>
        <v>124</v>
      </c>
      <c r="AW120" s="1119"/>
      <c r="AX120" s="1119"/>
      <c r="AY120" s="1119">
        <v>84</v>
      </c>
      <c r="AZ120" s="1120">
        <f>SUM(AW120:AY120)</f>
        <v>84</v>
      </c>
      <c r="BA120" s="1119"/>
      <c r="BB120" s="1119"/>
      <c r="BC120" s="1119">
        <v>48</v>
      </c>
      <c r="BD120" s="1120">
        <f>SUM(BA120:BC120)</f>
        <v>48</v>
      </c>
    </row>
    <row r="121" spans="1:56" s="212" customFormat="1" ht="15" x14ac:dyDescent="0.2">
      <c r="A121" s="5451"/>
      <c r="B121" s="5454"/>
      <c r="C121" s="1134"/>
      <c r="D121" s="1106" t="s">
        <v>160</v>
      </c>
      <c r="E121" s="1784"/>
      <c r="F121" s="1785"/>
      <c r="G121" s="1785"/>
      <c r="H121" s="1786"/>
      <c r="I121" s="1785"/>
      <c r="J121" s="1785"/>
      <c r="K121" s="1785"/>
      <c r="L121" s="1787"/>
      <c r="M121" s="1784"/>
      <c r="N121" s="1785"/>
      <c r="O121" s="1785"/>
      <c r="P121" s="1786"/>
      <c r="Q121" s="1785"/>
      <c r="R121" s="1785"/>
      <c r="S121" s="1785"/>
      <c r="T121" s="1787"/>
      <c r="U121" s="1784"/>
      <c r="V121" s="1785"/>
      <c r="W121" s="1785"/>
      <c r="X121" s="1786"/>
      <c r="Y121" s="1785"/>
      <c r="Z121" s="1785"/>
      <c r="AA121" s="1785"/>
      <c r="AB121" s="1787"/>
      <c r="AC121" s="1784"/>
      <c r="AD121" s="1785"/>
      <c r="AE121" s="1785"/>
      <c r="AF121" s="1786"/>
      <c r="AG121" s="1784"/>
      <c r="AH121" s="1785"/>
      <c r="AI121" s="1785"/>
      <c r="AJ121" s="1786"/>
      <c r="AK121" s="1784">
        <f t="shared" ref="AK121:AR121" si="76">SUM(AK119:AK120)</f>
        <v>171</v>
      </c>
      <c r="AL121" s="1785">
        <f t="shared" si="76"/>
        <v>0</v>
      </c>
      <c r="AM121" s="1785">
        <f t="shared" si="76"/>
        <v>0</v>
      </c>
      <c r="AN121" s="1786">
        <f t="shared" si="76"/>
        <v>171</v>
      </c>
      <c r="AO121" s="1784">
        <f t="shared" si="76"/>
        <v>171</v>
      </c>
      <c r="AP121" s="1785">
        <f t="shared" si="76"/>
        <v>0</v>
      </c>
      <c r="AQ121" s="1785">
        <f t="shared" si="76"/>
        <v>0</v>
      </c>
      <c r="AR121" s="1786">
        <f t="shared" si="76"/>
        <v>171</v>
      </c>
      <c r="AS121" s="1784">
        <f t="shared" ref="AS121:AZ121" si="77">SUM(AS119:AS120)</f>
        <v>136</v>
      </c>
      <c r="AT121" s="1785">
        <f t="shared" si="77"/>
        <v>0</v>
      </c>
      <c r="AU121" s="1785">
        <f t="shared" si="77"/>
        <v>124</v>
      </c>
      <c r="AV121" s="1786">
        <f t="shared" si="77"/>
        <v>260</v>
      </c>
      <c r="AW121" s="1784">
        <f t="shared" si="77"/>
        <v>0</v>
      </c>
      <c r="AX121" s="1785">
        <f t="shared" si="77"/>
        <v>0</v>
      </c>
      <c r="AY121" s="1785">
        <f t="shared" si="77"/>
        <v>236</v>
      </c>
      <c r="AZ121" s="1786">
        <f t="shared" si="77"/>
        <v>236</v>
      </c>
      <c r="BA121" s="1784">
        <f t="shared" ref="BA121:BD121" si="78">SUM(BA119:BA120)</f>
        <v>0</v>
      </c>
      <c r="BB121" s="1785">
        <f t="shared" si="78"/>
        <v>0</v>
      </c>
      <c r="BC121" s="1785">
        <f t="shared" si="78"/>
        <v>134</v>
      </c>
      <c r="BD121" s="1786">
        <f t="shared" si="78"/>
        <v>134</v>
      </c>
    </row>
    <row r="122" spans="1:56" s="212" customFormat="1" ht="15" x14ac:dyDescent="0.2">
      <c r="A122" s="5451"/>
      <c r="B122" s="5453" t="s">
        <v>9</v>
      </c>
      <c r="C122" s="2337" t="s">
        <v>527</v>
      </c>
      <c r="D122" s="1118" t="s">
        <v>415</v>
      </c>
      <c r="E122" s="1769"/>
      <c r="F122" s="1770"/>
      <c r="G122" s="1770"/>
      <c r="H122" s="1120"/>
      <c r="I122" s="1119"/>
      <c r="J122" s="1119"/>
      <c r="K122" s="1119"/>
      <c r="L122" s="1132"/>
      <c r="M122" s="1133"/>
      <c r="N122" s="1119"/>
      <c r="O122" s="1119"/>
      <c r="P122" s="1120"/>
      <c r="Q122" s="1119"/>
      <c r="R122" s="1119"/>
      <c r="S122" s="1119"/>
      <c r="T122" s="1132"/>
      <c r="U122" s="1133"/>
      <c r="V122" s="1119"/>
      <c r="W122" s="1119"/>
      <c r="X122" s="1120"/>
      <c r="Y122" s="1119"/>
      <c r="Z122" s="1119"/>
      <c r="AA122" s="1119"/>
      <c r="AB122" s="1132"/>
      <c r="AC122" s="1133"/>
      <c r="AD122" s="1119"/>
      <c r="AE122" s="1119"/>
      <c r="AF122" s="1120"/>
      <c r="AG122" s="1119"/>
      <c r="AH122" s="1119"/>
      <c r="AI122" s="1119"/>
      <c r="AJ122" s="1120"/>
      <c r="AK122" s="1119"/>
      <c r="AL122" s="1119"/>
      <c r="AM122" s="1119"/>
      <c r="AN122" s="1120"/>
      <c r="AO122" s="1119"/>
      <c r="AP122" s="1119"/>
      <c r="AQ122" s="1119">
        <v>27</v>
      </c>
      <c r="AR122" s="1120">
        <f>SUM(AO122:AQ122)</f>
        <v>27</v>
      </c>
      <c r="AS122" s="1119">
        <v>37</v>
      </c>
      <c r="AT122" s="1119"/>
      <c r="AU122" s="1119"/>
      <c r="AV122" s="1120">
        <f>SUM(AS122:AU122)</f>
        <v>37</v>
      </c>
      <c r="AW122" s="1119"/>
      <c r="AX122" s="1119"/>
      <c r="AY122" s="1119">
        <v>61</v>
      </c>
      <c r="AZ122" s="1120">
        <f>SUM(AW122:AY122)</f>
        <v>61</v>
      </c>
      <c r="BA122" s="1119"/>
      <c r="BB122" s="1119"/>
      <c r="BC122" s="1119">
        <v>44</v>
      </c>
      <c r="BD122" s="1120">
        <f>SUM(BA122:BC122)</f>
        <v>44</v>
      </c>
    </row>
    <row r="123" spans="1:56" s="212" customFormat="1" ht="15" x14ac:dyDescent="0.2">
      <c r="A123" s="5451"/>
      <c r="B123" s="5454"/>
      <c r="C123" s="1105"/>
      <c r="D123" s="1106" t="s">
        <v>160</v>
      </c>
      <c r="E123" s="1784"/>
      <c r="F123" s="1785"/>
      <c r="G123" s="1785"/>
      <c r="H123" s="1786"/>
      <c r="I123" s="1785"/>
      <c r="J123" s="1785"/>
      <c r="K123" s="1785"/>
      <c r="L123" s="1787"/>
      <c r="M123" s="1784"/>
      <c r="N123" s="1785"/>
      <c r="O123" s="1785"/>
      <c r="P123" s="1786"/>
      <c r="Q123" s="1785"/>
      <c r="R123" s="1785"/>
      <c r="S123" s="1785"/>
      <c r="T123" s="1787"/>
      <c r="U123" s="1784"/>
      <c r="V123" s="1785"/>
      <c r="W123" s="1785"/>
      <c r="X123" s="1786"/>
      <c r="Y123" s="1785"/>
      <c r="Z123" s="1785"/>
      <c r="AA123" s="1785"/>
      <c r="AB123" s="1787"/>
      <c r="AC123" s="1784"/>
      <c r="AD123" s="1785"/>
      <c r="AE123" s="1785"/>
      <c r="AF123" s="1786"/>
      <c r="AG123" s="1784"/>
      <c r="AH123" s="1785"/>
      <c r="AI123" s="1785"/>
      <c r="AJ123" s="1786"/>
      <c r="AK123" s="1784"/>
      <c r="AL123" s="1785"/>
      <c r="AM123" s="1785"/>
      <c r="AN123" s="1786"/>
      <c r="AO123" s="1784">
        <f t="shared" ref="AO123:AV123" si="79">SUM(AO122)</f>
        <v>0</v>
      </c>
      <c r="AP123" s="1785">
        <f t="shared" si="79"/>
        <v>0</v>
      </c>
      <c r="AQ123" s="1785">
        <f t="shared" si="79"/>
        <v>27</v>
      </c>
      <c r="AR123" s="1786">
        <f t="shared" si="79"/>
        <v>27</v>
      </c>
      <c r="AS123" s="1784">
        <f t="shared" si="79"/>
        <v>37</v>
      </c>
      <c r="AT123" s="1785">
        <f t="shared" si="79"/>
        <v>0</v>
      </c>
      <c r="AU123" s="1785">
        <f t="shared" si="79"/>
        <v>0</v>
      </c>
      <c r="AV123" s="1786">
        <f t="shared" si="79"/>
        <v>37</v>
      </c>
      <c r="AW123" s="1784">
        <f t="shared" ref="AW123:BD123" si="80">SUM(AW122)</f>
        <v>0</v>
      </c>
      <c r="AX123" s="1785">
        <f t="shared" si="80"/>
        <v>0</v>
      </c>
      <c r="AY123" s="1785">
        <f t="shared" si="80"/>
        <v>61</v>
      </c>
      <c r="AZ123" s="1786">
        <f t="shared" si="80"/>
        <v>61</v>
      </c>
      <c r="BA123" s="1784">
        <f t="shared" si="80"/>
        <v>0</v>
      </c>
      <c r="BB123" s="1785">
        <f t="shared" si="80"/>
        <v>0</v>
      </c>
      <c r="BC123" s="1785">
        <f t="shared" si="80"/>
        <v>44</v>
      </c>
      <c r="BD123" s="1786">
        <f t="shared" si="80"/>
        <v>44</v>
      </c>
    </row>
    <row r="124" spans="1:56" s="212" customFormat="1" ht="15" x14ac:dyDescent="0.2">
      <c r="A124" s="5451"/>
      <c r="B124" s="5453" t="s">
        <v>74</v>
      </c>
      <c r="C124" s="1101" t="s">
        <v>528</v>
      </c>
      <c r="D124" s="1135" t="s">
        <v>416</v>
      </c>
      <c r="E124" s="1782"/>
      <c r="F124" s="1766"/>
      <c r="G124" s="1766"/>
      <c r="H124" s="1127"/>
      <c r="I124" s="1126"/>
      <c r="J124" s="1126"/>
      <c r="K124" s="1126"/>
      <c r="L124" s="1129"/>
      <c r="M124" s="1131"/>
      <c r="N124" s="1126"/>
      <c r="O124" s="1126"/>
      <c r="P124" s="1127"/>
      <c r="Q124" s="1126"/>
      <c r="R124" s="1126"/>
      <c r="S124" s="1126"/>
      <c r="T124" s="1129"/>
      <c r="U124" s="1131"/>
      <c r="V124" s="1126"/>
      <c r="W124" s="1126"/>
      <c r="X124" s="1127"/>
      <c r="Y124" s="1126"/>
      <c r="Z124" s="1126"/>
      <c r="AA124" s="1126"/>
      <c r="AB124" s="1129"/>
      <c r="AC124" s="1131"/>
      <c r="AD124" s="1126"/>
      <c r="AE124" s="1126"/>
      <c r="AF124" s="1127"/>
      <c r="AG124" s="1131"/>
      <c r="AH124" s="1126"/>
      <c r="AI124" s="1126"/>
      <c r="AJ124" s="1127"/>
      <c r="AK124" s="1131"/>
      <c r="AL124" s="1126"/>
      <c r="AM124" s="1126"/>
      <c r="AN124" s="1127"/>
      <c r="AO124" s="1126"/>
      <c r="AP124" s="1126">
        <v>2</v>
      </c>
      <c r="AQ124" s="1126">
        <v>1</v>
      </c>
      <c r="AR124" s="1127">
        <f>SUM(AO124:AQ124)</f>
        <v>3</v>
      </c>
      <c r="AS124" s="1126">
        <v>1</v>
      </c>
      <c r="AT124" s="1126"/>
      <c r="AU124" s="1126">
        <v>1</v>
      </c>
      <c r="AV124" s="1127">
        <f>SUM(AS124:AU124)</f>
        <v>2</v>
      </c>
      <c r="AW124" s="1126">
        <v>2</v>
      </c>
      <c r="AX124" s="1126"/>
      <c r="AY124" s="1126">
        <v>2</v>
      </c>
      <c r="AZ124" s="1127">
        <f>SUM(AW124:AY124)</f>
        <v>4</v>
      </c>
      <c r="BA124" s="1126">
        <v>2</v>
      </c>
      <c r="BB124" s="1126">
        <v>3</v>
      </c>
      <c r="BC124" s="1126">
        <v>4</v>
      </c>
      <c r="BD124" s="1127">
        <f>SUM(BA124:BC124)</f>
        <v>9</v>
      </c>
    </row>
    <row r="125" spans="1:56" s="212" customFormat="1" ht="15" x14ac:dyDescent="0.2">
      <c r="A125" s="5451"/>
      <c r="B125" s="5451"/>
      <c r="C125" s="1101" t="s">
        <v>527</v>
      </c>
      <c r="D125" s="1104" t="s">
        <v>417</v>
      </c>
      <c r="E125" s="1768"/>
      <c r="F125" s="1767"/>
      <c r="G125" s="1767"/>
      <c r="H125" s="1113"/>
      <c r="I125" s="1112"/>
      <c r="J125" s="1112"/>
      <c r="K125" s="1112"/>
      <c r="L125" s="1136"/>
      <c r="M125" s="1137"/>
      <c r="N125" s="1112"/>
      <c r="O125" s="1112"/>
      <c r="P125" s="1113"/>
      <c r="Q125" s="1112"/>
      <c r="R125" s="1112"/>
      <c r="S125" s="1112"/>
      <c r="T125" s="1136"/>
      <c r="U125" s="1137"/>
      <c r="V125" s="1112"/>
      <c r="W125" s="1112"/>
      <c r="X125" s="1113"/>
      <c r="Y125" s="1112"/>
      <c r="Z125" s="1112"/>
      <c r="AA125" s="1112"/>
      <c r="AB125" s="1136"/>
      <c r="AC125" s="1137"/>
      <c r="AD125" s="1112"/>
      <c r="AE125" s="1112"/>
      <c r="AF125" s="1113"/>
      <c r="AG125" s="1137"/>
      <c r="AH125" s="1112"/>
      <c r="AI125" s="1112"/>
      <c r="AJ125" s="1113"/>
      <c r="AK125" s="1137"/>
      <c r="AL125" s="1112"/>
      <c r="AM125" s="1112"/>
      <c r="AN125" s="1113"/>
      <c r="AO125" s="1112"/>
      <c r="AP125" s="1112"/>
      <c r="AQ125" s="1112">
        <v>15</v>
      </c>
      <c r="AR125" s="1113">
        <f>SUM(AO125:AQ125)</f>
        <v>15</v>
      </c>
      <c r="AS125" s="1112"/>
      <c r="AT125" s="1112"/>
      <c r="AU125" s="1112">
        <v>18</v>
      </c>
      <c r="AV125" s="1113">
        <f>SUM(AS125:AU125)</f>
        <v>18</v>
      </c>
      <c r="AW125" s="1112"/>
      <c r="AX125" s="1112"/>
      <c r="AY125" s="1112">
        <v>16</v>
      </c>
      <c r="AZ125" s="1113">
        <f>SUM(AW125:AY125)</f>
        <v>16</v>
      </c>
      <c r="BA125" s="1112"/>
      <c r="BB125" s="1112"/>
      <c r="BC125" s="1112">
        <v>15</v>
      </c>
      <c r="BD125" s="1113">
        <f>SUM(BA125:BC125)</f>
        <v>15</v>
      </c>
    </row>
    <row r="126" spans="1:56" s="212" customFormat="1" ht="15" x14ac:dyDescent="0.2">
      <c r="A126" s="5451"/>
      <c r="B126" s="5451"/>
      <c r="C126" s="1095" t="s">
        <v>526</v>
      </c>
      <c r="D126" s="1118" t="s">
        <v>418</v>
      </c>
      <c r="E126" s="1769"/>
      <c r="F126" s="1770"/>
      <c r="G126" s="1770"/>
      <c r="H126" s="1120"/>
      <c r="I126" s="1119"/>
      <c r="J126" s="1119"/>
      <c r="K126" s="1119"/>
      <c r="L126" s="1132"/>
      <c r="M126" s="1133"/>
      <c r="N126" s="1119"/>
      <c r="O126" s="1119"/>
      <c r="P126" s="1120"/>
      <c r="Q126" s="1119"/>
      <c r="R126" s="1119"/>
      <c r="S126" s="1119"/>
      <c r="T126" s="1132"/>
      <c r="U126" s="1133"/>
      <c r="V126" s="1119"/>
      <c r="W126" s="1119"/>
      <c r="X126" s="1120"/>
      <c r="Y126" s="1119"/>
      <c r="Z126" s="1119"/>
      <c r="AA126" s="1119"/>
      <c r="AB126" s="1132"/>
      <c r="AC126" s="1133"/>
      <c r="AD126" s="1119"/>
      <c r="AE126" s="1119"/>
      <c r="AF126" s="1120"/>
      <c r="AG126" s="1119"/>
      <c r="AH126" s="1119"/>
      <c r="AI126" s="1119"/>
      <c r="AJ126" s="1120"/>
      <c r="AK126" s="1119"/>
      <c r="AL126" s="1119"/>
      <c r="AM126" s="1119"/>
      <c r="AN126" s="1120"/>
      <c r="AO126" s="1119"/>
      <c r="AP126" s="1119">
        <v>8</v>
      </c>
      <c r="AQ126" s="1119">
        <v>8</v>
      </c>
      <c r="AR126" s="1120">
        <f>SUM(AO126:AQ126)</f>
        <v>16</v>
      </c>
      <c r="AS126" s="1119">
        <v>4</v>
      </c>
      <c r="AT126" s="1119">
        <v>5</v>
      </c>
      <c r="AU126" s="1119">
        <v>3</v>
      </c>
      <c r="AV126" s="1120">
        <f>SUM(AS126:AU126)</f>
        <v>12</v>
      </c>
      <c r="AW126" s="1119">
        <v>4</v>
      </c>
      <c r="AX126" s="1119">
        <v>5</v>
      </c>
      <c r="AY126" s="1119">
        <v>3</v>
      </c>
      <c r="AZ126" s="1120">
        <f>SUM(AW126:AY126)</f>
        <v>12</v>
      </c>
      <c r="BA126" s="1119">
        <v>4</v>
      </c>
      <c r="BB126" s="1119">
        <v>3</v>
      </c>
      <c r="BC126" s="1119">
        <v>6</v>
      </c>
      <c r="BD126" s="1120">
        <f>SUM(BA126:BC126)</f>
        <v>13</v>
      </c>
    </row>
    <row r="127" spans="1:56" s="212" customFormat="1" ht="15" x14ac:dyDescent="0.2">
      <c r="A127" s="5451"/>
      <c r="B127" s="5454"/>
      <c r="C127" s="1105"/>
      <c r="D127" s="1106" t="s">
        <v>160</v>
      </c>
      <c r="E127" s="1788"/>
      <c r="F127" s="1789"/>
      <c r="G127" s="1789"/>
      <c r="H127" s="1790"/>
      <c r="I127" s="1789"/>
      <c r="J127" s="1789"/>
      <c r="K127" s="1789"/>
      <c r="L127" s="1791"/>
      <c r="M127" s="1788"/>
      <c r="N127" s="1789"/>
      <c r="O127" s="1789"/>
      <c r="P127" s="1790"/>
      <c r="Q127" s="1789"/>
      <c r="R127" s="1789"/>
      <c r="S127" s="1789"/>
      <c r="T127" s="1791"/>
      <c r="U127" s="1788"/>
      <c r="V127" s="1789"/>
      <c r="W127" s="1789"/>
      <c r="X127" s="1790"/>
      <c r="Y127" s="1789"/>
      <c r="Z127" s="1789"/>
      <c r="AA127" s="1789"/>
      <c r="AB127" s="1791"/>
      <c r="AC127" s="1788"/>
      <c r="AD127" s="1789"/>
      <c r="AE127" s="1789"/>
      <c r="AF127" s="1790"/>
      <c r="AG127" s="1788"/>
      <c r="AH127" s="1789"/>
      <c r="AI127" s="1789"/>
      <c r="AJ127" s="1790"/>
      <c r="AK127" s="1788"/>
      <c r="AL127" s="1789"/>
      <c r="AM127" s="1789"/>
      <c r="AN127" s="1790"/>
      <c r="AO127" s="1788">
        <f t="shared" ref="AO127:AV127" si="81">SUM(AO124:AO126)</f>
        <v>0</v>
      </c>
      <c r="AP127" s="1789">
        <f t="shared" si="81"/>
        <v>10</v>
      </c>
      <c r="AQ127" s="1789">
        <f t="shared" si="81"/>
        <v>24</v>
      </c>
      <c r="AR127" s="1790">
        <f t="shared" si="81"/>
        <v>34</v>
      </c>
      <c r="AS127" s="1788">
        <f t="shared" si="81"/>
        <v>5</v>
      </c>
      <c r="AT127" s="1789">
        <f t="shared" si="81"/>
        <v>5</v>
      </c>
      <c r="AU127" s="1789">
        <f t="shared" si="81"/>
        <v>22</v>
      </c>
      <c r="AV127" s="1790">
        <f t="shared" si="81"/>
        <v>32</v>
      </c>
      <c r="AW127" s="1788">
        <f t="shared" ref="AW127:BD127" si="82">SUM(AW124:AW126)</f>
        <v>6</v>
      </c>
      <c r="AX127" s="1789">
        <f t="shared" si="82"/>
        <v>5</v>
      </c>
      <c r="AY127" s="1789">
        <f t="shared" si="82"/>
        <v>21</v>
      </c>
      <c r="AZ127" s="1790">
        <f t="shared" si="82"/>
        <v>32</v>
      </c>
      <c r="BA127" s="1788">
        <f t="shared" si="82"/>
        <v>6</v>
      </c>
      <c r="BB127" s="1789">
        <f t="shared" si="82"/>
        <v>6</v>
      </c>
      <c r="BC127" s="1789">
        <f t="shared" si="82"/>
        <v>25</v>
      </c>
      <c r="BD127" s="1790">
        <f t="shared" si="82"/>
        <v>37</v>
      </c>
    </row>
    <row r="128" spans="1:56" s="212" customFormat="1" ht="15" x14ac:dyDescent="0.2">
      <c r="A128" s="5452"/>
      <c r="B128" s="4131"/>
      <c r="C128" s="4131"/>
      <c r="D128" s="3987" t="s">
        <v>450</v>
      </c>
      <c r="E128" s="4124"/>
      <c r="F128" s="4125"/>
      <c r="G128" s="4125"/>
      <c r="H128" s="4126"/>
      <c r="I128" s="4125"/>
      <c r="J128" s="4125"/>
      <c r="K128" s="4125"/>
      <c r="L128" s="4127"/>
      <c r="M128" s="4124"/>
      <c r="N128" s="4125"/>
      <c r="O128" s="4125"/>
      <c r="P128" s="4126"/>
      <c r="Q128" s="4125"/>
      <c r="R128" s="4125"/>
      <c r="S128" s="4125"/>
      <c r="T128" s="4127"/>
      <c r="U128" s="4124"/>
      <c r="V128" s="4125"/>
      <c r="W128" s="4125"/>
      <c r="X128" s="4126"/>
      <c r="Y128" s="4125"/>
      <c r="Z128" s="4125"/>
      <c r="AA128" s="4125"/>
      <c r="AB128" s="4127"/>
      <c r="AC128" s="4124"/>
      <c r="AD128" s="4125"/>
      <c r="AE128" s="4125"/>
      <c r="AF128" s="4126"/>
      <c r="AG128" s="4124"/>
      <c r="AH128" s="4125"/>
      <c r="AI128" s="4125"/>
      <c r="AJ128" s="4126"/>
      <c r="AK128" s="4124">
        <f>SUM(AK121,AK123,AK127)</f>
        <v>171</v>
      </c>
      <c r="AL128" s="4125">
        <f t="shared" ref="AL128:AR128" si="83">SUM(AL121,AL123,AL127)</f>
        <v>0</v>
      </c>
      <c r="AM128" s="4125">
        <f t="shared" si="83"/>
        <v>0</v>
      </c>
      <c r="AN128" s="4126">
        <f t="shared" si="83"/>
        <v>171</v>
      </c>
      <c r="AO128" s="4124">
        <f t="shared" si="83"/>
        <v>171</v>
      </c>
      <c r="AP128" s="4125">
        <f t="shared" si="83"/>
        <v>10</v>
      </c>
      <c r="AQ128" s="4125">
        <f t="shared" si="83"/>
        <v>51</v>
      </c>
      <c r="AR128" s="4126">
        <f t="shared" si="83"/>
        <v>232</v>
      </c>
      <c r="AS128" s="4124">
        <f t="shared" ref="AS128:AZ128" si="84">SUM(AS121,AS123,AS127)</f>
        <v>178</v>
      </c>
      <c r="AT128" s="4125">
        <f t="shared" si="84"/>
        <v>5</v>
      </c>
      <c r="AU128" s="4125">
        <f t="shared" si="84"/>
        <v>146</v>
      </c>
      <c r="AV128" s="4126">
        <f t="shared" si="84"/>
        <v>329</v>
      </c>
      <c r="AW128" s="4124">
        <f t="shared" si="84"/>
        <v>6</v>
      </c>
      <c r="AX128" s="4125">
        <f t="shared" si="84"/>
        <v>5</v>
      </c>
      <c r="AY128" s="4125">
        <f t="shared" si="84"/>
        <v>318</v>
      </c>
      <c r="AZ128" s="4126">
        <f t="shared" si="84"/>
        <v>329</v>
      </c>
      <c r="BA128" s="4124">
        <f t="shared" ref="BA128:BD128" si="85">SUM(BA121,BA123,BA127)</f>
        <v>6</v>
      </c>
      <c r="BB128" s="4125">
        <f>SUM(BB124:BB126)</f>
        <v>6</v>
      </c>
      <c r="BC128" s="4125">
        <f t="shared" si="85"/>
        <v>203</v>
      </c>
      <c r="BD128" s="4126">
        <f t="shared" si="85"/>
        <v>215</v>
      </c>
    </row>
    <row r="129" spans="1:56" s="212" customFormat="1" ht="15" x14ac:dyDescent="0.2">
      <c r="A129" s="522"/>
      <c r="B129" s="1138"/>
      <c r="C129" s="522"/>
      <c r="D129" s="1139"/>
      <c r="E129" s="1140"/>
      <c r="F129" s="1140"/>
      <c r="G129" s="1140"/>
      <c r="H129" s="1141"/>
      <c r="I129" s="1142"/>
      <c r="J129" s="1142"/>
      <c r="K129" s="1142"/>
      <c r="L129" s="1141"/>
      <c r="M129" s="1142"/>
      <c r="N129" s="1142"/>
      <c r="O129" s="1142"/>
      <c r="P129" s="1141"/>
      <c r="Q129" s="1142"/>
      <c r="R129" s="1142"/>
      <c r="S129" s="1142"/>
      <c r="T129" s="1141"/>
      <c r="U129" s="1142"/>
      <c r="V129" s="1142"/>
      <c r="W129" s="1142"/>
      <c r="X129" s="1141"/>
      <c r="Y129" s="1143"/>
      <c r="Z129" s="1143"/>
      <c r="AA129" s="1143"/>
      <c r="AB129" s="1144"/>
      <c r="AC129" s="1143"/>
      <c r="AD129" s="1143"/>
      <c r="AE129" s="1143"/>
      <c r="AF129" s="1144"/>
      <c r="AG129" s="1143"/>
      <c r="AH129" s="1143"/>
      <c r="AI129" s="1143"/>
      <c r="AJ129" s="1144"/>
      <c r="AK129" s="1143"/>
      <c r="AL129" s="1143"/>
      <c r="AM129" s="1143"/>
      <c r="AN129" s="1144"/>
      <c r="AO129" s="1143"/>
      <c r="AP129" s="1143"/>
      <c r="AQ129" s="1143"/>
      <c r="AR129" s="1144"/>
      <c r="AS129" s="1143"/>
      <c r="AT129" s="1143"/>
      <c r="AU129" s="1143"/>
      <c r="AV129" s="1144"/>
      <c r="AW129" s="1143"/>
      <c r="AX129" s="1143"/>
      <c r="AY129" s="1143"/>
      <c r="AZ129" s="1144"/>
      <c r="BA129" s="1143"/>
      <c r="BB129" s="1143"/>
      <c r="BC129" s="1143"/>
      <c r="BD129" s="1144"/>
    </row>
    <row r="130" spans="1:56" s="222" customFormat="1" ht="15" x14ac:dyDescent="0.2">
      <c r="A130" s="5025" t="s">
        <v>76</v>
      </c>
      <c r="B130" s="5026"/>
      <c r="C130" s="5026"/>
      <c r="D130" s="5027"/>
      <c r="E130" s="1792">
        <f t="shared" ref="E130:AR130" si="86">SUM(E44,E83,E118,E128)</f>
        <v>71</v>
      </c>
      <c r="F130" s="1793">
        <f t="shared" si="86"/>
        <v>111</v>
      </c>
      <c r="G130" s="1793">
        <f t="shared" si="86"/>
        <v>727</v>
      </c>
      <c r="H130" s="1794">
        <f t="shared" si="86"/>
        <v>909</v>
      </c>
      <c r="I130" s="1793">
        <f t="shared" si="86"/>
        <v>228</v>
      </c>
      <c r="J130" s="1793">
        <f t="shared" si="86"/>
        <v>68</v>
      </c>
      <c r="K130" s="1793">
        <f t="shared" si="86"/>
        <v>1300</v>
      </c>
      <c r="L130" s="1795">
        <f t="shared" si="86"/>
        <v>1596</v>
      </c>
      <c r="M130" s="1792">
        <f t="shared" si="86"/>
        <v>464</v>
      </c>
      <c r="N130" s="1793">
        <f t="shared" si="86"/>
        <v>191</v>
      </c>
      <c r="O130" s="1793">
        <f t="shared" si="86"/>
        <v>890</v>
      </c>
      <c r="P130" s="1794">
        <f t="shared" si="86"/>
        <v>1545</v>
      </c>
      <c r="Q130" s="1793">
        <f t="shared" si="86"/>
        <v>422</v>
      </c>
      <c r="R130" s="1793">
        <f t="shared" si="86"/>
        <v>199</v>
      </c>
      <c r="S130" s="1793">
        <f t="shared" si="86"/>
        <v>1093</v>
      </c>
      <c r="T130" s="1795">
        <f t="shared" si="86"/>
        <v>1714</v>
      </c>
      <c r="U130" s="1792">
        <f t="shared" si="86"/>
        <v>565</v>
      </c>
      <c r="V130" s="1793">
        <f t="shared" si="86"/>
        <v>236</v>
      </c>
      <c r="W130" s="1793">
        <f t="shared" si="86"/>
        <v>1092</v>
      </c>
      <c r="X130" s="1794">
        <f t="shared" si="86"/>
        <v>1893</v>
      </c>
      <c r="Y130" s="1793">
        <f t="shared" si="86"/>
        <v>401</v>
      </c>
      <c r="Z130" s="1793">
        <f t="shared" si="86"/>
        <v>86</v>
      </c>
      <c r="AA130" s="1793">
        <f t="shared" si="86"/>
        <v>1644</v>
      </c>
      <c r="AB130" s="1795">
        <f t="shared" si="86"/>
        <v>2131</v>
      </c>
      <c r="AC130" s="1792">
        <f t="shared" si="86"/>
        <v>336</v>
      </c>
      <c r="AD130" s="1793">
        <f t="shared" si="86"/>
        <v>317</v>
      </c>
      <c r="AE130" s="1793">
        <f t="shared" si="86"/>
        <v>1530</v>
      </c>
      <c r="AF130" s="1794">
        <f t="shared" si="86"/>
        <v>2183</v>
      </c>
      <c r="AG130" s="1792">
        <f t="shared" si="86"/>
        <v>216</v>
      </c>
      <c r="AH130" s="1793">
        <f t="shared" si="86"/>
        <v>194</v>
      </c>
      <c r="AI130" s="1793">
        <f t="shared" si="86"/>
        <v>2164</v>
      </c>
      <c r="AJ130" s="1794">
        <f t="shared" si="86"/>
        <v>2574</v>
      </c>
      <c r="AK130" s="1792">
        <f t="shared" si="86"/>
        <v>587</v>
      </c>
      <c r="AL130" s="1793">
        <f t="shared" si="86"/>
        <v>686</v>
      </c>
      <c r="AM130" s="1793">
        <f t="shared" si="86"/>
        <v>1195</v>
      </c>
      <c r="AN130" s="1794">
        <f t="shared" si="86"/>
        <v>2468</v>
      </c>
      <c r="AO130" s="1792">
        <f t="shared" si="86"/>
        <v>444</v>
      </c>
      <c r="AP130" s="1793">
        <f t="shared" si="86"/>
        <v>89</v>
      </c>
      <c r="AQ130" s="1793">
        <f t="shared" si="86"/>
        <v>2496</v>
      </c>
      <c r="AR130" s="1794">
        <f t="shared" si="86"/>
        <v>3029</v>
      </c>
      <c r="AS130" s="1792">
        <f t="shared" ref="AS130:AZ130" si="87">SUM(AS44,AS83,AS118,AS128)</f>
        <v>718</v>
      </c>
      <c r="AT130" s="1793">
        <f t="shared" si="87"/>
        <v>487</v>
      </c>
      <c r="AU130" s="1793">
        <f t="shared" si="87"/>
        <v>1288</v>
      </c>
      <c r="AV130" s="1794">
        <f t="shared" si="87"/>
        <v>2493</v>
      </c>
      <c r="AW130" s="1792">
        <f t="shared" si="87"/>
        <v>382</v>
      </c>
      <c r="AX130" s="1793">
        <f t="shared" si="87"/>
        <v>142</v>
      </c>
      <c r="AY130" s="1793">
        <f t="shared" si="87"/>
        <v>3039</v>
      </c>
      <c r="AZ130" s="1794">
        <f t="shared" si="87"/>
        <v>3563</v>
      </c>
      <c r="BA130" s="1792">
        <f>SUM(BA44,BA83,BA118,BA128)</f>
        <v>611</v>
      </c>
      <c r="BB130" s="1793">
        <f t="shared" ref="BB130:BD130" si="88">SUM(BB44,BB83,BB118,BB128)</f>
        <v>328</v>
      </c>
      <c r="BC130" s="1793">
        <f t="shared" si="88"/>
        <v>1579</v>
      </c>
      <c r="BD130" s="1794">
        <f t="shared" si="88"/>
        <v>2528</v>
      </c>
    </row>
    <row r="131" spans="1:56" s="235" customFormat="1" ht="13.5" x14ac:dyDescent="0.2">
      <c r="B131" s="552" t="s">
        <v>1320</v>
      </c>
      <c r="C131" s="587"/>
      <c r="D131" s="232"/>
      <c r="E131" s="233"/>
      <c r="F131" s="233"/>
      <c r="G131" s="233"/>
      <c r="H131" s="233"/>
      <c r="I131" s="233"/>
      <c r="J131" s="233"/>
      <c r="K131" s="233"/>
      <c r="L131" s="233"/>
      <c r="M131" s="233"/>
      <c r="N131" s="233"/>
      <c r="O131" s="233"/>
      <c r="P131" s="233"/>
      <c r="Q131" s="233"/>
      <c r="R131" s="233"/>
      <c r="S131" s="233"/>
      <c r="T131" s="233"/>
      <c r="U131" s="233"/>
      <c r="V131" s="233"/>
      <c r="W131" s="233"/>
      <c r="X131" s="233"/>
      <c r="Y131" s="234"/>
      <c r="Z131" s="234"/>
      <c r="AA131" s="234"/>
      <c r="AB131" s="234"/>
      <c r="AC131" s="234"/>
      <c r="AD131" s="234"/>
      <c r="AE131" s="234"/>
      <c r="AF131" s="234"/>
      <c r="AG131" s="238"/>
      <c r="AH131" s="238"/>
      <c r="AI131" s="238"/>
    </row>
    <row r="132" spans="1:56" s="235" customFormat="1" ht="13.5" x14ac:dyDescent="0.2">
      <c r="B132" s="587"/>
      <c r="C132" s="587"/>
      <c r="D132" s="232"/>
      <c r="E132" s="233"/>
      <c r="F132" s="233"/>
      <c r="G132" s="233"/>
      <c r="H132" s="233"/>
      <c r="I132" s="233"/>
      <c r="J132" s="233"/>
      <c r="K132" s="233"/>
      <c r="L132" s="233"/>
      <c r="M132" s="233"/>
      <c r="N132" s="233"/>
      <c r="O132" s="233"/>
      <c r="P132" s="233"/>
      <c r="Q132" s="233"/>
      <c r="R132" s="233"/>
      <c r="S132" s="233"/>
      <c r="T132" s="233"/>
      <c r="U132" s="233"/>
      <c r="V132" s="233"/>
      <c r="W132" s="233"/>
      <c r="X132" s="233"/>
      <c r="Y132" s="234"/>
      <c r="Z132" s="234"/>
      <c r="AA132" s="234"/>
      <c r="AB132" s="234"/>
      <c r="AC132" s="234"/>
      <c r="AD132" s="234"/>
      <c r="AE132" s="234"/>
      <c r="AF132" s="234"/>
      <c r="AG132" s="238"/>
      <c r="AH132" s="238"/>
      <c r="AI132" s="238"/>
    </row>
    <row r="133" spans="1:56" s="235" customFormat="1" x14ac:dyDescent="0.2">
      <c r="B133" s="587"/>
      <c r="C133" s="587"/>
      <c r="D133" s="961"/>
      <c r="E133" s="233"/>
      <c r="F133" s="233"/>
      <c r="G133" s="233"/>
      <c r="H133" s="233"/>
      <c r="I133" s="233"/>
      <c r="J133" s="233"/>
      <c r="K133" s="233"/>
      <c r="L133" s="233"/>
      <c r="M133" s="233"/>
      <c r="N133" s="233"/>
      <c r="O133" s="233"/>
      <c r="P133" s="233"/>
      <c r="Q133" s="233"/>
      <c r="R133" s="233"/>
      <c r="S133" s="233"/>
      <c r="T133" s="233"/>
      <c r="U133" s="233"/>
      <c r="V133" s="233"/>
      <c r="W133" s="233"/>
      <c r="X133" s="233"/>
      <c r="Y133" s="234"/>
      <c r="Z133" s="234"/>
      <c r="AA133" s="234"/>
      <c r="AB133" s="234"/>
      <c r="AC133" s="234"/>
      <c r="AD133" s="234"/>
      <c r="AE133" s="234"/>
      <c r="AF133" s="234"/>
      <c r="AG133" s="238"/>
      <c r="AH133" s="238"/>
      <c r="AI133" s="238"/>
    </row>
    <row r="134" spans="1:56" x14ac:dyDescent="0.2">
      <c r="B134" s="552"/>
      <c r="C134" s="552"/>
    </row>
    <row r="135" spans="1:56" ht="13.5" x14ac:dyDescent="0.3">
      <c r="B135" s="962"/>
      <c r="C135" s="1066"/>
    </row>
  </sheetData>
  <mergeCells count="55">
    <mergeCell ref="BA3:BD3"/>
    <mergeCell ref="C102:C108"/>
    <mergeCell ref="AS3:AV3"/>
    <mergeCell ref="B119:B121"/>
    <mergeCell ref="C113:C115"/>
    <mergeCell ref="C67:C71"/>
    <mergeCell ref="C84:C85"/>
    <mergeCell ref="C86:C94"/>
    <mergeCell ref="C95:C97"/>
    <mergeCell ref="C99:C101"/>
    <mergeCell ref="C73:C74"/>
    <mergeCell ref="C75:C78"/>
    <mergeCell ref="C79:C81"/>
    <mergeCell ref="E3:H3"/>
    <mergeCell ref="I3:L3"/>
    <mergeCell ref="M3:P3"/>
    <mergeCell ref="AK3:AN3"/>
    <mergeCell ref="B16:B29"/>
    <mergeCell ref="B30:B43"/>
    <mergeCell ref="C3:C4"/>
    <mergeCell ref="C16:C18"/>
    <mergeCell ref="C19:C25"/>
    <mergeCell ref="C26:C28"/>
    <mergeCell ref="C11:C14"/>
    <mergeCell ref="C6:C10"/>
    <mergeCell ref="Q3:T3"/>
    <mergeCell ref="U3:X3"/>
    <mergeCell ref="Y3:AB3"/>
    <mergeCell ref="AC3:AF3"/>
    <mergeCell ref="AG3:AJ3"/>
    <mergeCell ref="C30:C31"/>
    <mergeCell ref="C32:C38"/>
    <mergeCell ref="A45:A83"/>
    <mergeCell ref="B45:B60"/>
    <mergeCell ref="B61:B72"/>
    <mergeCell ref="B73:B82"/>
    <mergeCell ref="C52:C59"/>
    <mergeCell ref="C62:C66"/>
    <mergeCell ref="C45:C51"/>
    <mergeCell ref="AW3:AZ3"/>
    <mergeCell ref="A130:D130"/>
    <mergeCell ref="A84:A118"/>
    <mergeCell ref="B84:B98"/>
    <mergeCell ref="B99:B110"/>
    <mergeCell ref="B113:B117"/>
    <mergeCell ref="A119:A128"/>
    <mergeCell ref="B122:B123"/>
    <mergeCell ref="B124:B127"/>
    <mergeCell ref="C109:C111"/>
    <mergeCell ref="A3:A4"/>
    <mergeCell ref="B3:B4"/>
    <mergeCell ref="D3:D4"/>
    <mergeCell ref="A5:A44"/>
    <mergeCell ref="B5:B15"/>
    <mergeCell ref="AO3:AR3"/>
  </mergeCells>
  <printOptions horizontalCentered="1" verticalCentered="1"/>
  <pageMargins left="0.39370078740157483" right="0.39370078740157483" top="0.19685039370078741" bottom="0.19685039370078741" header="0" footer="0"/>
  <pageSetup scale="50" pageOrder="overThenDown" orientation="landscape" r:id="rId1"/>
  <headerFooter alignWithMargins="0"/>
  <rowBreaks count="1" manualBreakCount="1">
    <brk id="83" max="55" man="1"/>
  </rowBreaks>
  <colBreaks count="2" manualBreakCount="2">
    <brk id="24" max="122" man="1"/>
    <brk id="52" max="122" man="1"/>
  </colBreaks>
  <ignoredErrors>
    <ignoredError sqref="AN29:AR29 P29 AV98 AV112 AV15 AV121:AV123 AV60 AV72 AZ60 AZ72 AZ112 AZ98 AZ29 AZ15 BD112 BD98 BD72 BD60 BD29 BD15" formula="1"/>
    <ignoredError sqref="E98 H113:AR116 G60:AR60 E60:F60 H119:AR123 F112:AR112 AZ121:AZ123 BD121:BD123 BB128" formula="1" unlockedFormula="1"/>
    <ignoredError sqref="E124:AR129 E113:G116 E72:AR72 E82:AR82 E83:H83 I83:AR83 F98:AR98 E119:G123 E117:F117 G117:AR117 E112 E118:AR118 E130:AR130 AS121:AU121 AS123:AU123 AT122:AU122 AS127:AU130 AT124 AS125:AT125 AW125:AX125 AW121:AY121 AW130:AZ130 AX124 AW127:AZ128 AZ126 AZ124 AZ125 AW123:AY123 AW122:AX122 BA123:BC123 BA121:BC121 BA125:BB125 BD124 BA127:BD127 BD126 BA129:BD129 BA128 BC128:BD128 BA122:BB122 BD125 BA130:BD130" unlockedFormula="1"/>
  </ignoredError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BB98"/>
  <sheetViews>
    <sheetView showGridLines="0" zoomScaleNormal="100" zoomScaleSheetLayoutView="80" workbookViewId="0">
      <pane xSplit="2" ySplit="5" topLeftCell="AN6" activePane="bottomRight" state="frozen"/>
      <selection pane="topRight" activeCell="C1" sqref="C1"/>
      <selection pane="bottomLeft" activeCell="A6" sqref="A6"/>
      <selection pane="bottomRight" activeCell="BD21" sqref="BD21"/>
    </sheetView>
  </sheetViews>
  <sheetFormatPr baseColWidth="10" defaultRowHeight="12.75" x14ac:dyDescent="0.2"/>
  <cols>
    <col min="1" max="1" width="16.42578125" style="209" customWidth="1"/>
    <col min="2" max="2" width="15.140625" style="228" customWidth="1"/>
    <col min="3" max="6" width="7.85546875" style="228" customWidth="1"/>
    <col min="7" max="34" width="7.85546875" style="209" customWidth="1"/>
    <col min="35" max="38" width="7.7109375" style="209" customWidth="1"/>
    <col min="39" max="54" width="7.85546875" style="209" customWidth="1"/>
    <col min="55" max="258" width="11.42578125" style="209"/>
    <col min="259" max="259" width="5.28515625" style="209" customWidth="1"/>
    <col min="260" max="260" width="10.42578125" style="209" customWidth="1"/>
    <col min="261" max="261" width="12.5703125" style="209" customWidth="1"/>
    <col min="262" max="262" width="24.42578125" style="209" customWidth="1"/>
    <col min="263" max="286" width="9.7109375" style="209" customWidth="1"/>
    <col min="287" max="514" width="11.42578125" style="209"/>
    <col min="515" max="515" width="5.28515625" style="209" customWidth="1"/>
    <col min="516" max="516" width="10.42578125" style="209" customWidth="1"/>
    <col min="517" max="517" width="12.5703125" style="209" customWidth="1"/>
    <col min="518" max="518" width="24.42578125" style="209" customWidth="1"/>
    <col min="519" max="542" width="9.7109375" style="209" customWidth="1"/>
    <col min="543" max="770" width="11.42578125" style="209"/>
    <col min="771" max="771" width="5.28515625" style="209" customWidth="1"/>
    <col min="772" max="772" width="10.42578125" style="209" customWidth="1"/>
    <col min="773" max="773" width="12.5703125" style="209" customWidth="1"/>
    <col min="774" max="774" width="24.42578125" style="209" customWidth="1"/>
    <col min="775" max="798" width="9.7109375" style="209" customWidth="1"/>
    <col min="799" max="1026" width="11.42578125" style="209"/>
    <col min="1027" max="1027" width="5.28515625" style="209" customWidth="1"/>
    <col min="1028" max="1028" width="10.42578125" style="209" customWidth="1"/>
    <col min="1029" max="1029" width="12.5703125" style="209" customWidth="1"/>
    <col min="1030" max="1030" width="24.42578125" style="209" customWidth="1"/>
    <col min="1031" max="1054" width="9.7109375" style="209" customWidth="1"/>
    <col min="1055" max="1282" width="11.42578125" style="209"/>
    <col min="1283" max="1283" width="5.28515625" style="209" customWidth="1"/>
    <col min="1284" max="1284" width="10.42578125" style="209" customWidth="1"/>
    <col min="1285" max="1285" width="12.5703125" style="209" customWidth="1"/>
    <col min="1286" max="1286" width="24.42578125" style="209" customWidth="1"/>
    <col min="1287" max="1310" width="9.7109375" style="209" customWidth="1"/>
    <col min="1311" max="1538" width="11.42578125" style="209"/>
    <col min="1539" max="1539" width="5.28515625" style="209" customWidth="1"/>
    <col min="1540" max="1540" width="10.42578125" style="209" customWidth="1"/>
    <col min="1541" max="1541" width="12.5703125" style="209" customWidth="1"/>
    <col min="1542" max="1542" width="24.42578125" style="209" customWidth="1"/>
    <col min="1543" max="1566" width="9.7109375" style="209" customWidth="1"/>
    <col min="1567" max="1794" width="11.42578125" style="209"/>
    <col min="1795" max="1795" width="5.28515625" style="209" customWidth="1"/>
    <col min="1796" max="1796" width="10.42578125" style="209" customWidth="1"/>
    <col min="1797" max="1797" width="12.5703125" style="209" customWidth="1"/>
    <col min="1798" max="1798" width="24.42578125" style="209" customWidth="1"/>
    <col min="1799" max="1822" width="9.7109375" style="209" customWidth="1"/>
    <col min="1823" max="2050" width="11.42578125" style="209"/>
    <col min="2051" max="2051" width="5.28515625" style="209" customWidth="1"/>
    <col min="2052" max="2052" width="10.42578125" style="209" customWidth="1"/>
    <col min="2053" max="2053" width="12.5703125" style="209" customWidth="1"/>
    <col min="2054" max="2054" width="24.42578125" style="209" customWidth="1"/>
    <col min="2055" max="2078" width="9.7109375" style="209" customWidth="1"/>
    <col min="2079" max="2306" width="11.42578125" style="209"/>
    <col min="2307" max="2307" width="5.28515625" style="209" customWidth="1"/>
    <col min="2308" max="2308" width="10.42578125" style="209" customWidth="1"/>
    <col min="2309" max="2309" width="12.5703125" style="209" customWidth="1"/>
    <col min="2310" max="2310" width="24.42578125" style="209" customWidth="1"/>
    <col min="2311" max="2334" width="9.7109375" style="209" customWidth="1"/>
    <col min="2335" max="2562" width="11.42578125" style="209"/>
    <col min="2563" max="2563" width="5.28515625" style="209" customWidth="1"/>
    <col min="2564" max="2564" width="10.42578125" style="209" customWidth="1"/>
    <col min="2565" max="2565" width="12.5703125" style="209" customWidth="1"/>
    <col min="2566" max="2566" width="24.42578125" style="209" customWidth="1"/>
    <col min="2567" max="2590" width="9.7109375" style="209" customWidth="1"/>
    <col min="2591" max="2818" width="11.42578125" style="209"/>
    <col min="2819" max="2819" width="5.28515625" style="209" customWidth="1"/>
    <col min="2820" max="2820" width="10.42578125" style="209" customWidth="1"/>
    <col min="2821" max="2821" width="12.5703125" style="209" customWidth="1"/>
    <col min="2822" max="2822" width="24.42578125" style="209" customWidth="1"/>
    <col min="2823" max="2846" width="9.7109375" style="209" customWidth="1"/>
    <col min="2847" max="3074" width="11.42578125" style="209"/>
    <col min="3075" max="3075" width="5.28515625" style="209" customWidth="1"/>
    <col min="3076" max="3076" width="10.42578125" style="209" customWidth="1"/>
    <col min="3077" max="3077" width="12.5703125" style="209" customWidth="1"/>
    <col min="3078" max="3078" width="24.42578125" style="209" customWidth="1"/>
    <col min="3079" max="3102" width="9.7109375" style="209" customWidth="1"/>
    <col min="3103" max="3330" width="11.42578125" style="209"/>
    <col min="3331" max="3331" width="5.28515625" style="209" customWidth="1"/>
    <col min="3332" max="3332" width="10.42578125" style="209" customWidth="1"/>
    <col min="3333" max="3333" width="12.5703125" style="209" customWidth="1"/>
    <col min="3334" max="3334" width="24.42578125" style="209" customWidth="1"/>
    <col min="3335" max="3358" width="9.7109375" style="209" customWidth="1"/>
    <col min="3359" max="3586" width="11.42578125" style="209"/>
    <col min="3587" max="3587" width="5.28515625" style="209" customWidth="1"/>
    <col min="3588" max="3588" width="10.42578125" style="209" customWidth="1"/>
    <col min="3589" max="3589" width="12.5703125" style="209" customWidth="1"/>
    <col min="3590" max="3590" width="24.42578125" style="209" customWidth="1"/>
    <col min="3591" max="3614" width="9.7109375" style="209" customWidth="1"/>
    <col min="3615" max="3842" width="11.42578125" style="209"/>
    <col min="3843" max="3843" width="5.28515625" style="209" customWidth="1"/>
    <col min="3844" max="3844" width="10.42578125" style="209" customWidth="1"/>
    <col min="3845" max="3845" width="12.5703125" style="209" customWidth="1"/>
    <col min="3846" max="3846" width="24.42578125" style="209" customWidth="1"/>
    <col min="3847" max="3870" width="9.7109375" style="209" customWidth="1"/>
    <col min="3871" max="4098" width="11.42578125" style="209"/>
    <col min="4099" max="4099" width="5.28515625" style="209" customWidth="1"/>
    <col min="4100" max="4100" width="10.42578125" style="209" customWidth="1"/>
    <col min="4101" max="4101" width="12.5703125" style="209" customWidth="1"/>
    <col min="4102" max="4102" width="24.42578125" style="209" customWidth="1"/>
    <col min="4103" max="4126" width="9.7109375" style="209" customWidth="1"/>
    <col min="4127" max="4354" width="11.42578125" style="209"/>
    <col min="4355" max="4355" width="5.28515625" style="209" customWidth="1"/>
    <col min="4356" max="4356" width="10.42578125" style="209" customWidth="1"/>
    <col min="4357" max="4357" width="12.5703125" style="209" customWidth="1"/>
    <col min="4358" max="4358" width="24.42578125" style="209" customWidth="1"/>
    <col min="4359" max="4382" width="9.7109375" style="209" customWidth="1"/>
    <col min="4383" max="4610" width="11.42578125" style="209"/>
    <col min="4611" max="4611" width="5.28515625" style="209" customWidth="1"/>
    <col min="4612" max="4612" width="10.42578125" style="209" customWidth="1"/>
    <col min="4613" max="4613" width="12.5703125" style="209" customWidth="1"/>
    <col min="4614" max="4614" width="24.42578125" style="209" customWidth="1"/>
    <col min="4615" max="4638" width="9.7109375" style="209" customWidth="1"/>
    <col min="4639" max="4866" width="11.42578125" style="209"/>
    <col min="4867" max="4867" width="5.28515625" style="209" customWidth="1"/>
    <col min="4868" max="4868" width="10.42578125" style="209" customWidth="1"/>
    <col min="4869" max="4869" width="12.5703125" style="209" customWidth="1"/>
    <col min="4870" max="4870" width="24.42578125" style="209" customWidth="1"/>
    <col min="4871" max="4894" width="9.7109375" style="209" customWidth="1"/>
    <col min="4895" max="5122" width="11.42578125" style="209"/>
    <col min="5123" max="5123" width="5.28515625" style="209" customWidth="1"/>
    <col min="5124" max="5124" width="10.42578125" style="209" customWidth="1"/>
    <col min="5125" max="5125" width="12.5703125" style="209" customWidth="1"/>
    <col min="5126" max="5126" width="24.42578125" style="209" customWidth="1"/>
    <col min="5127" max="5150" width="9.7109375" style="209" customWidth="1"/>
    <col min="5151" max="5378" width="11.42578125" style="209"/>
    <col min="5379" max="5379" width="5.28515625" style="209" customWidth="1"/>
    <col min="5380" max="5380" width="10.42578125" style="209" customWidth="1"/>
    <col min="5381" max="5381" width="12.5703125" style="209" customWidth="1"/>
    <col min="5382" max="5382" width="24.42578125" style="209" customWidth="1"/>
    <col min="5383" max="5406" width="9.7109375" style="209" customWidth="1"/>
    <col min="5407" max="5634" width="11.42578125" style="209"/>
    <col min="5635" max="5635" width="5.28515625" style="209" customWidth="1"/>
    <col min="5636" max="5636" width="10.42578125" style="209" customWidth="1"/>
    <col min="5637" max="5637" width="12.5703125" style="209" customWidth="1"/>
    <col min="5638" max="5638" width="24.42578125" style="209" customWidth="1"/>
    <col min="5639" max="5662" width="9.7109375" style="209" customWidth="1"/>
    <col min="5663" max="5890" width="11.42578125" style="209"/>
    <col min="5891" max="5891" width="5.28515625" style="209" customWidth="1"/>
    <col min="5892" max="5892" width="10.42578125" style="209" customWidth="1"/>
    <col min="5893" max="5893" width="12.5703125" style="209" customWidth="1"/>
    <col min="5894" max="5894" width="24.42578125" style="209" customWidth="1"/>
    <col min="5895" max="5918" width="9.7109375" style="209" customWidth="1"/>
    <col min="5919" max="6146" width="11.42578125" style="209"/>
    <col min="6147" max="6147" width="5.28515625" style="209" customWidth="1"/>
    <col min="6148" max="6148" width="10.42578125" style="209" customWidth="1"/>
    <col min="6149" max="6149" width="12.5703125" style="209" customWidth="1"/>
    <col min="6150" max="6150" width="24.42578125" style="209" customWidth="1"/>
    <col min="6151" max="6174" width="9.7109375" style="209" customWidth="1"/>
    <col min="6175" max="6402" width="11.42578125" style="209"/>
    <col min="6403" max="6403" width="5.28515625" style="209" customWidth="1"/>
    <col min="6404" max="6404" width="10.42578125" style="209" customWidth="1"/>
    <col min="6405" max="6405" width="12.5703125" style="209" customWidth="1"/>
    <col min="6406" max="6406" width="24.42578125" style="209" customWidth="1"/>
    <col min="6407" max="6430" width="9.7109375" style="209" customWidth="1"/>
    <col min="6431" max="6658" width="11.42578125" style="209"/>
    <col min="6659" max="6659" width="5.28515625" style="209" customWidth="1"/>
    <col min="6660" max="6660" width="10.42578125" style="209" customWidth="1"/>
    <col min="6661" max="6661" width="12.5703125" style="209" customWidth="1"/>
    <col min="6662" max="6662" width="24.42578125" style="209" customWidth="1"/>
    <col min="6663" max="6686" width="9.7109375" style="209" customWidth="1"/>
    <col min="6687" max="6914" width="11.42578125" style="209"/>
    <col min="6915" max="6915" width="5.28515625" style="209" customWidth="1"/>
    <col min="6916" max="6916" width="10.42578125" style="209" customWidth="1"/>
    <col min="6917" max="6917" width="12.5703125" style="209" customWidth="1"/>
    <col min="6918" max="6918" width="24.42578125" style="209" customWidth="1"/>
    <col min="6919" max="6942" width="9.7109375" style="209" customWidth="1"/>
    <col min="6943" max="7170" width="11.42578125" style="209"/>
    <col min="7171" max="7171" width="5.28515625" style="209" customWidth="1"/>
    <col min="7172" max="7172" width="10.42578125" style="209" customWidth="1"/>
    <col min="7173" max="7173" width="12.5703125" style="209" customWidth="1"/>
    <col min="7174" max="7174" width="24.42578125" style="209" customWidth="1"/>
    <col min="7175" max="7198" width="9.7109375" style="209" customWidth="1"/>
    <col min="7199" max="7426" width="11.42578125" style="209"/>
    <col min="7427" max="7427" width="5.28515625" style="209" customWidth="1"/>
    <col min="7428" max="7428" width="10.42578125" style="209" customWidth="1"/>
    <col min="7429" max="7429" width="12.5703125" style="209" customWidth="1"/>
    <col min="7430" max="7430" width="24.42578125" style="209" customWidth="1"/>
    <col min="7431" max="7454" width="9.7109375" style="209" customWidth="1"/>
    <col min="7455" max="7682" width="11.42578125" style="209"/>
    <col min="7683" max="7683" width="5.28515625" style="209" customWidth="1"/>
    <col min="7684" max="7684" width="10.42578125" style="209" customWidth="1"/>
    <col min="7685" max="7685" width="12.5703125" style="209" customWidth="1"/>
    <col min="7686" max="7686" width="24.42578125" style="209" customWidth="1"/>
    <col min="7687" max="7710" width="9.7109375" style="209" customWidth="1"/>
    <col min="7711" max="7938" width="11.42578125" style="209"/>
    <col min="7939" max="7939" width="5.28515625" style="209" customWidth="1"/>
    <col min="7940" max="7940" width="10.42578125" style="209" customWidth="1"/>
    <col min="7941" max="7941" width="12.5703125" style="209" customWidth="1"/>
    <col min="7942" max="7942" width="24.42578125" style="209" customWidth="1"/>
    <col min="7943" max="7966" width="9.7109375" style="209" customWidth="1"/>
    <col min="7967" max="8194" width="11.42578125" style="209"/>
    <col min="8195" max="8195" width="5.28515625" style="209" customWidth="1"/>
    <col min="8196" max="8196" width="10.42578125" style="209" customWidth="1"/>
    <col min="8197" max="8197" width="12.5703125" style="209" customWidth="1"/>
    <col min="8198" max="8198" width="24.42578125" style="209" customWidth="1"/>
    <col min="8199" max="8222" width="9.7109375" style="209" customWidth="1"/>
    <col min="8223" max="8450" width="11.42578125" style="209"/>
    <col min="8451" max="8451" width="5.28515625" style="209" customWidth="1"/>
    <col min="8452" max="8452" width="10.42578125" style="209" customWidth="1"/>
    <col min="8453" max="8453" width="12.5703125" style="209" customWidth="1"/>
    <col min="8454" max="8454" width="24.42578125" style="209" customWidth="1"/>
    <col min="8455" max="8478" width="9.7109375" style="209" customWidth="1"/>
    <col min="8479" max="8706" width="11.42578125" style="209"/>
    <col min="8707" max="8707" width="5.28515625" style="209" customWidth="1"/>
    <col min="8708" max="8708" width="10.42578125" style="209" customWidth="1"/>
    <col min="8709" max="8709" width="12.5703125" style="209" customWidth="1"/>
    <col min="8710" max="8710" width="24.42578125" style="209" customWidth="1"/>
    <col min="8711" max="8734" width="9.7109375" style="209" customWidth="1"/>
    <col min="8735" max="8962" width="11.42578125" style="209"/>
    <col min="8963" max="8963" width="5.28515625" style="209" customWidth="1"/>
    <col min="8964" max="8964" width="10.42578125" style="209" customWidth="1"/>
    <col min="8965" max="8965" width="12.5703125" style="209" customWidth="1"/>
    <col min="8966" max="8966" width="24.42578125" style="209" customWidth="1"/>
    <col min="8967" max="8990" width="9.7109375" style="209" customWidth="1"/>
    <col min="8991" max="9218" width="11.42578125" style="209"/>
    <col min="9219" max="9219" width="5.28515625" style="209" customWidth="1"/>
    <col min="9220" max="9220" width="10.42578125" style="209" customWidth="1"/>
    <col min="9221" max="9221" width="12.5703125" style="209" customWidth="1"/>
    <col min="9222" max="9222" width="24.42578125" style="209" customWidth="1"/>
    <col min="9223" max="9246" width="9.7109375" style="209" customWidth="1"/>
    <col min="9247" max="9474" width="11.42578125" style="209"/>
    <col min="9475" max="9475" width="5.28515625" style="209" customWidth="1"/>
    <col min="9476" max="9476" width="10.42578125" style="209" customWidth="1"/>
    <col min="9477" max="9477" width="12.5703125" style="209" customWidth="1"/>
    <col min="9478" max="9478" width="24.42578125" style="209" customWidth="1"/>
    <col min="9479" max="9502" width="9.7109375" style="209" customWidth="1"/>
    <col min="9503" max="9730" width="11.42578125" style="209"/>
    <col min="9731" max="9731" width="5.28515625" style="209" customWidth="1"/>
    <col min="9732" max="9732" width="10.42578125" style="209" customWidth="1"/>
    <col min="9733" max="9733" width="12.5703125" style="209" customWidth="1"/>
    <col min="9734" max="9734" width="24.42578125" style="209" customWidth="1"/>
    <col min="9735" max="9758" width="9.7109375" style="209" customWidth="1"/>
    <col min="9759" max="9986" width="11.42578125" style="209"/>
    <col min="9987" max="9987" width="5.28515625" style="209" customWidth="1"/>
    <col min="9988" max="9988" width="10.42578125" style="209" customWidth="1"/>
    <col min="9989" max="9989" width="12.5703125" style="209" customWidth="1"/>
    <col min="9990" max="9990" width="24.42578125" style="209" customWidth="1"/>
    <col min="9991" max="10014" width="9.7109375" style="209" customWidth="1"/>
    <col min="10015" max="10242" width="11.42578125" style="209"/>
    <col min="10243" max="10243" width="5.28515625" style="209" customWidth="1"/>
    <col min="10244" max="10244" width="10.42578125" style="209" customWidth="1"/>
    <col min="10245" max="10245" width="12.5703125" style="209" customWidth="1"/>
    <col min="10246" max="10246" width="24.42578125" style="209" customWidth="1"/>
    <col min="10247" max="10270" width="9.7109375" style="209" customWidth="1"/>
    <col min="10271" max="10498" width="11.42578125" style="209"/>
    <col min="10499" max="10499" width="5.28515625" style="209" customWidth="1"/>
    <col min="10500" max="10500" width="10.42578125" style="209" customWidth="1"/>
    <col min="10501" max="10501" width="12.5703125" style="209" customWidth="1"/>
    <col min="10502" max="10502" width="24.42578125" style="209" customWidth="1"/>
    <col min="10503" max="10526" width="9.7109375" style="209" customWidth="1"/>
    <col min="10527" max="10754" width="11.42578125" style="209"/>
    <col min="10755" max="10755" width="5.28515625" style="209" customWidth="1"/>
    <col min="10756" max="10756" width="10.42578125" style="209" customWidth="1"/>
    <col min="10757" max="10757" width="12.5703125" style="209" customWidth="1"/>
    <col min="10758" max="10758" width="24.42578125" style="209" customWidth="1"/>
    <col min="10759" max="10782" width="9.7109375" style="209" customWidth="1"/>
    <col min="10783" max="11010" width="11.42578125" style="209"/>
    <col min="11011" max="11011" width="5.28515625" style="209" customWidth="1"/>
    <col min="11012" max="11012" width="10.42578125" style="209" customWidth="1"/>
    <col min="11013" max="11013" width="12.5703125" style="209" customWidth="1"/>
    <col min="11014" max="11014" width="24.42578125" style="209" customWidth="1"/>
    <col min="11015" max="11038" width="9.7109375" style="209" customWidth="1"/>
    <col min="11039" max="11266" width="11.42578125" style="209"/>
    <col min="11267" max="11267" width="5.28515625" style="209" customWidth="1"/>
    <col min="11268" max="11268" width="10.42578125" style="209" customWidth="1"/>
    <col min="11269" max="11269" width="12.5703125" style="209" customWidth="1"/>
    <col min="11270" max="11270" width="24.42578125" style="209" customWidth="1"/>
    <col min="11271" max="11294" width="9.7109375" style="209" customWidth="1"/>
    <col min="11295" max="11522" width="11.42578125" style="209"/>
    <col min="11523" max="11523" width="5.28515625" style="209" customWidth="1"/>
    <col min="11524" max="11524" width="10.42578125" style="209" customWidth="1"/>
    <col min="11525" max="11525" width="12.5703125" style="209" customWidth="1"/>
    <col min="11526" max="11526" width="24.42578125" style="209" customWidth="1"/>
    <col min="11527" max="11550" width="9.7109375" style="209" customWidth="1"/>
    <col min="11551" max="11778" width="11.42578125" style="209"/>
    <col min="11779" max="11779" width="5.28515625" style="209" customWidth="1"/>
    <col min="11780" max="11780" width="10.42578125" style="209" customWidth="1"/>
    <col min="11781" max="11781" width="12.5703125" style="209" customWidth="1"/>
    <col min="11782" max="11782" width="24.42578125" style="209" customWidth="1"/>
    <col min="11783" max="11806" width="9.7109375" style="209" customWidth="1"/>
    <col min="11807" max="12034" width="11.42578125" style="209"/>
    <col min="12035" max="12035" width="5.28515625" style="209" customWidth="1"/>
    <col min="12036" max="12036" width="10.42578125" style="209" customWidth="1"/>
    <col min="12037" max="12037" width="12.5703125" style="209" customWidth="1"/>
    <col min="12038" max="12038" width="24.42578125" style="209" customWidth="1"/>
    <col min="12039" max="12062" width="9.7109375" style="209" customWidth="1"/>
    <col min="12063" max="12290" width="11.42578125" style="209"/>
    <col min="12291" max="12291" width="5.28515625" style="209" customWidth="1"/>
    <col min="12292" max="12292" width="10.42578125" style="209" customWidth="1"/>
    <col min="12293" max="12293" width="12.5703125" style="209" customWidth="1"/>
    <col min="12294" max="12294" width="24.42578125" style="209" customWidth="1"/>
    <col min="12295" max="12318" width="9.7109375" style="209" customWidth="1"/>
    <col min="12319" max="12546" width="11.42578125" style="209"/>
    <col min="12547" max="12547" width="5.28515625" style="209" customWidth="1"/>
    <col min="12548" max="12548" width="10.42578125" style="209" customWidth="1"/>
    <col min="12549" max="12549" width="12.5703125" style="209" customWidth="1"/>
    <col min="12550" max="12550" width="24.42578125" style="209" customWidth="1"/>
    <col min="12551" max="12574" width="9.7109375" style="209" customWidth="1"/>
    <col min="12575" max="12802" width="11.42578125" style="209"/>
    <col min="12803" max="12803" width="5.28515625" style="209" customWidth="1"/>
    <col min="12804" max="12804" width="10.42578125" style="209" customWidth="1"/>
    <col min="12805" max="12805" width="12.5703125" style="209" customWidth="1"/>
    <col min="12806" max="12806" width="24.42578125" style="209" customWidth="1"/>
    <col min="12807" max="12830" width="9.7109375" style="209" customWidth="1"/>
    <col min="12831" max="13058" width="11.42578125" style="209"/>
    <col min="13059" max="13059" width="5.28515625" style="209" customWidth="1"/>
    <col min="13060" max="13060" width="10.42578125" style="209" customWidth="1"/>
    <col min="13061" max="13061" width="12.5703125" style="209" customWidth="1"/>
    <col min="13062" max="13062" width="24.42578125" style="209" customWidth="1"/>
    <col min="13063" max="13086" width="9.7109375" style="209" customWidth="1"/>
    <col min="13087" max="13314" width="11.42578125" style="209"/>
    <col min="13315" max="13315" width="5.28515625" style="209" customWidth="1"/>
    <col min="13316" max="13316" width="10.42578125" style="209" customWidth="1"/>
    <col min="13317" max="13317" width="12.5703125" style="209" customWidth="1"/>
    <col min="13318" max="13318" width="24.42578125" style="209" customWidth="1"/>
    <col min="13319" max="13342" width="9.7109375" style="209" customWidth="1"/>
    <col min="13343" max="13570" width="11.42578125" style="209"/>
    <col min="13571" max="13571" width="5.28515625" style="209" customWidth="1"/>
    <col min="13572" max="13572" width="10.42578125" style="209" customWidth="1"/>
    <col min="13573" max="13573" width="12.5703125" style="209" customWidth="1"/>
    <col min="13574" max="13574" width="24.42578125" style="209" customWidth="1"/>
    <col min="13575" max="13598" width="9.7109375" style="209" customWidth="1"/>
    <col min="13599" max="13826" width="11.42578125" style="209"/>
    <col min="13827" max="13827" width="5.28515625" style="209" customWidth="1"/>
    <col min="13828" max="13828" width="10.42578125" style="209" customWidth="1"/>
    <col min="13829" max="13829" width="12.5703125" style="209" customWidth="1"/>
    <col min="13830" max="13830" width="24.42578125" style="209" customWidth="1"/>
    <col min="13831" max="13854" width="9.7109375" style="209" customWidth="1"/>
    <col min="13855" max="14082" width="11.42578125" style="209"/>
    <col min="14083" max="14083" width="5.28515625" style="209" customWidth="1"/>
    <col min="14084" max="14084" width="10.42578125" style="209" customWidth="1"/>
    <col min="14085" max="14085" width="12.5703125" style="209" customWidth="1"/>
    <col min="14086" max="14086" width="24.42578125" style="209" customWidth="1"/>
    <col min="14087" max="14110" width="9.7109375" style="209" customWidth="1"/>
    <col min="14111" max="14338" width="11.42578125" style="209"/>
    <col min="14339" max="14339" width="5.28515625" style="209" customWidth="1"/>
    <col min="14340" max="14340" width="10.42578125" style="209" customWidth="1"/>
    <col min="14341" max="14341" width="12.5703125" style="209" customWidth="1"/>
    <col min="14342" max="14342" width="24.42578125" style="209" customWidth="1"/>
    <col min="14343" max="14366" width="9.7109375" style="209" customWidth="1"/>
    <col min="14367" max="14594" width="11.42578125" style="209"/>
    <col min="14595" max="14595" width="5.28515625" style="209" customWidth="1"/>
    <col min="14596" max="14596" width="10.42578125" style="209" customWidth="1"/>
    <col min="14597" max="14597" width="12.5703125" style="209" customWidth="1"/>
    <col min="14598" max="14598" width="24.42578125" style="209" customWidth="1"/>
    <col min="14599" max="14622" width="9.7109375" style="209" customWidth="1"/>
    <col min="14623" max="14850" width="11.42578125" style="209"/>
    <col min="14851" max="14851" width="5.28515625" style="209" customWidth="1"/>
    <col min="14852" max="14852" width="10.42578125" style="209" customWidth="1"/>
    <col min="14853" max="14853" width="12.5703125" style="209" customWidth="1"/>
    <col min="14854" max="14854" width="24.42578125" style="209" customWidth="1"/>
    <col min="14855" max="14878" width="9.7109375" style="209" customWidth="1"/>
    <col min="14879" max="15106" width="11.42578125" style="209"/>
    <col min="15107" max="15107" width="5.28515625" style="209" customWidth="1"/>
    <col min="15108" max="15108" width="10.42578125" style="209" customWidth="1"/>
    <col min="15109" max="15109" width="12.5703125" style="209" customWidth="1"/>
    <col min="15110" max="15110" width="24.42578125" style="209" customWidth="1"/>
    <col min="15111" max="15134" width="9.7109375" style="209" customWidth="1"/>
    <col min="15135" max="15362" width="11.42578125" style="209"/>
    <col min="15363" max="15363" width="5.28515625" style="209" customWidth="1"/>
    <col min="15364" max="15364" width="10.42578125" style="209" customWidth="1"/>
    <col min="15365" max="15365" width="12.5703125" style="209" customWidth="1"/>
    <col min="15366" max="15366" width="24.42578125" style="209" customWidth="1"/>
    <col min="15367" max="15390" width="9.7109375" style="209" customWidth="1"/>
    <col min="15391" max="15618" width="11.42578125" style="209"/>
    <col min="15619" max="15619" width="5.28515625" style="209" customWidth="1"/>
    <col min="15620" max="15620" width="10.42578125" style="209" customWidth="1"/>
    <col min="15621" max="15621" width="12.5703125" style="209" customWidth="1"/>
    <col min="15622" max="15622" width="24.42578125" style="209" customWidth="1"/>
    <col min="15623" max="15646" width="9.7109375" style="209" customWidth="1"/>
    <col min="15647" max="15874" width="11.42578125" style="209"/>
    <col min="15875" max="15875" width="5.28515625" style="209" customWidth="1"/>
    <col min="15876" max="15876" width="10.42578125" style="209" customWidth="1"/>
    <col min="15877" max="15877" width="12.5703125" style="209" customWidth="1"/>
    <col min="15878" max="15878" width="24.42578125" style="209" customWidth="1"/>
    <col min="15879" max="15902" width="9.7109375" style="209" customWidth="1"/>
    <col min="15903" max="16130" width="11.42578125" style="209"/>
    <col min="16131" max="16131" width="5.28515625" style="209" customWidth="1"/>
    <col min="16132" max="16132" width="10.42578125" style="209" customWidth="1"/>
    <col min="16133" max="16133" width="12.5703125" style="209" customWidth="1"/>
    <col min="16134" max="16134" width="24.42578125" style="209" customWidth="1"/>
    <col min="16135" max="16158" width="9.7109375" style="209" customWidth="1"/>
    <col min="16159" max="16384" width="11.42578125" style="209"/>
  </cols>
  <sheetData>
    <row r="1" spans="1:54" ht="32.25" customHeight="1" x14ac:dyDescent="0.2">
      <c r="A1" s="5058" t="s">
        <v>1364</v>
      </c>
      <c r="B1" s="5058"/>
      <c r="C1" s="638"/>
      <c r="D1" s="638"/>
      <c r="E1" s="638"/>
      <c r="F1" s="638"/>
      <c r="G1" s="638"/>
      <c r="H1" s="638"/>
      <c r="I1" s="638"/>
      <c r="J1" s="638"/>
      <c r="K1" s="638"/>
      <c r="L1" s="638"/>
      <c r="M1" s="638"/>
      <c r="N1" s="638"/>
      <c r="O1" s="638"/>
      <c r="P1" s="638"/>
      <c r="Q1" s="638"/>
      <c r="R1" s="638"/>
      <c r="S1" s="638"/>
      <c r="T1" s="638"/>
      <c r="U1" s="638"/>
      <c r="V1" s="638"/>
      <c r="W1" s="638"/>
      <c r="X1" s="638"/>
      <c r="Y1" s="638"/>
      <c r="Z1" s="638"/>
      <c r="AA1" s="638"/>
      <c r="AB1" s="638"/>
      <c r="AC1" s="638"/>
      <c r="AD1" s="638"/>
    </row>
    <row r="2" spans="1:54" ht="20.25" x14ac:dyDescent="0.2">
      <c r="A2" s="590"/>
      <c r="B2" s="590"/>
      <c r="C2" s="590"/>
      <c r="D2" s="590"/>
      <c r="E2" s="590"/>
      <c r="F2" s="590"/>
      <c r="G2" s="590"/>
      <c r="H2" s="590"/>
      <c r="I2" s="590"/>
      <c r="J2" s="590"/>
      <c r="K2" s="590"/>
      <c r="L2" s="590"/>
      <c r="M2" s="590"/>
      <c r="N2" s="590"/>
      <c r="O2" s="590"/>
      <c r="P2" s="590"/>
      <c r="Q2" s="590"/>
      <c r="R2" s="590"/>
      <c r="S2" s="590"/>
      <c r="T2" s="590"/>
      <c r="U2" s="590"/>
      <c r="V2" s="590"/>
    </row>
    <row r="3" spans="1:54" ht="15" x14ac:dyDescent="0.2">
      <c r="A3" s="5106" t="s">
        <v>164</v>
      </c>
      <c r="B3" s="5106" t="s">
        <v>25</v>
      </c>
      <c r="C3" s="5444">
        <v>2003</v>
      </c>
      <c r="D3" s="5445"/>
      <c r="E3" s="5445"/>
      <c r="F3" s="5446"/>
      <c r="G3" s="5444">
        <v>2004</v>
      </c>
      <c r="H3" s="5445"/>
      <c r="I3" s="5445"/>
      <c r="J3" s="5446"/>
      <c r="K3" s="5444">
        <v>2005</v>
      </c>
      <c r="L3" s="5445"/>
      <c r="M3" s="5445"/>
      <c r="N3" s="5446"/>
      <c r="O3" s="5444">
        <v>2006</v>
      </c>
      <c r="P3" s="5445"/>
      <c r="Q3" s="5445"/>
      <c r="R3" s="5446"/>
      <c r="S3" s="5444">
        <v>2007</v>
      </c>
      <c r="T3" s="5445"/>
      <c r="U3" s="5445"/>
      <c r="V3" s="5446"/>
      <c r="W3" s="5444">
        <v>2008</v>
      </c>
      <c r="X3" s="5445"/>
      <c r="Y3" s="5445"/>
      <c r="Z3" s="5446"/>
      <c r="AA3" s="5444">
        <v>2009</v>
      </c>
      <c r="AB3" s="5445"/>
      <c r="AC3" s="5445"/>
      <c r="AD3" s="5446"/>
      <c r="AE3" s="5444">
        <v>2010</v>
      </c>
      <c r="AF3" s="5445"/>
      <c r="AG3" s="5445"/>
      <c r="AH3" s="5446"/>
      <c r="AI3" s="5444">
        <v>2011</v>
      </c>
      <c r="AJ3" s="5445"/>
      <c r="AK3" s="5445"/>
      <c r="AL3" s="5446"/>
      <c r="AM3" s="5444">
        <v>2012</v>
      </c>
      <c r="AN3" s="5445"/>
      <c r="AO3" s="5445"/>
      <c r="AP3" s="5446"/>
      <c r="AQ3" s="5444">
        <v>2013</v>
      </c>
      <c r="AR3" s="5445"/>
      <c r="AS3" s="5445"/>
      <c r="AT3" s="5446"/>
      <c r="AU3" s="5444">
        <v>2014</v>
      </c>
      <c r="AV3" s="5445"/>
      <c r="AW3" s="5445"/>
      <c r="AX3" s="5446"/>
      <c r="AY3" s="5444">
        <v>2015</v>
      </c>
      <c r="AZ3" s="5445"/>
      <c r="BA3" s="5445"/>
      <c r="BB3" s="5446"/>
    </row>
    <row r="4" spans="1:54" ht="15" x14ac:dyDescent="0.2">
      <c r="A4" s="5106"/>
      <c r="B4" s="5106"/>
      <c r="C4" s="1050" t="s">
        <v>670</v>
      </c>
      <c r="D4" s="1051" t="s">
        <v>668</v>
      </c>
      <c r="E4" s="1052" t="s">
        <v>669</v>
      </c>
      <c r="F4" s="1090" t="s">
        <v>160</v>
      </c>
      <c r="G4" s="1832" t="s">
        <v>670</v>
      </c>
      <c r="H4" s="1833" t="s">
        <v>668</v>
      </c>
      <c r="I4" s="1834" t="s">
        <v>669</v>
      </c>
      <c r="J4" s="1090" t="s">
        <v>160</v>
      </c>
      <c r="K4" s="1832" t="s">
        <v>670</v>
      </c>
      <c r="L4" s="1833" t="s">
        <v>668</v>
      </c>
      <c r="M4" s="1834" t="s">
        <v>669</v>
      </c>
      <c r="N4" s="1090" t="s">
        <v>160</v>
      </c>
      <c r="O4" s="1832" t="s">
        <v>670</v>
      </c>
      <c r="P4" s="1833" t="s">
        <v>668</v>
      </c>
      <c r="Q4" s="1834" t="s">
        <v>669</v>
      </c>
      <c r="R4" s="1090" t="s">
        <v>160</v>
      </c>
      <c r="S4" s="1832" t="s">
        <v>670</v>
      </c>
      <c r="T4" s="1833" t="s">
        <v>668</v>
      </c>
      <c r="U4" s="1834" t="s">
        <v>669</v>
      </c>
      <c r="V4" s="1090" t="s">
        <v>160</v>
      </c>
      <c r="W4" s="1832" t="s">
        <v>670</v>
      </c>
      <c r="X4" s="1833" t="s">
        <v>668</v>
      </c>
      <c r="Y4" s="1834" t="s">
        <v>669</v>
      </c>
      <c r="Z4" s="1090" t="s">
        <v>160</v>
      </c>
      <c r="AA4" s="1832" t="s">
        <v>670</v>
      </c>
      <c r="AB4" s="1833" t="s">
        <v>668</v>
      </c>
      <c r="AC4" s="1834" t="s">
        <v>669</v>
      </c>
      <c r="AD4" s="1090" t="s">
        <v>160</v>
      </c>
      <c r="AE4" s="1832" t="s">
        <v>670</v>
      </c>
      <c r="AF4" s="1833" t="s">
        <v>668</v>
      </c>
      <c r="AG4" s="1834" t="s">
        <v>669</v>
      </c>
      <c r="AH4" s="1090" t="s">
        <v>160</v>
      </c>
      <c r="AI4" s="1832" t="s">
        <v>670</v>
      </c>
      <c r="AJ4" s="1833" t="s">
        <v>668</v>
      </c>
      <c r="AK4" s="1834" t="s">
        <v>669</v>
      </c>
      <c r="AL4" s="1090" t="s">
        <v>160</v>
      </c>
      <c r="AM4" s="1832" t="s">
        <v>670</v>
      </c>
      <c r="AN4" s="1833" t="s">
        <v>668</v>
      </c>
      <c r="AO4" s="1834" t="s">
        <v>669</v>
      </c>
      <c r="AP4" s="1090" t="s">
        <v>160</v>
      </c>
      <c r="AQ4" s="1832" t="s">
        <v>670</v>
      </c>
      <c r="AR4" s="1833" t="s">
        <v>668</v>
      </c>
      <c r="AS4" s="1834" t="s">
        <v>669</v>
      </c>
      <c r="AT4" s="1090" t="s">
        <v>160</v>
      </c>
      <c r="AU4" s="2168" t="s">
        <v>670</v>
      </c>
      <c r="AV4" s="2169" t="s">
        <v>668</v>
      </c>
      <c r="AW4" s="2170" t="s">
        <v>669</v>
      </c>
      <c r="AX4" s="1090" t="s">
        <v>160</v>
      </c>
      <c r="AY4" s="4360" t="s">
        <v>670</v>
      </c>
      <c r="AZ4" s="4361" t="s">
        <v>668</v>
      </c>
      <c r="BA4" s="4362" t="s">
        <v>669</v>
      </c>
      <c r="BB4" s="1090" t="s">
        <v>160</v>
      </c>
    </row>
    <row r="5" spans="1:54" x14ac:dyDescent="0.2">
      <c r="A5" s="378"/>
      <c r="B5" s="378"/>
      <c r="C5" s="378"/>
      <c r="D5" s="378"/>
      <c r="E5" s="378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8"/>
      <c r="R5" s="378"/>
      <c r="S5" s="378"/>
      <c r="T5" s="378"/>
      <c r="U5" s="378"/>
      <c r="V5" s="378"/>
      <c r="W5" s="378"/>
      <c r="X5" s="378"/>
      <c r="Y5" s="378"/>
      <c r="Z5" s="378"/>
      <c r="AA5" s="378"/>
      <c r="AB5" s="378"/>
      <c r="AC5" s="378"/>
      <c r="AD5" s="378"/>
      <c r="AE5" s="378"/>
      <c r="AF5" s="378"/>
      <c r="AG5" s="378"/>
      <c r="AH5" s="378"/>
      <c r="AI5" s="378"/>
      <c r="AJ5" s="378"/>
      <c r="AK5" s="378"/>
      <c r="AL5" s="378"/>
      <c r="AM5" s="378"/>
      <c r="AN5" s="378"/>
      <c r="AO5" s="378"/>
      <c r="AP5" s="378"/>
      <c r="AQ5" s="378"/>
      <c r="AR5" s="378"/>
      <c r="AS5" s="378"/>
      <c r="AT5" s="378"/>
      <c r="AU5" s="378"/>
      <c r="AV5" s="378"/>
      <c r="AW5" s="378"/>
      <c r="AX5" s="378"/>
      <c r="AY5" s="3295"/>
      <c r="AZ5" s="3295"/>
      <c r="BA5" s="3295"/>
      <c r="BB5" s="3295"/>
    </row>
    <row r="6" spans="1:54" s="212" customFormat="1" ht="15" x14ac:dyDescent="0.2">
      <c r="A6" s="5489" t="s">
        <v>5</v>
      </c>
      <c r="B6" s="1067" t="s">
        <v>631</v>
      </c>
      <c r="C6" s="1068"/>
      <c r="D6" s="1069"/>
      <c r="E6" s="1069"/>
      <c r="F6" s="1070"/>
      <c r="G6" s="1068"/>
      <c r="H6" s="1069"/>
      <c r="I6" s="1069"/>
      <c r="J6" s="1070"/>
      <c r="K6" s="1068">
        <v>0</v>
      </c>
      <c r="L6" s="1069">
        <v>0</v>
      </c>
      <c r="M6" s="1069">
        <v>12</v>
      </c>
      <c r="N6" s="1071">
        <f>SUM(K6:M6)</f>
        <v>12</v>
      </c>
      <c r="O6" s="1069"/>
      <c r="P6" s="1069"/>
      <c r="Q6" s="1069"/>
      <c r="R6" s="1071"/>
      <c r="S6" s="1069"/>
      <c r="T6" s="1069"/>
      <c r="U6" s="1069"/>
      <c r="V6" s="1071"/>
      <c r="W6" s="1069"/>
      <c r="X6" s="1069"/>
      <c r="Y6" s="1069"/>
      <c r="Z6" s="1071"/>
      <c r="AA6" s="1069"/>
      <c r="AB6" s="1069"/>
      <c r="AC6" s="1069"/>
      <c r="AD6" s="1071"/>
      <c r="AE6" s="1069"/>
      <c r="AF6" s="1069"/>
      <c r="AG6" s="1069"/>
      <c r="AH6" s="1071"/>
      <c r="AI6" s="1069"/>
      <c r="AJ6" s="1069"/>
      <c r="AK6" s="1069"/>
      <c r="AL6" s="1071"/>
      <c r="AM6" s="1069"/>
      <c r="AN6" s="1069"/>
      <c r="AO6" s="1069"/>
      <c r="AP6" s="1071"/>
      <c r="AQ6" s="1069"/>
      <c r="AR6" s="1069"/>
      <c r="AS6" s="1069"/>
      <c r="AT6" s="1071"/>
      <c r="AU6" s="1069"/>
      <c r="AV6" s="1069"/>
      <c r="AW6" s="1069"/>
      <c r="AX6" s="1071"/>
      <c r="AY6" s="1069"/>
      <c r="AZ6" s="1069"/>
      <c r="BA6" s="1069"/>
      <c r="BB6" s="1071"/>
    </row>
    <row r="7" spans="1:54" ht="15" x14ac:dyDescent="0.2">
      <c r="A7" s="5470"/>
      <c r="B7" s="1072" t="s">
        <v>632</v>
      </c>
      <c r="C7" s="1073"/>
      <c r="D7" s="1074"/>
      <c r="E7" s="1074"/>
      <c r="F7" s="1075"/>
      <c r="G7" s="1073"/>
      <c r="H7" s="1074"/>
      <c r="I7" s="1074"/>
      <c r="J7" s="1075"/>
      <c r="K7" s="1073">
        <v>20</v>
      </c>
      <c r="L7" s="1074">
        <v>22</v>
      </c>
      <c r="M7" s="1074">
        <v>39</v>
      </c>
      <c r="N7" s="1076">
        <v>81</v>
      </c>
      <c r="O7" s="1074">
        <v>29</v>
      </c>
      <c r="P7" s="1074"/>
      <c r="Q7" s="1074">
        <v>64</v>
      </c>
      <c r="R7" s="1076">
        <v>93</v>
      </c>
      <c r="S7" s="1074">
        <v>6</v>
      </c>
      <c r="T7" s="1074">
        <v>13</v>
      </c>
      <c r="U7" s="1074"/>
      <c r="V7" s="1076">
        <v>19</v>
      </c>
      <c r="W7" s="1074">
        <v>7</v>
      </c>
      <c r="X7" s="1074"/>
      <c r="Y7" s="1074">
        <v>58</v>
      </c>
      <c r="Z7" s="1076">
        <f t="shared" ref="Z7:Z17" si="0">SUM(W7:Y7)</f>
        <v>65</v>
      </c>
      <c r="AA7" s="1074">
        <v>23</v>
      </c>
      <c r="AB7" s="1074"/>
      <c r="AC7" s="1074">
        <v>57</v>
      </c>
      <c r="AD7" s="1076">
        <f t="shared" ref="AD7:AD17" si="1">SUM(AA7:AC7)</f>
        <v>80</v>
      </c>
      <c r="AE7" s="1074">
        <v>34</v>
      </c>
      <c r="AF7" s="1074">
        <v>1</v>
      </c>
      <c r="AG7" s="1074">
        <v>32</v>
      </c>
      <c r="AH7" s="1076">
        <v>67</v>
      </c>
      <c r="AI7" s="1074">
        <v>19</v>
      </c>
      <c r="AJ7" s="1074"/>
      <c r="AK7" s="1074">
        <v>59</v>
      </c>
      <c r="AL7" s="1076">
        <f>SUM(AI7:AK7)</f>
        <v>78</v>
      </c>
      <c r="AM7" s="1074">
        <f>SUM('ASPI POSG plan'!AO6:AO10)</f>
        <v>8</v>
      </c>
      <c r="AN7" s="1074">
        <f>SUM('ASPI POSG plan'!AP6:AP10)</f>
        <v>7</v>
      </c>
      <c r="AO7" s="1074">
        <f>SUM('ASPI POSG plan'!AQ6:AQ10)</f>
        <v>43</v>
      </c>
      <c r="AP7" s="1076">
        <f t="shared" ref="AP7:AP17" si="2">SUM(AM7:AO7)</f>
        <v>58</v>
      </c>
      <c r="AQ7" s="1074">
        <f>SUM('ASPI POSG plan'!AS6:AS10)</f>
        <v>28</v>
      </c>
      <c r="AR7" s="1074">
        <f>SUM('ASPI POSG plan'!AT6:AT10)</f>
        <v>0</v>
      </c>
      <c r="AS7" s="1074">
        <f>SUM('ASPI POSG plan'!AU6:AU10)</f>
        <v>83</v>
      </c>
      <c r="AT7" s="1076">
        <f t="shared" ref="AT7:AT17" si="3">SUM(AQ7:AS7)</f>
        <v>111</v>
      </c>
      <c r="AU7" s="1074">
        <f>SUM('ASPI POSG plan'!AW6:AW10)</f>
        <v>61</v>
      </c>
      <c r="AV7" s="1074">
        <f>SUM('ASPI POSG plan'!AX6:AX10)</f>
        <v>0</v>
      </c>
      <c r="AW7" s="1074">
        <f>SUM('ASPI POSG plan'!AY6:AY10)</f>
        <v>105</v>
      </c>
      <c r="AX7" s="1076">
        <f t="shared" ref="AX7:AX17" si="4">SUM(AU7:AW7)</f>
        <v>166</v>
      </c>
      <c r="AY7" s="1074">
        <f>SUM('ASPI POSG plan'!BA6:BA10)</f>
        <v>29</v>
      </c>
      <c r="AZ7" s="1074">
        <f>SUM('ASPI POSG plan'!BB6:BB10)</f>
        <v>0</v>
      </c>
      <c r="BA7" s="1074">
        <f>SUM('ASPI POSG plan'!BC6:BC10)</f>
        <v>109</v>
      </c>
      <c r="BB7" s="1076">
        <f t="shared" ref="BB7:BB17" si="5">SUM(AY7:BA7)</f>
        <v>138</v>
      </c>
    </row>
    <row r="8" spans="1:54" s="216" customFormat="1" ht="15" x14ac:dyDescent="0.2">
      <c r="A8" s="5470"/>
      <c r="B8" s="1078" t="s">
        <v>633</v>
      </c>
      <c r="C8" s="1073"/>
      <c r="D8" s="1074"/>
      <c r="E8" s="1074"/>
      <c r="F8" s="1075"/>
      <c r="G8" s="1073"/>
      <c r="H8" s="1074"/>
      <c r="I8" s="1074"/>
      <c r="J8" s="1075"/>
      <c r="K8" s="1073">
        <v>1</v>
      </c>
      <c r="L8" s="1074">
        <v>0</v>
      </c>
      <c r="M8" s="1074">
        <v>2</v>
      </c>
      <c r="N8" s="1076">
        <v>3</v>
      </c>
      <c r="O8" s="1074">
        <v>2</v>
      </c>
      <c r="P8" s="1074">
        <v>1</v>
      </c>
      <c r="Q8" s="1074">
        <v>5</v>
      </c>
      <c r="R8" s="1076">
        <v>8</v>
      </c>
      <c r="S8" s="1074">
        <v>6</v>
      </c>
      <c r="T8" s="1074">
        <v>4</v>
      </c>
      <c r="U8" s="1074"/>
      <c r="V8" s="1076">
        <v>10</v>
      </c>
      <c r="W8" s="1074"/>
      <c r="X8" s="1074">
        <v>7</v>
      </c>
      <c r="Y8" s="1074">
        <v>6</v>
      </c>
      <c r="Z8" s="1076">
        <f t="shared" si="0"/>
        <v>13</v>
      </c>
      <c r="AA8" s="1074">
        <v>2</v>
      </c>
      <c r="AB8" s="1074"/>
      <c r="AC8" s="1074">
        <v>2</v>
      </c>
      <c r="AD8" s="1076">
        <f t="shared" si="1"/>
        <v>4</v>
      </c>
      <c r="AE8" s="1074">
        <v>2</v>
      </c>
      <c r="AF8" s="1074"/>
      <c r="AG8" s="1074">
        <v>19</v>
      </c>
      <c r="AH8" s="1076">
        <v>21</v>
      </c>
      <c r="AI8" s="1074">
        <v>3</v>
      </c>
      <c r="AJ8" s="1074">
        <v>4</v>
      </c>
      <c r="AK8" s="1074">
        <v>1</v>
      </c>
      <c r="AL8" s="1076">
        <f>SUM(AI8:AK8)</f>
        <v>8</v>
      </c>
      <c r="AM8" s="1074">
        <f>SUM('ASPI POSG plan'!AO11,'ASPI POSG plan'!AO12)</f>
        <v>1</v>
      </c>
      <c r="AN8" s="1074">
        <f>SUM('ASPI POSG plan'!AP11,'ASPI POSG plan'!AP12)</f>
        <v>0</v>
      </c>
      <c r="AO8" s="1074">
        <f>SUM('ASPI POSG plan'!AQ11,'ASPI POSG plan'!AQ12)</f>
        <v>4</v>
      </c>
      <c r="AP8" s="1076">
        <f t="shared" si="2"/>
        <v>5</v>
      </c>
      <c r="AQ8" s="1074">
        <f>SUM('ASPI POSG plan'!AS11:AS14)</f>
        <v>6</v>
      </c>
      <c r="AR8" s="1074">
        <f>SUM('ASPI POSG plan'!AT11:AT14)</f>
        <v>0</v>
      </c>
      <c r="AS8" s="1074">
        <f>SUM('ASPI POSG plan'!AU11:AU14)</f>
        <v>18</v>
      </c>
      <c r="AT8" s="1076">
        <f t="shared" si="3"/>
        <v>24</v>
      </c>
      <c r="AU8" s="1074">
        <f>SUM('ASPI POSG plan'!AW11:AW14)</f>
        <v>5</v>
      </c>
      <c r="AV8" s="1074">
        <f>SUM('ASPI POSG plan'!AX11:AX14)</f>
        <v>6</v>
      </c>
      <c r="AW8" s="1074">
        <f>SUM('ASPI POSG plan'!AY11:AY14)</f>
        <v>15</v>
      </c>
      <c r="AX8" s="1076">
        <f t="shared" si="4"/>
        <v>26</v>
      </c>
      <c r="AY8" s="1074">
        <f>SUM('ASPI POSG plan'!BA11:BA14)</f>
        <v>8</v>
      </c>
      <c r="AZ8" s="1074">
        <f>SUM('ASPI POSG plan'!BB11:BB14)</f>
        <v>6</v>
      </c>
      <c r="BA8" s="1074">
        <f>SUM('ASPI POSG plan'!BC11:BC14)</f>
        <v>17</v>
      </c>
      <c r="BB8" s="1076">
        <f t="shared" si="5"/>
        <v>31</v>
      </c>
    </row>
    <row r="9" spans="1:54" s="216" customFormat="1" ht="15" x14ac:dyDescent="0.2">
      <c r="A9" s="5471"/>
      <c r="B9" s="583" t="s">
        <v>13</v>
      </c>
      <c r="C9" s="578"/>
      <c r="D9" s="579"/>
      <c r="E9" s="579"/>
      <c r="F9" s="579"/>
      <c r="G9" s="578"/>
      <c r="H9" s="579"/>
      <c r="I9" s="579"/>
      <c r="J9" s="579"/>
      <c r="K9" s="578">
        <v>21</v>
      </c>
      <c r="L9" s="579">
        <v>22</v>
      </c>
      <c r="M9" s="579">
        <v>53</v>
      </c>
      <c r="N9" s="580">
        <v>84</v>
      </c>
      <c r="O9" s="579">
        <v>31</v>
      </c>
      <c r="P9" s="579">
        <v>1</v>
      </c>
      <c r="Q9" s="579">
        <v>69</v>
      </c>
      <c r="R9" s="580">
        <v>101</v>
      </c>
      <c r="S9" s="579">
        <v>12</v>
      </c>
      <c r="T9" s="579">
        <v>17</v>
      </c>
      <c r="U9" s="579"/>
      <c r="V9" s="580">
        <v>29</v>
      </c>
      <c r="W9" s="579">
        <f>SUM(W6:W8)</f>
        <v>7</v>
      </c>
      <c r="X9" s="579">
        <f>SUM(X6:X8)</f>
        <v>7</v>
      </c>
      <c r="Y9" s="579">
        <f>SUM(Y6:Y8)</f>
        <v>64</v>
      </c>
      <c r="Z9" s="580">
        <f t="shared" si="0"/>
        <v>78</v>
      </c>
      <c r="AA9" s="579">
        <f>SUM(AA6:AA8)</f>
        <v>25</v>
      </c>
      <c r="AB9" s="579"/>
      <c r="AC9" s="579">
        <f>SUM(AC6:AC8)</f>
        <v>59</v>
      </c>
      <c r="AD9" s="580">
        <f t="shared" si="1"/>
        <v>84</v>
      </c>
      <c r="AE9" s="579">
        <f>SUM(AE6:AE8)</f>
        <v>36</v>
      </c>
      <c r="AF9" s="579">
        <f>SUM(AF6:AF8)</f>
        <v>1</v>
      </c>
      <c r="AG9" s="579">
        <f>SUM(AG6:AG8)</f>
        <v>51</v>
      </c>
      <c r="AH9" s="580">
        <f t="shared" ref="AH9:AH17" si="6">SUM(AE9:AG9)</f>
        <v>88</v>
      </c>
      <c r="AI9" s="579">
        <f>SUM(AI6:AI8)</f>
        <v>22</v>
      </c>
      <c r="AJ9" s="579">
        <f>SUM(AJ6:AJ8)</f>
        <v>4</v>
      </c>
      <c r="AK9" s="579">
        <f>SUM(AK6:AK8)</f>
        <v>60</v>
      </c>
      <c r="AL9" s="580">
        <f>SUM(AI9:AK9)</f>
        <v>86</v>
      </c>
      <c r="AM9" s="579">
        <f>SUM(AM6:AM8)</f>
        <v>9</v>
      </c>
      <c r="AN9" s="579">
        <f>SUM(AN6:AN8)</f>
        <v>7</v>
      </c>
      <c r="AO9" s="579">
        <f>SUM(AO6:AO8)</f>
        <v>47</v>
      </c>
      <c r="AP9" s="580">
        <f t="shared" si="2"/>
        <v>63</v>
      </c>
      <c r="AQ9" s="579">
        <f>SUM(AQ6:AQ8)</f>
        <v>34</v>
      </c>
      <c r="AR9" s="579">
        <f>SUM(AR6:AR8)</f>
        <v>0</v>
      </c>
      <c r="AS9" s="579">
        <f>SUM(AS6:AS8)</f>
        <v>101</v>
      </c>
      <c r="AT9" s="580">
        <f t="shared" si="3"/>
        <v>135</v>
      </c>
      <c r="AU9" s="579">
        <f>SUM(AU6:AU8)</f>
        <v>66</v>
      </c>
      <c r="AV9" s="579">
        <f>SUM(AV6:AV8)</f>
        <v>6</v>
      </c>
      <c r="AW9" s="579">
        <f>SUM(AW6:AW8)</f>
        <v>120</v>
      </c>
      <c r="AX9" s="580">
        <f t="shared" si="4"/>
        <v>192</v>
      </c>
      <c r="AY9" s="579">
        <f>SUM(AY6:AY8)</f>
        <v>37</v>
      </c>
      <c r="AZ9" s="579">
        <f>SUM(AZ6:AZ8)</f>
        <v>6</v>
      </c>
      <c r="BA9" s="579">
        <f>SUM(BA6:BA8)</f>
        <v>126</v>
      </c>
      <c r="BB9" s="580">
        <f t="shared" si="5"/>
        <v>169</v>
      </c>
    </row>
    <row r="10" spans="1:54" s="216" customFormat="1" ht="15" x14ac:dyDescent="0.2">
      <c r="A10" s="5470" t="s">
        <v>6</v>
      </c>
      <c r="B10" s="1067" t="s">
        <v>631</v>
      </c>
      <c r="C10" s="1073"/>
      <c r="D10" s="1074"/>
      <c r="E10" s="1074"/>
      <c r="F10" s="1075"/>
      <c r="G10" s="1073"/>
      <c r="H10" s="1074"/>
      <c r="I10" s="1074">
        <v>49</v>
      </c>
      <c r="J10" s="1075">
        <v>49</v>
      </c>
      <c r="K10" s="1073">
        <v>0</v>
      </c>
      <c r="L10" s="1074">
        <v>0</v>
      </c>
      <c r="M10" s="1074">
        <v>54</v>
      </c>
      <c r="N10" s="1076">
        <v>54</v>
      </c>
      <c r="O10" s="1074"/>
      <c r="P10" s="1074"/>
      <c r="Q10" s="1074"/>
      <c r="R10" s="1076"/>
      <c r="S10" s="1074"/>
      <c r="T10" s="1074"/>
      <c r="U10" s="1074">
        <v>29</v>
      </c>
      <c r="V10" s="1076">
        <v>29</v>
      </c>
      <c r="W10" s="1074"/>
      <c r="X10" s="1074"/>
      <c r="Y10" s="1074">
        <v>62</v>
      </c>
      <c r="Z10" s="1076">
        <f t="shared" si="0"/>
        <v>62</v>
      </c>
      <c r="AA10" s="1074"/>
      <c r="AB10" s="1074"/>
      <c r="AC10" s="1074">
        <v>40</v>
      </c>
      <c r="AD10" s="1076">
        <f t="shared" si="1"/>
        <v>40</v>
      </c>
      <c r="AE10" s="1074"/>
      <c r="AF10" s="1074"/>
      <c r="AG10" s="1074">
        <v>68</v>
      </c>
      <c r="AH10" s="1076">
        <v>68</v>
      </c>
      <c r="AI10" s="1074"/>
      <c r="AJ10" s="1074">
        <v>79</v>
      </c>
      <c r="AK10" s="1074"/>
      <c r="AL10" s="1076">
        <f>SUM(AI10:AK10)</f>
        <v>79</v>
      </c>
      <c r="AM10" s="1074">
        <f>SUM('ASPI POSG plan'!AO16,'ASPI POSG plan'!AO17,'ASPI POSG plan'!AO18)</f>
        <v>0</v>
      </c>
      <c r="AN10" s="1074">
        <f>SUM('ASPI POSG plan'!AP16,'ASPI POSG plan'!AP17,'ASPI POSG plan'!AP18)</f>
        <v>0</v>
      </c>
      <c r="AO10" s="1074">
        <f>SUM('ASPI POSG plan'!AQ16,'ASPI POSG plan'!AQ17,'ASPI POSG plan'!AQ18)</f>
        <v>16</v>
      </c>
      <c r="AP10" s="1076">
        <f t="shared" si="2"/>
        <v>16</v>
      </c>
      <c r="AQ10" s="1074">
        <f>SUM('ASPI POSG plan'!AS16,'ASPI POSG plan'!AS17,'ASPI POSG plan'!AS18)</f>
        <v>0</v>
      </c>
      <c r="AR10" s="1074">
        <f>SUM('ASPI POSG plan'!AT16,'ASPI POSG plan'!AT17,'ASPI POSG plan'!AT18)</f>
        <v>83</v>
      </c>
      <c r="AS10" s="1074">
        <f>SUM('ASPI POSG plan'!AU16,'ASPI POSG plan'!AU17,'ASPI POSG plan'!AU18)</f>
        <v>0</v>
      </c>
      <c r="AT10" s="1076">
        <f t="shared" si="3"/>
        <v>83</v>
      </c>
      <c r="AU10" s="1074">
        <f>SUM('ASPI POSG plan'!AW16,'ASPI POSG plan'!AW17,'ASPI POSG plan'!AW18)</f>
        <v>0</v>
      </c>
      <c r="AV10" s="1074">
        <f>SUM('ASPI POSG plan'!AX16,'ASPI POSG plan'!AX17,'ASPI POSG plan'!AX18)</f>
        <v>0</v>
      </c>
      <c r="AW10" s="1074">
        <f>SUM('ASPI POSG plan'!AY16,'ASPI POSG plan'!AY17,'ASPI POSG plan'!AY18)</f>
        <v>47</v>
      </c>
      <c r="AX10" s="1076">
        <f t="shared" si="4"/>
        <v>47</v>
      </c>
      <c r="AY10" s="1074">
        <f>SUM('ASPI POSG plan'!BA16,'ASPI POSG plan'!BA17,'ASPI POSG plan'!BA18)</f>
        <v>0</v>
      </c>
      <c r="AZ10" s="1074">
        <f>SUM('ASPI POSG plan'!BB16,'ASPI POSG plan'!BB17,'ASPI POSG plan'!BB18)</f>
        <v>0</v>
      </c>
      <c r="BA10" s="1074">
        <f>SUM('ASPI POSG plan'!BC16,'ASPI POSG plan'!BC17,'ASPI POSG plan'!BC18)</f>
        <v>58</v>
      </c>
      <c r="BB10" s="1076">
        <f t="shared" si="5"/>
        <v>58</v>
      </c>
    </row>
    <row r="11" spans="1:54" s="216" customFormat="1" ht="15" x14ac:dyDescent="0.2">
      <c r="A11" s="5470"/>
      <c r="B11" s="1072" t="s">
        <v>632</v>
      </c>
      <c r="C11" s="1073"/>
      <c r="D11" s="1074"/>
      <c r="E11" s="1074"/>
      <c r="F11" s="1075"/>
      <c r="G11" s="1073"/>
      <c r="H11" s="1074"/>
      <c r="I11" s="1074">
        <v>46</v>
      </c>
      <c r="J11" s="1075">
        <v>46</v>
      </c>
      <c r="K11" s="1073">
        <v>0</v>
      </c>
      <c r="L11" s="1074">
        <v>0</v>
      </c>
      <c r="M11" s="1074">
        <v>136</v>
      </c>
      <c r="N11" s="1076">
        <v>136</v>
      </c>
      <c r="O11" s="1074">
        <v>21</v>
      </c>
      <c r="P11" s="1074"/>
      <c r="Q11" s="1074"/>
      <c r="R11" s="1076">
        <v>21</v>
      </c>
      <c r="S11" s="1074"/>
      <c r="T11" s="1074"/>
      <c r="U11" s="1074">
        <v>156</v>
      </c>
      <c r="V11" s="1076">
        <v>156</v>
      </c>
      <c r="W11" s="1074">
        <v>93</v>
      </c>
      <c r="X11" s="1074"/>
      <c r="Y11" s="1074"/>
      <c r="Z11" s="1076">
        <f t="shared" si="0"/>
        <v>93</v>
      </c>
      <c r="AA11" s="1074"/>
      <c r="AB11" s="1074"/>
      <c r="AC11" s="1074">
        <v>187</v>
      </c>
      <c r="AD11" s="1076">
        <f t="shared" si="1"/>
        <v>187</v>
      </c>
      <c r="AE11" s="1074"/>
      <c r="AF11" s="1074"/>
      <c r="AG11" s="1074">
        <v>30</v>
      </c>
      <c r="AH11" s="1076">
        <f t="shared" si="6"/>
        <v>30</v>
      </c>
      <c r="AI11" s="1074"/>
      <c r="AJ11" s="1074">
        <v>377</v>
      </c>
      <c r="AK11" s="1074"/>
      <c r="AL11" s="1076">
        <f>SUM(AI11:AK11)</f>
        <v>377</v>
      </c>
      <c r="AM11" s="1074">
        <f>SUM('ASPI POSG plan'!AO19,'ASPI POSG plan'!AO20,'ASPI POSG plan'!AO21,'ASPI POSG plan'!AO22,'ASPI POSG plan'!AO23,'ASPI POSG plan'!AO24,'ASPI POSG plan'!AO25)</f>
        <v>15</v>
      </c>
      <c r="AN11" s="1074">
        <f>SUM('ASPI POSG plan'!AP19,'ASPI POSG plan'!AP20,'ASPI POSG plan'!AP21,'ASPI POSG plan'!AP22,'ASPI POSG plan'!AP23,'ASPI POSG plan'!AP24,'ASPI POSG plan'!AP25)</f>
        <v>0</v>
      </c>
      <c r="AO11" s="1074">
        <f>SUM('ASPI POSG plan'!AQ19,'ASPI POSG plan'!AQ20,'ASPI POSG plan'!AQ21,'ASPI POSG plan'!AQ22,'ASPI POSG plan'!AQ23,'ASPI POSG plan'!AQ24,'ASPI POSG plan'!AQ25)</f>
        <v>24</v>
      </c>
      <c r="AP11" s="1076">
        <f t="shared" si="2"/>
        <v>39</v>
      </c>
      <c r="AQ11" s="1074">
        <f>SUM('ASPI POSG plan'!AS19,'ASPI POSG plan'!AS20,'ASPI POSG plan'!AS21,'ASPI POSG plan'!AS22,'ASPI POSG plan'!AS23,'ASPI POSG plan'!AS24,'ASPI POSG plan'!AS25)</f>
        <v>0</v>
      </c>
      <c r="AR11" s="1074">
        <f>SUM('ASPI POSG plan'!AT19,'ASPI POSG plan'!AT20,'ASPI POSG plan'!AT21,'ASPI POSG plan'!AT22,'ASPI POSG plan'!AT23,'ASPI POSG plan'!AT24,'ASPI POSG plan'!AT25)</f>
        <v>122</v>
      </c>
      <c r="AS11" s="1074">
        <f>SUM('ASPI POSG plan'!AU19,'ASPI POSG plan'!AU20,'ASPI POSG plan'!AU21,'ASPI POSG plan'!AU22,'ASPI POSG plan'!AU23,'ASPI POSG plan'!AU24,'ASPI POSG plan'!AU25)</f>
        <v>42</v>
      </c>
      <c r="AT11" s="1076">
        <f t="shared" si="3"/>
        <v>164</v>
      </c>
      <c r="AU11" s="1074">
        <f>SUM('ASPI POSG plan'!AW19,'ASPI POSG plan'!AW20,'ASPI POSG plan'!AW21,'ASPI POSG plan'!AW22,'ASPI POSG plan'!AW23,'ASPI POSG plan'!AW24,'ASPI POSG plan'!AW25)</f>
        <v>64</v>
      </c>
      <c r="AV11" s="1074">
        <f>SUM('ASPI POSG plan'!AX19,'ASPI POSG plan'!AX20,'ASPI POSG plan'!AX21,'ASPI POSG plan'!AX22,'ASPI POSG plan'!AX23,'ASPI POSG plan'!AX24,'ASPI POSG plan'!AX25)</f>
        <v>0</v>
      </c>
      <c r="AW11" s="1074">
        <f>SUM('ASPI POSG plan'!AY19,'ASPI POSG plan'!AY20,'ASPI POSG plan'!AY21,'ASPI POSG plan'!AY22,'ASPI POSG plan'!AY23,'ASPI POSG plan'!AY24,'ASPI POSG plan'!AY25)</f>
        <v>129</v>
      </c>
      <c r="AX11" s="1076">
        <f t="shared" si="4"/>
        <v>193</v>
      </c>
      <c r="AY11" s="1074">
        <f>SUM('ASPI POSG plan'!BA19,'ASPI POSG plan'!BA20,'ASPI POSG plan'!BA21,'ASPI POSG plan'!BA22,'ASPI POSG plan'!BA23,'ASPI POSG plan'!BA24,'ASPI POSG plan'!BA25)</f>
        <v>0</v>
      </c>
      <c r="AZ11" s="1074">
        <f>SUM('ASPI POSG plan'!BB19,'ASPI POSG plan'!BB20,'ASPI POSG plan'!BB21,'ASPI POSG plan'!BB22,'ASPI POSG plan'!BB23,'ASPI POSG plan'!BB24,'ASPI POSG plan'!BB25)</f>
        <v>0</v>
      </c>
      <c r="BA11" s="1074">
        <f>SUM('ASPI POSG plan'!BC19,'ASPI POSG plan'!BC20,'ASPI POSG plan'!BC21,'ASPI POSG plan'!BC22,'ASPI POSG plan'!BC23,'ASPI POSG plan'!BC24,'ASPI POSG plan'!BC25)</f>
        <v>148</v>
      </c>
      <c r="BB11" s="1076">
        <f t="shared" si="5"/>
        <v>148</v>
      </c>
    </row>
    <row r="12" spans="1:54" ht="15" x14ac:dyDescent="0.2">
      <c r="A12" s="5470"/>
      <c r="B12" s="1078" t="s">
        <v>633</v>
      </c>
      <c r="C12" s="1073"/>
      <c r="D12" s="1074"/>
      <c r="E12" s="1074"/>
      <c r="F12" s="1075"/>
      <c r="G12" s="1073"/>
      <c r="H12" s="1074"/>
      <c r="I12" s="1074"/>
      <c r="J12" s="1075"/>
      <c r="K12" s="1073">
        <v>32</v>
      </c>
      <c r="L12" s="1074">
        <v>0</v>
      </c>
      <c r="M12" s="1074">
        <v>0</v>
      </c>
      <c r="N12" s="1076">
        <v>32</v>
      </c>
      <c r="O12" s="1074">
        <v>8</v>
      </c>
      <c r="P12" s="1074"/>
      <c r="Q12" s="1074"/>
      <c r="R12" s="1076">
        <v>8</v>
      </c>
      <c r="S12" s="1074"/>
      <c r="T12" s="1074"/>
      <c r="U12" s="1074">
        <v>29</v>
      </c>
      <c r="V12" s="1076">
        <v>29</v>
      </c>
      <c r="W12" s="1074"/>
      <c r="X12" s="1074"/>
      <c r="Y12" s="1074"/>
      <c r="Z12" s="1076"/>
      <c r="AA12" s="1074"/>
      <c r="AB12" s="1074"/>
      <c r="AC12" s="1074">
        <v>22</v>
      </c>
      <c r="AD12" s="1076">
        <f t="shared" si="1"/>
        <v>22</v>
      </c>
      <c r="AE12" s="1074"/>
      <c r="AF12" s="1074">
        <v>51</v>
      </c>
      <c r="AG12" s="1074"/>
      <c r="AH12" s="1076">
        <f t="shared" si="6"/>
        <v>51</v>
      </c>
      <c r="AI12" s="1074"/>
      <c r="AJ12" s="1074">
        <v>20</v>
      </c>
      <c r="AK12" s="1074"/>
      <c r="AL12" s="1076">
        <f t="shared" ref="AL12:AL17" si="7">SUM(AI12:AK12)</f>
        <v>20</v>
      </c>
      <c r="AM12" s="1074">
        <f>SUM('ASPI POSG plan'!AO26,'ASPI POSG plan'!AO27,'ASPI POSG plan'!AO28)</f>
        <v>0</v>
      </c>
      <c r="AN12" s="1074">
        <f>SUM('ASPI POSG plan'!AP26,'ASPI POSG plan'!AP27,'ASPI POSG plan'!AP28)</f>
        <v>0</v>
      </c>
      <c r="AO12" s="1074">
        <f>SUM('ASPI POSG plan'!AQ26,'ASPI POSG plan'!AQ27,'ASPI POSG plan'!AQ28)</f>
        <v>11</v>
      </c>
      <c r="AP12" s="1076">
        <f t="shared" si="2"/>
        <v>11</v>
      </c>
      <c r="AQ12" s="1074">
        <f>SUM('ASPI POSG plan'!AS26,'ASPI POSG plan'!AS27,'ASPI POSG plan'!AS28)</f>
        <v>0</v>
      </c>
      <c r="AR12" s="1074">
        <f>SUM('ASPI POSG plan'!AT26,'ASPI POSG plan'!AT27,'ASPI POSG plan'!AT28)</f>
        <v>0</v>
      </c>
      <c r="AS12" s="1074">
        <f>SUM('ASPI POSG plan'!AU26,'ASPI POSG plan'!AU27,'ASPI POSG plan'!AU28)</f>
        <v>24</v>
      </c>
      <c r="AT12" s="1076">
        <f t="shared" si="3"/>
        <v>24</v>
      </c>
      <c r="AU12" s="1074">
        <f>SUM('ASPI POSG plan'!AW26,'ASPI POSG plan'!AW27,'ASPI POSG plan'!AW28)</f>
        <v>0</v>
      </c>
      <c r="AV12" s="1074">
        <f>SUM('ASPI POSG plan'!AX26,'ASPI POSG plan'!AX27,'ASPI POSG plan'!AX28)</f>
        <v>0</v>
      </c>
      <c r="AW12" s="1074">
        <f>SUM('ASPI POSG plan'!AY26,'ASPI POSG plan'!AY27,'ASPI POSG plan'!AY28)</f>
        <v>35</v>
      </c>
      <c r="AX12" s="1076">
        <f t="shared" si="4"/>
        <v>35</v>
      </c>
      <c r="AY12" s="1074">
        <f>SUM('ASPI POSG plan'!BA26,'ASPI POSG plan'!BA27,'ASPI POSG plan'!BA28)</f>
        <v>0</v>
      </c>
      <c r="AZ12" s="1074">
        <f>SUM('ASPI POSG plan'!BB26,'ASPI POSG plan'!BB27,'ASPI POSG plan'!BB28)</f>
        <v>0</v>
      </c>
      <c r="BA12" s="1074">
        <f>SUM('ASPI POSG plan'!BC26,'ASPI POSG plan'!BC27,'ASPI POSG plan'!BC28)</f>
        <v>26</v>
      </c>
      <c r="BB12" s="1076">
        <f t="shared" si="5"/>
        <v>26</v>
      </c>
    </row>
    <row r="13" spans="1:54" s="216" customFormat="1" ht="15" x14ac:dyDescent="0.2">
      <c r="A13" s="5471"/>
      <c r="B13" s="583" t="s">
        <v>14</v>
      </c>
      <c r="C13" s="578"/>
      <c r="D13" s="579"/>
      <c r="E13" s="579"/>
      <c r="F13" s="579"/>
      <c r="G13" s="578"/>
      <c r="H13" s="579"/>
      <c r="I13" s="579">
        <v>95</v>
      </c>
      <c r="J13" s="579">
        <v>95</v>
      </c>
      <c r="K13" s="578">
        <v>32</v>
      </c>
      <c r="L13" s="579">
        <v>0</v>
      </c>
      <c r="M13" s="579">
        <v>190</v>
      </c>
      <c r="N13" s="580">
        <v>222</v>
      </c>
      <c r="O13" s="579">
        <v>29</v>
      </c>
      <c r="P13" s="579"/>
      <c r="Q13" s="579"/>
      <c r="R13" s="580">
        <v>29</v>
      </c>
      <c r="S13" s="579"/>
      <c r="T13" s="579"/>
      <c r="U13" s="579">
        <v>214</v>
      </c>
      <c r="V13" s="580">
        <v>214</v>
      </c>
      <c r="W13" s="579">
        <f>SUM(W10:W12)</f>
        <v>93</v>
      </c>
      <c r="X13" s="579"/>
      <c r="Y13" s="579">
        <f>SUM(Y10:Y12)</f>
        <v>62</v>
      </c>
      <c r="Z13" s="580">
        <f t="shared" si="0"/>
        <v>155</v>
      </c>
      <c r="AA13" s="579"/>
      <c r="AB13" s="579"/>
      <c r="AC13" s="579">
        <f>SUM(AC10:AC12)</f>
        <v>249</v>
      </c>
      <c r="AD13" s="580">
        <f t="shared" si="1"/>
        <v>249</v>
      </c>
      <c r="AE13" s="579"/>
      <c r="AF13" s="579">
        <f>SUM(AF10:AF12)</f>
        <v>51</v>
      </c>
      <c r="AG13" s="579">
        <f>SUM(AG10:AG12)</f>
        <v>98</v>
      </c>
      <c r="AH13" s="580">
        <f t="shared" si="6"/>
        <v>149</v>
      </c>
      <c r="AI13" s="579"/>
      <c r="AJ13" s="579">
        <f>SUM(AJ10:AJ12)</f>
        <v>476</v>
      </c>
      <c r="AK13" s="579"/>
      <c r="AL13" s="580">
        <f t="shared" si="7"/>
        <v>476</v>
      </c>
      <c r="AM13" s="579">
        <f>SUM(AM10:AM12)</f>
        <v>15</v>
      </c>
      <c r="AN13" s="579"/>
      <c r="AO13" s="579">
        <f>SUM(AO10:AO12)</f>
        <v>51</v>
      </c>
      <c r="AP13" s="580">
        <f t="shared" si="2"/>
        <v>66</v>
      </c>
      <c r="AQ13" s="579">
        <f>SUM(AQ10:AQ12)</f>
        <v>0</v>
      </c>
      <c r="AR13" s="579">
        <f>SUM(AR10:AR12)</f>
        <v>205</v>
      </c>
      <c r="AS13" s="579">
        <f>SUM(AS10:AS12)</f>
        <v>66</v>
      </c>
      <c r="AT13" s="580">
        <f t="shared" si="3"/>
        <v>271</v>
      </c>
      <c r="AU13" s="579">
        <f>SUM(AU10:AU12)</f>
        <v>64</v>
      </c>
      <c r="AV13" s="579">
        <f>SUM(AV10:AV12)</f>
        <v>0</v>
      </c>
      <c r="AW13" s="579">
        <f>SUM(AW10:AW12)</f>
        <v>211</v>
      </c>
      <c r="AX13" s="580">
        <f t="shared" si="4"/>
        <v>275</v>
      </c>
      <c r="AY13" s="579">
        <f>SUM(AY10:AY12)</f>
        <v>0</v>
      </c>
      <c r="AZ13" s="579">
        <f>SUM(AZ10:AZ12)</f>
        <v>0</v>
      </c>
      <c r="BA13" s="579">
        <f>SUM(BA10:BA12)</f>
        <v>232</v>
      </c>
      <c r="BB13" s="580">
        <f t="shared" si="5"/>
        <v>232</v>
      </c>
    </row>
    <row r="14" spans="1:54" s="216" customFormat="1" ht="15" x14ac:dyDescent="0.2">
      <c r="A14" s="5470" t="s">
        <v>7</v>
      </c>
      <c r="B14" s="1067" t="s">
        <v>631</v>
      </c>
      <c r="C14" s="1073"/>
      <c r="D14" s="1074"/>
      <c r="E14" s="1074"/>
      <c r="F14" s="1075"/>
      <c r="G14" s="1073"/>
      <c r="H14" s="1074"/>
      <c r="I14" s="1074">
        <v>45</v>
      </c>
      <c r="J14" s="1075">
        <v>45</v>
      </c>
      <c r="K14" s="1073">
        <v>0</v>
      </c>
      <c r="L14" s="1074">
        <v>57</v>
      </c>
      <c r="M14" s="1074">
        <v>0</v>
      </c>
      <c r="N14" s="1076">
        <v>57</v>
      </c>
      <c r="O14" s="1074"/>
      <c r="P14" s="1074">
        <v>72</v>
      </c>
      <c r="Q14" s="1074"/>
      <c r="R14" s="1076">
        <v>72</v>
      </c>
      <c r="S14" s="1074"/>
      <c r="T14" s="1074">
        <v>78</v>
      </c>
      <c r="U14" s="1074"/>
      <c r="V14" s="1076">
        <v>78</v>
      </c>
      <c r="W14" s="1074"/>
      <c r="X14" s="1074"/>
      <c r="Y14" s="1074">
        <v>65</v>
      </c>
      <c r="Z14" s="1076">
        <f t="shared" si="0"/>
        <v>65</v>
      </c>
      <c r="AA14" s="1074"/>
      <c r="AB14" s="1074"/>
      <c r="AC14" s="1074">
        <v>130</v>
      </c>
      <c r="AD14" s="1076">
        <f t="shared" si="1"/>
        <v>130</v>
      </c>
      <c r="AE14" s="1074"/>
      <c r="AF14" s="1074"/>
      <c r="AG14" s="1074">
        <v>193</v>
      </c>
      <c r="AH14" s="1076">
        <f t="shared" si="6"/>
        <v>193</v>
      </c>
      <c r="AI14" s="1074"/>
      <c r="AJ14" s="1074"/>
      <c r="AK14" s="1074"/>
      <c r="AL14" s="1076"/>
      <c r="AM14" s="1074"/>
      <c r="AN14" s="1074"/>
      <c r="AO14" s="1074">
        <f>SUM('ASPI POSG plan'!AQ30)</f>
        <v>207</v>
      </c>
      <c r="AP14" s="1076">
        <f t="shared" si="2"/>
        <v>207</v>
      </c>
      <c r="AQ14" s="1074"/>
      <c r="AR14" s="1074"/>
      <c r="AS14" s="1074">
        <f>SUM('ASPI POSG plan'!AU30)</f>
        <v>0</v>
      </c>
      <c r="AT14" s="1076">
        <f t="shared" si="3"/>
        <v>0</v>
      </c>
      <c r="AU14" s="1074"/>
      <c r="AV14" s="1074"/>
      <c r="AW14" s="1074">
        <f>SUM('ASPI POSG plan'!AY30)</f>
        <v>126</v>
      </c>
      <c r="AX14" s="1076">
        <f t="shared" si="4"/>
        <v>126</v>
      </c>
      <c r="AY14" s="1074">
        <f>SUM('ASPI POSG plan'!BA30:BA31)</f>
        <v>1</v>
      </c>
      <c r="AZ14" s="1074">
        <f>SUM('ASPI POSG plan'!BB30:BB31)</f>
        <v>0</v>
      </c>
      <c r="BA14" s="1074">
        <f>SUM('ASPI POSG plan'!BC30:BC31)</f>
        <v>0</v>
      </c>
      <c r="BB14" s="1076">
        <f t="shared" si="5"/>
        <v>1</v>
      </c>
    </row>
    <row r="15" spans="1:54" s="216" customFormat="1" ht="15" x14ac:dyDescent="0.2">
      <c r="A15" s="5470"/>
      <c r="B15" s="1072" t="s">
        <v>632</v>
      </c>
      <c r="C15" s="1073"/>
      <c r="D15" s="1074"/>
      <c r="E15" s="1074"/>
      <c r="F15" s="1075"/>
      <c r="G15" s="1073"/>
      <c r="H15" s="1074"/>
      <c r="I15" s="1074">
        <v>60</v>
      </c>
      <c r="J15" s="1075">
        <v>60</v>
      </c>
      <c r="K15" s="1073">
        <v>0</v>
      </c>
      <c r="L15" s="1074">
        <v>40</v>
      </c>
      <c r="M15" s="1074">
        <v>0</v>
      </c>
      <c r="N15" s="1076">
        <v>40</v>
      </c>
      <c r="O15" s="1074"/>
      <c r="P15" s="1074">
        <v>52</v>
      </c>
      <c r="Q15" s="1074"/>
      <c r="R15" s="1076">
        <v>52</v>
      </c>
      <c r="S15" s="1074"/>
      <c r="T15" s="1074">
        <v>33</v>
      </c>
      <c r="U15" s="1074"/>
      <c r="V15" s="1076">
        <v>33</v>
      </c>
      <c r="W15" s="1074"/>
      <c r="X15" s="1074"/>
      <c r="Y15" s="1074">
        <v>40</v>
      </c>
      <c r="Z15" s="1076">
        <f t="shared" si="0"/>
        <v>40</v>
      </c>
      <c r="AA15" s="1074"/>
      <c r="AB15" s="1074"/>
      <c r="AC15" s="1074">
        <v>52</v>
      </c>
      <c r="AD15" s="1076">
        <f t="shared" si="1"/>
        <v>52</v>
      </c>
      <c r="AE15" s="1074"/>
      <c r="AF15" s="1074"/>
      <c r="AG15" s="1074">
        <v>41</v>
      </c>
      <c r="AH15" s="1076">
        <f t="shared" si="6"/>
        <v>41</v>
      </c>
      <c r="AI15" s="1074"/>
      <c r="AJ15" s="1074"/>
      <c r="AK15" s="1074"/>
      <c r="AL15" s="1076"/>
      <c r="AM15" s="1074"/>
      <c r="AN15" s="1074"/>
      <c r="AO15" s="1074">
        <f>SUM('ASPI POSG plan'!AQ32)</f>
        <v>9</v>
      </c>
      <c r="AP15" s="1076">
        <f t="shared" si="2"/>
        <v>9</v>
      </c>
      <c r="AQ15" s="1074"/>
      <c r="AR15" s="1074"/>
      <c r="AS15" s="1074">
        <f>SUM('ASPI POSG plan'!AU32)</f>
        <v>49</v>
      </c>
      <c r="AT15" s="1076">
        <f t="shared" si="3"/>
        <v>49</v>
      </c>
      <c r="AU15" s="1074"/>
      <c r="AV15" s="1074"/>
      <c r="AW15" s="1074">
        <f>SUM('ASPI POSG plan'!AY32)</f>
        <v>7</v>
      </c>
      <c r="AX15" s="1076">
        <f t="shared" si="4"/>
        <v>7</v>
      </c>
      <c r="AY15" s="1074">
        <f>SUM('ASPI POSG plan'!BA32:BA38)</f>
        <v>4</v>
      </c>
      <c r="AZ15" s="1074">
        <f>SUM('ASPI POSG plan'!BB32:BB38)</f>
        <v>67</v>
      </c>
      <c r="BA15" s="1074">
        <f>SUM('ASPI POSG plan'!BC32:BC38)</f>
        <v>38</v>
      </c>
      <c r="BB15" s="1076">
        <f t="shared" si="5"/>
        <v>109</v>
      </c>
    </row>
    <row r="16" spans="1:54" s="216" customFormat="1" ht="15" x14ac:dyDescent="0.2">
      <c r="A16" s="5470"/>
      <c r="B16" s="1078" t="s">
        <v>633</v>
      </c>
      <c r="C16" s="1073"/>
      <c r="D16" s="1074"/>
      <c r="E16" s="1074"/>
      <c r="F16" s="1075"/>
      <c r="G16" s="1073"/>
      <c r="H16" s="1074"/>
      <c r="I16" s="1074"/>
      <c r="J16" s="1075"/>
      <c r="K16" s="1073">
        <v>0</v>
      </c>
      <c r="L16" s="1074">
        <v>18</v>
      </c>
      <c r="M16" s="1074">
        <v>0</v>
      </c>
      <c r="N16" s="1076">
        <v>18</v>
      </c>
      <c r="O16" s="1074"/>
      <c r="P16" s="1074">
        <v>21</v>
      </c>
      <c r="Q16" s="1074"/>
      <c r="R16" s="1076">
        <v>21</v>
      </c>
      <c r="S16" s="1074"/>
      <c r="T16" s="1074">
        <v>24</v>
      </c>
      <c r="U16" s="1074"/>
      <c r="V16" s="1076">
        <v>24</v>
      </c>
      <c r="W16" s="1074"/>
      <c r="X16" s="1074"/>
      <c r="Y16" s="1074">
        <v>22</v>
      </c>
      <c r="Z16" s="1076">
        <f t="shared" si="0"/>
        <v>22</v>
      </c>
      <c r="AA16" s="1074"/>
      <c r="AB16" s="1074"/>
      <c r="AC16" s="1074">
        <v>14</v>
      </c>
      <c r="AD16" s="1076">
        <f t="shared" si="1"/>
        <v>14</v>
      </c>
      <c r="AE16" s="1074"/>
      <c r="AF16" s="1074"/>
      <c r="AG16" s="1074">
        <v>56</v>
      </c>
      <c r="AH16" s="1076">
        <f t="shared" si="6"/>
        <v>56</v>
      </c>
      <c r="AI16" s="1074"/>
      <c r="AJ16" s="1074"/>
      <c r="AK16" s="1074">
        <v>94</v>
      </c>
      <c r="AL16" s="1076">
        <f t="shared" si="7"/>
        <v>94</v>
      </c>
      <c r="AM16" s="1074"/>
      <c r="AN16" s="1074"/>
      <c r="AO16" s="1074">
        <f>SUM('ASPI POSG plan'!AQ39)</f>
        <v>27</v>
      </c>
      <c r="AP16" s="1076">
        <f t="shared" si="2"/>
        <v>27</v>
      </c>
      <c r="AQ16" s="1074"/>
      <c r="AR16" s="1074"/>
      <c r="AS16" s="1074">
        <f>SUM('ASPI POSG plan'!AU39)</f>
        <v>3</v>
      </c>
      <c r="AT16" s="1076">
        <f t="shared" si="3"/>
        <v>3</v>
      </c>
      <c r="AU16" s="1074"/>
      <c r="AV16" s="1074"/>
      <c r="AW16" s="1074">
        <f>SUM('ASPI POSG plan'!AY39)</f>
        <v>82</v>
      </c>
      <c r="AX16" s="1076">
        <f t="shared" si="4"/>
        <v>82</v>
      </c>
      <c r="AY16" s="1074">
        <f>SUM('ASPI POSG plan'!BA39:BA42)</f>
        <v>10</v>
      </c>
      <c r="AZ16" s="1074">
        <f>SUM('ASPI POSG plan'!BB39:BB42)</f>
        <v>0</v>
      </c>
      <c r="BA16" s="1074">
        <f>SUM('ASPI POSG plan'!BC39:BC42)</f>
        <v>0</v>
      </c>
      <c r="BB16" s="1076">
        <f t="shared" si="5"/>
        <v>10</v>
      </c>
    </row>
    <row r="17" spans="1:54" s="216" customFormat="1" ht="15" x14ac:dyDescent="0.2">
      <c r="A17" s="5471"/>
      <c r="B17" s="583" t="s">
        <v>15</v>
      </c>
      <c r="C17" s="578"/>
      <c r="D17" s="579"/>
      <c r="E17" s="579"/>
      <c r="F17" s="579"/>
      <c r="G17" s="578"/>
      <c r="H17" s="579"/>
      <c r="I17" s="579">
        <v>105</v>
      </c>
      <c r="J17" s="579">
        <v>105</v>
      </c>
      <c r="K17" s="578">
        <v>0</v>
      </c>
      <c r="L17" s="579">
        <v>115</v>
      </c>
      <c r="M17" s="579">
        <v>0</v>
      </c>
      <c r="N17" s="580">
        <v>115</v>
      </c>
      <c r="O17" s="579"/>
      <c r="P17" s="579">
        <v>145</v>
      </c>
      <c r="Q17" s="579"/>
      <c r="R17" s="580">
        <v>145</v>
      </c>
      <c r="S17" s="579"/>
      <c r="T17" s="579">
        <v>135</v>
      </c>
      <c r="U17" s="579"/>
      <c r="V17" s="580">
        <v>135</v>
      </c>
      <c r="W17" s="579"/>
      <c r="X17" s="579"/>
      <c r="Y17" s="579">
        <f>SUM(Y14:Y16)</f>
        <v>127</v>
      </c>
      <c r="Z17" s="580">
        <f t="shared" si="0"/>
        <v>127</v>
      </c>
      <c r="AA17" s="579"/>
      <c r="AB17" s="579"/>
      <c r="AC17" s="579">
        <f>SUM(AC14:AC16)</f>
        <v>196</v>
      </c>
      <c r="AD17" s="580">
        <f t="shared" si="1"/>
        <v>196</v>
      </c>
      <c r="AE17" s="579"/>
      <c r="AF17" s="579"/>
      <c r="AG17" s="579">
        <f>SUM(AG14:AG16)</f>
        <v>290</v>
      </c>
      <c r="AH17" s="580">
        <f t="shared" si="6"/>
        <v>290</v>
      </c>
      <c r="AI17" s="579">
        <f>SUM(AI14:AI16)</f>
        <v>0</v>
      </c>
      <c r="AJ17" s="579">
        <f>SUM(AJ14:AJ16)</f>
        <v>0</v>
      </c>
      <c r="AK17" s="579">
        <f>SUM(AK14:AK16)</f>
        <v>94</v>
      </c>
      <c r="AL17" s="580">
        <f t="shared" si="7"/>
        <v>94</v>
      </c>
      <c r="AM17" s="579"/>
      <c r="AN17" s="579"/>
      <c r="AO17" s="579">
        <f>SUM(AO14:AO16)</f>
        <v>243</v>
      </c>
      <c r="AP17" s="580">
        <f t="shared" si="2"/>
        <v>243</v>
      </c>
      <c r="AQ17" s="579"/>
      <c r="AR17" s="579"/>
      <c r="AS17" s="579">
        <f>SUM(AS14:AS16)</f>
        <v>52</v>
      </c>
      <c r="AT17" s="580">
        <f t="shared" si="3"/>
        <v>52</v>
      </c>
      <c r="AU17" s="579">
        <f>SUM(AU14:AU16)</f>
        <v>0</v>
      </c>
      <c r="AV17" s="579">
        <f>SUM(AV14:AV16)</f>
        <v>0</v>
      </c>
      <c r="AW17" s="579">
        <f>SUM(AW14:AW16)</f>
        <v>215</v>
      </c>
      <c r="AX17" s="580">
        <f t="shared" si="4"/>
        <v>215</v>
      </c>
      <c r="AY17" s="579">
        <f>SUM(AY14:AY16)</f>
        <v>15</v>
      </c>
      <c r="AZ17" s="579">
        <f>SUM(AZ14:AZ16)</f>
        <v>67</v>
      </c>
      <c r="BA17" s="579">
        <f>SUM(BA14:BA16)</f>
        <v>38</v>
      </c>
      <c r="BB17" s="580">
        <f t="shared" si="5"/>
        <v>120</v>
      </c>
    </row>
    <row r="18" spans="1:54" s="216" customFormat="1" ht="15" customHeight="1" x14ac:dyDescent="0.2">
      <c r="A18" s="5201" t="s">
        <v>694</v>
      </c>
      <c r="B18" s="1067" t="s">
        <v>631</v>
      </c>
      <c r="C18" s="1073"/>
      <c r="D18" s="1074"/>
      <c r="E18" s="1074"/>
      <c r="F18" s="1075"/>
      <c r="G18" s="1073"/>
      <c r="H18" s="1074"/>
      <c r="I18" s="1074">
        <v>94</v>
      </c>
      <c r="J18" s="1075">
        <v>94</v>
      </c>
      <c r="K18" s="1073">
        <v>0</v>
      </c>
      <c r="L18" s="1074">
        <v>57</v>
      </c>
      <c r="M18" s="1074">
        <v>66</v>
      </c>
      <c r="N18" s="1076">
        <f>SUM(K18:M18)</f>
        <v>123</v>
      </c>
      <c r="O18" s="1074"/>
      <c r="P18" s="1074">
        <v>72</v>
      </c>
      <c r="Q18" s="1074"/>
      <c r="R18" s="1076">
        <v>72</v>
      </c>
      <c r="S18" s="1074"/>
      <c r="T18" s="1074">
        <v>78</v>
      </c>
      <c r="U18" s="1074">
        <v>29</v>
      </c>
      <c r="V18" s="1076">
        <v>107</v>
      </c>
      <c r="W18" s="1074"/>
      <c r="X18" s="1074"/>
      <c r="Y18" s="1074">
        <f t="shared" ref="W18:AD20" si="8">Y6+Y10+Y14</f>
        <v>127</v>
      </c>
      <c r="Z18" s="1077">
        <f t="shared" si="8"/>
        <v>127</v>
      </c>
      <c r="AA18" s="1074"/>
      <c r="AB18" s="1074"/>
      <c r="AC18" s="1074">
        <f t="shared" si="8"/>
        <v>170</v>
      </c>
      <c r="AD18" s="1076">
        <f t="shared" si="8"/>
        <v>170</v>
      </c>
      <c r="AE18" s="1074"/>
      <c r="AF18" s="1074"/>
      <c r="AG18" s="1074">
        <f>AG6+AG10+AG14</f>
        <v>261</v>
      </c>
      <c r="AH18" s="1076">
        <f>AH6+AH10+AH14</f>
        <v>261</v>
      </c>
      <c r="AI18" s="1074"/>
      <c r="AJ18" s="1074"/>
      <c r="AK18" s="1074"/>
      <c r="AL18" s="1076">
        <f t="shared" ref="AK18:AL20" si="9">AL6+AL10+AL14</f>
        <v>79</v>
      </c>
      <c r="AM18" s="1074"/>
      <c r="AN18" s="1074"/>
      <c r="AO18" s="1074">
        <f t="shared" ref="AO18:AP20" si="10">AO6+AO10+AO14</f>
        <v>223</v>
      </c>
      <c r="AP18" s="1076">
        <f t="shared" si="10"/>
        <v>223</v>
      </c>
      <c r="AQ18" s="1074"/>
      <c r="AR18" s="1074"/>
      <c r="AS18" s="1074">
        <f t="shared" ref="AS18:AW20" si="11">AS6+AS10+AS14</f>
        <v>0</v>
      </c>
      <c r="AT18" s="1076">
        <f t="shared" si="11"/>
        <v>83</v>
      </c>
      <c r="AU18" s="1080">
        <f t="shared" si="11"/>
        <v>0</v>
      </c>
      <c r="AV18" s="1080">
        <f t="shared" si="11"/>
        <v>0</v>
      </c>
      <c r="AW18" s="1080">
        <f t="shared" si="11"/>
        <v>173</v>
      </c>
      <c r="AX18" s="1076">
        <f>AX6+AX10+AX14</f>
        <v>173</v>
      </c>
      <c r="AY18" s="1080">
        <f t="shared" ref="AY18:BA18" si="12">AY6+AY10+AY14</f>
        <v>1</v>
      </c>
      <c r="AZ18" s="1080">
        <f t="shared" si="12"/>
        <v>0</v>
      </c>
      <c r="BA18" s="1080">
        <f t="shared" si="12"/>
        <v>58</v>
      </c>
      <c r="BB18" s="1076">
        <f>BB6+BB10+BB14</f>
        <v>59</v>
      </c>
    </row>
    <row r="19" spans="1:54" s="216" customFormat="1" ht="15" x14ac:dyDescent="0.2">
      <c r="A19" s="5201"/>
      <c r="B19" s="1072" t="s">
        <v>632</v>
      </c>
      <c r="C19" s="1073"/>
      <c r="D19" s="1074"/>
      <c r="E19" s="1074"/>
      <c r="F19" s="1075"/>
      <c r="G19" s="1073"/>
      <c r="H19" s="1074"/>
      <c r="I19" s="1074">
        <v>106</v>
      </c>
      <c r="J19" s="1075">
        <v>106</v>
      </c>
      <c r="K19" s="1073">
        <v>20</v>
      </c>
      <c r="L19" s="1074">
        <v>62</v>
      </c>
      <c r="M19" s="1074">
        <v>175</v>
      </c>
      <c r="N19" s="1076">
        <f>SUM(K19:M19)</f>
        <v>257</v>
      </c>
      <c r="O19" s="1074">
        <v>50</v>
      </c>
      <c r="P19" s="1074">
        <v>52</v>
      </c>
      <c r="Q19" s="1074">
        <v>64</v>
      </c>
      <c r="R19" s="1076">
        <v>166</v>
      </c>
      <c r="S19" s="1074">
        <v>6</v>
      </c>
      <c r="T19" s="1074">
        <v>46</v>
      </c>
      <c r="U19" s="1074">
        <v>156</v>
      </c>
      <c r="V19" s="1076">
        <v>208</v>
      </c>
      <c r="W19" s="1074">
        <f t="shared" si="8"/>
        <v>100</v>
      </c>
      <c r="X19" s="1074"/>
      <c r="Y19" s="1074">
        <f t="shared" si="8"/>
        <v>98</v>
      </c>
      <c r="Z19" s="1077">
        <f t="shared" si="8"/>
        <v>198</v>
      </c>
      <c r="AA19" s="1074">
        <f t="shared" si="8"/>
        <v>23</v>
      </c>
      <c r="AB19" s="1074"/>
      <c r="AC19" s="1074">
        <f t="shared" si="8"/>
        <v>296</v>
      </c>
      <c r="AD19" s="1076">
        <f t="shared" si="8"/>
        <v>319</v>
      </c>
      <c r="AE19" s="1074">
        <f>SUM(AE7,AE11,AE15)</f>
        <v>34</v>
      </c>
      <c r="AF19" s="1074">
        <f t="shared" ref="AF19:AH20" si="13">AF7+AF11+AF15</f>
        <v>1</v>
      </c>
      <c r="AG19" s="1074">
        <f t="shared" si="13"/>
        <v>103</v>
      </c>
      <c r="AH19" s="1076">
        <f t="shared" si="13"/>
        <v>138</v>
      </c>
      <c r="AI19" s="1074">
        <f>SUM(AI7,AI11,AI15)</f>
        <v>19</v>
      </c>
      <c r="AJ19" s="1074">
        <f>SUM(AJ7,AJ11,AJ15)</f>
        <v>377</v>
      </c>
      <c r="AK19" s="1074">
        <f t="shared" si="9"/>
        <v>59</v>
      </c>
      <c r="AL19" s="1076">
        <f t="shared" si="9"/>
        <v>455</v>
      </c>
      <c r="AM19" s="1074">
        <f>SUM(AM7,AM11,AM15)</f>
        <v>23</v>
      </c>
      <c r="AN19" s="1074">
        <f>SUM(AN7,AN11,AN15)</f>
        <v>7</v>
      </c>
      <c r="AO19" s="1074">
        <f t="shared" si="10"/>
        <v>76</v>
      </c>
      <c r="AP19" s="1076">
        <f t="shared" si="10"/>
        <v>106</v>
      </c>
      <c r="AQ19" s="1074">
        <f>SUM(AQ7,AQ11,AQ15)</f>
        <v>28</v>
      </c>
      <c r="AR19" s="1074">
        <f>SUM(AR13)</f>
        <v>205</v>
      </c>
      <c r="AS19" s="1074">
        <f t="shared" si="11"/>
        <v>174</v>
      </c>
      <c r="AT19" s="1076">
        <f t="shared" si="11"/>
        <v>324</v>
      </c>
      <c r="AU19" s="1080">
        <f t="shared" si="11"/>
        <v>125</v>
      </c>
      <c r="AV19" s="1080">
        <f t="shared" si="11"/>
        <v>0</v>
      </c>
      <c r="AW19" s="1080">
        <f t="shared" si="11"/>
        <v>241</v>
      </c>
      <c r="AX19" s="1076">
        <f>AX7+AX11+AX15</f>
        <v>366</v>
      </c>
      <c r="AY19" s="1080">
        <f t="shared" ref="AY19:BA19" si="14">AY7+AY11+AY15</f>
        <v>33</v>
      </c>
      <c r="AZ19" s="1080">
        <f t="shared" si="14"/>
        <v>67</v>
      </c>
      <c r="BA19" s="1080">
        <f t="shared" si="14"/>
        <v>295</v>
      </c>
      <c r="BB19" s="1076">
        <f>BB7+BB11+BB15</f>
        <v>395</v>
      </c>
    </row>
    <row r="20" spans="1:54" s="216" customFormat="1" ht="15" x14ac:dyDescent="0.2">
      <c r="A20" s="5201"/>
      <c r="B20" s="1078" t="s">
        <v>633</v>
      </c>
      <c r="C20" s="1079"/>
      <c r="D20" s="1080"/>
      <c r="E20" s="1080"/>
      <c r="F20" s="1081"/>
      <c r="G20" s="1079"/>
      <c r="H20" s="1080"/>
      <c r="I20" s="1080"/>
      <c r="J20" s="1081"/>
      <c r="K20" s="1079">
        <v>33</v>
      </c>
      <c r="L20" s="1080">
        <v>18</v>
      </c>
      <c r="M20" s="1080">
        <v>2</v>
      </c>
      <c r="N20" s="1076">
        <f>SUM(K20:M20)</f>
        <v>53</v>
      </c>
      <c r="O20" s="1080">
        <v>10</v>
      </c>
      <c r="P20" s="1080">
        <v>22</v>
      </c>
      <c r="Q20" s="1080">
        <v>5</v>
      </c>
      <c r="R20" s="1082">
        <v>37</v>
      </c>
      <c r="S20" s="1080">
        <v>6</v>
      </c>
      <c r="T20" s="1080">
        <v>28</v>
      </c>
      <c r="U20" s="1080">
        <v>29</v>
      </c>
      <c r="V20" s="1082">
        <v>63</v>
      </c>
      <c r="W20" s="1080"/>
      <c r="X20" s="1080">
        <f t="shared" si="8"/>
        <v>7</v>
      </c>
      <c r="Y20" s="1080">
        <f t="shared" si="8"/>
        <v>28</v>
      </c>
      <c r="Z20" s="1083">
        <f t="shared" si="8"/>
        <v>35</v>
      </c>
      <c r="AA20" s="1080">
        <f t="shared" si="8"/>
        <v>2</v>
      </c>
      <c r="AB20" s="1080"/>
      <c r="AC20" s="1080">
        <f t="shared" si="8"/>
        <v>38</v>
      </c>
      <c r="AD20" s="1082">
        <f t="shared" si="8"/>
        <v>40</v>
      </c>
      <c r="AE20" s="1080">
        <f>AE8+AE12+AE16</f>
        <v>2</v>
      </c>
      <c r="AF20" s="1080">
        <f t="shared" si="13"/>
        <v>51</v>
      </c>
      <c r="AG20" s="1080">
        <f t="shared" si="13"/>
        <v>75</v>
      </c>
      <c r="AH20" s="1082">
        <f t="shared" si="13"/>
        <v>128</v>
      </c>
      <c r="AI20" s="1080">
        <f>AI8+AI12+AI16</f>
        <v>3</v>
      </c>
      <c r="AJ20" s="1080">
        <f>SUM(AJ8,AJ12,AJ16)</f>
        <v>24</v>
      </c>
      <c r="AK20" s="1080">
        <f t="shared" si="9"/>
        <v>95</v>
      </c>
      <c r="AL20" s="1082">
        <f t="shared" si="9"/>
        <v>122</v>
      </c>
      <c r="AM20" s="1080">
        <f>AM8+AM12+AM16</f>
        <v>1</v>
      </c>
      <c r="AN20" s="1080"/>
      <c r="AO20" s="1080">
        <f t="shared" si="10"/>
        <v>42</v>
      </c>
      <c r="AP20" s="1082">
        <f t="shared" si="10"/>
        <v>43</v>
      </c>
      <c r="AQ20" s="1080">
        <f>AQ8+AQ12+AQ16</f>
        <v>6</v>
      </c>
      <c r="AR20" s="1080"/>
      <c r="AS20" s="1080">
        <f t="shared" si="11"/>
        <v>45</v>
      </c>
      <c r="AT20" s="1082">
        <f t="shared" si="11"/>
        <v>51</v>
      </c>
      <c r="AU20" s="1080">
        <f>AU8+AU12+AU16</f>
        <v>5</v>
      </c>
      <c r="AV20" s="1080">
        <f>AV8+AV12+AV16</f>
        <v>6</v>
      </c>
      <c r="AW20" s="1080">
        <f>AW8+AW12+AW16</f>
        <v>132</v>
      </c>
      <c r="AX20" s="1082">
        <f>AX8+AX12+AX16</f>
        <v>143</v>
      </c>
      <c r="AY20" s="1080">
        <f>AY8+AY12+AY16</f>
        <v>18</v>
      </c>
      <c r="AZ20" s="1080">
        <f>AZ8+AZ12+AZ16</f>
        <v>6</v>
      </c>
      <c r="BA20" s="1080">
        <f>BA8+BA12+BA16</f>
        <v>43</v>
      </c>
      <c r="BB20" s="1082">
        <f>BB8+BB12+BB16</f>
        <v>67</v>
      </c>
    </row>
    <row r="21" spans="1:54" s="222" customFormat="1" ht="15" x14ac:dyDescent="0.2">
      <c r="A21" s="5472"/>
      <c r="B21" s="2611" t="s">
        <v>12</v>
      </c>
      <c r="C21" s="2612"/>
      <c r="D21" s="2613"/>
      <c r="E21" s="2613"/>
      <c r="F21" s="2613"/>
      <c r="G21" s="2612"/>
      <c r="H21" s="2613"/>
      <c r="I21" s="2613">
        <v>200</v>
      </c>
      <c r="J21" s="2613">
        <v>200</v>
      </c>
      <c r="K21" s="2612">
        <v>53</v>
      </c>
      <c r="L21" s="2613">
        <v>137</v>
      </c>
      <c r="M21" s="2613">
        <v>243</v>
      </c>
      <c r="N21" s="2614">
        <f>SUM(N18:N20)</f>
        <v>433</v>
      </c>
      <c r="O21" s="2613">
        <v>60</v>
      </c>
      <c r="P21" s="2613">
        <v>146</v>
      </c>
      <c r="Q21" s="2613">
        <v>69</v>
      </c>
      <c r="R21" s="2614">
        <v>275</v>
      </c>
      <c r="S21" s="2613">
        <v>12</v>
      </c>
      <c r="T21" s="2613">
        <v>152</v>
      </c>
      <c r="U21" s="2613">
        <v>214</v>
      </c>
      <c r="V21" s="2614">
        <v>378</v>
      </c>
      <c r="W21" s="2613">
        <f t="shared" ref="W21:AD21" si="15">SUM(W18:W20)</f>
        <v>100</v>
      </c>
      <c r="X21" s="2613">
        <f t="shared" si="15"/>
        <v>7</v>
      </c>
      <c r="Y21" s="2613">
        <f t="shared" si="15"/>
        <v>253</v>
      </c>
      <c r="Z21" s="2614">
        <f t="shared" si="15"/>
        <v>360</v>
      </c>
      <c r="AA21" s="2613">
        <f t="shared" si="15"/>
        <v>25</v>
      </c>
      <c r="AB21" s="2613"/>
      <c r="AC21" s="2613">
        <f t="shared" si="15"/>
        <v>504</v>
      </c>
      <c r="AD21" s="2614">
        <f t="shared" si="15"/>
        <v>529</v>
      </c>
      <c r="AE21" s="2613">
        <f t="shared" ref="AE21:AL21" si="16">SUM(AE18:AE20)</f>
        <v>36</v>
      </c>
      <c r="AF21" s="2613">
        <f t="shared" si="16"/>
        <v>52</v>
      </c>
      <c r="AG21" s="2613">
        <f t="shared" si="16"/>
        <v>439</v>
      </c>
      <c r="AH21" s="2614">
        <f t="shared" si="16"/>
        <v>527</v>
      </c>
      <c r="AI21" s="2612">
        <f t="shared" si="16"/>
        <v>22</v>
      </c>
      <c r="AJ21" s="2613">
        <f>SUM(AJ18:AJ20)</f>
        <v>401</v>
      </c>
      <c r="AK21" s="2613">
        <f t="shared" si="16"/>
        <v>154</v>
      </c>
      <c r="AL21" s="2614">
        <f t="shared" si="16"/>
        <v>656</v>
      </c>
      <c r="AM21" s="2612">
        <f t="shared" ref="AM21:AT21" si="17">SUM(AM18:AM20)</f>
        <v>24</v>
      </c>
      <c r="AN21" s="2613">
        <f t="shared" si="17"/>
        <v>7</v>
      </c>
      <c r="AO21" s="2613">
        <f t="shared" si="17"/>
        <v>341</v>
      </c>
      <c r="AP21" s="2614">
        <f t="shared" si="17"/>
        <v>372</v>
      </c>
      <c r="AQ21" s="2612">
        <f t="shared" si="17"/>
        <v>34</v>
      </c>
      <c r="AR21" s="2613">
        <f t="shared" si="17"/>
        <v>205</v>
      </c>
      <c r="AS21" s="2613">
        <f t="shared" si="17"/>
        <v>219</v>
      </c>
      <c r="AT21" s="2614">
        <f t="shared" si="17"/>
        <v>458</v>
      </c>
      <c r="AU21" s="2612">
        <f>SUM(AU18:AU20)</f>
        <v>130</v>
      </c>
      <c r="AV21" s="2613">
        <f>SUM(AV9,AV13,AV17)</f>
        <v>6</v>
      </c>
      <c r="AW21" s="2613">
        <f>SUM(AW18:AW20)</f>
        <v>546</v>
      </c>
      <c r="AX21" s="2614">
        <f>SUM(AX18:AX20)</f>
        <v>682</v>
      </c>
      <c r="AY21" s="2612">
        <f>SUM(AY18:AY20)</f>
        <v>52</v>
      </c>
      <c r="AZ21" s="2613">
        <f>SUM(AZ9,AZ13,AZ17)</f>
        <v>73</v>
      </c>
      <c r="BA21" s="2613">
        <f>SUM(BA18:BA20)</f>
        <v>396</v>
      </c>
      <c r="BB21" s="2614">
        <f>SUM(BB18:BB20)</f>
        <v>521</v>
      </c>
    </row>
    <row r="22" spans="1:54" s="222" customFormat="1" ht="15" x14ac:dyDescent="0.2">
      <c r="A22" s="936"/>
      <c r="B22" s="936"/>
      <c r="C22" s="1084"/>
      <c r="D22" s="1084"/>
      <c r="E22" s="1084"/>
      <c r="F22" s="1084"/>
      <c r="G22" s="1084"/>
      <c r="H22" s="1084"/>
      <c r="I22" s="1084"/>
      <c r="J22" s="1084"/>
      <c r="K22" s="1084"/>
      <c r="L22" s="1084"/>
      <c r="M22" s="1084"/>
      <c r="N22" s="1084"/>
      <c r="O22" s="1084"/>
      <c r="P22" s="1084"/>
      <c r="Q22" s="1084"/>
      <c r="R22" s="1084"/>
      <c r="S22" s="1084"/>
      <c r="T22" s="1084"/>
      <c r="U22" s="1084"/>
      <c r="V22" s="1084"/>
      <c r="W22" s="1084"/>
      <c r="X22" s="1084"/>
      <c r="Y22" s="1084"/>
      <c r="Z22" s="1084"/>
      <c r="AA22" s="1084"/>
      <c r="AB22" s="1084"/>
      <c r="AC22" s="1084"/>
      <c r="AD22" s="1084"/>
      <c r="AE22" s="1084"/>
      <c r="AF22" s="1084"/>
      <c r="AG22" s="1084"/>
      <c r="AH22" s="1084"/>
      <c r="AI22" s="1084"/>
      <c r="AJ22" s="1084"/>
      <c r="AK22" s="1084"/>
      <c r="AL22" s="1084"/>
      <c r="AM22" s="1084"/>
      <c r="AN22" s="1084"/>
      <c r="AO22" s="1084"/>
      <c r="AP22" s="1084"/>
      <c r="AQ22" s="1084"/>
      <c r="AR22" s="1084"/>
      <c r="AS22" s="1084"/>
      <c r="AT22" s="1084"/>
      <c r="AU22" s="1084"/>
      <c r="AV22" s="1084"/>
      <c r="AW22" s="1084"/>
      <c r="AX22" s="1084"/>
      <c r="AY22" s="1084"/>
      <c r="AZ22" s="1084"/>
      <c r="BA22" s="1084"/>
      <c r="BB22" s="1084"/>
    </row>
    <row r="23" spans="1:54" s="222" customFormat="1" ht="15" x14ac:dyDescent="0.2">
      <c r="A23" s="5483" t="s">
        <v>6</v>
      </c>
      <c r="B23" s="1067" t="s">
        <v>631</v>
      </c>
      <c r="C23" s="711"/>
      <c r="D23" s="500"/>
      <c r="E23" s="500"/>
      <c r="F23" s="501"/>
      <c r="G23" s="500"/>
      <c r="H23" s="500"/>
      <c r="I23" s="500"/>
      <c r="J23" s="500"/>
      <c r="K23" s="711"/>
      <c r="L23" s="500"/>
      <c r="M23" s="500"/>
      <c r="N23" s="501"/>
      <c r="O23" s="471"/>
      <c r="P23" s="471"/>
      <c r="Q23" s="471"/>
      <c r="R23" s="501"/>
      <c r="S23" s="471"/>
      <c r="T23" s="471"/>
      <c r="U23" s="471"/>
      <c r="V23" s="501"/>
      <c r="W23" s="471"/>
      <c r="X23" s="471"/>
      <c r="Y23" s="471"/>
      <c r="Z23" s="501"/>
      <c r="AA23" s="471"/>
      <c r="AB23" s="471"/>
      <c r="AC23" s="471"/>
      <c r="AD23" s="501"/>
      <c r="AE23" s="471"/>
      <c r="AF23" s="471"/>
      <c r="AG23" s="471"/>
      <c r="AH23" s="501"/>
      <c r="AI23" s="1069"/>
      <c r="AJ23" s="1069"/>
      <c r="AK23" s="1069"/>
      <c r="AL23" s="1071"/>
      <c r="AM23" s="1069"/>
      <c r="AN23" s="1069"/>
      <c r="AO23" s="1069"/>
      <c r="AP23" s="1071"/>
      <c r="AQ23" s="1069"/>
      <c r="AR23" s="1069"/>
      <c r="AS23" s="1069"/>
      <c r="AT23" s="1071"/>
      <c r="AU23" s="1069"/>
      <c r="AV23" s="1069"/>
      <c r="AW23" s="1069"/>
      <c r="AX23" s="1071"/>
      <c r="AY23" s="1069"/>
      <c r="AZ23" s="1069"/>
      <c r="BA23" s="1069"/>
      <c r="BB23" s="1071"/>
    </row>
    <row r="24" spans="1:54" s="222" customFormat="1" ht="15" x14ac:dyDescent="0.2">
      <c r="A24" s="5484"/>
      <c r="B24" s="1072" t="s">
        <v>632</v>
      </c>
      <c r="C24" s="712"/>
      <c r="D24" s="506"/>
      <c r="E24" s="506"/>
      <c r="F24" s="507"/>
      <c r="G24" s="506"/>
      <c r="H24" s="506"/>
      <c r="I24" s="506"/>
      <c r="J24" s="506"/>
      <c r="K24" s="712"/>
      <c r="L24" s="506"/>
      <c r="M24" s="506"/>
      <c r="N24" s="507"/>
      <c r="O24" s="474"/>
      <c r="P24" s="474"/>
      <c r="Q24" s="474"/>
      <c r="R24" s="507"/>
      <c r="S24" s="474"/>
      <c r="T24" s="474"/>
      <c r="U24" s="474"/>
      <c r="V24" s="507"/>
      <c r="W24" s="474"/>
      <c r="X24" s="474"/>
      <c r="Y24" s="474"/>
      <c r="Z24" s="507"/>
      <c r="AA24" s="474"/>
      <c r="AB24" s="474"/>
      <c r="AC24" s="474"/>
      <c r="AD24" s="507"/>
      <c r="AE24" s="474"/>
      <c r="AF24" s="474"/>
      <c r="AG24" s="474"/>
      <c r="AH24" s="507"/>
      <c r="AI24" s="1074">
        <v>105</v>
      </c>
      <c r="AJ24" s="1074"/>
      <c r="AK24" s="1074"/>
      <c r="AL24" s="1076">
        <f>SUM(AI24:AK24)</f>
        <v>105</v>
      </c>
      <c r="AM24" s="1074">
        <v>108</v>
      </c>
      <c r="AN24" s="1074"/>
      <c r="AO24" s="1074"/>
      <c r="AP24" s="1076">
        <f>SUM(AM24:AO24)</f>
        <v>108</v>
      </c>
      <c r="AQ24" s="1074">
        <f>SUM('ASPI POSG plan'!AS119)</f>
        <v>136</v>
      </c>
      <c r="AR24" s="1074">
        <f>SUM('ASPI POSG plan'!AT119)</f>
        <v>0</v>
      </c>
      <c r="AS24" s="1074">
        <f>SUM('ASPI POSG plan'!AU119)</f>
        <v>0</v>
      </c>
      <c r="AT24" s="1076">
        <f>SUM(AQ24:AS24)</f>
        <v>136</v>
      </c>
      <c r="AU24" s="1074">
        <f>SUM('ASPI POSG plan'!AW119)</f>
        <v>0</v>
      </c>
      <c r="AV24" s="1074">
        <f>SUM('ASPI POSG plan'!AX119)</f>
        <v>0</v>
      </c>
      <c r="AW24" s="1074">
        <f>SUM('ASPI POSG plan'!AY119)</f>
        <v>152</v>
      </c>
      <c r="AX24" s="1076">
        <f>SUM(AU24:AW24)</f>
        <v>152</v>
      </c>
      <c r="AY24" s="1074">
        <f>SUM('ASPI POSG plan'!BA119)</f>
        <v>0</v>
      </c>
      <c r="AZ24" s="1074">
        <f>SUM('ASPI POSG plan'!BB119)</f>
        <v>0</v>
      </c>
      <c r="BA24" s="1074">
        <f>SUM('ASPI POSG plan'!BC119)</f>
        <v>86</v>
      </c>
      <c r="BB24" s="1076">
        <f>SUM(AY24:BA24)</f>
        <v>86</v>
      </c>
    </row>
    <row r="25" spans="1:54" s="222" customFormat="1" ht="15" x14ac:dyDescent="0.2">
      <c r="A25" s="5484"/>
      <c r="B25" s="1078" t="s">
        <v>633</v>
      </c>
      <c r="C25" s="712"/>
      <c r="D25" s="506"/>
      <c r="E25" s="506"/>
      <c r="F25" s="507"/>
      <c r="G25" s="506"/>
      <c r="H25" s="506"/>
      <c r="I25" s="506"/>
      <c r="J25" s="506"/>
      <c r="K25" s="712"/>
      <c r="L25" s="506"/>
      <c r="M25" s="506"/>
      <c r="N25" s="507"/>
      <c r="O25" s="474"/>
      <c r="P25" s="474"/>
      <c r="Q25" s="474"/>
      <c r="R25" s="507"/>
      <c r="S25" s="474"/>
      <c r="T25" s="474"/>
      <c r="U25" s="474"/>
      <c r="V25" s="507"/>
      <c r="W25" s="474"/>
      <c r="X25" s="474"/>
      <c r="Y25" s="474"/>
      <c r="Z25" s="507"/>
      <c r="AA25" s="474"/>
      <c r="AB25" s="474"/>
      <c r="AC25" s="474"/>
      <c r="AD25" s="507"/>
      <c r="AE25" s="474"/>
      <c r="AF25" s="474"/>
      <c r="AG25" s="474"/>
      <c r="AH25" s="507"/>
      <c r="AI25" s="1080">
        <v>66</v>
      </c>
      <c r="AJ25" s="1080"/>
      <c r="AK25" s="1080"/>
      <c r="AL25" s="1082">
        <f>SUM(AI25:AK25)</f>
        <v>66</v>
      </c>
      <c r="AM25" s="1080">
        <v>63</v>
      </c>
      <c r="AN25" s="1080"/>
      <c r="AO25" s="1080"/>
      <c r="AP25" s="1082">
        <f>SUM(AM25:AO25)</f>
        <v>63</v>
      </c>
      <c r="AQ25" s="1080">
        <f>SUM('ASPI POSG plan'!AS120)</f>
        <v>0</v>
      </c>
      <c r="AR25" s="1080">
        <f>SUM('ASPI POSG plan'!AT120)</f>
        <v>0</v>
      </c>
      <c r="AS25" s="1080">
        <f>SUM('ASPI POSG plan'!AU120)</f>
        <v>124</v>
      </c>
      <c r="AT25" s="1082">
        <f>SUM(AQ25:AS25)</f>
        <v>124</v>
      </c>
      <c r="AU25" s="1080">
        <f>SUM('ASPI POSG plan'!AW120)</f>
        <v>0</v>
      </c>
      <c r="AV25" s="1080">
        <f>SUM('ASPI POSG plan'!AX120)</f>
        <v>0</v>
      </c>
      <c r="AW25" s="1080">
        <f>SUM('ASPI POSG plan'!AY120)</f>
        <v>84</v>
      </c>
      <c r="AX25" s="1082">
        <f>SUM(AU25:AW25)</f>
        <v>84</v>
      </c>
      <c r="AY25" s="1080">
        <f>SUM('ASPI POSG plan'!BA120)</f>
        <v>0</v>
      </c>
      <c r="AZ25" s="1080">
        <f>SUM('ASPI POSG plan'!BB120)</f>
        <v>0</v>
      </c>
      <c r="BA25" s="1080">
        <f>SUM('ASPI POSG plan'!BC120)</f>
        <v>48</v>
      </c>
      <c r="BB25" s="1082">
        <f>SUM(AY25:BA25)</f>
        <v>48</v>
      </c>
    </row>
    <row r="26" spans="1:54" s="222" customFormat="1" ht="15" x14ac:dyDescent="0.2">
      <c r="A26" s="5485"/>
      <c r="B26" s="583" t="s">
        <v>14</v>
      </c>
      <c r="C26" s="584"/>
      <c r="D26" s="585"/>
      <c r="E26" s="585"/>
      <c r="F26" s="586"/>
      <c r="G26" s="585"/>
      <c r="H26" s="585"/>
      <c r="I26" s="585"/>
      <c r="J26" s="585"/>
      <c r="K26" s="584"/>
      <c r="L26" s="585"/>
      <c r="M26" s="585"/>
      <c r="N26" s="586"/>
      <c r="O26" s="585"/>
      <c r="P26" s="585"/>
      <c r="Q26" s="585"/>
      <c r="R26" s="586"/>
      <c r="S26" s="585"/>
      <c r="T26" s="585"/>
      <c r="U26" s="585"/>
      <c r="V26" s="586"/>
      <c r="W26" s="585"/>
      <c r="X26" s="585"/>
      <c r="Y26" s="585"/>
      <c r="Z26" s="586"/>
      <c r="AA26" s="585"/>
      <c r="AB26" s="585"/>
      <c r="AC26" s="585"/>
      <c r="AD26" s="586"/>
      <c r="AE26" s="585"/>
      <c r="AF26" s="585"/>
      <c r="AG26" s="585"/>
      <c r="AH26" s="586"/>
      <c r="AI26" s="585">
        <f>SUM(AI23:AI25)</f>
        <v>171</v>
      </c>
      <c r="AJ26" s="585"/>
      <c r="AK26" s="585"/>
      <c r="AL26" s="586">
        <f>SUM(AI26:AK26)</f>
        <v>171</v>
      </c>
      <c r="AM26" s="585">
        <f>SUM(AM23:AM25)</f>
        <v>171</v>
      </c>
      <c r="AN26" s="585"/>
      <c r="AO26" s="585"/>
      <c r="AP26" s="586">
        <f>SUM(AM26:AO26)</f>
        <v>171</v>
      </c>
      <c r="AQ26" s="585">
        <f>SUM(AQ23:AQ25)</f>
        <v>136</v>
      </c>
      <c r="AR26" s="585">
        <f>SUM(AR24:AR25)</f>
        <v>0</v>
      </c>
      <c r="AS26" s="585">
        <f>SUM(AS24:AS25)</f>
        <v>124</v>
      </c>
      <c r="AT26" s="586">
        <f>SUM(AQ26:AS26)</f>
        <v>260</v>
      </c>
      <c r="AU26" s="585">
        <f>SUM(AU23:AU25)</f>
        <v>0</v>
      </c>
      <c r="AV26" s="585">
        <f>SUM(AV24:AV25)</f>
        <v>0</v>
      </c>
      <c r="AW26" s="585">
        <f>SUM(AW24:AW25)</f>
        <v>236</v>
      </c>
      <c r="AX26" s="586">
        <f>SUM(AU26:AW26)</f>
        <v>236</v>
      </c>
      <c r="AY26" s="585">
        <f>SUM(AY23:AY25)</f>
        <v>0</v>
      </c>
      <c r="AZ26" s="585">
        <f>SUM(AZ24:AZ25)</f>
        <v>0</v>
      </c>
      <c r="BA26" s="585">
        <f>SUM(BA24:BA25)</f>
        <v>134</v>
      </c>
      <c r="BB26" s="586">
        <f>SUM(AY26:BA26)</f>
        <v>134</v>
      </c>
    </row>
    <row r="27" spans="1:54" s="222" customFormat="1" ht="14.25" customHeight="1" x14ac:dyDescent="0.2">
      <c r="A27" s="5484" t="s">
        <v>9</v>
      </c>
      <c r="B27" s="1067" t="s">
        <v>631</v>
      </c>
      <c r="C27" s="711"/>
      <c r="D27" s="500"/>
      <c r="E27" s="500"/>
      <c r="F27" s="501"/>
      <c r="G27" s="500"/>
      <c r="H27" s="500"/>
      <c r="I27" s="500"/>
      <c r="J27" s="500"/>
      <c r="K27" s="711"/>
      <c r="L27" s="500"/>
      <c r="M27" s="500"/>
      <c r="N27" s="501"/>
      <c r="O27" s="471"/>
      <c r="P27" s="471"/>
      <c r="Q27" s="471"/>
      <c r="R27" s="501"/>
      <c r="S27" s="471"/>
      <c r="T27" s="471"/>
      <c r="U27" s="471"/>
      <c r="V27" s="501"/>
      <c r="W27" s="471"/>
      <c r="X27" s="471"/>
      <c r="Y27" s="471"/>
      <c r="Z27" s="501"/>
      <c r="AA27" s="471"/>
      <c r="AB27" s="471"/>
      <c r="AC27" s="471"/>
      <c r="AD27" s="501"/>
      <c r="AE27" s="471"/>
      <c r="AF27" s="471"/>
      <c r="AG27" s="471"/>
      <c r="AH27" s="501"/>
      <c r="AI27" s="1074"/>
      <c r="AJ27" s="1074"/>
      <c r="AK27" s="1074"/>
      <c r="AL27" s="1076"/>
      <c r="AM27" s="1074"/>
      <c r="AN27" s="1074"/>
      <c r="AO27" s="1074"/>
      <c r="AP27" s="1076"/>
      <c r="AQ27" s="1074"/>
      <c r="AR27" s="1074"/>
      <c r="AS27" s="1074"/>
      <c r="AT27" s="1076"/>
      <c r="AU27" s="1074"/>
      <c r="AV27" s="1074"/>
      <c r="AW27" s="1074"/>
      <c r="AX27" s="1076"/>
      <c r="AY27" s="1074"/>
      <c r="AZ27" s="1074"/>
      <c r="BA27" s="1074"/>
      <c r="BB27" s="1076"/>
    </row>
    <row r="28" spans="1:54" s="222" customFormat="1" ht="14.25" customHeight="1" x14ac:dyDescent="0.2">
      <c r="A28" s="5484"/>
      <c r="B28" s="1072" t="s">
        <v>632</v>
      </c>
      <c r="C28" s="712"/>
      <c r="D28" s="506"/>
      <c r="E28" s="506"/>
      <c r="F28" s="507"/>
      <c r="G28" s="506"/>
      <c r="H28" s="506"/>
      <c r="I28" s="506"/>
      <c r="J28" s="506"/>
      <c r="K28" s="712"/>
      <c r="L28" s="506"/>
      <c r="M28" s="506"/>
      <c r="N28" s="507"/>
      <c r="O28" s="474"/>
      <c r="P28" s="474"/>
      <c r="Q28" s="474"/>
      <c r="R28" s="507"/>
      <c r="S28" s="474"/>
      <c r="T28" s="474"/>
      <c r="U28" s="474"/>
      <c r="V28" s="507"/>
      <c r="W28" s="474"/>
      <c r="X28" s="474"/>
      <c r="Y28" s="474"/>
      <c r="Z28" s="507"/>
      <c r="AA28" s="474"/>
      <c r="AB28" s="474"/>
      <c r="AC28" s="474"/>
      <c r="AD28" s="507"/>
      <c r="AE28" s="474"/>
      <c r="AF28" s="474"/>
      <c r="AG28" s="474"/>
      <c r="AH28" s="507"/>
      <c r="AI28" s="1074"/>
      <c r="AJ28" s="1074"/>
      <c r="AK28" s="1074"/>
      <c r="AL28" s="1076"/>
      <c r="AM28" s="1074"/>
      <c r="AN28" s="1074"/>
      <c r="AO28" s="1074">
        <v>27</v>
      </c>
      <c r="AP28" s="1076">
        <f>SUM(AM28:AO28)</f>
        <v>27</v>
      </c>
      <c r="AQ28" s="1074">
        <f>SUM('ASPI POSG plan'!AS122)</f>
        <v>37</v>
      </c>
      <c r="AR28" s="1074"/>
      <c r="AS28" s="1074"/>
      <c r="AT28" s="1076">
        <f>SUM(AQ28:AS28)</f>
        <v>37</v>
      </c>
      <c r="AU28" s="1074">
        <f>SUM('ASPI POSG plan'!AW122)</f>
        <v>0</v>
      </c>
      <c r="AV28" s="1074">
        <f>SUM('ASPI POSG plan'!AX122)</f>
        <v>0</v>
      </c>
      <c r="AW28" s="1074">
        <f>SUM('ASPI POSG plan'!AY122)</f>
        <v>61</v>
      </c>
      <c r="AX28" s="1076">
        <f>SUM(AU28:AW28)</f>
        <v>61</v>
      </c>
      <c r="AY28" s="1074">
        <f>SUM('ASPI POSG plan'!BA122)</f>
        <v>0</v>
      </c>
      <c r="AZ28" s="1074">
        <f>SUM('ASPI POSG plan'!BB122)</f>
        <v>0</v>
      </c>
      <c r="BA28" s="1074">
        <f>SUM('ASPI POSG plan'!BC122)</f>
        <v>44</v>
      </c>
      <c r="BB28" s="1076">
        <f>SUM(AY28:BA28)</f>
        <v>44</v>
      </c>
    </row>
    <row r="29" spans="1:54" s="222" customFormat="1" ht="14.25" customHeight="1" x14ac:dyDescent="0.2">
      <c r="A29" s="5484"/>
      <c r="B29" s="1078" t="s">
        <v>633</v>
      </c>
      <c r="C29" s="712"/>
      <c r="D29" s="506"/>
      <c r="E29" s="506"/>
      <c r="F29" s="507"/>
      <c r="G29" s="506"/>
      <c r="H29" s="506"/>
      <c r="I29" s="506"/>
      <c r="J29" s="506"/>
      <c r="K29" s="712"/>
      <c r="L29" s="506"/>
      <c r="M29" s="506"/>
      <c r="N29" s="507"/>
      <c r="O29" s="474"/>
      <c r="P29" s="474"/>
      <c r="Q29" s="474"/>
      <c r="R29" s="507"/>
      <c r="S29" s="474"/>
      <c r="T29" s="474"/>
      <c r="U29" s="474"/>
      <c r="V29" s="507"/>
      <c r="W29" s="474"/>
      <c r="X29" s="474"/>
      <c r="Y29" s="474"/>
      <c r="Z29" s="507"/>
      <c r="AA29" s="474"/>
      <c r="AB29" s="474"/>
      <c r="AC29" s="474"/>
      <c r="AD29" s="507"/>
      <c r="AE29" s="474"/>
      <c r="AF29" s="474"/>
      <c r="AG29" s="474"/>
      <c r="AH29" s="507"/>
      <c r="AI29" s="1080"/>
      <c r="AJ29" s="1080"/>
      <c r="AK29" s="1080"/>
      <c r="AL29" s="1082"/>
      <c r="AM29" s="1080"/>
      <c r="AN29" s="1080"/>
      <c r="AO29" s="1080"/>
      <c r="AP29" s="1082"/>
      <c r="AQ29" s="1080"/>
      <c r="AR29" s="1080"/>
      <c r="AS29" s="1080"/>
      <c r="AT29" s="1082"/>
      <c r="AU29" s="1080"/>
      <c r="AV29" s="1080"/>
      <c r="AW29" s="1080"/>
      <c r="AX29" s="1082"/>
      <c r="AY29" s="1080"/>
      <c r="AZ29" s="1080"/>
      <c r="BA29" s="1080"/>
      <c r="BB29" s="1082"/>
    </row>
    <row r="30" spans="1:54" s="222" customFormat="1" ht="14.25" customHeight="1" x14ac:dyDescent="0.2">
      <c r="A30" s="5485"/>
      <c r="B30" s="583" t="s">
        <v>420</v>
      </c>
      <c r="C30" s="584"/>
      <c r="D30" s="585"/>
      <c r="E30" s="585"/>
      <c r="F30" s="586"/>
      <c r="G30" s="585"/>
      <c r="H30" s="585"/>
      <c r="I30" s="585"/>
      <c r="J30" s="585"/>
      <c r="K30" s="584"/>
      <c r="L30" s="585"/>
      <c r="M30" s="585"/>
      <c r="N30" s="586"/>
      <c r="O30" s="585"/>
      <c r="P30" s="585"/>
      <c r="Q30" s="585"/>
      <c r="R30" s="586"/>
      <c r="S30" s="585"/>
      <c r="T30" s="585"/>
      <c r="U30" s="585"/>
      <c r="V30" s="586"/>
      <c r="W30" s="585"/>
      <c r="X30" s="585"/>
      <c r="Y30" s="585"/>
      <c r="Z30" s="586"/>
      <c r="AA30" s="585"/>
      <c r="AB30" s="585"/>
      <c r="AC30" s="585"/>
      <c r="AD30" s="586"/>
      <c r="AE30" s="585"/>
      <c r="AF30" s="585"/>
      <c r="AG30" s="585"/>
      <c r="AH30" s="586"/>
      <c r="AI30" s="585"/>
      <c r="AJ30" s="585"/>
      <c r="AK30" s="585"/>
      <c r="AL30" s="586"/>
      <c r="AM30" s="585"/>
      <c r="AN30" s="585"/>
      <c r="AO30" s="585">
        <f>SUM(AO27:AO29)</f>
        <v>27</v>
      </c>
      <c r="AP30" s="586">
        <f>SUM(AM30:AO30)</f>
        <v>27</v>
      </c>
      <c r="AQ30" s="585">
        <f>SUM(AQ28:AQ29)</f>
        <v>37</v>
      </c>
      <c r="AR30" s="585"/>
      <c r="AS30" s="585"/>
      <c r="AT30" s="586">
        <f>SUM(AQ30:AS30)</f>
        <v>37</v>
      </c>
      <c r="AU30" s="585">
        <f>SUM(AU28:AU29)</f>
        <v>0</v>
      </c>
      <c r="AV30" s="585">
        <f>SUM(AV28:AV29)</f>
        <v>0</v>
      </c>
      <c r="AW30" s="585">
        <f>SUM(AW28:AW29)</f>
        <v>61</v>
      </c>
      <c r="AX30" s="586">
        <f>SUM(AX27:AX29)</f>
        <v>61</v>
      </c>
      <c r="AY30" s="585">
        <f>SUM(AY28:AY29)</f>
        <v>0</v>
      </c>
      <c r="AZ30" s="585">
        <f>SUM(AZ28:AZ29)</f>
        <v>0</v>
      </c>
      <c r="BA30" s="585">
        <f>SUM(BA28:BA29)</f>
        <v>44</v>
      </c>
      <c r="BB30" s="586">
        <f>SUM(BB27:BB29)</f>
        <v>44</v>
      </c>
    </row>
    <row r="31" spans="1:54" s="222" customFormat="1" ht="14.25" customHeight="1" x14ac:dyDescent="0.2">
      <c r="A31" s="5484" t="s">
        <v>74</v>
      </c>
      <c r="B31" s="1067" t="s">
        <v>631</v>
      </c>
      <c r="C31" s="711"/>
      <c r="D31" s="500"/>
      <c r="E31" s="500"/>
      <c r="F31" s="501"/>
      <c r="G31" s="500"/>
      <c r="H31" s="500"/>
      <c r="I31" s="500"/>
      <c r="J31" s="500"/>
      <c r="K31" s="711"/>
      <c r="L31" s="500"/>
      <c r="M31" s="500"/>
      <c r="N31" s="501"/>
      <c r="O31" s="471"/>
      <c r="P31" s="471"/>
      <c r="Q31" s="471"/>
      <c r="R31" s="501"/>
      <c r="S31" s="471"/>
      <c r="T31" s="471"/>
      <c r="U31" s="471"/>
      <c r="V31" s="501"/>
      <c r="W31" s="471"/>
      <c r="X31" s="471"/>
      <c r="Y31" s="471"/>
      <c r="Z31" s="501"/>
      <c r="AA31" s="471"/>
      <c r="AB31" s="471"/>
      <c r="AC31" s="471"/>
      <c r="AD31" s="501"/>
      <c r="AE31" s="471"/>
      <c r="AF31" s="471"/>
      <c r="AG31" s="471"/>
      <c r="AH31" s="501"/>
      <c r="AI31" s="1074"/>
      <c r="AJ31" s="1074"/>
      <c r="AK31" s="1074"/>
      <c r="AL31" s="1076"/>
      <c r="AM31" s="1074"/>
      <c r="AN31" s="1074">
        <v>2</v>
      </c>
      <c r="AO31" s="1074">
        <v>1</v>
      </c>
      <c r="AP31" s="1076">
        <f t="shared" ref="AP31:AP38" si="18">SUM(AM31:AO31)</f>
        <v>3</v>
      </c>
      <c r="AQ31" s="1074">
        <f>SUM('ASPI POSG plan'!AS124)</f>
        <v>1</v>
      </c>
      <c r="AR31" s="1074">
        <f>SUM('ASPI POSG plan'!AT124)</f>
        <v>0</v>
      </c>
      <c r="AS31" s="1074">
        <f>SUM('ASPI POSG plan'!AU124)</f>
        <v>1</v>
      </c>
      <c r="AT31" s="1076">
        <f t="shared" ref="AT31:AT38" si="19">SUM(AQ31:AS31)</f>
        <v>2</v>
      </c>
      <c r="AU31" s="1074">
        <f>SUM('ASPI POSG plan'!AW124)</f>
        <v>2</v>
      </c>
      <c r="AV31" s="1074">
        <f>SUM('ASPI POSG plan'!AX124)</f>
        <v>0</v>
      </c>
      <c r="AW31" s="1074">
        <f>SUM('ASPI POSG plan'!AY124)</f>
        <v>2</v>
      </c>
      <c r="AX31" s="1076">
        <f t="shared" ref="AX31:AX38" si="20">SUM(AU31:AW31)</f>
        <v>4</v>
      </c>
      <c r="AY31" s="1074">
        <f>SUM('ASPI POSG plan'!BA124)</f>
        <v>2</v>
      </c>
      <c r="AZ31" s="1074">
        <f>SUM('ASPI POSG plan'!BB124)</f>
        <v>3</v>
      </c>
      <c r="BA31" s="1074">
        <f>SUM('ASPI POSG plan'!BC124)</f>
        <v>4</v>
      </c>
      <c r="BB31" s="1076">
        <f t="shared" ref="BB31:BB38" si="21">SUM(AY31:BA31)</f>
        <v>9</v>
      </c>
    </row>
    <row r="32" spans="1:54" s="222" customFormat="1" ht="14.25" customHeight="1" x14ac:dyDescent="0.2">
      <c r="A32" s="5484"/>
      <c r="B32" s="1072" t="s">
        <v>632</v>
      </c>
      <c r="C32" s="712"/>
      <c r="D32" s="506"/>
      <c r="E32" s="506"/>
      <c r="F32" s="507"/>
      <c r="G32" s="506"/>
      <c r="H32" s="506"/>
      <c r="I32" s="506"/>
      <c r="J32" s="506"/>
      <c r="K32" s="712"/>
      <c r="L32" s="506"/>
      <c r="M32" s="506"/>
      <c r="N32" s="507"/>
      <c r="O32" s="474"/>
      <c r="P32" s="474"/>
      <c r="Q32" s="474"/>
      <c r="R32" s="507"/>
      <c r="S32" s="474"/>
      <c r="T32" s="474"/>
      <c r="U32" s="474"/>
      <c r="V32" s="507"/>
      <c r="W32" s="474"/>
      <c r="X32" s="474"/>
      <c r="Y32" s="474"/>
      <c r="Z32" s="507"/>
      <c r="AA32" s="474"/>
      <c r="AB32" s="474"/>
      <c r="AC32" s="474"/>
      <c r="AD32" s="507"/>
      <c r="AE32" s="474"/>
      <c r="AF32" s="474"/>
      <c r="AG32" s="474"/>
      <c r="AH32" s="507"/>
      <c r="AI32" s="1074"/>
      <c r="AJ32" s="1074"/>
      <c r="AK32" s="1074"/>
      <c r="AL32" s="1076"/>
      <c r="AM32" s="1074"/>
      <c r="AN32" s="1074"/>
      <c r="AO32" s="1074">
        <v>15</v>
      </c>
      <c r="AP32" s="1076">
        <f t="shared" si="18"/>
        <v>15</v>
      </c>
      <c r="AQ32" s="1074">
        <f>SUM('ASPI POSG plan'!AS125)</f>
        <v>0</v>
      </c>
      <c r="AR32" s="1074">
        <f>SUM('ASPI POSG plan'!AT125)</f>
        <v>0</v>
      </c>
      <c r="AS32" s="1074">
        <f>SUM('ASPI POSG plan'!AU125)</f>
        <v>18</v>
      </c>
      <c r="AT32" s="1076">
        <f t="shared" si="19"/>
        <v>18</v>
      </c>
      <c r="AU32" s="1074">
        <f>SUM('ASPI POSG plan'!AW125)</f>
        <v>0</v>
      </c>
      <c r="AV32" s="1074">
        <f>SUM('ASPI POSG plan'!AX125)</f>
        <v>0</v>
      </c>
      <c r="AW32" s="1074">
        <f>SUM('ASPI POSG plan'!AY125)</f>
        <v>16</v>
      </c>
      <c r="AX32" s="1076">
        <f t="shared" si="20"/>
        <v>16</v>
      </c>
      <c r="AY32" s="1074">
        <f>SUM('ASPI POSG plan'!BA125)</f>
        <v>0</v>
      </c>
      <c r="AZ32" s="1074">
        <f>SUM('ASPI POSG plan'!BB125)</f>
        <v>0</v>
      </c>
      <c r="BA32" s="1074">
        <f>SUM('ASPI POSG plan'!BC125)</f>
        <v>15</v>
      </c>
      <c r="BB32" s="1076">
        <f t="shared" si="21"/>
        <v>15</v>
      </c>
    </row>
    <row r="33" spans="1:54" s="222" customFormat="1" ht="14.25" customHeight="1" x14ac:dyDescent="0.2">
      <c r="A33" s="5484"/>
      <c r="B33" s="1078" t="s">
        <v>633</v>
      </c>
      <c r="C33" s="712"/>
      <c r="D33" s="506"/>
      <c r="E33" s="506"/>
      <c r="F33" s="507"/>
      <c r="G33" s="506"/>
      <c r="H33" s="506"/>
      <c r="I33" s="506"/>
      <c r="J33" s="506"/>
      <c r="K33" s="712"/>
      <c r="L33" s="506"/>
      <c r="M33" s="506"/>
      <c r="N33" s="507"/>
      <c r="O33" s="474"/>
      <c r="P33" s="474"/>
      <c r="Q33" s="474"/>
      <c r="R33" s="507"/>
      <c r="S33" s="474"/>
      <c r="T33" s="474"/>
      <c r="U33" s="474"/>
      <c r="V33" s="507"/>
      <c r="W33" s="474"/>
      <c r="X33" s="474"/>
      <c r="Y33" s="474"/>
      <c r="Z33" s="507"/>
      <c r="AA33" s="474"/>
      <c r="AB33" s="474"/>
      <c r="AC33" s="474"/>
      <c r="AD33" s="507"/>
      <c r="AE33" s="474"/>
      <c r="AF33" s="474"/>
      <c r="AG33" s="474"/>
      <c r="AH33" s="507"/>
      <c r="AI33" s="1080"/>
      <c r="AJ33" s="1080"/>
      <c r="AK33" s="1080"/>
      <c r="AL33" s="1082"/>
      <c r="AM33" s="1080"/>
      <c r="AN33" s="1080">
        <v>8</v>
      </c>
      <c r="AO33" s="1080">
        <v>8</v>
      </c>
      <c r="AP33" s="1082">
        <f t="shared" si="18"/>
        <v>16</v>
      </c>
      <c r="AQ33" s="1074">
        <f>SUM('ASPI POSG plan'!AS126)</f>
        <v>4</v>
      </c>
      <c r="AR33" s="1074">
        <f>SUM('ASPI POSG plan'!AT126)</f>
        <v>5</v>
      </c>
      <c r="AS33" s="1074">
        <f>SUM('ASPI POSG plan'!AU126)</f>
        <v>3</v>
      </c>
      <c r="AT33" s="1082">
        <f t="shared" si="19"/>
        <v>12</v>
      </c>
      <c r="AU33" s="1074">
        <f>SUM('ASPI POSG plan'!AW126)</f>
        <v>4</v>
      </c>
      <c r="AV33" s="1074">
        <f>SUM('ASPI POSG plan'!AX126)</f>
        <v>5</v>
      </c>
      <c r="AW33" s="1074">
        <f>SUM('ASPI POSG plan'!AY126)</f>
        <v>3</v>
      </c>
      <c r="AX33" s="1082">
        <f t="shared" si="20"/>
        <v>12</v>
      </c>
      <c r="AY33" s="1074">
        <f>SUM('ASPI POSG plan'!BA126)</f>
        <v>4</v>
      </c>
      <c r="AZ33" s="1074">
        <f>SUM('ASPI POSG plan'!BB126)</f>
        <v>3</v>
      </c>
      <c r="BA33" s="1074">
        <f>SUM('ASPI POSG plan'!BC126)</f>
        <v>6</v>
      </c>
      <c r="BB33" s="1082">
        <f t="shared" si="21"/>
        <v>13</v>
      </c>
    </row>
    <row r="34" spans="1:54" s="222" customFormat="1" ht="14.25" customHeight="1" x14ac:dyDescent="0.2">
      <c r="A34" s="5485"/>
      <c r="B34" s="583" t="s">
        <v>421</v>
      </c>
      <c r="C34" s="584"/>
      <c r="D34" s="585"/>
      <c r="E34" s="585"/>
      <c r="F34" s="586"/>
      <c r="G34" s="585"/>
      <c r="H34" s="585"/>
      <c r="I34" s="585"/>
      <c r="J34" s="585"/>
      <c r="K34" s="584"/>
      <c r="L34" s="585"/>
      <c r="M34" s="585"/>
      <c r="N34" s="586"/>
      <c r="O34" s="585"/>
      <c r="P34" s="585"/>
      <c r="Q34" s="585"/>
      <c r="R34" s="586"/>
      <c r="S34" s="585"/>
      <c r="T34" s="585"/>
      <c r="U34" s="585"/>
      <c r="V34" s="586"/>
      <c r="W34" s="585"/>
      <c r="X34" s="585"/>
      <c r="Y34" s="585"/>
      <c r="Z34" s="586"/>
      <c r="AA34" s="585"/>
      <c r="AB34" s="585"/>
      <c r="AC34" s="585"/>
      <c r="AD34" s="586"/>
      <c r="AE34" s="585"/>
      <c r="AF34" s="585"/>
      <c r="AG34" s="585"/>
      <c r="AH34" s="586"/>
      <c r="AI34" s="585"/>
      <c r="AJ34" s="585"/>
      <c r="AK34" s="585"/>
      <c r="AL34" s="586"/>
      <c r="AM34" s="585"/>
      <c r="AN34" s="585">
        <f>SUM(AN31:AN33)</f>
        <v>10</v>
      </c>
      <c r="AO34" s="585">
        <f>SUM(AO31:AO33)</f>
        <v>24</v>
      </c>
      <c r="AP34" s="586">
        <f t="shared" si="18"/>
        <v>34</v>
      </c>
      <c r="AQ34" s="585">
        <f>SUM(AQ31:AQ33)</f>
        <v>5</v>
      </c>
      <c r="AR34" s="585">
        <f>SUM(AR31:AR33)</f>
        <v>5</v>
      </c>
      <c r="AS34" s="585">
        <f>SUM(AS31:AS33)</f>
        <v>22</v>
      </c>
      <c r="AT34" s="586">
        <f t="shared" si="19"/>
        <v>32</v>
      </c>
      <c r="AU34" s="585">
        <f>SUM(AU31:AU33)</f>
        <v>6</v>
      </c>
      <c r="AV34" s="585">
        <f>SUM(AV31:AV33)</f>
        <v>5</v>
      </c>
      <c r="AW34" s="585">
        <f>SUM(AW31:AW33)</f>
        <v>21</v>
      </c>
      <c r="AX34" s="586">
        <f t="shared" si="20"/>
        <v>32</v>
      </c>
      <c r="AY34" s="585">
        <f>SUM(AY31:AY33)</f>
        <v>6</v>
      </c>
      <c r="AZ34" s="585">
        <f>SUM(AZ31:AZ33)</f>
        <v>6</v>
      </c>
      <c r="BA34" s="585">
        <f>SUM(BA31:BA33)</f>
        <v>25</v>
      </c>
      <c r="BB34" s="586">
        <f t="shared" si="21"/>
        <v>37</v>
      </c>
    </row>
    <row r="35" spans="1:54" s="222" customFormat="1" ht="14.25" customHeight="1" x14ac:dyDescent="0.2">
      <c r="A35" s="5486" t="s">
        <v>695</v>
      </c>
      <c r="B35" s="1067" t="s">
        <v>631</v>
      </c>
      <c r="C35" s="711"/>
      <c r="D35" s="500"/>
      <c r="E35" s="500"/>
      <c r="F35" s="501"/>
      <c r="G35" s="500"/>
      <c r="H35" s="500"/>
      <c r="I35" s="500"/>
      <c r="J35" s="500"/>
      <c r="K35" s="711"/>
      <c r="L35" s="500"/>
      <c r="M35" s="500"/>
      <c r="N35" s="501"/>
      <c r="O35" s="471"/>
      <c r="P35" s="471"/>
      <c r="Q35" s="471"/>
      <c r="R35" s="501"/>
      <c r="S35" s="471"/>
      <c r="T35" s="471"/>
      <c r="U35" s="471"/>
      <c r="V35" s="501"/>
      <c r="W35" s="471"/>
      <c r="X35" s="471"/>
      <c r="Y35" s="471"/>
      <c r="Z35" s="501"/>
      <c r="AA35" s="471"/>
      <c r="AB35" s="471"/>
      <c r="AC35" s="471"/>
      <c r="AD35" s="501"/>
      <c r="AE35" s="471"/>
      <c r="AF35" s="471"/>
      <c r="AG35" s="471"/>
      <c r="AH35" s="501"/>
      <c r="AI35" s="1074"/>
      <c r="AJ35" s="1074"/>
      <c r="AK35" s="1074"/>
      <c r="AL35" s="1076"/>
      <c r="AM35" s="1074">
        <f>SUM(AM23,AM27,AM31)</f>
        <v>0</v>
      </c>
      <c r="AN35" s="1074">
        <f>SUM(AN23,AN27,AN31)</f>
        <v>2</v>
      </c>
      <c r="AO35" s="1074">
        <f>SUM(AO23,AO27,AO31)</f>
        <v>1</v>
      </c>
      <c r="AP35" s="1076">
        <f t="shared" si="18"/>
        <v>3</v>
      </c>
      <c r="AQ35" s="1074">
        <f>SUM(AQ23,AQ27,AQ31)</f>
        <v>1</v>
      </c>
      <c r="AR35" s="1074">
        <f>SUM(AR23,AR27,AR31)</f>
        <v>0</v>
      </c>
      <c r="AS35" s="1074">
        <f>SUM(AS23,AS27,AS31)</f>
        <v>1</v>
      </c>
      <c r="AT35" s="1076">
        <f t="shared" si="19"/>
        <v>2</v>
      </c>
      <c r="AU35" s="1074">
        <f t="shared" ref="AU35:AW37" si="22">SUM(AU23,AU27,AU31)</f>
        <v>2</v>
      </c>
      <c r="AV35" s="1074">
        <f t="shared" si="22"/>
        <v>0</v>
      </c>
      <c r="AW35" s="1074">
        <f t="shared" si="22"/>
        <v>2</v>
      </c>
      <c r="AX35" s="1076">
        <f t="shared" si="20"/>
        <v>4</v>
      </c>
      <c r="AY35" s="1074">
        <f t="shared" ref="AY35:BA35" si="23">SUM(AY23,AY27,AY31)</f>
        <v>2</v>
      </c>
      <c r="AZ35" s="1074">
        <f t="shared" si="23"/>
        <v>3</v>
      </c>
      <c r="BA35" s="1074">
        <f t="shared" si="23"/>
        <v>4</v>
      </c>
      <c r="BB35" s="1076">
        <f t="shared" si="21"/>
        <v>9</v>
      </c>
    </row>
    <row r="36" spans="1:54" s="222" customFormat="1" ht="14.25" customHeight="1" x14ac:dyDescent="0.2">
      <c r="A36" s="5487"/>
      <c r="B36" s="1072" t="s">
        <v>632</v>
      </c>
      <c r="C36" s="712"/>
      <c r="D36" s="506"/>
      <c r="E36" s="506"/>
      <c r="F36" s="507"/>
      <c r="G36" s="506"/>
      <c r="H36" s="506"/>
      <c r="I36" s="506"/>
      <c r="J36" s="506"/>
      <c r="K36" s="712"/>
      <c r="L36" s="506"/>
      <c r="M36" s="506"/>
      <c r="N36" s="507"/>
      <c r="O36" s="474"/>
      <c r="P36" s="474"/>
      <c r="Q36" s="474"/>
      <c r="R36" s="507"/>
      <c r="S36" s="474"/>
      <c r="T36" s="474"/>
      <c r="U36" s="474"/>
      <c r="V36" s="507"/>
      <c r="W36" s="474"/>
      <c r="X36" s="474"/>
      <c r="Y36" s="474"/>
      <c r="Z36" s="507"/>
      <c r="AA36" s="474"/>
      <c r="AB36" s="474"/>
      <c r="AC36" s="474"/>
      <c r="AD36" s="507"/>
      <c r="AE36" s="474"/>
      <c r="AF36" s="474"/>
      <c r="AG36" s="474"/>
      <c r="AH36" s="507"/>
      <c r="AI36" s="1074">
        <v>105</v>
      </c>
      <c r="AJ36" s="1074"/>
      <c r="AK36" s="1074"/>
      <c r="AL36" s="1076">
        <f>SUM(AI36:AK36)</f>
        <v>105</v>
      </c>
      <c r="AM36" s="1074">
        <f>SUM(AM24,AM28,AM32)</f>
        <v>108</v>
      </c>
      <c r="AN36" s="1074"/>
      <c r="AO36" s="1074">
        <f>SUM(AO24,AO28,AO32)</f>
        <v>42</v>
      </c>
      <c r="AP36" s="1076">
        <f t="shared" si="18"/>
        <v>150</v>
      </c>
      <c r="AQ36" s="1074">
        <f>SUM(AQ24,AQ28,AQ32)</f>
        <v>173</v>
      </c>
      <c r="AR36" s="1074"/>
      <c r="AS36" s="1074">
        <f>SUM(AS24,AS28,AS32)</f>
        <v>18</v>
      </c>
      <c r="AT36" s="1076">
        <f t="shared" si="19"/>
        <v>191</v>
      </c>
      <c r="AU36" s="1074">
        <f t="shared" si="22"/>
        <v>0</v>
      </c>
      <c r="AV36" s="1074">
        <f t="shared" si="22"/>
        <v>0</v>
      </c>
      <c r="AW36" s="1074">
        <f t="shared" si="22"/>
        <v>229</v>
      </c>
      <c r="AX36" s="1076">
        <f t="shared" si="20"/>
        <v>229</v>
      </c>
      <c r="AY36" s="1074">
        <f t="shared" ref="AY36:BA36" si="24">SUM(AY24,AY28,AY32)</f>
        <v>0</v>
      </c>
      <c r="AZ36" s="1074">
        <f t="shared" si="24"/>
        <v>0</v>
      </c>
      <c r="BA36" s="1074">
        <f t="shared" si="24"/>
        <v>145</v>
      </c>
      <c r="BB36" s="1076">
        <f t="shared" si="21"/>
        <v>145</v>
      </c>
    </row>
    <row r="37" spans="1:54" s="222" customFormat="1" ht="14.25" customHeight="1" x14ac:dyDescent="0.2">
      <c r="A37" s="5487"/>
      <c r="B37" s="1078" t="s">
        <v>633</v>
      </c>
      <c r="C37" s="713"/>
      <c r="D37" s="512"/>
      <c r="E37" s="512"/>
      <c r="F37" s="513"/>
      <c r="G37" s="512"/>
      <c r="H37" s="512"/>
      <c r="I37" s="512"/>
      <c r="J37" s="512"/>
      <c r="K37" s="713"/>
      <c r="L37" s="512"/>
      <c r="M37" s="512"/>
      <c r="N37" s="513"/>
      <c r="O37" s="477"/>
      <c r="P37" s="477"/>
      <c r="Q37" s="477"/>
      <c r="R37" s="513"/>
      <c r="S37" s="477"/>
      <c r="T37" s="477"/>
      <c r="U37" s="477"/>
      <c r="V37" s="513"/>
      <c r="W37" s="477"/>
      <c r="X37" s="477"/>
      <c r="Y37" s="477"/>
      <c r="Z37" s="513"/>
      <c r="AA37" s="477"/>
      <c r="AB37" s="477"/>
      <c r="AC37" s="477"/>
      <c r="AD37" s="513"/>
      <c r="AE37" s="477"/>
      <c r="AF37" s="477"/>
      <c r="AG37" s="477"/>
      <c r="AH37" s="513"/>
      <c r="AI37" s="1080">
        <v>66</v>
      </c>
      <c r="AJ37" s="1080"/>
      <c r="AK37" s="1080"/>
      <c r="AL37" s="1082">
        <f>SUM(AI37:AK37)</f>
        <v>66</v>
      </c>
      <c r="AM37" s="1074">
        <f>SUM(AM25,AM29,AM33)</f>
        <v>63</v>
      </c>
      <c r="AN37" s="1074">
        <f>SUM(AN25,AN29,AN33)</f>
        <v>8</v>
      </c>
      <c r="AO37" s="1074">
        <f>SUM(AO25,AO29,AO33)</f>
        <v>8</v>
      </c>
      <c r="AP37" s="1082">
        <f t="shared" si="18"/>
        <v>79</v>
      </c>
      <c r="AQ37" s="1074">
        <f>SUM(AQ25,AQ29,AQ33)</f>
        <v>4</v>
      </c>
      <c r="AR37" s="1074">
        <f>SUM(AR25,AR29,AR33)</f>
        <v>5</v>
      </c>
      <c r="AS37" s="1074">
        <f>SUM(AS25,AS29,AS33)</f>
        <v>127</v>
      </c>
      <c r="AT37" s="1082">
        <f t="shared" si="19"/>
        <v>136</v>
      </c>
      <c r="AU37" s="1074">
        <f t="shared" si="22"/>
        <v>4</v>
      </c>
      <c r="AV37" s="1074">
        <f t="shared" si="22"/>
        <v>5</v>
      </c>
      <c r="AW37" s="1074">
        <f t="shared" si="22"/>
        <v>87</v>
      </c>
      <c r="AX37" s="1082">
        <f t="shared" si="20"/>
        <v>96</v>
      </c>
      <c r="AY37" s="1074">
        <f t="shared" ref="AY37:BA37" si="25">SUM(AY25,AY29,AY33)</f>
        <v>4</v>
      </c>
      <c r="AZ37" s="1074">
        <f t="shared" si="25"/>
        <v>3</v>
      </c>
      <c r="BA37" s="1074">
        <f t="shared" si="25"/>
        <v>54</v>
      </c>
      <c r="BB37" s="1082">
        <f t="shared" si="21"/>
        <v>61</v>
      </c>
    </row>
    <row r="38" spans="1:54" s="222" customFormat="1" ht="14.25" customHeight="1" x14ac:dyDescent="0.2">
      <c r="A38" s="5488"/>
      <c r="B38" s="2615" t="s">
        <v>12</v>
      </c>
      <c r="C38" s="2616"/>
      <c r="D38" s="2617"/>
      <c r="E38" s="2617"/>
      <c r="F38" s="2618"/>
      <c r="G38" s="2617"/>
      <c r="H38" s="2617"/>
      <c r="I38" s="2617"/>
      <c r="J38" s="2617"/>
      <c r="K38" s="2616"/>
      <c r="L38" s="2617"/>
      <c r="M38" s="2617"/>
      <c r="N38" s="2618"/>
      <c r="O38" s="2617"/>
      <c r="P38" s="2617"/>
      <c r="Q38" s="2617"/>
      <c r="R38" s="2618"/>
      <c r="S38" s="2617"/>
      <c r="T38" s="2617"/>
      <c r="U38" s="2617"/>
      <c r="V38" s="2618"/>
      <c r="W38" s="2617"/>
      <c r="X38" s="2617"/>
      <c r="Y38" s="2617"/>
      <c r="Z38" s="2618"/>
      <c r="AA38" s="2617"/>
      <c r="AB38" s="2617"/>
      <c r="AC38" s="2617"/>
      <c r="AD38" s="2618"/>
      <c r="AE38" s="2617"/>
      <c r="AF38" s="2617"/>
      <c r="AG38" s="2617"/>
      <c r="AH38" s="2618"/>
      <c r="AI38" s="2617">
        <f>SUM(AI35:AI37)</f>
        <v>171</v>
      </c>
      <c r="AJ38" s="2617"/>
      <c r="AK38" s="2617"/>
      <c r="AL38" s="2618">
        <f>SUM(AI38:AK38)</f>
        <v>171</v>
      </c>
      <c r="AM38" s="2617">
        <f>SUM(AM35:AM37)</f>
        <v>171</v>
      </c>
      <c r="AN38" s="2617">
        <f>SUM(AN35:AN37)</f>
        <v>10</v>
      </c>
      <c r="AO38" s="2617">
        <f>SUM(AO35:AO37)</f>
        <v>51</v>
      </c>
      <c r="AP38" s="2618">
        <f t="shared" si="18"/>
        <v>232</v>
      </c>
      <c r="AQ38" s="2617">
        <f>SUM(AQ35:AQ37)</f>
        <v>178</v>
      </c>
      <c r="AR38" s="2617">
        <f>SUM(AR35:AR37)</f>
        <v>5</v>
      </c>
      <c r="AS38" s="2617">
        <f>SUM(AS35:AS37)</f>
        <v>146</v>
      </c>
      <c r="AT38" s="2618">
        <f t="shared" si="19"/>
        <v>329</v>
      </c>
      <c r="AU38" s="2617">
        <f>SUM(AU35:AU37)</f>
        <v>6</v>
      </c>
      <c r="AV38" s="2617">
        <f>SUM(AV35:AV37)</f>
        <v>5</v>
      </c>
      <c r="AW38" s="2617">
        <f>SUM(AW35:AW37)</f>
        <v>318</v>
      </c>
      <c r="AX38" s="2618">
        <f t="shared" si="20"/>
        <v>329</v>
      </c>
      <c r="AY38" s="2617">
        <f>SUM(AY35:AY37)</f>
        <v>6</v>
      </c>
      <c r="AZ38" s="2617">
        <f>SUM(AZ35:AZ37)</f>
        <v>6</v>
      </c>
      <c r="BA38" s="2617">
        <f>SUM(BA35:BA37)</f>
        <v>203</v>
      </c>
      <c r="BB38" s="2618">
        <f t="shared" si="21"/>
        <v>215</v>
      </c>
    </row>
    <row r="39" spans="1:54" s="222" customFormat="1" ht="14.25" customHeight="1" x14ac:dyDescent="0.2">
      <c r="A39" s="936"/>
      <c r="B39" s="936"/>
      <c r="C39" s="1084"/>
      <c r="D39" s="1084"/>
      <c r="E39" s="1084"/>
      <c r="F39" s="1084"/>
      <c r="G39" s="1084"/>
      <c r="H39" s="1084"/>
      <c r="I39" s="1084"/>
      <c r="J39" s="1084"/>
      <c r="K39" s="1084"/>
      <c r="L39" s="1084"/>
      <c r="M39" s="1084"/>
      <c r="N39" s="1084"/>
      <c r="O39" s="1084"/>
      <c r="P39" s="1084"/>
      <c r="Q39" s="1084"/>
      <c r="R39" s="1084"/>
      <c r="S39" s="1084"/>
      <c r="T39" s="1084"/>
      <c r="U39" s="1084"/>
      <c r="V39" s="1084"/>
      <c r="W39" s="1084"/>
      <c r="X39" s="1084"/>
      <c r="Y39" s="1084"/>
      <c r="Z39" s="1084"/>
      <c r="AA39" s="1084"/>
      <c r="AB39" s="1084"/>
      <c r="AC39" s="1084"/>
      <c r="AD39" s="1084"/>
      <c r="AE39" s="1084"/>
      <c r="AF39" s="1084"/>
      <c r="AG39" s="1084"/>
      <c r="AH39" s="1084"/>
      <c r="AI39" s="1084"/>
      <c r="AJ39" s="1084"/>
      <c r="AK39" s="1084"/>
      <c r="AL39" s="1084"/>
      <c r="AM39" s="1084"/>
      <c r="AN39" s="1084"/>
      <c r="AO39" s="1084"/>
      <c r="AP39" s="1084"/>
      <c r="AQ39" s="1084"/>
      <c r="AR39" s="1084"/>
      <c r="AS39" s="1084"/>
      <c r="AT39" s="1084"/>
      <c r="AU39" s="1084"/>
      <c r="AV39" s="1084"/>
      <c r="AW39" s="1084"/>
      <c r="AX39" s="1084"/>
      <c r="AY39" s="1084"/>
      <c r="AZ39" s="1084"/>
      <c r="BA39" s="1084"/>
      <c r="BB39" s="1084"/>
    </row>
    <row r="40" spans="1:54" ht="15" x14ac:dyDescent="0.2">
      <c r="A40" s="5473" t="s">
        <v>5</v>
      </c>
      <c r="B40" s="1067" t="s">
        <v>631</v>
      </c>
      <c r="C40" s="1068"/>
      <c r="D40" s="1069"/>
      <c r="E40" s="1069"/>
      <c r="F40" s="1070"/>
      <c r="G40" s="1068"/>
      <c r="H40" s="1069"/>
      <c r="I40" s="1069"/>
      <c r="J40" s="1070"/>
      <c r="K40" s="1068"/>
      <c r="L40" s="1069"/>
      <c r="M40" s="1069"/>
      <c r="N40" s="1071"/>
      <c r="O40" s="1069"/>
      <c r="P40" s="1069"/>
      <c r="Q40" s="1069"/>
      <c r="R40" s="1071"/>
      <c r="S40" s="1069"/>
      <c r="T40" s="1069"/>
      <c r="U40" s="1069"/>
      <c r="V40" s="1071"/>
      <c r="W40" s="1069"/>
      <c r="X40" s="1069"/>
      <c r="Y40" s="1069"/>
      <c r="Z40" s="1071"/>
      <c r="AA40" s="1069"/>
      <c r="AB40" s="1069"/>
      <c r="AC40" s="1069"/>
      <c r="AD40" s="1071"/>
      <c r="AE40" s="1069"/>
      <c r="AF40" s="1069"/>
      <c r="AG40" s="1069"/>
      <c r="AH40" s="1071"/>
      <c r="AI40" s="1069"/>
      <c r="AJ40" s="1069"/>
      <c r="AK40" s="1069"/>
      <c r="AL40" s="1071"/>
      <c r="AM40" s="1068"/>
      <c r="AN40" s="1069"/>
      <c r="AO40" s="1069"/>
      <c r="AP40" s="1086"/>
      <c r="AQ40" s="1068"/>
      <c r="AR40" s="1069"/>
      <c r="AS40" s="1069"/>
      <c r="AT40" s="1086"/>
      <c r="AU40" s="1068"/>
      <c r="AV40" s="1069"/>
      <c r="AW40" s="1069"/>
      <c r="AX40" s="1086"/>
      <c r="AY40" s="1068"/>
      <c r="AZ40" s="1069"/>
      <c r="BA40" s="1069"/>
      <c r="BB40" s="1086"/>
    </row>
    <row r="41" spans="1:54" ht="15" x14ac:dyDescent="0.2">
      <c r="A41" s="5474"/>
      <c r="B41" s="1072" t="s">
        <v>632</v>
      </c>
      <c r="C41" s="1073">
        <f>SUM('ASPI POSG plan'!E45,'ASPI POSG plan'!E46,'ASPI POSG plan'!E47,'ASPI POSG plan'!E48,'ASPI POSG plan'!E49)</f>
        <v>22</v>
      </c>
      <c r="D41" s="1074">
        <f>SUM('ASPI POSG plan'!F45,'ASPI POSG plan'!F46,'ASPI POSG plan'!F47,'ASPI POSG plan'!F48,'ASPI POSG plan'!F49)</f>
        <v>30</v>
      </c>
      <c r="E41" s="1074">
        <f>SUM('ASPI POSG plan'!G45,'ASPI POSG plan'!G46,'ASPI POSG plan'!G47,'ASPI POSG plan'!G48,'ASPI POSG plan'!G49)</f>
        <v>68</v>
      </c>
      <c r="F41" s="1075">
        <f>SUM('ASPI POSG plan'!H45,'ASPI POSG plan'!H46,'ASPI POSG plan'!H47,'ASPI POSG plan'!H48,'ASPI POSG plan'!H49)</f>
        <v>120</v>
      </c>
      <c r="G41" s="1073">
        <v>41</v>
      </c>
      <c r="H41" s="1074">
        <v>32</v>
      </c>
      <c r="I41" s="1074">
        <v>79</v>
      </c>
      <c r="J41" s="1075">
        <v>152</v>
      </c>
      <c r="K41" s="1073">
        <v>53</v>
      </c>
      <c r="L41" s="1074">
        <v>39</v>
      </c>
      <c r="M41" s="1074">
        <v>98</v>
      </c>
      <c r="N41" s="1076">
        <v>190</v>
      </c>
      <c r="O41" s="1074">
        <v>25</v>
      </c>
      <c r="P41" s="1074">
        <v>37</v>
      </c>
      <c r="Q41" s="1074">
        <v>111</v>
      </c>
      <c r="R41" s="1076">
        <v>173</v>
      </c>
      <c r="S41" s="1074">
        <v>30</v>
      </c>
      <c r="T41" s="1074">
        <v>20</v>
      </c>
      <c r="U41" s="1074">
        <v>80</v>
      </c>
      <c r="V41" s="1076">
        <v>130</v>
      </c>
      <c r="W41" s="1074">
        <v>26</v>
      </c>
      <c r="X41" s="1074">
        <v>18</v>
      </c>
      <c r="Y41" s="1074">
        <v>95</v>
      </c>
      <c r="Z41" s="1076">
        <v>139</v>
      </c>
      <c r="AA41" s="1074">
        <v>15</v>
      </c>
      <c r="AB41" s="1074">
        <v>15</v>
      </c>
      <c r="AC41" s="1074">
        <v>141</v>
      </c>
      <c r="AD41" s="1076">
        <f t="shared" ref="AD41:AD51" si="26">SUM(AA41:AC41)</f>
        <v>171</v>
      </c>
      <c r="AE41" s="1074">
        <v>29</v>
      </c>
      <c r="AF41" s="1074">
        <v>13</v>
      </c>
      <c r="AG41" s="1074">
        <v>101</v>
      </c>
      <c r="AH41" s="1076">
        <f t="shared" ref="AH41:AH51" si="27">SUM(AE41:AG41)</f>
        <v>143</v>
      </c>
      <c r="AI41" s="1074">
        <v>15</v>
      </c>
      <c r="AJ41" s="1074">
        <v>16</v>
      </c>
      <c r="AK41" s="1074">
        <v>57</v>
      </c>
      <c r="AL41" s="1076">
        <f t="shared" ref="AL41:AL51" si="28">SUM(AI41:AK41)</f>
        <v>88</v>
      </c>
      <c r="AM41" s="1073">
        <v>27</v>
      </c>
      <c r="AN41" s="1074">
        <v>11</v>
      </c>
      <c r="AO41" s="1074">
        <v>131</v>
      </c>
      <c r="AP41" s="1076">
        <f>SUM(AM41:AO41)</f>
        <v>169</v>
      </c>
      <c r="AQ41" s="1073">
        <f>SUM('ASPI POSG plan'!AS45:AS51)</f>
        <v>67</v>
      </c>
      <c r="AR41" s="1074">
        <f>SUM('ASPI POSG plan'!AT45:AT51)</f>
        <v>14</v>
      </c>
      <c r="AS41" s="1074">
        <f>SUM('ASPI POSG plan'!AU45:AU51)</f>
        <v>122</v>
      </c>
      <c r="AT41" s="1076">
        <f>SUM(AQ41:AS41)</f>
        <v>203</v>
      </c>
      <c r="AU41" s="1073">
        <f>SUM('ASPI POSG plan'!AW45:AW51)</f>
        <v>56</v>
      </c>
      <c r="AV41" s="1074">
        <f>SUM('ASPI POSG plan'!AX45:AX51)</f>
        <v>15</v>
      </c>
      <c r="AW41" s="1074">
        <f>SUM('ASPI POSG plan'!AY45:AY51)</f>
        <v>121</v>
      </c>
      <c r="AX41" s="1076">
        <f>SUM(AU41:AW41)</f>
        <v>192</v>
      </c>
      <c r="AY41" s="1073">
        <f>SUM('ASPI POSG plan'!BA45:BA51)</f>
        <v>59</v>
      </c>
      <c r="AZ41" s="1074">
        <f>SUM('ASPI POSG plan'!BB45:BB51)</f>
        <v>32</v>
      </c>
      <c r="BA41" s="1074">
        <f>SUM('ASPI POSG plan'!BC45:BC51)</f>
        <v>115</v>
      </c>
      <c r="BB41" s="1076">
        <f>SUM(AY41:BA41)</f>
        <v>206</v>
      </c>
    </row>
    <row r="42" spans="1:54" ht="15" x14ac:dyDescent="0.2">
      <c r="A42" s="5474"/>
      <c r="B42" s="1078" t="s">
        <v>633</v>
      </c>
      <c r="C42" s="1073"/>
      <c r="D42" s="1074"/>
      <c r="E42" s="1074"/>
      <c r="F42" s="1075"/>
      <c r="G42" s="1073">
        <v>0</v>
      </c>
      <c r="H42" s="1074">
        <v>0</v>
      </c>
      <c r="I42" s="1074">
        <v>0</v>
      </c>
      <c r="J42" s="1075">
        <v>0</v>
      </c>
      <c r="K42" s="1073">
        <v>0</v>
      </c>
      <c r="L42" s="1074">
        <v>0</v>
      </c>
      <c r="M42" s="1074">
        <v>0</v>
      </c>
      <c r="N42" s="1076">
        <v>0</v>
      </c>
      <c r="O42" s="1074"/>
      <c r="P42" s="1074"/>
      <c r="Q42" s="1074"/>
      <c r="R42" s="1076"/>
      <c r="S42" s="1074"/>
      <c r="T42" s="1074"/>
      <c r="U42" s="1074"/>
      <c r="V42" s="1076"/>
      <c r="W42" s="1074">
        <v>7</v>
      </c>
      <c r="X42" s="1074">
        <v>1</v>
      </c>
      <c r="Y42" s="1074">
        <v>12</v>
      </c>
      <c r="Z42" s="1076">
        <v>20</v>
      </c>
      <c r="AA42" s="1074"/>
      <c r="AB42" s="1074"/>
      <c r="AC42" s="1074"/>
      <c r="AD42" s="1076"/>
      <c r="AE42" s="1074">
        <v>13</v>
      </c>
      <c r="AF42" s="1074">
        <v>3</v>
      </c>
      <c r="AG42" s="1074">
        <v>15</v>
      </c>
      <c r="AH42" s="1076">
        <f t="shared" si="27"/>
        <v>31</v>
      </c>
      <c r="AI42" s="1074">
        <v>23</v>
      </c>
      <c r="AJ42" s="1074">
        <v>9</v>
      </c>
      <c r="AK42" s="1074">
        <v>87</v>
      </c>
      <c r="AL42" s="1076">
        <f t="shared" si="28"/>
        <v>119</v>
      </c>
      <c r="AM42" s="1073">
        <v>23</v>
      </c>
      <c r="AN42" s="1074">
        <v>3</v>
      </c>
      <c r="AO42" s="1074">
        <v>33</v>
      </c>
      <c r="AP42" s="1076">
        <f>SUM(AM42:AO42)</f>
        <v>59</v>
      </c>
      <c r="AQ42" s="1073">
        <f>SUM('ASPI POSG plan'!AS52:AS59)</f>
        <v>11</v>
      </c>
      <c r="AR42" s="1074">
        <f>SUM('ASPI POSG plan'!AT52:AT59)</f>
        <v>8</v>
      </c>
      <c r="AS42" s="1074">
        <f>SUM('ASPI POSG plan'!AU52:AU59)</f>
        <v>25</v>
      </c>
      <c r="AT42" s="1076">
        <f>SUM(AQ42:AS42)</f>
        <v>44</v>
      </c>
      <c r="AU42" s="1073">
        <f>SUM('ASPI POSG plan'!AW52:AW59)</f>
        <v>12</v>
      </c>
      <c r="AV42" s="1074">
        <f>SUM('ASPI POSG plan'!AX52:AX59)</f>
        <v>6</v>
      </c>
      <c r="AW42" s="1074">
        <f>SUM('ASPI POSG plan'!AY52:AY59)</f>
        <v>17</v>
      </c>
      <c r="AX42" s="1076">
        <f>SUM(AU42:AW42)</f>
        <v>35</v>
      </c>
      <c r="AY42" s="1073">
        <f>SUM('ASPI POSG plan'!BA52:BA59)</f>
        <v>20</v>
      </c>
      <c r="AZ42" s="1074">
        <f>SUM('ASPI POSG plan'!BB52:BB59)</f>
        <v>10</v>
      </c>
      <c r="BA42" s="1074">
        <f>SUM('ASPI POSG plan'!BC52:BC59)</f>
        <v>21</v>
      </c>
      <c r="BB42" s="1076">
        <f>SUM(AY42:BA42)</f>
        <v>51</v>
      </c>
    </row>
    <row r="43" spans="1:54" ht="15" x14ac:dyDescent="0.2">
      <c r="A43" s="5475"/>
      <c r="B43" s="583" t="s">
        <v>13</v>
      </c>
      <c r="C43" s="578">
        <f>SUM(C40:C42)</f>
        <v>22</v>
      </c>
      <c r="D43" s="579">
        <f>SUM(D40:D42)</f>
        <v>30</v>
      </c>
      <c r="E43" s="579">
        <f>SUM(E40:E42)</f>
        <v>68</v>
      </c>
      <c r="F43" s="579">
        <f>SUM(F40:F42)</f>
        <v>120</v>
      </c>
      <c r="G43" s="578">
        <v>41</v>
      </c>
      <c r="H43" s="579">
        <v>32</v>
      </c>
      <c r="I43" s="579">
        <v>79</v>
      </c>
      <c r="J43" s="579">
        <v>152</v>
      </c>
      <c r="K43" s="578">
        <v>53</v>
      </c>
      <c r="L43" s="579">
        <v>39</v>
      </c>
      <c r="M43" s="579">
        <v>98</v>
      </c>
      <c r="N43" s="580">
        <v>190</v>
      </c>
      <c r="O43" s="579">
        <v>25</v>
      </c>
      <c r="P43" s="579">
        <v>37</v>
      </c>
      <c r="Q43" s="579">
        <v>111</v>
      </c>
      <c r="R43" s="580">
        <v>173</v>
      </c>
      <c r="S43" s="579">
        <v>30</v>
      </c>
      <c r="T43" s="579">
        <v>20</v>
      </c>
      <c r="U43" s="579">
        <v>80</v>
      </c>
      <c r="V43" s="580">
        <v>130</v>
      </c>
      <c r="W43" s="579">
        <v>33</v>
      </c>
      <c r="X43" s="579">
        <v>19</v>
      </c>
      <c r="Y43" s="579">
        <v>107</v>
      </c>
      <c r="Z43" s="580">
        <v>159</v>
      </c>
      <c r="AA43" s="579">
        <f>SUM(AA40:AA42)</f>
        <v>15</v>
      </c>
      <c r="AB43" s="579">
        <f>SUM(AB40:AB42)</f>
        <v>15</v>
      </c>
      <c r="AC43" s="579">
        <f>SUM(AC40:AC42)</f>
        <v>141</v>
      </c>
      <c r="AD43" s="580">
        <f t="shared" si="26"/>
        <v>171</v>
      </c>
      <c r="AE43" s="579">
        <f>SUM(AE40:AE42)</f>
        <v>42</v>
      </c>
      <c r="AF43" s="579">
        <f>SUM(AF40:AF42)</f>
        <v>16</v>
      </c>
      <c r="AG43" s="579">
        <f>SUM(AG40:AG42)</f>
        <v>116</v>
      </c>
      <c r="AH43" s="580">
        <f t="shared" si="27"/>
        <v>174</v>
      </c>
      <c r="AI43" s="579">
        <f>SUM(AI40:AI42)</f>
        <v>38</v>
      </c>
      <c r="AJ43" s="579">
        <f>SUM(AJ40:AJ42)</f>
        <v>25</v>
      </c>
      <c r="AK43" s="579">
        <f>SUM(AK40:AK42)</f>
        <v>144</v>
      </c>
      <c r="AL43" s="580">
        <f>SUM(AL41:AL42)</f>
        <v>207</v>
      </c>
      <c r="AM43" s="578">
        <f t="shared" ref="AM43:AT43" si="29">SUM(AM40:AM42)</f>
        <v>50</v>
      </c>
      <c r="AN43" s="579">
        <f t="shared" si="29"/>
        <v>14</v>
      </c>
      <c r="AO43" s="579">
        <f t="shared" si="29"/>
        <v>164</v>
      </c>
      <c r="AP43" s="580">
        <f t="shared" si="29"/>
        <v>228</v>
      </c>
      <c r="AQ43" s="578">
        <f t="shared" si="29"/>
        <v>78</v>
      </c>
      <c r="AR43" s="579">
        <f t="shared" si="29"/>
        <v>22</v>
      </c>
      <c r="AS43" s="579">
        <f t="shared" si="29"/>
        <v>147</v>
      </c>
      <c r="AT43" s="580">
        <f t="shared" si="29"/>
        <v>247</v>
      </c>
      <c r="AU43" s="578">
        <f t="shared" ref="AU43:BB43" si="30">SUM(AU40:AU42)</f>
        <v>68</v>
      </c>
      <c r="AV43" s="579">
        <f t="shared" si="30"/>
        <v>21</v>
      </c>
      <c r="AW43" s="579">
        <f t="shared" si="30"/>
        <v>138</v>
      </c>
      <c r="AX43" s="580">
        <f t="shared" si="30"/>
        <v>227</v>
      </c>
      <c r="AY43" s="578">
        <f t="shared" si="30"/>
        <v>79</v>
      </c>
      <c r="AZ43" s="579">
        <f t="shared" si="30"/>
        <v>42</v>
      </c>
      <c r="BA43" s="579">
        <f t="shared" si="30"/>
        <v>136</v>
      </c>
      <c r="BB43" s="580">
        <f t="shared" si="30"/>
        <v>257</v>
      </c>
    </row>
    <row r="44" spans="1:54" ht="15" x14ac:dyDescent="0.2">
      <c r="A44" s="5474" t="s">
        <v>6</v>
      </c>
      <c r="B44" s="1067" t="s">
        <v>631</v>
      </c>
      <c r="C44" s="1073">
        <f>SUM('ASPI POSG plan'!E61)</f>
        <v>0</v>
      </c>
      <c r="D44" s="1074"/>
      <c r="E44" s="1074">
        <f>SUM('ASPI POSG plan'!G61)</f>
        <v>186</v>
      </c>
      <c r="F44" s="1075">
        <f>SUM(C44:E44)</f>
        <v>186</v>
      </c>
      <c r="G44" s="1073">
        <v>0</v>
      </c>
      <c r="H44" s="1074">
        <v>0</v>
      </c>
      <c r="I44" s="1074">
        <v>206</v>
      </c>
      <c r="J44" s="1075">
        <v>206</v>
      </c>
      <c r="K44" s="1073">
        <v>0</v>
      </c>
      <c r="L44" s="1074">
        <v>0</v>
      </c>
      <c r="M44" s="1074">
        <v>59</v>
      </c>
      <c r="N44" s="1076">
        <v>59</v>
      </c>
      <c r="O44" s="1074">
        <v>155</v>
      </c>
      <c r="P44" s="1074"/>
      <c r="Q44" s="1074">
        <v>22</v>
      </c>
      <c r="R44" s="1076">
        <v>177</v>
      </c>
      <c r="S44" s="1074">
        <v>132</v>
      </c>
      <c r="T44" s="1074"/>
      <c r="U44" s="1074">
        <v>102</v>
      </c>
      <c r="V44" s="1076">
        <v>234</v>
      </c>
      <c r="W44" s="1074">
        <v>103</v>
      </c>
      <c r="X44" s="1074"/>
      <c r="Y44" s="1074"/>
      <c r="Z44" s="1076">
        <v>103</v>
      </c>
      <c r="AA44" s="1074"/>
      <c r="AB44" s="1074">
        <v>208</v>
      </c>
      <c r="AC44" s="1074">
        <v>134</v>
      </c>
      <c r="AD44" s="1076">
        <f t="shared" si="26"/>
        <v>342</v>
      </c>
      <c r="AE44" s="1074"/>
      <c r="AF44" s="1074"/>
      <c r="AG44" s="1074">
        <v>115</v>
      </c>
      <c r="AH44" s="1076">
        <f t="shared" si="27"/>
        <v>115</v>
      </c>
      <c r="AI44" s="1074"/>
      <c r="AJ44" s="1074"/>
      <c r="AK44" s="1074">
        <v>69</v>
      </c>
      <c r="AL44" s="1076">
        <f t="shared" si="28"/>
        <v>69</v>
      </c>
      <c r="AM44" s="1068"/>
      <c r="AN44" s="1069"/>
      <c r="AO44" s="1069">
        <f>SUM('ASPI POSG plan'!AQ61)</f>
        <v>111</v>
      </c>
      <c r="AP44" s="1086">
        <f>SUM(AM44:AO44)</f>
        <v>111</v>
      </c>
      <c r="AQ44" s="1068"/>
      <c r="AR44" s="1069"/>
      <c r="AS44" s="1069">
        <f>SUM('ASPI POSG plan'!AU61)</f>
        <v>0</v>
      </c>
      <c r="AT44" s="1086">
        <f>SUM(AQ44:AS44)</f>
        <v>0</v>
      </c>
      <c r="AU44" s="1068">
        <f>SUM('ASPI POSG plan'!AW61)</f>
        <v>0</v>
      </c>
      <c r="AV44" s="1069">
        <f>SUM('ASPI POSG plan'!AX61)</f>
        <v>0</v>
      </c>
      <c r="AW44" s="1069">
        <f>SUM('ASPI POSG plan'!AY61)</f>
        <v>115</v>
      </c>
      <c r="AX44" s="1086">
        <f>SUM(AU44:AW44)</f>
        <v>115</v>
      </c>
      <c r="AY44" s="1068">
        <f>SUM('ASPI POSG plan'!BA61)</f>
        <v>53</v>
      </c>
      <c r="AZ44" s="1069">
        <f>SUM('ASPI POSG plan'!BB61)</f>
        <v>1</v>
      </c>
      <c r="BA44" s="1069">
        <f>SUM('ASPI POSG plan'!BC61)</f>
        <v>38</v>
      </c>
      <c r="BB44" s="1086">
        <f>SUM(AY44:BA44)</f>
        <v>92</v>
      </c>
    </row>
    <row r="45" spans="1:54" ht="15" x14ac:dyDescent="0.2">
      <c r="A45" s="5474"/>
      <c r="B45" s="1072" t="s">
        <v>632</v>
      </c>
      <c r="C45" s="1073">
        <f>SUM('ASPI POSG plan'!E62,'ASPI POSG plan'!E63,'ASPI POSG plan'!E64,'ASPI POSG plan'!E65,'ASPI POSG plan'!E66)</f>
        <v>4</v>
      </c>
      <c r="D45" s="1074"/>
      <c r="E45" s="1074">
        <f>SUM('ASPI POSG plan'!G62,'ASPI POSG plan'!G63,'ASPI POSG plan'!G64,'ASPI POSG plan'!G65,'ASPI POSG plan'!G66)</f>
        <v>134</v>
      </c>
      <c r="F45" s="1075">
        <f>SUM(C45:E45)</f>
        <v>138</v>
      </c>
      <c r="G45" s="1073">
        <v>29</v>
      </c>
      <c r="H45" s="1074">
        <v>33</v>
      </c>
      <c r="I45" s="1074">
        <v>163</v>
      </c>
      <c r="J45" s="1075">
        <v>225</v>
      </c>
      <c r="K45" s="1073">
        <v>160</v>
      </c>
      <c r="L45" s="1074">
        <v>0</v>
      </c>
      <c r="M45" s="1074">
        <v>65</v>
      </c>
      <c r="N45" s="1076">
        <v>225</v>
      </c>
      <c r="O45" s="1074">
        <v>56</v>
      </c>
      <c r="P45" s="1074"/>
      <c r="Q45" s="1074">
        <v>223</v>
      </c>
      <c r="R45" s="1076">
        <v>279</v>
      </c>
      <c r="S45" s="1074">
        <v>147</v>
      </c>
      <c r="T45" s="1074"/>
      <c r="U45" s="1074">
        <v>132</v>
      </c>
      <c r="V45" s="1076">
        <v>279</v>
      </c>
      <c r="W45" s="1074"/>
      <c r="X45" s="1074"/>
      <c r="Y45" s="1074">
        <v>376</v>
      </c>
      <c r="Z45" s="1076">
        <v>376</v>
      </c>
      <c r="AA45" s="1074"/>
      <c r="AB45" s="1074"/>
      <c r="AC45" s="1074">
        <v>86</v>
      </c>
      <c r="AD45" s="1076">
        <f t="shared" si="26"/>
        <v>86</v>
      </c>
      <c r="AE45" s="1074"/>
      <c r="AF45" s="1074"/>
      <c r="AG45" s="1074">
        <v>306</v>
      </c>
      <c r="AH45" s="1076">
        <f t="shared" si="27"/>
        <v>306</v>
      </c>
      <c r="AI45" s="1074"/>
      <c r="AJ45" s="1074"/>
      <c r="AK45" s="1074">
        <v>83</v>
      </c>
      <c r="AL45" s="1076">
        <f t="shared" si="28"/>
        <v>83</v>
      </c>
      <c r="AM45" s="1073"/>
      <c r="AN45" s="1074"/>
      <c r="AO45" s="1074">
        <f>SUM('ASPI POSG plan'!AQ62,'ASPI POSG plan'!AQ63,'ASPI POSG plan'!AQ64,'ASPI POSG plan'!AQ65,'ASPI POSG plan'!AQ66)</f>
        <v>322</v>
      </c>
      <c r="AP45" s="1077">
        <f>SUM(AM45:AO45)</f>
        <v>322</v>
      </c>
      <c r="AQ45" s="1073"/>
      <c r="AR45" s="1074"/>
      <c r="AS45" s="1074">
        <f>SUM('ASPI POSG plan'!AU62,'ASPI POSG plan'!AU63,'ASPI POSG plan'!AU64,'ASPI POSG plan'!AU65,'ASPI POSG plan'!AU66)</f>
        <v>0</v>
      </c>
      <c r="AT45" s="1077">
        <f>SUM(AQ45:AS45)</f>
        <v>0</v>
      </c>
      <c r="AU45" s="1073">
        <f>SUM('ASPI POSG plan'!AW62:AW66)</f>
        <v>13</v>
      </c>
      <c r="AV45" s="1074">
        <f>SUM('ASPI POSG plan'!AX62:AX66)</f>
        <v>44</v>
      </c>
      <c r="AW45" s="1074">
        <f>SUM('ASPI POSG plan'!AY62:AY66)</f>
        <v>339</v>
      </c>
      <c r="AX45" s="1077">
        <f>SUM(AU45:AW45)</f>
        <v>396</v>
      </c>
      <c r="AY45" s="1073">
        <f>SUM('ASPI POSG plan'!BA62:BA66)</f>
        <v>10</v>
      </c>
      <c r="AZ45" s="1074">
        <f>SUM('ASPI POSG plan'!BB62:BB66)</f>
        <v>0</v>
      </c>
      <c r="BA45" s="1074">
        <f>SUM('ASPI POSG plan'!BC62:BC66)</f>
        <v>86</v>
      </c>
      <c r="BB45" s="1077">
        <f>SUM(AY45:BA45)</f>
        <v>96</v>
      </c>
    </row>
    <row r="46" spans="1:54" ht="15" x14ac:dyDescent="0.2">
      <c r="A46" s="5474"/>
      <c r="B46" s="1078" t="s">
        <v>633</v>
      </c>
      <c r="C46" s="1073"/>
      <c r="D46" s="1074"/>
      <c r="E46" s="1074"/>
      <c r="F46" s="1075"/>
      <c r="G46" s="1073">
        <v>0</v>
      </c>
      <c r="H46" s="1074">
        <v>0</v>
      </c>
      <c r="I46" s="1074">
        <v>0</v>
      </c>
      <c r="J46" s="1075">
        <v>0</v>
      </c>
      <c r="K46" s="1073">
        <v>0</v>
      </c>
      <c r="L46" s="1074">
        <v>0</v>
      </c>
      <c r="M46" s="1074">
        <v>0</v>
      </c>
      <c r="N46" s="1076">
        <v>0</v>
      </c>
      <c r="O46" s="1074">
        <v>0</v>
      </c>
      <c r="P46" s="1074"/>
      <c r="Q46" s="1074">
        <v>0</v>
      </c>
      <c r="R46" s="1076">
        <v>0</v>
      </c>
      <c r="S46" s="1074">
        <v>0</v>
      </c>
      <c r="T46" s="1074"/>
      <c r="U46" s="1074">
        <v>0</v>
      </c>
      <c r="V46" s="1076">
        <v>0</v>
      </c>
      <c r="W46" s="1074"/>
      <c r="X46" s="1074"/>
      <c r="Y46" s="1074">
        <v>178</v>
      </c>
      <c r="Z46" s="1076">
        <v>178</v>
      </c>
      <c r="AA46" s="1074">
        <v>1</v>
      </c>
      <c r="AB46" s="1074">
        <v>52</v>
      </c>
      <c r="AC46" s="1074"/>
      <c r="AD46" s="1076">
        <f t="shared" si="26"/>
        <v>53</v>
      </c>
      <c r="AE46" s="1074"/>
      <c r="AF46" s="1074"/>
      <c r="AG46" s="1074">
        <v>196</v>
      </c>
      <c r="AH46" s="1076">
        <f t="shared" si="27"/>
        <v>196</v>
      </c>
      <c r="AI46" s="1074">
        <v>18</v>
      </c>
      <c r="AJ46" s="1074"/>
      <c r="AK46" s="1074">
        <v>93</v>
      </c>
      <c r="AL46" s="1076">
        <f t="shared" si="28"/>
        <v>111</v>
      </c>
      <c r="AM46" s="1073"/>
      <c r="AN46" s="1074"/>
      <c r="AO46" s="1074">
        <f>SUM('ASPI POSG plan'!AQ67,'ASPI POSG plan'!AQ68,'ASPI POSG plan'!AQ69,'ASPI POSG plan'!AQ70,'ASPI POSG plan'!AQ71)</f>
        <v>198</v>
      </c>
      <c r="AP46" s="1077">
        <f>SUM(AM46:AO46)</f>
        <v>198</v>
      </c>
      <c r="AQ46" s="1073">
        <f>SUM('ASPI POSG plan'!AS67:AS71)</f>
        <v>32</v>
      </c>
      <c r="AR46" s="1074">
        <f>SUM('ASPI POSG plan'!AT67:AT71)</f>
        <v>0</v>
      </c>
      <c r="AS46" s="1074">
        <f>SUM('ASPI POSG plan'!AU67:AU71)</f>
        <v>139</v>
      </c>
      <c r="AT46" s="1077">
        <f>SUM(AQ46:AS46)</f>
        <v>171</v>
      </c>
      <c r="AU46" s="1073">
        <f>SUM('ASPI POSG plan'!AW67:AW71)</f>
        <v>6</v>
      </c>
      <c r="AV46" s="1074">
        <f>SUM('ASPI POSG plan'!AX67:AX71)</f>
        <v>0</v>
      </c>
      <c r="AW46" s="1074">
        <f>SUM('ASPI POSG plan'!AY67:AY71)</f>
        <v>209</v>
      </c>
      <c r="AX46" s="1077">
        <f>SUM(AU46:AW46)</f>
        <v>215</v>
      </c>
      <c r="AY46" s="1073">
        <f>SUM('ASPI POSG plan'!BA67:BA71)</f>
        <v>15</v>
      </c>
      <c r="AZ46" s="1074">
        <f>SUM('ASPI POSG plan'!BB67:BB71)</f>
        <v>0</v>
      </c>
      <c r="BA46" s="1074">
        <f>SUM('ASPI POSG plan'!BC67:BC71)</f>
        <v>113</v>
      </c>
      <c r="BB46" s="1077">
        <f>SUM(AY46:BA46)</f>
        <v>128</v>
      </c>
    </row>
    <row r="47" spans="1:54" ht="15" x14ac:dyDescent="0.2">
      <c r="A47" s="5475"/>
      <c r="B47" s="583" t="s">
        <v>14</v>
      </c>
      <c r="C47" s="578">
        <f>SUM(C44:C46)</f>
        <v>4</v>
      </c>
      <c r="D47" s="579"/>
      <c r="E47" s="579">
        <f>SUM(E44:E46)</f>
        <v>320</v>
      </c>
      <c r="F47" s="579">
        <f>SUM(F44:F46)</f>
        <v>324</v>
      </c>
      <c r="G47" s="578">
        <v>29</v>
      </c>
      <c r="H47" s="579">
        <v>33</v>
      </c>
      <c r="I47" s="579">
        <v>369</v>
      </c>
      <c r="J47" s="579">
        <v>431</v>
      </c>
      <c r="K47" s="578">
        <v>160</v>
      </c>
      <c r="L47" s="579">
        <v>0</v>
      </c>
      <c r="M47" s="579">
        <v>124</v>
      </c>
      <c r="N47" s="580">
        <v>284</v>
      </c>
      <c r="O47" s="579">
        <v>211</v>
      </c>
      <c r="P47" s="579"/>
      <c r="Q47" s="579">
        <v>245</v>
      </c>
      <c r="R47" s="580">
        <v>456</v>
      </c>
      <c r="S47" s="579">
        <v>279</v>
      </c>
      <c r="T47" s="579"/>
      <c r="U47" s="579">
        <v>234</v>
      </c>
      <c r="V47" s="580">
        <v>513</v>
      </c>
      <c r="W47" s="579">
        <v>103</v>
      </c>
      <c r="X47" s="579"/>
      <c r="Y47" s="579">
        <v>554</v>
      </c>
      <c r="Z47" s="580">
        <v>657</v>
      </c>
      <c r="AA47" s="579">
        <f>SUM(AA44:AA46)</f>
        <v>1</v>
      </c>
      <c r="AB47" s="579">
        <f>SUM(AB44:AB46)</f>
        <v>260</v>
      </c>
      <c r="AC47" s="579">
        <f>SUM(AC44:AC46)</f>
        <v>220</v>
      </c>
      <c r="AD47" s="580">
        <f t="shared" si="26"/>
        <v>481</v>
      </c>
      <c r="AE47" s="579"/>
      <c r="AF47" s="579"/>
      <c r="AG47" s="579">
        <f>SUM(AG44:AG46)</f>
        <v>617</v>
      </c>
      <c r="AH47" s="580">
        <f t="shared" si="27"/>
        <v>617</v>
      </c>
      <c r="AI47" s="579">
        <f>SUM(AI44:AI46)</f>
        <v>18</v>
      </c>
      <c r="AJ47" s="579"/>
      <c r="AK47" s="579">
        <f>SUM(AK44:AK46)</f>
        <v>245</v>
      </c>
      <c r="AL47" s="580">
        <f t="shared" si="28"/>
        <v>263</v>
      </c>
      <c r="AM47" s="578"/>
      <c r="AN47" s="579"/>
      <c r="AO47" s="579">
        <f>SUM(AO44:AO46)</f>
        <v>631</v>
      </c>
      <c r="AP47" s="580">
        <f>SUM(AP44:AP46)</f>
        <v>631</v>
      </c>
      <c r="AQ47" s="578"/>
      <c r="AR47" s="579"/>
      <c r="AS47" s="579">
        <f t="shared" ref="AS47:AX47" si="31">SUM(AS44:AS46)</f>
        <v>139</v>
      </c>
      <c r="AT47" s="580">
        <f t="shared" si="31"/>
        <v>171</v>
      </c>
      <c r="AU47" s="578">
        <f t="shared" si="31"/>
        <v>19</v>
      </c>
      <c r="AV47" s="579">
        <f t="shared" si="31"/>
        <v>44</v>
      </c>
      <c r="AW47" s="579">
        <f t="shared" si="31"/>
        <v>663</v>
      </c>
      <c r="AX47" s="580">
        <f t="shared" si="31"/>
        <v>726</v>
      </c>
      <c r="AY47" s="578">
        <f t="shared" ref="AY47:BB47" si="32">SUM(AY44:AY46)</f>
        <v>78</v>
      </c>
      <c r="AZ47" s="579">
        <f t="shared" si="32"/>
        <v>1</v>
      </c>
      <c r="BA47" s="579">
        <f t="shared" si="32"/>
        <v>237</v>
      </c>
      <c r="BB47" s="580">
        <f t="shared" si="32"/>
        <v>316</v>
      </c>
    </row>
    <row r="48" spans="1:54" ht="15" x14ac:dyDescent="0.2">
      <c r="A48" s="5474" t="s">
        <v>11</v>
      </c>
      <c r="B48" s="1067" t="s">
        <v>631</v>
      </c>
      <c r="C48" s="1073">
        <f>SUM('ASPI POSG plan'!E73,'ASPI POSG plan'!E74)</f>
        <v>1</v>
      </c>
      <c r="D48" s="1074">
        <f>SUM('ASPI POSG plan'!F73,'ASPI POSG plan'!F74)</f>
        <v>2</v>
      </c>
      <c r="E48" s="1074">
        <f>SUM('ASPI POSG plan'!G73,'ASPI POSG plan'!G74)</f>
        <v>23</v>
      </c>
      <c r="F48" s="1075">
        <f>SUM(C48:E48)</f>
        <v>26</v>
      </c>
      <c r="G48" s="1073">
        <v>2</v>
      </c>
      <c r="H48" s="1074">
        <v>3</v>
      </c>
      <c r="I48" s="1074">
        <v>26</v>
      </c>
      <c r="J48" s="1075">
        <v>31</v>
      </c>
      <c r="K48" s="1073">
        <v>2</v>
      </c>
      <c r="L48" s="1074">
        <v>6</v>
      </c>
      <c r="M48" s="1074">
        <v>19</v>
      </c>
      <c r="N48" s="1076">
        <v>27</v>
      </c>
      <c r="O48" s="1074">
        <v>13</v>
      </c>
      <c r="P48" s="1074">
        <v>7</v>
      </c>
      <c r="Q48" s="1074">
        <v>11</v>
      </c>
      <c r="R48" s="1076">
        <v>31</v>
      </c>
      <c r="S48" s="1074">
        <v>7</v>
      </c>
      <c r="T48" s="1074">
        <v>21</v>
      </c>
      <c r="U48" s="1074">
        <v>15</v>
      </c>
      <c r="V48" s="1076">
        <v>43</v>
      </c>
      <c r="W48" s="1074">
        <v>2</v>
      </c>
      <c r="X48" s="1074">
        <v>9</v>
      </c>
      <c r="Y48" s="1074">
        <v>31</v>
      </c>
      <c r="Z48" s="1076">
        <v>42</v>
      </c>
      <c r="AA48" s="1074">
        <v>3</v>
      </c>
      <c r="AB48" s="1074">
        <v>7</v>
      </c>
      <c r="AC48" s="1074">
        <v>18</v>
      </c>
      <c r="AD48" s="1076">
        <f t="shared" si="26"/>
        <v>28</v>
      </c>
      <c r="AE48" s="1074">
        <v>7</v>
      </c>
      <c r="AF48" s="1074">
        <v>11</v>
      </c>
      <c r="AG48" s="1074">
        <v>55</v>
      </c>
      <c r="AH48" s="1076">
        <f t="shared" si="27"/>
        <v>73</v>
      </c>
      <c r="AI48" s="1074">
        <v>12</v>
      </c>
      <c r="AJ48" s="1074">
        <v>6</v>
      </c>
      <c r="AK48" s="1074">
        <v>29</v>
      </c>
      <c r="AL48" s="1076">
        <f t="shared" si="28"/>
        <v>47</v>
      </c>
      <c r="AM48" s="1068">
        <f>SUM('ASPI POSG plan'!AO73,'ASPI POSG plan'!AO74)</f>
        <v>10</v>
      </c>
      <c r="AN48" s="1069">
        <f>SUM('ASPI POSG plan'!AP73,'ASPI POSG plan'!AP74)</f>
        <v>15</v>
      </c>
      <c r="AO48" s="1069">
        <f>SUM('ASPI POSG plan'!AQ73,'ASPI POSG plan'!AQ74)</f>
        <v>20</v>
      </c>
      <c r="AP48" s="1086">
        <f>SUM(AM48:AO48)</f>
        <v>45</v>
      </c>
      <c r="AQ48" s="1068">
        <f>SUM('ASPI POSG plan'!AS73,'ASPI POSG plan'!AS74)</f>
        <v>6</v>
      </c>
      <c r="AR48" s="1069">
        <f>SUM('ASPI POSG plan'!AT73,'ASPI POSG plan'!AT74)</f>
        <v>6</v>
      </c>
      <c r="AS48" s="1069">
        <f>SUM('ASPI POSG plan'!AU73,'ASPI POSG plan'!AU74)</f>
        <v>16</v>
      </c>
      <c r="AT48" s="1086">
        <f>SUM(AQ48:AS48)</f>
        <v>28</v>
      </c>
      <c r="AU48" s="1068">
        <f>SUM('ASPI POSG plan'!AW73,'ASPI POSG plan'!AW74)</f>
        <v>5</v>
      </c>
      <c r="AV48" s="1069">
        <f>SUM('ASPI POSG plan'!AX73,'ASPI POSG plan'!AX74)</f>
        <v>9</v>
      </c>
      <c r="AW48" s="1069">
        <f>SUM('ASPI POSG plan'!AY73,'ASPI POSG plan'!AY74)</f>
        <v>12</v>
      </c>
      <c r="AX48" s="1086">
        <f>SUM(AU48:AW48)</f>
        <v>26</v>
      </c>
      <c r="AY48" s="1068">
        <f>SUM('ASPI POSG plan'!BA73,'ASPI POSG plan'!BA74)</f>
        <v>9</v>
      </c>
      <c r="AZ48" s="1069">
        <f>SUM('ASPI POSG plan'!BB73,'ASPI POSG plan'!BB74)</f>
        <v>6</v>
      </c>
      <c r="BA48" s="1069">
        <f>SUM('ASPI POSG plan'!BC73,'ASPI POSG plan'!BC74)</f>
        <v>12</v>
      </c>
      <c r="BB48" s="1086">
        <f>SUM(AY48:BA48)</f>
        <v>27</v>
      </c>
    </row>
    <row r="49" spans="1:54" ht="15" x14ac:dyDescent="0.2">
      <c r="A49" s="5474"/>
      <c r="B49" s="1072" t="s">
        <v>632</v>
      </c>
      <c r="C49" s="1073">
        <f>SUM('ASPI POSG plan'!E75,'ASPI POSG plan'!E76,'ASPI POSG plan'!E77,'ASPI POSG plan'!E80,'ASPI POSG plan'!E80,'ASPI POSG plan'!E78)</f>
        <v>36</v>
      </c>
      <c r="D49" s="1074">
        <f>SUM('ASPI POSG plan'!F75,'ASPI POSG plan'!F76,'ASPI POSG plan'!F77,'ASPI POSG plan'!F80,'ASPI POSG plan'!F80,'ASPI POSG plan'!F78)</f>
        <v>0</v>
      </c>
      <c r="E49" s="1074">
        <f>SUM('ASPI POSG plan'!G75,'ASPI POSG plan'!G76,'ASPI POSG plan'!G77,'ASPI POSG plan'!G80,'ASPI POSG plan'!G80,'ASPI POSG plan'!G78)</f>
        <v>64</v>
      </c>
      <c r="F49" s="1075">
        <f>SUM(C49:E49)</f>
        <v>100</v>
      </c>
      <c r="G49" s="1073">
        <v>27</v>
      </c>
      <c r="H49" s="1074">
        <v>0</v>
      </c>
      <c r="I49" s="1074">
        <v>62</v>
      </c>
      <c r="J49" s="1075">
        <v>89</v>
      </c>
      <c r="K49" s="1073">
        <v>43</v>
      </c>
      <c r="L49" s="1074">
        <v>0</v>
      </c>
      <c r="M49" s="1074">
        <v>80</v>
      </c>
      <c r="N49" s="1076">
        <v>123</v>
      </c>
      <c r="O49" s="1074">
        <v>15</v>
      </c>
      <c r="P49" s="1074"/>
      <c r="Q49" s="1074">
        <v>93</v>
      </c>
      <c r="R49" s="1076">
        <v>108</v>
      </c>
      <c r="S49" s="1074">
        <v>15</v>
      </c>
      <c r="T49" s="1074"/>
      <c r="U49" s="1074">
        <v>127</v>
      </c>
      <c r="V49" s="1076">
        <v>142</v>
      </c>
      <c r="W49" s="1074">
        <v>0</v>
      </c>
      <c r="X49" s="1074"/>
      <c r="Y49" s="1074">
        <v>124</v>
      </c>
      <c r="Z49" s="1076">
        <v>124</v>
      </c>
      <c r="AA49" s="1074"/>
      <c r="AB49" s="1074"/>
      <c r="AC49" s="1074">
        <v>120</v>
      </c>
      <c r="AD49" s="1076">
        <f t="shared" si="26"/>
        <v>120</v>
      </c>
      <c r="AE49" s="1074"/>
      <c r="AF49" s="1074"/>
      <c r="AG49" s="1074">
        <v>166</v>
      </c>
      <c r="AH49" s="1076">
        <f t="shared" si="27"/>
        <v>166</v>
      </c>
      <c r="AI49" s="1074"/>
      <c r="AJ49" s="1074"/>
      <c r="AK49" s="1074">
        <v>167</v>
      </c>
      <c r="AL49" s="1076">
        <f t="shared" si="28"/>
        <v>167</v>
      </c>
      <c r="AM49" s="1073">
        <f>SUM('ASPI POSG plan'!AO75,'ASPI POSG plan'!AO76,'ASPI POSG plan'!AO77,'ASPI POSG plan'!AO78)</f>
        <v>18</v>
      </c>
      <c r="AN49" s="1074">
        <f>SUM('ASPI POSG plan'!AP75,'ASPI POSG plan'!AP76,'ASPI POSG plan'!AP77,'ASPI POSG plan'!AP78)</f>
        <v>0</v>
      </c>
      <c r="AO49" s="1074">
        <f>SUM('ASPI POSG plan'!AQ75,'ASPI POSG plan'!AQ76,'ASPI POSG plan'!AQ77,'ASPI POSG plan'!AQ78)</f>
        <v>136</v>
      </c>
      <c r="AP49" s="1076">
        <f>SUM(AM49:AO49)</f>
        <v>154</v>
      </c>
      <c r="AQ49" s="1073">
        <f>SUM('ASPI POSG plan'!AS75,'ASPI POSG plan'!AS76,'ASPI POSG plan'!AS77,'ASPI POSG plan'!AS78)</f>
        <v>0</v>
      </c>
      <c r="AR49" s="1074">
        <f>SUM('ASPI POSG plan'!AT75,'ASPI POSG plan'!AT76,'ASPI POSG plan'!AT77,'ASPI POSG plan'!AT78)</f>
        <v>0</v>
      </c>
      <c r="AS49" s="1074">
        <f>SUM('ASPI POSG plan'!AU75,'ASPI POSG plan'!AU76,'ASPI POSG plan'!AU77,'ASPI POSG plan'!AU78)</f>
        <v>67</v>
      </c>
      <c r="AT49" s="1076">
        <f>SUM(AQ49:AS49)</f>
        <v>67</v>
      </c>
      <c r="AU49" s="1073">
        <f>SUM('ASPI POSG plan'!AW75,'ASPI POSG plan'!AW76,'ASPI POSG plan'!AW77,'ASPI POSG plan'!AW78)</f>
        <v>0</v>
      </c>
      <c r="AV49" s="1074">
        <f>SUM('ASPI POSG plan'!AX75,'ASPI POSG plan'!AX76,'ASPI POSG plan'!AX77,'ASPI POSG plan'!AX78)</f>
        <v>0</v>
      </c>
      <c r="AW49" s="1074">
        <f>SUM('ASPI POSG plan'!AY75,'ASPI POSG plan'!AY76,'ASPI POSG plan'!AY77,'ASPI POSG plan'!AY78)</f>
        <v>176</v>
      </c>
      <c r="AX49" s="1076">
        <f>SUM(AU49:AW49)</f>
        <v>176</v>
      </c>
      <c r="AY49" s="1073">
        <f>SUM('ASPI POSG plan'!BA75,'ASPI POSG plan'!BA76,'ASPI POSG plan'!BA77,'ASPI POSG plan'!BA78)</f>
        <v>0</v>
      </c>
      <c r="AZ49" s="1074">
        <f>SUM('ASPI POSG plan'!BB75,'ASPI POSG plan'!BB76,'ASPI POSG plan'!BB77,'ASPI POSG plan'!BB78)</f>
        <v>0</v>
      </c>
      <c r="BA49" s="1074">
        <f>SUM('ASPI POSG plan'!BC75,'ASPI POSG plan'!BC76,'ASPI POSG plan'!BC77,'ASPI POSG plan'!BC78)</f>
        <v>119</v>
      </c>
      <c r="BB49" s="1076">
        <f>SUM(AY49:BA49)</f>
        <v>119</v>
      </c>
    </row>
    <row r="50" spans="1:54" ht="15" x14ac:dyDescent="0.2">
      <c r="A50" s="5474"/>
      <c r="B50" s="1078" t="s">
        <v>633</v>
      </c>
      <c r="C50" s="1073">
        <f>SUM('ASPI POSG plan'!E79,'ASPI POSG plan'!E80,'ASPI POSG plan'!E81)</f>
        <v>8</v>
      </c>
      <c r="D50" s="1074">
        <f>SUM('ASPI POSG plan'!F79,'ASPI POSG plan'!F80,'ASPI POSG plan'!F81)</f>
        <v>0</v>
      </c>
      <c r="E50" s="1074">
        <f>SUM('ASPI POSG plan'!G79,'ASPI POSG plan'!G80,'ASPI POSG plan'!G81)</f>
        <v>10</v>
      </c>
      <c r="F50" s="1075">
        <f>SUM(C50:E50)</f>
        <v>18</v>
      </c>
      <c r="G50" s="1073">
        <v>10</v>
      </c>
      <c r="H50" s="1074">
        <v>0</v>
      </c>
      <c r="I50" s="1074">
        <v>15</v>
      </c>
      <c r="J50" s="1075">
        <v>25</v>
      </c>
      <c r="K50" s="1073">
        <v>19</v>
      </c>
      <c r="L50" s="1074">
        <v>0</v>
      </c>
      <c r="M50" s="1074">
        <v>10</v>
      </c>
      <c r="N50" s="1076">
        <v>29</v>
      </c>
      <c r="O50" s="1074">
        <v>5</v>
      </c>
      <c r="P50" s="1074"/>
      <c r="Q50" s="1074">
        <v>8</v>
      </c>
      <c r="R50" s="1076">
        <v>13</v>
      </c>
      <c r="S50" s="1074">
        <v>4</v>
      </c>
      <c r="T50" s="1074"/>
      <c r="U50" s="1074">
        <v>19</v>
      </c>
      <c r="V50" s="1076">
        <v>23</v>
      </c>
      <c r="W50" s="1074">
        <v>17</v>
      </c>
      <c r="X50" s="1074"/>
      <c r="Y50" s="1074">
        <v>37</v>
      </c>
      <c r="Z50" s="1076">
        <v>54</v>
      </c>
      <c r="AA50" s="1074">
        <v>13</v>
      </c>
      <c r="AB50" s="1074"/>
      <c r="AC50" s="1074">
        <v>46</v>
      </c>
      <c r="AD50" s="1076">
        <f t="shared" si="26"/>
        <v>59</v>
      </c>
      <c r="AE50" s="1074">
        <v>43</v>
      </c>
      <c r="AF50" s="1074"/>
      <c r="AG50" s="1074">
        <v>44</v>
      </c>
      <c r="AH50" s="1076">
        <f t="shared" si="27"/>
        <v>87</v>
      </c>
      <c r="AI50" s="1074">
        <v>27</v>
      </c>
      <c r="AJ50" s="1074"/>
      <c r="AK50" s="1074">
        <v>50</v>
      </c>
      <c r="AL50" s="1076">
        <f t="shared" si="28"/>
        <v>77</v>
      </c>
      <c r="AM50" s="1073">
        <f>SUM('ASPI POSG plan'!AO79,'ASPI POSG plan'!AO80,'ASPI POSG plan'!AO81)</f>
        <v>39</v>
      </c>
      <c r="AN50" s="1074">
        <f>SUM('ASPI POSG plan'!AP79,'ASPI POSG plan'!AP80,'ASPI POSG plan'!AP81)</f>
        <v>0</v>
      </c>
      <c r="AO50" s="1074">
        <f>SUM('ASPI POSG plan'!AQ79,'ASPI POSG plan'!AQ80,'ASPI POSG plan'!AQ81)</f>
        <v>30</v>
      </c>
      <c r="AP50" s="1076">
        <f>SUM(AM50:AO50)</f>
        <v>69</v>
      </c>
      <c r="AQ50" s="1073">
        <f>SUM('ASPI POSG plan'!AS79,'ASPI POSG plan'!AS80,'ASPI POSG plan'!AS81)</f>
        <v>32</v>
      </c>
      <c r="AR50" s="1074">
        <f>SUM('ASPI POSG plan'!AT79,'ASPI POSG plan'!AT80,'ASPI POSG plan'!AT81)</f>
        <v>0</v>
      </c>
      <c r="AS50" s="1074">
        <f>SUM('ASPI POSG plan'!AU79,'ASPI POSG plan'!AU80,'ASPI POSG plan'!AU81)</f>
        <v>130</v>
      </c>
      <c r="AT50" s="1076">
        <f>SUM(AQ50:AS50)</f>
        <v>162</v>
      </c>
      <c r="AU50" s="1073">
        <f>SUM('ASPI POSG plan'!AW79,'ASPI POSG plan'!AW80,'ASPI POSG plan'!AW81)</f>
        <v>38</v>
      </c>
      <c r="AV50" s="1074">
        <f>SUM('ASPI POSG plan'!AX79,'ASPI POSG plan'!AX80,'ASPI POSG plan'!AX81)</f>
        <v>0</v>
      </c>
      <c r="AW50" s="1074">
        <f>SUM('ASPI POSG plan'!AY79,'ASPI POSG plan'!AY80,'ASPI POSG plan'!AY81)</f>
        <v>36</v>
      </c>
      <c r="AX50" s="1076">
        <f>SUM(AU50:AW50)</f>
        <v>74</v>
      </c>
      <c r="AY50" s="1073">
        <f>SUM('ASPI POSG plan'!BA79,'ASPI POSG plan'!BA80,'ASPI POSG plan'!BA81)</f>
        <v>24</v>
      </c>
      <c r="AZ50" s="1074">
        <f>SUM('ASPI POSG plan'!BB79,'ASPI POSG plan'!BB80,'ASPI POSG plan'!BB81)</f>
        <v>0</v>
      </c>
      <c r="BA50" s="1074">
        <f>SUM('ASPI POSG plan'!BC79,'ASPI POSG plan'!BC80,'ASPI POSG plan'!BC81)</f>
        <v>50</v>
      </c>
      <c r="BB50" s="1076">
        <f>SUM(AY50:BA50)</f>
        <v>74</v>
      </c>
    </row>
    <row r="51" spans="1:54" ht="15" x14ac:dyDescent="0.2">
      <c r="A51" s="5475"/>
      <c r="B51" s="583" t="s">
        <v>30</v>
      </c>
      <c r="C51" s="578">
        <f>SUM(C48:C50)</f>
        <v>45</v>
      </c>
      <c r="D51" s="579">
        <f>SUM(D48:D50)</f>
        <v>2</v>
      </c>
      <c r="E51" s="579">
        <f>SUM(E48:E50)</f>
        <v>97</v>
      </c>
      <c r="F51" s="579">
        <f>SUM(F48:F50)</f>
        <v>144</v>
      </c>
      <c r="G51" s="578">
        <v>39</v>
      </c>
      <c r="H51" s="579">
        <v>3</v>
      </c>
      <c r="I51" s="579">
        <v>103</v>
      </c>
      <c r="J51" s="579">
        <v>145</v>
      </c>
      <c r="K51" s="578">
        <v>64</v>
      </c>
      <c r="L51" s="579">
        <v>6</v>
      </c>
      <c r="M51" s="579">
        <v>109</v>
      </c>
      <c r="N51" s="580">
        <v>179</v>
      </c>
      <c r="O51" s="579">
        <v>33</v>
      </c>
      <c r="P51" s="579">
        <v>7</v>
      </c>
      <c r="Q51" s="579">
        <v>112</v>
      </c>
      <c r="R51" s="580">
        <v>152</v>
      </c>
      <c r="S51" s="579">
        <v>26</v>
      </c>
      <c r="T51" s="579">
        <v>21</v>
      </c>
      <c r="U51" s="579">
        <v>161</v>
      </c>
      <c r="V51" s="580">
        <v>208</v>
      </c>
      <c r="W51" s="579">
        <v>19</v>
      </c>
      <c r="X51" s="579">
        <v>9</v>
      </c>
      <c r="Y51" s="579">
        <v>192</v>
      </c>
      <c r="Z51" s="580">
        <v>220</v>
      </c>
      <c r="AA51" s="579">
        <f>SUM(AA48:AA50)</f>
        <v>16</v>
      </c>
      <c r="AB51" s="579">
        <f>SUM(AB48:AB50)</f>
        <v>7</v>
      </c>
      <c r="AC51" s="579">
        <f>SUM(AC48:AC50)</f>
        <v>184</v>
      </c>
      <c r="AD51" s="580">
        <f t="shared" si="26"/>
        <v>207</v>
      </c>
      <c r="AE51" s="579">
        <f>SUM(AE48:AE50)</f>
        <v>50</v>
      </c>
      <c r="AF51" s="579">
        <f>SUM(AF48:AF50)</f>
        <v>11</v>
      </c>
      <c r="AG51" s="579">
        <f>SUM(AG48:AG50)</f>
        <v>265</v>
      </c>
      <c r="AH51" s="580">
        <f t="shared" si="27"/>
        <v>326</v>
      </c>
      <c r="AI51" s="579">
        <f>SUM(AI48:AI50)</f>
        <v>39</v>
      </c>
      <c r="AJ51" s="579">
        <f>SUM(AJ48:AJ50)</f>
        <v>6</v>
      </c>
      <c r="AK51" s="579">
        <f>SUM(AK48:AK50)</f>
        <v>246</v>
      </c>
      <c r="AL51" s="580">
        <f t="shared" si="28"/>
        <v>291</v>
      </c>
      <c r="AM51" s="578">
        <f t="shared" ref="AM51:AT51" si="33">SUM(AM48:AM50)</f>
        <v>67</v>
      </c>
      <c r="AN51" s="579">
        <f t="shared" si="33"/>
        <v>15</v>
      </c>
      <c r="AO51" s="579">
        <f t="shared" si="33"/>
        <v>186</v>
      </c>
      <c r="AP51" s="580">
        <f t="shared" si="33"/>
        <v>268</v>
      </c>
      <c r="AQ51" s="578">
        <f t="shared" si="33"/>
        <v>38</v>
      </c>
      <c r="AR51" s="579">
        <f t="shared" si="33"/>
        <v>6</v>
      </c>
      <c r="AS51" s="579">
        <f t="shared" si="33"/>
        <v>213</v>
      </c>
      <c r="AT51" s="580">
        <f t="shared" si="33"/>
        <v>257</v>
      </c>
      <c r="AU51" s="578">
        <f t="shared" ref="AU51:BB51" si="34">SUM(AU48:AU50)</f>
        <v>43</v>
      </c>
      <c r="AV51" s="579">
        <f t="shared" si="34"/>
        <v>9</v>
      </c>
      <c r="AW51" s="579">
        <f t="shared" si="34"/>
        <v>224</v>
      </c>
      <c r="AX51" s="580">
        <f t="shared" si="34"/>
        <v>276</v>
      </c>
      <c r="AY51" s="578">
        <f t="shared" si="34"/>
        <v>33</v>
      </c>
      <c r="AZ51" s="579">
        <f t="shared" si="34"/>
        <v>6</v>
      </c>
      <c r="BA51" s="579">
        <f t="shared" si="34"/>
        <v>181</v>
      </c>
      <c r="BB51" s="580">
        <f t="shared" si="34"/>
        <v>220</v>
      </c>
    </row>
    <row r="52" spans="1:54" ht="15" customHeight="1" x14ac:dyDescent="0.2">
      <c r="A52" s="5476" t="s">
        <v>696</v>
      </c>
      <c r="B52" s="1067" t="s">
        <v>631</v>
      </c>
      <c r="C52" s="1073">
        <f>SUM(C40,C44,C48)</f>
        <v>1</v>
      </c>
      <c r="D52" s="1074">
        <f>SUM(D40,D44,D48)</f>
        <v>2</v>
      </c>
      <c r="E52" s="1074">
        <f>SUM(E40,E44,E48)</f>
        <v>209</v>
      </c>
      <c r="F52" s="1075">
        <f>SUM(C52:E52)</f>
        <v>212</v>
      </c>
      <c r="G52" s="1073">
        <v>2</v>
      </c>
      <c r="H52" s="1074">
        <v>3</v>
      </c>
      <c r="I52" s="1074">
        <v>232</v>
      </c>
      <c r="J52" s="1075">
        <v>237</v>
      </c>
      <c r="K52" s="1073">
        <v>2</v>
      </c>
      <c r="L52" s="1074">
        <v>6</v>
      </c>
      <c r="M52" s="1074">
        <v>78</v>
      </c>
      <c r="N52" s="1076">
        <v>86</v>
      </c>
      <c r="O52" s="1074">
        <v>168</v>
      </c>
      <c r="P52" s="1074">
        <v>7</v>
      </c>
      <c r="Q52" s="1074">
        <v>33</v>
      </c>
      <c r="R52" s="1076">
        <v>208</v>
      </c>
      <c r="S52" s="1074">
        <v>139</v>
      </c>
      <c r="T52" s="1074">
        <v>21</v>
      </c>
      <c r="U52" s="1074">
        <v>117</v>
      </c>
      <c r="V52" s="1076">
        <v>277</v>
      </c>
      <c r="W52" s="1074">
        <v>105</v>
      </c>
      <c r="X52" s="1074">
        <v>9</v>
      </c>
      <c r="Y52" s="1074">
        <v>31</v>
      </c>
      <c r="Z52" s="1077">
        <v>145</v>
      </c>
      <c r="AA52" s="1074">
        <f t="shared" ref="AA52:AL54" si="35">AA40+AA44+AA48</f>
        <v>3</v>
      </c>
      <c r="AB52" s="1074">
        <f t="shared" si="35"/>
        <v>215</v>
      </c>
      <c r="AC52" s="1074">
        <f t="shared" si="35"/>
        <v>152</v>
      </c>
      <c r="AD52" s="1076">
        <f t="shared" si="35"/>
        <v>370</v>
      </c>
      <c r="AE52" s="1074">
        <f t="shared" si="35"/>
        <v>7</v>
      </c>
      <c r="AF52" s="1074">
        <f t="shared" si="35"/>
        <v>11</v>
      </c>
      <c r="AG52" s="1074">
        <f t="shared" si="35"/>
        <v>170</v>
      </c>
      <c r="AH52" s="1076">
        <f t="shared" si="35"/>
        <v>188</v>
      </c>
      <c r="AI52" s="1074">
        <f t="shared" si="35"/>
        <v>12</v>
      </c>
      <c r="AJ52" s="1074">
        <f t="shared" si="35"/>
        <v>6</v>
      </c>
      <c r="AK52" s="1074">
        <f t="shared" si="35"/>
        <v>98</v>
      </c>
      <c r="AL52" s="1076">
        <f t="shared" si="35"/>
        <v>116</v>
      </c>
      <c r="AM52" s="1074">
        <f t="shared" ref="AM52:AT52" si="36">AM40+AM44+AM48</f>
        <v>10</v>
      </c>
      <c r="AN52" s="1074">
        <f t="shared" si="36"/>
        <v>15</v>
      </c>
      <c r="AO52" s="1074">
        <f t="shared" si="36"/>
        <v>131</v>
      </c>
      <c r="AP52" s="1076">
        <f t="shared" si="36"/>
        <v>156</v>
      </c>
      <c r="AQ52" s="1074">
        <f t="shared" si="36"/>
        <v>6</v>
      </c>
      <c r="AR52" s="1074">
        <f t="shared" si="36"/>
        <v>6</v>
      </c>
      <c r="AS52" s="1074">
        <f t="shared" si="36"/>
        <v>16</v>
      </c>
      <c r="AT52" s="1076">
        <f t="shared" si="36"/>
        <v>28</v>
      </c>
      <c r="AU52" s="1074">
        <f t="shared" ref="AU52:BB52" si="37">AU40+AU44+AU48</f>
        <v>5</v>
      </c>
      <c r="AV52" s="1074">
        <f t="shared" si="37"/>
        <v>9</v>
      </c>
      <c r="AW52" s="1074">
        <f t="shared" si="37"/>
        <v>127</v>
      </c>
      <c r="AX52" s="1076">
        <f t="shared" si="37"/>
        <v>141</v>
      </c>
      <c r="AY52" s="1074">
        <f t="shared" si="37"/>
        <v>62</v>
      </c>
      <c r="AZ52" s="1074">
        <f t="shared" si="37"/>
        <v>7</v>
      </c>
      <c r="BA52" s="1074">
        <f t="shared" si="37"/>
        <v>50</v>
      </c>
      <c r="BB52" s="1076">
        <f t="shared" si="37"/>
        <v>119</v>
      </c>
    </row>
    <row r="53" spans="1:54" ht="15" x14ac:dyDescent="0.2">
      <c r="A53" s="5476"/>
      <c r="B53" s="1072" t="s">
        <v>632</v>
      </c>
      <c r="C53" s="1073">
        <f t="shared" ref="C53:E54" si="38">SUM(C41,C45,C49)</f>
        <v>62</v>
      </c>
      <c r="D53" s="1074">
        <f t="shared" si="38"/>
        <v>30</v>
      </c>
      <c r="E53" s="1074">
        <f t="shared" si="38"/>
        <v>266</v>
      </c>
      <c r="F53" s="1075">
        <f>SUM(C53:E53)</f>
        <v>358</v>
      </c>
      <c r="G53" s="1073">
        <v>97</v>
      </c>
      <c r="H53" s="1074">
        <v>65</v>
      </c>
      <c r="I53" s="1074">
        <v>304</v>
      </c>
      <c r="J53" s="1075">
        <v>466</v>
      </c>
      <c r="K53" s="1073">
        <v>256</v>
      </c>
      <c r="L53" s="1074">
        <v>39</v>
      </c>
      <c r="M53" s="1074">
        <v>243</v>
      </c>
      <c r="N53" s="1076">
        <v>538</v>
      </c>
      <c r="O53" s="1074">
        <v>96</v>
      </c>
      <c r="P53" s="1074">
        <v>37</v>
      </c>
      <c r="Q53" s="1074">
        <v>427</v>
      </c>
      <c r="R53" s="1076">
        <v>560</v>
      </c>
      <c r="S53" s="1074">
        <v>192</v>
      </c>
      <c r="T53" s="1074">
        <v>20</v>
      </c>
      <c r="U53" s="1074">
        <v>339</v>
      </c>
      <c r="V53" s="1076">
        <v>551</v>
      </c>
      <c r="W53" s="1074">
        <v>26</v>
      </c>
      <c r="X53" s="1074">
        <v>18</v>
      </c>
      <c r="Y53" s="1074">
        <v>595</v>
      </c>
      <c r="Z53" s="1077">
        <v>639</v>
      </c>
      <c r="AA53" s="1074">
        <f t="shared" si="35"/>
        <v>15</v>
      </c>
      <c r="AB53" s="1074">
        <f t="shared" si="35"/>
        <v>15</v>
      </c>
      <c r="AC53" s="1074">
        <f t="shared" si="35"/>
        <v>347</v>
      </c>
      <c r="AD53" s="1076">
        <f t="shared" si="35"/>
        <v>377</v>
      </c>
      <c r="AE53" s="1074">
        <f>SUM(AE41,AE45,AE49)</f>
        <v>29</v>
      </c>
      <c r="AF53" s="1074">
        <f t="shared" si="35"/>
        <v>13</v>
      </c>
      <c r="AG53" s="1074">
        <f t="shared" si="35"/>
        <v>573</v>
      </c>
      <c r="AH53" s="1076">
        <f t="shared" si="35"/>
        <v>615</v>
      </c>
      <c r="AI53" s="1074">
        <f>SUM(AI41,AI45,AI49)</f>
        <v>15</v>
      </c>
      <c r="AJ53" s="1074">
        <f t="shared" si="35"/>
        <v>16</v>
      </c>
      <c r="AK53" s="1074">
        <f t="shared" si="35"/>
        <v>307</v>
      </c>
      <c r="AL53" s="1076">
        <f t="shared" si="35"/>
        <v>338</v>
      </c>
      <c r="AM53" s="1074">
        <f>SUM(AM41,AM45,AM49)</f>
        <v>45</v>
      </c>
      <c r="AN53" s="1074">
        <f t="shared" ref="AN53:AP54" si="39">AN41+AN45+AN49</f>
        <v>11</v>
      </c>
      <c r="AO53" s="1074">
        <f t="shared" si="39"/>
        <v>589</v>
      </c>
      <c r="AP53" s="1076">
        <f t="shared" si="39"/>
        <v>645</v>
      </c>
      <c r="AQ53" s="1074">
        <f>SUM(AQ41,AQ45,AQ49)</f>
        <v>67</v>
      </c>
      <c r="AR53" s="1074">
        <f t="shared" ref="AR53:AT54" si="40">AR41+AR45+AR49</f>
        <v>14</v>
      </c>
      <c r="AS53" s="1074">
        <f t="shared" si="40"/>
        <v>189</v>
      </c>
      <c r="AT53" s="1076">
        <f t="shared" si="40"/>
        <v>270</v>
      </c>
      <c r="AU53" s="1074">
        <f>SUM(AU41,AU45,AU49)</f>
        <v>69</v>
      </c>
      <c r="AV53" s="1074">
        <f t="shared" ref="AV53:AX54" si="41">AV41+AV45+AV49</f>
        <v>59</v>
      </c>
      <c r="AW53" s="1074">
        <f t="shared" si="41"/>
        <v>636</v>
      </c>
      <c r="AX53" s="1076">
        <f t="shared" si="41"/>
        <v>764</v>
      </c>
      <c r="AY53" s="1074">
        <f>SUM(AY41,AY45,AY49)</f>
        <v>69</v>
      </c>
      <c r="AZ53" s="1074">
        <f t="shared" ref="AZ53:BB53" si="42">AZ41+AZ45+AZ49</f>
        <v>32</v>
      </c>
      <c r="BA53" s="1074">
        <f t="shared" si="42"/>
        <v>320</v>
      </c>
      <c r="BB53" s="1076">
        <f t="shared" si="42"/>
        <v>421</v>
      </c>
    </row>
    <row r="54" spans="1:54" ht="15" x14ac:dyDescent="0.2">
      <c r="A54" s="5476"/>
      <c r="B54" s="1078" t="s">
        <v>633</v>
      </c>
      <c r="C54" s="1073">
        <f t="shared" si="38"/>
        <v>8</v>
      </c>
      <c r="D54" s="1074">
        <f t="shared" si="38"/>
        <v>0</v>
      </c>
      <c r="E54" s="1074">
        <f t="shared" si="38"/>
        <v>10</v>
      </c>
      <c r="F54" s="1075">
        <f>SUM(C54:E54)</f>
        <v>18</v>
      </c>
      <c r="G54" s="1073">
        <v>10</v>
      </c>
      <c r="H54" s="1074">
        <v>0</v>
      </c>
      <c r="I54" s="1074">
        <v>15</v>
      </c>
      <c r="J54" s="1075">
        <v>25</v>
      </c>
      <c r="K54" s="1073">
        <v>19</v>
      </c>
      <c r="L54" s="1074">
        <v>0</v>
      </c>
      <c r="M54" s="1074">
        <v>10</v>
      </c>
      <c r="N54" s="1076">
        <v>29</v>
      </c>
      <c r="O54" s="1074">
        <v>5</v>
      </c>
      <c r="P54" s="1074"/>
      <c r="Q54" s="1074">
        <v>8</v>
      </c>
      <c r="R54" s="1076">
        <v>13</v>
      </c>
      <c r="S54" s="1074">
        <v>4</v>
      </c>
      <c r="T54" s="1074"/>
      <c r="U54" s="1074">
        <v>19</v>
      </c>
      <c r="V54" s="1076">
        <v>23</v>
      </c>
      <c r="W54" s="1074">
        <v>24</v>
      </c>
      <c r="X54" s="1074">
        <v>1</v>
      </c>
      <c r="Y54" s="1074">
        <v>227</v>
      </c>
      <c r="Z54" s="1077">
        <v>252</v>
      </c>
      <c r="AA54" s="1074">
        <f t="shared" si="35"/>
        <v>14</v>
      </c>
      <c r="AB54" s="1074">
        <f t="shared" si="35"/>
        <v>52</v>
      </c>
      <c r="AC54" s="1074">
        <f t="shared" si="35"/>
        <v>46</v>
      </c>
      <c r="AD54" s="1076">
        <f t="shared" si="35"/>
        <v>112</v>
      </c>
      <c r="AE54" s="1074">
        <f>AE42+AE46+AE50</f>
        <v>56</v>
      </c>
      <c r="AF54" s="1074">
        <f t="shared" si="35"/>
        <v>3</v>
      </c>
      <c r="AG54" s="1074">
        <f t="shared" si="35"/>
        <v>255</v>
      </c>
      <c r="AH54" s="1076">
        <f t="shared" si="35"/>
        <v>314</v>
      </c>
      <c r="AI54" s="1074">
        <f>AI42+AI46+AI50</f>
        <v>68</v>
      </c>
      <c r="AJ54" s="1074">
        <f t="shared" si="35"/>
        <v>9</v>
      </c>
      <c r="AK54" s="1074">
        <f t="shared" si="35"/>
        <v>230</v>
      </c>
      <c r="AL54" s="1076">
        <f t="shared" si="35"/>
        <v>307</v>
      </c>
      <c r="AM54" s="1074">
        <f>AM42+AM46+AM50</f>
        <v>62</v>
      </c>
      <c r="AN54" s="1074">
        <f t="shared" si="39"/>
        <v>3</v>
      </c>
      <c r="AO54" s="1074">
        <f t="shared" si="39"/>
        <v>261</v>
      </c>
      <c r="AP54" s="1076">
        <f t="shared" si="39"/>
        <v>326</v>
      </c>
      <c r="AQ54" s="1074">
        <f>AQ42+AQ46+AQ50</f>
        <v>75</v>
      </c>
      <c r="AR54" s="1074">
        <f t="shared" si="40"/>
        <v>8</v>
      </c>
      <c r="AS54" s="1074">
        <f t="shared" si="40"/>
        <v>294</v>
      </c>
      <c r="AT54" s="1076">
        <f t="shared" si="40"/>
        <v>377</v>
      </c>
      <c r="AU54" s="1074">
        <f>AU42+AU46+AU50</f>
        <v>56</v>
      </c>
      <c r="AV54" s="1074">
        <f t="shared" si="41"/>
        <v>6</v>
      </c>
      <c r="AW54" s="1074">
        <f t="shared" si="41"/>
        <v>262</v>
      </c>
      <c r="AX54" s="1076">
        <f t="shared" si="41"/>
        <v>324</v>
      </c>
      <c r="AY54" s="1074">
        <f>AY42+AY46+AY50</f>
        <v>59</v>
      </c>
      <c r="AZ54" s="1074">
        <f t="shared" ref="AZ54:BB54" si="43">AZ42+AZ46+AZ50</f>
        <v>10</v>
      </c>
      <c r="BA54" s="1074">
        <f t="shared" si="43"/>
        <v>184</v>
      </c>
      <c r="BB54" s="1076">
        <f t="shared" si="43"/>
        <v>253</v>
      </c>
    </row>
    <row r="55" spans="1:54" ht="12.75" customHeight="1" x14ac:dyDescent="0.2">
      <c r="A55" s="5477"/>
      <c r="B55" s="2619" t="s">
        <v>12</v>
      </c>
      <c r="C55" s="2620">
        <f>SUM(C52:C54)</f>
        <v>71</v>
      </c>
      <c r="D55" s="2621">
        <f>SUM(D52:D54)</f>
        <v>32</v>
      </c>
      <c r="E55" s="2621">
        <f>SUM(E52:E54)</f>
        <v>485</v>
      </c>
      <c r="F55" s="2621">
        <f>SUM(F52:F54)</f>
        <v>588</v>
      </c>
      <c r="G55" s="2620">
        <v>109</v>
      </c>
      <c r="H55" s="2621">
        <v>68</v>
      </c>
      <c r="I55" s="2621">
        <v>551</v>
      </c>
      <c r="J55" s="2621">
        <v>728</v>
      </c>
      <c r="K55" s="2620">
        <v>277</v>
      </c>
      <c r="L55" s="2621">
        <v>45</v>
      </c>
      <c r="M55" s="2621">
        <v>331</v>
      </c>
      <c r="N55" s="2622">
        <v>653</v>
      </c>
      <c r="O55" s="2621">
        <v>269</v>
      </c>
      <c r="P55" s="2621">
        <v>44</v>
      </c>
      <c r="Q55" s="2621">
        <v>468</v>
      </c>
      <c r="R55" s="2622">
        <v>781</v>
      </c>
      <c r="S55" s="2621">
        <v>335</v>
      </c>
      <c r="T55" s="2621">
        <v>41</v>
      </c>
      <c r="U55" s="2621">
        <v>475</v>
      </c>
      <c r="V55" s="2622">
        <v>851</v>
      </c>
      <c r="W55" s="2621">
        <v>155</v>
      </c>
      <c r="X55" s="2621">
        <v>28</v>
      </c>
      <c r="Y55" s="2621">
        <v>853</v>
      </c>
      <c r="Z55" s="2622">
        <v>1036</v>
      </c>
      <c r="AA55" s="2621">
        <f t="shared" ref="AA55:AH55" si="44">SUM(AA52:AA54)</f>
        <v>32</v>
      </c>
      <c r="AB55" s="2621">
        <f t="shared" si="44"/>
        <v>282</v>
      </c>
      <c r="AC55" s="2621">
        <f t="shared" si="44"/>
        <v>545</v>
      </c>
      <c r="AD55" s="2622">
        <f t="shared" si="44"/>
        <v>859</v>
      </c>
      <c r="AE55" s="2621">
        <f t="shared" si="44"/>
        <v>92</v>
      </c>
      <c r="AF55" s="2621">
        <f t="shared" si="44"/>
        <v>27</v>
      </c>
      <c r="AG55" s="2621">
        <f t="shared" si="44"/>
        <v>998</v>
      </c>
      <c r="AH55" s="2622">
        <f t="shared" si="44"/>
        <v>1117</v>
      </c>
      <c r="AI55" s="2621">
        <f t="shared" ref="AI55:AP55" si="45">SUM(AI52:AI54)</f>
        <v>95</v>
      </c>
      <c r="AJ55" s="2621">
        <f t="shared" si="45"/>
        <v>31</v>
      </c>
      <c r="AK55" s="2621">
        <f t="shared" si="45"/>
        <v>635</v>
      </c>
      <c r="AL55" s="2622">
        <f t="shared" si="45"/>
        <v>761</v>
      </c>
      <c r="AM55" s="2621">
        <f t="shared" si="45"/>
        <v>117</v>
      </c>
      <c r="AN55" s="2621">
        <f t="shared" si="45"/>
        <v>29</v>
      </c>
      <c r="AO55" s="2621">
        <f t="shared" si="45"/>
        <v>981</v>
      </c>
      <c r="AP55" s="2622">
        <f t="shared" si="45"/>
        <v>1127</v>
      </c>
      <c r="AQ55" s="2621">
        <f t="shared" ref="AQ55:AX55" si="46">SUM(AQ52:AQ54)</f>
        <v>148</v>
      </c>
      <c r="AR55" s="2621">
        <f t="shared" si="46"/>
        <v>28</v>
      </c>
      <c r="AS55" s="2621">
        <f t="shared" si="46"/>
        <v>499</v>
      </c>
      <c r="AT55" s="2622">
        <f t="shared" si="46"/>
        <v>675</v>
      </c>
      <c r="AU55" s="2621">
        <f t="shared" si="46"/>
        <v>130</v>
      </c>
      <c r="AV55" s="2621">
        <f t="shared" si="46"/>
        <v>74</v>
      </c>
      <c r="AW55" s="2621">
        <f t="shared" si="46"/>
        <v>1025</v>
      </c>
      <c r="AX55" s="2622">
        <f t="shared" si="46"/>
        <v>1229</v>
      </c>
      <c r="AY55" s="2621">
        <f t="shared" ref="AY55:BB55" si="47">SUM(AY52:AY54)</f>
        <v>190</v>
      </c>
      <c r="AZ55" s="2621">
        <f t="shared" si="47"/>
        <v>49</v>
      </c>
      <c r="BA55" s="2621">
        <f t="shared" si="47"/>
        <v>554</v>
      </c>
      <c r="BB55" s="2622">
        <f t="shared" si="47"/>
        <v>793</v>
      </c>
    </row>
    <row r="56" spans="1:54" ht="12.75" customHeight="1" x14ac:dyDescent="0.2">
      <c r="A56" s="936"/>
      <c r="B56" s="936"/>
      <c r="C56" s="378"/>
      <c r="D56" s="378"/>
      <c r="E56" s="378"/>
      <c r="F56" s="378"/>
      <c r="G56" s="378"/>
      <c r="H56" s="378"/>
      <c r="I56" s="378"/>
      <c r="J56" s="378"/>
      <c r="K56" s="378"/>
      <c r="L56" s="378"/>
      <c r="M56" s="378"/>
      <c r="N56" s="378"/>
      <c r="O56" s="378"/>
      <c r="P56" s="378"/>
      <c r="Q56" s="378"/>
      <c r="R56" s="378"/>
      <c r="S56" s="378"/>
      <c r="T56" s="378"/>
      <c r="U56" s="378"/>
      <c r="V56" s="378"/>
      <c r="W56" s="378"/>
      <c r="X56" s="378"/>
      <c r="Y56" s="378"/>
      <c r="Z56" s="378"/>
      <c r="AA56" s="378"/>
      <c r="AB56" s="378"/>
      <c r="AC56" s="378"/>
      <c r="AD56" s="378"/>
      <c r="AE56" s="378"/>
      <c r="AF56" s="378"/>
      <c r="AG56" s="378"/>
      <c r="AH56" s="378"/>
      <c r="AI56" s="378"/>
      <c r="AJ56" s="378"/>
      <c r="AK56" s="378"/>
      <c r="AL56" s="378"/>
      <c r="AM56" s="378"/>
      <c r="AN56" s="378"/>
      <c r="AO56" s="378"/>
      <c r="AP56" s="378"/>
      <c r="AQ56" s="378"/>
      <c r="AR56" s="378"/>
      <c r="AS56" s="378"/>
      <c r="AT56" s="378"/>
      <c r="AU56" s="378"/>
      <c r="AV56" s="378"/>
      <c r="AW56" s="378"/>
      <c r="AX56" s="378"/>
      <c r="AY56" s="3295"/>
      <c r="AZ56" s="3295"/>
      <c r="BA56" s="3295"/>
      <c r="BB56" s="3295"/>
    </row>
    <row r="57" spans="1:54" ht="15" x14ac:dyDescent="0.2">
      <c r="A57" s="5478" t="s">
        <v>6</v>
      </c>
      <c r="B57" s="1067" t="s">
        <v>631</v>
      </c>
      <c r="C57" s="1068"/>
      <c r="D57" s="1069"/>
      <c r="E57" s="1069"/>
      <c r="F57" s="1070"/>
      <c r="G57" s="1068">
        <v>0</v>
      </c>
      <c r="H57" s="1069">
        <v>0</v>
      </c>
      <c r="I57" s="1069">
        <v>0</v>
      </c>
      <c r="J57" s="1070">
        <v>0</v>
      </c>
      <c r="K57" s="1068">
        <v>0</v>
      </c>
      <c r="L57" s="1069">
        <v>0</v>
      </c>
      <c r="M57" s="1069">
        <v>70</v>
      </c>
      <c r="N57" s="1071">
        <v>70</v>
      </c>
      <c r="O57" s="1069">
        <v>0</v>
      </c>
      <c r="P57" s="1069"/>
      <c r="Q57" s="1069">
        <v>95</v>
      </c>
      <c r="R57" s="1071">
        <v>95</v>
      </c>
      <c r="S57" s="1069"/>
      <c r="T57" s="1069"/>
      <c r="U57" s="1069"/>
      <c r="V57" s="1071"/>
      <c r="W57" s="1069"/>
      <c r="X57" s="1069"/>
      <c r="Y57" s="1069">
        <v>118</v>
      </c>
      <c r="Z57" s="1071">
        <v>118</v>
      </c>
      <c r="AA57" s="1069"/>
      <c r="AB57" s="1069"/>
      <c r="AC57" s="1069"/>
      <c r="AD57" s="1071">
        <f t="shared" ref="AD57:AD68" si="48">SUM(AA57:AC57)</f>
        <v>0</v>
      </c>
      <c r="AE57" s="1069"/>
      <c r="AF57" s="1069"/>
      <c r="AG57" s="1069"/>
      <c r="AH57" s="1071"/>
      <c r="AI57" s="1069"/>
      <c r="AJ57" s="1069"/>
      <c r="AK57" s="1069"/>
      <c r="AL57" s="1071"/>
      <c r="AM57" s="1069">
        <f>SUM('ASPI POSG plan'!AO84,'ASPI POSG plan'!AO85)</f>
        <v>0</v>
      </c>
      <c r="AN57" s="1069">
        <f>SUM('ASPI POSG plan'!AP84,'ASPI POSG plan'!AP85)</f>
        <v>0</v>
      </c>
      <c r="AO57" s="1069">
        <f>SUM('ASPI POSG plan'!AQ84,'ASPI POSG plan'!AQ85)</f>
        <v>222</v>
      </c>
      <c r="AP57" s="1071">
        <f>SUM(AM57:AO57)</f>
        <v>222</v>
      </c>
      <c r="AQ57" s="1069">
        <f>SUM('ASPI POSG plan'!AS84:AS85)</f>
        <v>0</v>
      </c>
      <c r="AR57" s="1069">
        <f>SUM('ASPI POSG plan'!AT84:AT85)</f>
        <v>0</v>
      </c>
      <c r="AS57" s="1069">
        <f>SUM('ASPI POSG plan'!AU84:AU85)</f>
        <v>117</v>
      </c>
      <c r="AT57" s="1071">
        <f t="shared" ref="AT57:AT64" si="49">SUM(AQ57:AS57)</f>
        <v>117</v>
      </c>
      <c r="AU57" s="1069">
        <f>SUM('ASPI POSG plan'!AW84:AW85)</f>
        <v>0</v>
      </c>
      <c r="AV57" s="1069">
        <f>SUM('ASPI POSG plan'!AX84:AX85)</f>
        <v>0</v>
      </c>
      <c r="AW57" s="1069">
        <f>SUM('ASPI POSG plan'!AY84:AY85)</f>
        <v>0</v>
      </c>
      <c r="AX57" s="1071">
        <f t="shared" ref="AX57:AX64" si="50">SUM(AU57:AW57)</f>
        <v>0</v>
      </c>
      <c r="AY57" s="1069">
        <f>SUM('ASPI POSG plan'!BA84:BA85)</f>
        <v>0</v>
      </c>
      <c r="AZ57" s="1069">
        <f>SUM('ASPI POSG plan'!BB84:BB85)</f>
        <v>0</v>
      </c>
      <c r="BA57" s="1069">
        <f>SUM('ASPI POSG plan'!BC84:BC85)</f>
        <v>0</v>
      </c>
      <c r="BB57" s="1071">
        <f t="shared" ref="BB57:BB64" si="51">SUM(AY57:BA57)</f>
        <v>0</v>
      </c>
    </row>
    <row r="58" spans="1:54" ht="15" x14ac:dyDescent="0.2">
      <c r="A58" s="5479"/>
      <c r="B58" s="1072" t="s">
        <v>632</v>
      </c>
      <c r="C58" s="1073"/>
      <c r="D58" s="1074">
        <f>SUM('ASPI POSG plan'!F86,'ASPI POSG plan'!F87,'ASPI POSG plan'!F88,'ASPI POSG plan'!F89,'ASPI POSG plan'!F90,'ASPI POSG plan'!F91,'ASPI POSG plan'!F92,'ASPI POSG plan'!F93,'ASPI POSG plan'!F94)</f>
        <v>48</v>
      </c>
      <c r="E58" s="1074">
        <f>SUM('ASPI POSG plan'!G86,'ASPI POSG plan'!G87,'ASPI POSG plan'!G88,'ASPI POSG plan'!G89,'ASPI POSG plan'!G90,'ASPI POSG plan'!G91,'ASPI POSG plan'!G92,'ASPI POSG plan'!G93,'ASPI POSG plan'!G94)</f>
        <v>76</v>
      </c>
      <c r="F58" s="1075">
        <f>SUM(C58:E58)</f>
        <v>124</v>
      </c>
      <c r="G58" s="1073">
        <v>20</v>
      </c>
      <c r="H58" s="1074">
        <v>0</v>
      </c>
      <c r="I58" s="1074">
        <v>454</v>
      </c>
      <c r="J58" s="1075">
        <v>474</v>
      </c>
      <c r="K58" s="1073">
        <v>5</v>
      </c>
      <c r="L58" s="1074">
        <v>0</v>
      </c>
      <c r="M58" s="1074">
        <v>0</v>
      </c>
      <c r="N58" s="1076">
        <v>5</v>
      </c>
      <c r="O58" s="1074">
        <v>13</v>
      </c>
      <c r="P58" s="1074"/>
      <c r="Q58" s="1074">
        <v>264</v>
      </c>
      <c r="R58" s="1076">
        <v>277</v>
      </c>
      <c r="S58" s="1074"/>
      <c r="T58" s="1074"/>
      <c r="U58" s="1074">
        <v>108</v>
      </c>
      <c r="V58" s="1076">
        <v>108</v>
      </c>
      <c r="W58" s="1074">
        <v>39</v>
      </c>
      <c r="X58" s="1074"/>
      <c r="Y58" s="1074">
        <v>291</v>
      </c>
      <c r="Z58" s="1076">
        <v>330</v>
      </c>
      <c r="AA58" s="1074">
        <v>28</v>
      </c>
      <c r="AB58" s="1074"/>
      <c r="AC58" s="1074">
        <v>83</v>
      </c>
      <c r="AD58" s="1076">
        <f t="shared" si="48"/>
        <v>111</v>
      </c>
      <c r="AE58" s="1074"/>
      <c r="AF58" s="1074"/>
      <c r="AG58" s="1074">
        <v>585</v>
      </c>
      <c r="AH58" s="1076">
        <f t="shared" ref="AH58:AH68" si="52">SUM(AE58:AG58)</f>
        <v>585</v>
      </c>
      <c r="AI58" s="1074">
        <v>32</v>
      </c>
      <c r="AJ58" s="1074"/>
      <c r="AK58" s="1074">
        <v>95</v>
      </c>
      <c r="AL58" s="1076">
        <f>SUM(AI58:AK58)</f>
        <v>127</v>
      </c>
      <c r="AM58" s="1074">
        <f>SUM('ASPI POSG plan'!AO86,'ASPI POSG plan'!AO87,'ASPI POSG plan'!AO88,'ASPI POSG plan'!AO89,'ASPI POSG plan'!AO90,'ASPI POSG plan'!AO91,'ASPI POSG plan'!AO92,'ASPI POSG plan'!AO93,'ASPI POSG plan'!AO94)</f>
        <v>76</v>
      </c>
      <c r="AN58" s="1074">
        <f>SUM('ASPI POSG plan'!AP86,'ASPI POSG plan'!AP87,'ASPI POSG plan'!AP88,'ASPI POSG plan'!AP89,'ASPI POSG plan'!AP90,'ASPI POSG plan'!AP91,'ASPI POSG plan'!AP92,'ASPI POSG plan'!AP93,'ASPI POSG plan'!AP94)</f>
        <v>0</v>
      </c>
      <c r="AO58" s="1074">
        <f>SUM('ASPI POSG plan'!AQ86,'ASPI POSG plan'!AQ87,'ASPI POSG plan'!AQ88,'ASPI POSG plan'!AQ89,'ASPI POSG plan'!AQ90,'ASPI POSG plan'!AQ91,'ASPI POSG plan'!AQ92,'ASPI POSG plan'!AQ93,'ASPI POSG plan'!AQ94)</f>
        <v>626</v>
      </c>
      <c r="AP58" s="1076">
        <f>SUM(AM58:AO58)</f>
        <v>702</v>
      </c>
      <c r="AQ58" s="1074">
        <f>SUM('ASPI POSG plan'!AS86,'ASPI POSG plan'!AS87,'ASPI POSG plan'!AS88,'ASPI POSG plan'!AS89,'ASPI POSG plan'!AS90,'ASPI POSG plan'!AS91,'ASPI POSG plan'!AS92,'ASPI POSG plan'!AS93,'ASPI POSG plan'!AS94)</f>
        <v>82</v>
      </c>
      <c r="AR58" s="1074">
        <f>SUM('ASPI POSG plan'!AT86,'ASPI POSG plan'!AT87,'ASPI POSG plan'!AT88,'ASPI POSG plan'!AT89,'ASPI POSG plan'!AT90,'ASPI POSG plan'!AT91,'ASPI POSG plan'!AT92,'ASPI POSG plan'!AT93,'ASPI POSG plan'!AT94)</f>
        <v>0</v>
      </c>
      <c r="AS58" s="1074">
        <f>SUM('ASPI POSG plan'!AU86,'ASPI POSG plan'!AU87,'ASPI POSG plan'!AU88,'ASPI POSG plan'!AU89,'ASPI POSG plan'!AU90,'ASPI POSG plan'!AU91,'ASPI POSG plan'!AU92,'ASPI POSG plan'!AU93,'ASPI POSG plan'!AU94)</f>
        <v>0</v>
      </c>
      <c r="AT58" s="1076">
        <f t="shared" si="49"/>
        <v>82</v>
      </c>
      <c r="AU58" s="1074">
        <f>SUM('ASPI POSG plan'!AW86,'ASPI POSG plan'!AW87,'ASPI POSG plan'!AW88,'ASPI POSG plan'!AW89,'ASPI POSG plan'!AW90,'ASPI POSG plan'!AW91,'ASPI POSG plan'!AW92,'ASPI POSG plan'!AW93,'ASPI POSG plan'!AW94)</f>
        <v>45</v>
      </c>
      <c r="AV58" s="1074">
        <f>SUM('ASPI POSG plan'!AX86,'ASPI POSG plan'!AX87,'ASPI POSG plan'!AX88,'ASPI POSG plan'!AX89,'ASPI POSG plan'!AX90,'ASPI POSG plan'!AX91,'ASPI POSG plan'!AX92,'ASPI POSG plan'!AX93,'ASPI POSG plan'!AX94)</f>
        <v>0</v>
      </c>
      <c r="AW58" s="1074">
        <f>SUM('ASPI POSG plan'!AY86,'ASPI POSG plan'!AY87,'ASPI POSG plan'!AY88,'ASPI POSG plan'!AY89,'ASPI POSG plan'!AY90,'ASPI POSG plan'!AY91,'ASPI POSG plan'!AY92,'ASPI POSG plan'!AY93,'ASPI POSG plan'!AY94)</f>
        <v>862</v>
      </c>
      <c r="AX58" s="1076">
        <f t="shared" si="50"/>
        <v>907</v>
      </c>
      <c r="AY58" s="1074">
        <f>SUM('ASPI POSG plan'!BA86,'ASPI POSG plan'!BA87,'ASPI POSG plan'!BA88,'ASPI POSG plan'!BA89,'ASPI POSG plan'!BA90,'ASPI POSG plan'!BA91,'ASPI POSG plan'!BA92,'ASPI POSG plan'!BA93,'ASPI POSG plan'!BA94)</f>
        <v>21</v>
      </c>
      <c r="AZ58" s="1074">
        <f>SUM('ASPI POSG plan'!BB86,'ASPI POSG plan'!BB87,'ASPI POSG plan'!BB88,'ASPI POSG plan'!BB89,'ASPI POSG plan'!BB90,'ASPI POSG plan'!BB91,'ASPI POSG plan'!BB92,'ASPI POSG plan'!BB93,'ASPI POSG plan'!BB94)</f>
        <v>0</v>
      </c>
      <c r="BA58" s="1074">
        <f>SUM('ASPI POSG plan'!BC86,'ASPI POSG plan'!BC87,'ASPI POSG plan'!BC88,'ASPI POSG plan'!BC89,'ASPI POSG plan'!BC90,'ASPI POSG plan'!BC91,'ASPI POSG plan'!BC92,'ASPI POSG plan'!BC93,'ASPI POSG plan'!BC94)</f>
        <v>107</v>
      </c>
      <c r="BB58" s="1076">
        <f t="shared" si="51"/>
        <v>128</v>
      </c>
    </row>
    <row r="59" spans="1:54" ht="15" x14ac:dyDescent="0.2">
      <c r="A59" s="5479"/>
      <c r="B59" s="1078" t="s">
        <v>633</v>
      </c>
      <c r="C59" s="1073"/>
      <c r="D59" s="1074">
        <f>SUM('ASPI POSG plan'!F95,'ASPI POSG plan'!F96,'ASPI POSG plan'!F97)</f>
        <v>0</v>
      </c>
      <c r="E59" s="1074">
        <f>SUM('ASPI POSG plan'!G95,'ASPI POSG plan'!G96,'ASPI POSG plan'!G97)</f>
        <v>20</v>
      </c>
      <c r="F59" s="1075">
        <f>SUM(C59:E59)</f>
        <v>20</v>
      </c>
      <c r="G59" s="1073">
        <v>6</v>
      </c>
      <c r="H59" s="1074">
        <v>0</v>
      </c>
      <c r="I59" s="1074">
        <v>0</v>
      </c>
      <c r="J59" s="1075">
        <v>6</v>
      </c>
      <c r="K59" s="1073">
        <v>95</v>
      </c>
      <c r="L59" s="1074">
        <v>0</v>
      </c>
      <c r="M59" s="1074">
        <v>28</v>
      </c>
      <c r="N59" s="1076">
        <v>123</v>
      </c>
      <c r="O59" s="1074">
        <v>0</v>
      </c>
      <c r="P59" s="1074"/>
      <c r="Q59" s="1074">
        <v>0</v>
      </c>
      <c r="R59" s="1076">
        <v>0</v>
      </c>
      <c r="S59" s="1074">
        <v>150</v>
      </c>
      <c r="T59" s="1074">
        <v>19</v>
      </c>
      <c r="U59" s="1074">
        <v>29</v>
      </c>
      <c r="V59" s="1076">
        <v>198</v>
      </c>
      <c r="W59" s="1074">
        <v>17</v>
      </c>
      <c r="X59" s="1074"/>
      <c r="Y59" s="1074"/>
      <c r="Z59" s="1076">
        <v>17</v>
      </c>
      <c r="AA59" s="1074">
        <v>154</v>
      </c>
      <c r="AB59" s="1074"/>
      <c r="AC59" s="1074">
        <v>18</v>
      </c>
      <c r="AD59" s="1076">
        <f t="shared" si="48"/>
        <v>172</v>
      </c>
      <c r="AE59" s="1074"/>
      <c r="AF59" s="1074"/>
      <c r="AG59" s="1074"/>
      <c r="AH59" s="1076"/>
      <c r="AI59" s="1074">
        <v>102</v>
      </c>
      <c r="AJ59" s="1074"/>
      <c r="AK59" s="1074">
        <v>52</v>
      </c>
      <c r="AL59" s="1076">
        <f>SUM(AI59:AK59)</f>
        <v>154</v>
      </c>
      <c r="AM59" s="1074">
        <f>SUM('ASPI POSG plan'!AO95,'ASPI POSG plan'!AO96,'ASPI POSG plan'!AO97)</f>
        <v>10</v>
      </c>
      <c r="AN59" s="1074">
        <f>SUM('ASPI POSG plan'!AP95,'ASPI POSG plan'!AP96,'ASPI POSG plan'!AP97)</f>
        <v>0</v>
      </c>
      <c r="AO59" s="1074">
        <f>SUM('ASPI POSG plan'!AQ95,'ASPI POSG plan'!AQ96,'ASPI POSG plan'!AQ97)</f>
        <v>0</v>
      </c>
      <c r="AP59" s="1076">
        <f>SUM(AM59:AO59)</f>
        <v>10</v>
      </c>
      <c r="AQ59" s="1074">
        <f>SUM('ASPI POSG plan'!AS95,'ASPI POSG plan'!AS96,'ASPI POSG plan'!AS97)</f>
        <v>140</v>
      </c>
      <c r="AR59" s="1074">
        <f>SUM('ASPI POSG plan'!AT95,'ASPI POSG plan'!AT96,'ASPI POSG plan'!AT97)</f>
        <v>0</v>
      </c>
      <c r="AS59" s="1074">
        <f>SUM('ASPI POSG plan'!AU95,'ASPI POSG plan'!AU96,'ASPI POSG plan'!AU97)</f>
        <v>29</v>
      </c>
      <c r="AT59" s="1076">
        <f t="shared" si="49"/>
        <v>169</v>
      </c>
      <c r="AU59" s="1074">
        <f>SUM('ASPI POSG plan'!AW95,'ASPI POSG plan'!AW96,'ASPI POSG plan'!AW97)</f>
        <v>0</v>
      </c>
      <c r="AV59" s="1074">
        <f>SUM('ASPI POSG plan'!AX95,'ASPI POSG plan'!AX96,'ASPI POSG plan'!AX97)</f>
        <v>0</v>
      </c>
      <c r="AW59" s="1074">
        <f>SUM('ASPI POSG plan'!AY95,'ASPI POSG plan'!AY96,'ASPI POSG plan'!AY97)</f>
        <v>0</v>
      </c>
      <c r="AX59" s="1076">
        <f t="shared" si="50"/>
        <v>0</v>
      </c>
      <c r="AY59" s="1074">
        <f>SUM('ASPI POSG plan'!BA95,'ASPI POSG plan'!BA96,'ASPI POSG plan'!BA97)</f>
        <v>174</v>
      </c>
      <c r="AZ59" s="1074">
        <f>SUM('ASPI POSG plan'!BB95,'ASPI POSG plan'!BB96,'ASPI POSG plan'!BB97)</f>
        <v>0</v>
      </c>
      <c r="BA59" s="1074">
        <f>SUM('ASPI POSG plan'!BC95,'ASPI POSG plan'!BC96,'ASPI POSG plan'!BC97)</f>
        <v>35</v>
      </c>
      <c r="BB59" s="1076">
        <f t="shared" si="51"/>
        <v>209</v>
      </c>
    </row>
    <row r="60" spans="1:54" ht="15" x14ac:dyDescent="0.2">
      <c r="A60" s="5480"/>
      <c r="B60" s="583" t="s">
        <v>14</v>
      </c>
      <c r="C60" s="578"/>
      <c r="D60" s="579">
        <f>SUM(D57:D59)</f>
        <v>48</v>
      </c>
      <c r="E60" s="579">
        <f>SUM(E57:E59)</f>
        <v>96</v>
      </c>
      <c r="F60" s="579">
        <f>SUM(F57:F59)</f>
        <v>144</v>
      </c>
      <c r="G60" s="578">
        <v>26</v>
      </c>
      <c r="H60" s="579">
        <v>0</v>
      </c>
      <c r="I60" s="579">
        <v>454</v>
      </c>
      <c r="J60" s="579">
        <v>480</v>
      </c>
      <c r="K60" s="578">
        <v>100</v>
      </c>
      <c r="L60" s="579">
        <v>0</v>
      </c>
      <c r="M60" s="579">
        <v>98</v>
      </c>
      <c r="N60" s="580">
        <v>198</v>
      </c>
      <c r="O60" s="579">
        <v>13</v>
      </c>
      <c r="P60" s="579"/>
      <c r="Q60" s="579">
        <v>359</v>
      </c>
      <c r="R60" s="580">
        <v>372</v>
      </c>
      <c r="S60" s="579">
        <v>150</v>
      </c>
      <c r="T60" s="579">
        <v>19</v>
      </c>
      <c r="U60" s="579">
        <v>137</v>
      </c>
      <c r="V60" s="580">
        <v>306</v>
      </c>
      <c r="W60" s="579">
        <v>56</v>
      </c>
      <c r="X60" s="579"/>
      <c r="Y60" s="579">
        <v>409</v>
      </c>
      <c r="Z60" s="580">
        <v>465</v>
      </c>
      <c r="AA60" s="579">
        <f>SUM(AA57:AA59)</f>
        <v>182</v>
      </c>
      <c r="AB60" s="579"/>
      <c r="AC60" s="579">
        <f>SUM(AC57:AC59)</f>
        <v>101</v>
      </c>
      <c r="AD60" s="580">
        <f t="shared" si="48"/>
        <v>283</v>
      </c>
      <c r="AE60" s="579"/>
      <c r="AF60" s="579"/>
      <c r="AG60" s="579">
        <f>SUM(AG57:AG59)</f>
        <v>585</v>
      </c>
      <c r="AH60" s="580">
        <f t="shared" si="52"/>
        <v>585</v>
      </c>
      <c r="AI60" s="579">
        <f>SUM(AI57:AI59)</f>
        <v>134</v>
      </c>
      <c r="AJ60" s="579"/>
      <c r="AK60" s="579">
        <f>SUM(AK57:AK59)</f>
        <v>147</v>
      </c>
      <c r="AL60" s="580">
        <f>SUM(AI60:AK60)</f>
        <v>281</v>
      </c>
      <c r="AM60" s="579">
        <f>SUM(AM57:AM59)</f>
        <v>86</v>
      </c>
      <c r="AN60" s="579"/>
      <c r="AO60" s="579">
        <f>SUM(AO57:AO59)</f>
        <v>848</v>
      </c>
      <c r="AP60" s="580">
        <f>SUM(AM60:AO60)</f>
        <v>934</v>
      </c>
      <c r="AQ60" s="579">
        <f>SUM(AQ57:AQ59)</f>
        <v>222</v>
      </c>
      <c r="AR60" s="579"/>
      <c r="AS60" s="579">
        <f>SUM(AS57:AS59)</f>
        <v>146</v>
      </c>
      <c r="AT60" s="580">
        <f t="shared" si="49"/>
        <v>368</v>
      </c>
      <c r="AU60" s="579">
        <f>SUM(AU57:AU59)</f>
        <v>45</v>
      </c>
      <c r="AV60" s="579"/>
      <c r="AW60" s="579">
        <f>SUM(AW57:AW59)</f>
        <v>862</v>
      </c>
      <c r="AX60" s="580">
        <f t="shared" si="50"/>
        <v>907</v>
      </c>
      <c r="AY60" s="579">
        <f>SUM(AY57:AY59)</f>
        <v>195</v>
      </c>
      <c r="AZ60" s="579"/>
      <c r="BA60" s="579">
        <f>SUM(BA57:BA59)</f>
        <v>142</v>
      </c>
      <c r="BB60" s="580">
        <f t="shared" si="51"/>
        <v>337</v>
      </c>
    </row>
    <row r="61" spans="1:54" ht="15" x14ac:dyDescent="0.2">
      <c r="A61" s="5479" t="s">
        <v>11</v>
      </c>
      <c r="B61" s="1067" t="s">
        <v>631</v>
      </c>
      <c r="C61" s="1073"/>
      <c r="D61" s="1074"/>
      <c r="E61" s="1074"/>
      <c r="F61" s="1075"/>
      <c r="G61" s="1073">
        <v>27</v>
      </c>
      <c r="H61" s="1074">
        <v>0</v>
      </c>
      <c r="I61" s="1074">
        <v>0</v>
      </c>
      <c r="J61" s="1075">
        <v>27</v>
      </c>
      <c r="K61" s="1073">
        <v>0</v>
      </c>
      <c r="L61" s="1074">
        <v>0</v>
      </c>
      <c r="M61" s="1074">
        <v>0</v>
      </c>
      <c r="N61" s="1076">
        <v>0</v>
      </c>
      <c r="O61" s="1074">
        <v>44</v>
      </c>
      <c r="P61" s="1074"/>
      <c r="Q61" s="1074"/>
      <c r="R61" s="1076">
        <v>44</v>
      </c>
      <c r="S61" s="1074">
        <v>28</v>
      </c>
      <c r="T61" s="1074"/>
      <c r="U61" s="1074"/>
      <c r="V61" s="1076">
        <v>28</v>
      </c>
      <c r="W61" s="1074">
        <v>40</v>
      </c>
      <c r="X61" s="1074"/>
      <c r="Y61" s="1074"/>
      <c r="Z61" s="1076">
        <v>40</v>
      </c>
      <c r="AA61" s="1074">
        <v>23</v>
      </c>
      <c r="AB61" s="1074"/>
      <c r="AC61" s="1074"/>
      <c r="AD61" s="1076">
        <f t="shared" si="48"/>
        <v>23</v>
      </c>
      <c r="AE61" s="1074"/>
      <c r="AF61" s="1074"/>
      <c r="AG61" s="1074"/>
      <c r="AH61" s="1076"/>
      <c r="AI61" s="1074">
        <v>92</v>
      </c>
      <c r="AJ61" s="1074"/>
      <c r="AK61" s="1074"/>
      <c r="AL61" s="1076">
        <f>SUM(AI61:AK61)</f>
        <v>92</v>
      </c>
      <c r="AM61" s="1074"/>
      <c r="AN61" s="1074"/>
      <c r="AO61" s="1074"/>
      <c r="AP61" s="1076"/>
      <c r="AQ61" s="1074">
        <f>SUM('ASPI POSG plan'!AS99:AS101)</f>
        <v>79</v>
      </c>
      <c r="AR61" s="1074">
        <f>SUM('ASPI POSG plan'!AT99:AT101)</f>
        <v>0</v>
      </c>
      <c r="AS61" s="1074">
        <f>SUM('ASPI POSG plan'!AU99:AU101)</f>
        <v>0</v>
      </c>
      <c r="AT61" s="1076">
        <f t="shared" si="49"/>
        <v>79</v>
      </c>
      <c r="AU61" s="1074">
        <f>SUM('ASPI POSG plan'!AW99:AW101)</f>
        <v>0</v>
      </c>
      <c r="AV61" s="1074">
        <f>SUM('ASPI POSG plan'!AX99:AX101)</f>
        <v>0</v>
      </c>
      <c r="AW61" s="1074">
        <f>SUM('ASPI POSG plan'!AY99:AY101)</f>
        <v>0</v>
      </c>
      <c r="AX61" s="1076">
        <f t="shared" si="50"/>
        <v>0</v>
      </c>
      <c r="AY61" s="1074">
        <f>SUM('ASPI POSG plan'!BA99:BA101)</f>
        <v>79</v>
      </c>
      <c r="AZ61" s="1074">
        <f>SUM('ASPI POSG plan'!BB99:BB101)</f>
        <v>0</v>
      </c>
      <c r="BA61" s="1074">
        <f>SUM('ASPI POSG plan'!BC99:BC101)</f>
        <v>0</v>
      </c>
      <c r="BB61" s="1076">
        <f t="shared" si="51"/>
        <v>79</v>
      </c>
    </row>
    <row r="62" spans="1:54" ht="15" x14ac:dyDescent="0.2">
      <c r="A62" s="5479"/>
      <c r="B62" s="1072" t="s">
        <v>632</v>
      </c>
      <c r="C62" s="1073"/>
      <c r="D62" s="1074">
        <f>SUM('ASPI POSG plan'!F102,'ASPI POSG plan'!F103,'ASPI POSG plan'!F104,'ASPI POSG plan'!F105,'ASPI POSG plan'!F106,'ASPI POSG plan'!F107)</f>
        <v>31</v>
      </c>
      <c r="E62" s="1074">
        <f>SUM('ASPI POSG plan'!G102,'ASPI POSG plan'!G103,'ASPI POSG plan'!G104,'ASPI POSG plan'!G105,'ASPI POSG plan'!G106,'ASPI POSG plan'!G107)</f>
        <v>78</v>
      </c>
      <c r="F62" s="1075">
        <f>SUM(C62:E62)</f>
        <v>109</v>
      </c>
      <c r="G62" s="1073">
        <v>60</v>
      </c>
      <c r="H62" s="1074">
        <v>0</v>
      </c>
      <c r="I62" s="1074">
        <v>28</v>
      </c>
      <c r="J62" s="1075">
        <v>88</v>
      </c>
      <c r="K62" s="1073">
        <v>29</v>
      </c>
      <c r="L62" s="1074">
        <v>9</v>
      </c>
      <c r="M62" s="1074">
        <v>146</v>
      </c>
      <c r="N62" s="1076">
        <v>184</v>
      </c>
      <c r="O62" s="1074">
        <v>11</v>
      </c>
      <c r="P62" s="1074">
        <v>9</v>
      </c>
      <c r="Q62" s="1074">
        <v>106</v>
      </c>
      <c r="R62" s="1076">
        <v>126</v>
      </c>
      <c r="S62" s="1074">
        <v>14</v>
      </c>
      <c r="T62" s="1074">
        <v>24</v>
      </c>
      <c r="U62" s="1074">
        <v>152</v>
      </c>
      <c r="V62" s="1076">
        <v>190</v>
      </c>
      <c r="W62" s="1074">
        <v>23</v>
      </c>
      <c r="X62" s="1074">
        <v>51</v>
      </c>
      <c r="Y62" s="1074">
        <v>81</v>
      </c>
      <c r="Z62" s="1076">
        <v>155</v>
      </c>
      <c r="AA62" s="1074">
        <v>17</v>
      </c>
      <c r="AB62" s="1074">
        <v>12</v>
      </c>
      <c r="AC62" s="1074">
        <v>177</v>
      </c>
      <c r="AD62" s="1076">
        <f t="shared" si="48"/>
        <v>206</v>
      </c>
      <c r="AE62" s="1074">
        <v>19</v>
      </c>
      <c r="AF62" s="1074">
        <v>115</v>
      </c>
      <c r="AG62" s="1074">
        <v>84</v>
      </c>
      <c r="AH62" s="1076">
        <f t="shared" si="52"/>
        <v>218</v>
      </c>
      <c r="AI62" s="1074">
        <v>28</v>
      </c>
      <c r="AJ62" s="1074">
        <v>47</v>
      </c>
      <c r="AK62" s="1074">
        <v>195</v>
      </c>
      <c r="AL62" s="1076">
        <f t="shared" ref="AL62:AL68" si="53">SUM(AI62:AK62)</f>
        <v>270</v>
      </c>
      <c r="AM62" s="1074">
        <f>SUM('ASPI POSG plan'!AO102,'ASPI POSG plan'!AO103,'ASPI POSG plan'!AO104,'ASPI POSG plan'!AO105,'ASPI POSG plan'!AO106,'ASPI POSG plan'!AO107)</f>
        <v>17</v>
      </c>
      <c r="AN62" s="1074">
        <f>SUM('ASPI POSG plan'!AP102,'ASPI POSG plan'!AP103,'ASPI POSG plan'!AP104,'ASPI POSG plan'!AP105,'ASPI POSG plan'!AP106,'ASPI POSG plan'!AP107)</f>
        <v>43</v>
      </c>
      <c r="AO62" s="1074">
        <f>SUM('ASPI POSG plan'!AQ102,'ASPI POSG plan'!AQ103,'ASPI POSG plan'!AQ104,'ASPI POSG plan'!AQ105,'ASPI POSG plan'!AQ106,'ASPI POSG plan'!AQ107)</f>
        <v>139</v>
      </c>
      <c r="AP62" s="1076">
        <f>SUM(AM62:AO62)</f>
        <v>199</v>
      </c>
      <c r="AQ62" s="1074">
        <f>SUM('ASPI POSG plan'!AS102,'ASPI POSG plan'!AS103,'ASPI POSG plan'!AS104,'ASPI POSG plan'!AS105,'ASPI POSG plan'!AS106,'ASPI POSG plan'!AS107)</f>
        <v>22</v>
      </c>
      <c r="AR62" s="1074">
        <f>SUM('ASPI POSG plan'!AT102,'ASPI POSG plan'!AT103,'ASPI POSG plan'!AT104,'ASPI POSG plan'!AT105,'ASPI POSG plan'!AT106,'ASPI POSG plan'!AT107)</f>
        <v>92</v>
      </c>
      <c r="AS62" s="1074">
        <f>SUM('ASPI POSG plan'!AU102,'ASPI POSG plan'!AU103,'ASPI POSG plan'!AU104,'ASPI POSG plan'!AU105,'ASPI POSG plan'!AU106,'ASPI POSG plan'!AU107)</f>
        <v>214</v>
      </c>
      <c r="AT62" s="1076">
        <f t="shared" si="49"/>
        <v>328</v>
      </c>
      <c r="AU62" s="1074">
        <f>SUM('ASPI POSG plan'!AW102:AW108)</f>
        <v>31</v>
      </c>
      <c r="AV62" s="1074">
        <f>SUM('ASPI POSG plan'!AX102:AX108)</f>
        <v>57</v>
      </c>
      <c r="AW62" s="1074">
        <f>SUM('ASPI POSG plan'!AY102:AY108)</f>
        <v>132</v>
      </c>
      <c r="AX62" s="1076">
        <f t="shared" si="50"/>
        <v>220</v>
      </c>
      <c r="AY62" s="1074">
        <f>SUM('ASPI POSG plan'!BA102:BA108)</f>
        <v>64</v>
      </c>
      <c r="AZ62" s="1074">
        <f>SUM('ASPI POSG plan'!BB102:BB108)</f>
        <v>75</v>
      </c>
      <c r="BA62" s="1074">
        <f>SUM('ASPI POSG plan'!BC102:BC108)</f>
        <v>200</v>
      </c>
      <c r="BB62" s="1076">
        <f t="shared" si="51"/>
        <v>339</v>
      </c>
    </row>
    <row r="63" spans="1:54" ht="15" x14ac:dyDescent="0.2">
      <c r="A63" s="5479"/>
      <c r="B63" s="1078" t="s">
        <v>633</v>
      </c>
      <c r="C63" s="1073"/>
      <c r="D63" s="1074">
        <f>SUM('ASPI POSG plan'!F109,'ASPI POSG plan'!F110)</f>
        <v>0</v>
      </c>
      <c r="E63" s="1074">
        <f>SUM('ASPI POSG plan'!G109,'ASPI POSG plan'!G110)</f>
        <v>24</v>
      </c>
      <c r="F63" s="1075">
        <f>SUM(C63:E63)</f>
        <v>24</v>
      </c>
      <c r="G63" s="1073">
        <v>6</v>
      </c>
      <c r="H63" s="1074">
        <v>0</v>
      </c>
      <c r="I63" s="1074">
        <v>14</v>
      </c>
      <c r="J63" s="1075">
        <v>20</v>
      </c>
      <c r="K63" s="1073">
        <v>5</v>
      </c>
      <c r="L63" s="1074">
        <v>0</v>
      </c>
      <c r="M63" s="1074">
        <v>24</v>
      </c>
      <c r="N63" s="1076">
        <v>29</v>
      </c>
      <c r="O63" s="1074">
        <v>6</v>
      </c>
      <c r="P63" s="1074"/>
      <c r="Q63" s="1074">
        <v>43</v>
      </c>
      <c r="R63" s="1076">
        <v>49</v>
      </c>
      <c r="S63" s="1074">
        <v>15</v>
      </c>
      <c r="T63" s="1074"/>
      <c r="U63" s="1074">
        <v>61</v>
      </c>
      <c r="V63" s="1076">
        <v>76</v>
      </c>
      <c r="W63" s="1074">
        <v>9</v>
      </c>
      <c r="X63" s="1074"/>
      <c r="Y63" s="1074">
        <v>15</v>
      </c>
      <c r="Z63" s="1076">
        <v>24</v>
      </c>
      <c r="AA63" s="1074">
        <v>40</v>
      </c>
      <c r="AB63" s="1074"/>
      <c r="AC63" s="1074">
        <v>26</v>
      </c>
      <c r="AD63" s="1076">
        <f t="shared" si="48"/>
        <v>66</v>
      </c>
      <c r="AE63" s="1074">
        <v>10</v>
      </c>
      <c r="AF63" s="1074"/>
      <c r="AG63" s="1074">
        <v>58</v>
      </c>
      <c r="AH63" s="1076">
        <f t="shared" si="52"/>
        <v>68</v>
      </c>
      <c r="AI63" s="1074">
        <v>14</v>
      </c>
      <c r="AJ63" s="1074"/>
      <c r="AK63" s="1074">
        <v>18</v>
      </c>
      <c r="AL63" s="1076">
        <f t="shared" si="53"/>
        <v>32</v>
      </c>
      <c r="AM63" s="1074">
        <f>SUM('ASPI POSG plan'!AO109,'ASPI POSG plan'!AO110)</f>
        <v>12</v>
      </c>
      <c r="AN63" s="1074">
        <f>SUM('ASPI POSG plan'!AP109,'ASPI POSG plan'!AP110)</f>
        <v>0</v>
      </c>
      <c r="AO63" s="1074">
        <f>SUM('ASPI POSG plan'!AQ109,'ASPI POSG plan'!AQ110)</f>
        <v>68</v>
      </c>
      <c r="AP63" s="1076">
        <f>SUM(AM63:AO63)</f>
        <v>80</v>
      </c>
      <c r="AQ63" s="1074">
        <f>SUM('ASPI POSG plan'!AS109:AS111)</f>
        <v>19</v>
      </c>
      <c r="AR63" s="1074">
        <f>SUM('ASPI POSG plan'!AT109:AT111)</f>
        <v>0</v>
      </c>
      <c r="AS63" s="1074">
        <f>SUM('ASPI POSG plan'!AU109:AU111)</f>
        <v>13</v>
      </c>
      <c r="AT63" s="1076">
        <f t="shared" si="49"/>
        <v>32</v>
      </c>
      <c r="AU63" s="1074">
        <f>SUM('ASPI POSG plan'!AW109:AW111)</f>
        <v>21</v>
      </c>
      <c r="AV63" s="1074">
        <f>SUM('ASPI POSG plan'!AX109:AX111)</f>
        <v>0</v>
      </c>
      <c r="AW63" s="1074">
        <f>SUM('ASPI POSG plan'!AY109:AY111)</f>
        <v>72</v>
      </c>
      <c r="AX63" s="1076">
        <f t="shared" si="50"/>
        <v>93</v>
      </c>
      <c r="AY63" s="1074">
        <f>SUM('ASPI POSG plan'!BA109:BA111)</f>
        <v>21</v>
      </c>
      <c r="AZ63" s="1074">
        <f>SUM('ASPI POSG plan'!BB109:BB111)</f>
        <v>0</v>
      </c>
      <c r="BA63" s="1074">
        <f>SUM('ASPI POSG plan'!BC109:BC111)</f>
        <v>26</v>
      </c>
      <c r="BB63" s="1076">
        <f t="shared" si="51"/>
        <v>47</v>
      </c>
    </row>
    <row r="64" spans="1:54" ht="15" x14ac:dyDescent="0.2">
      <c r="A64" s="5480"/>
      <c r="B64" s="583" t="s">
        <v>30</v>
      </c>
      <c r="C64" s="578"/>
      <c r="D64" s="579">
        <f>SUM(D62:D63)</f>
        <v>31</v>
      </c>
      <c r="E64" s="579">
        <f>SUM(E62:E63)</f>
        <v>102</v>
      </c>
      <c r="F64" s="579">
        <f>SUM(F62:F63)</f>
        <v>133</v>
      </c>
      <c r="G64" s="578">
        <v>93</v>
      </c>
      <c r="H64" s="579">
        <v>0</v>
      </c>
      <c r="I64" s="579">
        <v>42</v>
      </c>
      <c r="J64" s="579">
        <v>135</v>
      </c>
      <c r="K64" s="578">
        <v>34</v>
      </c>
      <c r="L64" s="579">
        <v>9</v>
      </c>
      <c r="M64" s="579">
        <v>170</v>
      </c>
      <c r="N64" s="580">
        <v>213</v>
      </c>
      <c r="O64" s="579">
        <v>61</v>
      </c>
      <c r="P64" s="579">
        <v>9</v>
      </c>
      <c r="Q64" s="579">
        <v>149</v>
      </c>
      <c r="R64" s="580">
        <v>219</v>
      </c>
      <c r="S64" s="579">
        <v>57</v>
      </c>
      <c r="T64" s="579">
        <v>24</v>
      </c>
      <c r="U64" s="579">
        <v>213</v>
      </c>
      <c r="V64" s="580">
        <v>294</v>
      </c>
      <c r="W64" s="579">
        <v>72</v>
      </c>
      <c r="X64" s="579">
        <v>51</v>
      </c>
      <c r="Y64" s="579">
        <v>96</v>
      </c>
      <c r="Z64" s="580">
        <v>219</v>
      </c>
      <c r="AA64" s="579">
        <f>SUM(AA61:AA63)</f>
        <v>80</v>
      </c>
      <c r="AB64" s="579">
        <f>SUM(AB61:AB63)</f>
        <v>12</v>
      </c>
      <c r="AC64" s="579">
        <f>SUM(AC61:AC63)</f>
        <v>203</v>
      </c>
      <c r="AD64" s="580">
        <f t="shared" si="48"/>
        <v>295</v>
      </c>
      <c r="AE64" s="579">
        <f>SUM(AE61:AE63)</f>
        <v>29</v>
      </c>
      <c r="AF64" s="579">
        <f>SUM(AF61:AF63)</f>
        <v>115</v>
      </c>
      <c r="AG64" s="579">
        <f>SUM(AG61:AG63)</f>
        <v>142</v>
      </c>
      <c r="AH64" s="580">
        <f t="shared" si="52"/>
        <v>286</v>
      </c>
      <c r="AI64" s="579">
        <f>SUM(AI61:AI63)</f>
        <v>134</v>
      </c>
      <c r="AJ64" s="579">
        <f>SUM(AJ61:AJ63)</f>
        <v>47</v>
      </c>
      <c r="AK64" s="579">
        <f>SUM(AK61:AK63)</f>
        <v>213</v>
      </c>
      <c r="AL64" s="580">
        <f t="shared" si="53"/>
        <v>394</v>
      </c>
      <c r="AM64" s="579">
        <f>SUM(AM61:AM63)</f>
        <v>29</v>
      </c>
      <c r="AN64" s="579">
        <f>SUM(AN61:AN63)</f>
        <v>43</v>
      </c>
      <c r="AO64" s="579">
        <f>SUM(AO61:AO63)</f>
        <v>207</v>
      </c>
      <c r="AP64" s="580">
        <f>SUM(AM64:AO64)</f>
        <v>279</v>
      </c>
      <c r="AQ64" s="579">
        <f>SUM(AQ61:AQ63)</f>
        <v>120</v>
      </c>
      <c r="AR64" s="579">
        <f>SUM(AR61:AR63)</f>
        <v>92</v>
      </c>
      <c r="AS64" s="579">
        <f>SUM(AS61:AS63)</f>
        <v>227</v>
      </c>
      <c r="AT64" s="580">
        <f t="shared" si="49"/>
        <v>439</v>
      </c>
      <c r="AU64" s="579">
        <f>SUM(AU61:AU63)</f>
        <v>52</v>
      </c>
      <c r="AV64" s="579">
        <f>SUM(AV61:AV63)</f>
        <v>57</v>
      </c>
      <c r="AW64" s="579">
        <f>SUM(AW61:AW63)</f>
        <v>204</v>
      </c>
      <c r="AX64" s="580">
        <f t="shared" si="50"/>
        <v>313</v>
      </c>
      <c r="AY64" s="579">
        <f>SUM(AY61:AY63)</f>
        <v>164</v>
      </c>
      <c r="AZ64" s="579">
        <f>SUM(AZ61:AZ63)</f>
        <v>75</v>
      </c>
      <c r="BA64" s="579">
        <f>SUM(BA61:BA63)</f>
        <v>226</v>
      </c>
      <c r="BB64" s="580">
        <f t="shared" si="51"/>
        <v>465</v>
      </c>
    </row>
    <row r="65" spans="1:54" ht="15" x14ac:dyDescent="0.2">
      <c r="A65" s="5479" t="s">
        <v>7</v>
      </c>
      <c r="B65" s="1067" t="s">
        <v>631</v>
      </c>
      <c r="C65" s="1073"/>
      <c r="D65" s="1074"/>
      <c r="E65" s="1074"/>
      <c r="F65" s="1075"/>
      <c r="G65" s="1073"/>
      <c r="H65" s="1074"/>
      <c r="I65" s="1074"/>
      <c r="J65" s="1075"/>
      <c r="K65" s="1073"/>
      <c r="L65" s="1074"/>
      <c r="M65" s="1074"/>
      <c r="N65" s="1076"/>
      <c r="O65" s="1074"/>
      <c r="P65" s="1074"/>
      <c r="Q65" s="1074"/>
      <c r="R65" s="1076"/>
      <c r="S65" s="1074"/>
      <c r="T65" s="1074"/>
      <c r="U65" s="1074"/>
      <c r="V65" s="1076"/>
      <c r="W65" s="1074"/>
      <c r="X65" s="1074"/>
      <c r="Y65" s="1074"/>
      <c r="Z65" s="1076"/>
      <c r="AA65" s="1074"/>
      <c r="AB65" s="1074"/>
      <c r="AC65" s="1074"/>
      <c r="AD65" s="1076"/>
      <c r="AE65" s="1074"/>
      <c r="AF65" s="1074"/>
      <c r="AG65" s="1074"/>
      <c r="AH65" s="1076"/>
      <c r="AI65" s="1074"/>
      <c r="AJ65" s="1074"/>
      <c r="AK65" s="1074"/>
      <c r="AL65" s="1076"/>
      <c r="AM65" s="1074"/>
      <c r="AN65" s="1074"/>
      <c r="AO65" s="1074"/>
      <c r="AP65" s="1076"/>
      <c r="AQ65" s="1074"/>
      <c r="AR65" s="1074"/>
      <c r="AS65" s="1074"/>
      <c r="AT65" s="1076"/>
      <c r="AU65" s="1074"/>
      <c r="AV65" s="1074"/>
      <c r="AW65" s="1074"/>
      <c r="AX65" s="1076"/>
      <c r="AY65" s="1074"/>
      <c r="AZ65" s="1074"/>
      <c r="BA65" s="1074"/>
      <c r="BB65" s="1076"/>
    </row>
    <row r="66" spans="1:54" ht="15" x14ac:dyDescent="0.2">
      <c r="A66" s="5479"/>
      <c r="B66" s="1072" t="s">
        <v>632</v>
      </c>
      <c r="C66" s="1073"/>
      <c r="D66" s="1074"/>
      <c r="E66" s="1074">
        <f>SUM('ASPI POSG plan'!G113)</f>
        <v>44</v>
      </c>
      <c r="F66" s="1075">
        <f>SUM(C66:E66)</f>
        <v>44</v>
      </c>
      <c r="G66" s="1073">
        <v>0</v>
      </c>
      <c r="H66" s="1074">
        <v>0</v>
      </c>
      <c r="I66" s="1074">
        <v>42</v>
      </c>
      <c r="J66" s="1075">
        <v>42</v>
      </c>
      <c r="K66" s="1073">
        <v>0</v>
      </c>
      <c r="L66" s="1074">
        <v>0</v>
      </c>
      <c r="M66" s="1074">
        <v>48</v>
      </c>
      <c r="N66" s="1076">
        <v>48</v>
      </c>
      <c r="O66" s="1074"/>
      <c r="P66" s="1074"/>
      <c r="Q66" s="1074">
        <v>48</v>
      </c>
      <c r="R66" s="1076">
        <v>48</v>
      </c>
      <c r="S66" s="1074"/>
      <c r="T66" s="1074"/>
      <c r="U66" s="1074">
        <v>53</v>
      </c>
      <c r="V66" s="1076">
        <v>53</v>
      </c>
      <c r="W66" s="1074"/>
      <c r="X66" s="1074"/>
      <c r="Y66" s="1074">
        <v>33</v>
      </c>
      <c r="Z66" s="1076">
        <v>33</v>
      </c>
      <c r="AA66" s="1074"/>
      <c r="AB66" s="1074">
        <v>23</v>
      </c>
      <c r="AC66" s="1074">
        <v>177</v>
      </c>
      <c r="AD66" s="1076">
        <f t="shared" si="48"/>
        <v>200</v>
      </c>
      <c r="AE66" s="1074">
        <v>59</v>
      </c>
      <c r="AF66" s="1074"/>
      <c r="AG66" s="1074"/>
      <c r="AH66" s="1076">
        <f t="shared" si="52"/>
        <v>59</v>
      </c>
      <c r="AI66" s="1074">
        <v>16</v>
      </c>
      <c r="AJ66" s="1074">
        <v>128</v>
      </c>
      <c r="AK66" s="1074">
        <v>61</v>
      </c>
      <c r="AL66" s="1076">
        <f t="shared" si="53"/>
        <v>205</v>
      </c>
      <c r="AM66" s="1074">
        <f>SUM('ASPI POSG plan'!AO113,'ASPI POSG plan'!AO114,'ASPI POSG plan'!AO115)</f>
        <v>0</v>
      </c>
      <c r="AN66" s="1074">
        <f>SUM('ASPI POSG plan'!AP113,'ASPI POSG plan'!AP114,'ASPI POSG plan'!AP115)</f>
        <v>0</v>
      </c>
      <c r="AO66" s="1074">
        <f>SUM('ASPI POSG plan'!AQ113,'ASPI POSG plan'!AQ114,'ASPI POSG plan'!AQ115)</f>
        <v>68</v>
      </c>
      <c r="AP66" s="1076">
        <f t="shared" ref="AP66:AP71" si="54">SUM(AM66:AO66)</f>
        <v>68</v>
      </c>
      <c r="AQ66" s="1074">
        <f>SUM('ASPI POSG plan'!AS113,'ASPI POSG plan'!AS114,'ASPI POSG plan'!AS115)</f>
        <v>0</v>
      </c>
      <c r="AR66" s="1074">
        <f>SUM('ASPI POSG plan'!AT113,'ASPI POSG plan'!AT114,'ASPI POSG plan'!AT115)</f>
        <v>157</v>
      </c>
      <c r="AS66" s="1074">
        <f>SUM('ASPI POSG plan'!AU113,'ASPI POSG plan'!AU114,'ASPI POSG plan'!AU115)</f>
        <v>51</v>
      </c>
      <c r="AT66" s="1076">
        <f t="shared" ref="AT66:AT71" si="55">SUM(AQ66:AS66)</f>
        <v>208</v>
      </c>
      <c r="AU66" s="1074">
        <f>SUM('ASPI POSG plan'!AW113,'ASPI POSG plan'!AW114,'ASPI POSG plan'!AW115)</f>
        <v>0</v>
      </c>
      <c r="AV66" s="1074">
        <f>SUM('ASPI POSG plan'!AX113,'ASPI POSG plan'!AX114,'ASPI POSG plan'!AX115)</f>
        <v>0</v>
      </c>
      <c r="AW66" s="1074">
        <f>SUM('ASPI POSG plan'!AY113,'ASPI POSG plan'!AY114,'ASPI POSG plan'!AY115)</f>
        <v>84</v>
      </c>
      <c r="AX66" s="1076">
        <f t="shared" ref="AX66:AX71" si="56">SUM(AU66:AW66)</f>
        <v>84</v>
      </c>
      <c r="AY66" s="1074">
        <f>SUM('ASPI POSG plan'!BA113,'ASPI POSG plan'!BA114,'ASPI POSG plan'!BA115)</f>
        <v>0</v>
      </c>
      <c r="AZ66" s="1074">
        <f>SUM('ASPI POSG plan'!BB113,'ASPI POSG plan'!BB114,'ASPI POSG plan'!BB115)</f>
        <v>125</v>
      </c>
      <c r="BA66" s="1074">
        <f>SUM('ASPI POSG plan'!BC113,'ASPI POSG plan'!BC114,'ASPI POSG plan'!BC115)</f>
        <v>58</v>
      </c>
      <c r="BB66" s="1076">
        <f t="shared" ref="BB66:BB71" si="57">SUM(AY66:BA66)</f>
        <v>183</v>
      </c>
    </row>
    <row r="67" spans="1:54" ht="15" x14ac:dyDescent="0.2">
      <c r="A67" s="5479"/>
      <c r="B67" s="1078" t="s">
        <v>633</v>
      </c>
      <c r="C67" s="1073"/>
      <c r="D67" s="1074"/>
      <c r="E67" s="1074"/>
      <c r="F67" s="1075"/>
      <c r="G67" s="1073">
        <v>0</v>
      </c>
      <c r="H67" s="1074">
        <v>0</v>
      </c>
      <c r="I67" s="1074">
        <v>11</v>
      </c>
      <c r="J67" s="1075">
        <v>11</v>
      </c>
      <c r="K67" s="1073">
        <v>0</v>
      </c>
      <c r="L67" s="1074">
        <v>0</v>
      </c>
      <c r="M67" s="1074">
        <v>0</v>
      </c>
      <c r="N67" s="1076">
        <v>0</v>
      </c>
      <c r="O67" s="1074">
        <v>19</v>
      </c>
      <c r="P67" s="1074"/>
      <c r="Q67" s="1074"/>
      <c r="R67" s="1076">
        <v>19</v>
      </c>
      <c r="S67" s="1074">
        <v>11</v>
      </c>
      <c r="T67" s="1074"/>
      <c r="U67" s="1074"/>
      <c r="V67" s="1076">
        <v>11</v>
      </c>
      <c r="W67" s="1074">
        <v>18</v>
      </c>
      <c r="X67" s="1074"/>
      <c r="Y67" s="1074"/>
      <c r="Z67" s="1076">
        <v>18</v>
      </c>
      <c r="AA67" s="1074">
        <v>17</v>
      </c>
      <c r="AB67" s="1074"/>
      <c r="AC67" s="1074"/>
      <c r="AD67" s="1076">
        <f t="shared" si="48"/>
        <v>17</v>
      </c>
      <c r="AE67" s="1074"/>
      <c r="AF67" s="1074"/>
      <c r="AG67" s="1074"/>
      <c r="AH67" s="1076">
        <f t="shared" si="52"/>
        <v>0</v>
      </c>
      <c r="AI67" s="1074"/>
      <c r="AJ67" s="1074"/>
      <c r="AK67" s="1074"/>
      <c r="AL67" s="1076"/>
      <c r="AM67" s="1074">
        <f>SUM('ASPI POSG plan'!AO116)</f>
        <v>17</v>
      </c>
      <c r="AN67" s="1074">
        <f>SUM('ASPI POSG plan'!AP116)</f>
        <v>0</v>
      </c>
      <c r="AO67" s="1074">
        <f>SUM('ASPI POSG plan'!AQ116)</f>
        <v>0</v>
      </c>
      <c r="AP67" s="1076">
        <f t="shared" si="54"/>
        <v>17</v>
      </c>
      <c r="AQ67" s="1074">
        <f>SUM('ASPI POSG plan'!AS116)</f>
        <v>16</v>
      </c>
      <c r="AR67" s="1074">
        <f>SUM('ASPI POSG plan'!AT116)</f>
        <v>0</v>
      </c>
      <c r="AS67" s="1074">
        <f>SUM('ASPI POSG plan'!AU116)</f>
        <v>0</v>
      </c>
      <c r="AT67" s="1076">
        <f t="shared" si="55"/>
        <v>16</v>
      </c>
      <c r="AU67" s="1074">
        <f>SUM('ASPI POSG plan'!AW116)</f>
        <v>19</v>
      </c>
      <c r="AV67" s="1074">
        <f>SUM('ASPI POSG plan'!AX116)</f>
        <v>0</v>
      </c>
      <c r="AW67" s="1074">
        <f>SUM('ASPI POSG plan'!AY116)</f>
        <v>0</v>
      </c>
      <c r="AX67" s="1076">
        <f t="shared" si="56"/>
        <v>19</v>
      </c>
      <c r="AY67" s="1074">
        <f>SUM('ASPI POSG plan'!BA116)</f>
        <v>14</v>
      </c>
      <c r="AZ67" s="1074">
        <f>SUM('ASPI POSG plan'!BB116)</f>
        <v>0</v>
      </c>
      <c r="BA67" s="1074">
        <f>SUM('ASPI POSG plan'!BC116)</f>
        <v>0</v>
      </c>
      <c r="BB67" s="1076">
        <f t="shared" si="57"/>
        <v>14</v>
      </c>
    </row>
    <row r="68" spans="1:54" ht="15" x14ac:dyDescent="0.2">
      <c r="A68" s="5480"/>
      <c r="B68" s="583" t="s">
        <v>15</v>
      </c>
      <c r="C68" s="578"/>
      <c r="D68" s="579"/>
      <c r="E68" s="579">
        <f>SUM(E66:E67)</f>
        <v>44</v>
      </c>
      <c r="F68" s="579">
        <f>SUM(F66:F67)</f>
        <v>44</v>
      </c>
      <c r="G68" s="578">
        <v>0</v>
      </c>
      <c r="H68" s="579">
        <v>0</v>
      </c>
      <c r="I68" s="579">
        <v>53</v>
      </c>
      <c r="J68" s="579">
        <v>53</v>
      </c>
      <c r="K68" s="578">
        <v>0</v>
      </c>
      <c r="L68" s="579">
        <v>0</v>
      </c>
      <c r="M68" s="579">
        <v>48</v>
      </c>
      <c r="N68" s="580">
        <v>48</v>
      </c>
      <c r="O68" s="579">
        <v>19</v>
      </c>
      <c r="P68" s="579"/>
      <c r="Q68" s="579">
        <v>48</v>
      </c>
      <c r="R68" s="580">
        <v>67</v>
      </c>
      <c r="S68" s="579">
        <v>11</v>
      </c>
      <c r="T68" s="579"/>
      <c r="U68" s="579">
        <v>53</v>
      </c>
      <c r="V68" s="580">
        <v>64</v>
      </c>
      <c r="W68" s="579">
        <v>18</v>
      </c>
      <c r="X68" s="579"/>
      <c r="Y68" s="579">
        <v>33</v>
      </c>
      <c r="Z68" s="580">
        <v>51</v>
      </c>
      <c r="AA68" s="579">
        <f>SUM(AA65:AA67)</f>
        <v>17</v>
      </c>
      <c r="AB68" s="579">
        <f>SUM(AB65:AB67)</f>
        <v>23</v>
      </c>
      <c r="AC68" s="579">
        <f>SUM(AC65:AC67)</f>
        <v>177</v>
      </c>
      <c r="AD68" s="580">
        <f t="shared" si="48"/>
        <v>217</v>
      </c>
      <c r="AE68" s="579">
        <f>SUM(AE65:AE67)</f>
        <v>59</v>
      </c>
      <c r="AF68" s="579"/>
      <c r="AG68" s="579"/>
      <c r="AH68" s="580">
        <f t="shared" si="52"/>
        <v>59</v>
      </c>
      <c r="AI68" s="579">
        <f>SUM(AI65:AI67)</f>
        <v>16</v>
      </c>
      <c r="AJ68" s="579">
        <f>SUM(AJ65:AJ67)</f>
        <v>128</v>
      </c>
      <c r="AK68" s="579">
        <f>SUM(AK65:AK67)</f>
        <v>61</v>
      </c>
      <c r="AL68" s="580">
        <f t="shared" si="53"/>
        <v>205</v>
      </c>
      <c r="AM68" s="579">
        <f>SUM(AM65:AM67)</f>
        <v>17</v>
      </c>
      <c r="AN68" s="579">
        <f>SUM(AN65:AN67)</f>
        <v>0</v>
      </c>
      <c r="AO68" s="579">
        <f>SUM(AO65:AO67)</f>
        <v>68</v>
      </c>
      <c r="AP68" s="580">
        <f t="shared" si="54"/>
        <v>85</v>
      </c>
      <c r="AQ68" s="579">
        <f>SUM(AQ65:AQ67)</f>
        <v>16</v>
      </c>
      <c r="AR68" s="579">
        <f>SUM(AR65:AR67)</f>
        <v>157</v>
      </c>
      <c r="AS68" s="579">
        <f>SUM(AS65:AS67)</f>
        <v>51</v>
      </c>
      <c r="AT68" s="580">
        <f t="shared" si="55"/>
        <v>224</v>
      </c>
      <c r="AU68" s="579">
        <f>SUM(AU65:AU67)</f>
        <v>19</v>
      </c>
      <c r="AV68" s="579">
        <f>SUM(AV65:AV67)</f>
        <v>0</v>
      </c>
      <c r="AW68" s="579">
        <f>SUM(AW65:AW67)</f>
        <v>84</v>
      </c>
      <c r="AX68" s="580">
        <f t="shared" si="56"/>
        <v>103</v>
      </c>
      <c r="AY68" s="579">
        <f>SUM(AY65:AY67)</f>
        <v>14</v>
      </c>
      <c r="AZ68" s="579">
        <f>SUM(AZ65:AZ67)</f>
        <v>125</v>
      </c>
      <c r="BA68" s="579">
        <f>SUM(BA65:BA67)</f>
        <v>58</v>
      </c>
      <c r="BB68" s="580">
        <f t="shared" si="57"/>
        <v>197</v>
      </c>
    </row>
    <row r="69" spans="1:54" ht="15" customHeight="1" x14ac:dyDescent="0.2">
      <c r="A69" s="5481" t="s">
        <v>697</v>
      </c>
      <c r="B69" s="1067" t="s">
        <v>631</v>
      </c>
      <c r="C69" s="1073"/>
      <c r="D69" s="1074">
        <f t="shared" ref="D69:E71" si="58">SUM(D57,D61,D65)</f>
        <v>0</v>
      </c>
      <c r="E69" s="1074">
        <f t="shared" si="58"/>
        <v>0</v>
      </c>
      <c r="F69" s="1075">
        <f>SUM(C69:E69)</f>
        <v>0</v>
      </c>
      <c r="G69" s="1073">
        <v>27</v>
      </c>
      <c r="H69" s="1074">
        <v>0</v>
      </c>
      <c r="I69" s="1074">
        <v>0</v>
      </c>
      <c r="J69" s="1075">
        <v>27</v>
      </c>
      <c r="K69" s="1073">
        <v>0</v>
      </c>
      <c r="L69" s="1074">
        <v>0</v>
      </c>
      <c r="M69" s="1074">
        <v>70</v>
      </c>
      <c r="N69" s="1076">
        <v>70</v>
      </c>
      <c r="O69" s="1074">
        <v>44</v>
      </c>
      <c r="P69" s="1074"/>
      <c r="Q69" s="1074">
        <v>95</v>
      </c>
      <c r="R69" s="1076">
        <v>139</v>
      </c>
      <c r="S69" s="1074">
        <v>28</v>
      </c>
      <c r="T69" s="1074"/>
      <c r="U69" s="1074"/>
      <c r="V69" s="1076">
        <v>28</v>
      </c>
      <c r="W69" s="1074">
        <v>40</v>
      </c>
      <c r="X69" s="1074"/>
      <c r="Y69" s="1074">
        <v>118</v>
      </c>
      <c r="Z69" s="1076">
        <v>158</v>
      </c>
      <c r="AA69" s="1074">
        <f t="shared" ref="AA69:AD71" si="59">AA57+AA61+AA65</f>
        <v>23</v>
      </c>
      <c r="AB69" s="1074"/>
      <c r="AC69" s="1074"/>
      <c r="AD69" s="1076">
        <f t="shared" si="59"/>
        <v>23</v>
      </c>
      <c r="AE69" s="1074"/>
      <c r="AF69" s="1074"/>
      <c r="AG69" s="1074"/>
      <c r="AH69" s="1076"/>
      <c r="AI69" s="1074">
        <f>+AI57+AI61+AI65</f>
        <v>92</v>
      </c>
      <c r="AJ69" s="1074"/>
      <c r="AK69" s="1074"/>
      <c r="AL69" s="1076">
        <f>SUM(AI69:AK69)</f>
        <v>92</v>
      </c>
      <c r="AM69" s="1074"/>
      <c r="AN69" s="1074"/>
      <c r="AO69" s="1074">
        <f>+AO65+AO61+AO57</f>
        <v>222</v>
      </c>
      <c r="AP69" s="1076">
        <f t="shared" si="54"/>
        <v>222</v>
      </c>
      <c r="AQ69" s="1074">
        <f>SUM(AQ57,AQ61,AQ65)</f>
        <v>79</v>
      </c>
      <c r="AR69" s="1074">
        <f>SUM(AR57,AR61,AR65)</f>
        <v>0</v>
      </c>
      <c r="AS69" s="1074">
        <f>SUM(AS57,AS61,AS65)</f>
        <v>117</v>
      </c>
      <c r="AT69" s="1076">
        <f t="shared" si="55"/>
        <v>196</v>
      </c>
      <c r="AU69" s="1074">
        <f>SUM(AU57,AU61,AU65)</f>
        <v>0</v>
      </c>
      <c r="AV69" s="1074">
        <f>SUM(AV57,AV61,AV65)</f>
        <v>0</v>
      </c>
      <c r="AW69" s="1074">
        <f>SUM(AW57,AW61,AW65)</f>
        <v>0</v>
      </c>
      <c r="AX69" s="1076">
        <f t="shared" si="56"/>
        <v>0</v>
      </c>
      <c r="AY69" s="1074">
        <f>SUM(AY57,AY61,AY65)</f>
        <v>79</v>
      </c>
      <c r="AZ69" s="1074">
        <f>SUM(AZ57,AZ61,AZ65)</f>
        <v>0</v>
      </c>
      <c r="BA69" s="1074">
        <f>SUM(BA57,BA61,BA65)</f>
        <v>0</v>
      </c>
      <c r="BB69" s="1076">
        <f t="shared" si="57"/>
        <v>79</v>
      </c>
    </row>
    <row r="70" spans="1:54" ht="15" x14ac:dyDescent="0.2">
      <c r="A70" s="5481"/>
      <c r="B70" s="1072" t="s">
        <v>632</v>
      </c>
      <c r="C70" s="1073"/>
      <c r="D70" s="1074">
        <f t="shared" si="58"/>
        <v>79</v>
      </c>
      <c r="E70" s="1074">
        <f t="shared" si="58"/>
        <v>198</v>
      </c>
      <c r="F70" s="1075">
        <f>SUM(C70:E70)</f>
        <v>277</v>
      </c>
      <c r="G70" s="1073">
        <v>80</v>
      </c>
      <c r="H70" s="1074">
        <v>0</v>
      </c>
      <c r="I70" s="1074">
        <v>524</v>
      </c>
      <c r="J70" s="1075">
        <v>604</v>
      </c>
      <c r="K70" s="1073">
        <v>34</v>
      </c>
      <c r="L70" s="1074">
        <v>9</v>
      </c>
      <c r="M70" s="1074">
        <v>194</v>
      </c>
      <c r="N70" s="1076">
        <v>237</v>
      </c>
      <c r="O70" s="1074">
        <v>24</v>
      </c>
      <c r="P70" s="1074">
        <v>9</v>
      </c>
      <c r="Q70" s="1074">
        <v>418</v>
      </c>
      <c r="R70" s="1076">
        <v>451</v>
      </c>
      <c r="S70" s="1074">
        <v>14</v>
      </c>
      <c r="T70" s="1074">
        <v>24</v>
      </c>
      <c r="U70" s="1074">
        <v>313</v>
      </c>
      <c r="V70" s="1076">
        <v>351</v>
      </c>
      <c r="W70" s="1074">
        <v>62</v>
      </c>
      <c r="X70" s="1074">
        <v>51</v>
      </c>
      <c r="Y70" s="1074">
        <v>405</v>
      </c>
      <c r="Z70" s="1076">
        <v>518</v>
      </c>
      <c r="AA70" s="1074">
        <f t="shared" si="59"/>
        <v>45</v>
      </c>
      <c r="AB70" s="1074">
        <f t="shared" si="59"/>
        <v>35</v>
      </c>
      <c r="AC70" s="1074">
        <f t="shared" si="59"/>
        <v>437</v>
      </c>
      <c r="AD70" s="1076">
        <f t="shared" si="59"/>
        <v>517</v>
      </c>
      <c r="AE70" s="1074">
        <f>SUM(AE58,AE62,AE66)</f>
        <v>78</v>
      </c>
      <c r="AF70" s="1074">
        <f t="shared" ref="AF70:AH71" si="60">AF58+AF62+AF66</f>
        <v>115</v>
      </c>
      <c r="AG70" s="1074">
        <f t="shared" si="60"/>
        <v>669</v>
      </c>
      <c r="AH70" s="1076">
        <f t="shared" si="60"/>
        <v>862</v>
      </c>
      <c r="AI70" s="1074">
        <f>SUM(AI58,AI62,AI66)</f>
        <v>76</v>
      </c>
      <c r="AJ70" s="1074">
        <f t="shared" ref="AJ70:AL71" si="61">AJ58+AJ62+AJ66</f>
        <v>175</v>
      </c>
      <c r="AK70" s="1074">
        <f t="shared" si="61"/>
        <v>351</v>
      </c>
      <c r="AL70" s="1076">
        <f t="shared" si="61"/>
        <v>602</v>
      </c>
      <c r="AM70" s="1074">
        <f>SUM(AM58,AM62,AM66)</f>
        <v>93</v>
      </c>
      <c r="AN70" s="1074">
        <f>AN58+AN62+AN66</f>
        <v>43</v>
      </c>
      <c r="AO70" s="1074">
        <f>AO58+AO62+AO66</f>
        <v>833</v>
      </c>
      <c r="AP70" s="1076">
        <f t="shared" si="54"/>
        <v>969</v>
      </c>
      <c r="AQ70" s="1074">
        <f>SUM(AQ58,AQ62,AQ66)</f>
        <v>104</v>
      </c>
      <c r="AR70" s="1074">
        <f>AR58+AR62+AR66</f>
        <v>249</v>
      </c>
      <c r="AS70" s="1074">
        <f>AS58+AS62+AS66</f>
        <v>265</v>
      </c>
      <c r="AT70" s="1076">
        <f t="shared" si="55"/>
        <v>618</v>
      </c>
      <c r="AU70" s="1074">
        <f>SUM(AU58,AU62,AU66)</f>
        <v>76</v>
      </c>
      <c r="AV70" s="1074">
        <f>AV58+AV62+AV66</f>
        <v>57</v>
      </c>
      <c r="AW70" s="1074">
        <f>AW58+AW62+AW66</f>
        <v>1078</v>
      </c>
      <c r="AX70" s="1076">
        <f t="shared" si="56"/>
        <v>1211</v>
      </c>
      <c r="AY70" s="1074">
        <f>SUM(AY58,AY62,AY66)</f>
        <v>85</v>
      </c>
      <c r="AZ70" s="1074">
        <f>AZ58+AZ62+AZ66</f>
        <v>200</v>
      </c>
      <c r="BA70" s="1074">
        <f>BA58+BA62+BA66</f>
        <v>365</v>
      </c>
      <c r="BB70" s="1076">
        <f t="shared" si="57"/>
        <v>650</v>
      </c>
    </row>
    <row r="71" spans="1:54" ht="15" x14ac:dyDescent="0.2">
      <c r="A71" s="5481"/>
      <c r="B71" s="1078" t="s">
        <v>633</v>
      </c>
      <c r="C71" s="1073"/>
      <c r="D71" s="1074">
        <f t="shared" si="58"/>
        <v>0</v>
      </c>
      <c r="E71" s="1074">
        <f t="shared" si="58"/>
        <v>44</v>
      </c>
      <c r="F71" s="1075">
        <f>SUM(C71:E71)</f>
        <v>44</v>
      </c>
      <c r="G71" s="1073">
        <v>12</v>
      </c>
      <c r="H71" s="1074">
        <v>0</v>
      </c>
      <c r="I71" s="1074">
        <v>25</v>
      </c>
      <c r="J71" s="1075">
        <v>37</v>
      </c>
      <c r="K71" s="1073">
        <v>100</v>
      </c>
      <c r="L71" s="1074">
        <v>0</v>
      </c>
      <c r="M71" s="1074">
        <v>52</v>
      </c>
      <c r="N71" s="1076">
        <v>152</v>
      </c>
      <c r="O71" s="1074">
        <v>25</v>
      </c>
      <c r="P71" s="1074"/>
      <c r="Q71" s="1074">
        <v>43</v>
      </c>
      <c r="R71" s="1076">
        <v>68</v>
      </c>
      <c r="S71" s="1074">
        <v>176</v>
      </c>
      <c r="T71" s="1074">
        <v>19</v>
      </c>
      <c r="U71" s="1074">
        <v>90</v>
      </c>
      <c r="V71" s="1076">
        <v>285</v>
      </c>
      <c r="W71" s="1074">
        <v>44</v>
      </c>
      <c r="X71" s="1074"/>
      <c r="Y71" s="1074">
        <v>15</v>
      </c>
      <c r="Z71" s="1076">
        <v>59</v>
      </c>
      <c r="AA71" s="1074">
        <f t="shared" si="59"/>
        <v>211</v>
      </c>
      <c r="AB71" s="1074"/>
      <c r="AC71" s="1074">
        <f t="shared" si="59"/>
        <v>44</v>
      </c>
      <c r="AD71" s="1076">
        <f t="shared" si="59"/>
        <v>255</v>
      </c>
      <c r="AE71" s="1074">
        <f>AE59+AE63+AE67</f>
        <v>10</v>
      </c>
      <c r="AF71" s="1074"/>
      <c r="AG71" s="1074">
        <f t="shared" si="60"/>
        <v>58</v>
      </c>
      <c r="AH71" s="1076">
        <f t="shared" si="60"/>
        <v>68</v>
      </c>
      <c r="AI71" s="1074">
        <f>AI59+AI63+AI67</f>
        <v>116</v>
      </c>
      <c r="AJ71" s="1074"/>
      <c r="AK71" s="1074">
        <f t="shared" si="61"/>
        <v>70</v>
      </c>
      <c r="AL71" s="1076">
        <f t="shared" si="61"/>
        <v>186</v>
      </c>
      <c r="AM71" s="1074">
        <f>AM59+AM63+AM67</f>
        <v>39</v>
      </c>
      <c r="AN71" s="1074"/>
      <c r="AO71" s="1074">
        <f>AO59+AO63+AO67</f>
        <v>68</v>
      </c>
      <c r="AP71" s="1076">
        <f t="shared" si="54"/>
        <v>107</v>
      </c>
      <c r="AQ71" s="1074">
        <f>AQ59+AQ63+AQ67</f>
        <v>175</v>
      </c>
      <c r="AR71" s="1074"/>
      <c r="AS71" s="1074">
        <f>AS59+AS63+AS67</f>
        <v>42</v>
      </c>
      <c r="AT71" s="1076">
        <f t="shared" si="55"/>
        <v>217</v>
      </c>
      <c r="AU71" s="1074">
        <f>AU59+AU63+AU67</f>
        <v>40</v>
      </c>
      <c r="AV71" s="1074">
        <f>AV59+AV63+AV67</f>
        <v>0</v>
      </c>
      <c r="AW71" s="1074">
        <f>AW59+AW63+AW67</f>
        <v>72</v>
      </c>
      <c r="AX71" s="1076">
        <f t="shared" si="56"/>
        <v>112</v>
      </c>
      <c r="AY71" s="1074">
        <f>AY59+AY63+AY67</f>
        <v>209</v>
      </c>
      <c r="AZ71" s="1074">
        <f>AZ59+AZ63+AZ67</f>
        <v>0</v>
      </c>
      <c r="BA71" s="1074">
        <f>BA59+BA63+BA67</f>
        <v>61</v>
      </c>
      <c r="BB71" s="1076">
        <f t="shared" si="57"/>
        <v>270</v>
      </c>
    </row>
    <row r="72" spans="1:54" ht="12.75" customHeight="1" x14ac:dyDescent="0.2">
      <c r="A72" s="5482"/>
      <c r="B72" s="2623" t="s">
        <v>12</v>
      </c>
      <c r="C72" s="2624"/>
      <c r="D72" s="2625">
        <f>SUM(D69:D71)</f>
        <v>79</v>
      </c>
      <c r="E72" s="2625">
        <f>SUM(E69:E71)</f>
        <v>242</v>
      </c>
      <c r="F72" s="2625">
        <f>SUM(F69:F71)</f>
        <v>321</v>
      </c>
      <c r="G72" s="2624">
        <v>119</v>
      </c>
      <c r="H72" s="2625">
        <v>0</v>
      </c>
      <c r="I72" s="2625">
        <v>549</v>
      </c>
      <c r="J72" s="2625">
        <v>668</v>
      </c>
      <c r="K72" s="2624">
        <v>134</v>
      </c>
      <c r="L72" s="2625">
        <v>9</v>
      </c>
      <c r="M72" s="2625">
        <v>316</v>
      </c>
      <c r="N72" s="2626">
        <v>459</v>
      </c>
      <c r="O72" s="2625">
        <v>93</v>
      </c>
      <c r="P72" s="2625">
        <v>9</v>
      </c>
      <c r="Q72" s="2625">
        <v>556</v>
      </c>
      <c r="R72" s="2626">
        <v>658</v>
      </c>
      <c r="S72" s="2625">
        <v>218</v>
      </c>
      <c r="T72" s="2625">
        <v>43</v>
      </c>
      <c r="U72" s="2625">
        <v>403</v>
      </c>
      <c r="V72" s="2626">
        <v>664</v>
      </c>
      <c r="W72" s="2625">
        <v>146</v>
      </c>
      <c r="X72" s="2625">
        <v>51</v>
      </c>
      <c r="Y72" s="2625">
        <v>538</v>
      </c>
      <c r="Z72" s="2626">
        <v>735</v>
      </c>
      <c r="AA72" s="2625">
        <f t="shared" ref="AA72:AH72" si="62">SUM(AA69:AA71)</f>
        <v>279</v>
      </c>
      <c r="AB72" s="2625">
        <f t="shared" si="62"/>
        <v>35</v>
      </c>
      <c r="AC72" s="2625">
        <f t="shared" si="62"/>
        <v>481</v>
      </c>
      <c r="AD72" s="2626">
        <f t="shared" si="62"/>
        <v>795</v>
      </c>
      <c r="AE72" s="2625">
        <f t="shared" si="62"/>
        <v>88</v>
      </c>
      <c r="AF72" s="2625">
        <f t="shared" si="62"/>
        <v>115</v>
      </c>
      <c r="AG72" s="2625">
        <f t="shared" si="62"/>
        <v>727</v>
      </c>
      <c r="AH72" s="2626">
        <f t="shared" si="62"/>
        <v>930</v>
      </c>
      <c r="AI72" s="2625">
        <f t="shared" ref="AI72:AP72" si="63">SUM(AI69:AI71)</f>
        <v>284</v>
      </c>
      <c r="AJ72" s="2625">
        <f t="shared" si="63"/>
        <v>175</v>
      </c>
      <c r="AK72" s="2625">
        <f t="shared" si="63"/>
        <v>421</v>
      </c>
      <c r="AL72" s="2626">
        <f t="shared" si="63"/>
        <v>880</v>
      </c>
      <c r="AM72" s="2625">
        <f t="shared" si="63"/>
        <v>132</v>
      </c>
      <c r="AN72" s="2625">
        <f t="shared" si="63"/>
        <v>43</v>
      </c>
      <c r="AO72" s="2625">
        <f t="shared" si="63"/>
        <v>1123</v>
      </c>
      <c r="AP72" s="2626">
        <f t="shared" si="63"/>
        <v>1298</v>
      </c>
      <c r="AQ72" s="2625">
        <f t="shared" ref="AQ72:AX72" si="64">SUM(AQ69:AQ71)</f>
        <v>358</v>
      </c>
      <c r="AR72" s="2625">
        <f t="shared" si="64"/>
        <v>249</v>
      </c>
      <c r="AS72" s="2625">
        <f t="shared" si="64"/>
        <v>424</v>
      </c>
      <c r="AT72" s="2626">
        <f t="shared" si="64"/>
        <v>1031</v>
      </c>
      <c r="AU72" s="2625">
        <f t="shared" si="64"/>
        <v>116</v>
      </c>
      <c r="AV72" s="2625">
        <f t="shared" si="64"/>
        <v>57</v>
      </c>
      <c r="AW72" s="2625">
        <f t="shared" si="64"/>
        <v>1150</v>
      </c>
      <c r="AX72" s="2626">
        <f t="shared" si="64"/>
        <v>1323</v>
      </c>
      <c r="AY72" s="2625">
        <f t="shared" ref="AY72:BB72" si="65">SUM(AY69:AY71)</f>
        <v>373</v>
      </c>
      <c r="AZ72" s="2625">
        <f t="shared" si="65"/>
        <v>200</v>
      </c>
      <c r="BA72" s="2625">
        <f t="shared" si="65"/>
        <v>426</v>
      </c>
      <c r="BB72" s="2626">
        <f t="shared" si="65"/>
        <v>999</v>
      </c>
    </row>
    <row r="73" spans="1:54" ht="15" x14ac:dyDescent="0.2">
      <c r="A73" s="936"/>
      <c r="B73" s="936"/>
      <c r="C73" s="378"/>
      <c r="D73" s="378"/>
      <c r="E73" s="378"/>
      <c r="F73" s="378"/>
      <c r="G73" s="378"/>
      <c r="H73" s="378"/>
      <c r="I73" s="378"/>
      <c r="J73" s="378"/>
      <c r="K73" s="378"/>
      <c r="L73" s="378"/>
      <c r="M73" s="378"/>
      <c r="N73" s="378"/>
      <c r="O73" s="378"/>
      <c r="P73" s="378"/>
      <c r="Q73" s="378"/>
      <c r="R73" s="378"/>
      <c r="S73" s="378"/>
      <c r="T73" s="378"/>
      <c r="U73" s="378"/>
      <c r="V73" s="378"/>
      <c r="W73" s="378"/>
      <c r="X73" s="378"/>
      <c r="Y73" s="378"/>
      <c r="Z73" s="378"/>
      <c r="AA73" s="378"/>
      <c r="AB73" s="378"/>
      <c r="AC73" s="378"/>
      <c r="AD73" s="378"/>
      <c r="AE73" s="378"/>
      <c r="AF73" s="378"/>
      <c r="AG73" s="378"/>
      <c r="AH73" s="378"/>
      <c r="AI73" s="378"/>
      <c r="AJ73" s="378"/>
      <c r="AK73" s="378"/>
      <c r="AL73" s="378"/>
      <c r="AM73" s="378"/>
      <c r="AN73" s="378"/>
      <c r="AO73" s="378"/>
      <c r="AP73" s="378"/>
      <c r="AQ73" s="378"/>
      <c r="AR73" s="378"/>
      <c r="AS73" s="378"/>
      <c r="AT73" s="378"/>
      <c r="AU73" s="378"/>
      <c r="AV73" s="378"/>
      <c r="AW73" s="378"/>
      <c r="AX73" s="378"/>
      <c r="AY73" s="3295"/>
      <c r="AZ73" s="3295"/>
      <c r="BA73" s="3295"/>
      <c r="BB73" s="3295"/>
    </row>
    <row r="74" spans="1:54" ht="15" x14ac:dyDescent="0.2">
      <c r="A74" s="5467" t="s">
        <v>586</v>
      </c>
      <c r="B74" s="1067" t="s">
        <v>631</v>
      </c>
      <c r="C74" s="1068">
        <f>SUM(C52,C69)</f>
        <v>1</v>
      </c>
      <c r="D74" s="1069">
        <f>SUM(D52,D69)</f>
        <v>2</v>
      </c>
      <c r="E74" s="1069">
        <f>SUM(E52,E69)</f>
        <v>209</v>
      </c>
      <c r="F74" s="1070">
        <f>SUM(C74:E74)</f>
        <v>212</v>
      </c>
      <c r="G74" s="1068">
        <v>29</v>
      </c>
      <c r="H74" s="1069">
        <v>3</v>
      </c>
      <c r="I74" s="1069">
        <v>326</v>
      </c>
      <c r="J74" s="1070">
        <v>358</v>
      </c>
      <c r="K74" s="1068">
        <v>2</v>
      </c>
      <c r="L74" s="1069">
        <v>63</v>
      </c>
      <c r="M74" s="1069">
        <v>214</v>
      </c>
      <c r="N74" s="1071">
        <v>267</v>
      </c>
      <c r="O74" s="1069">
        <v>212</v>
      </c>
      <c r="P74" s="1069">
        <v>79</v>
      </c>
      <c r="Q74" s="1069">
        <v>128</v>
      </c>
      <c r="R74" s="1071">
        <v>419</v>
      </c>
      <c r="S74" s="1069">
        <v>167</v>
      </c>
      <c r="T74" s="1069">
        <v>99</v>
      </c>
      <c r="U74" s="1069">
        <v>146</v>
      </c>
      <c r="V74" s="1071">
        <v>412</v>
      </c>
      <c r="W74" s="1069">
        <f t="shared" ref="W74:AD76" si="66">W18+W52+W69</f>
        <v>145</v>
      </c>
      <c r="X74" s="1069">
        <f t="shared" si="66"/>
        <v>9</v>
      </c>
      <c r="Y74" s="1069">
        <f t="shared" si="66"/>
        <v>276</v>
      </c>
      <c r="Z74" s="1086">
        <f t="shared" si="66"/>
        <v>430</v>
      </c>
      <c r="AA74" s="1069">
        <f t="shared" si="66"/>
        <v>26</v>
      </c>
      <c r="AB74" s="1069">
        <f t="shared" si="66"/>
        <v>215</v>
      </c>
      <c r="AC74" s="1069">
        <f t="shared" si="66"/>
        <v>322</v>
      </c>
      <c r="AD74" s="1071">
        <f t="shared" si="66"/>
        <v>563</v>
      </c>
      <c r="AE74" s="1068">
        <f t="shared" ref="AE74:AL74" si="67">SUM(AE18,AE52,AE69)</f>
        <v>7</v>
      </c>
      <c r="AF74" s="1069">
        <f t="shared" si="67"/>
        <v>11</v>
      </c>
      <c r="AG74" s="1069">
        <f t="shared" si="67"/>
        <v>431</v>
      </c>
      <c r="AH74" s="1071">
        <f t="shared" si="67"/>
        <v>449</v>
      </c>
      <c r="AI74" s="1068">
        <f t="shared" si="67"/>
        <v>104</v>
      </c>
      <c r="AJ74" s="1069">
        <f t="shared" si="67"/>
        <v>6</v>
      </c>
      <c r="AK74" s="1069">
        <f t="shared" si="67"/>
        <v>98</v>
      </c>
      <c r="AL74" s="1071">
        <f t="shared" si="67"/>
        <v>287</v>
      </c>
      <c r="AM74" s="1068">
        <f t="shared" ref="AM74:AO76" si="68">SUM(AM18,AM35,AM52,AM69)</f>
        <v>10</v>
      </c>
      <c r="AN74" s="1069">
        <f t="shared" si="68"/>
        <v>17</v>
      </c>
      <c r="AO74" s="1069">
        <f t="shared" si="68"/>
        <v>577</v>
      </c>
      <c r="AP74" s="1071">
        <f>SUM(AM74:AO74)</f>
        <v>604</v>
      </c>
      <c r="AQ74" s="1068">
        <f t="shared" ref="AQ74:AS76" si="69">SUM(AQ18,AQ35,AQ52,AQ69)</f>
        <v>86</v>
      </c>
      <c r="AR74" s="1069">
        <f t="shared" si="69"/>
        <v>6</v>
      </c>
      <c r="AS74" s="1069">
        <f t="shared" si="69"/>
        <v>134</v>
      </c>
      <c r="AT74" s="1071">
        <f>SUM(AQ74:AS74)</f>
        <v>226</v>
      </c>
      <c r="AU74" s="1068">
        <f t="shared" ref="AU74:AW76" si="70">SUM(AU18,AU35,AU52,AU69)</f>
        <v>7</v>
      </c>
      <c r="AV74" s="1069">
        <f t="shared" si="70"/>
        <v>9</v>
      </c>
      <c r="AW74" s="1069">
        <f t="shared" si="70"/>
        <v>302</v>
      </c>
      <c r="AX74" s="1071">
        <f>SUM(AU74:AW74)</f>
        <v>318</v>
      </c>
      <c r="AY74" s="1068">
        <f t="shared" ref="AY74:BA74" si="71">SUM(AY18,AY35,AY52,AY69)</f>
        <v>144</v>
      </c>
      <c r="AZ74" s="1069">
        <f t="shared" si="71"/>
        <v>10</v>
      </c>
      <c r="BA74" s="1069">
        <f t="shared" si="71"/>
        <v>112</v>
      </c>
      <c r="BB74" s="1071">
        <f>SUM(AY74:BA74)</f>
        <v>266</v>
      </c>
    </row>
    <row r="75" spans="1:54" ht="15" x14ac:dyDescent="0.2">
      <c r="A75" s="5468"/>
      <c r="B75" s="1072" t="s">
        <v>632</v>
      </c>
      <c r="C75" s="1073">
        <f t="shared" ref="C75:E76" si="72">SUM(C53,C70)</f>
        <v>62</v>
      </c>
      <c r="D75" s="1074">
        <f t="shared" si="72"/>
        <v>109</v>
      </c>
      <c r="E75" s="1074">
        <f t="shared" si="72"/>
        <v>464</v>
      </c>
      <c r="F75" s="1075">
        <f>SUM(C75:E75)</f>
        <v>635</v>
      </c>
      <c r="G75" s="1073">
        <v>177</v>
      </c>
      <c r="H75" s="1074">
        <v>65</v>
      </c>
      <c r="I75" s="1074">
        <v>934</v>
      </c>
      <c r="J75" s="1075">
        <v>1176</v>
      </c>
      <c r="K75" s="1073">
        <v>310</v>
      </c>
      <c r="L75" s="1074">
        <v>110</v>
      </c>
      <c r="M75" s="1074">
        <v>612</v>
      </c>
      <c r="N75" s="1076">
        <v>1032</v>
      </c>
      <c r="O75" s="1074">
        <v>170</v>
      </c>
      <c r="P75" s="1074">
        <v>98</v>
      </c>
      <c r="Q75" s="1074">
        <v>909</v>
      </c>
      <c r="R75" s="1076">
        <v>1177</v>
      </c>
      <c r="S75" s="1074">
        <v>212</v>
      </c>
      <c r="T75" s="1074">
        <v>90</v>
      </c>
      <c r="U75" s="1074">
        <v>808</v>
      </c>
      <c r="V75" s="1076">
        <v>1110</v>
      </c>
      <c r="W75" s="1074">
        <f t="shared" si="66"/>
        <v>188</v>
      </c>
      <c r="X75" s="1074">
        <f t="shared" si="66"/>
        <v>69</v>
      </c>
      <c r="Y75" s="1074">
        <f t="shared" si="66"/>
        <v>1098</v>
      </c>
      <c r="Z75" s="1077">
        <f t="shared" si="66"/>
        <v>1355</v>
      </c>
      <c r="AA75" s="1074">
        <f t="shared" si="66"/>
        <v>83</v>
      </c>
      <c r="AB75" s="1074">
        <f t="shared" si="66"/>
        <v>50</v>
      </c>
      <c r="AC75" s="1074">
        <f t="shared" si="66"/>
        <v>1080</v>
      </c>
      <c r="AD75" s="1076">
        <f t="shared" si="66"/>
        <v>1213</v>
      </c>
      <c r="AE75" s="1073">
        <f t="shared" ref="AE75:AH76" si="73">SUM(AE19,AE53,AE70)</f>
        <v>141</v>
      </c>
      <c r="AF75" s="1074">
        <f t="shared" si="73"/>
        <v>129</v>
      </c>
      <c r="AG75" s="1074">
        <f t="shared" si="73"/>
        <v>1345</v>
      </c>
      <c r="AH75" s="1076">
        <f t="shared" si="73"/>
        <v>1615</v>
      </c>
      <c r="AI75" s="1073">
        <f>SUM(AI19,AI53,AI70,AI24)</f>
        <v>215</v>
      </c>
      <c r="AJ75" s="1074">
        <f>SUM(AJ19,AJ53,AJ70)</f>
        <v>568</v>
      </c>
      <c r="AK75" s="1074">
        <f>SUM(AK19,AK53,AK70)</f>
        <v>717</v>
      </c>
      <c r="AL75" s="1076">
        <f>SUM(AL19,AL53,AL70,AL24)</f>
        <v>1500</v>
      </c>
      <c r="AM75" s="1073">
        <f t="shared" si="68"/>
        <v>269</v>
      </c>
      <c r="AN75" s="1074">
        <f t="shared" si="68"/>
        <v>61</v>
      </c>
      <c r="AO75" s="1074">
        <f t="shared" si="68"/>
        <v>1540</v>
      </c>
      <c r="AP75" s="1076">
        <f>SUM(AM75:AO75)</f>
        <v>1870</v>
      </c>
      <c r="AQ75" s="1073">
        <f t="shared" si="69"/>
        <v>372</v>
      </c>
      <c r="AR75" s="1074">
        <f t="shared" si="69"/>
        <v>468</v>
      </c>
      <c r="AS75" s="1074">
        <f t="shared" si="69"/>
        <v>646</v>
      </c>
      <c r="AT75" s="1076">
        <f>SUM(AQ75:AS75)</f>
        <v>1486</v>
      </c>
      <c r="AU75" s="1073">
        <f t="shared" si="70"/>
        <v>270</v>
      </c>
      <c r="AV75" s="1074">
        <f t="shared" si="70"/>
        <v>116</v>
      </c>
      <c r="AW75" s="1074">
        <f t="shared" si="70"/>
        <v>2184</v>
      </c>
      <c r="AX75" s="1076">
        <f>SUM(AU75:AW75)</f>
        <v>2570</v>
      </c>
      <c r="AY75" s="1073">
        <f t="shared" ref="AY75:BA75" si="74">SUM(AY19,AY36,AY53,AY70)</f>
        <v>187</v>
      </c>
      <c r="AZ75" s="1074">
        <f t="shared" si="74"/>
        <v>299</v>
      </c>
      <c r="BA75" s="1074">
        <f t="shared" si="74"/>
        <v>1125</v>
      </c>
      <c r="BB75" s="1076">
        <f>SUM(AY75:BA75)</f>
        <v>1611</v>
      </c>
    </row>
    <row r="76" spans="1:54" ht="15" x14ac:dyDescent="0.2">
      <c r="A76" s="5468"/>
      <c r="B76" s="1078" t="s">
        <v>633</v>
      </c>
      <c r="C76" s="1079">
        <f t="shared" si="72"/>
        <v>8</v>
      </c>
      <c r="D76" s="1080">
        <f t="shared" si="72"/>
        <v>0</v>
      </c>
      <c r="E76" s="1080">
        <f t="shared" si="72"/>
        <v>54</v>
      </c>
      <c r="F76" s="1081">
        <f>SUM(C76:E76)</f>
        <v>62</v>
      </c>
      <c r="G76" s="1079">
        <v>22</v>
      </c>
      <c r="H76" s="1080">
        <v>0</v>
      </c>
      <c r="I76" s="1080">
        <v>40</v>
      </c>
      <c r="J76" s="1081">
        <v>62</v>
      </c>
      <c r="K76" s="1079">
        <v>152</v>
      </c>
      <c r="L76" s="1080">
        <v>18</v>
      </c>
      <c r="M76" s="1080">
        <v>64</v>
      </c>
      <c r="N76" s="1082">
        <v>234</v>
      </c>
      <c r="O76" s="1080">
        <v>40</v>
      </c>
      <c r="P76" s="1080">
        <v>22</v>
      </c>
      <c r="Q76" s="1080">
        <v>56</v>
      </c>
      <c r="R76" s="1082">
        <v>118</v>
      </c>
      <c r="S76" s="1080">
        <v>186</v>
      </c>
      <c r="T76" s="1080">
        <v>47</v>
      </c>
      <c r="U76" s="1080">
        <v>138</v>
      </c>
      <c r="V76" s="1082">
        <v>371</v>
      </c>
      <c r="W76" s="1080">
        <f t="shared" si="66"/>
        <v>68</v>
      </c>
      <c r="X76" s="1080">
        <f t="shared" si="66"/>
        <v>8</v>
      </c>
      <c r="Y76" s="1080">
        <f t="shared" si="66"/>
        <v>270</v>
      </c>
      <c r="Z76" s="1083">
        <f t="shared" si="66"/>
        <v>346</v>
      </c>
      <c r="AA76" s="1080">
        <f t="shared" si="66"/>
        <v>227</v>
      </c>
      <c r="AB76" s="1080">
        <f t="shared" si="66"/>
        <v>52</v>
      </c>
      <c r="AC76" s="1080">
        <f t="shared" si="66"/>
        <v>128</v>
      </c>
      <c r="AD76" s="1082">
        <f t="shared" si="66"/>
        <v>407</v>
      </c>
      <c r="AE76" s="1087">
        <f t="shared" si="73"/>
        <v>68</v>
      </c>
      <c r="AF76" s="1088">
        <f t="shared" si="73"/>
        <v>54</v>
      </c>
      <c r="AG76" s="1088">
        <f t="shared" si="73"/>
        <v>388</v>
      </c>
      <c r="AH76" s="1089">
        <f t="shared" si="73"/>
        <v>510</v>
      </c>
      <c r="AI76" s="1087">
        <f>SUM(AI20,AI54,AI71,AI25)</f>
        <v>253</v>
      </c>
      <c r="AJ76" s="1088">
        <f>SUM(AJ20,AJ54,AJ71)</f>
        <v>33</v>
      </c>
      <c r="AK76" s="1088">
        <f>SUM(AK20,AK54,AK71)</f>
        <v>395</v>
      </c>
      <c r="AL76" s="1089">
        <f>SUM(AL20,AL54,AL71,AL25)</f>
        <v>681</v>
      </c>
      <c r="AM76" s="1087">
        <f t="shared" si="68"/>
        <v>165</v>
      </c>
      <c r="AN76" s="1088">
        <f t="shared" si="68"/>
        <v>11</v>
      </c>
      <c r="AO76" s="1088">
        <f t="shared" si="68"/>
        <v>379</v>
      </c>
      <c r="AP76" s="1089">
        <f>SUM(AM76:AO76)</f>
        <v>555</v>
      </c>
      <c r="AQ76" s="1087">
        <f t="shared" si="69"/>
        <v>260</v>
      </c>
      <c r="AR76" s="1088">
        <f t="shared" si="69"/>
        <v>13</v>
      </c>
      <c r="AS76" s="1088">
        <f t="shared" si="69"/>
        <v>508</v>
      </c>
      <c r="AT76" s="1089">
        <f>SUM(AQ76:AS76)</f>
        <v>781</v>
      </c>
      <c r="AU76" s="1087">
        <f t="shared" si="70"/>
        <v>105</v>
      </c>
      <c r="AV76" s="1088">
        <f t="shared" si="70"/>
        <v>17</v>
      </c>
      <c r="AW76" s="1088">
        <f t="shared" si="70"/>
        <v>553</v>
      </c>
      <c r="AX76" s="1089">
        <f>SUM(AU76:AW76)</f>
        <v>675</v>
      </c>
      <c r="AY76" s="1087">
        <f t="shared" ref="AY76:BA76" si="75">SUM(AY20,AY37,AY54,AY71)</f>
        <v>290</v>
      </c>
      <c r="AZ76" s="1088">
        <f t="shared" si="75"/>
        <v>19</v>
      </c>
      <c r="BA76" s="1088">
        <f t="shared" si="75"/>
        <v>342</v>
      </c>
      <c r="BB76" s="1089">
        <f>SUM(AY76:BA76)</f>
        <v>651</v>
      </c>
    </row>
    <row r="77" spans="1:54" ht="12.75" customHeight="1" x14ac:dyDescent="0.2">
      <c r="A77" s="5469"/>
      <c r="B77" s="573" t="s">
        <v>12</v>
      </c>
      <c r="C77" s="574">
        <f>SUM(C74:C76)</f>
        <v>71</v>
      </c>
      <c r="D77" s="575">
        <f>SUM(D74:D76)</f>
        <v>111</v>
      </c>
      <c r="E77" s="575">
        <f>SUM(E74:E76)</f>
        <v>727</v>
      </c>
      <c r="F77" s="575">
        <f>SUM(F74:F76)</f>
        <v>909</v>
      </c>
      <c r="G77" s="574">
        <v>228</v>
      </c>
      <c r="H77" s="575">
        <v>68</v>
      </c>
      <c r="I77" s="575">
        <v>1300</v>
      </c>
      <c r="J77" s="575">
        <v>1596</v>
      </c>
      <c r="K77" s="574">
        <v>464</v>
      </c>
      <c r="L77" s="575">
        <v>191</v>
      </c>
      <c r="M77" s="575">
        <v>890</v>
      </c>
      <c r="N77" s="576">
        <v>1533</v>
      </c>
      <c r="O77" s="574">
        <v>422</v>
      </c>
      <c r="P77" s="575">
        <v>199</v>
      </c>
      <c r="Q77" s="575">
        <v>1093</v>
      </c>
      <c r="R77" s="576">
        <v>1714</v>
      </c>
      <c r="S77" s="575">
        <v>565</v>
      </c>
      <c r="T77" s="575">
        <v>236</v>
      </c>
      <c r="U77" s="575">
        <v>1092</v>
      </c>
      <c r="V77" s="576">
        <v>1893</v>
      </c>
      <c r="W77" s="575">
        <f t="shared" ref="W77:AD77" si="76">SUM(W74:W76)</f>
        <v>401</v>
      </c>
      <c r="X77" s="575">
        <f t="shared" si="76"/>
        <v>86</v>
      </c>
      <c r="Y77" s="575">
        <f t="shared" si="76"/>
        <v>1644</v>
      </c>
      <c r="Z77" s="576">
        <f t="shared" si="76"/>
        <v>2131</v>
      </c>
      <c r="AA77" s="575">
        <f t="shared" si="76"/>
        <v>336</v>
      </c>
      <c r="AB77" s="575">
        <f t="shared" si="76"/>
        <v>317</v>
      </c>
      <c r="AC77" s="575">
        <f t="shared" si="76"/>
        <v>1530</v>
      </c>
      <c r="AD77" s="576">
        <f t="shared" si="76"/>
        <v>2183</v>
      </c>
      <c r="AE77" s="579">
        <f t="shared" ref="AE77:AL77" si="77">SUM(AE74:AE76)</f>
        <v>216</v>
      </c>
      <c r="AF77" s="579">
        <f t="shared" si="77"/>
        <v>194</v>
      </c>
      <c r="AG77" s="579">
        <f t="shared" si="77"/>
        <v>2164</v>
      </c>
      <c r="AH77" s="580">
        <f t="shared" si="77"/>
        <v>2574</v>
      </c>
      <c r="AI77" s="579">
        <f t="shared" si="77"/>
        <v>572</v>
      </c>
      <c r="AJ77" s="579">
        <f t="shared" si="77"/>
        <v>607</v>
      </c>
      <c r="AK77" s="579">
        <f t="shared" si="77"/>
        <v>1210</v>
      </c>
      <c r="AL77" s="580">
        <f t="shared" si="77"/>
        <v>2468</v>
      </c>
      <c r="AM77" s="579">
        <f t="shared" ref="AM77:AT77" si="78">SUM(AM74:AM76)</f>
        <v>444</v>
      </c>
      <c r="AN77" s="579">
        <f t="shared" si="78"/>
        <v>89</v>
      </c>
      <c r="AO77" s="579">
        <f t="shared" si="78"/>
        <v>2496</v>
      </c>
      <c r="AP77" s="580">
        <f t="shared" si="78"/>
        <v>3029</v>
      </c>
      <c r="AQ77" s="579">
        <f t="shared" si="78"/>
        <v>718</v>
      </c>
      <c r="AR77" s="579">
        <f t="shared" si="78"/>
        <v>487</v>
      </c>
      <c r="AS77" s="579">
        <f t="shared" si="78"/>
        <v>1288</v>
      </c>
      <c r="AT77" s="580">
        <f t="shared" si="78"/>
        <v>2493</v>
      </c>
      <c r="AU77" s="579">
        <f t="shared" ref="AU77:BB77" si="79">SUM(AU74:AU76)</f>
        <v>382</v>
      </c>
      <c r="AV77" s="579">
        <f t="shared" si="79"/>
        <v>142</v>
      </c>
      <c r="AW77" s="579">
        <f t="shared" si="79"/>
        <v>3039</v>
      </c>
      <c r="AX77" s="580">
        <f t="shared" si="79"/>
        <v>3563</v>
      </c>
      <c r="AY77" s="579">
        <f t="shared" si="79"/>
        <v>621</v>
      </c>
      <c r="AZ77" s="579">
        <f t="shared" si="79"/>
        <v>328</v>
      </c>
      <c r="BA77" s="579">
        <f t="shared" si="79"/>
        <v>1579</v>
      </c>
      <c r="BB77" s="580">
        <f t="shared" si="79"/>
        <v>2528</v>
      </c>
    </row>
    <row r="78" spans="1:54" x14ac:dyDescent="0.2">
      <c r="A78" s="552" t="s">
        <v>1320</v>
      </c>
    </row>
    <row r="79" spans="1:54" x14ac:dyDescent="0.2">
      <c r="A79" s="552"/>
      <c r="AM79" s="943"/>
      <c r="AN79" s="943"/>
      <c r="AO79" s="943"/>
      <c r="AP79" s="943"/>
    </row>
    <row r="80" spans="1:54" x14ac:dyDescent="0.2">
      <c r="A80" s="552"/>
    </row>
    <row r="81" spans="30:42" x14ac:dyDescent="0.2">
      <c r="AD81" s="4358"/>
      <c r="AM81" s="211"/>
      <c r="AN81" s="211"/>
      <c r="AO81" s="211"/>
      <c r="AP81" s="211"/>
    </row>
    <row r="82" spans="30:42" x14ac:dyDescent="0.2">
      <c r="AD82" s="4358"/>
    </row>
    <row r="83" spans="30:42" x14ac:dyDescent="0.2">
      <c r="AD83" s="4358"/>
    </row>
    <row r="84" spans="30:42" x14ac:dyDescent="0.2">
      <c r="AD84" s="4358"/>
    </row>
    <row r="85" spans="30:42" x14ac:dyDescent="0.2">
      <c r="AD85" s="4358"/>
    </row>
    <row r="86" spans="30:42" x14ac:dyDescent="0.2">
      <c r="AD86" s="4366">
        <v>2003</v>
      </c>
    </row>
    <row r="87" spans="30:42" x14ac:dyDescent="0.2">
      <c r="AD87" s="4366">
        <v>2004</v>
      </c>
    </row>
    <row r="88" spans="30:42" x14ac:dyDescent="0.2">
      <c r="AD88" s="4366">
        <v>2005</v>
      </c>
    </row>
    <row r="89" spans="30:42" x14ac:dyDescent="0.2">
      <c r="AD89" s="4366">
        <v>2006</v>
      </c>
    </row>
    <row r="90" spans="30:42" x14ac:dyDescent="0.2">
      <c r="AD90" s="4366">
        <v>2007</v>
      </c>
    </row>
    <row r="91" spans="30:42" x14ac:dyDescent="0.2">
      <c r="AD91" s="4366">
        <v>2008</v>
      </c>
    </row>
    <row r="92" spans="30:42" x14ac:dyDescent="0.2">
      <c r="AD92" s="4366">
        <v>2009</v>
      </c>
    </row>
    <row r="93" spans="30:42" x14ac:dyDescent="0.2">
      <c r="AD93" s="4366">
        <v>2010</v>
      </c>
    </row>
    <row r="94" spans="30:42" x14ac:dyDescent="0.2">
      <c r="AD94" s="4366">
        <v>2011</v>
      </c>
    </row>
    <row r="95" spans="30:42" x14ac:dyDescent="0.2">
      <c r="AD95" s="4366">
        <v>2012</v>
      </c>
    </row>
    <row r="96" spans="30:42" x14ac:dyDescent="0.2">
      <c r="AD96" s="4366">
        <v>2013</v>
      </c>
    </row>
    <row r="97" spans="30:30" x14ac:dyDescent="0.2">
      <c r="AD97" s="4366">
        <v>2014</v>
      </c>
    </row>
    <row r="98" spans="30:30" x14ac:dyDescent="0.2">
      <c r="AD98" s="4366">
        <v>2015</v>
      </c>
    </row>
  </sheetData>
  <mergeCells count="33">
    <mergeCell ref="A1:B1"/>
    <mergeCell ref="AQ3:AT3"/>
    <mergeCell ref="A10:A13"/>
    <mergeCell ref="A6:A9"/>
    <mergeCell ref="A3:A4"/>
    <mergeCell ref="AM3:AP3"/>
    <mergeCell ref="C3:F3"/>
    <mergeCell ref="G3:J3"/>
    <mergeCell ref="K3:N3"/>
    <mergeCell ref="O3:R3"/>
    <mergeCell ref="S3:V3"/>
    <mergeCell ref="W3:Z3"/>
    <mergeCell ref="AE3:AH3"/>
    <mergeCell ref="AI3:AL3"/>
    <mergeCell ref="AY3:BB3"/>
    <mergeCell ref="A27:A30"/>
    <mergeCell ref="AU3:AX3"/>
    <mergeCell ref="B3:B4"/>
    <mergeCell ref="AA3:AD3"/>
    <mergeCell ref="A74:A77"/>
    <mergeCell ref="A14:A17"/>
    <mergeCell ref="A18:A21"/>
    <mergeCell ref="A40:A43"/>
    <mergeCell ref="A44:A47"/>
    <mergeCell ref="A48:A51"/>
    <mergeCell ref="A52:A55"/>
    <mergeCell ref="A57:A60"/>
    <mergeCell ref="A61:A64"/>
    <mergeCell ref="A65:A68"/>
    <mergeCell ref="A69:A72"/>
    <mergeCell ref="A23:A26"/>
    <mergeCell ref="A31:A34"/>
    <mergeCell ref="A35:A38"/>
  </mergeCells>
  <printOptions horizontalCentered="1" verticalCentered="1"/>
  <pageMargins left="0.31496062992125984" right="0.27559055118110237" top="0.27559055118110237" bottom="0.39370078740157483" header="0" footer="0.31496062992125984"/>
  <pageSetup scale="45" pageOrder="overThenDown" orientation="landscape" horizontalDpi="1200" verticalDpi="1200" r:id="rId1"/>
  <headerFooter alignWithMargins="0"/>
  <rowBreaks count="1" manualBreakCount="1">
    <brk id="78" max="53" man="1"/>
  </rowBreaks>
  <colBreaks count="1" manualBreakCount="1">
    <brk id="26" max="120" man="1"/>
  </colBreaks>
  <ignoredErrors>
    <ignoredError sqref="AI9:AI12 AI57:AI61 AI40 Z7:AH8 AL7:AL8 AI20:AI21 AI14:AI18 AI54:AI55 AI43:AI52 N18:N19 AR61:AS63 AQ7:AS8 AQ41:AS42 AQ43:AS43 AU45:AW46 AU62:AW62 AW57 AV63 AU7:AX8 AY7:BA8 AY61:BA63 AY41:BB42 AY43:BA47 AM7:AO7 AY15:BA16" formulaRange="1"/>
    <ignoredError sqref="Z41:AH46 AD62:AD67 AI53 AI19 AL10 Z9:AH16 Z40:AG40 Z57:AH61 Z47:AD47 AG47:AH47 Z18:AH21 Z17 AC17:AD17 AG17:AH17 Z48:AH55 AT41:AT43 AU41:AW43 BB43:BB47" formula="1" formulaRange="1"/>
    <ignoredError sqref="Z68:AH68 Z62:AC67 AE62:AH64 AI70 AJ20 AI75:AI76 AE70 AM70 AL9 AL40 AL11:AL21 AM60:AO60 AL68:AO68 AL66 AL64:AO65 AL60:AL63 AL25:AL38 AE66:AH67 AE65:AG65 AM53:AO55 AL42:AL43 AL44:AL55 AM61 AL67 F51 AP67 AP62:AP63 AP47 AP43 AP60 AP64:AP65 AP66 AP68 AP9:AP42 AP69:AP77 AP61 AP44:AP46 AP48:AP59 AT47 AT6:AT40 AT44:AT46 AT48:AT76 AU48:AX53 AX41:AX46 AW47:AX47 AV21 AX9:AX17 AX30:AX38 AY53 AX60:AX76 AZ21" formula="1"/>
  </ignoredError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BT140"/>
  <sheetViews>
    <sheetView showGridLines="0" zoomScaleNormal="100" zoomScaleSheetLayoutView="100" workbookViewId="0">
      <pane xSplit="4" ySplit="4" topLeftCell="BQ11" activePane="bottomRight" state="frozen"/>
      <selection pane="topRight" activeCell="E1" sqref="E1"/>
      <selection pane="bottomLeft" activeCell="A5" sqref="A5"/>
      <selection pane="bottomRight" activeCell="BT25" sqref="BT25"/>
    </sheetView>
  </sheetViews>
  <sheetFormatPr baseColWidth="10" defaultRowHeight="12.75" x14ac:dyDescent="0.2"/>
  <cols>
    <col min="1" max="1" width="9.140625" style="209" customWidth="1"/>
    <col min="2" max="3" width="9.42578125" style="228" customWidth="1"/>
    <col min="4" max="4" width="69.42578125" style="209" bestFit="1" customWidth="1"/>
    <col min="5" max="23" width="7.7109375" style="209" customWidth="1"/>
    <col min="24" max="24" width="7.7109375" style="222" customWidth="1"/>
    <col min="25" max="27" width="7.7109375" style="209" customWidth="1"/>
    <col min="28" max="28" width="7.7109375" style="222" customWidth="1"/>
    <col min="29" max="31" width="7.7109375" style="209" customWidth="1"/>
    <col min="32" max="32" width="7.7109375" style="222" customWidth="1"/>
    <col min="33" max="35" width="7.7109375" style="209" customWidth="1"/>
    <col min="36" max="36" width="7.7109375" style="222" customWidth="1"/>
    <col min="37" max="39" width="7.7109375" style="209" customWidth="1"/>
    <col min="40" max="40" width="7.7109375" style="222" customWidth="1"/>
    <col min="41" max="43" width="7.7109375" style="209" customWidth="1"/>
    <col min="44" max="44" width="7.7109375" style="222" customWidth="1"/>
    <col min="45" max="47" width="7.7109375" style="209" customWidth="1"/>
    <col min="48" max="48" width="7.7109375" style="222" customWidth="1"/>
    <col min="49" max="72" width="7.7109375" style="209" customWidth="1"/>
    <col min="73" max="271" width="11.42578125" style="209"/>
    <col min="272" max="272" width="2" style="209" customWidth="1"/>
    <col min="273" max="273" width="18.140625" style="209" customWidth="1"/>
    <col min="274" max="274" width="13.5703125" style="209" customWidth="1"/>
    <col min="275" max="275" width="52" style="209" customWidth="1"/>
    <col min="276" max="277" width="6.5703125" style="209" customWidth="1"/>
    <col min="278" max="278" width="7.5703125" style="209" customWidth="1"/>
    <col min="279" max="279" width="7.42578125" style="209" customWidth="1"/>
    <col min="280" max="280" width="8.42578125" style="209" customWidth="1"/>
    <col min="281" max="281" width="7.28515625" style="209" customWidth="1"/>
    <col min="282" max="282" width="7.5703125" style="209" customWidth="1"/>
    <col min="283" max="283" width="7.7109375" style="209" customWidth="1"/>
    <col min="284" max="285" width="6.42578125" style="209" customWidth="1"/>
    <col min="286" max="286" width="7.28515625" style="209" customWidth="1"/>
    <col min="287" max="287" width="7.85546875" style="209" customWidth="1"/>
    <col min="288" max="288" width="6.42578125" style="209" customWidth="1"/>
    <col min="289" max="289" width="7.28515625" style="209" customWidth="1"/>
    <col min="290" max="290" width="7.5703125" style="209" customWidth="1"/>
    <col min="291" max="291" width="8" style="209" customWidth="1"/>
    <col min="292" max="293" width="6.42578125" style="209" customWidth="1"/>
    <col min="294" max="294" width="7.28515625" style="209" customWidth="1"/>
    <col min="295" max="295" width="8.28515625" style="209" customWidth="1"/>
    <col min="296" max="297" width="10.42578125" style="209" customWidth="1"/>
    <col min="298" max="298" width="7.28515625" style="209" customWidth="1"/>
    <col min="299" max="299" width="8.28515625" style="209" customWidth="1"/>
    <col min="300" max="301" width="10.42578125" style="209" customWidth="1"/>
    <col min="302" max="302" width="7.28515625" style="209" customWidth="1"/>
    <col min="303" max="303" width="8.28515625" style="209" customWidth="1"/>
    <col min="304" max="304" width="11.5703125" style="209" customWidth="1"/>
    <col min="305" max="527" width="11.42578125" style="209"/>
    <col min="528" max="528" width="2" style="209" customWidth="1"/>
    <col min="529" max="529" width="18.140625" style="209" customWidth="1"/>
    <col min="530" max="530" width="13.5703125" style="209" customWidth="1"/>
    <col min="531" max="531" width="52" style="209" customWidth="1"/>
    <col min="532" max="533" width="6.5703125" style="209" customWidth="1"/>
    <col min="534" max="534" width="7.5703125" style="209" customWidth="1"/>
    <col min="535" max="535" width="7.42578125" style="209" customWidth="1"/>
    <col min="536" max="536" width="8.42578125" style="209" customWidth="1"/>
    <col min="537" max="537" width="7.28515625" style="209" customWidth="1"/>
    <col min="538" max="538" width="7.5703125" style="209" customWidth="1"/>
    <col min="539" max="539" width="7.7109375" style="209" customWidth="1"/>
    <col min="540" max="541" width="6.42578125" style="209" customWidth="1"/>
    <col min="542" max="542" width="7.28515625" style="209" customWidth="1"/>
    <col min="543" max="543" width="7.85546875" style="209" customWidth="1"/>
    <col min="544" max="544" width="6.42578125" style="209" customWidth="1"/>
    <col min="545" max="545" width="7.28515625" style="209" customWidth="1"/>
    <col min="546" max="546" width="7.5703125" style="209" customWidth="1"/>
    <col min="547" max="547" width="8" style="209" customWidth="1"/>
    <col min="548" max="549" width="6.42578125" style="209" customWidth="1"/>
    <col min="550" max="550" width="7.28515625" style="209" customWidth="1"/>
    <col min="551" max="551" width="8.28515625" style="209" customWidth="1"/>
    <col min="552" max="553" width="10.42578125" style="209" customWidth="1"/>
    <col min="554" max="554" width="7.28515625" style="209" customWidth="1"/>
    <col min="555" max="555" width="8.28515625" style="209" customWidth="1"/>
    <col min="556" max="557" width="10.42578125" style="209" customWidth="1"/>
    <col min="558" max="558" width="7.28515625" style="209" customWidth="1"/>
    <col min="559" max="559" width="8.28515625" style="209" customWidth="1"/>
    <col min="560" max="560" width="11.5703125" style="209" customWidth="1"/>
    <col min="561" max="783" width="11.42578125" style="209"/>
    <col min="784" max="784" width="2" style="209" customWidth="1"/>
    <col min="785" max="785" width="18.140625" style="209" customWidth="1"/>
    <col min="786" max="786" width="13.5703125" style="209" customWidth="1"/>
    <col min="787" max="787" width="52" style="209" customWidth="1"/>
    <col min="788" max="789" width="6.5703125" style="209" customWidth="1"/>
    <col min="790" max="790" width="7.5703125" style="209" customWidth="1"/>
    <col min="791" max="791" width="7.42578125" style="209" customWidth="1"/>
    <col min="792" max="792" width="8.42578125" style="209" customWidth="1"/>
    <col min="793" max="793" width="7.28515625" style="209" customWidth="1"/>
    <col min="794" max="794" width="7.5703125" style="209" customWidth="1"/>
    <col min="795" max="795" width="7.7109375" style="209" customWidth="1"/>
    <col min="796" max="797" width="6.42578125" style="209" customWidth="1"/>
    <col min="798" max="798" width="7.28515625" style="209" customWidth="1"/>
    <col min="799" max="799" width="7.85546875" style="209" customWidth="1"/>
    <col min="800" max="800" width="6.42578125" style="209" customWidth="1"/>
    <col min="801" max="801" width="7.28515625" style="209" customWidth="1"/>
    <col min="802" max="802" width="7.5703125" style="209" customWidth="1"/>
    <col min="803" max="803" width="8" style="209" customWidth="1"/>
    <col min="804" max="805" width="6.42578125" style="209" customWidth="1"/>
    <col min="806" max="806" width="7.28515625" style="209" customWidth="1"/>
    <col min="807" max="807" width="8.28515625" style="209" customWidth="1"/>
    <col min="808" max="809" width="10.42578125" style="209" customWidth="1"/>
    <col min="810" max="810" width="7.28515625" style="209" customWidth="1"/>
    <col min="811" max="811" width="8.28515625" style="209" customWidth="1"/>
    <col min="812" max="813" width="10.42578125" style="209" customWidth="1"/>
    <col min="814" max="814" width="7.28515625" style="209" customWidth="1"/>
    <col min="815" max="815" width="8.28515625" style="209" customWidth="1"/>
    <col min="816" max="816" width="11.5703125" style="209" customWidth="1"/>
    <col min="817" max="1039" width="11.42578125" style="209"/>
    <col min="1040" max="1040" width="2" style="209" customWidth="1"/>
    <col min="1041" max="1041" width="18.140625" style="209" customWidth="1"/>
    <col min="1042" max="1042" width="13.5703125" style="209" customWidth="1"/>
    <col min="1043" max="1043" width="52" style="209" customWidth="1"/>
    <col min="1044" max="1045" width="6.5703125" style="209" customWidth="1"/>
    <col min="1046" max="1046" width="7.5703125" style="209" customWidth="1"/>
    <col min="1047" max="1047" width="7.42578125" style="209" customWidth="1"/>
    <col min="1048" max="1048" width="8.42578125" style="209" customWidth="1"/>
    <col min="1049" max="1049" width="7.28515625" style="209" customWidth="1"/>
    <col min="1050" max="1050" width="7.5703125" style="209" customWidth="1"/>
    <col min="1051" max="1051" width="7.7109375" style="209" customWidth="1"/>
    <col min="1052" max="1053" width="6.42578125" style="209" customWidth="1"/>
    <col min="1054" max="1054" width="7.28515625" style="209" customWidth="1"/>
    <col min="1055" max="1055" width="7.85546875" style="209" customWidth="1"/>
    <col min="1056" max="1056" width="6.42578125" style="209" customWidth="1"/>
    <col min="1057" max="1057" width="7.28515625" style="209" customWidth="1"/>
    <col min="1058" max="1058" width="7.5703125" style="209" customWidth="1"/>
    <col min="1059" max="1059" width="8" style="209" customWidth="1"/>
    <col min="1060" max="1061" width="6.42578125" style="209" customWidth="1"/>
    <col min="1062" max="1062" width="7.28515625" style="209" customWidth="1"/>
    <col min="1063" max="1063" width="8.28515625" style="209" customWidth="1"/>
    <col min="1064" max="1065" width="10.42578125" style="209" customWidth="1"/>
    <col min="1066" max="1066" width="7.28515625" style="209" customWidth="1"/>
    <col min="1067" max="1067" width="8.28515625" style="209" customWidth="1"/>
    <col min="1068" max="1069" width="10.42578125" style="209" customWidth="1"/>
    <col min="1070" max="1070" width="7.28515625" style="209" customWidth="1"/>
    <col min="1071" max="1071" width="8.28515625" style="209" customWidth="1"/>
    <col min="1072" max="1072" width="11.5703125" style="209" customWidth="1"/>
    <col min="1073" max="1295" width="11.42578125" style="209"/>
    <col min="1296" max="1296" width="2" style="209" customWidth="1"/>
    <col min="1297" max="1297" width="18.140625" style="209" customWidth="1"/>
    <col min="1298" max="1298" width="13.5703125" style="209" customWidth="1"/>
    <col min="1299" max="1299" width="52" style="209" customWidth="1"/>
    <col min="1300" max="1301" width="6.5703125" style="209" customWidth="1"/>
    <col min="1302" max="1302" width="7.5703125" style="209" customWidth="1"/>
    <col min="1303" max="1303" width="7.42578125" style="209" customWidth="1"/>
    <col min="1304" max="1304" width="8.42578125" style="209" customWidth="1"/>
    <col min="1305" max="1305" width="7.28515625" style="209" customWidth="1"/>
    <col min="1306" max="1306" width="7.5703125" style="209" customWidth="1"/>
    <col min="1307" max="1307" width="7.7109375" style="209" customWidth="1"/>
    <col min="1308" max="1309" width="6.42578125" style="209" customWidth="1"/>
    <col min="1310" max="1310" width="7.28515625" style="209" customWidth="1"/>
    <col min="1311" max="1311" width="7.85546875" style="209" customWidth="1"/>
    <col min="1312" max="1312" width="6.42578125" style="209" customWidth="1"/>
    <col min="1313" max="1313" width="7.28515625" style="209" customWidth="1"/>
    <col min="1314" max="1314" width="7.5703125" style="209" customWidth="1"/>
    <col min="1315" max="1315" width="8" style="209" customWidth="1"/>
    <col min="1316" max="1317" width="6.42578125" style="209" customWidth="1"/>
    <col min="1318" max="1318" width="7.28515625" style="209" customWidth="1"/>
    <col min="1319" max="1319" width="8.28515625" style="209" customWidth="1"/>
    <col min="1320" max="1321" width="10.42578125" style="209" customWidth="1"/>
    <col min="1322" max="1322" width="7.28515625" style="209" customWidth="1"/>
    <col min="1323" max="1323" width="8.28515625" style="209" customWidth="1"/>
    <col min="1324" max="1325" width="10.42578125" style="209" customWidth="1"/>
    <col min="1326" max="1326" width="7.28515625" style="209" customWidth="1"/>
    <col min="1327" max="1327" width="8.28515625" style="209" customWidth="1"/>
    <col min="1328" max="1328" width="11.5703125" style="209" customWidth="1"/>
    <col min="1329" max="1551" width="11.42578125" style="209"/>
    <col min="1552" max="1552" width="2" style="209" customWidth="1"/>
    <col min="1553" max="1553" width="18.140625" style="209" customWidth="1"/>
    <col min="1554" max="1554" width="13.5703125" style="209" customWidth="1"/>
    <col min="1555" max="1555" width="52" style="209" customWidth="1"/>
    <col min="1556" max="1557" width="6.5703125" style="209" customWidth="1"/>
    <col min="1558" max="1558" width="7.5703125" style="209" customWidth="1"/>
    <col min="1559" max="1559" width="7.42578125" style="209" customWidth="1"/>
    <col min="1560" max="1560" width="8.42578125" style="209" customWidth="1"/>
    <col min="1561" max="1561" width="7.28515625" style="209" customWidth="1"/>
    <col min="1562" max="1562" width="7.5703125" style="209" customWidth="1"/>
    <col min="1563" max="1563" width="7.7109375" style="209" customWidth="1"/>
    <col min="1564" max="1565" width="6.42578125" style="209" customWidth="1"/>
    <col min="1566" max="1566" width="7.28515625" style="209" customWidth="1"/>
    <col min="1567" max="1567" width="7.85546875" style="209" customWidth="1"/>
    <col min="1568" max="1568" width="6.42578125" style="209" customWidth="1"/>
    <col min="1569" max="1569" width="7.28515625" style="209" customWidth="1"/>
    <col min="1570" max="1570" width="7.5703125" style="209" customWidth="1"/>
    <col min="1571" max="1571" width="8" style="209" customWidth="1"/>
    <col min="1572" max="1573" width="6.42578125" style="209" customWidth="1"/>
    <col min="1574" max="1574" width="7.28515625" style="209" customWidth="1"/>
    <col min="1575" max="1575" width="8.28515625" style="209" customWidth="1"/>
    <col min="1576" max="1577" width="10.42578125" style="209" customWidth="1"/>
    <col min="1578" max="1578" width="7.28515625" style="209" customWidth="1"/>
    <col min="1579" max="1579" width="8.28515625" style="209" customWidth="1"/>
    <col min="1580" max="1581" width="10.42578125" style="209" customWidth="1"/>
    <col min="1582" max="1582" width="7.28515625" style="209" customWidth="1"/>
    <col min="1583" max="1583" width="8.28515625" style="209" customWidth="1"/>
    <col min="1584" max="1584" width="11.5703125" style="209" customWidth="1"/>
    <col min="1585" max="1807" width="11.42578125" style="209"/>
    <col min="1808" max="1808" width="2" style="209" customWidth="1"/>
    <col min="1809" max="1809" width="18.140625" style="209" customWidth="1"/>
    <col min="1810" max="1810" width="13.5703125" style="209" customWidth="1"/>
    <col min="1811" max="1811" width="52" style="209" customWidth="1"/>
    <col min="1812" max="1813" width="6.5703125" style="209" customWidth="1"/>
    <col min="1814" max="1814" width="7.5703125" style="209" customWidth="1"/>
    <col min="1815" max="1815" width="7.42578125" style="209" customWidth="1"/>
    <col min="1816" max="1816" width="8.42578125" style="209" customWidth="1"/>
    <col min="1817" max="1817" width="7.28515625" style="209" customWidth="1"/>
    <col min="1818" max="1818" width="7.5703125" style="209" customWidth="1"/>
    <col min="1819" max="1819" width="7.7109375" style="209" customWidth="1"/>
    <col min="1820" max="1821" width="6.42578125" style="209" customWidth="1"/>
    <col min="1822" max="1822" width="7.28515625" style="209" customWidth="1"/>
    <col min="1823" max="1823" width="7.85546875" style="209" customWidth="1"/>
    <col min="1824" max="1824" width="6.42578125" style="209" customWidth="1"/>
    <col min="1825" max="1825" width="7.28515625" style="209" customWidth="1"/>
    <col min="1826" max="1826" width="7.5703125" style="209" customWidth="1"/>
    <col min="1827" max="1827" width="8" style="209" customWidth="1"/>
    <col min="1828" max="1829" width="6.42578125" style="209" customWidth="1"/>
    <col min="1830" max="1830" width="7.28515625" style="209" customWidth="1"/>
    <col min="1831" max="1831" width="8.28515625" style="209" customWidth="1"/>
    <col min="1832" max="1833" width="10.42578125" style="209" customWidth="1"/>
    <col min="1834" max="1834" width="7.28515625" style="209" customWidth="1"/>
    <col min="1835" max="1835" width="8.28515625" style="209" customWidth="1"/>
    <col min="1836" max="1837" width="10.42578125" style="209" customWidth="1"/>
    <col min="1838" max="1838" width="7.28515625" style="209" customWidth="1"/>
    <col min="1839" max="1839" width="8.28515625" style="209" customWidth="1"/>
    <col min="1840" max="1840" width="11.5703125" style="209" customWidth="1"/>
    <col min="1841" max="2063" width="11.42578125" style="209"/>
    <col min="2064" max="2064" width="2" style="209" customWidth="1"/>
    <col min="2065" max="2065" width="18.140625" style="209" customWidth="1"/>
    <col min="2066" max="2066" width="13.5703125" style="209" customWidth="1"/>
    <col min="2067" max="2067" width="52" style="209" customWidth="1"/>
    <col min="2068" max="2069" width="6.5703125" style="209" customWidth="1"/>
    <col min="2070" max="2070" width="7.5703125" style="209" customWidth="1"/>
    <col min="2071" max="2071" width="7.42578125" style="209" customWidth="1"/>
    <col min="2072" max="2072" width="8.42578125" style="209" customWidth="1"/>
    <col min="2073" max="2073" width="7.28515625" style="209" customWidth="1"/>
    <col min="2074" max="2074" width="7.5703125" style="209" customWidth="1"/>
    <col min="2075" max="2075" width="7.7109375" style="209" customWidth="1"/>
    <col min="2076" max="2077" width="6.42578125" style="209" customWidth="1"/>
    <col min="2078" max="2078" width="7.28515625" style="209" customWidth="1"/>
    <col min="2079" max="2079" width="7.85546875" style="209" customWidth="1"/>
    <col min="2080" max="2080" width="6.42578125" style="209" customWidth="1"/>
    <col min="2081" max="2081" width="7.28515625" style="209" customWidth="1"/>
    <col min="2082" max="2082" width="7.5703125" style="209" customWidth="1"/>
    <col min="2083" max="2083" width="8" style="209" customWidth="1"/>
    <col min="2084" max="2085" width="6.42578125" style="209" customWidth="1"/>
    <col min="2086" max="2086" width="7.28515625" style="209" customWidth="1"/>
    <col min="2087" max="2087" width="8.28515625" style="209" customWidth="1"/>
    <col min="2088" max="2089" width="10.42578125" style="209" customWidth="1"/>
    <col min="2090" max="2090" width="7.28515625" style="209" customWidth="1"/>
    <col min="2091" max="2091" width="8.28515625" style="209" customWidth="1"/>
    <col min="2092" max="2093" width="10.42578125" style="209" customWidth="1"/>
    <col min="2094" max="2094" width="7.28515625" style="209" customWidth="1"/>
    <col min="2095" max="2095" width="8.28515625" style="209" customWidth="1"/>
    <col min="2096" max="2096" width="11.5703125" style="209" customWidth="1"/>
    <col min="2097" max="2319" width="11.42578125" style="209"/>
    <col min="2320" max="2320" width="2" style="209" customWidth="1"/>
    <col min="2321" max="2321" width="18.140625" style="209" customWidth="1"/>
    <col min="2322" max="2322" width="13.5703125" style="209" customWidth="1"/>
    <col min="2323" max="2323" width="52" style="209" customWidth="1"/>
    <col min="2324" max="2325" width="6.5703125" style="209" customWidth="1"/>
    <col min="2326" max="2326" width="7.5703125" style="209" customWidth="1"/>
    <col min="2327" max="2327" width="7.42578125" style="209" customWidth="1"/>
    <col min="2328" max="2328" width="8.42578125" style="209" customWidth="1"/>
    <col min="2329" max="2329" width="7.28515625" style="209" customWidth="1"/>
    <col min="2330" max="2330" width="7.5703125" style="209" customWidth="1"/>
    <col min="2331" max="2331" width="7.7109375" style="209" customWidth="1"/>
    <col min="2332" max="2333" width="6.42578125" style="209" customWidth="1"/>
    <col min="2334" max="2334" width="7.28515625" style="209" customWidth="1"/>
    <col min="2335" max="2335" width="7.85546875" style="209" customWidth="1"/>
    <col min="2336" max="2336" width="6.42578125" style="209" customWidth="1"/>
    <col min="2337" max="2337" width="7.28515625" style="209" customWidth="1"/>
    <col min="2338" max="2338" width="7.5703125" style="209" customWidth="1"/>
    <col min="2339" max="2339" width="8" style="209" customWidth="1"/>
    <col min="2340" max="2341" width="6.42578125" style="209" customWidth="1"/>
    <col min="2342" max="2342" width="7.28515625" style="209" customWidth="1"/>
    <col min="2343" max="2343" width="8.28515625" style="209" customWidth="1"/>
    <col min="2344" max="2345" width="10.42578125" style="209" customWidth="1"/>
    <col min="2346" max="2346" width="7.28515625" style="209" customWidth="1"/>
    <col min="2347" max="2347" width="8.28515625" style="209" customWidth="1"/>
    <col min="2348" max="2349" width="10.42578125" style="209" customWidth="1"/>
    <col min="2350" max="2350" width="7.28515625" style="209" customWidth="1"/>
    <col min="2351" max="2351" width="8.28515625" style="209" customWidth="1"/>
    <col min="2352" max="2352" width="11.5703125" style="209" customWidth="1"/>
    <col min="2353" max="2575" width="11.42578125" style="209"/>
    <col min="2576" max="2576" width="2" style="209" customWidth="1"/>
    <col min="2577" max="2577" width="18.140625" style="209" customWidth="1"/>
    <col min="2578" max="2578" width="13.5703125" style="209" customWidth="1"/>
    <col min="2579" max="2579" width="52" style="209" customWidth="1"/>
    <col min="2580" max="2581" width="6.5703125" style="209" customWidth="1"/>
    <col min="2582" max="2582" width="7.5703125" style="209" customWidth="1"/>
    <col min="2583" max="2583" width="7.42578125" style="209" customWidth="1"/>
    <col min="2584" max="2584" width="8.42578125" style="209" customWidth="1"/>
    <col min="2585" max="2585" width="7.28515625" style="209" customWidth="1"/>
    <col min="2586" max="2586" width="7.5703125" style="209" customWidth="1"/>
    <col min="2587" max="2587" width="7.7109375" style="209" customWidth="1"/>
    <col min="2588" max="2589" width="6.42578125" style="209" customWidth="1"/>
    <col min="2590" max="2590" width="7.28515625" style="209" customWidth="1"/>
    <col min="2591" max="2591" width="7.85546875" style="209" customWidth="1"/>
    <col min="2592" max="2592" width="6.42578125" style="209" customWidth="1"/>
    <col min="2593" max="2593" width="7.28515625" style="209" customWidth="1"/>
    <col min="2594" max="2594" width="7.5703125" style="209" customWidth="1"/>
    <col min="2595" max="2595" width="8" style="209" customWidth="1"/>
    <col min="2596" max="2597" width="6.42578125" style="209" customWidth="1"/>
    <col min="2598" max="2598" width="7.28515625" style="209" customWidth="1"/>
    <col min="2599" max="2599" width="8.28515625" style="209" customWidth="1"/>
    <col min="2600" max="2601" width="10.42578125" style="209" customWidth="1"/>
    <col min="2602" max="2602" width="7.28515625" style="209" customWidth="1"/>
    <col min="2603" max="2603" width="8.28515625" style="209" customWidth="1"/>
    <col min="2604" max="2605" width="10.42578125" style="209" customWidth="1"/>
    <col min="2606" max="2606" width="7.28515625" style="209" customWidth="1"/>
    <col min="2607" max="2607" width="8.28515625" style="209" customWidth="1"/>
    <col min="2608" max="2608" width="11.5703125" style="209" customWidth="1"/>
    <col min="2609" max="2831" width="11.42578125" style="209"/>
    <col min="2832" max="2832" width="2" style="209" customWidth="1"/>
    <col min="2833" max="2833" width="18.140625" style="209" customWidth="1"/>
    <col min="2834" max="2834" width="13.5703125" style="209" customWidth="1"/>
    <col min="2835" max="2835" width="52" style="209" customWidth="1"/>
    <col min="2836" max="2837" width="6.5703125" style="209" customWidth="1"/>
    <col min="2838" max="2838" width="7.5703125" style="209" customWidth="1"/>
    <col min="2839" max="2839" width="7.42578125" style="209" customWidth="1"/>
    <col min="2840" max="2840" width="8.42578125" style="209" customWidth="1"/>
    <col min="2841" max="2841" width="7.28515625" style="209" customWidth="1"/>
    <col min="2842" max="2842" width="7.5703125" style="209" customWidth="1"/>
    <col min="2843" max="2843" width="7.7109375" style="209" customWidth="1"/>
    <col min="2844" max="2845" width="6.42578125" style="209" customWidth="1"/>
    <col min="2846" max="2846" width="7.28515625" style="209" customWidth="1"/>
    <col min="2847" max="2847" width="7.85546875" style="209" customWidth="1"/>
    <col min="2848" max="2848" width="6.42578125" style="209" customWidth="1"/>
    <col min="2849" max="2849" width="7.28515625" style="209" customWidth="1"/>
    <col min="2850" max="2850" width="7.5703125" style="209" customWidth="1"/>
    <col min="2851" max="2851" width="8" style="209" customWidth="1"/>
    <col min="2852" max="2853" width="6.42578125" style="209" customWidth="1"/>
    <col min="2854" max="2854" width="7.28515625" style="209" customWidth="1"/>
    <col min="2855" max="2855" width="8.28515625" style="209" customWidth="1"/>
    <col min="2856" max="2857" width="10.42578125" style="209" customWidth="1"/>
    <col min="2858" max="2858" width="7.28515625" style="209" customWidth="1"/>
    <col min="2859" max="2859" width="8.28515625" style="209" customWidth="1"/>
    <col min="2860" max="2861" width="10.42578125" style="209" customWidth="1"/>
    <col min="2862" max="2862" width="7.28515625" style="209" customWidth="1"/>
    <col min="2863" max="2863" width="8.28515625" style="209" customWidth="1"/>
    <col min="2864" max="2864" width="11.5703125" style="209" customWidth="1"/>
    <col min="2865" max="3087" width="11.42578125" style="209"/>
    <col min="3088" max="3088" width="2" style="209" customWidth="1"/>
    <col min="3089" max="3089" width="18.140625" style="209" customWidth="1"/>
    <col min="3090" max="3090" width="13.5703125" style="209" customWidth="1"/>
    <col min="3091" max="3091" width="52" style="209" customWidth="1"/>
    <col min="3092" max="3093" width="6.5703125" style="209" customWidth="1"/>
    <col min="3094" max="3094" width="7.5703125" style="209" customWidth="1"/>
    <col min="3095" max="3095" width="7.42578125" style="209" customWidth="1"/>
    <col min="3096" max="3096" width="8.42578125" style="209" customWidth="1"/>
    <col min="3097" max="3097" width="7.28515625" style="209" customWidth="1"/>
    <col min="3098" max="3098" width="7.5703125" style="209" customWidth="1"/>
    <col min="3099" max="3099" width="7.7109375" style="209" customWidth="1"/>
    <col min="3100" max="3101" width="6.42578125" style="209" customWidth="1"/>
    <col min="3102" max="3102" width="7.28515625" style="209" customWidth="1"/>
    <col min="3103" max="3103" width="7.85546875" style="209" customWidth="1"/>
    <col min="3104" max="3104" width="6.42578125" style="209" customWidth="1"/>
    <col min="3105" max="3105" width="7.28515625" style="209" customWidth="1"/>
    <col min="3106" max="3106" width="7.5703125" style="209" customWidth="1"/>
    <col min="3107" max="3107" width="8" style="209" customWidth="1"/>
    <col min="3108" max="3109" width="6.42578125" style="209" customWidth="1"/>
    <col min="3110" max="3110" width="7.28515625" style="209" customWidth="1"/>
    <col min="3111" max="3111" width="8.28515625" style="209" customWidth="1"/>
    <col min="3112" max="3113" width="10.42578125" style="209" customWidth="1"/>
    <col min="3114" max="3114" width="7.28515625" style="209" customWidth="1"/>
    <col min="3115" max="3115" width="8.28515625" style="209" customWidth="1"/>
    <col min="3116" max="3117" width="10.42578125" style="209" customWidth="1"/>
    <col min="3118" max="3118" width="7.28515625" style="209" customWidth="1"/>
    <col min="3119" max="3119" width="8.28515625" style="209" customWidth="1"/>
    <col min="3120" max="3120" width="11.5703125" style="209" customWidth="1"/>
    <col min="3121" max="3343" width="11.42578125" style="209"/>
    <col min="3344" max="3344" width="2" style="209" customWidth="1"/>
    <col min="3345" max="3345" width="18.140625" style="209" customWidth="1"/>
    <col min="3346" max="3346" width="13.5703125" style="209" customWidth="1"/>
    <col min="3347" max="3347" width="52" style="209" customWidth="1"/>
    <col min="3348" max="3349" width="6.5703125" style="209" customWidth="1"/>
    <col min="3350" max="3350" width="7.5703125" style="209" customWidth="1"/>
    <col min="3351" max="3351" width="7.42578125" style="209" customWidth="1"/>
    <col min="3352" max="3352" width="8.42578125" style="209" customWidth="1"/>
    <col min="3353" max="3353" width="7.28515625" style="209" customWidth="1"/>
    <col min="3354" max="3354" width="7.5703125" style="209" customWidth="1"/>
    <col min="3355" max="3355" width="7.7109375" style="209" customWidth="1"/>
    <col min="3356" max="3357" width="6.42578125" style="209" customWidth="1"/>
    <col min="3358" max="3358" width="7.28515625" style="209" customWidth="1"/>
    <col min="3359" max="3359" width="7.85546875" style="209" customWidth="1"/>
    <col min="3360" max="3360" width="6.42578125" style="209" customWidth="1"/>
    <col min="3361" max="3361" width="7.28515625" style="209" customWidth="1"/>
    <col min="3362" max="3362" width="7.5703125" style="209" customWidth="1"/>
    <col min="3363" max="3363" width="8" style="209" customWidth="1"/>
    <col min="3364" max="3365" width="6.42578125" style="209" customWidth="1"/>
    <col min="3366" max="3366" width="7.28515625" style="209" customWidth="1"/>
    <col min="3367" max="3367" width="8.28515625" style="209" customWidth="1"/>
    <col min="3368" max="3369" width="10.42578125" style="209" customWidth="1"/>
    <col min="3370" max="3370" width="7.28515625" style="209" customWidth="1"/>
    <col min="3371" max="3371" width="8.28515625" style="209" customWidth="1"/>
    <col min="3372" max="3373" width="10.42578125" style="209" customWidth="1"/>
    <col min="3374" max="3374" width="7.28515625" style="209" customWidth="1"/>
    <col min="3375" max="3375" width="8.28515625" style="209" customWidth="1"/>
    <col min="3376" max="3376" width="11.5703125" style="209" customWidth="1"/>
    <col min="3377" max="3599" width="11.42578125" style="209"/>
    <col min="3600" max="3600" width="2" style="209" customWidth="1"/>
    <col min="3601" max="3601" width="18.140625" style="209" customWidth="1"/>
    <col min="3602" max="3602" width="13.5703125" style="209" customWidth="1"/>
    <col min="3603" max="3603" width="52" style="209" customWidth="1"/>
    <col min="3604" max="3605" width="6.5703125" style="209" customWidth="1"/>
    <col min="3606" max="3606" width="7.5703125" style="209" customWidth="1"/>
    <col min="3607" max="3607" width="7.42578125" style="209" customWidth="1"/>
    <col min="3608" max="3608" width="8.42578125" style="209" customWidth="1"/>
    <col min="3609" max="3609" width="7.28515625" style="209" customWidth="1"/>
    <col min="3610" max="3610" width="7.5703125" style="209" customWidth="1"/>
    <col min="3611" max="3611" width="7.7109375" style="209" customWidth="1"/>
    <col min="3612" max="3613" width="6.42578125" style="209" customWidth="1"/>
    <col min="3614" max="3614" width="7.28515625" style="209" customWidth="1"/>
    <col min="3615" max="3615" width="7.85546875" style="209" customWidth="1"/>
    <col min="3616" max="3616" width="6.42578125" style="209" customWidth="1"/>
    <col min="3617" max="3617" width="7.28515625" style="209" customWidth="1"/>
    <col min="3618" max="3618" width="7.5703125" style="209" customWidth="1"/>
    <col min="3619" max="3619" width="8" style="209" customWidth="1"/>
    <col min="3620" max="3621" width="6.42578125" style="209" customWidth="1"/>
    <col min="3622" max="3622" width="7.28515625" style="209" customWidth="1"/>
    <col min="3623" max="3623" width="8.28515625" style="209" customWidth="1"/>
    <col min="3624" max="3625" width="10.42578125" style="209" customWidth="1"/>
    <col min="3626" max="3626" width="7.28515625" style="209" customWidth="1"/>
    <col min="3627" max="3627" width="8.28515625" style="209" customWidth="1"/>
    <col min="3628" max="3629" width="10.42578125" style="209" customWidth="1"/>
    <col min="3630" max="3630" width="7.28515625" style="209" customWidth="1"/>
    <col min="3631" max="3631" width="8.28515625" style="209" customWidth="1"/>
    <col min="3632" max="3632" width="11.5703125" style="209" customWidth="1"/>
    <col min="3633" max="3855" width="11.42578125" style="209"/>
    <col min="3856" max="3856" width="2" style="209" customWidth="1"/>
    <col min="3857" max="3857" width="18.140625" style="209" customWidth="1"/>
    <col min="3858" max="3858" width="13.5703125" style="209" customWidth="1"/>
    <col min="3859" max="3859" width="52" style="209" customWidth="1"/>
    <col min="3860" max="3861" width="6.5703125" style="209" customWidth="1"/>
    <col min="3862" max="3862" width="7.5703125" style="209" customWidth="1"/>
    <col min="3863" max="3863" width="7.42578125" style="209" customWidth="1"/>
    <col min="3864" max="3864" width="8.42578125" style="209" customWidth="1"/>
    <col min="3865" max="3865" width="7.28515625" style="209" customWidth="1"/>
    <col min="3866" max="3866" width="7.5703125" style="209" customWidth="1"/>
    <col min="3867" max="3867" width="7.7109375" style="209" customWidth="1"/>
    <col min="3868" max="3869" width="6.42578125" style="209" customWidth="1"/>
    <col min="3870" max="3870" width="7.28515625" style="209" customWidth="1"/>
    <col min="3871" max="3871" width="7.85546875" style="209" customWidth="1"/>
    <col min="3872" max="3872" width="6.42578125" style="209" customWidth="1"/>
    <col min="3873" max="3873" width="7.28515625" style="209" customWidth="1"/>
    <col min="3874" max="3874" width="7.5703125" style="209" customWidth="1"/>
    <col min="3875" max="3875" width="8" style="209" customWidth="1"/>
    <col min="3876" max="3877" width="6.42578125" style="209" customWidth="1"/>
    <col min="3878" max="3878" width="7.28515625" style="209" customWidth="1"/>
    <col min="3879" max="3879" width="8.28515625" style="209" customWidth="1"/>
    <col min="3880" max="3881" width="10.42578125" style="209" customWidth="1"/>
    <col min="3882" max="3882" width="7.28515625" style="209" customWidth="1"/>
    <col min="3883" max="3883" width="8.28515625" style="209" customWidth="1"/>
    <col min="3884" max="3885" width="10.42578125" style="209" customWidth="1"/>
    <col min="3886" max="3886" width="7.28515625" style="209" customWidth="1"/>
    <col min="3887" max="3887" width="8.28515625" style="209" customWidth="1"/>
    <col min="3888" max="3888" width="11.5703125" style="209" customWidth="1"/>
    <col min="3889" max="4111" width="11.42578125" style="209"/>
    <col min="4112" max="4112" width="2" style="209" customWidth="1"/>
    <col min="4113" max="4113" width="18.140625" style="209" customWidth="1"/>
    <col min="4114" max="4114" width="13.5703125" style="209" customWidth="1"/>
    <col min="4115" max="4115" width="52" style="209" customWidth="1"/>
    <col min="4116" max="4117" width="6.5703125" style="209" customWidth="1"/>
    <col min="4118" max="4118" width="7.5703125" style="209" customWidth="1"/>
    <col min="4119" max="4119" width="7.42578125" style="209" customWidth="1"/>
    <col min="4120" max="4120" width="8.42578125" style="209" customWidth="1"/>
    <col min="4121" max="4121" width="7.28515625" style="209" customWidth="1"/>
    <col min="4122" max="4122" width="7.5703125" style="209" customWidth="1"/>
    <col min="4123" max="4123" width="7.7109375" style="209" customWidth="1"/>
    <col min="4124" max="4125" width="6.42578125" style="209" customWidth="1"/>
    <col min="4126" max="4126" width="7.28515625" style="209" customWidth="1"/>
    <col min="4127" max="4127" width="7.85546875" style="209" customWidth="1"/>
    <col min="4128" max="4128" width="6.42578125" style="209" customWidth="1"/>
    <col min="4129" max="4129" width="7.28515625" style="209" customWidth="1"/>
    <col min="4130" max="4130" width="7.5703125" style="209" customWidth="1"/>
    <col min="4131" max="4131" width="8" style="209" customWidth="1"/>
    <col min="4132" max="4133" width="6.42578125" style="209" customWidth="1"/>
    <col min="4134" max="4134" width="7.28515625" style="209" customWidth="1"/>
    <col min="4135" max="4135" width="8.28515625" style="209" customWidth="1"/>
    <col min="4136" max="4137" width="10.42578125" style="209" customWidth="1"/>
    <col min="4138" max="4138" width="7.28515625" style="209" customWidth="1"/>
    <col min="4139" max="4139" width="8.28515625" style="209" customWidth="1"/>
    <col min="4140" max="4141" width="10.42578125" style="209" customWidth="1"/>
    <col min="4142" max="4142" width="7.28515625" style="209" customWidth="1"/>
    <col min="4143" max="4143" width="8.28515625" style="209" customWidth="1"/>
    <col min="4144" max="4144" width="11.5703125" style="209" customWidth="1"/>
    <col min="4145" max="4367" width="11.42578125" style="209"/>
    <col min="4368" max="4368" width="2" style="209" customWidth="1"/>
    <col min="4369" max="4369" width="18.140625" style="209" customWidth="1"/>
    <col min="4370" max="4370" width="13.5703125" style="209" customWidth="1"/>
    <col min="4371" max="4371" width="52" style="209" customWidth="1"/>
    <col min="4372" max="4373" width="6.5703125" style="209" customWidth="1"/>
    <col min="4374" max="4374" width="7.5703125" style="209" customWidth="1"/>
    <col min="4375" max="4375" width="7.42578125" style="209" customWidth="1"/>
    <col min="4376" max="4376" width="8.42578125" style="209" customWidth="1"/>
    <col min="4377" max="4377" width="7.28515625" style="209" customWidth="1"/>
    <col min="4378" max="4378" width="7.5703125" style="209" customWidth="1"/>
    <col min="4379" max="4379" width="7.7109375" style="209" customWidth="1"/>
    <col min="4380" max="4381" width="6.42578125" style="209" customWidth="1"/>
    <col min="4382" max="4382" width="7.28515625" style="209" customWidth="1"/>
    <col min="4383" max="4383" width="7.85546875" style="209" customWidth="1"/>
    <col min="4384" max="4384" width="6.42578125" style="209" customWidth="1"/>
    <col min="4385" max="4385" width="7.28515625" style="209" customWidth="1"/>
    <col min="4386" max="4386" width="7.5703125" style="209" customWidth="1"/>
    <col min="4387" max="4387" width="8" style="209" customWidth="1"/>
    <col min="4388" max="4389" width="6.42578125" style="209" customWidth="1"/>
    <col min="4390" max="4390" width="7.28515625" style="209" customWidth="1"/>
    <col min="4391" max="4391" width="8.28515625" style="209" customWidth="1"/>
    <col min="4392" max="4393" width="10.42578125" style="209" customWidth="1"/>
    <col min="4394" max="4394" width="7.28515625" style="209" customWidth="1"/>
    <col min="4395" max="4395" width="8.28515625" style="209" customWidth="1"/>
    <col min="4396" max="4397" width="10.42578125" style="209" customWidth="1"/>
    <col min="4398" max="4398" width="7.28515625" style="209" customWidth="1"/>
    <col min="4399" max="4399" width="8.28515625" style="209" customWidth="1"/>
    <col min="4400" max="4400" width="11.5703125" style="209" customWidth="1"/>
    <col min="4401" max="4623" width="11.42578125" style="209"/>
    <col min="4624" max="4624" width="2" style="209" customWidth="1"/>
    <col min="4625" max="4625" width="18.140625" style="209" customWidth="1"/>
    <col min="4626" max="4626" width="13.5703125" style="209" customWidth="1"/>
    <col min="4627" max="4627" width="52" style="209" customWidth="1"/>
    <col min="4628" max="4629" width="6.5703125" style="209" customWidth="1"/>
    <col min="4630" max="4630" width="7.5703125" style="209" customWidth="1"/>
    <col min="4631" max="4631" width="7.42578125" style="209" customWidth="1"/>
    <col min="4632" max="4632" width="8.42578125" style="209" customWidth="1"/>
    <col min="4633" max="4633" width="7.28515625" style="209" customWidth="1"/>
    <col min="4634" max="4634" width="7.5703125" style="209" customWidth="1"/>
    <col min="4635" max="4635" width="7.7109375" style="209" customWidth="1"/>
    <col min="4636" max="4637" width="6.42578125" style="209" customWidth="1"/>
    <col min="4638" max="4638" width="7.28515625" style="209" customWidth="1"/>
    <col min="4639" max="4639" width="7.85546875" style="209" customWidth="1"/>
    <col min="4640" max="4640" width="6.42578125" style="209" customWidth="1"/>
    <col min="4641" max="4641" width="7.28515625" style="209" customWidth="1"/>
    <col min="4642" max="4642" width="7.5703125" style="209" customWidth="1"/>
    <col min="4643" max="4643" width="8" style="209" customWidth="1"/>
    <col min="4644" max="4645" width="6.42578125" style="209" customWidth="1"/>
    <col min="4646" max="4646" width="7.28515625" style="209" customWidth="1"/>
    <col min="4647" max="4647" width="8.28515625" style="209" customWidth="1"/>
    <col min="4648" max="4649" width="10.42578125" style="209" customWidth="1"/>
    <col min="4650" max="4650" width="7.28515625" style="209" customWidth="1"/>
    <col min="4651" max="4651" width="8.28515625" style="209" customWidth="1"/>
    <col min="4652" max="4653" width="10.42578125" style="209" customWidth="1"/>
    <col min="4654" max="4654" width="7.28515625" style="209" customWidth="1"/>
    <col min="4655" max="4655" width="8.28515625" style="209" customWidth="1"/>
    <col min="4656" max="4656" width="11.5703125" style="209" customWidth="1"/>
    <col min="4657" max="4879" width="11.42578125" style="209"/>
    <col min="4880" max="4880" width="2" style="209" customWidth="1"/>
    <col min="4881" max="4881" width="18.140625" style="209" customWidth="1"/>
    <col min="4882" max="4882" width="13.5703125" style="209" customWidth="1"/>
    <col min="4883" max="4883" width="52" style="209" customWidth="1"/>
    <col min="4884" max="4885" width="6.5703125" style="209" customWidth="1"/>
    <col min="4886" max="4886" width="7.5703125" style="209" customWidth="1"/>
    <col min="4887" max="4887" width="7.42578125" style="209" customWidth="1"/>
    <col min="4888" max="4888" width="8.42578125" style="209" customWidth="1"/>
    <col min="4889" max="4889" width="7.28515625" style="209" customWidth="1"/>
    <col min="4890" max="4890" width="7.5703125" style="209" customWidth="1"/>
    <col min="4891" max="4891" width="7.7109375" style="209" customWidth="1"/>
    <col min="4892" max="4893" width="6.42578125" style="209" customWidth="1"/>
    <col min="4894" max="4894" width="7.28515625" style="209" customWidth="1"/>
    <col min="4895" max="4895" width="7.85546875" style="209" customWidth="1"/>
    <col min="4896" max="4896" width="6.42578125" style="209" customWidth="1"/>
    <col min="4897" max="4897" width="7.28515625" style="209" customWidth="1"/>
    <col min="4898" max="4898" width="7.5703125" style="209" customWidth="1"/>
    <col min="4899" max="4899" width="8" style="209" customWidth="1"/>
    <col min="4900" max="4901" width="6.42578125" style="209" customWidth="1"/>
    <col min="4902" max="4902" width="7.28515625" style="209" customWidth="1"/>
    <col min="4903" max="4903" width="8.28515625" style="209" customWidth="1"/>
    <col min="4904" max="4905" width="10.42578125" style="209" customWidth="1"/>
    <col min="4906" max="4906" width="7.28515625" style="209" customWidth="1"/>
    <col min="4907" max="4907" width="8.28515625" style="209" customWidth="1"/>
    <col min="4908" max="4909" width="10.42578125" style="209" customWidth="1"/>
    <col min="4910" max="4910" width="7.28515625" style="209" customWidth="1"/>
    <col min="4911" max="4911" width="8.28515625" style="209" customWidth="1"/>
    <col min="4912" max="4912" width="11.5703125" style="209" customWidth="1"/>
    <col min="4913" max="5135" width="11.42578125" style="209"/>
    <col min="5136" max="5136" width="2" style="209" customWidth="1"/>
    <col min="5137" max="5137" width="18.140625" style="209" customWidth="1"/>
    <col min="5138" max="5138" width="13.5703125" style="209" customWidth="1"/>
    <col min="5139" max="5139" width="52" style="209" customWidth="1"/>
    <col min="5140" max="5141" width="6.5703125" style="209" customWidth="1"/>
    <col min="5142" max="5142" width="7.5703125" style="209" customWidth="1"/>
    <col min="5143" max="5143" width="7.42578125" style="209" customWidth="1"/>
    <col min="5144" max="5144" width="8.42578125" style="209" customWidth="1"/>
    <col min="5145" max="5145" width="7.28515625" style="209" customWidth="1"/>
    <col min="5146" max="5146" width="7.5703125" style="209" customWidth="1"/>
    <col min="5147" max="5147" width="7.7109375" style="209" customWidth="1"/>
    <col min="5148" max="5149" width="6.42578125" style="209" customWidth="1"/>
    <col min="5150" max="5150" width="7.28515625" style="209" customWidth="1"/>
    <col min="5151" max="5151" width="7.85546875" style="209" customWidth="1"/>
    <col min="5152" max="5152" width="6.42578125" style="209" customWidth="1"/>
    <col min="5153" max="5153" width="7.28515625" style="209" customWidth="1"/>
    <col min="5154" max="5154" width="7.5703125" style="209" customWidth="1"/>
    <col min="5155" max="5155" width="8" style="209" customWidth="1"/>
    <col min="5156" max="5157" width="6.42578125" style="209" customWidth="1"/>
    <col min="5158" max="5158" width="7.28515625" style="209" customWidth="1"/>
    <col min="5159" max="5159" width="8.28515625" style="209" customWidth="1"/>
    <col min="5160" max="5161" width="10.42578125" style="209" customWidth="1"/>
    <col min="5162" max="5162" width="7.28515625" style="209" customWidth="1"/>
    <col min="5163" max="5163" width="8.28515625" style="209" customWidth="1"/>
    <col min="5164" max="5165" width="10.42578125" style="209" customWidth="1"/>
    <col min="5166" max="5166" width="7.28515625" style="209" customWidth="1"/>
    <col min="5167" max="5167" width="8.28515625" style="209" customWidth="1"/>
    <col min="5168" max="5168" width="11.5703125" style="209" customWidth="1"/>
    <col min="5169" max="5391" width="11.42578125" style="209"/>
    <col min="5392" max="5392" width="2" style="209" customWidth="1"/>
    <col min="5393" max="5393" width="18.140625" style="209" customWidth="1"/>
    <col min="5394" max="5394" width="13.5703125" style="209" customWidth="1"/>
    <col min="5395" max="5395" width="52" style="209" customWidth="1"/>
    <col min="5396" max="5397" width="6.5703125" style="209" customWidth="1"/>
    <col min="5398" max="5398" width="7.5703125" style="209" customWidth="1"/>
    <col min="5399" max="5399" width="7.42578125" style="209" customWidth="1"/>
    <col min="5400" max="5400" width="8.42578125" style="209" customWidth="1"/>
    <col min="5401" max="5401" width="7.28515625" style="209" customWidth="1"/>
    <col min="5402" max="5402" width="7.5703125" style="209" customWidth="1"/>
    <col min="5403" max="5403" width="7.7109375" style="209" customWidth="1"/>
    <col min="5404" max="5405" width="6.42578125" style="209" customWidth="1"/>
    <col min="5406" max="5406" width="7.28515625" style="209" customWidth="1"/>
    <col min="5407" max="5407" width="7.85546875" style="209" customWidth="1"/>
    <col min="5408" max="5408" width="6.42578125" style="209" customWidth="1"/>
    <col min="5409" max="5409" width="7.28515625" style="209" customWidth="1"/>
    <col min="5410" max="5410" width="7.5703125" style="209" customWidth="1"/>
    <col min="5411" max="5411" width="8" style="209" customWidth="1"/>
    <col min="5412" max="5413" width="6.42578125" style="209" customWidth="1"/>
    <col min="5414" max="5414" width="7.28515625" style="209" customWidth="1"/>
    <col min="5415" max="5415" width="8.28515625" style="209" customWidth="1"/>
    <col min="5416" max="5417" width="10.42578125" style="209" customWidth="1"/>
    <col min="5418" max="5418" width="7.28515625" style="209" customWidth="1"/>
    <col min="5419" max="5419" width="8.28515625" style="209" customWidth="1"/>
    <col min="5420" max="5421" width="10.42578125" style="209" customWidth="1"/>
    <col min="5422" max="5422" width="7.28515625" style="209" customWidth="1"/>
    <col min="5423" max="5423" width="8.28515625" style="209" customWidth="1"/>
    <col min="5424" max="5424" width="11.5703125" style="209" customWidth="1"/>
    <col min="5425" max="5647" width="11.42578125" style="209"/>
    <col min="5648" max="5648" width="2" style="209" customWidth="1"/>
    <col min="5649" max="5649" width="18.140625" style="209" customWidth="1"/>
    <col min="5650" max="5650" width="13.5703125" style="209" customWidth="1"/>
    <col min="5651" max="5651" width="52" style="209" customWidth="1"/>
    <col min="5652" max="5653" width="6.5703125" style="209" customWidth="1"/>
    <col min="5654" max="5654" width="7.5703125" style="209" customWidth="1"/>
    <col min="5655" max="5655" width="7.42578125" style="209" customWidth="1"/>
    <col min="5656" max="5656" width="8.42578125" style="209" customWidth="1"/>
    <col min="5657" max="5657" width="7.28515625" style="209" customWidth="1"/>
    <col min="5658" max="5658" width="7.5703125" style="209" customWidth="1"/>
    <col min="5659" max="5659" width="7.7109375" style="209" customWidth="1"/>
    <col min="5660" max="5661" width="6.42578125" style="209" customWidth="1"/>
    <col min="5662" max="5662" width="7.28515625" style="209" customWidth="1"/>
    <col min="5663" max="5663" width="7.85546875" style="209" customWidth="1"/>
    <col min="5664" max="5664" width="6.42578125" style="209" customWidth="1"/>
    <col min="5665" max="5665" width="7.28515625" style="209" customWidth="1"/>
    <col min="5666" max="5666" width="7.5703125" style="209" customWidth="1"/>
    <col min="5667" max="5667" width="8" style="209" customWidth="1"/>
    <col min="5668" max="5669" width="6.42578125" style="209" customWidth="1"/>
    <col min="5670" max="5670" width="7.28515625" style="209" customWidth="1"/>
    <col min="5671" max="5671" width="8.28515625" style="209" customWidth="1"/>
    <col min="5672" max="5673" width="10.42578125" style="209" customWidth="1"/>
    <col min="5674" max="5674" width="7.28515625" style="209" customWidth="1"/>
    <col min="5675" max="5675" width="8.28515625" style="209" customWidth="1"/>
    <col min="5676" max="5677" width="10.42578125" style="209" customWidth="1"/>
    <col min="5678" max="5678" width="7.28515625" style="209" customWidth="1"/>
    <col min="5679" max="5679" width="8.28515625" style="209" customWidth="1"/>
    <col min="5680" max="5680" width="11.5703125" style="209" customWidth="1"/>
    <col min="5681" max="5903" width="11.42578125" style="209"/>
    <col min="5904" max="5904" width="2" style="209" customWidth="1"/>
    <col min="5905" max="5905" width="18.140625" style="209" customWidth="1"/>
    <col min="5906" max="5906" width="13.5703125" style="209" customWidth="1"/>
    <col min="5907" max="5907" width="52" style="209" customWidth="1"/>
    <col min="5908" max="5909" width="6.5703125" style="209" customWidth="1"/>
    <col min="5910" max="5910" width="7.5703125" style="209" customWidth="1"/>
    <col min="5911" max="5911" width="7.42578125" style="209" customWidth="1"/>
    <col min="5912" max="5912" width="8.42578125" style="209" customWidth="1"/>
    <col min="5913" max="5913" width="7.28515625" style="209" customWidth="1"/>
    <col min="5914" max="5914" width="7.5703125" style="209" customWidth="1"/>
    <col min="5915" max="5915" width="7.7109375" style="209" customWidth="1"/>
    <col min="5916" max="5917" width="6.42578125" style="209" customWidth="1"/>
    <col min="5918" max="5918" width="7.28515625" style="209" customWidth="1"/>
    <col min="5919" max="5919" width="7.85546875" style="209" customWidth="1"/>
    <col min="5920" max="5920" width="6.42578125" style="209" customWidth="1"/>
    <col min="5921" max="5921" width="7.28515625" style="209" customWidth="1"/>
    <col min="5922" max="5922" width="7.5703125" style="209" customWidth="1"/>
    <col min="5923" max="5923" width="8" style="209" customWidth="1"/>
    <col min="5924" max="5925" width="6.42578125" style="209" customWidth="1"/>
    <col min="5926" max="5926" width="7.28515625" style="209" customWidth="1"/>
    <col min="5927" max="5927" width="8.28515625" style="209" customWidth="1"/>
    <col min="5928" max="5929" width="10.42578125" style="209" customWidth="1"/>
    <col min="5930" max="5930" width="7.28515625" style="209" customWidth="1"/>
    <col min="5931" max="5931" width="8.28515625" style="209" customWidth="1"/>
    <col min="5932" max="5933" width="10.42578125" style="209" customWidth="1"/>
    <col min="5934" max="5934" width="7.28515625" style="209" customWidth="1"/>
    <col min="5935" max="5935" width="8.28515625" style="209" customWidth="1"/>
    <col min="5936" max="5936" width="11.5703125" style="209" customWidth="1"/>
    <col min="5937" max="6159" width="11.42578125" style="209"/>
    <col min="6160" max="6160" width="2" style="209" customWidth="1"/>
    <col min="6161" max="6161" width="18.140625" style="209" customWidth="1"/>
    <col min="6162" max="6162" width="13.5703125" style="209" customWidth="1"/>
    <col min="6163" max="6163" width="52" style="209" customWidth="1"/>
    <col min="6164" max="6165" width="6.5703125" style="209" customWidth="1"/>
    <col min="6166" max="6166" width="7.5703125" style="209" customWidth="1"/>
    <col min="6167" max="6167" width="7.42578125" style="209" customWidth="1"/>
    <col min="6168" max="6168" width="8.42578125" style="209" customWidth="1"/>
    <col min="6169" max="6169" width="7.28515625" style="209" customWidth="1"/>
    <col min="6170" max="6170" width="7.5703125" style="209" customWidth="1"/>
    <col min="6171" max="6171" width="7.7109375" style="209" customWidth="1"/>
    <col min="6172" max="6173" width="6.42578125" style="209" customWidth="1"/>
    <col min="6174" max="6174" width="7.28515625" style="209" customWidth="1"/>
    <col min="6175" max="6175" width="7.85546875" style="209" customWidth="1"/>
    <col min="6176" max="6176" width="6.42578125" style="209" customWidth="1"/>
    <col min="6177" max="6177" width="7.28515625" style="209" customWidth="1"/>
    <col min="6178" max="6178" width="7.5703125" style="209" customWidth="1"/>
    <col min="6179" max="6179" width="8" style="209" customWidth="1"/>
    <col min="6180" max="6181" width="6.42578125" style="209" customWidth="1"/>
    <col min="6182" max="6182" width="7.28515625" style="209" customWidth="1"/>
    <col min="6183" max="6183" width="8.28515625" style="209" customWidth="1"/>
    <col min="6184" max="6185" width="10.42578125" style="209" customWidth="1"/>
    <col min="6186" max="6186" width="7.28515625" style="209" customWidth="1"/>
    <col min="6187" max="6187" width="8.28515625" style="209" customWidth="1"/>
    <col min="6188" max="6189" width="10.42578125" style="209" customWidth="1"/>
    <col min="6190" max="6190" width="7.28515625" style="209" customWidth="1"/>
    <col min="6191" max="6191" width="8.28515625" style="209" customWidth="1"/>
    <col min="6192" max="6192" width="11.5703125" style="209" customWidth="1"/>
    <col min="6193" max="6415" width="11.42578125" style="209"/>
    <col min="6416" max="6416" width="2" style="209" customWidth="1"/>
    <col min="6417" max="6417" width="18.140625" style="209" customWidth="1"/>
    <col min="6418" max="6418" width="13.5703125" style="209" customWidth="1"/>
    <col min="6419" max="6419" width="52" style="209" customWidth="1"/>
    <col min="6420" max="6421" width="6.5703125" style="209" customWidth="1"/>
    <col min="6422" max="6422" width="7.5703125" style="209" customWidth="1"/>
    <col min="6423" max="6423" width="7.42578125" style="209" customWidth="1"/>
    <col min="6424" max="6424" width="8.42578125" style="209" customWidth="1"/>
    <col min="6425" max="6425" width="7.28515625" style="209" customWidth="1"/>
    <col min="6426" max="6426" width="7.5703125" style="209" customWidth="1"/>
    <col min="6427" max="6427" width="7.7109375" style="209" customWidth="1"/>
    <col min="6428" max="6429" width="6.42578125" style="209" customWidth="1"/>
    <col min="6430" max="6430" width="7.28515625" style="209" customWidth="1"/>
    <col min="6431" max="6431" width="7.85546875" style="209" customWidth="1"/>
    <col min="6432" max="6432" width="6.42578125" style="209" customWidth="1"/>
    <col min="6433" max="6433" width="7.28515625" style="209" customWidth="1"/>
    <col min="6434" max="6434" width="7.5703125" style="209" customWidth="1"/>
    <col min="6435" max="6435" width="8" style="209" customWidth="1"/>
    <col min="6436" max="6437" width="6.42578125" style="209" customWidth="1"/>
    <col min="6438" max="6438" width="7.28515625" style="209" customWidth="1"/>
    <col min="6439" max="6439" width="8.28515625" style="209" customWidth="1"/>
    <col min="6440" max="6441" width="10.42578125" style="209" customWidth="1"/>
    <col min="6442" max="6442" width="7.28515625" style="209" customWidth="1"/>
    <col min="6443" max="6443" width="8.28515625" style="209" customWidth="1"/>
    <col min="6444" max="6445" width="10.42578125" style="209" customWidth="1"/>
    <col min="6446" max="6446" width="7.28515625" style="209" customWidth="1"/>
    <col min="6447" max="6447" width="8.28515625" style="209" customWidth="1"/>
    <col min="6448" max="6448" width="11.5703125" style="209" customWidth="1"/>
    <col min="6449" max="6671" width="11.42578125" style="209"/>
    <col min="6672" max="6672" width="2" style="209" customWidth="1"/>
    <col min="6673" max="6673" width="18.140625" style="209" customWidth="1"/>
    <col min="6674" max="6674" width="13.5703125" style="209" customWidth="1"/>
    <col min="6675" max="6675" width="52" style="209" customWidth="1"/>
    <col min="6676" max="6677" width="6.5703125" style="209" customWidth="1"/>
    <col min="6678" max="6678" width="7.5703125" style="209" customWidth="1"/>
    <col min="6679" max="6679" width="7.42578125" style="209" customWidth="1"/>
    <col min="6680" max="6680" width="8.42578125" style="209" customWidth="1"/>
    <col min="6681" max="6681" width="7.28515625" style="209" customWidth="1"/>
    <col min="6682" max="6682" width="7.5703125" style="209" customWidth="1"/>
    <col min="6683" max="6683" width="7.7109375" style="209" customWidth="1"/>
    <col min="6684" max="6685" width="6.42578125" style="209" customWidth="1"/>
    <col min="6686" max="6686" width="7.28515625" style="209" customWidth="1"/>
    <col min="6687" max="6687" width="7.85546875" style="209" customWidth="1"/>
    <col min="6688" max="6688" width="6.42578125" style="209" customWidth="1"/>
    <col min="6689" max="6689" width="7.28515625" style="209" customWidth="1"/>
    <col min="6690" max="6690" width="7.5703125" style="209" customWidth="1"/>
    <col min="6691" max="6691" width="8" style="209" customWidth="1"/>
    <col min="6692" max="6693" width="6.42578125" style="209" customWidth="1"/>
    <col min="6694" max="6694" width="7.28515625" style="209" customWidth="1"/>
    <col min="6695" max="6695" width="8.28515625" style="209" customWidth="1"/>
    <col min="6696" max="6697" width="10.42578125" style="209" customWidth="1"/>
    <col min="6698" max="6698" width="7.28515625" style="209" customWidth="1"/>
    <col min="6699" max="6699" width="8.28515625" style="209" customWidth="1"/>
    <col min="6700" max="6701" width="10.42578125" style="209" customWidth="1"/>
    <col min="6702" max="6702" width="7.28515625" style="209" customWidth="1"/>
    <col min="6703" max="6703" width="8.28515625" style="209" customWidth="1"/>
    <col min="6704" max="6704" width="11.5703125" style="209" customWidth="1"/>
    <col min="6705" max="6927" width="11.42578125" style="209"/>
    <col min="6928" max="6928" width="2" style="209" customWidth="1"/>
    <col min="6929" max="6929" width="18.140625" style="209" customWidth="1"/>
    <col min="6930" max="6930" width="13.5703125" style="209" customWidth="1"/>
    <col min="6931" max="6931" width="52" style="209" customWidth="1"/>
    <col min="6932" max="6933" width="6.5703125" style="209" customWidth="1"/>
    <col min="6934" max="6934" width="7.5703125" style="209" customWidth="1"/>
    <col min="6935" max="6935" width="7.42578125" style="209" customWidth="1"/>
    <col min="6936" max="6936" width="8.42578125" style="209" customWidth="1"/>
    <col min="6937" max="6937" width="7.28515625" style="209" customWidth="1"/>
    <col min="6938" max="6938" width="7.5703125" style="209" customWidth="1"/>
    <col min="6939" max="6939" width="7.7109375" style="209" customWidth="1"/>
    <col min="6940" max="6941" width="6.42578125" style="209" customWidth="1"/>
    <col min="6942" max="6942" width="7.28515625" style="209" customWidth="1"/>
    <col min="6943" max="6943" width="7.85546875" style="209" customWidth="1"/>
    <col min="6944" max="6944" width="6.42578125" style="209" customWidth="1"/>
    <col min="6945" max="6945" width="7.28515625" style="209" customWidth="1"/>
    <col min="6946" max="6946" width="7.5703125" style="209" customWidth="1"/>
    <col min="6947" max="6947" width="8" style="209" customWidth="1"/>
    <col min="6948" max="6949" width="6.42578125" style="209" customWidth="1"/>
    <col min="6950" max="6950" width="7.28515625" style="209" customWidth="1"/>
    <col min="6951" max="6951" width="8.28515625" style="209" customWidth="1"/>
    <col min="6952" max="6953" width="10.42578125" style="209" customWidth="1"/>
    <col min="6954" max="6954" width="7.28515625" style="209" customWidth="1"/>
    <col min="6955" max="6955" width="8.28515625" style="209" customWidth="1"/>
    <col min="6956" max="6957" width="10.42578125" style="209" customWidth="1"/>
    <col min="6958" max="6958" width="7.28515625" style="209" customWidth="1"/>
    <col min="6959" max="6959" width="8.28515625" style="209" customWidth="1"/>
    <col min="6960" max="6960" width="11.5703125" style="209" customWidth="1"/>
    <col min="6961" max="7183" width="11.42578125" style="209"/>
    <col min="7184" max="7184" width="2" style="209" customWidth="1"/>
    <col min="7185" max="7185" width="18.140625" style="209" customWidth="1"/>
    <col min="7186" max="7186" width="13.5703125" style="209" customWidth="1"/>
    <col min="7187" max="7187" width="52" style="209" customWidth="1"/>
    <col min="7188" max="7189" width="6.5703125" style="209" customWidth="1"/>
    <col min="7190" max="7190" width="7.5703125" style="209" customWidth="1"/>
    <col min="7191" max="7191" width="7.42578125" style="209" customWidth="1"/>
    <col min="7192" max="7192" width="8.42578125" style="209" customWidth="1"/>
    <col min="7193" max="7193" width="7.28515625" style="209" customWidth="1"/>
    <col min="7194" max="7194" width="7.5703125" style="209" customWidth="1"/>
    <col min="7195" max="7195" width="7.7109375" style="209" customWidth="1"/>
    <col min="7196" max="7197" width="6.42578125" style="209" customWidth="1"/>
    <col min="7198" max="7198" width="7.28515625" style="209" customWidth="1"/>
    <col min="7199" max="7199" width="7.85546875" style="209" customWidth="1"/>
    <col min="7200" max="7200" width="6.42578125" style="209" customWidth="1"/>
    <col min="7201" max="7201" width="7.28515625" style="209" customWidth="1"/>
    <col min="7202" max="7202" width="7.5703125" style="209" customWidth="1"/>
    <col min="7203" max="7203" width="8" style="209" customWidth="1"/>
    <col min="7204" max="7205" width="6.42578125" style="209" customWidth="1"/>
    <col min="7206" max="7206" width="7.28515625" style="209" customWidth="1"/>
    <col min="7207" max="7207" width="8.28515625" style="209" customWidth="1"/>
    <col min="7208" max="7209" width="10.42578125" style="209" customWidth="1"/>
    <col min="7210" max="7210" width="7.28515625" style="209" customWidth="1"/>
    <col min="7211" max="7211" width="8.28515625" style="209" customWidth="1"/>
    <col min="7212" max="7213" width="10.42578125" style="209" customWidth="1"/>
    <col min="7214" max="7214" width="7.28515625" style="209" customWidth="1"/>
    <col min="7215" max="7215" width="8.28515625" style="209" customWidth="1"/>
    <col min="7216" max="7216" width="11.5703125" style="209" customWidth="1"/>
    <col min="7217" max="7439" width="11.42578125" style="209"/>
    <col min="7440" max="7440" width="2" style="209" customWidth="1"/>
    <col min="7441" max="7441" width="18.140625" style="209" customWidth="1"/>
    <col min="7442" max="7442" width="13.5703125" style="209" customWidth="1"/>
    <col min="7443" max="7443" width="52" style="209" customWidth="1"/>
    <col min="7444" max="7445" width="6.5703125" style="209" customWidth="1"/>
    <col min="7446" max="7446" width="7.5703125" style="209" customWidth="1"/>
    <col min="7447" max="7447" width="7.42578125" style="209" customWidth="1"/>
    <col min="7448" max="7448" width="8.42578125" style="209" customWidth="1"/>
    <col min="7449" max="7449" width="7.28515625" style="209" customWidth="1"/>
    <col min="7450" max="7450" width="7.5703125" style="209" customWidth="1"/>
    <col min="7451" max="7451" width="7.7109375" style="209" customWidth="1"/>
    <col min="7452" max="7453" width="6.42578125" style="209" customWidth="1"/>
    <col min="7454" max="7454" width="7.28515625" style="209" customWidth="1"/>
    <col min="7455" max="7455" width="7.85546875" style="209" customWidth="1"/>
    <col min="7456" max="7456" width="6.42578125" style="209" customWidth="1"/>
    <col min="7457" max="7457" width="7.28515625" style="209" customWidth="1"/>
    <col min="7458" max="7458" width="7.5703125" style="209" customWidth="1"/>
    <col min="7459" max="7459" width="8" style="209" customWidth="1"/>
    <col min="7460" max="7461" width="6.42578125" style="209" customWidth="1"/>
    <col min="7462" max="7462" width="7.28515625" style="209" customWidth="1"/>
    <col min="7463" max="7463" width="8.28515625" style="209" customWidth="1"/>
    <col min="7464" max="7465" width="10.42578125" style="209" customWidth="1"/>
    <col min="7466" max="7466" width="7.28515625" style="209" customWidth="1"/>
    <col min="7467" max="7467" width="8.28515625" style="209" customWidth="1"/>
    <col min="7468" max="7469" width="10.42578125" style="209" customWidth="1"/>
    <col min="7470" max="7470" width="7.28515625" style="209" customWidth="1"/>
    <col min="7471" max="7471" width="8.28515625" style="209" customWidth="1"/>
    <col min="7472" max="7472" width="11.5703125" style="209" customWidth="1"/>
    <col min="7473" max="7695" width="11.42578125" style="209"/>
    <col min="7696" max="7696" width="2" style="209" customWidth="1"/>
    <col min="7697" max="7697" width="18.140625" style="209" customWidth="1"/>
    <col min="7698" max="7698" width="13.5703125" style="209" customWidth="1"/>
    <col min="7699" max="7699" width="52" style="209" customWidth="1"/>
    <col min="7700" max="7701" width="6.5703125" style="209" customWidth="1"/>
    <col min="7702" max="7702" width="7.5703125" style="209" customWidth="1"/>
    <col min="7703" max="7703" width="7.42578125" style="209" customWidth="1"/>
    <col min="7704" max="7704" width="8.42578125" style="209" customWidth="1"/>
    <col min="7705" max="7705" width="7.28515625" style="209" customWidth="1"/>
    <col min="7706" max="7706" width="7.5703125" style="209" customWidth="1"/>
    <col min="7707" max="7707" width="7.7109375" style="209" customWidth="1"/>
    <col min="7708" max="7709" width="6.42578125" style="209" customWidth="1"/>
    <col min="7710" max="7710" width="7.28515625" style="209" customWidth="1"/>
    <col min="7711" max="7711" width="7.85546875" style="209" customWidth="1"/>
    <col min="7712" max="7712" width="6.42578125" style="209" customWidth="1"/>
    <col min="7713" max="7713" width="7.28515625" style="209" customWidth="1"/>
    <col min="7714" max="7714" width="7.5703125" style="209" customWidth="1"/>
    <col min="7715" max="7715" width="8" style="209" customWidth="1"/>
    <col min="7716" max="7717" width="6.42578125" style="209" customWidth="1"/>
    <col min="7718" max="7718" width="7.28515625" style="209" customWidth="1"/>
    <col min="7719" max="7719" width="8.28515625" style="209" customWidth="1"/>
    <col min="7720" max="7721" width="10.42578125" style="209" customWidth="1"/>
    <col min="7722" max="7722" width="7.28515625" style="209" customWidth="1"/>
    <col min="7723" max="7723" width="8.28515625" style="209" customWidth="1"/>
    <col min="7724" max="7725" width="10.42578125" style="209" customWidth="1"/>
    <col min="7726" max="7726" width="7.28515625" style="209" customWidth="1"/>
    <col min="7727" max="7727" width="8.28515625" style="209" customWidth="1"/>
    <col min="7728" max="7728" width="11.5703125" style="209" customWidth="1"/>
    <col min="7729" max="7951" width="11.42578125" style="209"/>
    <col min="7952" max="7952" width="2" style="209" customWidth="1"/>
    <col min="7953" max="7953" width="18.140625" style="209" customWidth="1"/>
    <col min="7954" max="7954" width="13.5703125" style="209" customWidth="1"/>
    <col min="7955" max="7955" width="52" style="209" customWidth="1"/>
    <col min="7956" max="7957" width="6.5703125" style="209" customWidth="1"/>
    <col min="7958" max="7958" width="7.5703125" style="209" customWidth="1"/>
    <col min="7959" max="7959" width="7.42578125" style="209" customWidth="1"/>
    <col min="7960" max="7960" width="8.42578125" style="209" customWidth="1"/>
    <col min="7961" max="7961" width="7.28515625" style="209" customWidth="1"/>
    <col min="7962" max="7962" width="7.5703125" style="209" customWidth="1"/>
    <col min="7963" max="7963" width="7.7109375" style="209" customWidth="1"/>
    <col min="7964" max="7965" width="6.42578125" style="209" customWidth="1"/>
    <col min="7966" max="7966" width="7.28515625" style="209" customWidth="1"/>
    <col min="7967" max="7967" width="7.85546875" style="209" customWidth="1"/>
    <col min="7968" max="7968" width="6.42578125" style="209" customWidth="1"/>
    <col min="7969" max="7969" width="7.28515625" style="209" customWidth="1"/>
    <col min="7970" max="7970" width="7.5703125" style="209" customWidth="1"/>
    <col min="7971" max="7971" width="8" style="209" customWidth="1"/>
    <col min="7972" max="7973" width="6.42578125" style="209" customWidth="1"/>
    <col min="7974" max="7974" width="7.28515625" style="209" customWidth="1"/>
    <col min="7975" max="7975" width="8.28515625" style="209" customWidth="1"/>
    <col min="7976" max="7977" width="10.42578125" style="209" customWidth="1"/>
    <col min="7978" max="7978" width="7.28515625" style="209" customWidth="1"/>
    <col min="7979" max="7979" width="8.28515625" style="209" customWidth="1"/>
    <col min="7980" max="7981" width="10.42578125" style="209" customWidth="1"/>
    <col min="7982" max="7982" width="7.28515625" style="209" customWidth="1"/>
    <col min="7983" max="7983" width="8.28515625" style="209" customWidth="1"/>
    <col min="7984" max="7984" width="11.5703125" style="209" customWidth="1"/>
    <col min="7985" max="8207" width="11.42578125" style="209"/>
    <col min="8208" max="8208" width="2" style="209" customWidth="1"/>
    <col min="8209" max="8209" width="18.140625" style="209" customWidth="1"/>
    <col min="8210" max="8210" width="13.5703125" style="209" customWidth="1"/>
    <col min="8211" max="8211" width="52" style="209" customWidth="1"/>
    <col min="8212" max="8213" width="6.5703125" style="209" customWidth="1"/>
    <col min="8214" max="8214" width="7.5703125" style="209" customWidth="1"/>
    <col min="8215" max="8215" width="7.42578125" style="209" customWidth="1"/>
    <col min="8216" max="8216" width="8.42578125" style="209" customWidth="1"/>
    <col min="8217" max="8217" width="7.28515625" style="209" customWidth="1"/>
    <col min="8218" max="8218" width="7.5703125" style="209" customWidth="1"/>
    <col min="8219" max="8219" width="7.7109375" style="209" customWidth="1"/>
    <col min="8220" max="8221" width="6.42578125" style="209" customWidth="1"/>
    <col min="8222" max="8222" width="7.28515625" style="209" customWidth="1"/>
    <col min="8223" max="8223" width="7.85546875" style="209" customWidth="1"/>
    <col min="8224" max="8224" width="6.42578125" style="209" customWidth="1"/>
    <col min="8225" max="8225" width="7.28515625" style="209" customWidth="1"/>
    <col min="8226" max="8226" width="7.5703125" style="209" customWidth="1"/>
    <col min="8227" max="8227" width="8" style="209" customWidth="1"/>
    <col min="8228" max="8229" width="6.42578125" style="209" customWidth="1"/>
    <col min="8230" max="8230" width="7.28515625" style="209" customWidth="1"/>
    <col min="8231" max="8231" width="8.28515625" style="209" customWidth="1"/>
    <col min="8232" max="8233" width="10.42578125" style="209" customWidth="1"/>
    <col min="8234" max="8234" width="7.28515625" style="209" customWidth="1"/>
    <col min="8235" max="8235" width="8.28515625" style="209" customWidth="1"/>
    <col min="8236" max="8237" width="10.42578125" style="209" customWidth="1"/>
    <col min="8238" max="8238" width="7.28515625" style="209" customWidth="1"/>
    <col min="8239" max="8239" width="8.28515625" style="209" customWidth="1"/>
    <col min="8240" max="8240" width="11.5703125" style="209" customWidth="1"/>
    <col min="8241" max="8463" width="11.42578125" style="209"/>
    <col min="8464" max="8464" width="2" style="209" customWidth="1"/>
    <col min="8465" max="8465" width="18.140625" style="209" customWidth="1"/>
    <col min="8466" max="8466" width="13.5703125" style="209" customWidth="1"/>
    <col min="8467" max="8467" width="52" style="209" customWidth="1"/>
    <col min="8468" max="8469" width="6.5703125" style="209" customWidth="1"/>
    <col min="8470" max="8470" width="7.5703125" style="209" customWidth="1"/>
    <col min="8471" max="8471" width="7.42578125" style="209" customWidth="1"/>
    <col min="8472" max="8472" width="8.42578125" style="209" customWidth="1"/>
    <col min="8473" max="8473" width="7.28515625" style="209" customWidth="1"/>
    <col min="8474" max="8474" width="7.5703125" style="209" customWidth="1"/>
    <col min="8475" max="8475" width="7.7109375" style="209" customWidth="1"/>
    <col min="8476" max="8477" width="6.42578125" style="209" customWidth="1"/>
    <col min="8478" max="8478" width="7.28515625" style="209" customWidth="1"/>
    <col min="8479" max="8479" width="7.85546875" style="209" customWidth="1"/>
    <col min="8480" max="8480" width="6.42578125" style="209" customWidth="1"/>
    <col min="8481" max="8481" width="7.28515625" style="209" customWidth="1"/>
    <col min="8482" max="8482" width="7.5703125" style="209" customWidth="1"/>
    <col min="8483" max="8483" width="8" style="209" customWidth="1"/>
    <col min="8484" max="8485" width="6.42578125" style="209" customWidth="1"/>
    <col min="8486" max="8486" width="7.28515625" style="209" customWidth="1"/>
    <col min="8487" max="8487" width="8.28515625" style="209" customWidth="1"/>
    <col min="8488" max="8489" width="10.42578125" style="209" customWidth="1"/>
    <col min="8490" max="8490" width="7.28515625" style="209" customWidth="1"/>
    <col min="8491" max="8491" width="8.28515625" style="209" customWidth="1"/>
    <col min="8492" max="8493" width="10.42578125" style="209" customWidth="1"/>
    <col min="8494" max="8494" width="7.28515625" style="209" customWidth="1"/>
    <col min="8495" max="8495" width="8.28515625" style="209" customWidth="1"/>
    <col min="8496" max="8496" width="11.5703125" style="209" customWidth="1"/>
    <col min="8497" max="8719" width="11.42578125" style="209"/>
    <col min="8720" max="8720" width="2" style="209" customWidth="1"/>
    <col min="8721" max="8721" width="18.140625" style="209" customWidth="1"/>
    <col min="8722" max="8722" width="13.5703125" style="209" customWidth="1"/>
    <col min="8723" max="8723" width="52" style="209" customWidth="1"/>
    <col min="8724" max="8725" width="6.5703125" style="209" customWidth="1"/>
    <col min="8726" max="8726" width="7.5703125" style="209" customWidth="1"/>
    <col min="8727" max="8727" width="7.42578125" style="209" customWidth="1"/>
    <col min="8728" max="8728" width="8.42578125" style="209" customWidth="1"/>
    <col min="8729" max="8729" width="7.28515625" style="209" customWidth="1"/>
    <col min="8730" max="8730" width="7.5703125" style="209" customWidth="1"/>
    <col min="8731" max="8731" width="7.7109375" style="209" customWidth="1"/>
    <col min="8732" max="8733" width="6.42578125" style="209" customWidth="1"/>
    <col min="8734" max="8734" width="7.28515625" style="209" customWidth="1"/>
    <col min="8735" max="8735" width="7.85546875" style="209" customWidth="1"/>
    <col min="8736" max="8736" width="6.42578125" style="209" customWidth="1"/>
    <col min="8737" max="8737" width="7.28515625" style="209" customWidth="1"/>
    <col min="8738" max="8738" width="7.5703125" style="209" customWidth="1"/>
    <col min="8739" max="8739" width="8" style="209" customWidth="1"/>
    <col min="8740" max="8741" width="6.42578125" style="209" customWidth="1"/>
    <col min="8742" max="8742" width="7.28515625" style="209" customWidth="1"/>
    <col min="8743" max="8743" width="8.28515625" style="209" customWidth="1"/>
    <col min="8744" max="8745" width="10.42578125" style="209" customWidth="1"/>
    <col min="8746" max="8746" width="7.28515625" style="209" customWidth="1"/>
    <col min="8747" max="8747" width="8.28515625" style="209" customWidth="1"/>
    <col min="8748" max="8749" width="10.42578125" style="209" customWidth="1"/>
    <col min="8750" max="8750" width="7.28515625" style="209" customWidth="1"/>
    <col min="8751" max="8751" width="8.28515625" style="209" customWidth="1"/>
    <col min="8752" max="8752" width="11.5703125" style="209" customWidth="1"/>
    <col min="8753" max="8975" width="11.42578125" style="209"/>
    <col min="8976" max="8976" width="2" style="209" customWidth="1"/>
    <col min="8977" max="8977" width="18.140625" style="209" customWidth="1"/>
    <col min="8978" max="8978" width="13.5703125" style="209" customWidth="1"/>
    <col min="8979" max="8979" width="52" style="209" customWidth="1"/>
    <col min="8980" max="8981" width="6.5703125" style="209" customWidth="1"/>
    <col min="8982" max="8982" width="7.5703125" style="209" customWidth="1"/>
    <col min="8983" max="8983" width="7.42578125" style="209" customWidth="1"/>
    <col min="8984" max="8984" width="8.42578125" style="209" customWidth="1"/>
    <col min="8985" max="8985" width="7.28515625" style="209" customWidth="1"/>
    <col min="8986" max="8986" width="7.5703125" style="209" customWidth="1"/>
    <col min="8987" max="8987" width="7.7109375" style="209" customWidth="1"/>
    <col min="8988" max="8989" width="6.42578125" style="209" customWidth="1"/>
    <col min="8990" max="8990" width="7.28515625" style="209" customWidth="1"/>
    <col min="8991" max="8991" width="7.85546875" style="209" customWidth="1"/>
    <col min="8992" max="8992" width="6.42578125" style="209" customWidth="1"/>
    <col min="8993" max="8993" width="7.28515625" style="209" customWidth="1"/>
    <col min="8994" max="8994" width="7.5703125" style="209" customWidth="1"/>
    <col min="8995" max="8995" width="8" style="209" customWidth="1"/>
    <col min="8996" max="8997" width="6.42578125" style="209" customWidth="1"/>
    <col min="8998" max="8998" width="7.28515625" style="209" customWidth="1"/>
    <col min="8999" max="8999" width="8.28515625" style="209" customWidth="1"/>
    <col min="9000" max="9001" width="10.42578125" style="209" customWidth="1"/>
    <col min="9002" max="9002" width="7.28515625" style="209" customWidth="1"/>
    <col min="9003" max="9003" width="8.28515625" style="209" customWidth="1"/>
    <col min="9004" max="9005" width="10.42578125" style="209" customWidth="1"/>
    <col min="9006" max="9006" width="7.28515625" style="209" customWidth="1"/>
    <col min="9007" max="9007" width="8.28515625" style="209" customWidth="1"/>
    <col min="9008" max="9008" width="11.5703125" style="209" customWidth="1"/>
    <col min="9009" max="9231" width="11.42578125" style="209"/>
    <col min="9232" max="9232" width="2" style="209" customWidth="1"/>
    <col min="9233" max="9233" width="18.140625" style="209" customWidth="1"/>
    <col min="9234" max="9234" width="13.5703125" style="209" customWidth="1"/>
    <col min="9235" max="9235" width="52" style="209" customWidth="1"/>
    <col min="9236" max="9237" width="6.5703125" style="209" customWidth="1"/>
    <col min="9238" max="9238" width="7.5703125" style="209" customWidth="1"/>
    <col min="9239" max="9239" width="7.42578125" style="209" customWidth="1"/>
    <col min="9240" max="9240" width="8.42578125" style="209" customWidth="1"/>
    <col min="9241" max="9241" width="7.28515625" style="209" customWidth="1"/>
    <col min="9242" max="9242" width="7.5703125" style="209" customWidth="1"/>
    <col min="9243" max="9243" width="7.7109375" style="209" customWidth="1"/>
    <col min="9244" max="9245" width="6.42578125" style="209" customWidth="1"/>
    <col min="9246" max="9246" width="7.28515625" style="209" customWidth="1"/>
    <col min="9247" max="9247" width="7.85546875" style="209" customWidth="1"/>
    <col min="9248" max="9248" width="6.42578125" style="209" customWidth="1"/>
    <col min="9249" max="9249" width="7.28515625" style="209" customWidth="1"/>
    <col min="9250" max="9250" width="7.5703125" style="209" customWidth="1"/>
    <col min="9251" max="9251" width="8" style="209" customWidth="1"/>
    <col min="9252" max="9253" width="6.42578125" style="209" customWidth="1"/>
    <col min="9254" max="9254" width="7.28515625" style="209" customWidth="1"/>
    <col min="9255" max="9255" width="8.28515625" style="209" customWidth="1"/>
    <col min="9256" max="9257" width="10.42578125" style="209" customWidth="1"/>
    <col min="9258" max="9258" width="7.28515625" style="209" customWidth="1"/>
    <col min="9259" max="9259" width="8.28515625" style="209" customWidth="1"/>
    <col min="9260" max="9261" width="10.42578125" style="209" customWidth="1"/>
    <col min="9262" max="9262" width="7.28515625" style="209" customWidth="1"/>
    <col min="9263" max="9263" width="8.28515625" style="209" customWidth="1"/>
    <col min="9264" max="9264" width="11.5703125" style="209" customWidth="1"/>
    <col min="9265" max="9487" width="11.42578125" style="209"/>
    <col min="9488" max="9488" width="2" style="209" customWidth="1"/>
    <col min="9489" max="9489" width="18.140625" style="209" customWidth="1"/>
    <col min="9490" max="9490" width="13.5703125" style="209" customWidth="1"/>
    <col min="9491" max="9491" width="52" style="209" customWidth="1"/>
    <col min="9492" max="9493" width="6.5703125" style="209" customWidth="1"/>
    <col min="9494" max="9494" width="7.5703125" style="209" customWidth="1"/>
    <col min="9495" max="9495" width="7.42578125" style="209" customWidth="1"/>
    <col min="9496" max="9496" width="8.42578125" style="209" customWidth="1"/>
    <col min="9497" max="9497" width="7.28515625" style="209" customWidth="1"/>
    <col min="9498" max="9498" width="7.5703125" style="209" customWidth="1"/>
    <col min="9499" max="9499" width="7.7109375" style="209" customWidth="1"/>
    <col min="9500" max="9501" width="6.42578125" style="209" customWidth="1"/>
    <col min="9502" max="9502" width="7.28515625" style="209" customWidth="1"/>
    <col min="9503" max="9503" width="7.85546875" style="209" customWidth="1"/>
    <col min="9504" max="9504" width="6.42578125" style="209" customWidth="1"/>
    <col min="9505" max="9505" width="7.28515625" style="209" customWidth="1"/>
    <col min="9506" max="9506" width="7.5703125" style="209" customWidth="1"/>
    <col min="9507" max="9507" width="8" style="209" customWidth="1"/>
    <col min="9508" max="9509" width="6.42578125" style="209" customWidth="1"/>
    <col min="9510" max="9510" width="7.28515625" style="209" customWidth="1"/>
    <col min="9511" max="9511" width="8.28515625" style="209" customWidth="1"/>
    <col min="9512" max="9513" width="10.42578125" style="209" customWidth="1"/>
    <col min="9514" max="9514" width="7.28515625" style="209" customWidth="1"/>
    <col min="9515" max="9515" width="8.28515625" style="209" customWidth="1"/>
    <col min="9516" max="9517" width="10.42578125" style="209" customWidth="1"/>
    <col min="9518" max="9518" width="7.28515625" style="209" customWidth="1"/>
    <col min="9519" max="9519" width="8.28515625" style="209" customWidth="1"/>
    <col min="9520" max="9520" width="11.5703125" style="209" customWidth="1"/>
    <col min="9521" max="9743" width="11.42578125" style="209"/>
    <col min="9744" max="9744" width="2" style="209" customWidth="1"/>
    <col min="9745" max="9745" width="18.140625" style="209" customWidth="1"/>
    <col min="9746" max="9746" width="13.5703125" style="209" customWidth="1"/>
    <col min="9747" max="9747" width="52" style="209" customWidth="1"/>
    <col min="9748" max="9749" width="6.5703125" style="209" customWidth="1"/>
    <col min="9750" max="9750" width="7.5703125" style="209" customWidth="1"/>
    <col min="9751" max="9751" width="7.42578125" style="209" customWidth="1"/>
    <col min="9752" max="9752" width="8.42578125" style="209" customWidth="1"/>
    <col min="9753" max="9753" width="7.28515625" style="209" customWidth="1"/>
    <col min="9754" max="9754" width="7.5703125" style="209" customWidth="1"/>
    <col min="9755" max="9755" width="7.7109375" style="209" customWidth="1"/>
    <col min="9756" max="9757" width="6.42578125" style="209" customWidth="1"/>
    <col min="9758" max="9758" width="7.28515625" style="209" customWidth="1"/>
    <col min="9759" max="9759" width="7.85546875" style="209" customWidth="1"/>
    <col min="9760" max="9760" width="6.42578125" style="209" customWidth="1"/>
    <col min="9761" max="9761" width="7.28515625" style="209" customWidth="1"/>
    <col min="9762" max="9762" width="7.5703125" style="209" customWidth="1"/>
    <col min="9763" max="9763" width="8" style="209" customWidth="1"/>
    <col min="9764" max="9765" width="6.42578125" style="209" customWidth="1"/>
    <col min="9766" max="9766" width="7.28515625" style="209" customWidth="1"/>
    <col min="9767" max="9767" width="8.28515625" style="209" customWidth="1"/>
    <col min="9768" max="9769" width="10.42578125" style="209" customWidth="1"/>
    <col min="9770" max="9770" width="7.28515625" style="209" customWidth="1"/>
    <col min="9771" max="9771" width="8.28515625" style="209" customWidth="1"/>
    <col min="9772" max="9773" width="10.42578125" style="209" customWidth="1"/>
    <col min="9774" max="9774" width="7.28515625" style="209" customWidth="1"/>
    <col min="9775" max="9775" width="8.28515625" style="209" customWidth="1"/>
    <col min="9776" max="9776" width="11.5703125" style="209" customWidth="1"/>
    <col min="9777" max="9999" width="11.42578125" style="209"/>
    <col min="10000" max="10000" width="2" style="209" customWidth="1"/>
    <col min="10001" max="10001" width="18.140625" style="209" customWidth="1"/>
    <col min="10002" max="10002" width="13.5703125" style="209" customWidth="1"/>
    <col min="10003" max="10003" width="52" style="209" customWidth="1"/>
    <col min="10004" max="10005" width="6.5703125" style="209" customWidth="1"/>
    <col min="10006" max="10006" width="7.5703125" style="209" customWidth="1"/>
    <col min="10007" max="10007" width="7.42578125" style="209" customWidth="1"/>
    <col min="10008" max="10008" width="8.42578125" style="209" customWidth="1"/>
    <col min="10009" max="10009" width="7.28515625" style="209" customWidth="1"/>
    <col min="10010" max="10010" width="7.5703125" style="209" customWidth="1"/>
    <col min="10011" max="10011" width="7.7109375" style="209" customWidth="1"/>
    <col min="10012" max="10013" width="6.42578125" style="209" customWidth="1"/>
    <col min="10014" max="10014" width="7.28515625" style="209" customWidth="1"/>
    <col min="10015" max="10015" width="7.85546875" style="209" customWidth="1"/>
    <col min="10016" max="10016" width="6.42578125" style="209" customWidth="1"/>
    <col min="10017" max="10017" width="7.28515625" style="209" customWidth="1"/>
    <col min="10018" max="10018" width="7.5703125" style="209" customWidth="1"/>
    <col min="10019" max="10019" width="8" style="209" customWidth="1"/>
    <col min="10020" max="10021" width="6.42578125" style="209" customWidth="1"/>
    <col min="10022" max="10022" width="7.28515625" style="209" customWidth="1"/>
    <col min="10023" max="10023" width="8.28515625" style="209" customWidth="1"/>
    <col min="10024" max="10025" width="10.42578125" style="209" customWidth="1"/>
    <col min="10026" max="10026" width="7.28515625" style="209" customWidth="1"/>
    <col min="10027" max="10027" width="8.28515625" style="209" customWidth="1"/>
    <col min="10028" max="10029" width="10.42578125" style="209" customWidth="1"/>
    <col min="10030" max="10030" width="7.28515625" style="209" customWidth="1"/>
    <col min="10031" max="10031" width="8.28515625" style="209" customWidth="1"/>
    <col min="10032" max="10032" width="11.5703125" style="209" customWidth="1"/>
    <col min="10033" max="10255" width="11.42578125" style="209"/>
    <col min="10256" max="10256" width="2" style="209" customWidth="1"/>
    <col min="10257" max="10257" width="18.140625" style="209" customWidth="1"/>
    <col min="10258" max="10258" width="13.5703125" style="209" customWidth="1"/>
    <col min="10259" max="10259" width="52" style="209" customWidth="1"/>
    <col min="10260" max="10261" width="6.5703125" style="209" customWidth="1"/>
    <col min="10262" max="10262" width="7.5703125" style="209" customWidth="1"/>
    <col min="10263" max="10263" width="7.42578125" style="209" customWidth="1"/>
    <col min="10264" max="10264" width="8.42578125" style="209" customWidth="1"/>
    <col min="10265" max="10265" width="7.28515625" style="209" customWidth="1"/>
    <col min="10266" max="10266" width="7.5703125" style="209" customWidth="1"/>
    <col min="10267" max="10267" width="7.7109375" style="209" customWidth="1"/>
    <col min="10268" max="10269" width="6.42578125" style="209" customWidth="1"/>
    <col min="10270" max="10270" width="7.28515625" style="209" customWidth="1"/>
    <col min="10271" max="10271" width="7.85546875" style="209" customWidth="1"/>
    <col min="10272" max="10272" width="6.42578125" style="209" customWidth="1"/>
    <col min="10273" max="10273" width="7.28515625" style="209" customWidth="1"/>
    <col min="10274" max="10274" width="7.5703125" style="209" customWidth="1"/>
    <col min="10275" max="10275" width="8" style="209" customWidth="1"/>
    <col min="10276" max="10277" width="6.42578125" style="209" customWidth="1"/>
    <col min="10278" max="10278" width="7.28515625" style="209" customWidth="1"/>
    <col min="10279" max="10279" width="8.28515625" style="209" customWidth="1"/>
    <col min="10280" max="10281" width="10.42578125" style="209" customWidth="1"/>
    <col min="10282" max="10282" width="7.28515625" style="209" customWidth="1"/>
    <col min="10283" max="10283" width="8.28515625" style="209" customWidth="1"/>
    <col min="10284" max="10285" width="10.42578125" style="209" customWidth="1"/>
    <col min="10286" max="10286" width="7.28515625" style="209" customWidth="1"/>
    <col min="10287" max="10287" width="8.28515625" style="209" customWidth="1"/>
    <col min="10288" max="10288" width="11.5703125" style="209" customWidth="1"/>
    <col min="10289" max="10511" width="11.42578125" style="209"/>
    <col min="10512" max="10512" width="2" style="209" customWidth="1"/>
    <col min="10513" max="10513" width="18.140625" style="209" customWidth="1"/>
    <col min="10514" max="10514" width="13.5703125" style="209" customWidth="1"/>
    <col min="10515" max="10515" width="52" style="209" customWidth="1"/>
    <col min="10516" max="10517" width="6.5703125" style="209" customWidth="1"/>
    <col min="10518" max="10518" width="7.5703125" style="209" customWidth="1"/>
    <col min="10519" max="10519" width="7.42578125" style="209" customWidth="1"/>
    <col min="10520" max="10520" width="8.42578125" style="209" customWidth="1"/>
    <col min="10521" max="10521" width="7.28515625" style="209" customWidth="1"/>
    <col min="10522" max="10522" width="7.5703125" style="209" customWidth="1"/>
    <col min="10523" max="10523" width="7.7109375" style="209" customWidth="1"/>
    <col min="10524" max="10525" width="6.42578125" style="209" customWidth="1"/>
    <col min="10526" max="10526" width="7.28515625" style="209" customWidth="1"/>
    <col min="10527" max="10527" width="7.85546875" style="209" customWidth="1"/>
    <col min="10528" max="10528" width="6.42578125" style="209" customWidth="1"/>
    <col min="10529" max="10529" width="7.28515625" style="209" customWidth="1"/>
    <col min="10530" max="10530" width="7.5703125" style="209" customWidth="1"/>
    <col min="10531" max="10531" width="8" style="209" customWidth="1"/>
    <col min="10532" max="10533" width="6.42578125" style="209" customWidth="1"/>
    <col min="10534" max="10534" width="7.28515625" style="209" customWidth="1"/>
    <col min="10535" max="10535" width="8.28515625" style="209" customWidth="1"/>
    <col min="10536" max="10537" width="10.42578125" style="209" customWidth="1"/>
    <col min="10538" max="10538" width="7.28515625" style="209" customWidth="1"/>
    <col min="10539" max="10539" width="8.28515625" style="209" customWidth="1"/>
    <col min="10540" max="10541" width="10.42578125" style="209" customWidth="1"/>
    <col min="10542" max="10542" width="7.28515625" style="209" customWidth="1"/>
    <col min="10543" max="10543" width="8.28515625" style="209" customWidth="1"/>
    <col min="10544" max="10544" width="11.5703125" style="209" customWidth="1"/>
    <col min="10545" max="10767" width="11.42578125" style="209"/>
    <col min="10768" max="10768" width="2" style="209" customWidth="1"/>
    <col min="10769" max="10769" width="18.140625" style="209" customWidth="1"/>
    <col min="10770" max="10770" width="13.5703125" style="209" customWidth="1"/>
    <col min="10771" max="10771" width="52" style="209" customWidth="1"/>
    <col min="10772" max="10773" width="6.5703125" style="209" customWidth="1"/>
    <col min="10774" max="10774" width="7.5703125" style="209" customWidth="1"/>
    <col min="10775" max="10775" width="7.42578125" style="209" customWidth="1"/>
    <col min="10776" max="10776" width="8.42578125" style="209" customWidth="1"/>
    <col min="10777" max="10777" width="7.28515625" style="209" customWidth="1"/>
    <col min="10778" max="10778" width="7.5703125" style="209" customWidth="1"/>
    <col min="10779" max="10779" width="7.7109375" style="209" customWidth="1"/>
    <col min="10780" max="10781" width="6.42578125" style="209" customWidth="1"/>
    <col min="10782" max="10782" width="7.28515625" style="209" customWidth="1"/>
    <col min="10783" max="10783" width="7.85546875" style="209" customWidth="1"/>
    <col min="10784" max="10784" width="6.42578125" style="209" customWidth="1"/>
    <col min="10785" max="10785" width="7.28515625" style="209" customWidth="1"/>
    <col min="10786" max="10786" width="7.5703125" style="209" customWidth="1"/>
    <col min="10787" max="10787" width="8" style="209" customWidth="1"/>
    <col min="10788" max="10789" width="6.42578125" style="209" customWidth="1"/>
    <col min="10790" max="10790" width="7.28515625" style="209" customWidth="1"/>
    <col min="10791" max="10791" width="8.28515625" style="209" customWidth="1"/>
    <col min="10792" max="10793" width="10.42578125" style="209" customWidth="1"/>
    <col min="10794" max="10794" width="7.28515625" style="209" customWidth="1"/>
    <col min="10795" max="10795" width="8.28515625" style="209" customWidth="1"/>
    <col min="10796" max="10797" width="10.42578125" style="209" customWidth="1"/>
    <col min="10798" max="10798" width="7.28515625" style="209" customWidth="1"/>
    <col min="10799" max="10799" width="8.28515625" style="209" customWidth="1"/>
    <col min="10800" max="10800" width="11.5703125" style="209" customWidth="1"/>
    <col min="10801" max="11023" width="11.42578125" style="209"/>
    <col min="11024" max="11024" width="2" style="209" customWidth="1"/>
    <col min="11025" max="11025" width="18.140625" style="209" customWidth="1"/>
    <col min="11026" max="11026" width="13.5703125" style="209" customWidth="1"/>
    <col min="11027" max="11027" width="52" style="209" customWidth="1"/>
    <col min="11028" max="11029" width="6.5703125" style="209" customWidth="1"/>
    <col min="11030" max="11030" width="7.5703125" style="209" customWidth="1"/>
    <col min="11031" max="11031" width="7.42578125" style="209" customWidth="1"/>
    <col min="11032" max="11032" width="8.42578125" style="209" customWidth="1"/>
    <col min="11033" max="11033" width="7.28515625" style="209" customWidth="1"/>
    <col min="11034" max="11034" width="7.5703125" style="209" customWidth="1"/>
    <col min="11035" max="11035" width="7.7109375" style="209" customWidth="1"/>
    <col min="11036" max="11037" width="6.42578125" style="209" customWidth="1"/>
    <col min="11038" max="11038" width="7.28515625" style="209" customWidth="1"/>
    <col min="11039" max="11039" width="7.85546875" style="209" customWidth="1"/>
    <col min="11040" max="11040" width="6.42578125" style="209" customWidth="1"/>
    <col min="11041" max="11041" width="7.28515625" style="209" customWidth="1"/>
    <col min="11042" max="11042" width="7.5703125" style="209" customWidth="1"/>
    <col min="11043" max="11043" width="8" style="209" customWidth="1"/>
    <col min="11044" max="11045" width="6.42578125" style="209" customWidth="1"/>
    <col min="11046" max="11046" width="7.28515625" style="209" customWidth="1"/>
    <col min="11047" max="11047" width="8.28515625" style="209" customWidth="1"/>
    <col min="11048" max="11049" width="10.42578125" style="209" customWidth="1"/>
    <col min="11050" max="11050" width="7.28515625" style="209" customWidth="1"/>
    <col min="11051" max="11051" width="8.28515625" style="209" customWidth="1"/>
    <col min="11052" max="11053" width="10.42578125" style="209" customWidth="1"/>
    <col min="11054" max="11054" width="7.28515625" style="209" customWidth="1"/>
    <col min="11055" max="11055" width="8.28515625" style="209" customWidth="1"/>
    <col min="11056" max="11056" width="11.5703125" style="209" customWidth="1"/>
    <col min="11057" max="11279" width="11.42578125" style="209"/>
    <col min="11280" max="11280" width="2" style="209" customWidth="1"/>
    <col min="11281" max="11281" width="18.140625" style="209" customWidth="1"/>
    <col min="11282" max="11282" width="13.5703125" style="209" customWidth="1"/>
    <col min="11283" max="11283" width="52" style="209" customWidth="1"/>
    <col min="11284" max="11285" width="6.5703125" style="209" customWidth="1"/>
    <col min="11286" max="11286" width="7.5703125" style="209" customWidth="1"/>
    <col min="11287" max="11287" width="7.42578125" style="209" customWidth="1"/>
    <col min="11288" max="11288" width="8.42578125" style="209" customWidth="1"/>
    <col min="11289" max="11289" width="7.28515625" style="209" customWidth="1"/>
    <col min="11290" max="11290" width="7.5703125" style="209" customWidth="1"/>
    <col min="11291" max="11291" width="7.7109375" style="209" customWidth="1"/>
    <col min="11292" max="11293" width="6.42578125" style="209" customWidth="1"/>
    <col min="11294" max="11294" width="7.28515625" style="209" customWidth="1"/>
    <col min="11295" max="11295" width="7.85546875" style="209" customWidth="1"/>
    <col min="11296" max="11296" width="6.42578125" style="209" customWidth="1"/>
    <col min="11297" max="11297" width="7.28515625" style="209" customWidth="1"/>
    <col min="11298" max="11298" width="7.5703125" style="209" customWidth="1"/>
    <col min="11299" max="11299" width="8" style="209" customWidth="1"/>
    <col min="11300" max="11301" width="6.42578125" style="209" customWidth="1"/>
    <col min="11302" max="11302" width="7.28515625" style="209" customWidth="1"/>
    <col min="11303" max="11303" width="8.28515625" style="209" customWidth="1"/>
    <col min="11304" max="11305" width="10.42578125" style="209" customWidth="1"/>
    <col min="11306" max="11306" width="7.28515625" style="209" customWidth="1"/>
    <col min="11307" max="11307" width="8.28515625" style="209" customWidth="1"/>
    <col min="11308" max="11309" width="10.42578125" style="209" customWidth="1"/>
    <col min="11310" max="11310" width="7.28515625" style="209" customWidth="1"/>
    <col min="11311" max="11311" width="8.28515625" style="209" customWidth="1"/>
    <col min="11312" max="11312" width="11.5703125" style="209" customWidth="1"/>
    <col min="11313" max="11535" width="11.42578125" style="209"/>
    <col min="11536" max="11536" width="2" style="209" customWidth="1"/>
    <col min="11537" max="11537" width="18.140625" style="209" customWidth="1"/>
    <col min="11538" max="11538" width="13.5703125" style="209" customWidth="1"/>
    <col min="11539" max="11539" width="52" style="209" customWidth="1"/>
    <col min="11540" max="11541" width="6.5703125" style="209" customWidth="1"/>
    <col min="11542" max="11542" width="7.5703125" style="209" customWidth="1"/>
    <col min="11543" max="11543" width="7.42578125" style="209" customWidth="1"/>
    <col min="11544" max="11544" width="8.42578125" style="209" customWidth="1"/>
    <col min="11545" max="11545" width="7.28515625" style="209" customWidth="1"/>
    <col min="11546" max="11546" width="7.5703125" style="209" customWidth="1"/>
    <col min="11547" max="11547" width="7.7109375" style="209" customWidth="1"/>
    <col min="11548" max="11549" width="6.42578125" style="209" customWidth="1"/>
    <col min="11550" max="11550" width="7.28515625" style="209" customWidth="1"/>
    <col min="11551" max="11551" width="7.85546875" style="209" customWidth="1"/>
    <col min="11552" max="11552" width="6.42578125" style="209" customWidth="1"/>
    <col min="11553" max="11553" width="7.28515625" style="209" customWidth="1"/>
    <col min="11554" max="11554" width="7.5703125" style="209" customWidth="1"/>
    <col min="11555" max="11555" width="8" style="209" customWidth="1"/>
    <col min="11556" max="11557" width="6.42578125" style="209" customWidth="1"/>
    <col min="11558" max="11558" width="7.28515625" style="209" customWidth="1"/>
    <col min="11559" max="11559" width="8.28515625" style="209" customWidth="1"/>
    <col min="11560" max="11561" width="10.42578125" style="209" customWidth="1"/>
    <col min="11562" max="11562" width="7.28515625" style="209" customWidth="1"/>
    <col min="11563" max="11563" width="8.28515625" style="209" customWidth="1"/>
    <col min="11564" max="11565" width="10.42578125" style="209" customWidth="1"/>
    <col min="11566" max="11566" width="7.28515625" style="209" customWidth="1"/>
    <col min="11567" max="11567" width="8.28515625" style="209" customWidth="1"/>
    <col min="11568" max="11568" width="11.5703125" style="209" customWidth="1"/>
    <col min="11569" max="11791" width="11.42578125" style="209"/>
    <col min="11792" max="11792" width="2" style="209" customWidth="1"/>
    <col min="11793" max="11793" width="18.140625" style="209" customWidth="1"/>
    <col min="11794" max="11794" width="13.5703125" style="209" customWidth="1"/>
    <col min="11795" max="11795" width="52" style="209" customWidth="1"/>
    <col min="11796" max="11797" width="6.5703125" style="209" customWidth="1"/>
    <col min="11798" max="11798" width="7.5703125" style="209" customWidth="1"/>
    <col min="11799" max="11799" width="7.42578125" style="209" customWidth="1"/>
    <col min="11800" max="11800" width="8.42578125" style="209" customWidth="1"/>
    <col min="11801" max="11801" width="7.28515625" style="209" customWidth="1"/>
    <col min="11802" max="11802" width="7.5703125" style="209" customWidth="1"/>
    <col min="11803" max="11803" width="7.7109375" style="209" customWidth="1"/>
    <col min="11804" max="11805" width="6.42578125" style="209" customWidth="1"/>
    <col min="11806" max="11806" width="7.28515625" style="209" customWidth="1"/>
    <col min="11807" max="11807" width="7.85546875" style="209" customWidth="1"/>
    <col min="11808" max="11808" width="6.42578125" style="209" customWidth="1"/>
    <col min="11809" max="11809" width="7.28515625" style="209" customWidth="1"/>
    <col min="11810" max="11810" width="7.5703125" style="209" customWidth="1"/>
    <col min="11811" max="11811" width="8" style="209" customWidth="1"/>
    <col min="11812" max="11813" width="6.42578125" style="209" customWidth="1"/>
    <col min="11814" max="11814" width="7.28515625" style="209" customWidth="1"/>
    <col min="11815" max="11815" width="8.28515625" style="209" customWidth="1"/>
    <col min="11816" max="11817" width="10.42578125" style="209" customWidth="1"/>
    <col min="11818" max="11818" width="7.28515625" style="209" customWidth="1"/>
    <col min="11819" max="11819" width="8.28515625" style="209" customWidth="1"/>
    <col min="11820" max="11821" width="10.42578125" style="209" customWidth="1"/>
    <col min="11822" max="11822" width="7.28515625" style="209" customWidth="1"/>
    <col min="11823" max="11823" width="8.28515625" style="209" customWidth="1"/>
    <col min="11824" max="11824" width="11.5703125" style="209" customWidth="1"/>
    <col min="11825" max="12047" width="11.42578125" style="209"/>
    <col min="12048" max="12048" width="2" style="209" customWidth="1"/>
    <col min="12049" max="12049" width="18.140625" style="209" customWidth="1"/>
    <col min="12050" max="12050" width="13.5703125" style="209" customWidth="1"/>
    <col min="12051" max="12051" width="52" style="209" customWidth="1"/>
    <col min="12052" max="12053" width="6.5703125" style="209" customWidth="1"/>
    <col min="12054" max="12054" width="7.5703125" style="209" customWidth="1"/>
    <col min="12055" max="12055" width="7.42578125" style="209" customWidth="1"/>
    <col min="12056" max="12056" width="8.42578125" style="209" customWidth="1"/>
    <col min="12057" max="12057" width="7.28515625" style="209" customWidth="1"/>
    <col min="12058" max="12058" width="7.5703125" style="209" customWidth="1"/>
    <col min="12059" max="12059" width="7.7109375" style="209" customWidth="1"/>
    <col min="12060" max="12061" width="6.42578125" style="209" customWidth="1"/>
    <col min="12062" max="12062" width="7.28515625" style="209" customWidth="1"/>
    <col min="12063" max="12063" width="7.85546875" style="209" customWidth="1"/>
    <col min="12064" max="12064" width="6.42578125" style="209" customWidth="1"/>
    <col min="12065" max="12065" width="7.28515625" style="209" customWidth="1"/>
    <col min="12066" max="12066" width="7.5703125" style="209" customWidth="1"/>
    <col min="12067" max="12067" width="8" style="209" customWidth="1"/>
    <col min="12068" max="12069" width="6.42578125" style="209" customWidth="1"/>
    <col min="12070" max="12070" width="7.28515625" style="209" customWidth="1"/>
    <col min="12071" max="12071" width="8.28515625" style="209" customWidth="1"/>
    <col min="12072" max="12073" width="10.42578125" style="209" customWidth="1"/>
    <col min="12074" max="12074" width="7.28515625" style="209" customWidth="1"/>
    <col min="12075" max="12075" width="8.28515625" style="209" customWidth="1"/>
    <col min="12076" max="12077" width="10.42578125" style="209" customWidth="1"/>
    <col min="12078" max="12078" width="7.28515625" style="209" customWidth="1"/>
    <col min="12079" max="12079" width="8.28515625" style="209" customWidth="1"/>
    <col min="12080" max="12080" width="11.5703125" style="209" customWidth="1"/>
    <col min="12081" max="12303" width="11.42578125" style="209"/>
    <col min="12304" max="12304" width="2" style="209" customWidth="1"/>
    <col min="12305" max="12305" width="18.140625" style="209" customWidth="1"/>
    <col min="12306" max="12306" width="13.5703125" style="209" customWidth="1"/>
    <col min="12307" max="12307" width="52" style="209" customWidth="1"/>
    <col min="12308" max="12309" width="6.5703125" style="209" customWidth="1"/>
    <col min="12310" max="12310" width="7.5703125" style="209" customWidth="1"/>
    <col min="12311" max="12311" width="7.42578125" style="209" customWidth="1"/>
    <col min="12312" max="12312" width="8.42578125" style="209" customWidth="1"/>
    <col min="12313" max="12313" width="7.28515625" style="209" customWidth="1"/>
    <col min="12314" max="12314" width="7.5703125" style="209" customWidth="1"/>
    <col min="12315" max="12315" width="7.7109375" style="209" customWidth="1"/>
    <col min="12316" max="12317" width="6.42578125" style="209" customWidth="1"/>
    <col min="12318" max="12318" width="7.28515625" style="209" customWidth="1"/>
    <col min="12319" max="12319" width="7.85546875" style="209" customWidth="1"/>
    <col min="12320" max="12320" width="6.42578125" style="209" customWidth="1"/>
    <col min="12321" max="12321" width="7.28515625" style="209" customWidth="1"/>
    <col min="12322" max="12322" width="7.5703125" style="209" customWidth="1"/>
    <col min="12323" max="12323" width="8" style="209" customWidth="1"/>
    <col min="12324" max="12325" width="6.42578125" style="209" customWidth="1"/>
    <col min="12326" max="12326" width="7.28515625" style="209" customWidth="1"/>
    <col min="12327" max="12327" width="8.28515625" style="209" customWidth="1"/>
    <col min="12328" max="12329" width="10.42578125" style="209" customWidth="1"/>
    <col min="12330" max="12330" width="7.28515625" style="209" customWidth="1"/>
    <col min="12331" max="12331" width="8.28515625" style="209" customWidth="1"/>
    <col min="12332" max="12333" width="10.42578125" style="209" customWidth="1"/>
    <col min="12334" max="12334" width="7.28515625" style="209" customWidth="1"/>
    <col min="12335" max="12335" width="8.28515625" style="209" customWidth="1"/>
    <col min="12336" max="12336" width="11.5703125" style="209" customWidth="1"/>
    <col min="12337" max="12559" width="11.42578125" style="209"/>
    <col min="12560" max="12560" width="2" style="209" customWidth="1"/>
    <col min="12561" max="12561" width="18.140625" style="209" customWidth="1"/>
    <col min="12562" max="12562" width="13.5703125" style="209" customWidth="1"/>
    <col min="12563" max="12563" width="52" style="209" customWidth="1"/>
    <col min="12564" max="12565" width="6.5703125" style="209" customWidth="1"/>
    <col min="12566" max="12566" width="7.5703125" style="209" customWidth="1"/>
    <col min="12567" max="12567" width="7.42578125" style="209" customWidth="1"/>
    <col min="12568" max="12568" width="8.42578125" style="209" customWidth="1"/>
    <col min="12569" max="12569" width="7.28515625" style="209" customWidth="1"/>
    <col min="12570" max="12570" width="7.5703125" style="209" customWidth="1"/>
    <col min="12571" max="12571" width="7.7109375" style="209" customWidth="1"/>
    <col min="12572" max="12573" width="6.42578125" style="209" customWidth="1"/>
    <col min="12574" max="12574" width="7.28515625" style="209" customWidth="1"/>
    <col min="12575" max="12575" width="7.85546875" style="209" customWidth="1"/>
    <col min="12576" max="12576" width="6.42578125" style="209" customWidth="1"/>
    <col min="12577" max="12577" width="7.28515625" style="209" customWidth="1"/>
    <col min="12578" max="12578" width="7.5703125" style="209" customWidth="1"/>
    <col min="12579" max="12579" width="8" style="209" customWidth="1"/>
    <col min="12580" max="12581" width="6.42578125" style="209" customWidth="1"/>
    <col min="12582" max="12582" width="7.28515625" style="209" customWidth="1"/>
    <col min="12583" max="12583" width="8.28515625" style="209" customWidth="1"/>
    <col min="12584" max="12585" width="10.42578125" style="209" customWidth="1"/>
    <col min="12586" max="12586" width="7.28515625" style="209" customWidth="1"/>
    <col min="12587" max="12587" width="8.28515625" style="209" customWidth="1"/>
    <col min="12588" max="12589" width="10.42578125" style="209" customWidth="1"/>
    <col min="12590" max="12590" width="7.28515625" style="209" customWidth="1"/>
    <col min="12591" max="12591" width="8.28515625" style="209" customWidth="1"/>
    <col min="12592" max="12592" width="11.5703125" style="209" customWidth="1"/>
    <col min="12593" max="12815" width="11.42578125" style="209"/>
    <col min="12816" max="12816" width="2" style="209" customWidth="1"/>
    <col min="12817" max="12817" width="18.140625" style="209" customWidth="1"/>
    <col min="12818" max="12818" width="13.5703125" style="209" customWidth="1"/>
    <col min="12819" max="12819" width="52" style="209" customWidth="1"/>
    <col min="12820" max="12821" width="6.5703125" style="209" customWidth="1"/>
    <col min="12822" max="12822" width="7.5703125" style="209" customWidth="1"/>
    <col min="12823" max="12823" width="7.42578125" style="209" customWidth="1"/>
    <col min="12824" max="12824" width="8.42578125" style="209" customWidth="1"/>
    <col min="12825" max="12825" width="7.28515625" style="209" customWidth="1"/>
    <col min="12826" max="12826" width="7.5703125" style="209" customWidth="1"/>
    <col min="12827" max="12827" width="7.7109375" style="209" customWidth="1"/>
    <col min="12828" max="12829" width="6.42578125" style="209" customWidth="1"/>
    <col min="12830" max="12830" width="7.28515625" style="209" customWidth="1"/>
    <col min="12831" max="12831" width="7.85546875" style="209" customWidth="1"/>
    <col min="12832" max="12832" width="6.42578125" style="209" customWidth="1"/>
    <col min="12833" max="12833" width="7.28515625" style="209" customWidth="1"/>
    <col min="12834" max="12834" width="7.5703125" style="209" customWidth="1"/>
    <col min="12835" max="12835" width="8" style="209" customWidth="1"/>
    <col min="12836" max="12837" width="6.42578125" style="209" customWidth="1"/>
    <col min="12838" max="12838" width="7.28515625" style="209" customWidth="1"/>
    <col min="12839" max="12839" width="8.28515625" style="209" customWidth="1"/>
    <col min="12840" max="12841" width="10.42578125" style="209" customWidth="1"/>
    <col min="12842" max="12842" width="7.28515625" style="209" customWidth="1"/>
    <col min="12843" max="12843" width="8.28515625" style="209" customWidth="1"/>
    <col min="12844" max="12845" width="10.42578125" style="209" customWidth="1"/>
    <col min="12846" max="12846" width="7.28515625" style="209" customWidth="1"/>
    <col min="12847" max="12847" width="8.28515625" style="209" customWidth="1"/>
    <col min="12848" max="12848" width="11.5703125" style="209" customWidth="1"/>
    <col min="12849" max="13071" width="11.42578125" style="209"/>
    <col min="13072" max="13072" width="2" style="209" customWidth="1"/>
    <col min="13073" max="13073" width="18.140625" style="209" customWidth="1"/>
    <col min="13074" max="13074" width="13.5703125" style="209" customWidth="1"/>
    <col min="13075" max="13075" width="52" style="209" customWidth="1"/>
    <col min="13076" max="13077" width="6.5703125" style="209" customWidth="1"/>
    <col min="13078" max="13078" width="7.5703125" style="209" customWidth="1"/>
    <col min="13079" max="13079" width="7.42578125" style="209" customWidth="1"/>
    <col min="13080" max="13080" width="8.42578125" style="209" customWidth="1"/>
    <col min="13081" max="13081" width="7.28515625" style="209" customWidth="1"/>
    <col min="13082" max="13082" width="7.5703125" style="209" customWidth="1"/>
    <col min="13083" max="13083" width="7.7109375" style="209" customWidth="1"/>
    <col min="13084" max="13085" width="6.42578125" style="209" customWidth="1"/>
    <col min="13086" max="13086" width="7.28515625" style="209" customWidth="1"/>
    <col min="13087" max="13087" width="7.85546875" style="209" customWidth="1"/>
    <col min="13088" max="13088" width="6.42578125" style="209" customWidth="1"/>
    <col min="13089" max="13089" width="7.28515625" style="209" customWidth="1"/>
    <col min="13090" max="13090" width="7.5703125" style="209" customWidth="1"/>
    <col min="13091" max="13091" width="8" style="209" customWidth="1"/>
    <col min="13092" max="13093" width="6.42578125" style="209" customWidth="1"/>
    <col min="13094" max="13094" width="7.28515625" style="209" customWidth="1"/>
    <col min="13095" max="13095" width="8.28515625" style="209" customWidth="1"/>
    <col min="13096" max="13097" width="10.42578125" style="209" customWidth="1"/>
    <col min="13098" max="13098" width="7.28515625" style="209" customWidth="1"/>
    <col min="13099" max="13099" width="8.28515625" style="209" customWidth="1"/>
    <col min="13100" max="13101" width="10.42578125" style="209" customWidth="1"/>
    <col min="13102" max="13102" width="7.28515625" style="209" customWidth="1"/>
    <col min="13103" max="13103" width="8.28515625" style="209" customWidth="1"/>
    <col min="13104" max="13104" width="11.5703125" style="209" customWidth="1"/>
    <col min="13105" max="13327" width="11.42578125" style="209"/>
    <col min="13328" max="13328" width="2" style="209" customWidth="1"/>
    <col min="13329" max="13329" width="18.140625" style="209" customWidth="1"/>
    <col min="13330" max="13330" width="13.5703125" style="209" customWidth="1"/>
    <col min="13331" max="13331" width="52" style="209" customWidth="1"/>
    <col min="13332" max="13333" width="6.5703125" style="209" customWidth="1"/>
    <col min="13334" max="13334" width="7.5703125" style="209" customWidth="1"/>
    <col min="13335" max="13335" width="7.42578125" style="209" customWidth="1"/>
    <col min="13336" max="13336" width="8.42578125" style="209" customWidth="1"/>
    <col min="13337" max="13337" width="7.28515625" style="209" customWidth="1"/>
    <col min="13338" max="13338" width="7.5703125" style="209" customWidth="1"/>
    <col min="13339" max="13339" width="7.7109375" style="209" customWidth="1"/>
    <col min="13340" max="13341" width="6.42578125" style="209" customWidth="1"/>
    <col min="13342" max="13342" width="7.28515625" style="209" customWidth="1"/>
    <col min="13343" max="13343" width="7.85546875" style="209" customWidth="1"/>
    <col min="13344" max="13344" width="6.42578125" style="209" customWidth="1"/>
    <col min="13345" max="13345" width="7.28515625" style="209" customWidth="1"/>
    <col min="13346" max="13346" width="7.5703125" style="209" customWidth="1"/>
    <col min="13347" max="13347" width="8" style="209" customWidth="1"/>
    <col min="13348" max="13349" width="6.42578125" style="209" customWidth="1"/>
    <col min="13350" max="13350" width="7.28515625" style="209" customWidth="1"/>
    <col min="13351" max="13351" width="8.28515625" style="209" customWidth="1"/>
    <col min="13352" max="13353" width="10.42578125" style="209" customWidth="1"/>
    <col min="13354" max="13354" width="7.28515625" style="209" customWidth="1"/>
    <col min="13355" max="13355" width="8.28515625" style="209" customWidth="1"/>
    <col min="13356" max="13357" width="10.42578125" style="209" customWidth="1"/>
    <col min="13358" max="13358" width="7.28515625" style="209" customWidth="1"/>
    <col min="13359" max="13359" width="8.28515625" style="209" customWidth="1"/>
    <col min="13360" max="13360" width="11.5703125" style="209" customWidth="1"/>
    <col min="13361" max="13583" width="11.42578125" style="209"/>
    <col min="13584" max="13584" width="2" style="209" customWidth="1"/>
    <col min="13585" max="13585" width="18.140625" style="209" customWidth="1"/>
    <col min="13586" max="13586" width="13.5703125" style="209" customWidth="1"/>
    <col min="13587" max="13587" width="52" style="209" customWidth="1"/>
    <col min="13588" max="13589" width="6.5703125" style="209" customWidth="1"/>
    <col min="13590" max="13590" width="7.5703125" style="209" customWidth="1"/>
    <col min="13591" max="13591" width="7.42578125" style="209" customWidth="1"/>
    <col min="13592" max="13592" width="8.42578125" style="209" customWidth="1"/>
    <col min="13593" max="13593" width="7.28515625" style="209" customWidth="1"/>
    <col min="13594" max="13594" width="7.5703125" style="209" customWidth="1"/>
    <col min="13595" max="13595" width="7.7109375" style="209" customWidth="1"/>
    <col min="13596" max="13597" width="6.42578125" style="209" customWidth="1"/>
    <col min="13598" max="13598" width="7.28515625" style="209" customWidth="1"/>
    <col min="13599" max="13599" width="7.85546875" style="209" customWidth="1"/>
    <col min="13600" max="13600" width="6.42578125" style="209" customWidth="1"/>
    <col min="13601" max="13601" width="7.28515625" style="209" customWidth="1"/>
    <col min="13602" max="13602" width="7.5703125" style="209" customWidth="1"/>
    <col min="13603" max="13603" width="8" style="209" customWidth="1"/>
    <col min="13604" max="13605" width="6.42578125" style="209" customWidth="1"/>
    <col min="13606" max="13606" width="7.28515625" style="209" customWidth="1"/>
    <col min="13607" max="13607" width="8.28515625" style="209" customWidth="1"/>
    <col min="13608" max="13609" width="10.42578125" style="209" customWidth="1"/>
    <col min="13610" max="13610" width="7.28515625" style="209" customWidth="1"/>
    <col min="13611" max="13611" width="8.28515625" style="209" customWidth="1"/>
    <col min="13612" max="13613" width="10.42578125" style="209" customWidth="1"/>
    <col min="13614" max="13614" width="7.28515625" style="209" customWidth="1"/>
    <col min="13615" max="13615" width="8.28515625" style="209" customWidth="1"/>
    <col min="13616" max="13616" width="11.5703125" style="209" customWidth="1"/>
    <col min="13617" max="13839" width="11.42578125" style="209"/>
    <col min="13840" max="13840" width="2" style="209" customWidth="1"/>
    <col min="13841" max="13841" width="18.140625" style="209" customWidth="1"/>
    <col min="13842" max="13842" width="13.5703125" style="209" customWidth="1"/>
    <col min="13843" max="13843" width="52" style="209" customWidth="1"/>
    <col min="13844" max="13845" width="6.5703125" style="209" customWidth="1"/>
    <col min="13846" max="13846" width="7.5703125" style="209" customWidth="1"/>
    <col min="13847" max="13847" width="7.42578125" style="209" customWidth="1"/>
    <col min="13848" max="13848" width="8.42578125" style="209" customWidth="1"/>
    <col min="13849" max="13849" width="7.28515625" style="209" customWidth="1"/>
    <col min="13850" max="13850" width="7.5703125" style="209" customWidth="1"/>
    <col min="13851" max="13851" width="7.7109375" style="209" customWidth="1"/>
    <col min="13852" max="13853" width="6.42578125" style="209" customWidth="1"/>
    <col min="13854" max="13854" width="7.28515625" style="209" customWidth="1"/>
    <col min="13855" max="13855" width="7.85546875" style="209" customWidth="1"/>
    <col min="13856" max="13856" width="6.42578125" style="209" customWidth="1"/>
    <col min="13857" max="13857" width="7.28515625" style="209" customWidth="1"/>
    <col min="13858" max="13858" width="7.5703125" style="209" customWidth="1"/>
    <col min="13859" max="13859" width="8" style="209" customWidth="1"/>
    <col min="13860" max="13861" width="6.42578125" style="209" customWidth="1"/>
    <col min="13862" max="13862" width="7.28515625" style="209" customWidth="1"/>
    <col min="13863" max="13863" width="8.28515625" style="209" customWidth="1"/>
    <col min="13864" max="13865" width="10.42578125" style="209" customWidth="1"/>
    <col min="13866" max="13866" width="7.28515625" style="209" customWidth="1"/>
    <col min="13867" max="13867" width="8.28515625" style="209" customWidth="1"/>
    <col min="13868" max="13869" width="10.42578125" style="209" customWidth="1"/>
    <col min="13870" max="13870" width="7.28515625" style="209" customWidth="1"/>
    <col min="13871" max="13871" width="8.28515625" style="209" customWidth="1"/>
    <col min="13872" max="13872" width="11.5703125" style="209" customWidth="1"/>
    <col min="13873" max="14095" width="11.42578125" style="209"/>
    <col min="14096" max="14096" width="2" style="209" customWidth="1"/>
    <col min="14097" max="14097" width="18.140625" style="209" customWidth="1"/>
    <col min="14098" max="14098" width="13.5703125" style="209" customWidth="1"/>
    <col min="14099" max="14099" width="52" style="209" customWidth="1"/>
    <col min="14100" max="14101" width="6.5703125" style="209" customWidth="1"/>
    <col min="14102" max="14102" width="7.5703125" style="209" customWidth="1"/>
    <col min="14103" max="14103" width="7.42578125" style="209" customWidth="1"/>
    <col min="14104" max="14104" width="8.42578125" style="209" customWidth="1"/>
    <col min="14105" max="14105" width="7.28515625" style="209" customWidth="1"/>
    <col min="14106" max="14106" width="7.5703125" style="209" customWidth="1"/>
    <col min="14107" max="14107" width="7.7109375" style="209" customWidth="1"/>
    <col min="14108" max="14109" width="6.42578125" style="209" customWidth="1"/>
    <col min="14110" max="14110" width="7.28515625" style="209" customWidth="1"/>
    <col min="14111" max="14111" width="7.85546875" style="209" customWidth="1"/>
    <col min="14112" max="14112" width="6.42578125" style="209" customWidth="1"/>
    <col min="14113" max="14113" width="7.28515625" style="209" customWidth="1"/>
    <col min="14114" max="14114" width="7.5703125" style="209" customWidth="1"/>
    <col min="14115" max="14115" width="8" style="209" customWidth="1"/>
    <col min="14116" max="14117" width="6.42578125" style="209" customWidth="1"/>
    <col min="14118" max="14118" width="7.28515625" style="209" customWidth="1"/>
    <col min="14119" max="14119" width="8.28515625" style="209" customWidth="1"/>
    <col min="14120" max="14121" width="10.42578125" style="209" customWidth="1"/>
    <col min="14122" max="14122" width="7.28515625" style="209" customWidth="1"/>
    <col min="14123" max="14123" width="8.28515625" style="209" customWidth="1"/>
    <col min="14124" max="14125" width="10.42578125" style="209" customWidth="1"/>
    <col min="14126" max="14126" width="7.28515625" style="209" customWidth="1"/>
    <col min="14127" max="14127" width="8.28515625" style="209" customWidth="1"/>
    <col min="14128" max="14128" width="11.5703125" style="209" customWidth="1"/>
    <col min="14129" max="14351" width="11.42578125" style="209"/>
    <col min="14352" max="14352" width="2" style="209" customWidth="1"/>
    <col min="14353" max="14353" width="18.140625" style="209" customWidth="1"/>
    <col min="14354" max="14354" width="13.5703125" style="209" customWidth="1"/>
    <col min="14355" max="14355" width="52" style="209" customWidth="1"/>
    <col min="14356" max="14357" width="6.5703125" style="209" customWidth="1"/>
    <col min="14358" max="14358" width="7.5703125" style="209" customWidth="1"/>
    <col min="14359" max="14359" width="7.42578125" style="209" customWidth="1"/>
    <col min="14360" max="14360" width="8.42578125" style="209" customWidth="1"/>
    <col min="14361" max="14361" width="7.28515625" style="209" customWidth="1"/>
    <col min="14362" max="14362" width="7.5703125" style="209" customWidth="1"/>
    <col min="14363" max="14363" width="7.7109375" style="209" customWidth="1"/>
    <col min="14364" max="14365" width="6.42578125" style="209" customWidth="1"/>
    <col min="14366" max="14366" width="7.28515625" style="209" customWidth="1"/>
    <col min="14367" max="14367" width="7.85546875" style="209" customWidth="1"/>
    <col min="14368" max="14368" width="6.42578125" style="209" customWidth="1"/>
    <col min="14369" max="14369" width="7.28515625" style="209" customWidth="1"/>
    <col min="14370" max="14370" width="7.5703125" style="209" customWidth="1"/>
    <col min="14371" max="14371" width="8" style="209" customWidth="1"/>
    <col min="14372" max="14373" width="6.42578125" style="209" customWidth="1"/>
    <col min="14374" max="14374" width="7.28515625" style="209" customWidth="1"/>
    <col min="14375" max="14375" width="8.28515625" style="209" customWidth="1"/>
    <col min="14376" max="14377" width="10.42578125" style="209" customWidth="1"/>
    <col min="14378" max="14378" width="7.28515625" style="209" customWidth="1"/>
    <col min="14379" max="14379" width="8.28515625" style="209" customWidth="1"/>
    <col min="14380" max="14381" width="10.42578125" style="209" customWidth="1"/>
    <col min="14382" max="14382" width="7.28515625" style="209" customWidth="1"/>
    <col min="14383" max="14383" width="8.28515625" style="209" customWidth="1"/>
    <col min="14384" max="14384" width="11.5703125" style="209" customWidth="1"/>
    <col min="14385" max="14607" width="11.42578125" style="209"/>
    <col min="14608" max="14608" width="2" style="209" customWidth="1"/>
    <col min="14609" max="14609" width="18.140625" style="209" customWidth="1"/>
    <col min="14610" max="14610" width="13.5703125" style="209" customWidth="1"/>
    <col min="14611" max="14611" width="52" style="209" customWidth="1"/>
    <col min="14612" max="14613" width="6.5703125" style="209" customWidth="1"/>
    <col min="14614" max="14614" width="7.5703125" style="209" customWidth="1"/>
    <col min="14615" max="14615" width="7.42578125" style="209" customWidth="1"/>
    <col min="14616" max="14616" width="8.42578125" style="209" customWidth="1"/>
    <col min="14617" max="14617" width="7.28515625" style="209" customWidth="1"/>
    <col min="14618" max="14618" width="7.5703125" style="209" customWidth="1"/>
    <col min="14619" max="14619" width="7.7109375" style="209" customWidth="1"/>
    <col min="14620" max="14621" width="6.42578125" style="209" customWidth="1"/>
    <col min="14622" max="14622" width="7.28515625" style="209" customWidth="1"/>
    <col min="14623" max="14623" width="7.85546875" style="209" customWidth="1"/>
    <col min="14624" max="14624" width="6.42578125" style="209" customWidth="1"/>
    <col min="14625" max="14625" width="7.28515625" style="209" customWidth="1"/>
    <col min="14626" max="14626" width="7.5703125" style="209" customWidth="1"/>
    <col min="14627" max="14627" width="8" style="209" customWidth="1"/>
    <col min="14628" max="14629" width="6.42578125" style="209" customWidth="1"/>
    <col min="14630" max="14630" width="7.28515625" style="209" customWidth="1"/>
    <col min="14631" max="14631" width="8.28515625" style="209" customWidth="1"/>
    <col min="14632" max="14633" width="10.42578125" style="209" customWidth="1"/>
    <col min="14634" max="14634" width="7.28515625" style="209" customWidth="1"/>
    <col min="14635" max="14635" width="8.28515625" style="209" customWidth="1"/>
    <col min="14636" max="14637" width="10.42578125" style="209" customWidth="1"/>
    <col min="14638" max="14638" width="7.28515625" style="209" customWidth="1"/>
    <col min="14639" max="14639" width="8.28515625" style="209" customWidth="1"/>
    <col min="14640" max="14640" width="11.5703125" style="209" customWidth="1"/>
    <col min="14641" max="14863" width="11.42578125" style="209"/>
    <col min="14864" max="14864" width="2" style="209" customWidth="1"/>
    <col min="14865" max="14865" width="18.140625" style="209" customWidth="1"/>
    <col min="14866" max="14866" width="13.5703125" style="209" customWidth="1"/>
    <col min="14867" max="14867" width="52" style="209" customWidth="1"/>
    <col min="14868" max="14869" width="6.5703125" style="209" customWidth="1"/>
    <col min="14870" max="14870" width="7.5703125" style="209" customWidth="1"/>
    <col min="14871" max="14871" width="7.42578125" style="209" customWidth="1"/>
    <col min="14872" max="14872" width="8.42578125" style="209" customWidth="1"/>
    <col min="14873" max="14873" width="7.28515625" style="209" customWidth="1"/>
    <col min="14874" max="14874" width="7.5703125" style="209" customWidth="1"/>
    <col min="14875" max="14875" width="7.7109375" style="209" customWidth="1"/>
    <col min="14876" max="14877" width="6.42578125" style="209" customWidth="1"/>
    <col min="14878" max="14878" width="7.28515625" style="209" customWidth="1"/>
    <col min="14879" max="14879" width="7.85546875" style="209" customWidth="1"/>
    <col min="14880" max="14880" width="6.42578125" style="209" customWidth="1"/>
    <col min="14881" max="14881" width="7.28515625" style="209" customWidth="1"/>
    <col min="14882" max="14882" width="7.5703125" style="209" customWidth="1"/>
    <col min="14883" max="14883" width="8" style="209" customWidth="1"/>
    <col min="14884" max="14885" width="6.42578125" style="209" customWidth="1"/>
    <col min="14886" max="14886" width="7.28515625" style="209" customWidth="1"/>
    <col min="14887" max="14887" width="8.28515625" style="209" customWidth="1"/>
    <col min="14888" max="14889" width="10.42578125" style="209" customWidth="1"/>
    <col min="14890" max="14890" width="7.28515625" style="209" customWidth="1"/>
    <col min="14891" max="14891" width="8.28515625" style="209" customWidth="1"/>
    <col min="14892" max="14893" width="10.42578125" style="209" customWidth="1"/>
    <col min="14894" max="14894" width="7.28515625" style="209" customWidth="1"/>
    <col min="14895" max="14895" width="8.28515625" style="209" customWidth="1"/>
    <col min="14896" max="14896" width="11.5703125" style="209" customWidth="1"/>
    <col min="14897" max="15119" width="11.42578125" style="209"/>
    <col min="15120" max="15120" width="2" style="209" customWidth="1"/>
    <col min="15121" max="15121" width="18.140625" style="209" customWidth="1"/>
    <col min="15122" max="15122" width="13.5703125" style="209" customWidth="1"/>
    <col min="15123" max="15123" width="52" style="209" customWidth="1"/>
    <col min="15124" max="15125" width="6.5703125" style="209" customWidth="1"/>
    <col min="15126" max="15126" width="7.5703125" style="209" customWidth="1"/>
    <col min="15127" max="15127" width="7.42578125" style="209" customWidth="1"/>
    <col min="15128" max="15128" width="8.42578125" style="209" customWidth="1"/>
    <col min="15129" max="15129" width="7.28515625" style="209" customWidth="1"/>
    <col min="15130" max="15130" width="7.5703125" style="209" customWidth="1"/>
    <col min="15131" max="15131" width="7.7109375" style="209" customWidth="1"/>
    <col min="15132" max="15133" width="6.42578125" style="209" customWidth="1"/>
    <col min="15134" max="15134" width="7.28515625" style="209" customWidth="1"/>
    <col min="15135" max="15135" width="7.85546875" style="209" customWidth="1"/>
    <col min="15136" max="15136" width="6.42578125" style="209" customWidth="1"/>
    <col min="15137" max="15137" width="7.28515625" style="209" customWidth="1"/>
    <col min="15138" max="15138" width="7.5703125" style="209" customWidth="1"/>
    <col min="15139" max="15139" width="8" style="209" customWidth="1"/>
    <col min="15140" max="15141" width="6.42578125" style="209" customWidth="1"/>
    <col min="15142" max="15142" width="7.28515625" style="209" customWidth="1"/>
    <col min="15143" max="15143" width="8.28515625" style="209" customWidth="1"/>
    <col min="15144" max="15145" width="10.42578125" style="209" customWidth="1"/>
    <col min="15146" max="15146" width="7.28515625" style="209" customWidth="1"/>
    <col min="15147" max="15147" width="8.28515625" style="209" customWidth="1"/>
    <col min="15148" max="15149" width="10.42578125" style="209" customWidth="1"/>
    <col min="15150" max="15150" width="7.28515625" style="209" customWidth="1"/>
    <col min="15151" max="15151" width="8.28515625" style="209" customWidth="1"/>
    <col min="15152" max="15152" width="11.5703125" style="209" customWidth="1"/>
    <col min="15153" max="15375" width="11.42578125" style="209"/>
    <col min="15376" max="15376" width="2" style="209" customWidth="1"/>
    <col min="15377" max="15377" width="18.140625" style="209" customWidth="1"/>
    <col min="15378" max="15378" width="13.5703125" style="209" customWidth="1"/>
    <col min="15379" max="15379" width="52" style="209" customWidth="1"/>
    <col min="15380" max="15381" width="6.5703125" style="209" customWidth="1"/>
    <col min="15382" max="15382" width="7.5703125" style="209" customWidth="1"/>
    <col min="15383" max="15383" width="7.42578125" style="209" customWidth="1"/>
    <col min="15384" max="15384" width="8.42578125" style="209" customWidth="1"/>
    <col min="15385" max="15385" width="7.28515625" style="209" customWidth="1"/>
    <col min="15386" max="15386" width="7.5703125" style="209" customWidth="1"/>
    <col min="15387" max="15387" width="7.7109375" style="209" customWidth="1"/>
    <col min="15388" max="15389" width="6.42578125" style="209" customWidth="1"/>
    <col min="15390" max="15390" width="7.28515625" style="209" customWidth="1"/>
    <col min="15391" max="15391" width="7.85546875" style="209" customWidth="1"/>
    <col min="15392" max="15392" width="6.42578125" style="209" customWidth="1"/>
    <col min="15393" max="15393" width="7.28515625" style="209" customWidth="1"/>
    <col min="15394" max="15394" width="7.5703125" style="209" customWidth="1"/>
    <col min="15395" max="15395" width="8" style="209" customWidth="1"/>
    <col min="15396" max="15397" width="6.42578125" style="209" customWidth="1"/>
    <col min="15398" max="15398" width="7.28515625" style="209" customWidth="1"/>
    <col min="15399" max="15399" width="8.28515625" style="209" customWidth="1"/>
    <col min="15400" max="15401" width="10.42578125" style="209" customWidth="1"/>
    <col min="15402" max="15402" width="7.28515625" style="209" customWidth="1"/>
    <col min="15403" max="15403" width="8.28515625" style="209" customWidth="1"/>
    <col min="15404" max="15405" width="10.42578125" style="209" customWidth="1"/>
    <col min="15406" max="15406" width="7.28515625" style="209" customWidth="1"/>
    <col min="15407" max="15407" width="8.28515625" style="209" customWidth="1"/>
    <col min="15408" max="15408" width="11.5703125" style="209" customWidth="1"/>
    <col min="15409" max="15631" width="11.42578125" style="209"/>
    <col min="15632" max="15632" width="2" style="209" customWidth="1"/>
    <col min="15633" max="15633" width="18.140625" style="209" customWidth="1"/>
    <col min="15634" max="15634" width="13.5703125" style="209" customWidth="1"/>
    <col min="15635" max="15635" width="52" style="209" customWidth="1"/>
    <col min="15636" max="15637" width="6.5703125" style="209" customWidth="1"/>
    <col min="15638" max="15638" width="7.5703125" style="209" customWidth="1"/>
    <col min="15639" max="15639" width="7.42578125" style="209" customWidth="1"/>
    <col min="15640" max="15640" width="8.42578125" style="209" customWidth="1"/>
    <col min="15641" max="15641" width="7.28515625" style="209" customWidth="1"/>
    <col min="15642" max="15642" width="7.5703125" style="209" customWidth="1"/>
    <col min="15643" max="15643" width="7.7109375" style="209" customWidth="1"/>
    <col min="15644" max="15645" width="6.42578125" style="209" customWidth="1"/>
    <col min="15646" max="15646" width="7.28515625" style="209" customWidth="1"/>
    <col min="15647" max="15647" width="7.85546875" style="209" customWidth="1"/>
    <col min="15648" max="15648" width="6.42578125" style="209" customWidth="1"/>
    <col min="15649" max="15649" width="7.28515625" style="209" customWidth="1"/>
    <col min="15650" max="15650" width="7.5703125" style="209" customWidth="1"/>
    <col min="15651" max="15651" width="8" style="209" customWidth="1"/>
    <col min="15652" max="15653" width="6.42578125" style="209" customWidth="1"/>
    <col min="15654" max="15654" width="7.28515625" style="209" customWidth="1"/>
    <col min="15655" max="15655" width="8.28515625" style="209" customWidth="1"/>
    <col min="15656" max="15657" width="10.42578125" style="209" customWidth="1"/>
    <col min="15658" max="15658" width="7.28515625" style="209" customWidth="1"/>
    <col min="15659" max="15659" width="8.28515625" style="209" customWidth="1"/>
    <col min="15660" max="15661" width="10.42578125" style="209" customWidth="1"/>
    <col min="15662" max="15662" width="7.28515625" style="209" customWidth="1"/>
    <col min="15663" max="15663" width="8.28515625" style="209" customWidth="1"/>
    <col min="15664" max="15664" width="11.5703125" style="209" customWidth="1"/>
    <col min="15665" max="15887" width="11.42578125" style="209"/>
    <col min="15888" max="15888" width="2" style="209" customWidth="1"/>
    <col min="15889" max="15889" width="18.140625" style="209" customWidth="1"/>
    <col min="15890" max="15890" width="13.5703125" style="209" customWidth="1"/>
    <col min="15891" max="15891" width="52" style="209" customWidth="1"/>
    <col min="15892" max="15893" width="6.5703125" style="209" customWidth="1"/>
    <col min="15894" max="15894" width="7.5703125" style="209" customWidth="1"/>
    <col min="15895" max="15895" width="7.42578125" style="209" customWidth="1"/>
    <col min="15896" max="15896" width="8.42578125" style="209" customWidth="1"/>
    <col min="15897" max="15897" width="7.28515625" style="209" customWidth="1"/>
    <col min="15898" max="15898" width="7.5703125" style="209" customWidth="1"/>
    <col min="15899" max="15899" width="7.7109375" style="209" customWidth="1"/>
    <col min="15900" max="15901" width="6.42578125" style="209" customWidth="1"/>
    <col min="15902" max="15902" width="7.28515625" style="209" customWidth="1"/>
    <col min="15903" max="15903" width="7.85546875" style="209" customWidth="1"/>
    <col min="15904" max="15904" width="6.42578125" style="209" customWidth="1"/>
    <col min="15905" max="15905" width="7.28515625" style="209" customWidth="1"/>
    <col min="15906" max="15906" width="7.5703125" style="209" customWidth="1"/>
    <col min="15907" max="15907" width="8" style="209" customWidth="1"/>
    <col min="15908" max="15909" width="6.42578125" style="209" customWidth="1"/>
    <col min="15910" max="15910" width="7.28515625" style="209" customWidth="1"/>
    <col min="15911" max="15911" width="8.28515625" style="209" customWidth="1"/>
    <col min="15912" max="15913" width="10.42578125" style="209" customWidth="1"/>
    <col min="15914" max="15914" width="7.28515625" style="209" customWidth="1"/>
    <col min="15915" max="15915" width="8.28515625" style="209" customWidth="1"/>
    <col min="15916" max="15917" width="10.42578125" style="209" customWidth="1"/>
    <col min="15918" max="15918" width="7.28515625" style="209" customWidth="1"/>
    <col min="15919" max="15919" width="8.28515625" style="209" customWidth="1"/>
    <col min="15920" max="15920" width="11.5703125" style="209" customWidth="1"/>
    <col min="15921" max="16143" width="11.42578125" style="209"/>
    <col min="16144" max="16144" width="2" style="209" customWidth="1"/>
    <col min="16145" max="16145" width="18.140625" style="209" customWidth="1"/>
    <col min="16146" max="16146" width="13.5703125" style="209" customWidth="1"/>
    <col min="16147" max="16147" width="52" style="209" customWidth="1"/>
    <col min="16148" max="16149" width="6.5703125" style="209" customWidth="1"/>
    <col min="16150" max="16150" width="7.5703125" style="209" customWidth="1"/>
    <col min="16151" max="16151" width="7.42578125" style="209" customWidth="1"/>
    <col min="16152" max="16152" width="8.42578125" style="209" customWidth="1"/>
    <col min="16153" max="16153" width="7.28515625" style="209" customWidth="1"/>
    <col min="16154" max="16154" width="7.5703125" style="209" customWidth="1"/>
    <col min="16155" max="16155" width="7.7109375" style="209" customWidth="1"/>
    <col min="16156" max="16157" width="6.42578125" style="209" customWidth="1"/>
    <col min="16158" max="16158" width="7.28515625" style="209" customWidth="1"/>
    <col min="16159" max="16159" width="7.85546875" style="209" customWidth="1"/>
    <col min="16160" max="16160" width="6.42578125" style="209" customWidth="1"/>
    <col min="16161" max="16161" width="7.28515625" style="209" customWidth="1"/>
    <col min="16162" max="16162" width="7.5703125" style="209" customWidth="1"/>
    <col min="16163" max="16163" width="8" style="209" customWidth="1"/>
    <col min="16164" max="16165" width="6.42578125" style="209" customWidth="1"/>
    <col min="16166" max="16166" width="7.28515625" style="209" customWidth="1"/>
    <col min="16167" max="16167" width="8.28515625" style="209" customWidth="1"/>
    <col min="16168" max="16169" width="10.42578125" style="209" customWidth="1"/>
    <col min="16170" max="16170" width="7.28515625" style="209" customWidth="1"/>
    <col min="16171" max="16171" width="8.28515625" style="209" customWidth="1"/>
    <col min="16172" max="16173" width="10.42578125" style="209" customWidth="1"/>
    <col min="16174" max="16174" width="7.28515625" style="209" customWidth="1"/>
    <col min="16175" max="16175" width="8.28515625" style="209" customWidth="1"/>
    <col min="16176" max="16176" width="11.5703125" style="209" customWidth="1"/>
    <col min="16177" max="16384" width="11.42578125" style="209"/>
  </cols>
  <sheetData>
    <row r="1" spans="1:72" ht="20.25" x14ac:dyDescent="0.2">
      <c r="A1" s="191" t="s">
        <v>1297</v>
      </c>
      <c r="B1" s="191"/>
      <c r="C1" s="191"/>
      <c r="E1" s="638"/>
      <c r="F1" s="638"/>
      <c r="G1" s="638"/>
      <c r="H1" s="638"/>
      <c r="I1" s="638"/>
      <c r="J1" s="638"/>
      <c r="K1" s="638"/>
      <c r="L1" s="638"/>
      <c r="M1" s="638"/>
      <c r="N1" s="638"/>
      <c r="O1" s="638"/>
      <c r="P1" s="638"/>
      <c r="Q1" s="638"/>
      <c r="R1" s="638"/>
      <c r="S1" s="638"/>
      <c r="T1" s="638"/>
      <c r="U1" s="638"/>
      <c r="V1" s="638"/>
      <c r="W1" s="638"/>
      <c r="X1" s="638"/>
      <c r="Y1" s="638"/>
      <c r="Z1" s="638"/>
      <c r="AA1" s="638"/>
      <c r="AB1" s="638"/>
      <c r="AC1" s="638"/>
      <c r="AD1" s="638"/>
      <c r="AE1" s="638"/>
      <c r="AF1" s="638"/>
      <c r="AG1" s="638"/>
      <c r="AH1" s="638"/>
      <c r="AI1" s="638"/>
      <c r="AJ1" s="638"/>
      <c r="AK1" s="638"/>
      <c r="AL1" s="638"/>
      <c r="AM1" s="638"/>
      <c r="AN1" s="638"/>
      <c r="AO1" s="638"/>
      <c r="AP1" s="638"/>
      <c r="AQ1" s="638"/>
      <c r="AR1" s="638"/>
      <c r="AS1" s="638"/>
      <c r="AT1" s="638"/>
      <c r="AU1" s="638"/>
      <c r="AV1" s="638"/>
    </row>
    <row r="2" spans="1:72" ht="15.75" customHeight="1" x14ac:dyDescent="0.2"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  <c r="P2" s="589"/>
      <c r="Q2" s="589"/>
      <c r="R2" s="589"/>
      <c r="S2" s="589"/>
      <c r="T2" s="589"/>
      <c r="U2" s="589"/>
      <c r="V2" s="589"/>
      <c r="W2" s="589"/>
      <c r="X2" s="590"/>
      <c r="Y2" s="589"/>
      <c r="Z2" s="589"/>
      <c r="AA2" s="589"/>
      <c r="AB2" s="590"/>
      <c r="AC2" s="589"/>
      <c r="AD2" s="589"/>
      <c r="AE2" s="589"/>
      <c r="AF2" s="590"/>
      <c r="AG2" s="589"/>
      <c r="AH2" s="589"/>
      <c r="AI2" s="589"/>
      <c r="AJ2" s="590"/>
      <c r="AK2" s="589"/>
      <c r="AL2" s="589"/>
      <c r="AM2" s="589"/>
      <c r="AN2" s="590"/>
      <c r="AO2" s="589"/>
      <c r="AP2" s="589"/>
      <c r="AQ2" s="589"/>
      <c r="AR2" s="590"/>
      <c r="AS2" s="589"/>
      <c r="AT2" s="589"/>
      <c r="AU2" s="589"/>
      <c r="AV2" s="590"/>
    </row>
    <row r="3" spans="1:72" ht="12.75" customHeight="1" x14ac:dyDescent="0.2">
      <c r="A3" s="5106" t="s">
        <v>16</v>
      </c>
      <c r="B3" s="5106" t="s">
        <v>4</v>
      </c>
      <c r="C3" s="5020" t="s">
        <v>144</v>
      </c>
      <c r="D3" s="5106" t="s">
        <v>77</v>
      </c>
      <c r="E3" s="5490">
        <v>1999</v>
      </c>
      <c r="F3" s="5491"/>
      <c r="G3" s="5491"/>
      <c r="H3" s="5492"/>
      <c r="I3" s="5490">
        <v>2000</v>
      </c>
      <c r="J3" s="5491"/>
      <c r="K3" s="5491"/>
      <c r="L3" s="5492"/>
      <c r="M3" s="5490">
        <v>2001</v>
      </c>
      <c r="N3" s="5491"/>
      <c r="O3" s="5491"/>
      <c r="P3" s="5492"/>
      <c r="Q3" s="5490">
        <v>2002</v>
      </c>
      <c r="R3" s="5491"/>
      <c r="S3" s="5491"/>
      <c r="T3" s="5492"/>
      <c r="U3" s="5490">
        <v>2003</v>
      </c>
      <c r="V3" s="5491"/>
      <c r="W3" s="5491"/>
      <c r="X3" s="5492"/>
      <c r="Y3" s="5490">
        <v>2004</v>
      </c>
      <c r="Z3" s="5491"/>
      <c r="AA3" s="5491"/>
      <c r="AB3" s="5492"/>
      <c r="AC3" s="5490">
        <v>2005</v>
      </c>
      <c r="AD3" s="5491"/>
      <c r="AE3" s="5491"/>
      <c r="AF3" s="5492"/>
      <c r="AG3" s="5490">
        <v>2006</v>
      </c>
      <c r="AH3" s="5491"/>
      <c r="AI3" s="5491"/>
      <c r="AJ3" s="5492"/>
      <c r="AK3" s="5490">
        <v>2007</v>
      </c>
      <c r="AL3" s="5491"/>
      <c r="AM3" s="5491"/>
      <c r="AN3" s="5492"/>
      <c r="AO3" s="5490">
        <v>2008</v>
      </c>
      <c r="AP3" s="5491"/>
      <c r="AQ3" s="5491"/>
      <c r="AR3" s="5492"/>
      <c r="AS3" s="5490">
        <v>2009</v>
      </c>
      <c r="AT3" s="5491"/>
      <c r="AU3" s="5491"/>
      <c r="AV3" s="5492"/>
      <c r="AW3" s="5490">
        <v>2010</v>
      </c>
      <c r="AX3" s="5491"/>
      <c r="AY3" s="5491"/>
      <c r="AZ3" s="5492"/>
      <c r="BA3" s="5490">
        <v>2011</v>
      </c>
      <c r="BB3" s="5491"/>
      <c r="BC3" s="5491"/>
      <c r="BD3" s="5492"/>
      <c r="BE3" s="5490">
        <v>2012</v>
      </c>
      <c r="BF3" s="5491"/>
      <c r="BG3" s="5491"/>
      <c r="BH3" s="5492"/>
      <c r="BI3" s="5490">
        <v>2013</v>
      </c>
      <c r="BJ3" s="5491"/>
      <c r="BK3" s="5491"/>
      <c r="BL3" s="5492"/>
      <c r="BM3" s="5490">
        <v>2014</v>
      </c>
      <c r="BN3" s="5491"/>
      <c r="BO3" s="5491"/>
      <c r="BP3" s="5492"/>
      <c r="BQ3" s="5490">
        <v>2015</v>
      </c>
      <c r="BR3" s="5491"/>
      <c r="BS3" s="5491"/>
      <c r="BT3" s="5492"/>
    </row>
    <row r="4" spans="1:72" ht="15" x14ac:dyDescent="0.2">
      <c r="A4" s="5106"/>
      <c r="B4" s="5106"/>
      <c r="C4" s="5021"/>
      <c r="D4" s="5020"/>
      <c r="E4" s="1092" t="s">
        <v>523</v>
      </c>
      <c r="F4" s="1093" t="s">
        <v>524</v>
      </c>
      <c r="G4" s="1094" t="s">
        <v>525</v>
      </c>
      <c r="H4" s="1090" t="s">
        <v>160</v>
      </c>
      <c r="I4" s="1092" t="s">
        <v>523</v>
      </c>
      <c r="J4" s="1093" t="s">
        <v>524</v>
      </c>
      <c r="K4" s="1094" t="s">
        <v>525</v>
      </c>
      <c r="L4" s="1090" t="s">
        <v>160</v>
      </c>
      <c r="M4" s="1092" t="s">
        <v>523</v>
      </c>
      <c r="N4" s="1093" t="s">
        <v>524</v>
      </c>
      <c r="O4" s="1094" t="s">
        <v>525</v>
      </c>
      <c r="P4" s="1090" t="s">
        <v>160</v>
      </c>
      <c r="Q4" s="1092" t="s">
        <v>523</v>
      </c>
      <c r="R4" s="1093" t="s">
        <v>524</v>
      </c>
      <c r="S4" s="1094" t="s">
        <v>525</v>
      </c>
      <c r="T4" s="1090" t="s">
        <v>160</v>
      </c>
      <c r="U4" s="1092" t="s">
        <v>523</v>
      </c>
      <c r="V4" s="1093" t="s">
        <v>524</v>
      </c>
      <c r="W4" s="1094" t="s">
        <v>525</v>
      </c>
      <c r="X4" s="1090" t="s">
        <v>160</v>
      </c>
      <c r="Y4" s="1092" t="s">
        <v>523</v>
      </c>
      <c r="Z4" s="1093" t="s">
        <v>524</v>
      </c>
      <c r="AA4" s="1094" t="s">
        <v>525</v>
      </c>
      <c r="AB4" s="1090" t="s">
        <v>160</v>
      </c>
      <c r="AC4" s="1092" t="s">
        <v>523</v>
      </c>
      <c r="AD4" s="1093" t="s">
        <v>524</v>
      </c>
      <c r="AE4" s="1094" t="s">
        <v>525</v>
      </c>
      <c r="AF4" s="1090" t="s">
        <v>160</v>
      </c>
      <c r="AG4" s="1092" t="s">
        <v>523</v>
      </c>
      <c r="AH4" s="1093" t="s">
        <v>524</v>
      </c>
      <c r="AI4" s="1094" t="s">
        <v>525</v>
      </c>
      <c r="AJ4" s="1090" t="s">
        <v>160</v>
      </c>
      <c r="AK4" s="1092" t="s">
        <v>523</v>
      </c>
      <c r="AL4" s="1093" t="s">
        <v>524</v>
      </c>
      <c r="AM4" s="1094" t="s">
        <v>525</v>
      </c>
      <c r="AN4" s="1090" t="s">
        <v>160</v>
      </c>
      <c r="AO4" s="1092" t="s">
        <v>523</v>
      </c>
      <c r="AP4" s="1093" t="s">
        <v>524</v>
      </c>
      <c r="AQ4" s="1094" t="s">
        <v>525</v>
      </c>
      <c r="AR4" s="1090" t="s">
        <v>160</v>
      </c>
      <c r="AS4" s="1092" t="s">
        <v>523</v>
      </c>
      <c r="AT4" s="1093" t="s">
        <v>524</v>
      </c>
      <c r="AU4" s="1094" t="s">
        <v>525</v>
      </c>
      <c r="AV4" s="1090" t="s">
        <v>160</v>
      </c>
      <c r="AW4" s="1092" t="s">
        <v>523</v>
      </c>
      <c r="AX4" s="1093" t="s">
        <v>524</v>
      </c>
      <c r="AY4" s="1094" t="s">
        <v>525</v>
      </c>
      <c r="AZ4" s="1090" t="s">
        <v>160</v>
      </c>
      <c r="BA4" s="1092" t="s">
        <v>523</v>
      </c>
      <c r="BB4" s="1093" t="s">
        <v>524</v>
      </c>
      <c r="BC4" s="1094" t="s">
        <v>525</v>
      </c>
      <c r="BD4" s="1090" t="s">
        <v>160</v>
      </c>
      <c r="BE4" s="1092" t="s">
        <v>523</v>
      </c>
      <c r="BF4" s="1093" t="s">
        <v>524</v>
      </c>
      <c r="BG4" s="1094" t="s">
        <v>525</v>
      </c>
      <c r="BH4" s="1090" t="s">
        <v>160</v>
      </c>
      <c r="BI4" s="1480" t="s">
        <v>523</v>
      </c>
      <c r="BJ4" s="1481" t="s">
        <v>524</v>
      </c>
      <c r="BK4" s="1482" t="s">
        <v>525</v>
      </c>
      <c r="BL4" s="1090" t="s">
        <v>160</v>
      </c>
      <c r="BM4" s="2168" t="s">
        <v>523</v>
      </c>
      <c r="BN4" s="2169" t="s">
        <v>524</v>
      </c>
      <c r="BO4" s="2170" t="s">
        <v>525</v>
      </c>
      <c r="BP4" s="1090" t="s">
        <v>160</v>
      </c>
      <c r="BQ4" s="4363" t="s">
        <v>523</v>
      </c>
      <c r="BR4" s="4364" t="s">
        <v>524</v>
      </c>
      <c r="BS4" s="4365" t="s">
        <v>525</v>
      </c>
      <c r="BT4" s="1090" t="s">
        <v>160</v>
      </c>
    </row>
    <row r="5" spans="1:72" s="212" customFormat="1" ht="15" x14ac:dyDescent="0.25">
      <c r="A5" s="5457" t="s">
        <v>446</v>
      </c>
      <c r="B5" s="5457" t="s">
        <v>5</v>
      </c>
      <c r="C5" s="1575" t="s">
        <v>528</v>
      </c>
      <c r="D5" s="4377" t="s">
        <v>570</v>
      </c>
      <c r="E5" s="1145">
        <v>22</v>
      </c>
      <c r="F5" s="1146"/>
      <c r="G5" s="1146">
        <v>12</v>
      </c>
      <c r="H5" s="1147">
        <v>34</v>
      </c>
      <c r="I5" s="1145">
        <v>26</v>
      </c>
      <c r="J5" s="1146"/>
      <c r="K5" s="1146">
        <v>19</v>
      </c>
      <c r="L5" s="1147">
        <v>45</v>
      </c>
      <c r="M5" s="1145"/>
      <c r="N5" s="1146">
        <v>5</v>
      </c>
      <c r="O5" s="1146">
        <v>10</v>
      </c>
      <c r="P5" s="1147">
        <v>15</v>
      </c>
      <c r="Q5" s="1145">
        <v>3</v>
      </c>
      <c r="R5" s="1146"/>
      <c r="S5" s="1146"/>
      <c r="T5" s="1147">
        <v>3</v>
      </c>
      <c r="U5" s="1145"/>
      <c r="V5" s="1146"/>
      <c r="W5" s="1146"/>
      <c r="X5" s="1147"/>
      <c r="Y5" s="1146"/>
      <c r="Z5" s="1146"/>
      <c r="AA5" s="1146"/>
      <c r="AB5" s="1147"/>
      <c r="AC5" s="1146"/>
      <c r="AD5" s="1146"/>
      <c r="AE5" s="1146"/>
      <c r="AF5" s="1147"/>
      <c r="AG5" s="1146"/>
      <c r="AH5" s="1146"/>
      <c r="AI5" s="1146"/>
      <c r="AJ5" s="1147"/>
      <c r="AK5" s="1146"/>
      <c r="AL5" s="1146"/>
      <c r="AM5" s="1146"/>
      <c r="AN5" s="1147"/>
      <c r="AO5" s="1146"/>
      <c r="AP5" s="1146"/>
      <c r="AQ5" s="1146"/>
      <c r="AR5" s="1147"/>
      <c r="AS5" s="1146"/>
      <c r="AT5" s="1146"/>
      <c r="AU5" s="1146"/>
      <c r="AV5" s="1147"/>
      <c r="AW5" s="1146"/>
      <c r="AX5" s="1146"/>
      <c r="AY5" s="1146"/>
      <c r="AZ5" s="1147"/>
      <c r="BA5" s="1146"/>
      <c r="BB5" s="1146"/>
      <c r="BC5" s="1146"/>
      <c r="BD5" s="1147"/>
      <c r="BE5" s="1146"/>
      <c r="BF5" s="1146"/>
      <c r="BG5" s="1146"/>
      <c r="BH5" s="1147"/>
      <c r="BI5" s="1146"/>
      <c r="BJ5" s="1146"/>
      <c r="BK5" s="1146"/>
      <c r="BL5" s="1147"/>
      <c r="BM5" s="1146"/>
      <c r="BN5" s="1146"/>
      <c r="BO5" s="1146"/>
      <c r="BP5" s="1147">
        <f>SUM(BM5:BO5)</f>
        <v>0</v>
      </c>
      <c r="BQ5" s="1146"/>
      <c r="BR5" s="1146"/>
      <c r="BS5" s="1146"/>
      <c r="BT5" s="1147">
        <f>SUM(BQ5:BS5)</f>
        <v>0</v>
      </c>
    </row>
    <row r="6" spans="1:72" s="212" customFormat="1" ht="15" x14ac:dyDescent="0.25">
      <c r="A6" s="5458"/>
      <c r="B6" s="5458"/>
      <c r="C6" s="5457" t="s">
        <v>527</v>
      </c>
      <c r="D6" s="1148" t="s">
        <v>571</v>
      </c>
      <c r="E6" s="1149">
        <v>19</v>
      </c>
      <c r="F6" s="1150"/>
      <c r="G6" s="1150">
        <v>6</v>
      </c>
      <c r="H6" s="1151">
        <v>25</v>
      </c>
      <c r="I6" s="1149">
        <v>24</v>
      </c>
      <c r="J6" s="1150"/>
      <c r="K6" s="1150">
        <v>23</v>
      </c>
      <c r="L6" s="1151">
        <v>47</v>
      </c>
      <c r="M6" s="1149">
        <v>1</v>
      </c>
      <c r="N6" s="1150">
        <v>5</v>
      </c>
      <c r="O6" s="1150">
        <v>14</v>
      </c>
      <c r="P6" s="1151">
        <v>20</v>
      </c>
      <c r="Q6" s="1149">
        <v>5</v>
      </c>
      <c r="R6" s="1150"/>
      <c r="S6" s="1150">
        <v>8</v>
      </c>
      <c r="T6" s="1151">
        <v>13</v>
      </c>
      <c r="U6" s="1149">
        <v>15</v>
      </c>
      <c r="V6" s="1150"/>
      <c r="W6" s="1150">
        <v>7</v>
      </c>
      <c r="X6" s="1151">
        <f>SUM(U6:W6)</f>
        <v>22</v>
      </c>
      <c r="Y6" s="1150">
        <v>7</v>
      </c>
      <c r="Z6" s="1150">
        <v>5</v>
      </c>
      <c r="AA6" s="1150">
        <v>15</v>
      </c>
      <c r="AB6" s="1151">
        <f>SUM(Y6:AA6)</f>
        <v>27</v>
      </c>
      <c r="AC6" s="1150">
        <v>9</v>
      </c>
      <c r="AD6" s="1150"/>
      <c r="AE6" s="1150">
        <v>15</v>
      </c>
      <c r="AF6" s="1151">
        <f>SUM(AC6:AE6)</f>
        <v>24</v>
      </c>
      <c r="AG6" s="1150">
        <v>14</v>
      </c>
      <c r="AH6" s="1150"/>
      <c r="AI6" s="1150">
        <v>12</v>
      </c>
      <c r="AJ6" s="1151">
        <f>SUM(AG6:AI6)</f>
        <v>26</v>
      </c>
      <c r="AK6" s="1150">
        <v>2</v>
      </c>
      <c r="AL6" s="1150">
        <v>6</v>
      </c>
      <c r="AM6" s="1150">
        <v>1</v>
      </c>
      <c r="AN6" s="1151">
        <f>SUM(AK6:AM6)</f>
        <v>9</v>
      </c>
      <c r="AO6" s="1150">
        <v>2</v>
      </c>
      <c r="AP6" s="1150"/>
      <c r="AQ6" s="1150">
        <v>21</v>
      </c>
      <c r="AR6" s="1151">
        <f>SUM(AO6:AQ6)</f>
        <v>23</v>
      </c>
      <c r="AS6" s="1150">
        <v>9</v>
      </c>
      <c r="AT6" s="1150" t="s">
        <v>227</v>
      </c>
      <c r="AU6" s="1150">
        <v>19</v>
      </c>
      <c r="AV6" s="1151">
        <f>SUM(AS6:AU6)</f>
        <v>28</v>
      </c>
      <c r="AW6" s="1150">
        <v>9</v>
      </c>
      <c r="AX6" s="1150"/>
      <c r="AY6" s="1150">
        <v>7</v>
      </c>
      <c r="AZ6" s="1151">
        <f>AW6+AX6+AY6</f>
        <v>16</v>
      </c>
      <c r="BA6" s="1150">
        <v>3</v>
      </c>
      <c r="BB6" s="1150"/>
      <c r="BC6" s="1150">
        <v>10</v>
      </c>
      <c r="BD6" s="1151">
        <f>BA6+BB6+BC6</f>
        <v>13</v>
      </c>
      <c r="BE6" s="1150">
        <v>8</v>
      </c>
      <c r="BF6" s="1150"/>
      <c r="BG6" s="1150">
        <v>11</v>
      </c>
      <c r="BH6" s="1151">
        <f>BE6+BF6+BG6</f>
        <v>19</v>
      </c>
      <c r="BI6" s="1150">
        <v>11</v>
      </c>
      <c r="BJ6" s="1150"/>
      <c r="BK6" s="1150">
        <v>22</v>
      </c>
      <c r="BL6" s="1151">
        <f>BI6+BJ6+BK6</f>
        <v>33</v>
      </c>
      <c r="BM6" s="1150">
        <v>15</v>
      </c>
      <c r="BN6" s="1150"/>
      <c r="BO6" s="1150">
        <v>27</v>
      </c>
      <c r="BP6" s="1151">
        <f>BM6+BN6+BO6</f>
        <v>42</v>
      </c>
      <c r="BQ6" s="1150">
        <v>7</v>
      </c>
      <c r="BR6" s="1150"/>
      <c r="BS6" s="1150">
        <v>18</v>
      </c>
      <c r="BT6" s="1151">
        <f>BQ6+BR6+BS6</f>
        <v>25</v>
      </c>
    </row>
    <row r="7" spans="1:72" s="212" customFormat="1" ht="15" x14ac:dyDescent="0.25">
      <c r="A7" s="5458"/>
      <c r="B7" s="5458"/>
      <c r="C7" s="5458"/>
      <c r="D7" s="1152" t="s">
        <v>136</v>
      </c>
      <c r="E7" s="1149"/>
      <c r="F7" s="1150"/>
      <c r="G7" s="1150"/>
      <c r="H7" s="1151"/>
      <c r="I7" s="1149"/>
      <c r="J7" s="1150"/>
      <c r="K7" s="1150"/>
      <c r="L7" s="1151"/>
      <c r="M7" s="1149"/>
      <c r="N7" s="1150"/>
      <c r="O7" s="1150">
        <v>8</v>
      </c>
      <c r="P7" s="1151">
        <v>8</v>
      </c>
      <c r="Q7" s="1149"/>
      <c r="R7" s="1150"/>
      <c r="S7" s="1150">
        <v>7</v>
      </c>
      <c r="T7" s="1151">
        <v>7</v>
      </c>
      <c r="U7" s="1149"/>
      <c r="V7" s="1150"/>
      <c r="W7" s="1150">
        <v>4</v>
      </c>
      <c r="X7" s="1151">
        <f>SUM(U7:W7)</f>
        <v>4</v>
      </c>
      <c r="Y7" s="1150"/>
      <c r="Z7" s="1150"/>
      <c r="AA7" s="1150">
        <v>9</v>
      </c>
      <c r="AB7" s="1151">
        <f>SUM(Y7:AA7)</f>
        <v>9</v>
      </c>
      <c r="AC7" s="1150"/>
      <c r="AD7" s="1150"/>
      <c r="AE7" s="1150">
        <v>10</v>
      </c>
      <c r="AF7" s="1151">
        <f>SUM(AC7:AE7)</f>
        <v>10</v>
      </c>
      <c r="AG7" s="1150"/>
      <c r="AH7" s="1150"/>
      <c r="AI7" s="1150">
        <v>3</v>
      </c>
      <c r="AJ7" s="1151">
        <f>SUM(AG7:AI7)</f>
        <v>3</v>
      </c>
      <c r="AK7" s="1150">
        <v>2</v>
      </c>
      <c r="AL7" s="1150"/>
      <c r="AM7" s="1150">
        <v>9</v>
      </c>
      <c r="AN7" s="1151">
        <f>SUM(AK7:AM7)</f>
        <v>11</v>
      </c>
      <c r="AO7" s="1153"/>
      <c r="AP7" s="1153"/>
      <c r="AQ7" s="1153">
        <v>5</v>
      </c>
      <c r="AR7" s="1151">
        <f>SUM(AO7:AQ7)</f>
        <v>5</v>
      </c>
      <c r="AS7" s="1153" t="s">
        <v>227</v>
      </c>
      <c r="AT7" s="1153" t="s">
        <v>227</v>
      </c>
      <c r="AU7" s="1153">
        <v>6</v>
      </c>
      <c r="AV7" s="1151">
        <f>SUM(AS7:AU7)</f>
        <v>6</v>
      </c>
      <c r="AW7" s="1153">
        <v>2</v>
      </c>
      <c r="AX7" s="1153"/>
      <c r="AY7" s="1153">
        <v>13</v>
      </c>
      <c r="AZ7" s="1151">
        <f>AW7+AX7+AY7</f>
        <v>15</v>
      </c>
      <c r="BA7" s="1153"/>
      <c r="BB7" s="1153"/>
      <c r="BC7" s="1153">
        <v>16</v>
      </c>
      <c r="BD7" s="1151">
        <f>BA7+BB7+BC7</f>
        <v>16</v>
      </c>
      <c r="BE7" s="1153"/>
      <c r="BF7" s="1153"/>
      <c r="BG7" s="1153">
        <v>10</v>
      </c>
      <c r="BH7" s="1151">
        <f>BE7+BF7+BG7</f>
        <v>10</v>
      </c>
      <c r="BI7" s="1153"/>
      <c r="BJ7" s="1153"/>
      <c r="BK7" s="1153">
        <v>14</v>
      </c>
      <c r="BL7" s="1151">
        <f>BI7+BJ7+BK7</f>
        <v>14</v>
      </c>
      <c r="BM7" s="1153"/>
      <c r="BN7" s="1153"/>
      <c r="BO7" s="1153">
        <v>18</v>
      </c>
      <c r="BP7" s="1151">
        <f>BM7+BN7+BO7</f>
        <v>18</v>
      </c>
      <c r="BQ7" s="1153"/>
      <c r="BR7" s="1153"/>
      <c r="BS7" s="1153">
        <v>16</v>
      </c>
      <c r="BT7" s="1151">
        <f>BQ7+BR7+BS7</f>
        <v>16</v>
      </c>
    </row>
    <row r="8" spans="1:72" s="212" customFormat="1" ht="15" x14ac:dyDescent="0.25">
      <c r="A8" s="5458"/>
      <c r="B8" s="5458"/>
      <c r="C8" s="5458"/>
      <c r="D8" s="1152" t="s">
        <v>135</v>
      </c>
      <c r="E8" s="1149"/>
      <c r="F8" s="1150">
        <v>14</v>
      </c>
      <c r="G8" s="1150">
        <v>12</v>
      </c>
      <c r="H8" s="1151">
        <v>26</v>
      </c>
      <c r="I8" s="1149">
        <v>7</v>
      </c>
      <c r="J8" s="1150">
        <v>10</v>
      </c>
      <c r="K8" s="1150">
        <v>9</v>
      </c>
      <c r="L8" s="1151">
        <v>26</v>
      </c>
      <c r="M8" s="1149">
        <v>1</v>
      </c>
      <c r="N8" s="1150">
        <v>6</v>
      </c>
      <c r="O8" s="1150">
        <v>17</v>
      </c>
      <c r="P8" s="1151">
        <v>24</v>
      </c>
      <c r="Q8" s="1149"/>
      <c r="R8" s="1150">
        <v>4</v>
      </c>
      <c r="S8" s="1150">
        <v>8</v>
      </c>
      <c r="T8" s="1151">
        <v>12</v>
      </c>
      <c r="U8" s="1149"/>
      <c r="V8" s="1150">
        <v>4</v>
      </c>
      <c r="W8" s="1150">
        <v>6</v>
      </c>
      <c r="X8" s="1151">
        <f>SUM(U8:W8)</f>
        <v>10</v>
      </c>
      <c r="Y8" s="1150"/>
      <c r="Z8" s="1150"/>
      <c r="AA8" s="1150"/>
      <c r="AB8" s="1151"/>
      <c r="AC8" s="1150"/>
      <c r="AD8" s="1150"/>
      <c r="AE8" s="1150">
        <v>4</v>
      </c>
      <c r="AF8" s="1151">
        <f>SUM(AC8:AE8)</f>
        <v>4</v>
      </c>
      <c r="AG8" s="1150">
        <v>3</v>
      </c>
      <c r="AH8" s="1150"/>
      <c r="AI8" s="1150"/>
      <c r="AJ8" s="1151">
        <f>SUM(AG8:AI8)</f>
        <v>3</v>
      </c>
      <c r="AK8" s="1150"/>
      <c r="AL8" s="1150"/>
      <c r="AM8" s="1150"/>
      <c r="AN8" s="1151"/>
      <c r="AO8" s="1150"/>
      <c r="AP8" s="1150"/>
      <c r="AQ8" s="1150">
        <v>6</v>
      </c>
      <c r="AR8" s="1151">
        <f>SUM(AO8:AQ8)</f>
        <v>6</v>
      </c>
      <c r="AS8" s="1150">
        <v>3</v>
      </c>
      <c r="AT8" s="1150" t="s">
        <v>227</v>
      </c>
      <c r="AU8" s="1150">
        <v>7</v>
      </c>
      <c r="AV8" s="1151">
        <f>SUM(AS8:AU8)</f>
        <v>10</v>
      </c>
      <c r="AW8" s="1150">
        <v>7</v>
      </c>
      <c r="AX8" s="1150"/>
      <c r="AY8" s="1150">
        <v>5</v>
      </c>
      <c r="AZ8" s="1151">
        <f>AW8+AX8+AY8</f>
        <v>12</v>
      </c>
      <c r="BA8" s="1150">
        <v>3</v>
      </c>
      <c r="BB8" s="1150"/>
      <c r="BC8" s="1150"/>
      <c r="BD8" s="1151">
        <f>BA8+BB8+BC8</f>
        <v>3</v>
      </c>
      <c r="BE8" s="1150"/>
      <c r="BF8" s="1150"/>
      <c r="BG8" s="1150"/>
      <c r="BH8" s="1151"/>
      <c r="BI8" s="1150"/>
      <c r="BJ8" s="1150"/>
      <c r="BK8" s="1150"/>
      <c r="BL8" s="1151">
        <f>BI8+BJ8+BK8</f>
        <v>0</v>
      </c>
      <c r="BM8" s="1150"/>
      <c r="BN8" s="1150"/>
      <c r="BO8" s="1150"/>
      <c r="BP8" s="1151">
        <f>BM8+BN8+BO8</f>
        <v>0</v>
      </c>
      <c r="BQ8" s="1150">
        <v>2</v>
      </c>
      <c r="BR8" s="1150"/>
      <c r="BS8" s="1150">
        <v>4</v>
      </c>
      <c r="BT8" s="1151">
        <f>BQ8+BR8+BS8</f>
        <v>6</v>
      </c>
    </row>
    <row r="9" spans="1:72" s="212" customFormat="1" ht="15" x14ac:dyDescent="0.25">
      <c r="A9" s="5458"/>
      <c r="B9" s="5458"/>
      <c r="C9" s="5458"/>
      <c r="D9" s="1152" t="s">
        <v>412</v>
      </c>
      <c r="E9" s="1149"/>
      <c r="F9" s="1150"/>
      <c r="G9" s="1150"/>
      <c r="H9" s="1151"/>
      <c r="I9" s="1149"/>
      <c r="J9" s="1150"/>
      <c r="K9" s="1150"/>
      <c r="L9" s="1151"/>
      <c r="M9" s="1149"/>
      <c r="N9" s="1150"/>
      <c r="O9" s="1150"/>
      <c r="P9" s="1151"/>
      <c r="Q9" s="1149"/>
      <c r="R9" s="1150"/>
      <c r="S9" s="1150"/>
      <c r="T9" s="1151"/>
      <c r="U9" s="1149"/>
      <c r="V9" s="1150"/>
      <c r="W9" s="1150"/>
      <c r="X9" s="1151"/>
      <c r="Y9" s="1150"/>
      <c r="Z9" s="1150"/>
      <c r="AA9" s="1150"/>
      <c r="AB9" s="1151"/>
      <c r="AC9" s="1150"/>
      <c r="AD9" s="1150"/>
      <c r="AE9" s="1150"/>
      <c r="AF9" s="1151"/>
      <c r="AG9" s="1150"/>
      <c r="AH9" s="1150"/>
      <c r="AI9" s="1150"/>
      <c r="AJ9" s="1151"/>
      <c r="AK9" s="1150"/>
      <c r="AL9" s="1150"/>
      <c r="AM9" s="1150"/>
      <c r="AN9" s="1151"/>
      <c r="AO9" s="1150"/>
      <c r="AP9" s="1150"/>
      <c r="AQ9" s="1150"/>
      <c r="AR9" s="1151"/>
      <c r="AS9" s="1150"/>
      <c r="AT9" s="1150"/>
      <c r="AU9" s="1150"/>
      <c r="AV9" s="1151"/>
      <c r="AW9" s="1150"/>
      <c r="AX9" s="1150"/>
      <c r="AY9" s="1150"/>
      <c r="AZ9" s="1151"/>
      <c r="BA9" s="1150"/>
      <c r="BB9" s="1150"/>
      <c r="BC9" s="1150"/>
      <c r="BD9" s="1151"/>
      <c r="BE9" s="1150"/>
      <c r="BF9" s="1150">
        <v>7</v>
      </c>
      <c r="BG9" s="1150">
        <v>5</v>
      </c>
      <c r="BH9" s="1151">
        <f>SUM(BE9:BG9)</f>
        <v>12</v>
      </c>
      <c r="BI9" s="1150">
        <v>6</v>
      </c>
      <c r="BJ9" s="1150"/>
      <c r="BK9" s="1150">
        <v>6</v>
      </c>
      <c r="BL9" s="1151">
        <f>SUM(BI9:BK9)</f>
        <v>12</v>
      </c>
      <c r="BM9" s="1150">
        <v>8</v>
      </c>
      <c r="BN9" s="1150"/>
      <c r="BO9" s="1150">
        <v>7</v>
      </c>
      <c r="BP9" s="1151">
        <f>SUM(BM9:BO9)</f>
        <v>15</v>
      </c>
      <c r="BQ9" s="1150">
        <v>8</v>
      </c>
      <c r="BR9" s="1150"/>
      <c r="BS9" s="1150">
        <v>8</v>
      </c>
      <c r="BT9" s="1151">
        <f>SUM(BQ9:BS9)</f>
        <v>16</v>
      </c>
    </row>
    <row r="10" spans="1:72" s="212" customFormat="1" ht="15" x14ac:dyDescent="0.25">
      <c r="A10" s="5458"/>
      <c r="B10" s="5458"/>
      <c r="C10" s="5460"/>
      <c r="D10" s="1152" t="s">
        <v>413</v>
      </c>
      <c r="E10" s="1149"/>
      <c r="F10" s="1150"/>
      <c r="G10" s="1150"/>
      <c r="H10" s="1151"/>
      <c r="I10" s="1149"/>
      <c r="J10" s="1150"/>
      <c r="K10" s="1150"/>
      <c r="L10" s="1151"/>
      <c r="M10" s="1149"/>
      <c r="N10" s="1150"/>
      <c r="O10" s="1150"/>
      <c r="P10" s="1151"/>
      <c r="Q10" s="1149"/>
      <c r="R10" s="1150"/>
      <c r="S10" s="1150"/>
      <c r="T10" s="1151"/>
      <c r="U10" s="1149"/>
      <c r="V10" s="1150"/>
      <c r="W10" s="1150"/>
      <c r="X10" s="1151"/>
      <c r="Y10" s="1150"/>
      <c r="Z10" s="1150"/>
      <c r="AA10" s="1150"/>
      <c r="AB10" s="1151"/>
      <c r="AC10" s="1150"/>
      <c r="AD10" s="1150"/>
      <c r="AE10" s="1150"/>
      <c r="AF10" s="1151"/>
      <c r="AG10" s="1150"/>
      <c r="AH10" s="1150"/>
      <c r="AI10" s="1150"/>
      <c r="AJ10" s="1151"/>
      <c r="AK10" s="1150"/>
      <c r="AL10" s="1150"/>
      <c r="AM10" s="1150"/>
      <c r="AN10" s="1151"/>
      <c r="AO10" s="1150"/>
      <c r="AP10" s="1150"/>
      <c r="AQ10" s="1150"/>
      <c r="AR10" s="1151"/>
      <c r="AS10" s="1150"/>
      <c r="AT10" s="1150"/>
      <c r="AU10" s="1150"/>
      <c r="AV10" s="1151"/>
      <c r="AW10" s="1150"/>
      <c r="AX10" s="1150"/>
      <c r="AY10" s="1150"/>
      <c r="AZ10" s="1151"/>
      <c r="BA10" s="1150"/>
      <c r="BB10" s="1150"/>
      <c r="BC10" s="1150"/>
      <c r="BD10" s="1151"/>
      <c r="BE10" s="1150"/>
      <c r="BF10" s="1150">
        <v>1</v>
      </c>
      <c r="BG10" s="1150">
        <v>3</v>
      </c>
      <c r="BH10" s="1151">
        <f>SUM(BE10:BG10)</f>
        <v>4</v>
      </c>
      <c r="BI10" s="1150"/>
      <c r="BJ10" s="1150"/>
      <c r="BK10" s="1150">
        <v>4</v>
      </c>
      <c r="BL10" s="1151">
        <f>SUM(BI10:BK10)</f>
        <v>4</v>
      </c>
      <c r="BM10" s="1150"/>
      <c r="BN10" s="1150"/>
      <c r="BO10" s="1150">
        <v>3</v>
      </c>
      <c r="BP10" s="1151">
        <f>SUM(BM10:BO10)</f>
        <v>3</v>
      </c>
      <c r="BQ10" s="1150">
        <v>2</v>
      </c>
      <c r="BR10" s="1150"/>
      <c r="BS10" s="1150">
        <v>3</v>
      </c>
      <c r="BT10" s="1151">
        <f>SUM(BQ10:BS10)</f>
        <v>5</v>
      </c>
    </row>
    <row r="11" spans="1:72" s="212" customFormat="1" ht="13.5" customHeight="1" x14ac:dyDescent="0.25">
      <c r="A11" s="5458"/>
      <c r="B11" s="5458"/>
      <c r="C11" s="5457" t="s">
        <v>526</v>
      </c>
      <c r="D11" s="1148" t="s">
        <v>572</v>
      </c>
      <c r="E11" s="1149"/>
      <c r="F11" s="1150">
        <v>1</v>
      </c>
      <c r="G11" s="1150">
        <v>1</v>
      </c>
      <c r="H11" s="1151">
        <v>2</v>
      </c>
      <c r="I11" s="1149">
        <v>4</v>
      </c>
      <c r="J11" s="1150">
        <v>3</v>
      </c>
      <c r="K11" s="1150">
        <v>2</v>
      </c>
      <c r="L11" s="1151">
        <v>9</v>
      </c>
      <c r="M11" s="1149">
        <v>3</v>
      </c>
      <c r="N11" s="1150"/>
      <c r="O11" s="1150">
        <v>4</v>
      </c>
      <c r="P11" s="1151">
        <v>7</v>
      </c>
      <c r="Q11" s="1149">
        <v>3</v>
      </c>
      <c r="R11" s="1150">
        <v>2</v>
      </c>
      <c r="S11" s="1150">
        <v>1</v>
      </c>
      <c r="T11" s="1151">
        <v>6</v>
      </c>
      <c r="U11" s="1149">
        <v>2</v>
      </c>
      <c r="V11" s="1150">
        <v>1</v>
      </c>
      <c r="W11" s="1150">
        <v>3</v>
      </c>
      <c r="X11" s="1151">
        <f>SUM(U11:W11)</f>
        <v>6</v>
      </c>
      <c r="Y11" s="1150">
        <v>1</v>
      </c>
      <c r="Z11" s="1150">
        <v>2</v>
      </c>
      <c r="AA11" s="1150">
        <v>1</v>
      </c>
      <c r="AB11" s="1151">
        <f>SUM(Y11:AA11)</f>
        <v>4</v>
      </c>
      <c r="AC11" s="1150">
        <v>1</v>
      </c>
      <c r="AD11" s="1150"/>
      <c r="AE11" s="1150">
        <v>3</v>
      </c>
      <c r="AF11" s="1151">
        <f>SUM(AC11:AE11)</f>
        <v>4</v>
      </c>
      <c r="AG11" s="1150"/>
      <c r="AH11" s="1150">
        <v>1</v>
      </c>
      <c r="AI11" s="1150">
        <v>2</v>
      </c>
      <c r="AJ11" s="1151">
        <f>SUM(AG11:AI11)</f>
        <v>3</v>
      </c>
      <c r="AK11" s="1150">
        <v>5</v>
      </c>
      <c r="AL11" s="1150">
        <v>4</v>
      </c>
      <c r="AM11" s="1150">
        <v>2</v>
      </c>
      <c r="AN11" s="1151">
        <f>SUM(AK11:AM11)</f>
        <v>11</v>
      </c>
      <c r="AO11" s="1150"/>
      <c r="AP11" s="1150">
        <v>2</v>
      </c>
      <c r="AQ11" s="1150">
        <v>1</v>
      </c>
      <c r="AR11" s="1151">
        <f>SUM(AO11:AQ11)</f>
        <v>3</v>
      </c>
      <c r="AS11" s="1150">
        <v>2</v>
      </c>
      <c r="AT11" s="1150" t="s">
        <v>227</v>
      </c>
      <c r="AU11" s="1150">
        <v>1</v>
      </c>
      <c r="AV11" s="1151">
        <f>SUM(AS11:AU11)</f>
        <v>3</v>
      </c>
      <c r="AW11" s="1150">
        <v>2</v>
      </c>
      <c r="AX11" s="1150">
        <v>1</v>
      </c>
      <c r="AY11" s="1150"/>
      <c r="AZ11" s="1151">
        <f>AW11+AX11+AY11</f>
        <v>3</v>
      </c>
      <c r="BA11" s="1150">
        <v>2</v>
      </c>
      <c r="BB11" s="1150">
        <v>4</v>
      </c>
      <c r="BC11" s="1150">
        <v>1</v>
      </c>
      <c r="BD11" s="1151">
        <f>BA11+BB11+BC11</f>
        <v>7</v>
      </c>
      <c r="BE11" s="1150">
        <v>1</v>
      </c>
      <c r="BF11" s="1150"/>
      <c r="BG11" s="1150">
        <v>4</v>
      </c>
      <c r="BH11" s="1151">
        <f>BE11+BF11+BG11</f>
        <v>5</v>
      </c>
      <c r="BI11" s="1150">
        <v>1</v>
      </c>
      <c r="BJ11" s="1150">
        <v>2</v>
      </c>
      <c r="BK11" s="1150">
        <v>2</v>
      </c>
      <c r="BL11" s="1151">
        <f>BI11+BJ11+BK11</f>
        <v>5</v>
      </c>
      <c r="BM11" s="1150"/>
      <c r="BN11" s="1150">
        <v>3</v>
      </c>
      <c r="BO11" s="1150">
        <v>6</v>
      </c>
      <c r="BP11" s="1151">
        <f>BM11+BN11+BO11</f>
        <v>9</v>
      </c>
      <c r="BQ11" s="1150">
        <v>4</v>
      </c>
      <c r="BR11" s="1150"/>
      <c r="BS11" s="1150">
        <v>2</v>
      </c>
      <c r="BT11" s="1151">
        <f>BQ11+BR11+BS11</f>
        <v>6</v>
      </c>
    </row>
    <row r="12" spans="1:72" s="212" customFormat="1" ht="15" x14ac:dyDescent="0.25">
      <c r="A12" s="5458"/>
      <c r="B12" s="5458"/>
      <c r="C12" s="5458"/>
      <c r="D12" s="1152" t="s">
        <v>137</v>
      </c>
      <c r="E12" s="1149"/>
      <c r="F12" s="1150"/>
      <c r="G12" s="1150"/>
      <c r="H12" s="1151"/>
      <c r="I12" s="1149"/>
      <c r="J12" s="1150"/>
      <c r="K12" s="1150"/>
      <c r="L12" s="1151"/>
      <c r="M12" s="1149"/>
      <c r="N12" s="1150"/>
      <c r="O12" s="1150"/>
      <c r="P12" s="1151"/>
      <c r="Q12" s="1149"/>
      <c r="R12" s="1150"/>
      <c r="S12" s="1150"/>
      <c r="T12" s="1151"/>
      <c r="U12" s="1149"/>
      <c r="V12" s="1150"/>
      <c r="W12" s="1150">
        <v>5</v>
      </c>
      <c r="X12" s="1151">
        <f>SUM(U12:W12)</f>
        <v>5</v>
      </c>
      <c r="Y12" s="1150"/>
      <c r="Z12" s="1150"/>
      <c r="AA12" s="1150">
        <v>1</v>
      </c>
      <c r="AB12" s="1151">
        <f>SUM(Y12:AA12)</f>
        <v>1</v>
      </c>
      <c r="AC12" s="1150"/>
      <c r="AD12" s="1150"/>
      <c r="AE12" s="1150">
        <v>2</v>
      </c>
      <c r="AF12" s="1151">
        <f>SUM(AC12:AE12)</f>
        <v>2</v>
      </c>
      <c r="AG12" s="1150"/>
      <c r="AH12" s="1150"/>
      <c r="AI12" s="1150">
        <v>2</v>
      </c>
      <c r="AJ12" s="1151">
        <f>SUM(AG12:AI12)</f>
        <v>2</v>
      </c>
      <c r="AK12" s="1150"/>
      <c r="AL12" s="1150"/>
      <c r="AM12" s="1150"/>
      <c r="AN12" s="1151"/>
      <c r="AO12" s="1150">
        <v>1</v>
      </c>
      <c r="AP12" s="1150"/>
      <c r="AQ12" s="1150">
        <v>1</v>
      </c>
      <c r="AR12" s="1151">
        <f>SUM(AO12:AQ12)</f>
        <v>2</v>
      </c>
      <c r="AS12" s="1150" t="s">
        <v>227</v>
      </c>
      <c r="AT12" s="1150">
        <v>1</v>
      </c>
      <c r="AU12" s="1150">
        <v>1</v>
      </c>
      <c r="AV12" s="1151">
        <f>SUM(AS12:AU12)</f>
        <v>2</v>
      </c>
      <c r="AW12" s="1150"/>
      <c r="AX12" s="1150"/>
      <c r="AY12" s="1150"/>
      <c r="AZ12" s="1151"/>
      <c r="BA12" s="1150"/>
      <c r="BB12" s="1150"/>
      <c r="BC12" s="1150"/>
      <c r="BD12" s="1151"/>
      <c r="BE12" s="1150"/>
      <c r="BF12" s="1150"/>
      <c r="BG12" s="1150"/>
      <c r="BH12" s="1151"/>
      <c r="BI12" s="1150"/>
      <c r="BJ12" s="1150"/>
      <c r="BK12" s="1150">
        <v>1</v>
      </c>
      <c r="BL12" s="1151">
        <f>BI12+BJ12+BK12</f>
        <v>1</v>
      </c>
      <c r="BM12" s="1150">
        <v>1</v>
      </c>
      <c r="BN12" s="1150"/>
      <c r="BO12" s="1150">
        <v>1</v>
      </c>
      <c r="BP12" s="1151">
        <f>BM12+BN12+BO12</f>
        <v>2</v>
      </c>
      <c r="BQ12" s="1150"/>
      <c r="BR12" s="1150"/>
      <c r="BS12" s="1150">
        <v>1</v>
      </c>
      <c r="BT12" s="1151">
        <f>BQ12+BR12+BS12</f>
        <v>1</v>
      </c>
    </row>
    <row r="13" spans="1:72" s="212" customFormat="1" ht="15" x14ac:dyDescent="0.25">
      <c r="A13" s="5458"/>
      <c r="B13" s="5458"/>
      <c r="C13" s="4376"/>
      <c r="D13" s="1152" t="s">
        <v>627</v>
      </c>
      <c r="E13" s="1568"/>
      <c r="F13" s="1569"/>
      <c r="G13" s="1569"/>
      <c r="H13" s="1173"/>
      <c r="I13" s="1568"/>
      <c r="J13" s="1569"/>
      <c r="K13" s="1569"/>
      <c r="L13" s="1173"/>
      <c r="M13" s="1568"/>
      <c r="N13" s="1569"/>
      <c r="O13" s="1569"/>
      <c r="P13" s="1173"/>
      <c r="Q13" s="1568"/>
      <c r="R13" s="1569"/>
      <c r="S13" s="1569"/>
      <c r="T13" s="1173"/>
      <c r="U13" s="1568"/>
      <c r="V13" s="1569"/>
      <c r="W13" s="1569"/>
      <c r="X13" s="1173"/>
      <c r="Y13" s="1569"/>
      <c r="Z13" s="1569"/>
      <c r="AA13" s="1569"/>
      <c r="AB13" s="1173"/>
      <c r="AC13" s="1569"/>
      <c r="AD13" s="1569"/>
      <c r="AE13" s="1569"/>
      <c r="AF13" s="1173"/>
      <c r="AG13" s="1569"/>
      <c r="AH13" s="1569"/>
      <c r="AI13" s="1569"/>
      <c r="AJ13" s="1173"/>
      <c r="AK13" s="1569"/>
      <c r="AL13" s="1569"/>
      <c r="AM13" s="1569"/>
      <c r="AN13" s="1173"/>
      <c r="AO13" s="1569"/>
      <c r="AP13" s="1569"/>
      <c r="AQ13" s="1569"/>
      <c r="AR13" s="1173"/>
      <c r="AS13" s="1569"/>
      <c r="AT13" s="1569"/>
      <c r="AU13" s="1569"/>
      <c r="AV13" s="1173"/>
      <c r="AW13" s="1569"/>
      <c r="AX13" s="1569"/>
      <c r="AY13" s="1569"/>
      <c r="AZ13" s="1173"/>
      <c r="BA13" s="1569"/>
      <c r="BB13" s="1569"/>
      <c r="BC13" s="1569"/>
      <c r="BD13" s="1173"/>
      <c r="BE13" s="1569"/>
      <c r="BF13" s="1569"/>
      <c r="BG13" s="1569"/>
      <c r="BH13" s="1173"/>
      <c r="BI13" s="1569"/>
      <c r="BJ13" s="1569"/>
      <c r="BK13" s="1569">
        <v>3</v>
      </c>
      <c r="BL13" s="1151">
        <f>BI13+BJ13+BK13</f>
        <v>3</v>
      </c>
      <c r="BM13" s="1569"/>
      <c r="BN13" s="1569"/>
      <c r="BO13" s="1569"/>
      <c r="BP13" s="1151">
        <f>BM13+BN13+BO13</f>
        <v>0</v>
      </c>
      <c r="BQ13" s="1569">
        <v>2</v>
      </c>
      <c r="BR13" s="1569"/>
      <c r="BS13" s="1569">
        <v>4</v>
      </c>
      <c r="BT13" s="1151">
        <f>BQ13+BR13+BS13</f>
        <v>6</v>
      </c>
    </row>
    <row r="14" spans="1:72" s="212" customFormat="1" ht="15" x14ac:dyDescent="0.25">
      <c r="A14" s="5458"/>
      <c r="B14" s="5458"/>
      <c r="C14" s="4376"/>
      <c r="D14" s="1152" t="s">
        <v>628</v>
      </c>
      <c r="E14" s="1568"/>
      <c r="F14" s="1569"/>
      <c r="G14" s="1569"/>
      <c r="H14" s="1173"/>
      <c r="I14" s="1568"/>
      <c r="J14" s="1569"/>
      <c r="K14" s="1569"/>
      <c r="L14" s="1173"/>
      <c r="M14" s="1568"/>
      <c r="N14" s="1569"/>
      <c r="O14" s="1569"/>
      <c r="P14" s="1173"/>
      <c r="Q14" s="1568"/>
      <c r="R14" s="1569"/>
      <c r="S14" s="1569"/>
      <c r="T14" s="1173"/>
      <c r="U14" s="1568"/>
      <c r="V14" s="1569"/>
      <c r="W14" s="1569"/>
      <c r="X14" s="1173"/>
      <c r="Y14" s="1569"/>
      <c r="Z14" s="1569"/>
      <c r="AA14" s="1569"/>
      <c r="AB14" s="1173"/>
      <c r="AC14" s="1569"/>
      <c r="AD14" s="1569"/>
      <c r="AE14" s="1569"/>
      <c r="AF14" s="1173"/>
      <c r="AG14" s="1569"/>
      <c r="AH14" s="1569"/>
      <c r="AI14" s="1569"/>
      <c r="AJ14" s="1173"/>
      <c r="AK14" s="1569"/>
      <c r="AL14" s="1569"/>
      <c r="AM14" s="1569"/>
      <c r="AN14" s="1173"/>
      <c r="AO14" s="1569"/>
      <c r="AP14" s="1569"/>
      <c r="AQ14" s="1569"/>
      <c r="AR14" s="1173"/>
      <c r="AS14" s="1569"/>
      <c r="AT14" s="1569"/>
      <c r="AU14" s="1569"/>
      <c r="AV14" s="1173"/>
      <c r="AW14" s="1569"/>
      <c r="AX14" s="1569"/>
      <c r="AY14" s="1569"/>
      <c r="AZ14" s="1173"/>
      <c r="BA14" s="1569"/>
      <c r="BB14" s="1569"/>
      <c r="BC14" s="1569"/>
      <c r="BD14" s="1173"/>
      <c r="BE14" s="1569"/>
      <c r="BF14" s="1569"/>
      <c r="BG14" s="1569"/>
      <c r="BH14" s="1173"/>
      <c r="BI14" s="1569"/>
      <c r="BJ14" s="1569"/>
      <c r="BK14" s="1569">
        <v>2</v>
      </c>
      <c r="BL14" s="1151">
        <f>BI14+BJ14+BK14</f>
        <v>2</v>
      </c>
      <c r="BM14" s="1569"/>
      <c r="BN14" s="1569"/>
      <c r="BO14" s="1569"/>
      <c r="BP14" s="1151">
        <f>BM14+BN14+BO14</f>
        <v>0</v>
      </c>
      <c r="BQ14" s="1569">
        <v>1</v>
      </c>
      <c r="BR14" s="1569"/>
      <c r="BS14" s="1569"/>
      <c r="BT14" s="1151">
        <f>BQ14+BR14+BS14</f>
        <v>1</v>
      </c>
    </row>
    <row r="15" spans="1:72" s="212" customFormat="1" ht="15" x14ac:dyDescent="0.25">
      <c r="A15" s="5458"/>
      <c r="B15" s="5460"/>
      <c r="C15" s="1576"/>
      <c r="D15" s="1154" t="s">
        <v>451</v>
      </c>
      <c r="E15" s="1155">
        <f t="shared" ref="E15:AJ15" si="0">SUM(E5:E12)</f>
        <v>41</v>
      </c>
      <c r="F15" s="1156">
        <f t="shared" si="0"/>
        <v>15</v>
      </c>
      <c r="G15" s="1156">
        <f t="shared" si="0"/>
        <v>31</v>
      </c>
      <c r="H15" s="1157">
        <f t="shared" si="0"/>
        <v>87</v>
      </c>
      <c r="I15" s="1155">
        <f t="shared" si="0"/>
        <v>61</v>
      </c>
      <c r="J15" s="1156">
        <f t="shared" si="0"/>
        <v>13</v>
      </c>
      <c r="K15" s="1156">
        <f t="shared" si="0"/>
        <v>53</v>
      </c>
      <c r="L15" s="1157">
        <f t="shared" si="0"/>
        <v>127</v>
      </c>
      <c r="M15" s="1155">
        <f t="shared" si="0"/>
        <v>5</v>
      </c>
      <c r="N15" s="1156">
        <f t="shared" si="0"/>
        <v>16</v>
      </c>
      <c r="O15" s="1156">
        <f t="shared" si="0"/>
        <v>53</v>
      </c>
      <c r="P15" s="1157">
        <f t="shared" si="0"/>
        <v>74</v>
      </c>
      <c r="Q15" s="1155">
        <f t="shared" si="0"/>
        <v>11</v>
      </c>
      <c r="R15" s="1156">
        <f t="shared" si="0"/>
        <v>6</v>
      </c>
      <c r="S15" s="1156">
        <f t="shared" si="0"/>
        <v>24</v>
      </c>
      <c r="T15" s="1157">
        <f t="shared" si="0"/>
        <v>41</v>
      </c>
      <c r="U15" s="1155">
        <f t="shared" si="0"/>
        <v>17</v>
      </c>
      <c r="V15" s="1156">
        <f t="shared" si="0"/>
        <v>5</v>
      </c>
      <c r="W15" s="1156">
        <f t="shared" si="0"/>
        <v>25</v>
      </c>
      <c r="X15" s="1157">
        <f t="shared" si="0"/>
        <v>47</v>
      </c>
      <c r="Y15" s="1156">
        <f t="shared" si="0"/>
        <v>8</v>
      </c>
      <c r="Z15" s="1156">
        <f t="shared" si="0"/>
        <v>7</v>
      </c>
      <c r="AA15" s="1156">
        <f t="shared" si="0"/>
        <v>26</v>
      </c>
      <c r="AB15" s="1157">
        <f t="shared" si="0"/>
        <v>41</v>
      </c>
      <c r="AC15" s="1156">
        <f t="shared" si="0"/>
        <v>10</v>
      </c>
      <c r="AD15" s="1156">
        <f t="shared" si="0"/>
        <v>0</v>
      </c>
      <c r="AE15" s="1156">
        <f t="shared" si="0"/>
        <v>34</v>
      </c>
      <c r="AF15" s="1157">
        <f t="shared" si="0"/>
        <v>44</v>
      </c>
      <c r="AG15" s="1156">
        <f t="shared" si="0"/>
        <v>17</v>
      </c>
      <c r="AH15" s="1156">
        <f t="shared" si="0"/>
        <v>1</v>
      </c>
      <c r="AI15" s="1156">
        <f t="shared" si="0"/>
        <v>19</v>
      </c>
      <c r="AJ15" s="1157">
        <f t="shared" si="0"/>
        <v>37</v>
      </c>
      <c r="AK15" s="1156">
        <f t="shared" ref="AK15:BJ15" si="1">SUM(AK5:AK12)</f>
        <v>9</v>
      </c>
      <c r="AL15" s="1156">
        <f t="shared" si="1"/>
        <v>10</v>
      </c>
      <c r="AM15" s="1156">
        <f t="shared" si="1"/>
        <v>12</v>
      </c>
      <c r="AN15" s="1157">
        <f t="shared" si="1"/>
        <v>31</v>
      </c>
      <c r="AO15" s="1156">
        <f t="shared" si="1"/>
        <v>3</v>
      </c>
      <c r="AP15" s="1156">
        <f t="shared" si="1"/>
        <v>2</v>
      </c>
      <c r="AQ15" s="1156">
        <f t="shared" si="1"/>
        <v>34</v>
      </c>
      <c r="AR15" s="1157">
        <f t="shared" si="1"/>
        <v>39</v>
      </c>
      <c r="AS15" s="1156">
        <f t="shared" si="1"/>
        <v>14</v>
      </c>
      <c r="AT15" s="1156">
        <f t="shared" si="1"/>
        <v>1</v>
      </c>
      <c r="AU15" s="1156">
        <f t="shared" si="1"/>
        <v>34</v>
      </c>
      <c r="AV15" s="1157">
        <f t="shared" si="1"/>
        <v>49</v>
      </c>
      <c r="AW15" s="1156">
        <f t="shared" si="1"/>
        <v>20</v>
      </c>
      <c r="AX15" s="1156">
        <f t="shared" si="1"/>
        <v>1</v>
      </c>
      <c r="AY15" s="1156">
        <f t="shared" si="1"/>
        <v>25</v>
      </c>
      <c r="AZ15" s="1157">
        <f t="shared" si="1"/>
        <v>46</v>
      </c>
      <c r="BA15" s="1156">
        <f t="shared" si="1"/>
        <v>8</v>
      </c>
      <c r="BB15" s="1156">
        <f t="shared" si="1"/>
        <v>4</v>
      </c>
      <c r="BC15" s="1156">
        <f t="shared" si="1"/>
        <v>27</v>
      </c>
      <c r="BD15" s="1157">
        <f t="shared" si="1"/>
        <v>39</v>
      </c>
      <c r="BE15" s="1156">
        <f t="shared" si="1"/>
        <v>9</v>
      </c>
      <c r="BF15" s="1156">
        <f t="shared" si="1"/>
        <v>8</v>
      </c>
      <c r="BG15" s="1156">
        <f t="shared" si="1"/>
        <v>33</v>
      </c>
      <c r="BH15" s="1157">
        <f t="shared" si="1"/>
        <v>50</v>
      </c>
      <c r="BI15" s="1156">
        <f t="shared" si="1"/>
        <v>18</v>
      </c>
      <c r="BJ15" s="1156">
        <f t="shared" si="1"/>
        <v>2</v>
      </c>
      <c r="BK15" s="1156">
        <f t="shared" ref="BK15:BQ15" si="2">SUM(BK5:BK14)</f>
        <v>54</v>
      </c>
      <c r="BL15" s="1157">
        <f t="shared" si="2"/>
        <v>74</v>
      </c>
      <c r="BM15" s="1155">
        <f t="shared" si="2"/>
        <v>24</v>
      </c>
      <c r="BN15" s="1156">
        <f t="shared" si="2"/>
        <v>3</v>
      </c>
      <c r="BO15" s="1156">
        <f t="shared" si="2"/>
        <v>62</v>
      </c>
      <c r="BP15" s="1157">
        <f t="shared" si="2"/>
        <v>89</v>
      </c>
      <c r="BQ15" s="1155">
        <f t="shared" si="2"/>
        <v>26</v>
      </c>
      <c r="BR15" s="1156">
        <f>SUM(BR6:BR14)</f>
        <v>0</v>
      </c>
      <c r="BS15" s="1156">
        <f>SUM(BS6:BS14)</f>
        <v>56</v>
      </c>
      <c r="BT15" s="1157">
        <f>SUM(BT6:BT14)</f>
        <v>82</v>
      </c>
    </row>
    <row r="16" spans="1:72" s="212" customFormat="1" ht="15" x14ac:dyDescent="0.25">
      <c r="A16" s="5458"/>
      <c r="B16" s="5458" t="s">
        <v>6</v>
      </c>
      <c r="C16" s="5457" t="s">
        <v>528</v>
      </c>
      <c r="D16" s="1158" t="s">
        <v>138</v>
      </c>
      <c r="E16" s="1159"/>
      <c r="F16" s="1160"/>
      <c r="G16" s="1160">
        <v>25</v>
      </c>
      <c r="H16" s="1161">
        <v>25</v>
      </c>
      <c r="I16" s="1159"/>
      <c r="J16" s="1160"/>
      <c r="K16" s="1160">
        <v>15</v>
      </c>
      <c r="L16" s="1161">
        <v>15</v>
      </c>
      <c r="M16" s="1159"/>
      <c r="N16" s="1160"/>
      <c r="O16" s="1160">
        <v>20</v>
      </c>
      <c r="P16" s="1161">
        <v>20</v>
      </c>
      <c r="Q16" s="1159"/>
      <c r="R16" s="1160"/>
      <c r="S16" s="1160">
        <v>23</v>
      </c>
      <c r="T16" s="1161">
        <v>23</v>
      </c>
      <c r="U16" s="1159"/>
      <c r="V16" s="1160"/>
      <c r="W16" s="1160">
        <v>27</v>
      </c>
      <c r="X16" s="1161">
        <f>SUM(U16:W16)</f>
        <v>27</v>
      </c>
      <c r="Y16" s="1162"/>
      <c r="Z16" s="1162"/>
      <c r="AA16" s="1162">
        <v>18</v>
      </c>
      <c r="AB16" s="1161">
        <f>SUM(Y16:AA16)</f>
        <v>18</v>
      </c>
      <c r="AC16" s="1162"/>
      <c r="AD16" s="1162"/>
      <c r="AE16" s="1162">
        <v>23</v>
      </c>
      <c r="AF16" s="1161">
        <f>SUM(AC16:AE16)</f>
        <v>23</v>
      </c>
      <c r="AG16" s="1162"/>
      <c r="AH16" s="1162"/>
      <c r="AI16" s="1162">
        <v>13</v>
      </c>
      <c r="AJ16" s="1161">
        <f>SUM(AG16:AI16)</f>
        <v>13</v>
      </c>
      <c r="AK16" s="1162"/>
      <c r="AL16" s="1162"/>
      <c r="AM16" s="1162">
        <v>21</v>
      </c>
      <c r="AN16" s="1161">
        <f>SUM(AK16:AM16)</f>
        <v>21</v>
      </c>
      <c r="AO16" s="1162"/>
      <c r="AP16" s="1162"/>
      <c r="AQ16" s="1162">
        <v>17</v>
      </c>
      <c r="AR16" s="1163">
        <f>SUM(AO16:AQ16)</f>
        <v>17</v>
      </c>
      <c r="AS16" s="1162"/>
      <c r="AT16" s="1162"/>
      <c r="AU16" s="1162">
        <v>18</v>
      </c>
      <c r="AV16" s="1163">
        <f>SUM(AS16:AU16)</f>
        <v>18</v>
      </c>
      <c r="AW16" s="1162"/>
      <c r="AX16" s="1162"/>
      <c r="AY16" s="1162">
        <v>14</v>
      </c>
      <c r="AZ16" s="1163">
        <f>AW16+AX16+AY16</f>
        <v>14</v>
      </c>
      <c r="BA16" s="1162"/>
      <c r="BB16" s="1162"/>
      <c r="BC16" s="1162">
        <v>16</v>
      </c>
      <c r="BD16" s="1163">
        <f>BA16+BB16+BC16</f>
        <v>16</v>
      </c>
      <c r="BE16" s="1162"/>
      <c r="BF16" s="1162"/>
      <c r="BG16" s="1162">
        <v>16</v>
      </c>
      <c r="BH16" s="1163">
        <f>BE16+BF16+BG16</f>
        <v>16</v>
      </c>
      <c r="BI16" s="1162"/>
      <c r="BJ16" s="1162"/>
      <c r="BK16" s="1162">
        <v>19</v>
      </c>
      <c r="BL16" s="1163">
        <f>BI16+BJ16+BK16</f>
        <v>19</v>
      </c>
      <c r="BM16" s="1162"/>
      <c r="BN16" s="1162"/>
      <c r="BO16" s="1162">
        <v>18</v>
      </c>
      <c r="BP16" s="1163">
        <f>BM16+BN16+BO16</f>
        <v>18</v>
      </c>
      <c r="BQ16" s="1162"/>
      <c r="BR16" s="1162"/>
      <c r="BS16" s="1162">
        <v>21</v>
      </c>
      <c r="BT16" s="1163">
        <f>BQ16+BR16+BS16</f>
        <v>21</v>
      </c>
    </row>
    <row r="17" spans="1:72" s="212" customFormat="1" ht="15" x14ac:dyDescent="0.25">
      <c r="A17" s="5458"/>
      <c r="B17" s="5458"/>
      <c r="C17" s="5458"/>
      <c r="D17" s="1148" t="s">
        <v>360</v>
      </c>
      <c r="E17" s="1149"/>
      <c r="F17" s="1164"/>
      <c r="G17" s="1164"/>
      <c r="H17" s="1165"/>
      <c r="I17" s="1149"/>
      <c r="J17" s="1164"/>
      <c r="K17" s="1164"/>
      <c r="L17" s="1165"/>
      <c r="M17" s="1149"/>
      <c r="N17" s="1164"/>
      <c r="O17" s="1164"/>
      <c r="P17" s="1165"/>
      <c r="Q17" s="1149"/>
      <c r="R17" s="1164"/>
      <c r="S17" s="1164"/>
      <c r="T17" s="1165"/>
      <c r="U17" s="1149"/>
      <c r="V17" s="1164"/>
      <c r="W17" s="1164"/>
      <c r="X17" s="1165"/>
      <c r="Y17" s="1166"/>
      <c r="Z17" s="1166"/>
      <c r="AA17" s="1166">
        <v>18</v>
      </c>
      <c r="AB17" s="1165">
        <f>SUM(Y17:AA17)</f>
        <v>18</v>
      </c>
      <c r="AC17" s="1166"/>
      <c r="AD17" s="1166"/>
      <c r="AE17" s="1166">
        <v>9</v>
      </c>
      <c r="AF17" s="1165">
        <f>SUM(AC17:AE17)</f>
        <v>9</v>
      </c>
      <c r="AG17" s="1166"/>
      <c r="AH17" s="1166"/>
      <c r="AI17" s="1166">
        <v>20</v>
      </c>
      <c r="AJ17" s="1165">
        <f>SUM(AG17:AI17)</f>
        <v>20</v>
      </c>
      <c r="AK17" s="1166"/>
      <c r="AL17" s="1166"/>
      <c r="AM17" s="1166">
        <v>13</v>
      </c>
      <c r="AN17" s="1165">
        <f>SUM(AK17:AM17)</f>
        <v>13</v>
      </c>
      <c r="AO17" s="1166"/>
      <c r="AP17" s="1166"/>
      <c r="AQ17" s="1166">
        <v>11</v>
      </c>
      <c r="AR17" s="1151">
        <f>SUM(AO17:AQ17)</f>
        <v>11</v>
      </c>
      <c r="AS17" s="1166"/>
      <c r="AT17" s="1166"/>
      <c r="AU17" s="1166"/>
      <c r="AV17" s="1151"/>
      <c r="AW17" s="1166"/>
      <c r="AX17" s="1166"/>
      <c r="AY17" s="1166">
        <v>12</v>
      </c>
      <c r="AZ17" s="1151">
        <f>AW17+AX17+AY17</f>
        <v>12</v>
      </c>
      <c r="BA17" s="1166"/>
      <c r="BB17" s="1166"/>
      <c r="BC17" s="1166">
        <v>10</v>
      </c>
      <c r="BD17" s="1151">
        <f>BA17+BB17+BC17</f>
        <v>10</v>
      </c>
      <c r="BE17" s="1166"/>
      <c r="BF17" s="1166"/>
      <c r="BG17" s="1166"/>
      <c r="BH17" s="1151"/>
      <c r="BI17" s="1166"/>
      <c r="BJ17" s="1166"/>
      <c r="BK17" s="1166">
        <v>10</v>
      </c>
      <c r="BL17" s="1151">
        <f>BI17+BJ17+BK17</f>
        <v>10</v>
      </c>
      <c r="BM17" s="1166"/>
      <c r="BN17" s="1166"/>
      <c r="BO17" s="1166"/>
      <c r="BP17" s="1151">
        <f>BM17+BN17+BO17</f>
        <v>0</v>
      </c>
      <c r="BQ17" s="1166"/>
      <c r="BR17" s="1166"/>
      <c r="BS17" s="1166">
        <v>9</v>
      </c>
      <c r="BT17" s="1151">
        <f>BQ17+BR17+BS17</f>
        <v>9</v>
      </c>
    </row>
    <row r="18" spans="1:72" s="212" customFormat="1" ht="15" x14ac:dyDescent="0.25">
      <c r="A18" s="5458"/>
      <c r="B18" s="5458"/>
      <c r="C18" s="5460"/>
      <c r="D18" s="1148" t="s">
        <v>406</v>
      </c>
      <c r="E18" s="1149"/>
      <c r="F18" s="1164"/>
      <c r="G18" s="1164"/>
      <c r="H18" s="1165"/>
      <c r="I18" s="1149"/>
      <c r="J18" s="1164"/>
      <c r="K18" s="1164"/>
      <c r="L18" s="1165"/>
      <c r="M18" s="1149"/>
      <c r="N18" s="1164"/>
      <c r="O18" s="1164"/>
      <c r="P18" s="1165"/>
      <c r="Q18" s="1149"/>
      <c r="R18" s="1164"/>
      <c r="S18" s="1164"/>
      <c r="T18" s="1165"/>
      <c r="U18" s="1149"/>
      <c r="V18" s="1164"/>
      <c r="W18" s="1164"/>
      <c r="X18" s="1165"/>
      <c r="Y18" s="1166"/>
      <c r="Z18" s="1166"/>
      <c r="AA18" s="1166"/>
      <c r="AB18" s="1165"/>
      <c r="AC18" s="1166"/>
      <c r="AD18" s="1166"/>
      <c r="AE18" s="1166"/>
      <c r="AF18" s="1165"/>
      <c r="AG18" s="1166"/>
      <c r="AH18" s="1166"/>
      <c r="AI18" s="1166"/>
      <c r="AJ18" s="1165"/>
      <c r="AK18" s="1166"/>
      <c r="AL18" s="1166"/>
      <c r="AM18" s="1166">
        <v>5</v>
      </c>
      <c r="AN18" s="1165">
        <f>SUM(AK18:AM18)</f>
        <v>5</v>
      </c>
      <c r="AO18" s="1166"/>
      <c r="AP18" s="1166"/>
      <c r="AQ18" s="1166"/>
      <c r="AR18" s="1151"/>
      <c r="AS18" s="1166"/>
      <c r="AT18" s="1166"/>
      <c r="AU18" s="1166"/>
      <c r="AV18" s="1151"/>
      <c r="AW18" s="1166"/>
      <c r="AX18" s="1166"/>
      <c r="AY18" s="1166"/>
      <c r="AZ18" s="1151"/>
      <c r="BA18" s="1166"/>
      <c r="BB18" s="1166"/>
      <c r="BC18" s="1166"/>
      <c r="BD18" s="1151"/>
      <c r="BE18" s="1166"/>
      <c r="BF18" s="1166">
        <v>1</v>
      </c>
      <c r="BG18" s="1166"/>
      <c r="BH18" s="1151">
        <f>SUM(BE18:BG18)</f>
        <v>1</v>
      </c>
      <c r="BI18" s="1166"/>
      <c r="BJ18" s="1166"/>
      <c r="BK18" s="1166"/>
      <c r="BL18" s="1151">
        <f t="shared" ref="BL18:BL27" si="3">BI18+BJ18+BK18</f>
        <v>0</v>
      </c>
      <c r="BM18" s="1166"/>
      <c r="BN18" s="1166"/>
      <c r="BO18" s="1166"/>
      <c r="BP18" s="1151">
        <f t="shared" ref="BP18:BP27" si="4">BM18+BN18+BO18</f>
        <v>0</v>
      </c>
      <c r="BQ18" s="1166"/>
      <c r="BR18" s="1166"/>
      <c r="BS18" s="1166"/>
      <c r="BT18" s="1151">
        <f t="shared" ref="BT18:BT27" si="5">BQ18+BR18+BS18</f>
        <v>0</v>
      </c>
    </row>
    <row r="19" spans="1:72" s="212" customFormat="1" ht="15" x14ac:dyDescent="0.25">
      <c r="A19" s="5458"/>
      <c r="B19" s="5458"/>
      <c r="C19" s="5457" t="s">
        <v>527</v>
      </c>
      <c r="D19" s="1148" t="s">
        <v>370</v>
      </c>
      <c r="E19" s="1149"/>
      <c r="F19" s="1164"/>
      <c r="G19" s="1164"/>
      <c r="H19" s="1165"/>
      <c r="I19" s="1149"/>
      <c r="J19" s="1164"/>
      <c r="K19" s="1164"/>
      <c r="L19" s="1165"/>
      <c r="M19" s="1149"/>
      <c r="N19" s="1164"/>
      <c r="O19" s="1164"/>
      <c r="P19" s="1165"/>
      <c r="Q19" s="1149"/>
      <c r="R19" s="1164"/>
      <c r="S19" s="1164"/>
      <c r="T19" s="1165"/>
      <c r="U19" s="1149"/>
      <c r="V19" s="1164"/>
      <c r="W19" s="1164"/>
      <c r="X19" s="1165"/>
      <c r="Y19" s="1166"/>
      <c r="Z19" s="1166"/>
      <c r="AA19" s="1166"/>
      <c r="AB19" s="1165"/>
      <c r="AC19" s="1166"/>
      <c r="AD19" s="1166"/>
      <c r="AE19" s="1166"/>
      <c r="AF19" s="1165"/>
      <c r="AG19" s="1166"/>
      <c r="AH19" s="1166"/>
      <c r="AI19" s="1166"/>
      <c r="AJ19" s="1165"/>
      <c r="AK19" s="1166"/>
      <c r="AL19" s="1166"/>
      <c r="AM19" s="1166">
        <v>10</v>
      </c>
      <c r="AN19" s="1165">
        <f>SUM(AK19:AM19)</f>
        <v>10</v>
      </c>
      <c r="AO19" s="1166"/>
      <c r="AP19" s="1166"/>
      <c r="AQ19" s="1166"/>
      <c r="AR19" s="1151"/>
      <c r="AS19" s="1166"/>
      <c r="AT19" s="1166"/>
      <c r="AU19" s="1166">
        <v>14</v>
      </c>
      <c r="AV19" s="1151">
        <f>SUM(AS19:AU19)</f>
        <v>14</v>
      </c>
      <c r="AW19" s="1166"/>
      <c r="AX19" s="1166"/>
      <c r="AY19" s="1166"/>
      <c r="AZ19" s="1151"/>
      <c r="BA19" s="1166"/>
      <c r="BB19" s="1166"/>
      <c r="BC19" s="1166">
        <v>10</v>
      </c>
      <c r="BD19" s="1151">
        <f>BA19+BB19+BC19</f>
        <v>10</v>
      </c>
      <c r="BE19" s="1166"/>
      <c r="BF19" s="1166"/>
      <c r="BG19" s="1166"/>
      <c r="BH19" s="1151"/>
      <c r="BI19" s="1166"/>
      <c r="BJ19" s="1166"/>
      <c r="BK19" s="1166">
        <v>12</v>
      </c>
      <c r="BL19" s="1151">
        <f t="shared" si="3"/>
        <v>12</v>
      </c>
      <c r="BM19" s="1166"/>
      <c r="BN19" s="1166"/>
      <c r="BO19" s="1166"/>
      <c r="BP19" s="1151">
        <f t="shared" si="4"/>
        <v>0</v>
      </c>
      <c r="BQ19" s="1166"/>
      <c r="BR19" s="1166"/>
      <c r="BS19" s="1166">
        <v>6</v>
      </c>
      <c r="BT19" s="1151">
        <f t="shared" si="5"/>
        <v>6</v>
      </c>
    </row>
    <row r="20" spans="1:72" s="212" customFormat="1" ht="15" x14ac:dyDescent="0.25">
      <c r="A20" s="5458"/>
      <c r="B20" s="5458"/>
      <c r="C20" s="5458"/>
      <c r="D20" s="1148" t="s">
        <v>368</v>
      </c>
      <c r="E20" s="1149"/>
      <c r="F20" s="1164"/>
      <c r="G20" s="1164">
        <v>7</v>
      </c>
      <c r="H20" s="1165">
        <v>7</v>
      </c>
      <c r="I20" s="1149"/>
      <c r="J20" s="1164"/>
      <c r="K20" s="1164">
        <v>26</v>
      </c>
      <c r="L20" s="1165">
        <v>26</v>
      </c>
      <c r="M20" s="1149"/>
      <c r="N20" s="1164"/>
      <c r="O20" s="1164"/>
      <c r="P20" s="1165"/>
      <c r="Q20" s="1149"/>
      <c r="R20" s="1164"/>
      <c r="S20" s="1164">
        <v>14</v>
      </c>
      <c r="T20" s="1165">
        <v>14</v>
      </c>
      <c r="U20" s="1149"/>
      <c r="V20" s="1164"/>
      <c r="W20" s="1164"/>
      <c r="X20" s="1165"/>
      <c r="Y20" s="1166"/>
      <c r="Z20" s="1166"/>
      <c r="AA20" s="1166">
        <v>26</v>
      </c>
      <c r="AB20" s="1165">
        <f>SUM(Y20:AA20)</f>
        <v>26</v>
      </c>
      <c r="AC20" s="1166"/>
      <c r="AD20" s="1166"/>
      <c r="AE20" s="1166"/>
      <c r="AF20" s="1165"/>
      <c r="AG20" s="1166"/>
      <c r="AH20" s="1166"/>
      <c r="AI20" s="1166"/>
      <c r="AJ20" s="1165"/>
      <c r="AK20" s="1166"/>
      <c r="AL20" s="1166"/>
      <c r="AM20" s="1166"/>
      <c r="AN20" s="1165"/>
      <c r="AO20" s="1166"/>
      <c r="AP20" s="1166"/>
      <c r="AQ20" s="1166"/>
      <c r="AR20" s="1151"/>
      <c r="AS20" s="1166"/>
      <c r="AT20" s="1166"/>
      <c r="AU20" s="1166"/>
      <c r="AV20" s="1151"/>
      <c r="AW20" s="1166"/>
      <c r="AX20" s="1166"/>
      <c r="AY20" s="1166"/>
      <c r="AZ20" s="1151"/>
      <c r="BA20" s="1166"/>
      <c r="BB20" s="1166"/>
      <c r="BC20" s="1166"/>
      <c r="BD20" s="1151"/>
      <c r="BE20" s="1166"/>
      <c r="BF20" s="1166"/>
      <c r="BG20" s="1166"/>
      <c r="BH20" s="1151"/>
      <c r="BI20" s="1166"/>
      <c r="BJ20" s="1166"/>
      <c r="BK20" s="1166"/>
      <c r="BL20" s="1151">
        <f t="shared" si="3"/>
        <v>0</v>
      </c>
      <c r="BM20" s="1166"/>
      <c r="BN20" s="1166"/>
      <c r="BO20" s="1166"/>
      <c r="BP20" s="1151">
        <f t="shared" si="4"/>
        <v>0</v>
      </c>
      <c r="BQ20" s="1166"/>
      <c r="BR20" s="1166"/>
      <c r="BS20" s="1166"/>
      <c r="BT20" s="1151">
        <f t="shared" si="5"/>
        <v>0</v>
      </c>
    </row>
    <row r="21" spans="1:72" s="212" customFormat="1" ht="15" x14ac:dyDescent="0.25">
      <c r="A21" s="5458"/>
      <c r="B21" s="5458"/>
      <c r="C21" s="5458"/>
      <c r="D21" s="1152" t="s">
        <v>139</v>
      </c>
      <c r="E21" s="1149"/>
      <c r="F21" s="1164"/>
      <c r="G21" s="1164"/>
      <c r="H21" s="1165"/>
      <c r="I21" s="1149"/>
      <c r="J21" s="1164"/>
      <c r="K21" s="1164"/>
      <c r="L21" s="1165"/>
      <c r="M21" s="1149"/>
      <c r="N21" s="1164"/>
      <c r="O21" s="1164"/>
      <c r="P21" s="1165"/>
      <c r="Q21" s="1149"/>
      <c r="R21" s="1164"/>
      <c r="S21" s="1164"/>
      <c r="T21" s="1165"/>
      <c r="U21" s="1149"/>
      <c r="V21" s="1164"/>
      <c r="W21" s="1164"/>
      <c r="X21" s="1165"/>
      <c r="Y21" s="1166"/>
      <c r="Z21" s="1166"/>
      <c r="AA21" s="1166"/>
      <c r="AB21" s="1165"/>
      <c r="AC21" s="1166"/>
      <c r="AD21" s="1166"/>
      <c r="AE21" s="1166"/>
      <c r="AF21" s="1165"/>
      <c r="AG21" s="1166">
        <v>2</v>
      </c>
      <c r="AH21" s="1166"/>
      <c r="AI21" s="1166"/>
      <c r="AJ21" s="1165">
        <f>SUM(AG21:AI21)</f>
        <v>2</v>
      </c>
      <c r="AK21" s="1166"/>
      <c r="AL21" s="1166"/>
      <c r="AM21" s="1166"/>
      <c r="AN21" s="1165"/>
      <c r="AO21" s="1166"/>
      <c r="AP21" s="1166"/>
      <c r="AQ21" s="1166"/>
      <c r="AR21" s="1151"/>
      <c r="AS21" s="1166"/>
      <c r="AT21" s="1166"/>
      <c r="AU21" s="1166"/>
      <c r="AV21" s="1151"/>
      <c r="AW21" s="1166"/>
      <c r="AX21" s="1166"/>
      <c r="AY21" s="1166"/>
      <c r="AZ21" s="1151"/>
      <c r="BA21" s="1166"/>
      <c r="BB21" s="1166"/>
      <c r="BC21" s="1166"/>
      <c r="BD21" s="1151"/>
      <c r="BE21" s="1166"/>
      <c r="BF21" s="1166"/>
      <c r="BG21" s="1166"/>
      <c r="BH21" s="1151"/>
      <c r="BI21" s="1166"/>
      <c r="BJ21" s="1166"/>
      <c r="BK21" s="1166"/>
      <c r="BL21" s="1151">
        <f t="shared" si="3"/>
        <v>0</v>
      </c>
      <c r="BM21" s="1166"/>
      <c r="BN21" s="1166"/>
      <c r="BO21" s="1166"/>
      <c r="BP21" s="1151">
        <f t="shared" si="4"/>
        <v>0</v>
      </c>
      <c r="BQ21" s="1166"/>
      <c r="BR21" s="1166"/>
      <c r="BS21" s="1166"/>
      <c r="BT21" s="1151">
        <f t="shared" si="5"/>
        <v>0</v>
      </c>
    </row>
    <row r="22" spans="1:72" s="212" customFormat="1" ht="15" x14ac:dyDescent="0.25">
      <c r="A22" s="5458"/>
      <c r="B22" s="5458"/>
      <c r="C22" s="5458"/>
      <c r="D22" s="1148" t="s">
        <v>369</v>
      </c>
      <c r="E22" s="1167"/>
      <c r="F22" s="1164"/>
      <c r="G22" s="1164"/>
      <c r="H22" s="1165"/>
      <c r="I22" s="1167"/>
      <c r="J22" s="1164"/>
      <c r="K22" s="1164"/>
      <c r="L22" s="1165"/>
      <c r="M22" s="1167"/>
      <c r="N22" s="1164"/>
      <c r="O22" s="1164"/>
      <c r="P22" s="1165"/>
      <c r="Q22" s="1167"/>
      <c r="R22" s="1164"/>
      <c r="S22" s="1164"/>
      <c r="T22" s="1165"/>
      <c r="U22" s="1167"/>
      <c r="V22" s="1164"/>
      <c r="W22" s="1164"/>
      <c r="X22" s="1165"/>
      <c r="Y22" s="1166"/>
      <c r="Z22" s="1166"/>
      <c r="AA22" s="1166"/>
      <c r="AB22" s="1165"/>
      <c r="AC22" s="1166"/>
      <c r="AD22" s="1166"/>
      <c r="AE22" s="1166">
        <v>20</v>
      </c>
      <c r="AF22" s="1165">
        <f>SUM(AC22:AE22)</f>
        <v>20</v>
      </c>
      <c r="AG22" s="1166"/>
      <c r="AH22" s="1166"/>
      <c r="AI22" s="1166"/>
      <c r="AJ22" s="1165"/>
      <c r="AK22" s="1166"/>
      <c r="AL22" s="1166"/>
      <c r="AM22" s="1166">
        <v>22</v>
      </c>
      <c r="AN22" s="1165">
        <f>SUM(AK22:AM22)</f>
        <v>22</v>
      </c>
      <c r="AO22" s="1166"/>
      <c r="AP22" s="1166"/>
      <c r="AQ22" s="1166"/>
      <c r="AR22" s="1151"/>
      <c r="AS22" s="1166"/>
      <c r="AT22" s="1166"/>
      <c r="AU22" s="1166">
        <v>15</v>
      </c>
      <c r="AV22" s="1151">
        <f>SUM(AS22:AU22)</f>
        <v>15</v>
      </c>
      <c r="AW22" s="1166"/>
      <c r="AX22" s="1166"/>
      <c r="AY22" s="1166"/>
      <c r="AZ22" s="1151"/>
      <c r="BA22" s="1166"/>
      <c r="BB22" s="1166"/>
      <c r="BC22" s="1166"/>
      <c r="BD22" s="1151"/>
      <c r="BE22" s="1166">
        <v>15</v>
      </c>
      <c r="BF22" s="1166"/>
      <c r="BG22" s="1166"/>
      <c r="BH22" s="1151">
        <f>BE22+BF22+BG22</f>
        <v>15</v>
      </c>
      <c r="BI22" s="1166"/>
      <c r="BJ22" s="1166"/>
      <c r="BK22" s="1166"/>
      <c r="BL22" s="1151">
        <f t="shared" si="3"/>
        <v>0</v>
      </c>
      <c r="BM22" s="1166">
        <v>24</v>
      </c>
      <c r="BN22" s="1166"/>
      <c r="BO22" s="1166"/>
      <c r="BP22" s="1151">
        <f t="shared" si="4"/>
        <v>24</v>
      </c>
      <c r="BQ22" s="1166"/>
      <c r="BR22" s="1166"/>
      <c r="BS22" s="1166">
        <v>17</v>
      </c>
      <c r="BT22" s="1151">
        <f t="shared" si="5"/>
        <v>17</v>
      </c>
    </row>
    <row r="23" spans="1:72" s="212" customFormat="1" ht="15" x14ac:dyDescent="0.25">
      <c r="A23" s="5458"/>
      <c r="B23" s="5458"/>
      <c r="C23" s="5458"/>
      <c r="D23" s="1148" t="s">
        <v>141</v>
      </c>
      <c r="E23" s="1167"/>
      <c r="F23" s="1164"/>
      <c r="G23" s="1164">
        <v>16</v>
      </c>
      <c r="H23" s="1165">
        <v>16</v>
      </c>
      <c r="I23" s="1167"/>
      <c r="J23" s="1164"/>
      <c r="K23" s="1164"/>
      <c r="L23" s="1165"/>
      <c r="M23" s="1167"/>
      <c r="N23" s="1164"/>
      <c r="O23" s="1164"/>
      <c r="P23" s="1165"/>
      <c r="Q23" s="1167">
        <v>16</v>
      </c>
      <c r="R23" s="1164"/>
      <c r="S23" s="1164">
        <v>0</v>
      </c>
      <c r="T23" s="1165">
        <v>16</v>
      </c>
      <c r="U23" s="1167"/>
      <c r="V23" s="1164"/>
      <c r="W23" s="1164"/>
      <c r="X23" s="1165"/>
      <c r="Y23" s="1166">
        <v>9</v>
      </c>
      <c r="Z23" s="1166"/>
      <c r="AA23" s="1166"/>
      <c r="AB23" s="1165">
        <f>SUM(Y23:AA23)</f>
        <v>9</v>
      </c>
      <c r="AC23" s="1166">
        <v>8</v>
      </c>
      <c r="AD23" s="1166"/>
      <c r="AE23" s="1166"/>
      <c r="AF23" s="1165">
        <f>SUM(AC23:AE23)</f>
        <v>8</v>
      </c>
      <c r="AG23" s="1166"/>
      <c r="AH23" s="1166"/>
      <c r="AI23" s="1166"/>
      <c r="AJ23" s="1165"/>
      <c r="AK23" s="1166">
        <v>15</v>
      </c>
      <c r="AL23" s="1166"/>
      <c r="AM23" s="1166"/>
      <c r="AN23" s="1165">
        <f>SUM(AK23:AM23)</f>
        <v>15</v>
      </c>
      <c r="AO23" s="1166">
        <v>9</v>
      </c>
      <c r="AP23" s="1166"/>
      <c r="AQ23" s="1166"/>
      <c r="AR23" s="1151">
        <f>SUM(AO23:AQ23)</f>
        <v>9</v>
      </c>
      <c r="AS23" s="1166"/>
      <c r="AT23" s="1166"/>
      <c r="AU23" s="1166">
        <v>18</v>
      </c>
      <c r="AV23" s="1151">
        <f>SUM(AS23:AU23)</f>
        <v>18</v>
      </c>
      <c r="AW23" s="1166"/>
      <c r="AX23" s="1166"/>
      <c r="AY23" s="1166">
        <v>8</v>
      </c>
      <c r="AZ23" s="1151">
        <f>AW23+AX23+AY23</f>
        <v>8</v>
      </c>
      <c r="BA23" s="1166"/>
      <c r="BB23" s="1166"/>
      <c r="BC23" s="1166">
        <v>13</v>
      </c>
      <c r="BD23" s="1151">
        <f>BA23+BB23+BC23</f>
        <v>13</v>
      </c>
      <c r="BE23" s="1166"/>
      <c r="BF23" s="1166"/>
      <c r="BG23" s="1166">
        <v>12</v>
      </c>
      <c r="BH23" s="1151">
        <f>BE23+BF23+BG23</f>
        <v>12</v>
      </c>
      <c r="BI23" s="1166"/>
      <c r="BJ23" s="1166"/>
      <c r="BK23" s="1166">
        <v>18</v>
      </c>
      <c r="BL23" s="1151">
        <f t="shared" si="3"/>
        <v>18</v>
      </c>
      <c r="BM23" s="1166"/>
      <c r="BN23" s="1166"/>
      <c r="BO23" s="1166">
        <v>10</v>
      </c>
      <c r="BP23" s="1151">
        <f t="shared" si="4"/>
        <v>10</v>
      </c>
      <c r="BQ23" s="1166"/>
      <c r="BR23" s="1166"/>
      <c r="BS23" s="1166"/>
      <c r="BT23" s="1151">
        <f t="shared" si="5"/>
        <v>0</v>
      </c>
    </row>
    <row r="24" spans="1:72" s="212" customFormat="1" ht="15" x14ac:dyDescent="0.25">
      <c r="A24" s="5458"/>
      <c r="B24" s="5458"/>
      <c r="C24" s="5458"/>
      <c r="D24" s="1168" t="s">
        <v>414</v>
      </c>
      <c r="E24" s="1169"/>
      <c r="F24" s="1170"/>
      <c r="G24" s="1170"/>
      <c r="H24" s="1171"/>
      <c r="I24" s="1169"/>
      <c r="J24" s="1170"/>
      <c r="K24" s="1170"/>
      <c r="L24" s="1171"/>
      <c r="M24" s="1169"/>
      <c r="N24" s="1170"/>
      <c r="O24" s="1170"/>
      <c r="P24" s="1171"/>
      <c r="Q24" s="1169"/>
      <c r="R24" s="1170"/>
      <c r="S24" s="1170"/>
      <c r="T24" s="1171"/>
      <c r="U24" s="1169"/>
      <c r="V24" s="1170"/>
      <c r="W24" s="1170"/>
      <c r="X24" s="1171"/>
      <c r="Y24" s="1172"/>
      <c r="Z24" s="1172"/>
      <c r="AA24" s="1172"/>
      <c r="AB24" s="1171"/>
      <c r="AC24" s="1172"/>
      <c r="AD24" s="1172"/>
      <c r="AE24" s="1172"/>
      <c r="AF24" s="1171"/>
      <c r="AG24" s="1172"/>
      <c r="AH24" s="1172"/>
      <c r="AI24" s="1172"/>
      <c r="AJ24" s="1171"/>
      <c r="AK24" s="1172"/>
      <c r="AL24" s="1172"/>
      <c r="AM24" s="1172"/>
      <c r="AN24" s="1171"/>
      <c r="AO24" s="1172"/>
      <c r="AP24" s="1172"/>
      <c r="AQ24" s="1172"/>
      <c r="AR24" s="1173"/>
      <c r="AS24" s="1172"/>
      <c r="AT24" s="1172"/>
      <c r="AU24" s="1172"/>
      <c r="AV24" s="1173"/>
      <c r="AW24" s="1172"/>
      <c r="AX24" s="1172"/>
      <c r="AY24" s="1172"/>
      <c r="AZ24" s="1151"/>
      <c r="BA24" s="1172"/>
      <c r="BB24" s="1172"/>
      <c r="BC24" s="1172"/>
      <c r="BD24" s="1151"/>
      <c r="BE24" s="1172"/>
      <c r="BF24" s="1172"/>
      <c r="BG24" s="1172">
        <v>8</v>
      </c>
      <c r="BH24" s="1151">
        <f>BE24+BF24+BG24</f>
        <v>8</v>
      </c>
      <c r="BI24" s="1172"/>
      <c r="BJ24" s="1172"/>
      <c r="BK24" s="1172"/>
      <c r="BL24" s="1151">
        <f t="shared" si="3"/>
        <v>0</v>
      </c>
      <c r="BM24" s="1172"/>
      <c r="BN24" s="1172"/>
      <c r="BO24" s="1172">
        <v>17</v>
      </c>
      <c r="BP24" s="1151">
        <f t="shared" si="4"/>
        <v>17</v>
      </c>
      <c r="BQ24" s="1172"/>
      <c r="BR24" s="1172"/>
      <c r="BS24" s="1172"/>
      <c r="BT24" s="1151">
        <f t="shared" si="5"/>
        <v>0</v>
      </c>
    </row>
    <row r="25" spans="1:72" s="212" customFormat="1" ht="15" x14ac:dyDescent="0.2">
      <c r="A25" s="5458"/>
      <c r="B25" s="5458"/>
      <c r="C25" s="5460"/>
      <c r="D25" s="1192" t="s">
        <v>140</v>
      </c>
      <c r="E25" s="1149"/>
      <c r="F25" s="1150"/>
      <c r="G25" s="1150"/>
      <c r="H25" s="1151"/>
      <c r="I25" s="1149">
        <v>20</v>
      </c>
      <c r="J25" s="1150"/>
      <c r="K25" s="1150"/>
      <c r="L25" s="1151">
        <v>20</v>
      </c>
      <c r="M25" s="1149"/>
      <c r="N25" s="1150"/>
      <c r="O25" s="1150">
        <v>22</v>
      </c>
      <c r="P25" s="1151">
        <v>22</v>
      </c>
      <c r="Q25" s="1149"/>
      <c r="R25" s="1150"/>
      <c r="S25" s="1150"/>
      <c r="T25" s="1151"/>
      <c r="U25" s="1149"/>
      <c r="V25" s="1150"/>
      <c r="W25" s="1150"/>
      <c r="X25" s="1151"/>
      <c r="Y25" s="1150">
        <v>11</v>
      </c>
      <c r="Z25" s="1150"/>
      <c r="AA25" s="1150"/>
      <c r="AB25" s="1151">
        <f>SUM(Y25:AA25)</f>
        <v>11</v>
      </c>
      <c r="AC25" s="1150"/>
      <c r="AD25" s="1150"/>
      <c r="AE25" s="1150"/>
      <c r="AF25" s="1151"/>
      <c r="AG25" s="1150">
        <v>15</v>
      </c>
      <c r="AH25" s="1150"/>
      <c r="AI25" s="1150"/>
      <c r="AJ25" s="1151">
        <f>SUM(AG25:AI25)</f>
        <v>15</v>
      </c>
      <c r="AK25" s="1150"/>
      <c r="AL25" s="1150"/>
      <c r="AM25" s="1150"/>
      <c r="AN25" s="1151"/>
      <c r="AO25" s="1150">
        <v>18</v>
      </c>
      <c r="AP25" s="1150"/>
      <c r="AQ25" s="1150"/>
      <c r="AR25" s="1151">
        <f>SUM(AO25:AQ25)</f>
        <v>18</v>
      </c>
      <c r="AS25" s="1150"/>
      <c r="AT25" s="1150"/>
      <c r="AU25" s="1150">
        <v>18</v>
      </c>
      <c r="AV25" s="1151">
        <f>SUM(AS25:AU25)</f>
        <v>18</v>
      </c>
      <c r="AW25" s="1150"/>
      <c r="AX25" s="1150"/>
      <c r="AY25" s="1150"/>
      <c r="AZ25" s="1151"/>
      <c r="BA25" s="1150"/>
      <c r="BB25" s="1150"/>
      <c r="BC25" s="1150">
        <v>25</v>
      </c>
      <c r="BD25" s="1151">
        <f>BA25+BB25+BC25</f>
        <v>25</v>
      </c>
      <c r="BE25" s="1150"/>
      <c r="BF25" s="1150"/>
      <c r="BG25" s="1150"/>
      <c r="BH25" s="1151"/>
      <c r="BI25" s="1150"/>
      <c r="BJ25" s="1150"/>
      <c r="BK25" s="1150">
        <v>25</v>
      </c>
      <c r="BL25" s="1151">
        <f t="shared" si="3"/>
        <v>25</v>
      </c>
      <c r="BM25" s="1150"/>
      <c r="BN25" s="1150"/>
      <c r="BO25" s="1150"/>
      <c r="BP25" s="1151">
        <f t="shared" si="4"/>
        <v>0</v>
      </c>
      <c r="BQ25" s="1150"/>
      <c r="BR25" s="1150"/>
      <c r="BS25" s="1150">
        <v>11</v>
      </c>
      <c r="BT25" s="1151">
        <f t="shared" si="5"/>
        <v>11</v>
      </c>
    </row>
    <row r="26" spans="1:72" s="212" customFormat="1" ht="15" x14ac:dyDescent="0.25">
      <c r="A26" s="5458"/>
      <c r="B26" s="5458"/>
      <c r="C26" s="5457" t="s">
        <v>526</v>
      </c>
      <c r="D26" s="1148" t="s">
        <v>371</v>
      </c>
      <c r="E26" s="1149"/>
      <c r="F26" s="1164"/>
      <c r="G26" s="1164"/>
      <c r="H26" s="1165"/>
      <c r="I26" s="1149"/>
      <c r="J26" s="1164"/>
      <c r="K26" s="1164"/>
      <c r="L26" s="1165"/>
      <c r="M26" s="1149"/>
      <c r="N26" s="1164"/>
      <c r="O26" s="1164"/>
      <c r="P26" s="1165"/>
      <c r="Q26" s="1149"/>
      <c r="R26" s="1164"/>
      <c r="S26" s="1164"/>
      <c r="T26" s="1165"/>
      <c r="U26" s="1149"/>
      <c r="V26" s="1164"/>
      <c r="W26" s="1164"/>
      <c r="X26" s="1165"/>
      <c r="Y26" s="1166"/>
      <c r="Z26" s="1166"/>
      <c r="AA26" s="1166"/>
      <c r="AB26" s="1165"/>
      <c r="AC26" s="1166"/>
      <c r="AD26" s="1166"/>
      <c r="AE26" s="1166"/>
      <c r="AF26" s="1165"/>
      <c r="AG26" s="1166"/>
      <c r="AH26" s="1166"/>
      <c r="AI26" s="1166"/>
      <c r="AJ26" s="1165"/>
      <c r="AK26" s="1166"/>
      <c r="AL26" s="1166"/>
      <c r="AM26" s="1166">
        <v>16</v>
      </c>
      <c r="AN26" s="1165">
        <f>SUM(AK26:AM26)</f>
        <v>16</v>
      </c>
      <c r="AO26" s="1166"/>
      <c r="AP26" s="1166"/>
      <c r="AQ26" s="1166"/>
      <c r="AR26" s="1151"/>
      <c r="AS26" s="1166"/>
      <c r="AT26" s="1166"/>
      <c r="AU26" s="1166">
        <v>6</v>
      </c>
      <c r="AV26" s="1151">
        <f>SUM(AS26:AU26)</f>
        <v>6</v>
      </c>
      <c r="AW26" s="1166"/>
      <c r="AX26" s="1166">
        <v>16</v>
      </c>
      <c r="AY26" s="1166"/>
      <c r="AZ26" s="1151">
        <f t="shared" ref="AZ26" si="6">AW26+AX26+AY26</f>
        <v>16</v>
      </c>
      <c r="BA26" s="1166"/>
      <c r="BB26" s="1166"/>
      <c r="BC26" s="1166">
        <v>11</v>
      </c>
      <c r="BD26" s="1151">
        <f>BA26+BB26+BC26</f>
        <v>11</v>
      </c>
      <c r="BE26" s="1166"/>
      <c r="BF26" s="1166"/>
      <c r="BG26" s="1166"/>
      <c r="BH26" s="1151"/>
      <c r="BI26" s="1166"/>
      <c r="BJ26" s="1166"/>
      <c r="BK26" s="1166">
        <v>9</v>
      </c>
      <c r="BL26" s="1151">
        <f t="shared" si="3"/>
        <v>9</v>
      </c>
      <c r="BM26" s="1166"/>
      <c r="BN26" s="1166"/>
      <c r="BO26" s="1166"/>
      <c r="BP26" s="1151">
        <f t="shared" si="4"/>
        <v>0</v>
      </c>
      <c r="BQ26" s="1166"/>
      <c r="BR26" s="1166"/>
      <c r="BS26" s="1166">
        <v>5</v>
      </c>
      <c r="BT26" s="1151">
        <f t="shared" si="5"/>
        <v>5</v>
      </c>
    </row>
    <row r="27" spans="1:72" s="212" customFormat="1" ht="15" x14ac:dyDescent="0.25">
      <c r="A27" s="5458"/>
      <c r="B27" s="5458"/>
      <c r="C27" s="5458"/>
      <c r="D27" s="1152" t="s">
        <v>143</v>
      </c>
      <c r="E27" s="1167"/>
      <c r="F27" s="1164"/>
      <c r="G27" s="1164"/>
      <c r="H27" s="1165"/>
      <c r="I27" s="1167">
        <v>2</v>
      </c>
      <c r="J27" s="1164"/>
      <c r="K27" s="1164"/>
      <c r="L27" s="1165">
        <v>2</v>
      </c>
      <c r="M27" s="1167"/>
      <c r="N27" s="1164"/>
      <c r="O27" s="1164"/>
      <c r="P27" s="1165"/>
      <c r="Q27" s="1167"/>
      <c r="R27" s="1164"/>
      <c r="S27" s="1164"/>
      <c r="T27" s="1165"/>
      <c r="U27" s="1167">
        <v>1</v>
      </c>
      <c r="V27" s="1164"/>
      <c r="W27" s="1164"/>
      <c r="X27" s="1165">
        <f>SUM(U27:W27)</f>
        <v>1</v>
      </c>
      <c r="Y27" s="1166">
        <v>3</v>
      </c>
      <c r="Z27" s="1166"/>
      <c r="AA27" s="1166"/>
      <c r="AB27" s="1165">
        <f>SUM(Y27:AA27)</f>
        <v>3</v>
      </c>
      <c r="AC27" s="1166"/>
      <c r="AD27" s="1166"/>
      <c r="AE27" s="1166"/>
      <c r="AF27" s="1165"/>
      <c r="AG27" s="1166">
        <v>1</v>
      </c>
      <c r="AH27" s="1166"/>
      <c r="AI27" s="1166"/>
      <c r="AJ27" s="1165">
        <f>SUM(AG27:AI27)</f>
        <v>1</v>
      </c>
      <c r="AK27" s="1166"/>
      <c r="AL27" s="1166"/>
      <c r="AM27" s="1166"/>
      <c r="AN27" s="1165"/>
      <c r="AO27" s="1166"/>
      <c r="AP27" s="1166"/>
      <c r="AQ27" s="1166"/>
      <c r="AR27" s="1151"/>
      <c r="AS27" s="1166"/>
      <c r="AT27" s="1166"/>
      <c r="AU27" s="1166"/>
      <c r="AV27" s="1151"/>
      <c r="AW27" s="1166"/>
      <c r="AX27" s="1166"/>
      <c r="AY27" s="1166"/>
      <c r="AZ27" s="1151"/>
      <c r="BA27" s="1166"/>
      <c r="BB27" s="1166"/>
      <c r="BC27" s="1166"/>
      <c r="BD27" s="1151"/>
      <c r="BE27" s="1166"/>
      <c r="BF27" s="1166"/>
      <c r="BG27" s="1166"/>
      <c r="BH27" s="1151"/>
      <c r="BI27" s="1166"/>
      <c r="BJ27" s="1166"/>
      <c r="BK27" s="1166"/>
      <c r="BL27" s="1151">
        <f t="shared" si="3"/>
        <v>0</v>
      </c>
      <c r="BM27" s="1166"/>
      <c r="BN27" s="1166"/>
      <c r="BO27" s="1166"/>
      <c r="BP27" s="1151">
        <f t="shared" si="4"/>
        <v>0</v>
      </c>
      <c r="BQ27" s="1166"/>
      <c r="BR27" s="1166"/>
      <c r="BS27" s="1166"/>
      <c r="BT27" s="1151">
        <f t="shared" si="5"/>
        <v>0</v>
      </c>
    </row>
    <row r="28" spans="1:72" s="212" customFormat="1" ht="15" x14ac:dyDescent="0.25">
      <c r="A28" s="5458"/>
      <c r="B28" s="5458"/>
      <c r="C28" s="5458"/>
      <c r="D28" s="1148" t="s">
        <v>142</v>
      </c>
      <c r="E28" s="1167"/>
      <c r="F28" s="1164"/>
      <c r="G28" s="1164"/>
      <c r="H28" s="1165"/>
      <c r="I28" s="1167"/>
      <c r="J28" s="1164"/>
      <c r="K28" s="1164"/>
      <c r="L28" s="1165"/>
      <c r="M28" s="1167"/>
      <c r="N28" s="1164"/>
      <c r="O28" s="1164"/>
      <c r="P28" s="1165"/>
      <c r="Q28" s="1167"/>
      <c r="R28" s="1164"/>
      <c r="S28" s="1164"/>
      <c r="T28" s="1165"/>
      <c r="U28" s="1167"/>
      <c r="V28" s="1164"/>
      <c r="W28" s="1164"/>
      <c r="X28" s="1165"/>
      <c r="Y28" s="1166"/>
      <c r="Z28" s="1166"/>
      <c r="AA28" s="1166"/>
      <c r="AB28" s="1165"/>
      <c r="AC28" s="1166"/>
      <c r="AD28" s="1166"/>
      <c r="AE28" s="1166">
        <v>12</v>
      </c>
      <c r="AF28" s="1165">
        <f>SUM(AC28:AE28)</f>
        <v>12</v>
      </c>
      <c r="AG28" s="1166"/>
      <c r="AH28" s="1166"/>
      <c r="AI28" s="1166"/>
      <c r="AJ28" s="1165"/>
      <c r="AK28" s="1166"/>
      <c r="AL28" s="1166"/>
      <c r="AM28" s="1166">
        <v>13</v>
      </c>
      <c r="AN28" s="1165">
        <f>SUM(AK28:AM28)</f>
        <v>13</v>
      </c>
      <c r="AO28" s="1166"/>
      <c r="AP28" s="1166"/>
      <c r="AQ28" s="1166"/>
      <c r="AR28" s="1151"/>
      <c r="AS28" s="1166"/>
      <c r="AT28" s="1166"/>
      <c r="AU28" s="1166"/>
      <c r="AV28" s="1151"/>
      <c r="AW28" s="1166"/>
      <c r="AX28" s="1166"/>
      <c r="AY28" s="1166"/>
      <c r="AZ28" s="1151"/>
      <c r="BA28" s="1166"/>
      <c r="BB28" s="1166"/>
      <c r="BC28" s="1166"/>
      <c r="BD28" s="1151"/>
      <c r="BE28" s="1166"/>
      <c r="BF28" s="1166"/>
      <c r="BG28" s="1166">
        <v>11</v>
      </c>
      <c r="BH28" s="1151">
        <f>BE28+BF28+BG28</f>
        <v>11</v>
      </c>
      <c r="BI28" s="1166"/>
      <c r="BJ28" s="1166"/>
      <c r="BK28" s="1166"/>
      <c r="BL28" s="1151">
        <f>BI28+BJ28+BK28</f>
        <v>0</v>
      </c>
      <c r="BM28" s="1166"/>
      <c r="BN28" s="1166"/>
      <c r="BO28" s="1166">
        <v>11</v>
      </c>
      <c r="BP28" s="1151">
        <f>BM28+BN28+BO28</f>
        <v>11</v>
      </c>
      <c r="BQ28" s="1166"/>
      <c r="BR28" s="1166"/>
      <c r="BS28" s="1166"/>
      <c r="BT28" s="1151">
        <f>BQ28+BR28+BS28</f>
        <v>0</v>
      </c>
    </row>
    <row r="29" spans="1:72" s="212" customFormat="1" ht="15" x14ac:dyDescent="0.25">
      <c r="A29" s="5458"/>
      <c r="B29" s="5460"/>
      <c r="C29" s="1576"/>
      <c r="D29" s="1154" t="s">
        <v>451</v>
      </c>
      <c r="E29" s="1155"/>
      <c r="F29" s="1156"/>
      <c r="G29" s="1156">
        <f>SUM(G16:G28)</f>
        <v>48</v>
      </c>
      <c r="H29" s="1157">
        <f>SUM(H16:H28)</f>
        <v>48</v>
      </c>
      <c r="I29" s="1155">
        <f>SUM(I16:I28)</f>
        <v>22</v>
      </c>
      <c r="J29" s="1156"/>
      <c r="K29" s="1156">
        <f>SUM(K16:K28)</f>
        <v>41</v>
      </c>
      <c r="L29" s="1157">
        <f>SUM(L16:L28)</f>
        <v>63</v>
      </c>
      <c r="M29" s="1155"/>
      <c r="N29" s="1156"/>
      <c r="O29" s="1156">
        <f>SUM(O16:O28)</f>
        <v>42</v>
      </c>
      <c r="P29" s="1157">
        <f>SUM(P16:P28)</f>
        <v>42</v>
      </c>
      <c r="Q29" s="1155">
        <f>SUM(Q16:Q28)</f>
        <v>16</v>
      </c>
      <c r="R29" s="1156"/>
      <c r="S29" s="1156">
        <f>SUM(S16:S28)</f>
        <v>37</v>
      </c>
      <c r="T29" s="1157">
        <f>SUM(T16:T28)</f>
        <v>53</v>
      </c>
      <c r="U29" s="1155">
        <f>SUM(U16:U28)</f>
        <v>1</v>
      </c>
      <c r="V29" s="1156"/>
      <c r="W29" s="1156">
        <f>SUM(W16:W28)</f>
        <v>27</v>
      </c>
      <c r="X29" s="1157">
        <f>SUM(X16:X28)</f>
        <v>28</v>
      </c>
      <c r="Y29" s="1156">
        <f>SUM(Y16:Y28)</f>
        <v>23</v>
      </c>
      <c r="Z29" s="1156"/>
      <c r="AA29" s="1156">
        <f>SUM(AA16:AA28)</f>
        <v>62</v>
      </c>
      <c r="AB29" s="1157">
        <f>SUM(AB16:AB28)</f>
        <v>85</v>
      </c>
      <c r="AC29" s="1156">
        <f>SUM(AC16:AC28)</f>
        <v>8</v>
      </c>
      <c r="AD29" s="1156"/>
      <c r="AE29" s="1156">
        <f>SUM(AE16:AE28)</f>
        <v>64</v>
      </c>
      <c r="AF29" s="1157">
        <f>SUM(AF16:AF28)</f>
        <v>72</v>
      </c>
      <c r="AG29" s="1156">
        <f>SUM(AG16:AG28)</f>
        <v>18</v>
      </c>
      <c r="AH29" s="1156"/>
      <c r="AI29" s="1156">
        <f>SUM(AI16:AI28)</f>
        <v>33</v>
      </c>
      <c r="AJ29" s="1157">
        <f>SUM(AJ16:AJ28)</f>
        <v>51</v>
      </c>
      <c r="AK29" s="1156">
        <f>SUM(AK16:AK28)</f>
        <v>15</v>
      </c>
      <c r="AL29" s="1156"/>
      <c r="AM29" s="1156">
        <f>SUM(AM16:AM28)</f>
        <v>100</v>
      </c>
      <c r="AN29" s="1157">
        <f>SUM(AN16:AN28)</f>
        <v>115</v>
      </c>
      <c r="AO29" s="1156">
        <f>SUM(AO16:AO28)</f>
        <v>27</v>
      </c>
      <c r="AP29" s="1156"/>
      <c r="AQ29" s="1156">
        <f>SUM(AQ16:AQ28)</f>
        <v>28</v>
      </c>
      <c r="AR29" s="1157">
        <f>SUM(AR16:AR28)</f>
        <v>55</v>
      </c>
      <c r="AS29" s="1156"/>
      <c r="AT29" s="1156"/>
      <c r="AU29" s="1156">
        <f>SUM(AU16:AU28)</f>
        <v>89</v>
      </c>
      <c r="AV29" s="1157">
        <f>SUM(AV16:AV28)</f>
        <v>89</v>
      </c>
      <c r="AW29" s="1156"/>
      <c r="AX29" s="1156">
        <f>SUM(AX16:AX28)</f>
        <v>16</v>
      </c>
      <c r="AY29" s="1156">
        <f>SUM(AY16:AY28)</f>
        <v>34</v>
      </c>
      <c r="AZ29" s="1157">
        <f>SUM(AZ16:AZ28)</f>
        <v>50</v>
      </c>
      <c r="BA29" s="1156"/>
      <c r="BB29" s="1156"/>
      <c r="BC29" s="1156">
        <f t="shared" ref="BC29:BH29" si="7">SUM(BC16:BC28)</f>
        <v>85</v>
      </c>
      <c r="BD29" s="1157">
        <f t="shared" si="7"/>
        <v>85</v>
      </c>
      <c r="BE29" s="1156">
        <f t="shared" si="7"/>
        <v>15</v>
      </c>
      <c r="BF29" s="1156">
        <f t="shared" si="7"/>
        <v>1</v>
      </c>
      <c r="BG29" s="1156">
        <f t="shared" si="7"/>
        <v>47</v>
      </c>
      <c r="BH29" s="1157">
        <f t="shared" si="7"/>
        <v>63</v>
      </c>
      <c r="BI29" s="1156"/>
      <c r="BJ29" s="1156"/>
      <c r="BK29" s="1156">
        <f t="shared" ref="BK29:BP29" si="8">SUM(BK16:BK28)</f>
        <v>93</v>
      </c>
      <c r="BL29" s="1157">
        <f t="shared" si="8"/>
        <v>93</v>
      </c>
      <c r="BM29" s="1156">
        <f t="shared" si="8"/>
        <v>24</v>
      </c>
      <c r="BN29" s="1156">
        <f t="shared" si="8"/>
        <v>0</v>
      </c>
      <c r="BO29" s="1156">
        <f t="shared" si="8"/>
        <v>56</v>
      </c>
      <c r="BP29" s="1157">
        <f t="shared" si="8"/>
        <v>80</v>
      </c>
      <c r="BQ29" s="1156">
        <f t="shared" ref="BQ29:BT29" si="9">SUM(BQ16:BQ28)</f>
        <v>0</v>
      </c>
      <c r="BR29" s="1156">
        <f t="shared" si="9"/>
        <v>0</v>
      </c>
      <c r="BS29" s="1156">
        <f t="shared" si="9"/>
        <v>69</v>
      </c>
      <c r="BT29" s="1157">
        <f t="shared" si="9"/>
        <v>69</v>
      </c>
    </row>
    <row r="30" spans="1:72" s="212" customFormat="1" ht="15" x14ac:dyDescent="0.25">
      <c r="A30" s="5458"/>
      <c r="B30" s="5457" t="s">
        <v>7</v>
      </c>
      <c r="C30" s="5457" t="s">
        <v>528</v>
      </c>
      <c r="D30" s="1158" t="s">
        <v>403</v>
      </c>
      <c r="E30" s="1174">
        <v>38</v>
      </c>
      <c r="F30" s="1175"/>
      <c r="G30" s="1175">
        <v>17</v>
      </c>
      <c r="H30" s="1176">
        <v>55</v>
      </c>
      <c r="I30" s="1174">
        <v>21</v>
      </c>
      <c r="J30" s="1175"/>
      <c r="K30" s="1175">
        <v>30</v>
      </c>
      <c r="L30" s="1176">
        <v>51</v>
      </c>
      <c r="M30" s="1174"/>
      <c r="N30" s="1175"/>
      <c r="O30" s="1175">
        <v>46</v>
      </c>
      <c r="P30" s="1176">
        <v>46</v>
      </c>
      <c r="Q30" s="1174"/>
      <c r="R30" s="1175"/>
      <c r="S30" s="1175">
        <v>40</v>
      </c>
      <c r="T30" s="1176">
        <v>40</v>
      </c>
      <c r="U30" s="1174"/>
      <c r="V30" s="1175"/>
      <c r="W30" s="1175">
        <v>10</v>
      </c>
      <c r="X30" s="1176">
        <f>SUM(U30:W30)</f>
        <v>10</v>
      </c>
      <c r="Y30" s="1177"/>
      <c r="Z30" s="1177"/>
      <c r="AA30" s="1177">
        <v>21</v>
      </c>
      <c r="AB30" s="1176">
        <f>SUM(Y30:AA30)</f>
        <v>21</v>
      </c>
      <c r="AC30" s="1177"/>
      <c r="AD30" s="1177"/>
      <c r="AE30" s="1177">
        <v>12</v>
      </c>
      <c r="AF30" s="1176">
        <f>SUM(AC30:AE30)</f>
        <v>12</v>
      </c>
      <c r="AG30" s="1177"/>
      <c r="AH30" s="1177"/>
      <c r="AI30" s="1177">
        <v>23</v>
      </c>
      <c r="AJ30" s="1176">
        <f>SUM(AG30:AI30)</f>
        <v>23</v>
      </c>
      <c r="AK30" s="1177"/>
      <c r="AL30" s="1177"/>
      <c r="AM30" s="1177">
        <v>42</v>
      </c>
      <c r="AN30" s="1176">
        <f>SUM(AK30:AM30)</f>
        <v>42</v>
      </c>
      <c r="AO30" s="1177"/>
      <c r="AP30" s="1177"/>
      <c r="AQ30" s="1177">
        <v>47</v>
      </c>
      <c r="AR30" s="1147">
        <f>SUM(AO30:AQ30)</f>
        <v>47</v>
      </c>
      <c r="AS30" s="1177"/>
      <c r="AT30" s="1177"/>
      <c r="AU30" s="1177">
        <v>53</v>
      </c>
      <c r="AV30" s="1147">
        <f>SUM(AS30:AU30)</f>
        <v>53</v>
      </c>
      <c r="AW30" s="1177"/>
      <c r="AX30" s="1177"/>
      <c r="AY30" s="1177">
        <v>82</v>
      </c>
      <c r="AZ30" s="1147">
        <f>AW30+AX30+AY30</f>
        <v>82</v>
      </c>
      <c r="BA30" s="1177"/>
      <c r="BB30" s="1177"/>
      <c r="BC30" s="1177"/>
      <c r="BD30" s="1147"/>
      <c r="BE30" s="1177"/>
      <c r="BF30" s="1177"/>
      <c r="BG30" s="1177">
        <v>73</v>
      </c>
      <c r="BH30" s="1163">
        <f>BE30+BF30+BG30</f>
        <v>73</v>
      </c>
      <c r="BI30" s="1177"/>
      <c r="BJ30" s="1177"/>
      <c r="BK30" s="1177"/>
      <c r="BL30" s="1163">
        <f>BI30+BJ30+BK30</f>
        <v>0</v>
      </c>
      <c r="BM30" s="1177"/>
      <c r="BN30" s="1177"/>
      <c r="BO30" s="1177">
        <v>65</v>
      </c>
      <c r="BP30" s="1163">
        <f>BM30+BN30+BO30</f>
        <v>65</v>
      </c>
      <c r="BQ30" s="1177"/>
      <c r="BR30" s="1177"/>
      <c r="BS30" s="1177"/>
      <c r="BT30" s="1163">
        <f>BQ30+BR30+BS30</f>
        <v>0</v>
      </c>
    </row>
    <row r="31" spans="1:72" s="212" customFormat="1" ht="15" x14ac:dyDescent="0.25">
      <c r="A31" s="5458"/>
      <c r="B31" s="5458"/>
      <c r="C31" s="5458"/>
      <c r="D31" s="1152" t="s">
        <v>1397</v>
      </c>
      <c r="E31" s="1184"/>
      <c r="F31" s="1160"/>
      <c r="G31" s="1160"/>
      <c r="H31" s="1161"/>
      <c r="I31" s="1184"/>
      <c r="J31" s="1160"/>
      <c r="K31" s="1160"/>
      <c r="L31" s="1161"/>
      <c r="M31" s="1184"/>
      <c r="N31" s="1160"/>
      <c r="O31" s="1160"/>
      <c r="P31" s="1161"/>
      <c r="Q31" s="1184"/>
      <c r="R31" s="1160"/>
      <c r="S31" s="1160"/>
      <c r="T31" s="1161"/>
      <c r="U31" s="1184"/>
      <c r="V31" s="1160"/>
      <c r="W31" s="1160"/>
      <c r="X31" s="1161"/>
      <c r="Y31" s="1162"/>
      <c r="Z31" s="1162"/>
      <c r="AA31" s="1162"/>
      <c r="AB31" s="1161"/>
      <c r="AC31" s="1162"/>
      <c r="AD31" s="1162"/>
      <c r="AE31" s="1162"/>
      <c r="AF31" s="1161"/>
      <c r="AG31" s="1162"/>
      <c r="AH31" s="1162"/>
      <c r="AI31" s="1162"/>
      <c r="AJ31" s="1161"/>
      <c r="AK31" s="1162"/>
      <c r="AL31" s="1162"/>
      <c r="AM31" s="1162"/>
      <c r="AN31" s="1161"/>
      <c r="AO31" s="1162"/>
      <c r="AP31" s="1162"/>
      <c r="AQ31" s="1162"/>
      <c r="AR31" s="1163"/>
      <c r="AS31" s="1162"/>
      <c r="AT31" s="1162"/>
      <c r="AU31" s="1162"/>
      <c r="AV31" s="1163"/>
      <c r="AW31" s="1162"/>
      <c r="AX31" s="1162"/>
      <c r="AY31" s="1162"/>
      <c r="AZ31" s="1163"/>
      <c r="BA31" s="1162"/>
      <c r="BB31" s="1162"/>
      <c r="BC31" s="1162"/>
      <c r="BD31" s="1163"/>
      <c r="BE31" s="1162"/>
      <c r="BF31" s="1162"/>
      <c r="BG31" s="1162"/>
      <c r="BH31" s="1163"/>
      <c r="BI31" s="1162"/>
      <c r="BJ31" s="1162"/>
      <c r="BK31" s="1162"/>
      <c r="BL31" s="1163"/>
      <c r="BM31" s="1162"/>
      <c r="BN31" s="1162"/>
      <c r="BO31" s="1162"/>
      <c r="BP31" s="1163"/>
      <c r="BQ31" s="1162"/>
      <c r="BR31" s="1162"/>
      <c r="BS31" s="1162"/>
      <c r="BT31" s="1151">
        <f t="shared" ref="BT31" si="10">BQ31+BR31+BS31</f>
        <v>0</v>
      </c>
    </row>
    <row r="32" spans="1:72" s="212" customFormat="1" ht="15" x14ac:dyDescent="0.25">
      <c r="A32" s="5458"/>
      <c r="B32" s="5458"/>
      <c r="C32" s="5457" t="s">
        <v>527</v>
      </c>
      <c r="D32" s="1148" t="s">
        <v>404</v>
      </c>
      <c r="E32" s="1167">
        <v>15</v>
      </c>
      <c r="F32" s="1164"/>
      <c r="G32" s="1164"/>
      <c r="H32" s="1165">
        <v>15</v>
      </c>
      <c r="I32" s="1167">
        <v>12</v>
      </c>
      <c r="J32" s="1164"/>
      <c r="K32" s="1164">
        <v>16</v>
      </c>
      <c r="L32" s="1165">
        <v>28</v>
      </c>
      <c r="M32" s="1167">
        <v>4</v>
      </c>
      <c r="N32" s="1164">
        <v>17</v>
      </c>
      <c r="O32" s="1164">
        <v>1</v>
      </c>
      <c r="P32" s="1165">
        <v>22</v>
      </c>
      <c r="Q32" s="1167"/>
      <c r="R32" s="1164"/>
      <c r="S32" s="1164">
        <v>25</v>
      </c>
      <c r="T32" s="1165">
        <v>25</v>
      </c>
      <c r="U32" s="1167"/>
      <c r="V32" s="1164"/>
      <c r="W32" s="1164">
        <v>19</v>
      </c>
      <c r="X32" s="1165">
        <f>SUM(U32:W32)</f>
        <v>19</v>
      </c>
      <c r="Y32" s="1166"/>
      <c r="Z32" s="1166"/>
      <c r="AA32" s="1166">
        <v>11</v>
      </c>
      <c r="AB32" s="1165">
        <f>SUM(Y32:AA32)</f>
        <v>11</v>
      </c>
      <c r="AC32" s="1166"/>
      <c r="AD32" s="1166"/>
      <c r="AE32" s="1166">
        <v>20</v>
      </c>
      <c r="AF32" s="1165">
        <f>SUM(AC32:AE32)</f>
        <v>20</v>
      </c>
      <c r="AG32" s="1166"/>
      <c r="AH32" s="1166"/>
      <c r="AI32" s="1166">
        <v>21</v>
      </c>
      <c r="AJ32" s="1165">
        <f>SUM(AG32:AI32)</f>
        <v>21</v>
      </c>
      <c r="AK32" s="1166"/>
      <c r="AL32" s="1166"/>
      <c r="AM32" s="1166">
        <v>5</v>
      </c>
      <c r="AN32" s="1165">
        <f>SUM(AK32:AM32)</f>
        <v>5</v>
      </c>
      <c r="AO32" s="1166"/>
      <c r="AP32" s="1166"/>
      <c r="AQ32" s="1166">
        <v>6</v>
      </c>
      <c r="AR32" s="1151">
        <f>SUM(AO32:AQ32)</f>
        <v>6</v>
      </c>
      <c r="AS32" s="1166"/>
      <c r="AT32" s="1166"/>
      <c r="AU32" s="1166">
        <v>7</v>
      </c>
      <c r="AV32" s="1151">
        <f>SUM(AS32:AU32)</f>
        <v>7</v>
      </c>
      <c r="AW32" s="1166"/>
      <c r="AX32" s="1166"/>
      <c r="AY32" s="1166">
        <v>3</v>
      </c>
      <c r="AZ32" s="1151">
        <f>AW32+AX32+AY32</f>
        <v>3</v>
      </c>
      <c r="BA32" s="1166"/>
      <c r="BB32" s="1166"/>
      <c r="BC32" s="1166">
        <v>59</v>
      </c>
      <c r="BD32" s="1151">
        <f>BA32+BB32+BC32</f>
        <v>59</v>
      </c>
      <c r="BE32" s="1166"/>
      <c r="BF32" s="1166"/>
      <c r="BG32" s="1166">
        <v>7</v>
      </c>
      <c r="BH32" s="1151">
        <f>BE32+BF32+BG32</f>
        <v>7</v>
      </c>
      <c r="BI32" s="1166"/>
      <c r="BJ32" s="1166"/>
      <c r="BK32" s="1166">
        <v>47</v>
      </c>
      <c r="BL32" s="1151">
        <f>BI32+BJ32+BK32</f>
        <v>47</v>
      </c>
      <c r="BM32" s="1166"/>
      <c r="BN32" s="1166"/>
      <c r="BO32" s="1166">
        <v>7</v>
      </c>
      <c r="BP32" s="1151">
        <f>BM32+BN32+BO32</f>
        <v>7</v>
      </c>
      <c r="BQ32" s="1166"/>
      <c r="BR32" s="1166"/>
      <c r="BS32" s="1166"/>
      <c r="BT32" s="1151">
        <f>BQ32+BR32+BS32</f>
        <v>0</v>
      </c>
    </row>
    <row r="33" spans="1:72" s="212" customFormat="1" ht="15" x14ac:dyDescent="0.25">
      <c r="A33" s="5458"/>
      <c r="B33" s="5458"/>
      <c r="C33" s="5458"/>
      <c r="D33" s="1152" t="s">
        <v>1400</v>
      </c>
      <c r="E33" s="1167"/>
      <c r="F33" s="1164"/>
      <c r="G33" s="1164"/>
      <c r="H33" s="1165"/>
      <c r="I33" s="1167"/>
      <c r="J33" s="1164"/>
      <c r="K33" s="1164"/>
      <c r="L33" s="1165"/>
      <c r="M33" s="1167"/>
      <c r="N33" s="1164"/>
      <c r="O33" s="1164"/>
      <c r="P33" s="1165"/>
      <c r="Q33" s="1167"/>
      <c r="R33" s="1164"/>
      <c r="S33" s="1164"/>
      <c r="T33" s="1165"/>
      <c r="U33" s="1167"/>
      <c r="V33" s="1164"/>
      <c r="W33" s="1164"/>
      <c r="X33" s="1165"/>
      <c r="Y33" s="1166"/>
      <c r="Z33" s="1166"/>
      <c r="AA33" s="1166"/>
      <c r="AB33" s="1165"/>
      <c r="AC33" s="1166"/>
      <c r="AD33" s="1166"/>
      <c r="AE33" s="1166"/>
      <c r="AF33" s="1165"/>
      <c r="AG33" s="1166"/>
      <c r="AH33" s="1166"/>
      <c r="AI33" s="1166"/>
      <c r="AJ33" s="1165"/>
      <c r="AK33" s="1166"/>
      <c r="AL33" s="1166"/>
      <c r="AM33" s="1166"/>
      <c r="AN33" s="1165"/>
      <c r="AO33" s="1166"/>
      <c r="AP33" s="1166"/>
      <c r="AQ33" s="1166"/>
      <c r="AR33" s="1151"/>
      <c r="AS33" s="1166"/>
      <c r="AT33" s="1166"/>
      <c r="AU33" s="1166"/>
      <c r="AV33" s="1151"/>
      <c r="AW33" s="1166"/>
      <c r="AX33" s="1166"/>
      <c r="AY33" s="1166"/>
      <c r="AZ33" s="1151"/>
      <c r="BA33" s="1166"/>
      <c r="BB33" s="1166"/>
      <c r="BC33" s="1166"/>
      <c r="BD33" s="1151"/>
      <c r="BE33" s="1166"/>
      <c r="BF33" s="1166"/>
      <c r="BG33" s="1166"/>
      <c r="BH33" s="1151"/>
      <c r="BI33" s="1166"/>
      <c r="BJ33" s="1166"/>
      <c r="BK33" s="1166"/>
      <c r="BL33" s="1151"/>
      <c r="BM33" s="1166"/>
      <c r="BN33" s="1166"/>
      <c r="BO33" s="1166"/>
      <c r="BP33" s="1151"/>
      <c r="BQ33" s="1166"/>
      <c r="BR33" s="1166">
        <v>6</v>
      </c>
      <c r="BS33" s="1166">
        <v>5</v>
      </c>
      <c r="BT33" s="1151">
        <f t="shared" ref="BT33:BT38" si="11">BQ33+BR33+BS33</f>
        <v>11</v>
      </c>
    </row>
    <row r="34" spans="1:72" s="212" customFormat="1" ht="15" x14ac:dyDescent="0.25">
      <c r="A34" s="5458"/>
      <c r="B34" s="5458"/>
      <c r="C34" s="5458"/>
      <c r="D34" s="1152" t="s">
        <v>1395</v>
      </c>
      <c r="E34" s="1167"/>
      <c r="F34" s="1164"/>
      <c r="G34" s="1164"/>
      <c r="H34" s="1165"/>
      <c r="I34" s="1167"/>
      <c r="J34" s="1164"/>
      <c r="K34" s="1164"/>
      <c r="L34" s="1165"/>
      <c r="M34" s="1167"/>
      <c r="N34" s="1164"/>
      <c r="O34" s="1164"/>
      <c r="P34" s="1165"/>
      <c r="Q34" s="1167"/>
      <c r="R34" s="1164"/>
      <c r="S34" s="1164"/>
      <c r="T34" s="1165"/>
      <c r="U34" s="1167"/>
      <c r="V34" s="1164"/>
      <c r="W34" s="1164"/>
      <c r="X34" s="1165"/>
      <c r="Y34" s="1166"/>
      <c r="Z34" s="1166"/>
      <c r="AA34" s="1166"/>
      <c r="AB34" s="1165"/>
      <c r="AC34" s="1166"/>
      <c r="AD34" s="1166"/>
      <c r="AE34" s="1166"/>
      <c r="AF34" s="1165"/>
      <c r="AG34" s="1166"/>
      <c r="AH34" s="1166"/>
      <c r="AI34" s="1166"/>
      <c r="AJ34" s="1165"/>
      <c r="AK34" s="1166"/>
      <c r="AL34" s="1166"/>
      <c r="AM34" s="1166"/>
      <c r="AN34" s="1165"/>
      <c r="AO34" s="1166"/>
      <c r="AP34" s="1166"/>
      <c r="AQ34" s="1166"/>
      <c r="AR34" s="1151"/>
      <c r="AS34" s="1166"/>
      <c r="AT34" s="1166"/>
      <c r="AU34" s="1166"/>
      <c r="AV34" s="1151"/>
      <c r="AW34" s="1166"/>
      <c r="AX34" s="1166"/>
      <c r="AY34" s="1166"/>
      <c r="AZ34" s="1151"/>
      <c r="BA34" s="1166"/>
      <c r="BB34" s="1166"/>
      <c r="BC34" s="1166"/>
      <c r="BD34" s="1151"/>
      <c r="BE34" s="1166"/>
      <c r="BF34" s="1166"/>
      <c r="BG34" s="1166"/>
      <c r="BH34" s="1151"/>
      <c r="BI34" s="1166"/>
      <c r="BJ34" s="1166"/>
      <c r="BK34" s="1166"/>
      <c r="BL34" s="1151"/>
      <c r="BM34" s="1166"/>
      <c r="BN34" s="1166"/>
      <c r="BO34" s="1166"/>
      <c r="BP34" s="1151"/>
      <c r="BQ34" s="1166"/>
      <c r="BR34" s="1166">
        <v>3</v>
      </c>
      <c r="BS34" s="1166">
        <v>5</v>
      </c>
      <c r="BT34" s="1151">
        <f t="shared" si="11"/>
        <v>8</v>
      </c>
    </row>
    <row r="35" spans="1:72" s="212" customFormat="1" ht="15" x14ac:dyDescent="0.25">
      <c r="A35" s="5458"/>
      <c r="B35" s="5458"/>
      <c r="C35" s="5458"/>
      <c r="D35" s="1152" t="s">
        <v>1396</v>
      </c>
      <c r="E35" s="1167"/>
      <c r="F35" s="1164"/>
      <c r="G35" s="1164"/>
      <c r="H35" s="1165"/>
      <c r="I35" s="1167"/>
      <c r="J35" s="1164"/>
      <c r="K35" s="1164"/>
      <c r="L35" s="1165"/>
      <c r="M35" s="1167"/>
      <c r="N35" s="1164"/>
      <c r="O35" s="1164"/>
      <c r="P35" s="1165"/>
      <c r="Q35" s="1167"/>
      <c r="R35" s="1164"/>
      <c r="S35" s="1164"/>
      <c r="T35" s="1165"/>
      <c r="U35" s="1167"/>
      <c r="V35" s="1164"/>
      <c r="W35" s="1164"/>
      <c r="X35" s="1165"/>
      <c r="Y35" s="1166"/>
      <c r="Z35" s="1166"/>
      <c r="AA35" s="1166"/>
      <c r="AB35" s="1165"/>
      <c r="AC35" s="1166"/>
      <c r="AD35" s="1166"/>
      <c r="AE35" s="1166"/>
      <c r="AF35" s="1165"/>
      <c r="AG35" s="1166"/>
      <c r="AH35" s="1166"/>
      <c r="AI35" s="1166"/>
      <c r="AJ35" s="1165"/>
      <c r="AK35" s="1166"/>
      <c r="AL35" s="1166"/>
      <c r="AM35" s="1166"/>
      <c r="AN35" s="1165"/>
      <c r="AO35" s="1166"/>
      <c r="AP35" s="1166"/>
      <c r="AQ35" s="1166"/>
      <c r="AR35" s="1151"/>
      <c r="AS35" s="1166"/>
      <c r="AT35" s="1166"/>
      <c r="AU35" s="1166"/>
      <c r="AV35" s="1151"/>
      <c r="AW35" s="1166"/>
      <c r="AX35" s="1166"/>
      <c r="AY35" s="1166"/>
      <c r="AZ35" s="1151"/>
      <c r="BA35" s="1166"/>
      <c r="BB35" s="1166"/>
      <c r="BC35" s="1166"/>
      <c r="BD35" s="1151"/>
      <c r="BE35" s="1166"/>
      <c r="BF35" s="1166"/>
      <c r="BG35" s="1166"/>
      <c r="BH35" s="1151"/>
      <c r="BI35" s="1166"/>
      <c r="BJ35" s="1166"/>
      <c r="BK35" s="1166"/>
      <c r="BL35" s="1151"/>
      <c r="BM35" s="1166"/>
      <c r="BN35" s="1166"/>
      <c r="BO35" s="1166"/>
      <c r="BP35" s="1151"/>
      <c r="BQ35" s="1166"/>
      <c r="BR35" s="1166">
        <v>20</v>
      </c>
      <c r="BS35" s="1166"/>
      <c r="BT35" s="1151">
        <f t="shared" si="11"/>
        <v>20</v>
      </c>
    </row>
    <row r="36" spans="1:72" s="212" customFormat="1" ht="15" x14ac:dyDescent="0.25">
      <c r="A36" s="5458"/>
      <c r="B36" s="5458"/>
      <c r="C36" s="5458"/>
      <c r="D36" s="1152" t="s">
        <v>1397</v>
      </c>
      <c r="E36" s="1167"/>
      <c r="F36" s="1164"/>
      <c r="G36" s="1164"/>
      <c r="H36" s="1165"/>
      <c r="I36" s="1167"/>
      <c r="J36" s="1164"/>
      <c r="K36" s="1164"/>
      <c r="L36" s="1165"/>
      <c r="M36" s="1167"/>
      <c r="N36" s="1164"/>
      <c r="O36" s="1164"/>
      <c r="P36" s="1165"/>
      <c r="Q36" s="1167"/>
      <c r="R36" s="1164"/>
      <c r="S36" s="1164"/>
      <c r="T36" s="1165"/>
      <c r="U36" s="1167"/>
      <c r="V36" s="1164"/>
      <c r="W36" s="1164"/>
      <c r="X36" s="1165"/>
      <c r="Y36" s="1166"/>
      <c r="Z36" s="1166"/>
      <c r="AA36" s="1166"/>
      <c r="AB36" s="1165"/>
      <c r="AC36" s="1166"/>
      <c r="AD36" s="1166"/>
      <c r="AE36" s="1166"/>
      <c r="AF36" s="1165"/>
      <c r="AG36" s="1166"/>
      <c r="AH36" s="1166"/>
      <c r="AI36" s="1166"/>
      <c r="AJ36" s="1165"/>
      <c r="AK36" s="1166"/>
      <c r="AL36" s="1166"/>
      <c r="AM36" s="1166"/>
      <c r="AN36" s="1165"/>
      <c r="AO36" s="1166"/>
      <c r="AP36" s="1166"/>
      <c r="AQ36" s="1166"/>
      <c r="AR36" s="1151"/>
      <c r="AS36" s="1166"/>
      <c r="AT36" s="1166"/>
      <c r="AU36" s="1166"/>
      <c r="AV36" s="1151"/>
      <c r="AW36" s="1166"/>
      <c r="AX36" s="1166"/>
      <c r="AY36" s="1166"/>
      <c r="AZ36" s="1151"/>
      <c r="BA36" s="1166"/>
      <c r="BB36" s="1166"/>
      <c r="BC36" s="1166"/>
      <c r="BD36" s="1151"/>
      <c r="BE36" s="1166"/>
      <c r="BF36" s="1166"/>
      <c r="BG36" s="1166"/>
      <c r="BH36" s="1151"/>
      <c r="BI36" s="1166"/>
      <c r="BJ36" s="1166"/>
      <c r="BK36" s="1166"/>
      <c r="BL36" s="1151"/>
      <c r="BM36" s="1166"/>
      <c r="BN36" s="1166"/>
      <c r="BO36" s="1166"/>
      <c r="BP36" s="1151"/>
      <c r="BQ36" s="1166">
        <v>2</v>
      </c>
      <c r="BR36" s="1166"/>
      <c r="BS36" s="1166">
        <v>5</v>
      </c>
      <c r="BT36" s="1151">
        <f t="shared" si="11"/>
        <v>7</v>
      </c>
    </row>
    <row r="37" spans="1:72" s="212" customFormat="1" ht="15" x14ac:dyDescent="0.25">
      <c r="A37" s="5458"/>
      <c r="B37" s="5458"/>
      <c r="C37" s="5458"/>
      <c r="D37" s="1152" t="s">
        <v>1398</v>
      </c>
      <c r="E37" s="1167"/>
      <c r="F37" s="1164"/>
      <c r="G37" s="1164"/>
      <c r="H37" s="1165"/>
      <c r="I37" s="1167"/>
      <c r="J37" s="1164"/>
      <c r="K37" s="1164"/>
      <c r="L37" s="1165"/>
      <c r="M37" s="1167"/>
      <c r="N37" s="1164"/>
      <c r="O37" s="1164"/>
      <c r="P37" s="1165"/>
      <c r="Q37" s="1167"/>
      <c r="R37" s="1164"/>
      <c r="S37" s="1164"/>
      <c r="T37" s="1165"/>
      <c r="U37" s="1167"/>
      <c r="V37" s="1164"/>
      <c r="W37" s="1164"/>
      <c r="X37" s="1165"/>
      <c r="Y37" s="1166"/>
      <c r="Z37" s="1166"/>
      <c r="AA37" s="1166"/>
      <c r="AB37" s="1165"/>
      <c r="AC37" s="1166"/>
      <c r="AD37" s="1166"/>
      <c r="AE37" s="1166"/>
      <c r="AF37" s="1165"/>
      <c r="AG37" s="1166"/>
      <c r="AH37" s="1166"/>
      <c r="AI37" s="1166"/>
      <c r="AJ37" s="1165"/>
      <c r="AK37" s="1166"/>
      <c r="AL37" s="1166"/>
      <c r="AM37" s="1166"/>
      <c r="AN37" s="1165"/>
      <c r="AO37" s="1166"/>
      <c r="AP37" s="1166"/>
      <c r="AQ37" s="1166"/>
      <c r="AR37" s="1151"/>
      <c r="AS37" s="1166"/>
      <c r="AT37" s="1166"/>
      <c r="AU37" s="1166"/>
      <c r="AV37" s="1151"/>
      <c r="AW37" s="1166"/>
      <c r="AX37" s="1166"/>
      <c r="AY37" s="1166"/>
      <c r="AZ37" s="1151"/>
      <c r="BA37" s="1166"/>
      <c r="BB37" s="1166"/>
      <c r="BC37" s="1166"/>
      <c r="BD37" s="1151"/>
      <c r="BE37" s="1166"/>
      <c r="BF37" s="1166"/>
      <c r="BG37" s="1166"/>
      <c r="BH37" s="1151"/>
      <c r="BI37" s="1166"/>
      <c r="BJ37" s="1166"/>
      <c r="BK37" s="1166"/>
      <c r="BL37" s="1151"/>
      <c r="BM37" s="1166"/>
      <c r="BN37" s="1166"/>
      <c r="BO37" s="1166"/>
      <c r="BP37" s="1151"/>
      <c r="BQ37" s="1166"/>
      <c r="BR37" s="1166">
        <v>6</v>
      </c>
      <c r="BS37" s="1166">
        <v>5</v>
      </c>
      <c r="BT37" s="1151">
        <f t="shared" si="11"/>
        <v>11</v>
      </c>
    </row>
    <row r="38" spans="1:72" s="212" customFormat="1" ht="30" x14ac:dyDescent="0.25">
      <c r="A38" s="5458"/>
      <c r="B38" s="5458"/>
      <c r="C38" s="5460"/>
      <c r="D38" s="1152" t="s">
        <v>1399</v>
      </c>
      <c r="E38" s="1167"/>
      <c r="F38" s="1164"/>
      <c r="G38" s="1164"/>
      <c r="H38" s="1165"/>
      <c r="I38" s="1167"/>
      <c r="J38" s="1164"/>
      <c r="K38" s="1164"/>
      <c r="L38" s="1165"/>
      <c r="M38" s="1167"/>
      <c r="N38" s="1164"/>
      <c r="O38" s="1164"/>
      <c r="P38" s="1165"/>
      <c r="Q38" s="1167"/>
      <c r="R38" s="1164"/>
      <c r="S38" s="1164"/>
      <c r="T38" s="1165"/>
      <c r="U38" s="1167"/>
      <c r="V38" s="1164"/>
      <c r="W38" s="1164"/>
      <c r="X38" s="1165"/>
      <c r="Y38" s="1166"/>
      <c r="Z38" s="1166"/>
      <c r="AA38" s="1166"/>
      <c r="AB38" s="1165"/>
      <c r="AC38" s="1166"/>
      <c r="AD38" s="1166"/>
      <c r="AE38" s="1166"/>
      <c r="AF38" s="1165"/>
      <c r="AG38" s="1166"/>
      <c r="AH38" s="1166"/>
      <c r="AI38" s="1166"/>
      <c r="AJ38" s="1165"/>
      <c r="AK38" s="1166"/>
      <c r="AL38" s="1166"/>
      <c r="AM38" s="1166"/>
      <c r="AN38" s="1165"/>
      <c r="AO38" s="1166"/>
      <c r="AP38" s="1166"/>
      <c r="AQ38" s="1166"/>
      <c r="AR38" s="1151"/>
      <c r="AS38" s="1166"/>
      <c r="AT38" s="1166"/>
      <c r="AU38" s="1166"/>
      <c r="AV38" s="1151"/>
      <c r="AW38" s="1166"/>
      <c r="AX38" s="1166"/>
      <c r="AY38" s="1166"/>
      <c r="AZ38" s="1151"/>
      <c r="BA38" s="1166"/>
      <c r="BB38" s="1166"/>
      <c r="BC38" s="1166"/>
      <c r="BD38" s="1151"/>
      <c r="BE38" s="1166"/>
      <c r="BF38" s="1166"/>
      <c r="BG38" s="1166"/>
      <c r="BH38" s="1151"/>
      <c r="BI38" s="1166"/>
      <c r="BJ38" s="1166"/>
      <c r="BK38" s="1166"/>
      <c r="BL38" s="1151"/>
      <c r="BM38" s="1166"/>
      <c r="BN38" s="1166"/>
      <c r="BO38" s="1166"/>
      <c r="BP38" s="1151"/>
      <c r="BQ38" s="1166"/>
      <c r="BR38" s="1166">
        <v>3</v>
      </c>
      <c r="BS38" s="1166">
        <v>4</v>
      </c>
      <c r="BT38" s="1151">
        <f t="shared" si="11"/>
        <v>7</v>
      </c>
    </row>
    <row r="39" spans="1:72" s="212" customFormat="1" ht="15" x14ac:dyDescent="0.25">
      <c r="A39" s="5458"/>
      <c r="B39" s="5458"/>
      <c r="C39" s="5457" t="s">
        <v>526</v>
      </c>
      <c r="D39" s="1152" t="s">
        <v>405</v>
      </c>
      <c r="E39" s="1149">
        <v>4</v>
      </c>
      <c r="F39" s="1150"/>
      <c r="G39" s="1150">
        <v>14</v>
      </c>
      <c r="H39" s="1151">
        <v>18</v>
      </c>
      <c r="I39" s="1149">
        <v>2</v>
      </c>
      <c r="J39" s="1150">
        <v>1</v>
      </c>
      <c r="K39" s="1150"/>
      <c r="L39" s="1151">
        <v>3</v>
      </c>
      <c r="M39" s="1149"/>
      <c r="N39" s="1150"/>
      <c r="O39" s="1150">
        <v>12</v>
      </c>
      <c r="P39" s="1151">
        <v>12</v>
      </c>
      <c r="Q39" s="1149">
        <v>1</v>
      </c>
      <c r="R39" s="1150"/>
      <c r="S39" s="1150">
        <v>5</v>
      </c>
      <c r="T39" s="1151">
        <v>6</v>
      </c>
      <c r="U39" s="1149"/>
      <c r="V39" s="1150"/>
      <c r="W39" s="1150"/>
      <c r="X39" s="1151"/>
      <c r="Y39" s="1150"/>
      <c r="Z39" s="1150"/>
      <c r="AA39" s="1150"/>
      <c r="AB39" s="1151"/>
      <c r="AC39" s="1150"/>
      <c r="AD39" s="1150"/>
      <c r="AE39" s="1150">
        <v>6</v>
      </c>
      <c r="AF39" s="1151">
        <f>SUM(AC39:AE39)</f>
        <v>6</v>
      </c>
      <c r="AG39" s="1150"/>
      <c r="AH39" s="1150"/>
      <c r="AI39" s="1150">
        <v>4</v>
      </c>
      <c r="AJ39" s="1151">
        <f>SUM(AG39:AI39)</f>
        <v>4</v>
      </c>
      <c r="AK39" s="1150"/>
      <c r="AL39" s="1150"/>
      <c r="AM39" s="1150">
        <v>8</v>
      </c>
      <c r="AN39" s="1151">
        <f>SUM(AK39:AM39)</f>
        <v>8</v>
      </c>
      <c r="AO39" s="1150"/>
      <c r="AP39" s="1150"/>
      <c r="AQ39" s="1150">
        <v>11</v>
      </c>
      <c r="AR39" s="1151">
        <f>SUM(AO39:AQ39)</f>
        <v>11</v>
      </c>
      <c r="AS39" s="1150"/>
      <c r="AT39" s="1150"/>
      <c r="AU39" s="1150">
        <v>12</v>
      </c>
      <c r="AV39" s="1151">
        <f>SUM(AS39:AU39)</f>
        <v>12</v>
      </c>
      <c r="AW39" s="1150"/>
      <c r="AX39" s="1150"/>
      <c r="AY39" s="1150">
        <v>15</v>
      </c>
      <c r="AZ39" s="1151">
        <f>AW39+AX39+AY39</f>
        <v>15</v>
      </c>
      <c r="BA39" s="1150"/>
      <c r="BB39" s="1150"/>
      <c r="BC39" s="1150">
        <v>3</v>
      </c>
      <c r="BD39" s="1151">
        <f>BA39+BB39+BC39</f>
        <v>3</v>
      </c>
      <c r="BE39" s="1150"/>
      <c r="BF39" s="1150"/>
      <c r="BG39" s="1150">
        <v>24</v>
      </c>
      <c r="BH39" s="1151">
        <f>BE39+BF39+BG39</f>
        <v>24</v>
      </c>
      <c r="BI39" s="1150"/>
      <c r="BJ39" s="1150"/>
      <c r="BK39" s="1150">
        <v>3</v>
      </c>
      <c r="BL39" s="1151">
        <f>BI39+BJ39+BK39</f>
        <v>3</v>
      </c>
      <c r="BM39" s="1150"/>
      <c r="BN39" s="1150"/>
      <c r="BO39" s="1150">
        <v>39</v>
      </c>
      <c r="BP39" s="1151">
        <f>BM39+BN39+BO39</f>
        <v>39</v>
      </c>
      <c r="BQ39" s="1150"/>
      <c r="BR39" s="1150"/>
      <c r="BS39" s="1150"/>
      <c r="BT39" s="1151">
        <f>BQ39+BR39+BS39</f>
        <v>0</v>
      </c>
    </row>
    <row r="40" spans="1:72" s="212" customFormat="1" ht="15" x14ac:dyDescent="0.25">
      <c r="A40" s="5458"/>
      <c r="B40" s="5458"/>
      <c r="C40" s="5458"/>
      <c r="D40" s="1152" t="s">
        <v>1400</v>
      </c>
      <c r="E40" s="1568"/>
      <c r="F40" s="1569"/>
      <c r="G40" s="1569"/>
      <c r="H40" s="1173"/>
      <c r="I40" s="1568"/>
      <c r="J40" s="1569"/>
      <c r="K40" s="1569"/>
      <c r="L40" s="1173"/>
      <c r="M40" s="1568"/>
      <c r="N40" s="1569"/>
      <c r="O40" s="1569"/>
      <c r="P40" s="1173"/>
      <c r="Q40" s="1568"/>
      <c r="R40" s="1569"/>
      <c r="S40" s="1569"/>
      <c r="T40" s="1173"/>
      <c r="U40" s="1568"/>
      <c r="V40" s="1569"/>
      <c r="W40" s="1569"/>
      <c r="X40" s="1173"/>
      <c r="Y40" s="1569"/>
      <c r="Z40" s="1569"/>
      <c r="AA40" s="1569"/>
      <c r="AB40" s="1173"/>
      <c r="AC40" s="1569"/>
      <c r="AD40" s="1569"/>
      <c r="AE40" s="1569"/>
      <c r="AF40" s="1173"/>
      <c r="AG40" s="1569"/>
      <c r="AH40" s="1569"/>
      <c r="AI40" s="1569"/>
      <c r="AJ40" s="1173"/>
      <c r="AK40" s="1569"/>
      <c r="AL40" s="1569"/>
      <c r="AM40" s="1569"/>
      <c r="AN40" s="1173"/>
      <c r="AO40" s="1569"/>
      <c r="AP40" s="1569"/>
      <c r="AQ40" s="1569"/>
      <c r="AR40" s="1173"/>
      <c r="AS40" s="1569"/>
      <c r="AT40" s="1569"/>
      <c r="AU40" s="1569"/>
      <c r="AV40" s="1173"/>
      <c r="AW40" s="1569"/>
      <c r="AX40" s="1569"/>
      <c r="AY40" s="1569"/>
      <c r="AZ40" s="1173"/>
      <c r="BA40" s="1569"/>
      <c r="BB40" s="1569"/>
      <c r="BC40" s="1569"/>
      <c r="BD40" s="1173"/>
      <c r="BE40" s="1569"/>
      <c r="BF40" s="1569"/>
      <c r="BG40" s="1569"/>
      <c r="BH40" s="1173"/>
      <c r="BI40" s="1569"/>
      <c r="BJ40" s="1569"/>
      <c r="BK40" s="1569"/>
      <c r="BL40" s="1173"/>
      <c r="BM40" s="1569"/>
      <c r="BN40" s="1569"/>
      <c r="BO40" s="1569"/>
      <c r="BP40" s="1173"/>
      <c r="BQ40" s="1569"/>
      <c r="BR40" s="1569"/>
      <c r="BS40" s="1569"/>
      <c r="BT40" s="1151">
        <f t="shared" ref="BT40:BT45" si="12">BQ40+BR40+BS40</f>
        <v>0</v>
      </c>
    </row>
    <row r="41" spans="1:72" s="212" customFormat="1" ht="15" x14ac:dyDescent="0.25">
      <c r="A41" s="5458"/>
      <c r="B41" s="5458"/>
      <c r="C41" s="5458"/>
      <c r="D41" s="1152" t="s">
        <v>1395</v>
      </c>
      <c r="E41" s="1568"/>
      <c r="F41" s="1569"/>
      <c r="G41" s="1569"/>
      <c r="H41" s="1173"/>
      <c r="I41" s="1568"/>
      <c r="J41" s="1569"/>
      <c r="K41" s="1569"/>
      <c r="L41" s="1173"/>
      <c r="M41" s="1568"/>
      <c r="N41" s="1569"/>
      <c r="O41" s="1569"/>
      <c r="P41" s="1173"/>
      <c r="Q41" s="1568"/>
      <c r="R41" s="1569"/>
      <c r="S41" s="1569"/>
      <c r="T41" s="1173"/>
      <c r="U41" s="1568"/>
      <c r="V41" s="1569"/>
      <c r="W41" s="1569"/>
      <c r="X41" s="1173"/>
      <c r="Y41" s="1569"/>
      <c r="Z41" s="1569"/>
      <c r="AA41" s="1569"/>
      <c r="AB41" s="1173"/>
      <c r="AC41" s="1569"/>
      <c r="AD41" s="1569"/>
      <c r="AE41" s="1569"/>
      <c r="AF41" s="1173"/>
      <c r="AG41" s="1569"/>
      <c r="AH41" s="1569"/>
      <c r="AI41" s="1569"/>
      <c r="AJ41" s="1173"/>
      <c r="AK41" s="1569"/>
      <c r="AL41" s="1569"/>
      <c r="AM41" s="1569"/>
      <c r="AN41" s="1173"/>
      <c r="AO41" s="1569"/>
      <c r="AP41" s="1569"/>
      <c r="AQ41" s="1569"/>
      <c r="AR41" s="1173"/>
      <c r="AS41" s="1569"/>
      <c r="AT41" s="1569"/>
      <c r="AU41" s="1569"/>
      <c r="AV41" s="1173"/>
      <c r="AW41" s="1569"/>
      <c r="AX41" s="1569"/>
      <c r="AY41" s="1569"/>
      <c r="AZ41" s="1173"/>
      <c r="BA41" s="1569"/>
      <c r="BB41" s="1569"/>
      <c r="BC41" s="1569"/>
      <c r="BD41" s="1173"/>
      <c r="BE41" s="1569"/>
      <c r="BF41" s="1569"/>
      <c r="BG41" s="1569"/>
      <c r="BH41" s="1173"/>
      <c r="BI41" s="1569"/>
      <c r="BJ41" s="1569"/>
      <c r="BK41" s="1569"/>
      <c r="BL41" s="1173"/>
      <c r="BM41" s="1569"/>
      <c r="BN41" s="1569"/>
      <c r="BO41" s="1569"/>
      <c r="BP41" s="1173"/>
      <c r="BQ41" s="1569">
        <v>2</v>
      </c>
      <c r="BR41" s="1569"/>
      <c r="BS41" s="1569"/>
      <c r="BT41" s="1151">
        <f t="shared" si="12"/>
        <v>2</v>
      </c>
    </row>
    <row r="42" spans="1:72" s="212" customFormat="1" ht="15" x14ac:dyDescent="0.25">
      <c r="A42" s="5458"/>
      <c r="B42" s="5458"/>
      <c r="C42" s="5458"/>
      <c r="D42" s="1152" t="s">
        <v>1396</v>
      </c>
      <c r="E42" s="1568"/>
      <c r="F42" s="1569"/>
      <c r="G42" s="1569"/>
      <c r="H42" s="1173"/>
      <c r="I42" s="1568"/>
      <c r="J42" s="1569"/>
      <c r="K42" s="1569"/>
      <c r="L42" s="1173"/>
      <c r="M42" s="1568"/>
      <c r="N42" s="1569"/>
      <c r="O42" s="1569"/>
      <c r="P42" s="1173"/>
      <c r="Q42" s="1568"/>
      <c r="R42" s="1569"/>
      <c r="S42" s="1569"/>
      <c r="T42" s="1173"/>
      <c r="U42" s="1568"/>
      <c r="V42" s="1569"/>
      <c r="W42" s="1569"/>
      <c r="X42" s="1173"/>
      <c r="Y42" s="1569"/>
      <c r="Z42" s="1569"/>
      <c r="AA42" s="1569"/>
      <c r="AB42" s="1173"/>
      <c r="AC42" s="1569"/>
      <c r="AD42" s="1569"/>
      <c r="AE42" s="1569"/>
      <c r="AF42" s="1173"/>
      <c r="AG42" s="1569"/>
      <c r="AH42" s="1569"/>
      <c r="AI42" s="1569"/>
      <c r="AJ42" s="1173"/>
      <c r="AK42" s="1569"/>
      <c r="AL42" s="1569"/>
      <c r="AM42" s="1569"/>
      <c r="AN42" s="1173"/>
      <c r="AO42" s="1569"/>
      <c r="AP42" s="1569"/>
      <c r="AQ42" s="1569"/>
      <c r="AR42" s="1173"/>
      <c r="AS42" s="1569"/>
      <c r="AT42" s="1569"/>
      <c r="AU42" s="1569"/>
      <c r="AV42" s="1173"/>
      <c r="AW42" s="1569"/>
      <c r="AX42" s="1569"/>
      <c r="AY42" s="1569"/>
      <c r="AZ42" s="1173"/>
      <c r="BA42" s="1569"/>
      <c r="BB42" s="1569"/>
      <c r="BC42" s="1569"/>
      <c r="BD42" s="1173"/>
      <c r="BE42" s="1569"/>
      <c r="BF42" s="1569"/>
      <c r="BG42" s="1569"/>
      <c r="BH42" s="1173"/>
      <c r="BI42" s="1569"/>
      <c r="BJ42" s="1569"/>
      <c r="BK42" s="1569"/>
      <c r="BL42" s="1173"/>
      <c r="BM42" s="1569"/>
      <c r="BN42" s="1569"/>
      <c r="BO42" s="1569"/>
      <c r="BP42" s="1173"/>
      <c r="BQ42" s="1569">
        <v>4</v>
      </c>
      <c r="BR42" s="1569"/>
      <c r="BS42" s="1569"/>
      <c r="BT42" s="1151">
        <f t="shared" si="12"/>
        <v>4</v>
      </c>
    </row>
    <row r="43" spans="1:72" s="212" customFormat="1" ht="15" x14ac:dyDescent="0.25">
      <c r="A43" s="5458"/>
      <c r="B43" s="5458"/>
      <c r="C43" s="5458"/>
      <c r="D43" s="1152" t="s">
        <v>1397</v>
      </c>
      <c r="E43" s="1568"/>
      <c r="F43" s="1569"/>
      <c r="G43" s="1569"/>
      <c r="H43" s="1173"/>
      <c r="I43" s="1568"/>
      <c r="J43" s="1569"/>
      <c r="K43" s="1569"/>
      <c r="L43" s="1173"/>
      <c r="M43" s="1568"/>
      <c r="N43" s="1569"/>
      <c r="O43" s="1569"/>
      <c r="P43" s="1173"/>
      <c r="Q43" s="1568"/>
      <c r="R43" s="1569"/>
      <c r="S43" s="1569"/>
      <c r="T43" s="1173"/>
      <c r="U43" s="1568"/>
      <c r="V43" s="1569"/>
      <c r="W43" s="1569"/>
      <c r="X43" s="1173"/>
      <c r="Y43" s="1569"/>
      <c r="Z43" s="1569"/>
      <c r="AA43" s="1569"/>
      <c r="AB43" s="1173"/>
      <c r="AC43" s="1569"/>
      <c r="AD43" s="1569"/>
      <c r="AE43" s="1569"/>
      <c r="AF43" s="1173"/>
      <c r="AG43" s="1569"/>
      <c r="AH43" s="1569"/>
      <c r="AI43" s="1569"/>
      <c r="AJ43" s="1173"/>
      <c r="AK43" s="1569"/>
      <c r="AL43" s="1569"/>
      <c r="AM43" s="1569"/>
      <c r="AN43" s="1173"/>
      <c r="AO43" s="1569"/>
      <c r="AP43" s="1569"/>
      <c r="AQ43" s="1569"/>
      <c r="AR43" s="1173"/>
      <c r="AS43" s="1569"/>
      <c r="AT43" s="1569"/>
      <c r="AU43" s="1569"/>
      <c r="AV43" s="1173"/>
      <c r="AW43" s="1569"/>
      <c r="AX43" s="1569"/>
      <c r="AY43" s="1569"/>
      <c r="AZ43" s="1173"/>
      <c r="BA43" s="1569"/>
      <c r="BB43" s="1569"/>
      <c r="BC43" s="1569"/>
      <c r="BD43" s="1173"/>
      <c r="BE43" s="1569"/>
      <c r="BF43" s="1569"/>
      <c r="BG43" s="1569"/>
      <c r="BH43" s="1173"/>
      <c r="BI43" s="1569"/>
      <c r="BJ43" s="1569"/>
      <c r="BK43" s="1569"/>
      <c r="BL43" s="1173"/>
      <c r="BM43" s="1569"/>
      <c r="BN43" s="1569"/>
      <c r="BO43" s="1569"/>
      <c r="BP43" s="1173"/>
      <c r="BQ43" s="1569"/>
      <c r="BR43" s="1569"/>
      <c r="BS43" s="1569"/>
      <c r="BT43" s="1151">
        <f t="shared" si="12"/>
        <v>0</v>
      </c>
    </row>
    <row r="44" spans="1:72" s="212" customFormat="1" ht="15" x14ac:dyDescent="0.25">
      <c r="A44" s="5458"/>
      <c r="B44" s="5458"/>
      <c r="C44" s="5458"/>
      <c r="D44" s="1152" t="s">
        <v>1398</v>
      </c>
      <c r="E44" s="1568"/>
      <c r="F44" s="1569"/>
      <c r="G44" s="1569"/>
      <c r="H44" s="1173"/>
      <c r="I44" s="1568"/>
      <c r="J44" s="1569"/>
      <c r="K44" s="1569"/>
      <c r="L44" s="1173"/>
      <c r="M44" s="1568"/>
      <c r="N44" s="1569"/>
      <c r="O44" s="1569"/>
      <c r="P44" s="1173"/>
      <c r="Q44" s="1568"/>
      <c r="R44" s="1569"/>
      <c r="S44" s="1569"/>
      <c r="T44" s="1173"/>
      <c r="U44" s="1568"/>
      <c r="V44" s="1569"/>
      <c r="W44" s="1569"/>
      <c r="X44" s="1173"/>
      <c r="Y44" s="1569"/>
      <c r="Z44" s="1569"/>
      <c r="AA44" s="1569"/>
      <c r="AB44" s="1173"/>
      <c r="AC44" s="1569"/>
      <c r="AD44" s="1569"/>
      <c r="AE44" s="1569"/>
      <c r="AF44" s="1173"/>
      <c r="AG44" s="1569"/>
      <c r="AH44" s="1569"/>
      <c r="AI44" s="1569"/>
      <c r="AJ44" s="1173"/>
      <c r="AK44" s="1569"/>
      <c r="AL44" s="1569"/>
      <c r="AM44" s="1569"/>
      <c r="AN44" s="1173"/>
      <c r="AO44" s="1569"/>
      <c r="AP44" s="1569"/>
      <c r="AQ44" s="1569"/>
      <c r="AR44" s="1173"/>
      <c r="AS44" s="1569"/>
      <c r="AT44" s="1569"/>
      <c r="AU44" s="1569"/>
      <c r="AV44" s="1173"/>
      <c r="AW44" s="1569"/>
      <c r="AX44" s="1569"/>
      <c r="AY44" s="1569"/>
      <c r="AZ44" s="1173"/>
      <c r="BA44" s="1569"/>
      <c r="BB44" s="1569"/>
      <c r="BC44" s="1569"/>
      <c r="BD44" s="1173"/>
      <c r="BE44" s="1569"/>
      <c r="BF44" s="1569"/>
      <c r="BG44" s="1569"/>
      <c r="BH44" s="1173"/>
      <c r="BI44" s="1569"/>
      <c r="BJ44" s="1569"/>
      <c r="BK44" s="1569"/>
      <c r="BL44" s="1173"/>
      <c r="BM44" s="1569"/>
      <c r="BN44" s="1569"/>
      <c r="BO44" s="1569"/>
      <c r="BP44" s="1173"/>
      <c r="BQ44" s="1569">
        <v>1</v>
      </c>
      <c r="BR44" s="1569"/>
      <c r="BS44" s="1569"/>
      <c r="BT44" s="1151">
        <f t="shared" si="12"/>
        <v>1</v>
      </c>
    </row>
    <row r="45" spans="1:72" s="212" customFormat="1" ht="30" x14ac:dyDescent="0.25">
      <c r="A45" s="5458"/>
      <c r="B45" s="5458"/>
      <c r="C45" s="5458"/>
      <c r="D45" s="1152" t="s">
        <v>1399</v>
      </c>
      <c r="E45" s="1568"/>
      <c r="F45" s="1569"/>
      <c r="G45" s="1569"/>
      <c r="H45" s="1173"/>
      <c r="I45" s="1568"/>
      <c r="J45" s="1569"/>
      <c r="K45" s="1569"/>
      <c r="L45" s="1173"/>
      <c r="M45" s="1568"/>
      <c r="N45" s="1569"/>
      <c r="O45" s="1569"/>
      <c r="P45" s="1173"/>
      <c r="Q45" s="1568"/>
      <c r="R45" s="1569"/>
      <c r="S45" s="1569"/>
      <c r="T45" s="1173"/>
      <c r="U45" s="1568"/>
      <c r="V45" s="1569"/>
      <c r="W45" s="1569"/>
      <c r="X45" s="1173"/>
      <c r="Y45" s="1569"/>
      <c r="Z45" s="1569"/>
      <c r="AA45" s="1569"/>
      <c r="AB45" s="1173"/>
      <c r="AC45" s="1569"/>
      <c r="AD45" s="1569"/>
      <c r="AE45" s="1569"/>
      <c r="AF45" s="1173"/>
      <c r="AG45" s="1569"/>
      <c r="AH45" s="1569"/>
      <c r="AI45" s="1569"/>
      <c r="AJ45" s="1173"/>
      <c r="AK45" s="1569"/>
      <c r="AL45" s="1569"/>
      <c r="AM45" s="1569"/>
      <c r="AN45" s="1173"/>
      <c r="AO45" s="1569"/>
      <c r="AP45" s="1569"/>
      <c r="AQ45" s="1569"/>
      <c r="AR45" s="1173"/>
      <c r="AS45" s="1569"/>
      <c r="AT45" s="1569"/>
      <c r="AU45" s="1569"/>
      <c r="AV45" s="1173"/>
      <c r="AW45" s="1569"/>
      <c r="AX45" s="1569"/>
      <c r="AY45" s="1569"/>
      <c r="AZ45" s="1173"/>
      <c r="BA45" s="1569"/>
      <c r="BB45" s="1569"/>
      <c r="BC45" s="1569"/>
      <c r="BD45" s="1173"/>
      <c r="BE45" s="1569"/>
      <c r="BF45" s="1569"/>
      <c r="BG45" s="1569"/>
      <c r="BH45" s="1173"/>
      <c r="BI45" s="1569"/>
      <c r="BJ45" s="1569"/>
      <c r="BK45" s="1569"/>
      <c r="BL45" s="1173"/>
      <c r="BM45" s="1569"/>
      <c r="BN45" s="1569"/>
      <c r="BO45" s="1569"/>
      <c r="BP45" s="1173"/>
      <c r="BQ45" s="1569"/>
      <c r="BR45" s="1569"/>
      <c r="BS45" s="1569"/>
      <c r="BT45" s="1151">
        <f t="shared" si="12"/>
        <v>0</v>
      </c>
    </row>
    <row r="46" spans="1:72" s="212" customFormat="1" ht="15" x14ac:dyDescent="0.25">
      <c r="A46" s="5458"/>
      <c r="B46" s="5458"/>
      <c r="C46" s="1178"/>
      <c r="D46" s="1154" t="s">
        <v>451</v>
      </c>
      <c r="E46" s="1155">
        <f>SUM(E30:E39)</f>
        <v>57</v>
      </c>
      <c r="F46" s="1156"/>
      <c r="G46" s="1156">
        <f t="shared" ref="G46:Q46" si="13">SUM(G30:G39)</f>
        <v>31</v>
      </c>
      <c r="H46" s="1157">
        <f t="shared" si="13"/>
        <v>88</v>
      </c>
      <c r="I46" s="1155">
        <f t="shared" si="13"/>
        <v>35</v>
      </c>
      <c r="J46" s="1156">
        <f t="shared" si="13"/>
        <v>1</v>
      </c>
      <c r="K46" s="1156">
        <f t="shared" si="13"/>
        <v>46</v>
      </c>
      <c r="L46" s="1157">
        <f t="shared" si="13"/>
        <v>82</v>
      </c>
      <c r="M46" s="1155">
        <f t="shared" si="13"/>
        <v>4</v>
      </c>
      <c r="N46" s="1156">
        <f t="shared" si="13"/>
        <v>17</v>
      </c>
      <c r="O46" s="1156">
        <f t="shared" si="13"/>
        <v>59</v>
      </c>
      <c r="P46" s="1157">
        <f t="shared" si="13"/>
        <v>80</v>
      </c>
      <c r="Q46" s="1155">
        <f t="shared" si="13"/>
        <v>1</v>
      </c>
      <c r="R46" s="1156"/>
      <c r="S46" s="1156">
        <f>SUM(S30:S39)</f>
        <v>70</v>
      </c>
      <c r="T46" s="1157">
        <f>SUM(T30:T39)</f>
        <v>71</v>
      </c>
      <c r="U46" s="1155"/>
      <c r="V46" s="1156"/>
      <c r="W46" s="1156">
        <f>SUM(W30:W39)</f>
        <v>29</v>
      </c>
      <c r="X46" s="1157">
        <f>SUM(X30:X39)</f>
        <v>29</v>
      </c>
      <c r="Y46" s="1156"/>
      <c r="Z46" s="1156"/>
      <c r="AA46" s="1156">
        <f>SUM(AA30:AA39)</f>
        <v>32</v>
      </c>
      <c r="AB46" s="1157">
        <f>SUM(AB30:AB39)</f>
        <v>32</v>
      </c>
      <c r="AC46" s="1156"/>
      <c r="AD46" s="1156"/>
      <c r="AE46" s="1156">
        <f>SUM(AE30:AE39)</f>
        <v>38</v>
      </c>
      <c r="AF46" s="1157">
        <f>SUM(AF30:AF39)</f>
        <v>38</v>
      </c>
      <c r="AG46" s="1156"/>
      <c r="AH46" s="1156"/>
      <c r="AI46" s="1156">
        <f>SUM(AI30:AI39)</f>
        <v>48</v>
      </c>
      <c r="AJ46" s="1157">
        <f>SUM(AJ30:AJ39)</f>
        <v>48</v>
      </c>
      <c r="AK46" s="1156"/>
      <c r="AL46" s="1156"/>
      <c r="AM46" s="1156">
        <f>SUM(AM30:AM39)</f>
        <v>55</v>
      </c>
      <c r="AN46" s="1157">
        <f>SUM(AN30:AN39)</f>
        <v>55</v>
      </c>
      <c r="AO46" s="1156"/>
      <c r="AP46" s="1156"/>
      <c r="AQ46" s="1156">
        <f>SUM(AQ30:AQ39)</f>
        <v>64</v>
      </c>
      <c r="AR46" s="1157">
        <f>SUM(AR30:AR39)</f>
        <v>64</v>
      </c>
      <c r="AS46" s="1156"/>
      <c r="AT46" s="1156"/>
      <c r="AU46" s="1156">
        <f>SUM(AU30:AU39)</f>
        <v>72</v>
      </c>
      <c r="AV46" s="1157">
        <f>SUM(AV30:AV39)</f>
        <v>72</v>
      </c>
      <c r="AW46" s="1156"/>
      <c r="AX46" s="1156"/>
      <c r="AY46" s="1156">
        <f>SUM(AY30:AY39)</f>
        <v>100</v>
      </c>
      <c r="AZ46" s="1157">
        <f>SUM(AZ30:AZ39)</f>
        <v>100</v>
      </c>
      <c r="BA46" s="1156"/>
      <c r="BB46" s="1156"/>
      <c r="BC46" s="1156">
        <f>SUM(BC30:BC39)</f>
        <v>62</v>
      </c>
      <c r="BD46" s="1157">
        <f>SUM(BD30:BD39)</f>
        <v>62</v>
      </c>
      <c r="BE46" s="1156"/>
      <c r="BF46" s="1156"/>
      <c r="BG46" s="1156">
        <f>SUM(BG30:BG39)</f>
        <v>104</v>
      </c>
      <c r="BH46" s="1157">
        <f>SUM(BH30:BH39)</f>
        <v>104</v>
      </c>
      <c r="BI46" s="1156"/>
      <c r="BJ46" s="1156"/>
      <c r="BK46" s="1156">
        <f>SUM(BK30:BK39)</f>
        <v>50</v>
      </c>
      <c r="BL46" s="1157">
        <f>SUM(BL30:BL39)</f>
        <v>50</v>
      </c>
      <c r="BM46" s="1156"/>
      <c r="BN46" s="1156"/>
      <c r="BO46" s="1156">
        <f>SUM(BO30:BO39)</f>
        <v>111</v>
      </c>
      <c r="BP46" s="1157">
        <f>SUM(BP30:BP39)</f>
        <v>111</v>
      </c>
      <c r="BQ46" s="1156">
        <f>SUM(BQ30:BQ45)</f>
        <v>9</v>
      </c>
      <c r="BR46" s="1156">
        <f>SUM(BR30:BR45)</f>
        <v>38</v>
      </c>
      <c r="BS46" s="1156">
        <f>SUM(BS30:BS45)</f>
        <v>24</v>
      </c>
      <c r="BT46" s="1157">
        <f>SUM(BT30:BT45)</f>
        <v>71</v>
      </c>
    </row>
    <row r="47" spans="1:72" s="212" customFormat="1" ht="15" x14ac:dyDescent="0.2">
      <c r="A47" s="5460"/>
      <c r="B47" s="2610"/>
      <c r="C47" s="2647"/>
      <c r="D47" s="2648" t="s">
        <v>529</v>
      </c>
      <c r="E47" s="2627">
        <f t="shared" ref="E47:AZ47" si="14">SUM(E46,E29,E15)</f>
        <v>98</v>
      </c>
      <c r="F47" s="2628">
        <f t="shared" si="14"/>
        <v>15</v>
      </c>
      <c r="G47" s="2628">
        <f t="shared" si="14"/>
        <v>110</v>
      </c>
      <c r="H47" s="2629">
        <f t="shared" si="14"/>
        <v>223</v>
      </c>
      <c r="I47" s="2627">
        <f t="shared" si="14"/>
        <v>118</v>
      </c>
      <c r="J47" s="2628">
        <f t="shared" si="14"/>
        <v>14</v>
      </c>
      <c r="K47" s="2628">
        <f t="shared" si="14"/>
        <v>140</v>
      </c>
      <c r="L47" s="2629">
        <f t="shared" si="14"/>
        <v>272</v>
      </c>
      <c r="M47" s="2627">
        <f t="shared" si="14"/>
        <v>9</v>
      </c>
      <c r="N47" s="2628">
        <f t="shared" si="14"/>
        <v>33</v>
      </c>
      <c r="O47" s="2628">
        <f t="shared" si="14"/>
        <v>154</v>
      </c>
      <c r="P47" s="2629">
        <f t="shared" si="14"/>
        <v>196</v>
      </c>
      <c r="Q47" s="2627">
        <f t="shared" si="14"/>
        <v>28</v>
      </c>
      <c r="R47" s="2628">
        <f t="shared" si="14"/>
        <v>6</v>
      </c>
      <c r="S47" s="2628">
        <f t="shared" si="14"/>
        <v>131</v>
      </c>
      <c r="T47" s="2629">
        <f t="shared" si="14"/>
        <v>165</v>
      </c>
      <c r="U47" s="2627">
        <f t="shared" si="14"/>
        <v>18</v>
      </c>
      <c r="V47" s="2628">
        <f t="shared" si="14"/>
        <v>5</v>
      </c>
      <c r="W47" s="2628">
        <f t="shared" si="14"/>
        <v>81</v>
      </c>
      <c r="X47" s="2629">
        <f t="shared" si="14"/>
        <v>104</v>
      </c>
      <c r="Y47" s="2628">
        <f t="shared" si="14"/>
        <v>31</v>
      </c>
      <c r="Z47" s="2628">
        <f t="shared" si="14"/>
        <v>7</v>
      </c>
      <c r="AA47" s="2628">
        <f t="shared" si="14"/>
        <v>120</v>
      </c>
      <c r="AB47" s="2629">
        <f t="shared" si="14"/>
        <v>158</v>
      </c>
      <c r="AC47" s="2628">
        <f t="shared" si="14"/>
        <v>18</v>
      </c>
      <c r="AD47" s="2628">
        <f t="shared" si="14"/>
        <v>0</v>
      </c>
      <c r="AE47" s="2628">
        <f t="shared" si="14"/>
        <v>136</v>
      </c>
      <c r="AF47" s="2629">
        <f t="shared" si="14"/>
        <v>154</v>
      </c>
      <c r="AG47" s="2628">
        <f t="shared" si="14"/>
        <v>35</v>
      </c>
      <c r="AH47" s="2628">
        <f t="shared" si="14"/>
        <v>1</v>
      </c>
      <c r="AI47" s="2628">
        <f t="shared" si="14"/>
        <v>100</v>
      </c>
      <c r="AJ47" s="2629">
        <f t="shared" si="14"/>
        <v>136</v>
      </c>
      <c r="AK47" s="2628">
        <f t="shared" si="14"/>
        <v>24</v>
      </c>
      <c r="AL47" s="2628">
        <f t="shared" si="14"/>
        <v>10</v>
      </c>
      <c r="AM47" s="2628">
        <f t="shared" si="14"/>
        <v>167</v>
      </c>
      <c r="AN47" s="2629">
        <f t="shared" si="14"/>
        <v>201</v>
      </c>
      <c r="AO47" s="2628">
        <f t="shared" si="14"/>
        <v>30</v>
      </c>
      <c r="AP47" s="2628">
        <f t="shared" si="14"/>
        <v>2</v>
      </c>
      <c r="AQ47" s="2628">
        <f t="shared" si="14"/>
        <v>126</v>
      </c>
      <c r="AR47" s="2629">
        <f t="shared" si="14"/>
        <v>158</v>
      </c>
      <c r="AS47" s="2628">
        <f t="shared" si="14"/>
        <v>14</v>
      </c>
      <c r="AT47" s="2628">
        <f t="shared" si="14"/>
        <v>1</v>
      </c>
      <c r="AU47" s="2628">
        <f t="shared" si="14"/>
        <v>195</v>
      </c>
      <c r="AV47" s="2629">
        <f t="shared" si="14"/>
        <v>210</v>
      </c>
      <c r="AW47" s="2628">
        <f t="shared" si="14"/>
        <v>20</v>
      </c>
      <c r="AX47" s="2628">
        <f t="shared" si="14"/>
        <v>17</v>
      </c>
      <c r="AY47" s="2628">
        <f t="shared" si="14"/>
        <v>159</v>
      </c>
      <c r="AZ47" s="2628">
        <f t="shared" si="14"/>
        <v>196</v>
      </c>
      <c r="BA47" s="2628">
        <f>SUM(BA15,BA29,BA46)</f>
        <v>8</v>
      </c>
      <c r="BB47" s="2628">
        <f t="shared" ref="BB47:BT47" si="15">SUM(BB46,BB29,BB15)</f>
        <v>4</v>
      </c>
      <c r="BC47" s="2628">
        <f t="shared" si="15"/>
        <v>174</v>
      </c>
      <c r="BD47" s="2629">
        <f t="shared" si="15"/>
        <v>186</v>
      </c>
      <c r="BE47" s="2628">
        <f t="shared" si="15"/>
        <v>24</v>
      </c>
      <c r="BF47" s="2628">
        <f t="shared" si="15"/>
        <v>9</v>
      </c>
      <c r="BG47" s="2628">
        <f t="shared" si="15"/>
        <v>184</v>
      </c>
      <c r="BH47" s="2629">
        <f t="shared" si="15"/>
        <v>217</v>
      </c>
      <c r="BI47" s="2628">
        <f t="shared" si="15"/>
        <v>18</v>
      </c>
      <c r="BJ47" s="2628">
        <f t="shared" si="15"/>
        <v>2</v>
      </c>
      <c r="BK47" s="2628">
        <f t="shared" si="15"/>
        <v>197</v>
      </c>
      <c r="BL47" s="2629">
        <f t="shared" si="15"/>
        <v>217</v>
      </c>
      <c r="BM47" s="2628">
        <f t="shared" si="15"/>
        <v>48</v>
      </c>
      <c r="BN47" s="2628">
        <f t="shared" si="15"/>
        <v>3</v>
      </c>
      <c r="BO47" s="2628">
        <f t="shared" si="15"/>
        <v>229</v>
      </c>
      <c r="BP47" s="2629">
        <f t="shared" si="15"/>
        <v>280</v>
      </c>
      <c r="BQ47" s="2628">
        <f t="shared" si="15"/>
        <v>35</v>
      </c>
      <c r="BR47" s="2628">
        <f t="shared" si="15"/>
        <v>38</v>
      </c>
      <c r="BS47" s="2628">
        <f t="shared" si="15"/>
        <v>149</v>
      </c>
      <c r="BT47" s="2629">
        <f t="shared" si="15"/>
        <v>222</v>
      </c>
    </row>
    <row r="48" spans="1:72" s="212" customFormat="1" ht="15" x14ac:dyDescent="0.25">
      <c r="A48" s="5453" t="s">
        <v>436</v>
      </c>
      <c r="B48" s="5453" t="s">
        <v>6</v>
      </c>
      <c r="C48" s="1578" t="s">
        <v>527</v>
      </c>
      <c r="D48" s="1179" t="s">
        <v>409</v>
      </c>
      <c r="E48" s="1174"/>
      <c r="F48" s="1175"/>
      <c r="G48" s="1175"/>
      <c r="H48" s="1176"/>
      <c r="I48" s="1174"/>
      <c r="J48" s="1175"/>
      <c r="K48" s="1175"/>
      <c r="L48" s="1176"/>
      <c r="M48" s="1174"/>
      <c r="N48" s="1175"/>
      <c r="O48" s="1175"/>
      <c r="P48" s="1176"/>
      <c r="Q48" s="1174"/>
      <c r="R48" s="1175"/>
      <c r="S48" s="1175"/>
      <c r="T48" s="1176"/>
      <c r="U48" s="1174"/>
      <c r="V48" s="1175"/>
      <c r="W48" s="1175"/>
      <c r="X48" s="1176"/>
      <c r="Y48" s="1180"/>
      <c r="Z48" s="1177"/>
      <c r="AA48" s="1177"/>
      <c r="AB48" s="1176"/>
      <c r="AC48" s="1177"/>
      <c r="AD48" s="1177"/>
      <c r="AE48" s="1177"/>
      <c r="AF48" s="1181"/>
      <c r="AG48" s="1180"/>
      <c r="AH48" s="1177"/>
      <c r="AI48" s="1177"/>
      <c r="AJ48" s="1176"/>
      <c r="AK48" s="1177"/>
      <c r="AL48" s="1177"/>
      <c r="AM48" s="1177"/>
      <c r="AN48" s="1181"/>
      <c r="AO48" s="1180"/>
      <c r="AP48" s="1177"/>
      <c r="AQ48" s="1177"/>
      <c r="AR48" s="1147"/>
      <c r="AS48" s="1177"/>
      <c r="AT48" s="1177"/>
      <c r="AU48" s="1177"/>
      <c r="AV48" s="1182"/>
      <c r="AW48" s="1180"/>
      <c r="AX48" s="1177"/>
      <c r="AY48" s="1177"/>
      <c r="AZ48" s="1147"/>
      <c r="BA48" s="1177">
        <v>20</v>
      </c>
      <c r="BB48" s="1177"/>
      <c r="BC48" s="1177"/>
      <c r="BD48" s="1147">
        <f>BA48+BB48+BC48</f>
        <v>20</v>
      </c>
      <c r="BE48" s="1180">
        <v>13</v>
      </c>
      <c r="BF48" s="1177"/>
      <c r="BG48" s="1177"/>
      <c r="BH48" s="1147">
        <f>BE48+BF48+BG48</f>
        <v>13</v>
      </c>
      <c r="BI48" s="1180">
        <v>23</v>
      </c>
      <c r="BJ48" s="1177"/>
      <c r="BK48" s="1177"/>
      <c r="BL48" s="1147">
        <f>BI48+BJ48+BK48</f>
        <v>23</v>
      </c>
      <c r="BM48" s="1180"/>
      <c r="BN48" s="1177"/>
      <c r="BO48" s="1177">
        <v>13</v>
      </c>
      <c r="BP48" s="1147">
        <f>BM48+BN48+BO48</f>
        <v>13</v>
      </c>
      <c r="BQ48" s="1180"/>
      <c r="BR48" s="1177"/>
      <c r="BS48" s="1177">
        <v>21</v>
      </c>
      <c r="BT48" s="1147">
        <f>BQ48+BR48+BS48</f>
        <v>21</v>
      </c>
    </row>
    <row r="49" spans="1:72" s="212" customFormat="1" ht="15" x14ac:dyDescent="0.25">
      <c r="A49" s="5451"/>
      <c r="B49" s="5451"/>
      <c r="C49" s="1570" t="s">
        <v>526</v>
      </c>
      <c r="D49" s="1152" t="s">
        <v>402</v>
      </c>
      <c r="E49" s="1149"/>
      <c r="F49" s="1150"/>
      <c r="G49" s="1150"/>
      <c r="H49" s="1151"/>
      <c r="I49" s="1149"/>
      <c r="J49" s="1150"/>
      <c r="K49" s="1150"/>
      <c r="L49" s="1151"/>
      <c r="M49" s="1149"/>
      <c r="N49" s="1150"/>
      <c r="O49" s="1150"/>
      <c r="P49" s="1151"/>
      <c r="Q49" s="1149"/>
      <c r="R49" s="1150"/>
      <c r="S49" s="1150"/>
      <c r="T49" s="1151"/>
      <c r="U49" s="1149"/>
      <c r="V49" s="1150"/>
      <c r="W49" s="1150"/>
      <c r="X49" s="1151"/>
      <c r="Y49" s="1150"/>
      <c r="Z49" s="1150"/>
      <c r="AA49" s="1150"/>
      <c r="AB49" s="1151"/>
      <c r="AC49" s="1150"/>
      <c r="AD49" s="1150"/>
      <c r="AE49" s="1150"/>
      <c r="AF49" s="1151"/>
      <c r="AG49" s="1150"/>
      <c r="AH49" s="1150"/>
      <c r="AI49" s="1150"/>
      <c r="AJ49" s="1151"/>
      <c r="AK49" s="1150"/>
      <c r="AL49" s="1150"/>
      <c r="AM49" s="1150"/>
      <c r="AN49" s="1151"/>
      <c r="AO49" s="1150"/>
      <c r="AP49" s="1150"/>
      <c r="AQ49" s="1150"/>
      <c r="AR49" s="1151"/>
      <c r="AS49" s="1150"/>
      <c r="AT49" s="1150"/>
      <c r="AU49" s="1150"/>
      <c r="AV49" s="1151"/>
      <c r="AW49" s="1150"/>
      <c r="AX49" s="1150"/>
      <c r="AY49" s="1150"/>
      <c r="AZ49" s="1151"/>
      <c r="BA49" s="1150">
        <v>12</v>
      </c>
      <c r="BB49" s="1150"/>
      <c r="BC49" s="1150"/>
      <c r="BD49" s="1151">
        <f>BA49+BB49+BC49</f>
        <v>12</v>
      </c>
      <c r="BE49" s="1150">
        <v>10</v>
      </c>
      <c r="BF49" s="1150"/>
      <c r="BG49" s="1150"/>
      <c r="BH49" s="1151">
        <f>BE49+BF49+BG49</f>
        <v>10</v>
      </c>
      <c r="BI49" s="1150"/>
      <c r="BJ49" s="1150">
        <v>2</v>
      </c>
      <c r="BK49" s="1150">
        <v>15</v>
      </c>
      <c r="BL49" s="1151">
        <f>BI49+BJ49+BK49</f>
        <v>17</v>
      </c>
      <c r="BM49" s="1150"/>
      <c r="BN49" s="1150"/>
      <c r="BO49" s="1150">
        <v>17</v>
      </c>
      <c r="BP49" s="1151">
        <f>BM49+BN49+BO49</f>
        <v>17</v>
      </c>
      <c r="BQ49" s="1150"/>
      <c r="BR49" s="1150"/>
      <c r="BS49" s="1150">
        <v>19</v>
      </c>
      <c r="BT49" s="1151">
        <f>BQ49+BR49+BS49</f>
        <v>19</v>
      </c>
    </row>
    <row r="50" spans="1:72" s="212" customFormat="1" ht="15" x14ac:dyDescent="0.25">
      <c r="A50" s="5451"/>
      <c r="B50" s="5454"/>
      <c r="C50" s="1579"/>
      <c r="D50" s="1154" t="s">
        <v>451</v>
      </c>
      <c r="E50" s="1155"/>
      <c r="F50" s="1156"/>
      <c r="G50" s="1156"/>
      <c r="H50" s="1157"/>
      <c r="I50" s="1155"/>
      <c r="J50" s="1156"/>
      <c r="K50" s="1156"/>
      <c r="L50" s="1157"/>
      <c r="M50" s="1155"/>
      <c r="N50" s="1156"/>
      <c r="O50" s="1156"/>
      <c r="P50" s="1157"/>
      <c r="Q50" s="1155"/>
      <c r="R50" s="1156"/>
      <c r="S50" s="1156"/>
      <c r="T50" s="1157"/>
      <c r="U50" s="1155"/>
      <c r="V50" s="1156"/>
      <c r="W50" s="1156"/>
      <c r="X50" s="1157"/>
      <c r="Y50" s="1156"/>
      <c r="Z50" s="1156"/>
      <c r="AA50" s="1156"/>
      <c r="AB50" s="1157"/>
      <c r="AC50" s="1156"/>
      <c r="AD50" s="1156"/>
      <c r="AE50" s="1156"/>
      <c r="AF50" s="1157"/>
      <c r="AG50" s="1156"/>
      <c r="AH50" s="1156"/>
      <c r="AI50" s="1156"/>
      <c r="AJ50" s="1157"/>
      <c r="AK50" s="1156"/>
      <c r="AL50" s="1156"/>
      <c r="AM50" s="1156"/>
      <c r="AN50" s="1157"/>
      <c r="AO50" s="1156"/>
      <c r="AP50" s="1156"/>
      <c r="AQ50" s="1156"/>
      <c r="AR50" s="1157"/>
      <c r="AS50" s="1156"/>
      <c r="AT50" s="1156"/>
      <c r="AU50" s="1156"/>
      <c r="AV50" s="1157"/>
      <c r="AW50" s="1156"/>
      <c r="AX50" s="1156"/>
      <c r="AY50" s="1156"/>
      <c r="AZ50" s="1157"/>
      <c r="BA50" s="1156">
        <f>SUM(BA48:BA49)</f>
        <v>32</v>
      </c>
      <c r="BB50" s="1156"/>
      <c r="BC50" s="1156"/>
      <c r="BD50" s="1157">
        <f>SUM(BD48:BD49)</f>
        <v>32</v>
      </c>
      <c r="BE50" s="1156">
        <f>SUM(BE48:BE49)</f>
        <v>23</v>
      </c>
      <c r="BF50" s="1156"/>
      <c r="BG50" s="1156"/>
      <c r="BH50" s="1157">
        <f t="shared" ref="BH50:BP50" si="16">SUM(BH48:BH49)</f>
        <v>23</v>
      </c>
      <c r="BI50" s="1156">
        <f t="shared" si="16"/>
        <v>23</v>
      </c>
      <c r="BJ50" s="1156">
        <f t="shared" si="16"/>
        <v>2</v>
      </c>
      <c r="BK50" s="1156">
        <f t="shared" si="16"/>
        <v>15</v>
      </c>
      <c r="BL50" s="1157">
        <f t="shared" si="16"/>
        <v>40</v>
      </c>
      <c r="BM50" s="1156"/>
      <c r="BN50" s="1156"/>
      <c r="BO50" s="1156">
        <f t="shared" si="16"/>
        <v>30</v>
      </c>
      <c r="BP50" s="1157">
        <f t="shared" si="16"/>
        <v>30</v>
      </c>
      <c r="BQ50" s="1156"/>
      <c r="BR50" s="1156"/>
      <c r="BS50" s="1156">
        <f t="shared" ref="BS50:BT50" si="17">SUM(BS48:BS49)</f>
        <v>40</v>
      </c>
      <c r="BT50" s="1157">
        <f t="shared" si="17"/>
        <v>40</v>
      </c>
    </row>
    <row r="51" spans="1:72" s="212" customFormat="1" ht="15" x14ac:dyDescent="0.25">
      <c r="A51" s="5451"/>
      <c r="B51" s="5453" t="s">
        <v>9</v>
      </c>
      <c r="C51" s="1570" t="s">
        <v>527</v>
      </c>
      <c r="D51" s="1152" t="s">
        <v>415</v>
      </c>
      <c r="E51" s="1149"/>
      <c r="F51" s="1150"/>
      <c r="G51" s="1150"/>
      <c r="H51" s="1151"/>
      <c r="I51" s="1149"/>
      <c r="J51" s="1150"/>
      <c r="K51" s="1150"/>
      <c r="L51" s="1151"/>
      <c r="M51" s="1149"/>
      <c r="N51" s="1150"/>
      <c r="O51" s="1150"/>
      <c r="P51" s="1151"/>
      <c r="Q51" s="1149"/>
      <c r="R51" s="1150"/>
      <c r="S51" s="1150"/>
      <c r="T51" s="1151"/>
      <c r="U51" s="1149"/>
      <c r="V51" s="1150"/>
      <c r="W51" s="1150"/>
      <c r="X51" s="1151"/>
      <c r="Y51" s="1150"/>
      <c r="Z51" s="1150"/>
      <c r="AA51" s="1150"/>
      <c r="AB51" s="1151"/>
      <c r="AC51" s="1150"/>
      <c r="AD51" s="1150"/>
      <c r="AE51" s="1150"/>
      <c r="AF51" s="1151"/>
      <c r="AG51" s="1150"/>
      <c r="AH51" s="1150"/>
      <c r="AI51" s="1150"/>
      <c r="AJ51" s="1151"/>
      <c r="AK51" s="1150"/>
      <c r="AL51" s="1150"/>
      <c r="AM51" s="1150"/>
      <c r="AN51" s="1151"/>
      <c r="AO51" s="1150"/>
      <c r="AP51" s="1150"/>
      <c r="AQ51" s="1150"/>
      <c r="AR51" s="1151"/>
      <c r="AS51" s="1150"/>
      <c r="AT51" s="1150"/>
      <c r="AU51" s="1150"/>
      <c r="AV51" s="1151"/>
      <c r="AW51" s="1150"/>
      <c r="AX51" s="1150"/>
      <c r="AY51" s="1150"/>
      <c r="AZ51" s="1151"/>
      <c r="BA51" s="1150"/>
      <c r="BB51" s="1150"/>
      <c r="BC51" s="1150"/>
      <c r="BD51" s="1151"/>
      <c r="BE51" s="1150"/>
      <c r="BF51" s="1150"/>
      <c r="BG51" s="1150">
        <v>12</v>
      </c>
      <c r="BH51" s="1151">
        <f>SUM(BE51:BG51)</f>
        <v>12</v>
      </c>
      <c r="BI51" s="1150"/>
      <c r="BJ51" s="1150"/>
      <c r="BK51" s="1150">
        <v>12</v>
      </c>
      <c r="BL51" s="1151">
        <f>SUM(BI51:BK51)</f>
        <v>12</v>
      </c>
      <c r="BM51" s="1150"/>
      <c r="BN51" s="1150"/>
      <c r="BO51" s="1150">
        <v>20</v>
      </c>
      <c r="BP51" s="1151">
        <f>SUM(BM51:BO51)</f>
        <v>20</v>
      </c>
      <c r="BQ51" s="1150"/>
      <c r="BR51" s="1150"/>
      <c r="BS51" s="1150">
        <v>18</v>
      </c>
      <c r="BT51" s="1151">
        <f>SUM(BQ51:BS51)</f>
        <v>18</v>
      </c>
    </row>
    <row r="52" spans="1:72" s="212" customFormat="1" ht="15" x14ac:dyDescent="0.25">
      <c r="A52" s="5451"/>
      <c r="B52" s="5454"/>
      <c r="C52" s="1579"/>
      <c r="D52" s="1154" t="s">
        <v>451</v>
      </c>
      <c r="E52" s="1155"/>
      <c r="F52" s="1156"/>
      <c r="G52" s="1156"/>
      <c r="H52" s="1157"/>
      <c r="I52" s="1155"/>
      <c r="J52" s="1156"/>
      <c r="K52" s="1156"/>
      <c r="L52" s="1157"/>
      <c r="M52" s="1155"/>
      <c r="N52" s="1156"/>
      <c r="O52" s="1156"/>
      <c r="P52" s="1157"/>
      <c r="Q52" s="1155"/>
      <c r="R52" s="1156"/>
      <c r="S52" s="1156"/>
      <c r="T52" s="1157"/>
      <c r="U52" s="1155"/>
      <c r="V52" s="1156"/>
      <c r="W52" s="1156"/>
      <c r="X52" s="1157"/>
      <c r="Y52" s="1156"/>
      <c r="Z52" s="1156"/>
      <c r="AA52" s="1156"/>
      <c r="AB52" s="1157"/>
      <c r="AC52" s="1156"/>
      <c r="AD52" s="1156"/>
      <c r="AE52" s="1156"/>
      <c r="AF52" s="1157"/>
      <c r="AG52" s="1156"/>
      <c r="AH52" s="1156"/>
      <c r="AI52" s="1156"/>
      <c r="AJ52" s="1157"/>
      <c r="AK52" s="1156"/>
      <c r="AL52" s="1156"/>
      <c r="AM52" s="1156"/>
      <c r="AN52" s="1157"/>
      <c r="AO52" s="1156"/>
      <c r="AP52" s="1156"/>
      <c r="AQ52" s="1156"/>
      <c r="AR52" s="1157"/>
      <c r="AS52" s="1156"/>
      <c r="AT52" s="1156"/>
      <c r="AU52" s="1156"/>
      <c r="AV52" s="1157"/>
      <c r="AW52" s="1156"/>
      <c r="AX52" s="1156"/>
      <c r="AY52" s="1156"/>
      <c r="AZ52" s="1157"/>
      <c r="BA52" s="1156"/>
      <c r="BB52" s="1156"/>
      <c r="BC52" s="1156"/>
      <c r="BD52" s="1157"/>
      <c r="BE52" s="1156"/>
      <c r="BF52" s="1156"/>
      <c r="BG52" s="1156">
        <f>SUM(BG51)</f>
        <v>12</v>
      </c>
      <c r="BH52" s="1157">
        <f>SUM(BH51)</f>
        <v>12</v>
      </c>
      <c r="BI52" s="1156"/>
      <c r="BJ52" s="1156"/>
      <c r="BK52" s="1156">
        <f>SUM(BK51)</f>
        <v>12</v>
      </c>
      <c r="BL52" s="1157">
        <f>SUM(BL51)</f>
        <v>12</v>
      </c>
      <c r="BM52" s="1156"/>
      <c r="BN52" s="1156"/>
      <c r="BO52" s="1156">
        <f>SUM(BO51)</f>
        <v>20</v>
      </c>
      <c r="BP52" s="1157">
        <f>SUM(BP51)</f>
        <v>20</v>
      </c>
      <c r="BQ52" s="1156"/>
      <c r="BR52" s="1156"/>
      <c r="BS52" s="1156">
        <f>SUM(BS51)</f>
        <v>18</v>
      </c>
      <c r="BT52" s="1157">
        <f>SUM(BT51)</f>
        <v>18</v>
      </c>
    </row>
    <row r="53" spans="1:72" s="212" customFormat="1" ht="15" x14ac:dyDescent="0.25">
      <c r="A53" s="5451"/>
      <c r="B53" s="5453" t="s">
        <v>74</v>
      </c>
      <c r="C53" s="1578" t="s">
        <v>528</v>
      </c>
      <c r="D53" s="1158" t="s">
        <v>416</v>
      </c>
      <c r="E53" s="1174"/>
      <c r="F53" s="1175"/>
      <c r="G53" s="1175"/>
      <c r="H53" s="1176"/>
      <c r="I53" s="1174"/>
      <c r="J53" s="1175"/>
      <c r="K53" s="1175"/>
      <c r="L53" s="1176"/>
      <c r="M53" s="1174"/>
      <c r="N53" s="1175"/>
      <c r="O53" s="1175"/>
      <c r="P53" s="1176"/>
      <c r="Q53" s="1174"/>
      <c r="R53" s="1175"/>
      <c r="S53" s="1175"/>
      <c r="T53" s="1176"/>
      <c r="U53" s="1174"/>
      <c r="V53" s="1175"/>
      <c r="W53" s="1175"/>
      <c r="X53" s="1176"/>
      <c r="Y53" s="1177"/>
      <c r="Z53" s="1177"/>
      <c r="AA53" s="1177"/>
      <c r="AB53" s="1176"/>
      <c r="AC53" s="1177"/>
      <c r="AD53" s="1177"/>
      <c r="AE53" s="1177"/>
      <c r="AF53" s="1176"/>
      <c r="AG53" s="1177"/>
      <c r="AH53" s="1177"/>
      <c r="AI53" s="1177"/>
      <c r="AJ53" s="1176"/>
      <c r="AK53" s="1177"/>
      <c r="AL53" s="1177"/>
      <c r="AM53" s="1177"/>
      <c r="AN53" s="1176"/>
      <c r="AO53" s="1177"/>
      <c r="AP53" s="1177"/>
      <c r="AQ53" s="1177"/>
      <c r="AR53" s="1147"/>
      <c r="AS53" s="1177"/>
      <c r="AT53" s="1177"/>
      <c r="AU53" s="1177"/>
      <c r="AV53" s="1147"/>
      <c r="AW53" s="1177"/>
      <c r="AX53" s="1177"/>
      <c r="AY53" s="1177"/>
      <c r="AZ53" s="1147"/>
      <c r="BA53" s="1177"/>
      <c r="BB53" s="1177"/>
      <c r="BC53" s="1177"/>
      <c r="BD53" s="1147"/>
      <c r="BE53" s="1177"/>
      <c r="BF53" s="1177">
        <v>2</v>
      </c>
      <c r="BG53" s="1177">
        <v>1</v>
      </c>
      <c r="BH53" s="1163">
        <f>SUM(BE53:BG53)</f>
        <v>3</v>
      </c>
      <c r="BI53" s="1177">
        <v>1</v>
      </c>
      <c r="BJ53" s="1177"/>
      <c r="BK53" s="1177">
        <v>1</v>
      </c>
      <c r="BL53" s="1163">
        <f>SUM(BI53:BK53)</f>
        <v>2</v>
      </c>
      <c r="BM53" s="1177">
        <v>2</v>
      </c>
      <c r="BN53" s="1177"/>
      <c r="BO53" s="1177">
        <v>1</v>
      </c>
      <c r="BP53" s="1163">
        <f>SUM(BM53:BO53)</f>
        <v>3</v>
      </c>
      <c r="BQ53" s="1177">
        <v>2</v>
      </c>
      <c r="BR53" s="1177">
        <v>1</v>
      </c>
      <c r="BS53" s="1177">
        <v>4</v>
      </c>
      <c r="BT53" s="1163">
        <f>SUM(BQ53:BS53)</f>
        <v>7</v>
      </c>
    </row>
    <row r="54" spans="1:72" s="212" customFormat="1" ht="15" x14ac:dyDescent="0.25">
      <c r="A54" s="5451"/>
      <c r="B54" s="5451"/>
      <c r="C54" s="1578" t="s">
        <v>527</v>
      </c>
      <c r="D54" s="1158" t="s">
        <v>417</v>
      </c>
      <c r="E54" s="1167"/>
      <c r="F54" s="1164"/>
      <c r="G54" s="1164"/>
      <c r="H54" s="1165"/>
      <c r="I54" s="1167"/>
      <c r="J54" s="1164"/>
      <c r="K54" s="1164"/>
      <c r="L54" s="1165"/>
      <c r="M54" s="1167"/>
      <c r="N54" s="1164"/>
      <c r="O54" s="1164"/>
      <c r="P54" s="1165"/>
      <c r="Q54" s="1167"/>
      <c r="R54" s="1164"/>
      <c r="S54" s="1164"/>
      <c r="T54" s="1165"/>
      <c r="U54" s="1167"/>
      <c r="V54" s="1164"/>
      <c r="W54" s="1164"/>
      <c r="X54" s="1165"/>
      <c r="Y54" s="1166"/>
      <c r="Z54" s="1166"/>
      <c r="AA54" s="1166"/>
      <c r="AB54" s="1165"/>
      <c r="AC54" s="1166"/>
      <c r="AD54" s="1166"/>
      <c r="AE54" s="1166"/>
      <c r="AF54" s="1165"/>
      <c r="AG54" s="1166"/>
      <c r="AH54" s="1166"/>
      <c r="AI54" s="1166"/>
      <c r="AJ54" s="1165"/>
      <c r="AK54" s="1166"/>
      <c r="AL54" s="1166"/>
      <c r="AM54" s="1166"/>
      <c r="AN54" s="1165"/>
      <c r="AO54" s="1166"/>
      <c r="AP54" s="1166"/>
      <c r="AQ54" s="1166"/>
      <c r="AR54" s="1151"/>
      <c r="AS54" s="1166"/>
      <c r="AT54" s="1166"/>
      <c r="AU54" s="1166"/>
      <c r="AV54" s="1151"/>
      <c r="AW54" s="1166"/>
      <c r="AX54" s="1166"/>
      <c r="AY54" s="1166"/>
      <c r="AZ54" s="1151"/>
      <c r="BA54" s="1166"/>
      <c r="BB54" s="1166"/>
      <c r="BC54" s="1166"/>
      <c r="BD54" s="1151"/>
      <c r="BE54" s="1166"/>
      <c r="BF54" s="1166"/>
      <c r="BG54" s="1166">
        <v>9</v>
      </c>
      <c r="BH54" s="1151">
        <f>SUM(BE54:BG54)</f>
        <v>9</v>
      </c>
      <c r="BI54" s="1166"/>
      <c r="BJ54" s="1166"/>
      <c r="BK54" s="1166">
        <v>13</v>
      </c>
      <c r="BL54" s="1151">
        <f>SUM(BI54:BK54)</f>
        <v>13</v>
      </c>
      <c r="BM54" s="1166"/>
      <c r="BN54" s="1166"/>
      <c r="BO54" s="1166">
        <v>12</v>
      </c>
      <c r="BP54" s="1151">
        <f>SUM(BM54:BO54)</f>
        <v>12</v>
      </c>
      <c r="BQ54" s="1166"/>
      <c r="BR54" s="1166"/>
      <c r="BS54" s="1166">
        <v>13</v>
      </c>
      <c r="BT54" s="1151">
        <f>SUM(BQ54:BS54)</f>
        <v>13</v>
      </c>
    </row>
    <row r="55" spans="1:72" s="212" customFormat="1" ht="15" x14ac:dyDescent="0.25">
      <c r="A55" s="5451"/>
      <c r="B55" s="5451"/>
      <c r="C55" s="1570" t="s">
        <v>526</v>
      </c>
      <c r="D55" s="1152" t="s">
        <v>418</v>
      </c>
      <c r="E55" s="1149"/>
      <c r="F55" s="1150"/>
      <c r="G55" s="1150"/>
      <c r="H55" s="1151"/>
      <c r="I55" s="1149"/>
      <c r="J55" s="1150"/>
      <c r="K55" s="1150"/>
      <c r="L55" s="1151"/>
      <c r="M55" s="1149"/>
      <c r="N55" s="1150"/>
      <c r="O55" s="1150"/>
      <c r="P55" s="1151"/>
      <c r="Q55" s="1149"/>
      <c r="R55" s="1150"/>
      <c r="S55" s="1150"/>
      <c r="T55" s="1151"/>
      <c r="U55" s="1149"/>
      <c r="V55" s="1150"/>
      <c r="W55" s="1150"/>
      <c r="X55" s="1151"/>
      <c r="Y55" s="1150"/>
      <c r="Z55" s="1150"/>
      <c r="AA55" s="1150"/>
      <c r="AB55" s="1151"/>
      <c r="AC55" s="1150"/>
      <c r="AD55" s="1150"/>
      <c r="AE55" s="1150"/>
      <c r="AF55" s="1151"/>
      <c r="AG55" s="1150"/>
      <c r="AH55" s="1150"/>
      <c r="AI55" s="1150"/>
      <c r="AJ55" s="1151"/>
      <c r="AK55" s="1150"/>
      <c r="AL55" s="1150"/>
      <c r="AM55" s="1150"/>
      <c r="AN55" s="1151"/>
      <c r="AO55" s="1150"/>
      <c r="AP55" s="1150"/>
      <c r="AQ55" s="1150"/>
      <c r="AR55" s="1151"/>
      <c r="AS55" s="1150"/>
      <c r="AT55" s="1150"/>
      <c r="AU55" s="1150"/>
      <c r="AV55" s="1151"/>
      <c r="AW55" s="1150"/>
      <c r="AX55" s="1150"/>
      <c r="AY55" s="1150"/>
      <c r="AZ55" s="1151"/>
      <c r="BA55" s="1150"/>
      <c r="BB55" s="1150"/>
      <c r="BC55" s="1150"/>
      <c r="BD55" s="1151"/>
      <c r="BE55" s="1150"/>
      <c r="BF55" s="1150">
        <v>2</v>
      </c>
      <c r="BG55" s="1150">
        <v>5</v>
      </c>
      <c r="BH55" s="1151">
        <f>SUM(BE55:BG55)</f>
        <v>7</v>
      </c>
      <c r="BI55" s="1150">
        <v>2</v>
      </c>
      <c r="BJ55" s="1150">
        <v>2</v>
      </c>
      <c r="BK55" s="1150">
        <v>2</v>
      </c>
      <c r="BL55" s="1151">
        <f>SUM(BI55:BK55)</f>
        <v>6</v>
      </c>
      <c r="BM55" s="1150">
        <v>2</v>
      </c>
      <c r="BN55" s="1150">
        <v>4</v>
      </c>
      <c r="BO55" s="1150">
        <v>2</v>
      </c>
      <c r="BP55" s="1151">
        <f>SUM(BM55:BO55)</f>
        <v>8</v>
      </c>
      <c r="BQ55" s="1150">
        <v>3</v>
      </c>
      <c r="BR55" s="1150">
        <v>3</v>
      </c>
      <c r="BS55" s="1150">
        <v>6</v>
      </c>
      <c r="BT55" s="1151">
        <f>SUM(BQ55:BS55)</f>
        <v>12</v>
      </c>
    </row>
    <row r="56" spans="1:72" s="212" customFormat="1" ht="15" x14ac:dyDescent="0.25">
      <c r="A56" s="5451"/>
      <c r="B56" s="5454"/>
      <c r="C56" s="1134"/>
      <c r="D56" s="1154" t="s">
        <v>451</v>
      </c>
      <c r="E56" s="1155"/>
      <c r="F56" s="1156"/>
      <c r="G56" s="1156"/>
      <c r="H56" s="1157"/>
      <c r="I56" s="1155"/>
      <c r="J56" s="1156"/>
      <c r="K56" s="1156"/>
      <c r="L56" s="1157"/>
      <c r="M56" s="1155"/>
      <c r="N56" s="1156"/>
      <c r="O56" s="1156"/>
      <c r="P56" s="1157"/>
      <c r="Q56" s="1155"/>
      <c r="R56" s="1156"/>
      <c r="S56" s="1156"/>
      <c r="T56" s="1157"/>
      <c r="U56" s="1155"/>
      <c r="V56" s="1156"/>
      <c r="W56" s="1156"/>
      <c r="X56" s="1157"/>
      <c r="Y56" s="1156"/>
      <c r="Z56" s="1156"/>
      <c r="AA56" s="1156"/>
      <c r="AB56" s="1157"/>
      <c r="AC56" s="1156"/>
      <c r="AD56" s="1156"/>
      <c r="AE56" s="1156"/>
      <c r="AF56" s="1157"/>
      <c r="AG56" s="1156"/>
      <c r="AH56" s="1156"/>
      <c r="AI56" s="1156"/>
      <c r="AJ56" s="1157"/>
      <c r="AK56" s="1156"/>
      <c r="AL56" s="1156"/>
      <c r="AM56" s="1156"/>
      <c r="AN56" s="1157"/>
      <c r="AO56" s="1156"/>
      <c r="AP56" s="1156"/>
      <c r="AQ56" s="1156"/>
      <c r="AR56" s="1157"/>
      <c r="AS56" s="1156"/>
      <c r="AT56" s="1156"/>
      <c r="AU56" s="1156"/>
      <c r="AV56" s="1157"/>
      <c r="AW56" s="1156"/>
      <c r="AX56" s="1156"/>
      <c r="AY56" s="1156"/>
      <c r="AZ56" s="1157"/>
      <c r="BA56" s="1156"/>
      <c r="BB56" s="1156"/>
      <c r="BC56" s="1156"/>
      <c r="BD56" s="1157"/>
      <c r="BE56" s="1156"/>
      <c r="BF56" s="1156">
        <f t="shared" ref="BF56:BL56" si="18">SUM(BF53:BF55)</f>
        <v>4</v>
      </c>
      <c r="BG56" s="1156">
        <f t="shared" si="18"/>
        <v>15</v>
      </c>
      <c r="BH56" s="1157">
        <f t="shared" si="18"/>
        <v>19</v>
      </c>
      <c r="BI56" s="1156">
        <f t="shared" si="18"/>
        <v>3</v>
      </c>
      <c r="BJ56" s="1156">
        <f t="shared" si="18"/>
        <v>2</v>
      </c>
      <c r="BK56" s="1156">
        <f t="shared" si="18"/>
        <v>16</v>
      </c>
      <c r="BL56" s="1157">
        <f t="shared" si="18"/>
        <v>21</v>
      </c>
      <c r="BM56" s="1156">
        <f t="shared" ref="BM56:BT56" si="19">SUM(BM53:BM55)</f>
        <v>4</v>
      </c>
      <c r="BN56" s="1156">
        <f t="shared" si="19"/>
        <v>4</v>
      </c>
      <c r="BO56" s="1156">
        <f t="shared" si="19"/>
        <v>15</v>
      </c>
      <c r="BP56" s="1157">
        <f t="shared" si="19"/>
        <v>23</v>
      </c>
      <c r="BQ56" s="1156">
        <f t="shared" si="19"/>
        <v>5</v>
      </c>
      <c r="BR56" s="1156">
        <f t="shared" si="19"/>
        <v>4</v>
      </c>
      <c r="BS56" s="1156">
        <f t="shared" si="19"/>
        <v>23</v>
      </c>
      <c r="BT56" s="1157">
        <f t="shared" si="19"/>
        <v>32</v>
      </c>
    </row>
    <row r="57" spans="1:72" s="212" customFormat="1" ht="15" x14ac:dyDescent="0.2">
      <c r="A57" s="5451"/>
      <c r="B57" s="2609"/>
      <c r="C57" s="2645"/>
      <c r="D57" s="2646" t="s">
        <v>532</v>
      </c>
      <c r="E57" s="2630"/>
      <c r="F57" s="2631"/>
      <c r="G57" s="2631"/>
      <c r="H57" s="2632"/>
      <c r="I57" s="2630"/>
      <c r="J57" s="2631"/>
      <c r="K57" s="2631"/>
      <c r="L57" s="2632"/>
      <c r="M57" s="2630"/>
      <c r="N57" s="2631"/>
      <c r="O57" s="2631"/>
      <c r="P57" s="2632"/>
      <c r="Q57" s="2630"/>
      <c r="R57" s="2631"/>
      <c r="S57" s="2631"/>
      <c r="T57" s="2632"/>
      <c r="U57" s="2630"/>
      <c r="V57" s="2631"/>
      <c r="W57" s="2631"/>
      <c r="X57" s="2632"/>
      <c r="Y57" s="2631"/>
      <c r="Z57" s="2631"/>
      <c r="AA57" s="2631"/>
      <c r="AB57" s="2632"/>
      <c r="AC57" s="2631"/>
      <c r="AD57" s="2631"/>
      <c r="AE57" s="2631"/>
      <c r="AF57" s="2632"/>
      <c r="AG57" s="2631"/>
      <c r="AH57" s="2631"/>
      <c r="AI57" s="2631"/>
      <c r="AJ57" s="2632"/>
      <c r="AK57" s="2631"/>
      <c r="AL57" s="2631"/>
      <c r="AM57" s="2631"/>
      <c r="AN57" s="2632"/>
      <c r="AO57" s="2631"/>
      <c r="AP57" s="2631"/>
      <c r="AQ57" s="2631"/>
      <c r="AR57" s="2632"/>
      <c r="AS57" s="2631"/>
      <c r="AT57" s="2631"/>
      <c r="AU57" s="2631"/>
      <c r="AV57" s="2632"/>
      <c r="AW57" s="2631"/>
      <c r="AX57" s="2631"/>
      <c r="AY57" s="2631"/>
      <c r="AZ57" s="2632"/>
      <c r="BA57" s="2631">
        <f>SUM(BA50,BA52,BA56)</f>
        <v>32</v>
      </c>
      <c r="BB57" s="2631"/>
      <c r="BC57" s="2631"/>
      <c r="BD57" s="2632">
        <f t="shared" ref="BD57:BL57" si="20">SUM(BD50,BD52,BD56)</f>
        <v>32</v>
      </c>
      <c r="BE57" s="2631">
        <f t="shared" si="20"/>
        <v>23</v>
      </c>
      <c r="BF57" s="2631">
        <f t="shared" si="20"/>
        <v>4</v>
      </c>
      <c r="BG57" s="2631">
        <f t="shared" si="20"/>
        <v>27</v>
      </c>
      <c r="BH57" s="2632">
        <f t="shared" si="20"/>
        <v>54</v>
      </c>
      <c r="BI57" s="2631">
        <f t="shared" si="20"/>
        <v>26</v>
      </c>
      <c r="BJ57" s="2631">
        <f t="shared" si="20"/>
        <v>4</v>
      </c>
      <c r="BK57" s="2631">
        <f t="shared" si="20"/>
        <v>43</v>
      </c>
      <c r="BL57" s="2632">
        <f t="shared" si="20"/>
        <v>73</v>
      </c>
      <c r="BM57" s="2631">
        <f t="shared" ref="BM57:BT57" si="21">SUM(BM50,BM52,BM56)</f>
        <v>4</v>
      </c>
      <c r="BN57" s="2631">
        <f t="shared" si="21"/>
        <v>4</v>
      </c>
      <c r="BO57" s="2631">
        <f t="shared" si="21"/>
        <v>65</v>
      </c>
      <c r="BP57" s="2632">
        <f t="shared" si="21"/>
        <v>73</v>
      </c>
      <c r="BQ57" s="2631">
        <f t="shared" si="21"/>
        <v>5</v>
      </c>
      <c r="BR57" s="2631">
        <f t="shared" si="21"/>
        <v>4</v>
      </c>
      <c r="BS57" s="2631">
        <f t="shared" si="21"/>
        <v>81</v>
      </c>
      <c r="BT57" s="2632">
        <f t="shared" si="21"/>
        <v>90</v>
      </c>
    </row>
    <row r="58" spans="1:72" s="212" customFormat="1" ht="15" x14ac:dyDescent="0.25">
      <c r="A58" s="5461" t="s">
        <v>447</v>
      </c>
      <c r="B58" s="5462" t="s">
        <v>5</v>
      </c>
      <c r="C58" s="5461" t="s">
        <v>527</v>
      </c>
      <c r="D58" s="1183" t="s">
        <v>372</v>
      </c>
      <c r="E58" s="1184">
        <v>2</v>
      </c>
      <c r="F58" s="1160">
        <v>3</v>
      </c>
      <c r="G58" s="1160">
        <v>5</v>
      </c>
      <c r="H58" s="1161">
        <v>10</v>
      </c>
      <c r="I58" s="1184">
        <v>6</v>
      </c>
      <c r="J58" s="1160">
        <v>3</v>
      </c>
      <c r="K58" s="1160">
        <v>6</v>
      </c>
      <c r="L58" s="1161">
        <v>15</v>
      </c>
      <c r="M58" s="1184">
        <v>3</v>
      </c>
      <c r="N58" s="1160">
        <v>4</v>
      </c>
      <c r="O58" s="1160">
        <v>2</v>
      </c>
      <c r="P58" s="1161">
        <v>9</v>
      </c>
      <c r="Q58" s="1184">
        <v>6</v>
      </c>
      <c r="R58" s="1160">
        <v>2</v>
      </c>
      <c r="S58" s="1160">
        <v>6</v>
      </c>
      <c r="T58" s="1161">
        <v>14</v>
      </c>
      <c r="U58" s="1184"/>
      <c r="V58" s="1160"/>
      <c r="W58" s="1160"/>
      <c r="X58" s="1161"/>
      <c r="Y58" s="1162"/>
      <c r="Z58" s="1162"/>
      <c r="AA58" s="1162"/>
      <c r="AB58" s="1161"/>
      <c r="AC58" s="1162">
        <v>1</v>
      </c>
      <c r="AD58" s="1162"/>
      <c r="AE58" s="1162">
        <v>1</v>
      </c>
      <c r="AF58" s="1161">
        <f t="shared" ref="AF58:AF63" si="22">SUM(AC58:AE58)</f>
        <v>2</v>
      </c>
      <c r="AG58" s="1162"/>
      <c r="AH58" s="1162">
        <v>2</v>
      </c>
      <c r="AI58" s="1162">
        <v>5</v>
      </c>
      <c r="AJ58" s="1161">
        <f t="shared" ref="AJ58:AJ63" si="23">SUM(AG58:AI58)</f>
        <v>7</v>
      </c>
      <c r="AK58" s="1162">
        <v>1</v>
      </c>
      <c r="AL58" s="1162">
        <v>1</v>
      </c>
      <c r="AM58" s="1162">
        <v>3</v>
      </c>
      <c r="AN58" s="1161">
        <f t="shared" ref="AN58:AN63" si="24">SUM(AK58:AM58)</f>
        <v>5</v>
      </c>
      <c r="AO58" s="1162"/>
      <c r="AP58" s="1162">
        <v>3</v>
      </c>
      <c r="AQ58" s="1162"/>
      <c r="AR58" s="1163">
        <f t="shared" ref="AR58:AR63" si="25">SUM(AO58:AQ58)</f>
        <v>3</v>
      </c>
      <c r="AS58" s="1162"/>
      <c r="AT58" s="1162"/>
      <c r="AU58" s="1162"/>
      <c r="AV58" s="1163"/>
      <c r="AW58" s="1162"/>
      <c r="AX58" s="1162">
        <v>2</v>
      </c>
      <c r="AY58" s="1162">
        <v>3</v>
      </c>
      <c r="AZ58" s="1163">
        <f t="shared" ref="AZ58:AZ63" si="26">AW58+AX58+AY58</f>
        <v>5</v>
      </c>
      <c r="BA58" s="1162"/>
      <c r="BB58" s="1162">
        <v>3</v>
      </c>
      <c r="BC58" s="1162">
        <v>2</v>
      </c>
      <c r="BD58" s="1163">
        <f t="shared" ref="BD58:BD63" si="27">SUM(BA58:BC58)</f>
        <v>5</v>
      </c>
      <c r="BE58" s="1162">
        <v>4</v>
      </c>
      <c r="BF58" s="1162">
        <v>3</v>
      </c>
      <c r="BG58" s="1162">
        <v>7</v>
      </c>
      <c r="BH58" s="1163">
        <f t="shared" ref="BH58:BH70" si="28">BE58+BF58+BG58</f>
        <v>14</v>
      </c>
      <c r="BI58" s="1162">
        <v>3</v>
      </c>
      <c r="BJ58" s="1162">
        <v>1</v>
      </c>
      <c r="BK58" s="1162">
        <v>4</v>
      </c>
      <c r="BL58" s="1163">
        <f>BI58+BJ58+BK58</f>
        <v>8</v>
      </c>
      <c r="BM58" s="1162">
        <v>5</v>
      </c>
      <c r="BN58" s="1162">
        <v>1</v>
      </c>
      <c r="BO58" s="1162">
        <v>6</v>
      </c>
      <c r="BP58" s="1163">
        <f>BM58+BN58+BO58</f>
        <v>12</v>
      </c>
      <c r="BQ58" s="1162">
        <v>7</v>
      </c>
      <c r="BR58" s="1162">
        <v>6</v>
      </c>
      <c r="BS58" s="1162">
        <v>3</v>
      </c>
      <c r="BT58" s="1163">
        <f>BQ58+BR58+BS58</f>
        <v>16</v>
      </c>
    </row>
    <row r="59" spans="1:72" s="212" customFormat="1" ht="15" x14ac:dyDescent="0.25">
      <c r="A59" s="5462"/>
      <c r="B59" s="5462"/>
      <c r="C59" s="5462"/>
      <c r="D59" s="1152" t="s">
        <v>382</v>
      </c>
      <c r="E59" s="1167">
        <v>2</v>
      </c>
      <c r="F59" s="1164">
        <v>2</v>
      </c>
      <c r="G59" s="1164">
        <v>4</v>
      </c>
      <c r="H59" s="1165">
        <v>8</v>
      </c>
      <c r="I59" s="1167">
        <v>7</v>
      </c>
      <c r="J59" s="1164">
        <v>3</v>
      </c>
      <c r="K59" s="1164">
        <v>7</v>
      </c>
      <c r="L59" s="1165">
        <v>17</v>
      </c>
      <c r="M59" s="1167">
        <v>6</v>
      </c>
      <c r="N59" s="1164">
        <v>5</v>
      </c>
      <c r="O59" s="1164">
        <v>4</v>
      </c>
      <c r="P59" s="1165">
        <v>15</v>
      </c>
      <c r="Q59" s="1167">
        <v>3</v>
      </c>
      <c r="R59" s="1164"/>
      <c r="S59" s="1164">
        <v>10</v>
      </c>
      <c r="T59" s="1165">
        <v>13</v>
      </c>
      <c r="U59" s="1167">
        <v>1</v>
      </c>
      <c r="V59" s="1164"/>
      <c r="W59" s="1164">
        <v>2</v>
      </c>
      <c r="X59" s="1165">
        <f>SUM(U59:W59)</f>
        <v>3</v>
      </c>
      <c r="Y59" s="1166"/>
      <c r="Z59" s="1166">
        <v>3</v>
      </c>
      <c r="AA59" s="1166">
        <v>11</v>
      </c>
      <c r="AB59" s="1165">
        <f>SUM(Y59:AA59)</f>
        <v>14</v>
      </c>
      <c r="AC59" s="1166">
        <v>6</v>
      </c>
      <c r="AD59" s="1166">
        <v>10</v>
      </c>
      <c r="AE59" s="1166">
        <v>12</v>
      </c>
      <c r="AF59" s="1165">
        <f t="shared" si="22"/>
        <v>28</v>
      </c>
      <c r="AG59" s="1166"/>
      <c r="AH59" s="1166">
        <v>5</v>
      </c>
      <c r="AI59" s="1166">
        <v>10</v>
      </c>
      <c r="AJ59" s="1165">
        <f t="shared" si="23"/>
        <v>15</v>
      </c>
      <c r="AK59" s="1166"/>
      <c r="AL59" s="1166">
        <v>2</v>
      </c>
      <c r="AM59" s="1166">
        <v>5</v>
      </c>
      <c r="AN59" s="1165">
        <f t="shared" si="24"/>
        <v>7</v>
      </c>
      <c r="AO59" s="1166">
        <v>4</v>
      </c>
      <c r="AP59" s="1166">
        <v>4</v>
      </c>
      <c r="AQ59" s="1166">
        <v>15</v>
      </c>
      <c r="AR59" s="1151">
        <f t="shared" si="25"/>
        <v>23</v>
      </c>
      <c r="AS59" s="1166">
        <v>1</v>
      </c>
      <c r="AT59" s="1166">
        <v>2</v>
      </c>
      <c r="AU59" s="1166">
        <v>13</v>
      </c>
      <c r="AV59" s="1151">
        <f>SUM(AS59:AU59)</f>
        <v>16</v>
      </c>
      <c r="AW59" s="1166">
        <v>1</v>
      </c>
      <c r="AX59" s="1166">
        <v>2</v>
      </c>
      <c r="AY59" s="1166">
        <v>11</v>
      </c>
      <c r="AZ59" s="1151">
        <f t="shared" si="26"/>
        <v>14</v>
      </c>
      <c r="BA59" s="1166">
        <v>4</v>
      </c>
      <c r="BB59" s="1166">
        <v>7</v>
      </c>
      <c r="BC59" s="1166">
        <v>20</v>
      </c>
      <c r="BD59" s="1163">
        <f t="shared" si="27"/>
        <v>31</v>
      </c>
      <c r="BE59" s="1166">
        <v>2</v>
      </c>
      <c r="BF59" s="1166"/>
      <c r="BG59" s="1166">
        <v>16</v>
      </c>
      <c r="BH59" s="1151">
        <f>BE59+BF59+BG59</f>
        <v>18</v>
      </c>
      <c r="BI59" s="1166"/>
      <c r="BJ59" s="1166">
        <v>1</v>
      </c>
      <c r="BK59" s="1166">
        <v>19</v>
      </c>
      <c r="BL59" s="1151">
        <f t="shared" ref="BL59:BL64" si="29">BI59+BJ59+BK59</f>
        <v>20</v>
      </c>
      <c r="BM59" s="1166"/>
      <c r="BN59" s="1166">
        <v>4</v>
      </c>
      <c r="BO59" s="1166">
        <v>16</v>
      </c>
      <c r="BP59" s="1151">
        <f t="shared" ref="BP59:BP71" si="30">BM59+BN59+BO59</f>
        <v>20</v>
      </c>
      <c r="BQ59" s="1166"/>
      <c r="BR59" s="1166">
        <v>4</v>
      </c>
      <c r="BS59" s="1166">
        <v>15</v>
      </c>
      <c r="BT59" s="1151">
        <f t="shared" ref="BT59:BT71" si="31">BQ59+BR59+BS59</f>
        <v>19</v>
      </c>
    </row>
    <row r="60" spans="1:72" s="212" customFormat="1" ht="15" x14ac:dyDescent="0.25">
      <c r="A60" s="5462"/>
      <c r="B60" s="5462"/>
      <c r="C60" s="5462"/>
      <c r="D60" s="1152" t="s">
        <v>380</v>
      </c>
      <c r="E60" s="1167">
        <v>12</v>
      </c>
      <c r="F60" s="1164">
        <v>3</v>
      </c>
      <c r="G60" s="1164">
        <v>10</v>
      </c>
      <c r="H60" s="1165">
        <v>25</v>
      </c>
      <c r="I60" s="1167">
        <v>6</v>
      </c>
      <c r="J60" s="1164">
        <v>1</v>
      </c>
      <c r="K60" s="1164">
        <v>7</v>
      </c>
      <c r="L60" s="1165">
        <v>14</v>
      </c>
      <c r="M60" s="1167">
        <v>10</v>
      </c>
      <c r="N60" s="1164">
        <v>2</v>
      </c>
      <c r="O60" s="1164">
        <v>15</v>
      </c>
      <c r="P60" s="1165">
        <v>27</v>
      </c>
      <c r="Q60" s="1167">
        <v>6</v>
      </c>
      <c r="R60" s="1164">
        <v>4</v>
      </c>
      <c r="S60" s="1164">
        <v>5</v>
      </c>
      <c r="T60" s="1165">
        <v>15</v>
      </c>
      <c r="U60" s="1167"/>
      <c r="V60" s="1164">
        <v>2</v>
      </c>
      <c r="W60" s="1164">
        <v>4</v>
      </c>
      <c r="X60" s="1165">
        <f>SUM(U60:W60)</f>
        <v>6</v>
      </c>
      <c r="Y60" s="1166">
        <v>2</v>
      </c>
      <c r="Z60" s="1166">
        <v>1</v>
      </c>
      <c r="AA60" s="1166">
        <v>5</v>
      </c>
      <c r="AB60" s="1165">
        <f>SUM(Y60:AA60)</f>
        <v>8</v>
      </c>
      <c r="AC60" s="1166">
        <v>1</v>
      </c>
      <c r="AD60" s="1166"/>
      <c r="AE60" s="1166">
        <v>4</v>
      </c>
      <c r="AF60" s="1165">
        <f t="shared" si="22"/>
        <v>5</v>
      </c>
      <c r="AG60" s="1166"/>
      <c r="AH60" s="1166">
        <v>1</v>
      </c>
      <c r="AI60" s="1166">
        <v>4</v>
      </c>
      <c r="AJ60" s="1165">
        <f t="shared" si="23"/>
        <v>5</v>
      </c>
      <c r="AK60" s="1166">
        <v>7</v>
      </c>
      <c r="AL60" s="1166"/>
      <c r="AM60" s="1166">
        <v>2</v>
      </c>
      <c r="AN60" s="1165">
        <f t="shared" si="24"/>
        <v>9</v>
      </c>
      <c r="AO60" s="1166">
        <v>2</v>
      </c>
      <c r="AP60" s="1166"/>
      <c r="AQ60" s="1166">
        <v>4</v>
      </c>
      <c r="AR60" s="1151">
        <f t="shared" si="25"/>
        <v>6</v>
      </c>
      <c r="AS60" s="1166">
        <v>2</v>
      </c>
      <c r="AT60" s="1166" t="s">
        <v>227</v>
      </c>
      <c r="AU60" s="1166">
        <v>6</v>
      </c>
      <c r="AV60" s="1151">
        <f>SUM(AS60:AU60)</f>
        <v>8</v>
      </c>
      <c r="AW60" s="1166">
        <v>3</v>
      </c>
      <c r="AX60" s="1166"/>
      <c r="AY60" s="1166">
        <v>5</v>
      </c>
      <c r="AZ60" s="1151">
        <f t="shared" si="26"/>
        <v>8</v>
      </c>
      <c r="BA60" s="1166">
        <v>3</v>
      </c>
      <c r="BB60" s="1166"/>
      <c r="BC60" s="1166">
        <v>6</v>
      </c>
      <c r="BD60" s="1163">
        <f t="shared" si="27"/>
        <v>9</v>
      </c>
      <c r="BE60" s="1166">
        <v>6</v>
      </c>
      <c r="BF60" s="1166"/>
      <c r="BG60" s="1166">
        <v>11</v>
      </c>
      <c r="BH60" s="1151">
        <f>BE60+BF60+BG60</f>
        <v>17</v>
      </c>
      <c r="BI60" s="1166">
        <v>6</v>
      </c>
      <c r="BJ60" s="1166"/>
      <c r="BK60" s="1166">
        <v>2</v>
      </c>
      <c r="BL60" s="1151">
        <f t="shared" si="29"/>
        <v>8</v>
      </c>
      <c r="BM60" s="1166">
        <v>5</v>
      </c>
      <c r="BN60" s="1166"/>
      <c r="BO60" s="1166">
        <v>3</v>
      </c>
      <c r="BP60" s="1151">
        <f t="shared" si="30"/>
        <v>8</v>
      </c>
      <c r="BQ60" s="1166">
        <v>3</v>
      </c>
      <c r="BR60" s="1166"/>
      <c r="BS60" s="1166">
        <v>7</v>
      </c>
      <c r="BT60" s="1151">
        <f t="shared" si="31"/>
        <v>10</v>
      </c>
    </row>
    <row r="61" spans="1:72" s="212" customFormat="1" ht="15" x14ac:dyDescent="0.25">
      <c r="A61" s="5462"/>
      <c r="B61" s="5462"/>
      <c r="C61" s="5462"/>
      <c r="D61" s="1152" t="s">
        <v>378</v>
      </c>
      <c r="E61" s="1167"/>
      <c r="F61" s="1164"/>
      <c r="G61" s="1164">
        <v>20</v>
      </c>
      <c r="H61" s="1165">
        <v>20</v>
      </c>
      <c r="I61" s="1167"/>
      <c r="J61" s="1164">
        <v>1</v>
      </c>
      <c r="K61" s="1164">
        <v>13</v>
      </c>
      <c r="L61" s="1165">
        <v>14</v>
      </c>
      <c r="M61" s="1167">
        <v>3</v>
      </c>
      <c r="N61" s="1164">
        <v>1</v>
      </c>
      <c r="O61" s="1164">
        <v>23</v>
      </c>
      <c r="P61" s="1165">
        <v>27</v>
      </c>
      <c r="Q61" s="1167">
        <v>5</v>
      </c>
      <c r="R61" s="1164"/>
      <c r="S61" s="1164">
        <v>18</v>
      </c>
      <c r="T61" s="1165">
        <f>SUM(Q61:S61)</f>
        <v>23</v>
      </c>
      <c r="U61" s="1167"/>
      <c r="V61" s="1164"/>
      <c r="W61" s="1164">
        <v>8</v>
      </c>
      <c r="X61" s="1165">
        <f>SUM(U61:W61)</f>
        <v>8</v>
      </c>
      <c r="Y61" s="1166"/>
      <c r="Z61" s="1166"/>
      <c r="AA61" s="1166">
        <v>4</v>
      </c>
      <c r="AB61" s="1165">
        <f>SUM(Y61:AA61)</f>
        <v>4</v>
      </c>
      <c r="AC61" s="1166"/>
      <c r="AD61" s="1166"/>
      <c r="AE61" s="1166">
        <v>6</v>
      </c>
      <c r="AF61" s="1165">
        <f t="shared" si="22"/>
        <v>6</v>
      </c>
      <c r="AG61" s="1166"/>
      <c r="AH61" s="1166"/>
      <c r="AI61" s="1166">
        <v>9</v>
      </c>
      <c r="AJ61" s="1165">
        <f t="shared" si="23"/>
        <v>9</v>
      </c>
      <c r="AK61" s="1166"/>
      <c r="AL61" s="1166"/>
      <c r="AM61" s="1166">
        <v>4</v>
      </c>
      <c r="AN61" s="1165">
        <f t="shared" si="24"/>
        <v>4</v>
      </c>
      <c r="AO61" s="1166"/>
      <c r="AP61" s="1166"/>
      <c r="AQ61" s="1166">
        <v>9</v>
      </c>
      <c r="AR61" s="1151">
        <f t="shared" si="25"/>
        <v>9</v>
      </c>
      <c r="AS61" s="1166" t="s">
        <v>227</v>
      </c>
      <c r="AT61" s="1166" t="s">
        <v>227</v>
      </c>
      <c r="AU61" s="1166">
        <v>13</v>
      </c>
      <c r="AV61" s="1151">
        <f>SUM(AS61:AU61)</f>
        <v>13</v>
      </c>
      <c r="AW61" s="1166">
        <v>1</v>
      </c>
      <c r="AX61" s="1166"/>
      <c r="AY61" s="1166">
        <v>9</v>
      </c>
      <c r="AZ61" s="1151">
        <f t="shared" si="26"/>
        <v>10</v>
      </c>
      <c r="BA61" s="1166"/>
      <c r="BB61" s="1166"/>
      <c r="BC61" s="1166">
        <v>6</v>
      </c>
      <c r="BD61" s="1163">
        <f t="shared" si="27"/>
        <v>6</v>
      </c>
      <c r="BE61" s="1166"/>
      <c r="BF61" s="1166"/>
      <c r="BG61" s="1166">
        <v>9</v>
      </c>
      <c r="BH61" s="1151">
        <f>BE61+BF61+BG61</f>
        <v>9</v>
      </c>
      <c r="BI61" s="1166"/>
      <c r="BJ61" s="1166"/>
      <c r="BK61" s="1166">
        <v>13</v>
      </c>
      <c r="BL61" s="1151">
        <f t="shared" si="29"/>
        <v>13</v>
      </c>
      <c r="BM61" s="1166"/>
      <c r="BN61" s="1166"/>
      <c r="BO61" s="1166">
        <v>9</v>
      </c>
      <c r="BP61" s="1151">
        <f t="shared" si="30"/>
        <v>9</v>
      </c>
      <c r="BQ61" s="1166">
        <v>1</v>
      </c>
      <c r="BR61" s="1166"/>
      <c r="BS61" s="1166">
        <v>13</v>
      </c>
      <c r="BT61" s="1151">
        <f t="shared" si="31"/>
        <v>14</v>
      </c>
    </row>
    <row r="62" spans="1:72" s="212" customFormat="1" ht="15" x14ac:dyDescent="0.25">
      <c r="A62" s="5462"/>
      <c r="B62" s="5462"/>
      <c r="C62" s="5462"/>
      <c r="D62" s="1152" t="s">
        <v>376</v>
      </c>
      <c r="E62" s="1167">
        <v>2</v>
      </c>
      <c r="F62" s="1164">
        <v>1</v>
      </c>
      <c r="G62" s="1164">
        <v>7</v>
      </c>
      <c r="H62" s="1165">
        <v>10</v>
      </c>
      <c r="I62" s="1167">
        <v>8</v>
      </c>
      <c r="J62" s="1164">
        <v>4</v>
      </c>
      <c r="K62" s="1164">
        <v>3</v>
      </c>
      <c r="L62" s="1165">
        <v>15</v>
      </c>
      <c r="M62" s="1167">
        <v>7</v>
      </c>
      <c r="N62" s="1164">
        <v>3</v>
      </c>
      <c r="O62" s="1164">
        <v>4</v>
      </c>
      <c r="P62" s="1165">
        <v>14</v>
      </c>
      <c r="Q62" s="1167">
        <v>5</v>
      </c>
      <c r="R62" s="1164">
        <v>4</v>
      </c>
      <c r="S62" s="1164">
        <v>5</v>
      </c>
      <c r="T62" s="1165">
        <v>14</v>
      </c>
      <c r="U62" s="1167">
        <v>1</v>
      </c>
      <c r="V62" s="1164">
        <v>3</v>
      </c>
      <c r="W62" s="1164">
        <v>9</v>
      </c>
      <c r="X62" s="1165">
        <f>SUM(U62:W62)</f>
        <v>13</v>
      </c>
      <c r="Y62" s="1166">
        <v>4</v>
      </c>
      <c r="Z62" s="1166">
        <v>4</v>
      </c>
      <c r="AA62" s="1166">
        <v>2</v>
      </c>
      <c r="AB62" s="1165">
        <f>SUM(Y62:AA62)</f>
        <v>10</v>
      </c>
      <c r="AC62" s="1166">
        <v>6</v>
      </c>
      <c r="AD62" s="1166">
        <v>3</v>
      </c>
      <c r="AE62" s="1166">
        <v>8</v>
      </c>
      <c r="AF62" s="1165">
        <f t="shared" si="22"/>
        <v>17</v>
      </c>
      <c r="AG62" s="1166">
        <v>7</v>
      </c>
      <c r="AH62" s="1166">
        <v>4</v>
      </c>
      <c r="AI62" s="1166">
        <v>3</v>
      </c>
      <c r="AJ62" s="1165">
        <f t="shared" si="23"/>
        <v>14</v>
      </c>
      <c r="AK62" s="1166">
        <v>6</v>
      </c>
      <c r="AL62" s="1166">
        <v>5</v>
      </c>
      <c r="AM62" s="1166">
        <v>6</v>
      </c>
      <c r="AN62" s="1165">
        <f t="shared" si="24"/>
        <v>17</v>
      </c>
      <c r="AO62" s="1166">
        <v>10</v>
      </c>
      <c r="AP62" s="1166">
        <v>1</v>
      </c>
      <c r="AQ62" s="1166">
        <v>4</v>
      </c>
      <c r="AR62" s="1151">
        <f t="shared" si="25"/>
        <v>15</v>
      </c>
      <c r="AS62" s="1166">
        <v>4</v>
      </c>
      <c r="AT62" s="1166">
        <v>2</v>
      </c>
      <c r="AU62" s="1166">
        <v>10</v>
      </c>
      <c r="AV62" s="1151">
        <f>SUM(AS62:AU62)</f>
        <v>16</v>
      </c>
      <c r="AW62" s="1166">
        <v>7</v>
      </c>
      <c r="AX62" s="1166">
        <v>3</v>
      </c>
      <c r="AY62" s="1166">
        <v>4</v>
      </c>
      <c r="AZ62" s="1151">
        <f t="shared" si="26"/>
        <v>14</v>
      </c>
      <c r="BA62" s="1166">
        <v>8</v>
      </c>
      <c r="BB62" s="1166">
        <v>6</v>
      </c>
      <c r="BC62" s="1166">
        <v>6</v>
      </c>
      <c r="BD62" s="1163">
        <f t="shared" si="27"/>
        <v>20</v>
      </c>
      <c r="BE62" s="1166">
        <v>4</v>
      </c>
      <c r="BF62" s="1166">
        <v>4</v>
      </c>
      <c r="BG62" s="1166">
        <v>6</v>
      </c>
      <c r="BH62" s="1151">
        <f>BE62+BF62+BG62</f>
        <v>14</v>
      </c>
      <c r="BI62" s="1166">
        <v>1</v>
      </c>
      <c r="BJ62" s="1166">
        <v>3</v>
      </c>
      <c r="BK62" s="1166">
        <v>4</v>
      </c>
      <c r="BL62" s="1151">
        <f t="shared" si="29"/>
        <v>8</v>
      </c>
      <c r="BM62" s="1166">
        <v>2</v>
      </c>
      <c r="BN62" s="1166"/>
      <c r="BO62" s="1166">
        <v>4</v>
      </c>
      <c r="BP62" s="1151">
        <f t="shared" si="30"/>
        <v>6</v>
      </c>
      <c r="BQ62" s="1166">
        <v>2</v>
      </c>
      <c r="BR62" s="1166">
        <v>3</v>
      </c>
      <c r="BS62" s="1166">
        <v>3</v>
      </c>
      <c r="BT62" s="1151">
        <f t="shared" si="31"/>
        <v>8</v>
      </c>
    </row>
    <row r="63" spans="1:72" s="212" customFormat="1" ht="15" x14ac:dyDescent="0.25">
      <c r="A63" s="5462"/>
      <c r="B63" s="5462"/>
      <c r="C63" s="5462"/>
      <c r="D63" s="1152" t="s">
        <v>68</v>
      </c>
      <c r="E63" s="1167"/>
      <c r="F63" s="1164"/>
      <c r="G63" s="1164"/>
      <c r="H63" s="1165"/>
      <c r="I63" s="1167"/>
      <c r="J63" s="1164"/>
      <c r="K63" s="1164"/>
      <c r="L63" s="1165"/>
      <c r="M63" s="1167"/>
      <c r="N63" s="1164"/>
      <c r="O63" s="1164"/>
      <c r="P63" s="1165"/>
      <c r="Q63" s="1167"/>
      <c r="R63" s="1164"/>
      <c r="S63" s="1164"/>
      <c r="T63" s="1165"/>
      <c r="U63" s="1167"/>
      <c r="V63" s="1164"/>
      <c r="W63" s="1164"/>
      <c r="X63" s="1165"/>
      <c r="Y63" s="1166"/>
      <c r="Z63" s="1166"/>
      <c r="AA63" s="1166"/>
      <c r="AB63" s="1165"/>
      <c r="AC63" s="1166"/>
      <c r="AD63" s="1166"/>
      <c r="AE63" s="1166">
        <v>11</v>
      </c>
      <c r="AF63" s="1165">
        <f t="shared" si="22"/>
        <v>11</v>
      </c>
      <c r="AG63" s="1166"/>
      <c r="AH63" s="1166"/>
      <c r="AI63" s="1166">
        <v>12</v>
      </c>
      <c r="AJ63" s="1165">
        <f t="shared" si="23"/>
        <v>12</v>
      </c>
      <c r="AK63" s="1166"/>
      <c r="AL63" s="1166"/>
      <c r="AM63" s="1166">
        <v>8</v>
      </c>
      <c r="AN63" s="1165">
        <f t="shared" si="24"/>
        <v>8</v>
      </c>
      <c r="AO63" s="1166"/>
      <c r="AP63" s="1166"/>
      <c r="AQ63" s="1166">
        <v>14</v>
      </c>
      <c r="AR63" s="1151">
        <f t="shared" si="25"/>
        <v>14</v>
      </c>
      <c r="AS63" s="1166" t="s">
        <v>227</v>
      </c>
      <c r="AT63" s="1166" t="s">
        <v>227</v>
      </c>
      <c r="AU63" s="1166">
        <v>16</v>
      </c>
      <c r="AV63" s="1151">
        <f>SUM(AS63:AU63)</f>
        <v>16</v>
      </c>
      <c r="AW63" s="1166"/>
      <c r="AX63" s="1166"/>
      <c r="AY63" s="1166">
        <v>15</v>
      </c>
      <c r="AZ63" s="1151">
        <f t="shared" si="26"/>
        <v>15</v>
      </c>
      <c r="BA63" s="1166"/>
      <c r="BB63" s="1166"/>
      <c r="BC63" s="1166">
        <v>17</v>
      </c>
      <c r="BD63" s="1163">
        <f t="shared" si="27"/>
        <v>17</v>
      </c>
      <c r="BE63" s="1166"/>
      <c r="BF63" s="1166"/>
      <c r="BG63" s="1166">
        <v>12</v>
      </c>
      <c r="BH63" s="1151">
        <f>BE63+BF63+BG63</f>
        <v>12</v>
      </c>
      <c r="BI63" s="1166"/>
      <c r="BJ63" s="1166"/>
      <c r="BK63" s="1166">
        <v>12</v>
      </c>
      <c r="BL63" s="1151">
        <f t="shared" si="29"/>
        <v>12</v>
      </c>
      <c r="BM63" s="1166"/>
      <c r="BN63" s="1166"/>
      <c r="BO63" s="1166">
        <v>11</v>
      </c>
      <c r="BP63" s="1151">
        <f t="shared" si="30"/>
        <v>11</v>
      </c>
      <c r="BQ63" s="1166"/>
      <c r="BR63" s="1166"/>
      <c r="BS63" s="1166">
        <v>13</v>
      </c>
      <c r="BT63" s="1151">
        <f t="shared" si="31"/>
        <v>13</v>
      </c>
    </row>
    <row r="64" spans="1:72" s="212" customFormat="1" ht="15" x14ac:dyDescent="0.25">
      <c r="A64" s="5462"/>
      <c r="B64" s="5462"/>
      <c r="C64" s="5464"/>
      <c r="D64" s="1152" t="s">
        <v>629</v>
      </c>
      <c r="E64" s="1167"/>
      <c r="F64" s="1164"/>
      <c r="G64" s="1164"/>
      <c r="H64" s="1165"/>
      <c r="I64" s="1167"/>
      <c r="J64" s="1164"/>
      <c r="K64" s="1164"/>
      <c r="L64" s="1165"/>
      <c r="M64" s="1167"/>
      <c r="N64" s="1164"/>
      <c r="O64" s="1164"/>
      <c r="P64" s="1165"/>
      <c r="Q64" s="1167"/>
      <c r="R64" s="1164"/>
      <c r="S64" s="1164"/>
      <c r="T64" s="1165"/>
      <c r="U64" s="1167"/>
      <c r="V64" s="1164"/>
      <c r="W64" s="1164"/>
      <c r="X64" s="1165"/>
      <c r="Y64" s="1166"/>
      <c r="Z64" s="1166"/>
      <c r="AA64" s="1166"/>
      <c r="AB64" s="1165"/>
      <c r="AC64" s="1166"/>
      <c r="AD64" s="1166"/>
      <c r="AE64" s="1166"/>
      <c r="AF64" s="1165"/>
      <c r="AG64" s="1166"/>
      <c r="AH64" s="1166"/>
      <c r="AI64" s="1166"/>
      <c r="AJ64" s="1165"/>
      <c r="AK64" s="1166"/>
      <c r="AL64" s="1166"/>
      <c r="AM64" s="1166"/>
      <c r="AN64" s="1165"/>
      <c r="AO64" s="1166"/>
      <c r="AP64" s="1166"/>
      <c r="AQ64" s="1166"/>
      <c r="AR64" s="1151"/>
      <c r="AS64" s="1166"/>
      <c r="AT64" s="1166"/>
      <c r="AU64" s="1166"/>
      <c r="AV64" s="1151"/>
      <c r="AW64" s="1166"/>
      <c r="AX64" s="1166"/>
      <c r="AY64" s="1166"/>
      <c r="AZ64" s="1151"/>
      <c r="BA64" s="1166"/>
      <c r="BB64" s="1166"/>
      <c r="BC64" s="1166"/>
      <c r="BD64" s="1163"/>
      <c r="BE64" s="1166"/>
      <c r="BF64" s="1166"/>
      <c r="BG64" s="1166"/>
      <c r="BH64" s="1151"/>
      <c r="BI64" s="1166">
        <v>25</v>
      </c>
      <c r="BJ64" s="1166"/>
      <c r="BK64" s="1166"/>
      <c r="BL64" s="1151">
        <f t="shared" si="29"/>
        <v>25</v>
      </c>
      <c r="BM64" s="1166">
        <v>12</v>
      </c>
      <c r="BN64" s="1166"/>
      <c r="BO64" s="1166"/>
      <c r="BP64" s="1151">
        <f t="shared" si="30"/>
        <v>12</v>
      </c>
      <c r="BQ64" s="1166">
        <v>15</v>
      </c>
      <c r="BR64" s="1166"/>
      <c r="BS64" s="1166"/>
      <c r="BT64" s="1151">
        <f t="shared" si="31"/>
        <v>15</v>
      </c>
    </row>
    <row r="65" spans="1:72" s="212" customFormat="1" ht="15" x14ac:dyDescent="0.25">
      <c r="A65" s="5462"/>
      <c r="B65" s="5462"/>
      <c r="C65" s="5461" t="s">
        <v>526</v>
      </c>
      <c r="D65" s="1152" t="s">
        <v>373</v>
      </c>
      <c r="E65" s="1167"/>
      <c r="F65" s="1164"/>
      <c r="G65" s="1164"/>
      <c r="H65" s="1165"/>
      <c r="I65" s="1167"/>
      <c r="J65" s="1164"/>
      <c r="K65" s="1164">
        <v>3</v>
      </c>
      <c r="L65" s="1165">
        <v>3</v>
      </c>
      <c r="M65" s="1167">
        <v>5</v>
      </c>
      <c r="N65" s="1164">
        <v>2</v>
      </c>
      <c r="O65" s="1164">
        <v>2</v>
      </c>
      <c r="P65" s="1165">
        <v>9</v>
      </c>
      <c r="Q65" s="1167">
        <v>5</v>
      </c>
      <c r="R65" s="1164">
        <v>3</v>
      </c>
      <c r="S65" s="1164">
        <v>3</v>
      </c>
      <c r="T65" s="1165">
        <v>11</v>
      </c>
      <c r="U65" s="1167">
        <v>4</v>
      </c>
      <c r="V65" s="1164"/>
      <c r="W65" s="1164">
        <v>1</v>
      </c>
      <c r="X65" s="1165">
        <f>SUM(U65:W65)</f>
        <v>5</v>
      </c>
      <c r="Y65" s="1166"/>
      <c r="Z65" s="1166"/>
      <c r="AA65" s="1166">
        <v>4</v>
      </c>
      <c r="AB65" s="1165">
        <f>SUM(Y65:AA65)</f>
        <v>4</v>
      </c>
      <c r="AC65" s="1166">
        <v>2</v>
      </c>
      <c r="AD65" s="1166">
        <v>2</v>
      </c>
      <c r="AE65" s="1166">
        <v>3</v>
      </c>
      <c r="AF65" s="1165">
        <f>SUM(AC65:AE65)</f>
        <v>7</v>
      </c>
      <c r="AG65" s="1166">
        <v>2</v>
      </c>
      <c r="AH65" s="1166">
        <v>1</v>
      </c>
      <c r="AI65" s="1166"/>
      <c r="AJ65" s="1165">
        <f>SUM(AG65:AI65)</f>
        <v>3</v>
      </c>
      <c r="AK65" s="1166"/>
      <c r="AL65" s="1166">
        <v>1</v>
      </c>
      <c r="AM65" s="1166">
        <v>2</v>
      </c>
      <c r="AN65" s="1165">
        <f>SUM(AK65:AM65)</f>
        <v>3</v>
      </c>
      <c r="AO65" s="1166"/>
      <c r="AP65" s="1166"/>
      <c r="AQ65" s="1166">
        <v>2</v>
      </c>
      <c r="AR65" s="1151">
        <f>SUM(AO65:AQ65)</f>
        <v>2</v>
      </c>
      <c r="AS65" s="1166">
        <v>1</v>
      </c>
      <c r="AT65" s="1166" t="s">
        <v>227</v>
      </c>
      <c r="AU65" s="1166">
        <v>2</v>
      </c>
      <c r="AV65" s="1151">
        <f>SUM(AS65:AU65)</f>
        <v>3</v>
      </c>
      <c r="AW65" s="1166"/>
      <c r="AX65" s="1166">
        <v>1</v>
      </c>
      <c r="AY65" s="1166"/>
      <c r="AZ65" s="1151">
        <f>AW65+AX65+AY65</f>
        <v>1</v>
      </c>
      <c r="BA65" s="1166"/>
      <c r="BB65" s="1166"/>
      <c r="BC65" s="1166">
        <v>1</v>
      </c>
      <c r="BD65" s="1163">
        <f t="shared" ref="BD65:BD70" si="32">SUM(BA65:BC65)</f>
        <v>1</v>
      </c>
      <c r="BE65" s="1166"/>
      <c r="BF65" s="1166">
        <v>2</v>
      </c>
      <c r="BG65" s="1166"/>
      <c r="BH65" s="1151">
        <f t="shared" si="28"/>
        <v>2</v>
      </c>
      <c r="BI65" s="1166"/>
      <c r="BJ65" s="1166"/>
      <c r="BK65" s="1166">
        <v>2</v>
      </c>
      <c r="BL65" s="1151">
        <f t="shared" ref="BL65:BL71" si="33">BI65+BJ65+BK65</f>
        <v>2</v>
      </c>
      <c r="BM65" s="1166">
        <v>2</v>
      </c>
      <c r="BN65" s="1166">
        <v>1</v>
      </c>
      <c r="BO65" s="1166">
        <v>4</v>
      </c>
      <c r="BP65" s="1151">
        <f t="shared" si="30"/>
        <v>7</v>
      </c>
      <c r="BQ65" s="1166">
        <v>6</v>
      </c>
      <c r="BR65" s="1166"/>
      <c r="BS65" s="1166">
        <v>4</v>
      </c>
      <c r="BT65" s="1151">
        <f t="shared" si="31"/>
        <v>10</v>
      </c>
    </row>
    <row r="66" spans="1:72" s="212" customFormat="1" ht="15" x14ac:dyDescent="0.25">
      <c r="A66" s="5462"/>
      <c r="B66" s="5462"/>
      <c r="C66" s="5462"/>
      <c r="D66" s="1152" t="s">
        <v>381</v>
      </c>
      <c r="E66" s="1167"/>
      <c r="F66" s="1164"/>
      <c r="G66" s="1164">
        <v>1</v>
      </c>
      <c r="H66" s="1165">
        <v>1</v>
      </c>
      <c r="I66" s="1167"/>
      <c r="J66" s="1164"/>
      <c r="K66" s="1164">
        <v>1</v>
      </c>
      <c r="L66" s="1165">
        <v>1</v>
      </c>
      <c r="M66" s="1167">
        <v>3</v>
      </c>
      <c r="N66" s="1164">
        <v>1</v>
      </c>
      <c r="O66" s="1164"/>
      <c r="P66" s="1165">
        <v>4</v>
      </c>
      <c r="Q66" s="1167">
        <v>3</v>
      </c>
      <c r="R66" s="1164">
        <v>1</v>
      </c>
      <c r="S66" s="1164">
        <v>3</v>
      </c>
      <c r="T66" s="1165">
        <v>7</v>
      </c>
      <c r="U66" s="1167">
        <v>1</v>
      </c>
      <c r="V66" s="1164">
        <v>2</v>
      </c>
      <c r="W66" s="1164">
        <v>2</v>
      </c>
      <c r="X66" s="1165">
        <f>SUM(U66:W66)</f>
        <v>5</v>
      </c>
      <c r="Y66" s="1166">
        <v>2</v>
      </c>
      <c r="Z66" s="1166">
        <v>2</v>
      </c>
      <c r="AA66" s="1166">
        <v>2</v>
      </c>
      <c r="AB66" s="1165">
        <f>SUM(Y66:AA66)</f>
        <v>6</v>
      </c>
      <c r="AC66" s="1166">
        <v>2</v>
      </c>
      <c r="AD66" s="1166">
        <v>3</v>
      </c>
      <c r="AE66" s="1166">
        <v>2</v>
      </c>
      <c r="AF66" s="1165">
        <f>SUM(AC66:AE66)</f>
        <v>7</v>
      </c>
      <c r="AG66" s="1166">
        <v>2</v>
      </c>
      <c r="AH66" s="1166">
        <v>1</v>
      </c>
      <c r="AI66" s="1166">
        <v>2</v>
      </c>
      <c r="AJ66" s="1165">
        <f>SUM(AG66:AI66)</f>
        <v>5</v>
      </c>
      <c r="AK66" s="1166"/>
      <c r="AL66" s="1166">
        <v>1</v>
      </c>
      <c r="AM66" s="1166">
        <v>2</v>
      </c>
      <c r="AN66" s="1165">
        <f>SUM(AK66:AM66)</f>
        <v>3</v>
      </c>
      <c r="AO66" s="1166">
        <v>1</v>
      </c>
      <c r="AP66" s="1166">
        <v>2</v>
      </c>
      <c r="AQ66" s="1166">
        <v>2</v>
      </c>
      <c r="AR66" s="1151">
        <f>SUM(AO66:AQ66)</f>
        <v>5</v>
      </c>
      <c r="AS66" s="1166" t="s">
        <v>227</v>
      </c>
      <c r="AT66" s="1166">
        <v>4</v>
      </c>
      <c r="AU66" s="1166">
        <v>2</v>
      </c>
      <c r="AV66" s="1151">
        <f>SUM(AS66:AU66)</f>
        <v>6</v>
      </c>
      <c r="AW66" s="1166">
        <v>3</v>
      </c>
      <c r="AX66" s="1166">
        <v>1</v>
      </c>
      <c r="AY66" s="1166">
        <v>3</v>
      </c>
      <c r="AZ66" s="1151">
        <f>AW66+AX66+AY66</f>
        <v>7</v>
      </c>
      <c r="BA66" s="1166">
        <v>5</v>
      </c>
      <c r="BB66" s="1166">
        <v>3</v>
      </c>
      <c r="BC66" s="1166">
        <v>5</v>
      </c>
      <c r="BD66" s="1163">
        <f t="shared" si="32"/>
        <v>13</v>
      </c>
      <c r="BE66" s="1166">
        <v>6</v>
      </c>
      <c r="BF66" s="1166"/>
      <c r="BG66" s="1166">
        <v>5</v>
      </c>
      <c r="BH66" s="1151">
        <f t="shared" si="28"/>
        <v>11</v>
      </c>
      <c r="BI66" s="1166">
        <v>3</v>
      </c>
      <c r="BJ66" s="1166">
        <v>4</v>
      </c>
      <c r="BK66" s="1166">
        <v>2</v>
      </c>
      <c r="BL66" s="1151">
        <f t="shared" si="33"/>
        <v>9</v>
      </c>
      <c r="BM66" s="1166">
        <v>2</v>
      </c>
      <c r="BN66" s="1166">
        <v>3</v>
      </c>
      <c r="BO66" s="1166">
        <v>5</v>
      </c>
      <c r="BP66" s="1151">
        <f t="shared" si="30"/>
        <v>10</v>
      </c>
      <c r="BQ66" s="1166">
        <v>2</v>
      </c>
      <c r="BR66" s="1166">
        <v>3</v>
      </c>
      <c r="BS66" s="1166">
        <v>6</v>
      </c>
      <c r="BT66" s="1151">
        <f t="shared" si="31"/>
        <v>11</v>
      </c>
    </row>
    <row r="67" spans="1:72" s="212" customFormat="1" ht="15" x14ac:dyDescent="0.25">
      <c r="A67" s="5462"/>
      <c r="B67" s="5462"/>
      <c r="C67" s="5462"/>
      <c r="D67" s="1152" t="s">
        <v>379</v>
      </c>
      <c r="E67" s="1167"/>
      <c r="F67" s="1164"/>
      <c r="G67" s="1164">
        <v>6</v>
      </c>
      <c r="H67" s="1165">
        <v>6</v>
      </c>
      <c r="I67" s="1167">
        <v>9</v>
      </c>
      <c r="J67" s="1164">
        <v>2</v>
      </c>
      <c r="K67" s="1164">
        <v>13</v>
      </c>
      <c r="L67" s="1165">
        <v>24</v>
      </c>
      <c r="M67" s="1167">
        <v>10</v>
      </c>
      <c r="N67" s="1164">
        <v>7</v>
      </c>
      <c r="O67" s="1164">
        <v>1</v>
      </c>
      <c r="P67" s="1165">
        <v>18</v>
      </c>
      <c r="Q67" s="1167">
        <v>5</v>
      </c>
      <c r="R67" s="1164">
        <v>1</v>
      </c>
      <c r="S67" s="1164">
        <v>3</v>
      </c>
      <c r="T67" s="1165">
        <v>9</v>
      </c>
      <c r="U67" s="1167">
        <v>4</v>
      </c>
      <c r="V67" s="1164">
        <v>6</v>
      </c>
      <c r="W67" s="1164">
        <v>6</v>
      </c>
      <c r="X67" s="1165">
        <f>SUM(U67:W67)</f>
        <v>16</v>
      </c>
      <c r="Y67" s="1166">
        <v>9</v>
      </c>
      <c r="Z67" s="1166">
        <v>7</v>
      </c>
      <c r="AA67" s="1166">
        <v>5</v>
      </c>
      <c r="AB67" s="1165">
        <f>SUM(Y67:AA67)</f>
        <v>21</v>
      </c>
      <c r="AC67" s="1166">
        <v>10</v>
      </c>
      <c r="AD67" s="1166">
        <v>6</v>
      </c>
      <c r="AE67" s="1166">
        <v>4</v>
      </c>
      <c r="AF67" s="1165">
        <f>SUM(AC67:AE67)</f>
        <v>20</v>
      </c>
      <c r="AG67" s="1166">
        <v>3</v>
      </c>
      <c r="AH67" s="1166"/>
      <c r="AI67" s="1166">
        <v>2</v>
      </c>
      <c r="AJ67" s="1165">
        <f>SUM(AG67:AI67)</f>
        <v>5</v>
      </c>
      <c r="AK67" s="1166">
        <v>1</v>
      </c>
      <c r="AL67" s="1166"/>
      <c r="AM67" s="1166">
        <v>2</v>
      </c>
      <c r="AN67" s="1165">
        <f>SUM(AK67:AM67)</f>
        <v>3</v>
      </c>
      <c r="AO67" s="1166">
        <v>1</v>
      </c>
      <c r="AP67" s="1166"/>
      <c r="AQ67" s="1166">
        <v>8</v>
      </c>
      <c r="AR67" s="1151">
        <f>SUM(AO67:AQ67)</f>
        <v>9</v>
      </c>
      <c r="AS67" s="1166">
        <v>3</v>
      </c>
      <c r="AT67" s="1166" t="s">
        <v>227</v>
      </c>
      <c r="AU67" s="1166">
        <v>6</v>
      </c>
      <c r="AV67" s="1151">
        <f>SUM(AS67:AU67)</f>
        <v>9</v>
      </c>
      <c r="AW67" s="1166">
        <v>9</v>
      </c>
      <c r="AX67" s="1166"/>
      <c r="AY67" s="1166">
        <v>5</v>
      </c>
      <c r="AZ67" s="1151">
        <f>AW67+AX67+AY67</f>
        <v>14</v>
      </c>
      <c r="BA67" s="1166">
        <v>6</v>
      </c>
      <c r="BB67" s="1166">
        <v>1</v>
      </c>
      <c r="BC67" s="1166"/>
      <c r="BD67" s="1163">
        <f t="shared" si="32"/>
        <v>7</v>
      </c>
      <c r="BE67" s="1166">
        <v>5</v>
      </c>
      <c r="BF67" s="1166">
        <v>1</v>
      </c>
      <c r="BG67" s="1166">
        <v>5</v>
      </c>
      <c r="BH67" s="1151">
        <f t="shared" si="28"/>
        <v>11</v>
      </c>
      <c r="BI67" s="1166">
        <v>12</v>
      </c>
      <c r="BJ67" s="1166">
        <v>2</v>
      </c>
      <c r="BK67" s="1166">
        <v>4</v>
      </c>
      <c r="BL67" s="1151">
        <f t="shared" si="33"/>
        <v>18</v>
      </c>
      <c r="BM67" s="1166">
        <v>1</v>
      </c>
      <c r="BN67" s="1166">
        <v>1</v>
      </c>
      <c r="BO67" s="1166">
        <v>8</v>
      </c>
      <c r="BP67" s="1151">
        <f t="shared" si="30"/>
        <v>10</v>
      </c>
      <c r="BQ67" s="1166">
        <v>1</v>
      </c>
      <c r="BR67" s="1166"/>
      <c r="BS67" s="1166">
        <v>2</v>
      </c>
      <c r="BT67" s="1151">
        <f t="shared" si="31"/>
        <v>3</v>
      </c>
    </row>
    <row r="68" spans="1:72" s="212" customFormat="1" ht="15" x14ac:dyDescent="0.25">
      <c r="A68" s="5462"/>
      <c r="B68" s="5462"/>
      <c r="C68" s="5462"/>
      <c r="D68" s="1152" t="s">
        <v>377</v>
      </c>
      <c r="E68" s="1167"/>
      <c r="F68" s="1164"/>
      <c r="G68" s="1164">
        <v>2</v>
      </c>
      <c r="H68" s="1165">
        <v>2</v>
      </c>
      <c r="I68" s="1167">
        <v>2</v>
      </c>
      <c r="J68" s="1164">
        <v>1</v>
      </c>
      <c r="K68" s="1164">
        <v>9</v>
      </c>
      <c r="L68" s="1165">
        <v>12</v>
      </c>
      <c r="M68" s="1167">
        <v>6</v>
      </c>
      <c r="N68" s="1164">
        <v>1</v>
      </c>
      <c r="O68" s="1164">
        <v>6</v>
      </c>
      <c r="P68" s="1165">
        <v>13</v>
      </c>
      <c r="Q68" s="1167">
        <v>4</v>
      </c>
      <c r="R68" s="1164">
        <v>3</v>
      </c>
      <c r="S68" s="1164">
        <v>4</v>
      </c>
      <c r="T68" s="1165">
        <v>11</v>
      </c>
      <c r="U68" s="1167">
        <v>1</v>
      </c>
      <c r="V68" s="1164"/>
      <c r="W68" s="1164">
        <v>8</v>
      </c>
      <c r="X68" s="1165">
        <f>SUM(U68:W68)</f>
        <v>9</v>
      </c>
      <c r="Y68" s="1166">
        <v>2</v>
      </c>
      <c r="Z68" s="1166"/>
      <c r="AA68" s="1166">
        <v>6</v>
      </c>
      <c r="AB68" s="1165">
        <f>SUM(Y68:AA68)</f>
        <v>8</v>
      </c>
      <c r="AC68" s="1166">
        <v>2</v>
      </c>
      <c r="AD68" s="1166"/>
      <c r="AE68" s="1166">
        <v>2</v>
      </c>
      <c r="AF68" s="1165">
        <f>SUM(AC68:AE68)</f>
        <v>4</v>
      </c>
      <c r="AG68" s="1166"/>
      <c r="AH68" s="1166"/>
      <c r="AI68" s="1166">
        <v>2</v>
      </c>
      <c r="AJ68" s="1165">
        <f>SUM(AG68:AI68)</f>
        <v>2</v>
      </c>
      <c r="AK68" s="1166"/>
      <c r="AL68" s="1166"/>
      <c r="AM68" s="1166"/>
      <c r="AN68" s="1165"/>
      <c r="AO68" s="1166">
        <v>2</v>
      </c>
      <c r="AP68" s="1166"/>
      <c r="AQ68" s="1166">
        <v>1</v>
      </c>
      <c r="AR68" s="1151">
        <f>SUM(AO68:AQ68)</f>
        <v>3</v>
      </c>
      <c r="AS68" s="1166" t="s">
        <v>227</v>
      </c>
      <c r="AT68" s="1166" t="s">
        <v>227</v>
      </c>
      <c r="AU68" s="1166">
        <v>2</v>
      </c>
      <c r="AV68" s="1151">
        <f>SUM(AS68:AU68)</f>
        <v>2</v>
      </c>
      <c r="AW68" s="1166"/>
      <c r="AX68" s="1166"/>
      <c r="AY68" s="1166">
        <v>1</v>
      </c>
      <c r="AZ68" s="1151">
        <f>AW68+AX68+AY68</f>
        <v>1</v>
      </c>
      <c r="BA68" s="1166">
        <v>4</v>
      </c>
      <c r="BB68" s="1166">
        <v>1</v>
      </c>
      <c r="BC68" s="1166">
        <v>11</v>
      </c>
      <c r="BD68" s="1163">
        <f t="shared" si="32"/>
        <v>16</v>
      </c>
      <c r="BE68" s="1166"/>
      <c r="BF68" s="1166">
        <v>2</v>
      </c>
      <c r="BG68" s="1166">
        <v>3</v>
      </c>
      <c r="BH68" s="1151">
        <f t="shared" si="28"/>
        <v>5</v>
      </c>
      <c r="BI68" s="1166">
        <v>2</v>
      </c>
      <c r="BJ68" s="1166">
        <v>3</v>
      </c>
      <c r="BK68" s="1166">
        <v>1</v>
      </c>
      <c r="BL68" s="1151">
        <f t="shared" si="33"/>
        <v>6</v>
      </c>
      <c r="BM68" s="1166"/>
      <c r="BN68" s="1166">
        <v>1</v>
      </c>
      <c r="BO68" s="1166">
        <v>3</v>
      </c>
      <c r="BP68" s="1151">
        <f t="shared" si="30"/>
        <v>4</v>
      </c>
      <c r="BQ68" s="1166"/>
      <c r="BR68" s="1166">
        <v>3</v>
      </c>
      <c r="BS68" s="1166">
        <v>3</v>
      </c>
      <c r="BT68" s="1151">
        <f t="shared" si="31"/>
        <v>6</v>
      </c>
    </row>
    <row r="69" spans="1:72" s="212" customFormat="1" ht="15" x14ac:dyDescent="0.25">
      <c r="A69" s="5462"/>
      <c r="B69" s="5462"/>
      <c r="C69" s="5462"/>
      <c r="D69" s="1152" t="s">
        <v>375</v>
      </c>
      <c r="E69" s="1167">
        <v>1</v>
      </c>
      <c r="F69" s="1164"/>
      <c r="G69" s="1164">
        <v>1</v>
      </c>
      <c r="H69" s="1165">
        <v>2</v>
      </c>
      <c r="I69" s="1167">
        <v>2</v>
      </c>
      <c r="J69" s="1164"/>
      <c r="K69" s="1164">
        <v>3</v>
      </c>
      <c r="L69" s="1165">
        <v>5</v>
      </c>
      <c r="M69" s="1167">
        <v>1</v>
      </c>
      <c r="N69" s="1164">
        <v>1</v>
      </c>
      <c r="O69" s="1164"/>
      <c r="P69" s="1165">
        <v>2</v>
      </c>
      <c r="Q69" s="1167">
        <v>2</v>
      </c>
      <c r="R69" s="1164">
        <v>1</v>
      </c>
      <c r="S69" s="1164"/>
      <c r="T69" s="1165">
        <v>3</v>
      </c>
      <c r="U69" s="1167">
        <v>1</v>
      </c>
      <c r="V69" s="1164"/>
      <c r="W69" s="1164"/>
      <c r="X69" s="1165">
        <f>SUM(U69:W69)</f>
        <v>1</v>
      </c>
      <c r="Y69" s="1166"/>
      <c r="Z69" s="1166"/>
      <c r="AA69" s="1166">
        <v>1</v>
      </c>
      <c r="AB69" s="1165">
        <f>SUM(Y69:AA69)</f>
        <v>1</v>
      </c>
      <c r="AC69" s="1166">
        <v>1</v>
      </c>
      <c r="AD69" s="1166">
        <v>1</v>
      </c>
      <c r="AE69" s="1166">
        <v>1</v>
      </c>
      <c r="AF69" s="1165">
        <f>SUM(AC69:AE69)</f>
        <v>3</v>
      </c>
      <c r="AG69" s="1166"/>
      <c r="AH69" s="1166">
        <v>2</v>
      </c>
      <c r="AI69" s="1166"/>
      <c r="AJ69" s="1165">
        <f>SUM(AG69:AI69)</f>
        <v>2</v>
      </c>
      <c r="AK69" s="1166"/>
      <c r="AL69" s="1166"/>
      <c r="AM69" s="1166">
        <v>1</v>
      </c>
      <c r="AN69" s="1165">
        <f>SUM(AK69:AM69)</f>
        <v>1</v>
      </c>
      <c r="AO69" s="1166"/>
      <c r="AP69" s="1166"/>
      <c r="AQ69" s="1166">
        <v>1</v>
      </c>
      <c r="AR69" s="1151">
        <f>SUM(AO69:AQ69)</f>
        <v>1</v>
      </c>
      <c r="AS69" s="1166"/>
      <c r="AT69" s="1166"/>
      <c r="AU69" s="1166"/>
      <c r="AV69" s="1151"/>
      <c r="AW69" s="1166">
        <v>1</v>
      </c>
      <c r="AX69" s="1166"/>
      <c r="AY69" s="1166">
        <v>1</v>
      </c>
      <c r="AZ69" s="1151">
        <f>AW69+AX69+AY69</f>
        <v>2</v>
      </c>
      <c r="BA69" s="1166">
        <v>1</v>
      </c>
      <c r="BB69" s="1166"/>
      <c r="BC69" s="1166">
        <v>2</v>
      </c>
      <c r="BD69" s="1163">
        <f t="shared" si="32"/>
        <v>3</v>
      </c>
      <c r="BE69" s="1166"/>
      <c r="BF69" s="1166">
        <v>2</v>
      </c>
      <c r="BG69" s="1166"/>
      <c r="BH69" s="1151">
        <f t="shared" si="28"/>
        <v>2</v>
      </c>
      <c r="BI69" s="1166">
        <v>2</v>
      </c>
      <c r="BJ69" s="1166">
        <v>1</v>
      </c>
      <c r="BK69" s="1166">
        <v>3</v>
      </c>
      <c r="BL69" s="1151">
        <f t="shared" si="33"/>
        <v>6</v>
      </c>
      <c r="BM69" s="1166">
        <v>1</v>
      </c>
      <c r="BN69" s="1166">
        <v>2</v>
      </c>
      <c r="BO69" s="1166"/>
      <c r="BP69" s="1151">
        <f t="shared" si="30"/>
        <v>3</v>
      </c>
      <c r="BQ69" s="1166">
        <v>4</v>
      </c>
      <c r="BR69" s="1166">
        <v>1</v>
      </c>
      <c r="BS69" s="1166">
        <v>2</v>
      </c>
      <c r="BT69" s="1151">
        <f t="shared" si="31"/>
        <v>7</v>
      </c>
    </row>
    <row r="70" spans="1:72" s="212" customFormat="1" ht="15" x14ac:dyDescent="0.25">
      <c r="A70" s="5462"/>
      <c r="B70" s="5462"/>
      <c r="C70" s="5462"/>
      <c r="D70" s="1152" t="s">
        <v>374</v>
      </c>
      <c r="E70" s="1169"/>
      <c r="F70" s="1170"/>
      <c r="G70" s="1170"/>
      <c r="H70" s="1171"/>
      <c r="I70" s="1169"/>
      <c r="J70" s="1170"/>
      <c r="K70" s="1170"/>
      <c r="L70" s="1171"/>
      <c r="M70" s="1169"/>
      <c r="N70" s="1170"/>
      <c r="O70" s="1170"/>
      <c r="P70" s="1171"/>
      <c r="Q70" s="1169"/>
      <c r="R70" s="1170"/>
      <c r="S70" s="1170"/>
      <c r="T70" s="1171"/>
      <c r="U70" s="1169"/>
      <c r="V70" s="1170"/>
      <c r="W70" s="1170"/>
      <c r="X70" s="1171"/>
      <c r="Y70" s="1172"/>
      <c r="Z70" s="1172"/>
      <c r="AA70" s="1172"/>
      <c r="AB70" s="1171"/>
      <c r="AC70" s="1172"/>
      <c r="AD70" s="1172"/>
      <c r="AE70" s="1172"/>
      <c r="AF70" s="1171"/>
      <c r="AG70" s="1172"/>
      <c r="AH70" s="1172"/>
      <c r="AI70" s="1172"/>
      <c r="AJ70" s="1171"/>
      <c r="AK70" s="1172"/>
      <c r="AL70" s="1172"/>
      <c r="AM70" s="1172"/>
      <c r="AN70" s="1171"/>
      <c r="AO70" s="1172"/>
      <c r="AP70" s="1172"/>
      <c r="AQ70" s="1172"/>
      <c r="AR70" s="1173"/>
      <c r="AS70" s="1172"/>
      <c r="AT70" s="1172"/>
      <c r="AU70" s="1172"/>
      <c r="AV70" s="1173"/>
      <c r="AW70" s="1172"/>
      <c r="AX70" s="1172"/>
      <c r="AY70" s="1172"/>
      <c r="AZ70" s="1173"/>
      <c r="BA70" s="1172">
        <v>2</v>
      </c>
      <c r="BB70" s="1172">
        <v>1</v>
      </c>
      <c r="BC70" s="1172">
        <v>3</v>
      </c>
      <c r="BD70" s="1163">
        <f t="shared" si="32"/>
        <v>6</v>
      </c>
      <c r="BE70" s="1172">
        <v>6</v>
      </c>
      <c r="BF70" s="1172">
        <v>2</v>
      </c>
      <c r="BG70" s="1172">
        <v>3</v>
      </c>
      <c r="BH70" s="1151">
        <f t="shared" si="28"/>
        <v>11</v>
      </c>
      <c r="BI70" s="1172">
        <v>2</v>
      </c>
      <c r="BJ70" s="1172">
        <v>1</v>
      </c>
      <c r="BK70" s="1172">
        <v>4</v>
      </c>
      <c r="BL70" s="1151">
        <f t="shared" si="33"/>
        <v>7</v>
      </c>
      <c r="BM70" s="1172">
        <v>2</v>
      </c>
      <c r="BN70" s="1172">
        <v>2</v>
      </c>
      <c r="BO70" s="1172">
        <v>3</v>
      </c>
      <c r="BP70" s="1151">
        <f t="shared" si="30"/>
        <v>7</v>
      </c>
      <c r="BQ70" s="1172"/>
      <c r="BR70" s="1172">
        <v>2</v>
      </c>
      <c r="BS70" s="1172">
        <v>1</v>
      </c>
      <c r="BT70" s="1151">
        <f t="shared" si="31"/>
        <v>3</v>
      </c>
    </row>
    <row r="71" spans="1:72" s="212" customFormat="1" ht="15" x14ac:dyDescent="0.25">
      <c r="A71" s="5462"/>
      <c r="B71" s="5462"/>
      <c r="C71" s="5462"/>
      <c r="D71" s="1152" t="s">
        <v>630</v>
      </c>
      <c r="E71" s="1169"/>
      <c r="F71" s="1170"/>
      <c r="G71" s="1170"/>
      <c r="H71" s="1171"/>
      <c r="I71" s="1169"/>
      <c r="J71" s="1170"/>
      <c r="K71" s="1170"/>
      <c r="L71" s="1171"/>
      <c r="M71" s="1169"/>
      <c r="N71" s="1170"/>
      <c r="O71" s="1170"/>
      <c r="P71" s="1171"/>
      <c r="Q71" s="1169"/>
      <c r="R71" s="1170"/>
      <c r="S71" s="1170"/>
      <c r="T71" s="1171"/>
      <c r="U71" s="1169"/>
      <c r="V71" s="1170"/>
      <c r="W71" s="1170"/>
      <c r="X71" s="1171"/>
      <c r="Y71" s="1172"/>
      <c r="Z71" s="1172"/>
      <c r="AA71" s="1172"/>
      <c r="AB71" s="1171"/>
      <c r="AC71" s="1172"/>
      <c r="AD71" s="1172"/>
      <c r="AE71" s="1172"/>
      <c r="AF71" s="1171"/>
      <c r="AG71" s="1172"/>
      <c r="AH71" s="1172"/>
      <c r="AI71" s="1172"/>
      <c r="AJ71" s="1171"/>
      <c r="AK71" s="1172"/>
      <c r="AL71" s="1172"/>
      <c r="AM71" s="1172"/>
      <c r="AN71" s="1171"/>
      <c r="AO71" s="1172"/>
      <c r="AP71" s="1172"/>
      <c r="AQ71" s="1172"/>
      <c r="AR71" s="1173"/>
      <c r="AS71" s="1172"/>
      <c r="AT71" s="1172"/>
      <c r="AU71" s="1172"/>
      <c r="AV71" s="1173"/>
      <c r="AW71" s="1172"/>
      <c r="AX71" s="1172"/>
      <c r="AY71" s="1172"/>
      <c r="AZ71" s="1173"/>
      <c r="BA71" s="1172"/>
      <c r="BB71" s="1172"/>
      <c r="BC71" s="1172"/>
      <c r="BD71" s="1163"/>
      <c r="BE71" s="1172"/>
      <c r="BF71" s="1172"/>
      <c r="BG71" s="1172"/>
      <c r="BH71" s="1151"/>
      <c r="BI71" s="1172">
        <v>5</v>
      </c>
      <c r="BJ71" s="1172"/>
      <c r="BK71" s="1172"/>
      <c r="BL71" s="1151">
        <f t="shared" si="33"/>
        <v>5</v>
      </c>
      <c r="BM71" s="1172">
        <v>3</v>
      </c>
      <c r="BN71" s="1172"/>
      <c r="BO71" s="1172"/>
      <c r="BP71" s="1151">
        <f t="shared" si="30"/>
        <v>3</v>
      </c>
      <c r="BQ71" s="1172">
        <v>1</v>
      </c>
      <c r="BR71" s="1172"/>
      <c r="BS71" s="1172">
        <v>2</v>
      </c>
      <c r="BT71" s="1151">
        <f t="shared" si="31"/>
        <v>3</v>
      </c>
    </row>
    <row r="72" spans="1:72" s="212" customFormat="1" ht="15" x14ac:dyDescent="0.25">
      <c r="A72" s="5462"/>
      <c r="B72" s="5462"/>
      <c r="C72" s="5462"/>
      <c r="D72" s="1152" t="s">
        <v>407</v>
      </c>
      <c r="E72" s="1149">
        <v>9</v>
      </c>
      <c r="F72" s="1150">
        <v>10</v>
      </c>
      <c r="G72" s="1150"/>
      <c r="H72" s="1151">
        <v>19</v>
      </c>
      <c r="I72" s="1149"/>
      <c r="J72" s="1150"/>
      <c r="K72" s="1150"/>
      <c r="L72" s="1151"/>
      <c r="M72" s="1149"/>
      <c r="N72" s="1150"/>
      <c r="O72" s="1150"/>
      <c r="P72" s="1151"/>
      <c r="Q72" s="1149"/>
      <c r="R72" s="1150"/>
      <c r="S72" s="1150"/>
      <c r="T72" s="1151"/>
      <c r="U72" s="1149"/>
      <c r="V72" s="1150"/>
      <c r="W72" s="1150"/>
      <c r="X72" s="1151"/>
      <c r="Y72" s="1150"/>
      <c r="Z72" s="1150"/>
      <c r="AA72" s="1150"/>
      <c r="AB72" s="1151"/>
      <c r="AC72" s="1150"/>
      <c r="AD72" s="1150"/>
      <c r="AE72" s="1150"/>
      <c r="AF72" s="1151"/>
      <c r="AG72" s="1150"/>
      <c r="AH72" s="1150"/>
      <c r="AI72" s="1150"/>
      <c r="AJ72" s="1151">
        <v>0</v>
      </c>
      <c r="AK72" s="1150"/>
      <c r="AL72" s="1150"/>
      <c r="AM72" s="1150"/>
      <c r="AN72" s="1151"/>
      <c r="AO72" s="1150"/>
      <c r="AP72" s="1150"/>
      <c r="AQ72" s="1150"/>
      <c r="AR72" s="1151"/>
      <c r="AS72" s="1150"/>
      <c r="AT72" s="1150"/>
      <c r="AU72" s="1150"/>
      <c r="AV72" s="1151"/>
      <c r="AW72" s="1150"/>
      <c r="AX72" s="1150"/>
      <c r="AY72" s="1150"/>
      <c r="AZ72" s="1151"/>
      <c r="BA72" s="1150"/>
      <c r="BB72" s="1150"/>
      <c r="BC72" s="1150"/>
      <c r="BD72" s="1163"/>
      <c r="BE72" s="1150"/>
      <c r="BF72" s="1150"/>
      <c r="BG72" s="1150"/>
      <c r="BH72" s="1151"/>
      <c r="BI72" s="1150"/>
      <c r="BJ72" s="1150"/>
      <c r="BK72" s="1150"/>
      <c r="BL72" s="1151"/>
      <c r="BM72" s="1150"/>
      <c r="BN72" s="1150"/>
      <c r="BO72" s="1150"/>
      <c r="BP72" s="1151"/>
      <c r="BQ72" s="1150"/>
      <c r="BR72" s="1150"/>
      <c r="BS72" s="1150"/>
      <c r="BT72" s="1151"/>
    </row>
    <row r="73" spans="1:72" s="212" customFormat="1" ht="15" x14ac:dyDescent="0.25">
      <c r="A73" s="5462"/>
      <c r="B73" s="5464"/>
      <c r="C73" s="1580"/>
      <c r="D73" s="1154" t="s">
        <v>451</v>
      </c>
      <c r="E73" s="1155">
        <f t="shared" ref="E73:AJ73" si="34">SUM(E58:E72)</f>
        <v>28</v>
      </c>
      <c r="F73" s="1156">
        <f t="shared" si="34"/>
        <v>19</v>
      </c>
      <c r="G73" s="1156">
        <f t="shared" si="34"/>
        <v>56</v>
      </c>
      <c r="H73" s="1157">
        <f t="shared" si="34"/>
        <v>103</v>
      </c>
      <c r="I73" s="1155">
        <f t="shared" si="34"/>
        <v>40</v>
      </c>
      <c r="J73" s="1156">
        <f t="shared" si="34"/>
        <v>15</v>
      </c>
      <c r="K73" s="1156">
        <f t="shared" si="34"/>
        <v>65</v>
      </c>
      <c r="L73" s="1157">
        <f t="shared" si="34"/>
        <v>120</v>
      </c>
      <c r="M73" s="1155">
        <f t="shared" si="34"/>
        <v>54</v>
      </c>
      <c r="N73" s="1156">
        <f t="shared" si="34"/>
        <v>27</v>
      </c>
      <c r="O73" s="1156">
        <f t="shared" si="34"/>
        <v>57</v>
      </c>
      <c r="P73" s="1157">
        <f t="shared" si="34"/>
        <v>138</v>
      </c>
      <c r="Q73" s="1155">
        <f t="shared" si="34"/>
        <v>44</v>
      </c>
      <c r="R73" s="1156">
        <f t="shared" si="34"/>
        <v>19</v>
      </c>
      <c r="S73" s="1156">
        <f t="shared" si="34"/>
        <v>57</v>
      </c>
      <c r="T73" s="1157">
        <f t="shared" si="34"/>
        <v>120</v>
      </c>
      <c r="U73" s="1155">
        <f t="shared" si="34"/>
        <v>13</v>
      </c>
      <c r="V73" s="1156">
        <f t="shared" si="34"/>
        <v>13</v>
      </c>
      <c r="W73" s="1156">
        <f t="shared" si="34"/>
        <v>40</v>
      </c>
      <c r="X73" s="1157">
        <f t="shared" si="34"/>
        <v>66</v>
      </c>
      <c r="Y73" s="1156">
        <f t="shared" si="34"/>
        <v>19</v>
      </c>
      <c r="Z73" s="1156">
        <f t="shared" si="34"/>
        <v>17</v>
      </c>
      <c r="AA73" s="1156">
        <f t="shared" si="34"/>
        <v>40</v>
      </c>
      <c r="AB73" s="1157">
        <f t="shared" si="34"/>
        <v>76</v>
      </c>
      <c r="AC73" s="1156">
        <f t="shared" si="34"/>
        <v>31</v>
      </c>
      <c r="AD73" s="1156">
        <f t="shared" si="34"/>
        <v>25</v>
      </c>
      <c r="AE73" s="1156">
        <f t="shared" si="34"/>
        <v>54</v>
      </c>
      <c r="AF73" s="1157">
        <f t="shared" si="34"/>
        <v>110</v>
      </c>
      <c r="AG73" s="1156">
        <f t="shared" si="34"/>
        <v>14</v>
      </c>
      <c r="AH73" s="1156">
        <f t="shared" si="34"/>
        <v>16</v>
      </c>
      <c r="AI73" s="1156">
        <f t="shared" si="34"/>
        <v>49</v>
      </c>
      <c r="AJ73" s="1157">
        <f t="shared" si="34"/>
        <v>79</v>
      </c>
      <c r="AK73" s="1156">
        <f t="shared" ref="AK73:BD73" si="35">SUM(AK58:AK72)</f>
        <v>15</v>
      </c>
      <c r="AL73" s="1156">
        <f t="shared" si="35"/>
        <v>10</v>
      </c>
      <c r="AM73" s="1156">
        <f t="shared" si="35"/>
        <v>35</v>
      </c>
      <c r="AN73" s="1157">
        <f t="shared" si="35"/>
        <v>60</v>
      </c>
      <c r="AO73" s="1156">
        <f t="shared" si="35"/>
        <v>20</v>
      </c>
      <c r="AP73" s="1156">
        <f t="shared" si="35"/>
        <v>10</v>
      </c>
      <c r="AQ73" s="1156">
        <f t="shared" si="35"/>
        <v>60</v>
      </c>
      <c r="AR73" s="1157">
        <f t="shared" si="35"/>
        <v>90</v>
      </c>
      <c r="AS73" s="1156">
        <f t="shared" si="35"/>
        <v>11</v>
      </c>
      <c r="AT73" s="1156">
        <f t="shared" si="35"/>
        <v>8</v>
      </c>
      <c r="AU73" s="1156">
        <f t="shared" si="35"/>
        <v>70</v>
      </c>
      <c r="AV73" s="1157">
        <f t="shared" si="35"/>
        <v>89</v>
      </c>
      <c r="AW73" s="1156">
        <f t="shared" si="35"/>
        <v>25</v>
      </c>
      <c r="AX73" s="1156">
        <f t="shared" si="35"/>
        <v>9</v>
      </c>
      <c r="AY73" s="1156">
        <f t="shared" si="35"/>
        <v>57</v>
      </c>
      <c r="AZ73" s="1157">
        <f t="shared" si="35"/>
        <v>91</v>
      </c>
      <c r="BA73" s="1156">
        <f t="shared" si="35"/>
        <v>33</v>
      </c>
      <c r="BB73" s="1156">
        <f t="shared" si="35"/>
        <v>22</v>
      </c>
      <c r="BC73" s="1156">
        <f t="shared" si="35"/>
        <v>79</v>
      </c>
      <c r="BD73" s="1157">
        <f t="shared" si="35"/>
        <v>134</v>
      </c>
      <c r="BE73" s="1156">
        <f>SUM(BE57:BE72)</f>
        <v>56</v>
      </c>
      <c r="BF73" s="1156">
        <f>SUM(BF57:BF72)</f>
        <v>20</v>
      </c>
      <c r="BG73" s="1156">
        <f>SUM(BG57:BG72)</f>
        <v>104</v>
      </c>
      <c r="BH73" s="1157">
        <f t="shared" ref="BH73:BP73" si="36">SUM(BH58:BH72)</f>
        <v>126</v>
      </c>
      <c r="BI73" s="1156">
        <f t="shared" si="36"/>
        <v>61</v>
      </c>
      <c r="BJ73" s="1156">
        <f t="shared" si="36"/>
        <v>16</v>
      </c>
      <c r="BK73" s="1156">
        <f t="shared" si="36"/>
        <v>70</v>
      </c>
      <c r="BL73" s="1157">
        <f t="shared" si="36"/>
        <v>147</v>
      </c>
      <c r="BM73" s="1156">
        <f t="shared" si="36"/>
        <v>35</v>
      </c>
      <c r="BN73" s="1156">
        <f t="shared" si="36"/>
        <v>15</v>
      </c>
      <c r="BO73" s="1156">
        <f t="shared" si="36"/>
        <v>72</v>
      </c>
      <c r="BP73" s="1157">
        <f t="shared" si="36"/>
        <v>122</v>
      </c>
      <c r="BQ73" s="1156">
        <f t="shared" ref="BQ73:BT73" si="37">SUM(BQ58:BQ72)</f>
        <v>42</v>
      </c>
      <c r="BR73" s="1156">
        <f t="shared" si="37"/>
        <v>22</v>
      </c>
      <c r="BS73" s="1156">
        <f>SUM(BS58:BS72)</f>
        <v>74</v>
      </c>
      <c r="BT73" s="1157">
        <f t="shared" si="37"/>
        <v>138</v>
      </c>
    </row>
    <row r="74" spans="1:72" s="212" customFormat="1" ht="15" x14ac:dyDescent="0.25">
      <c r="A74" s="5462"/>
      <c r="B74" s="5461" t="s">
        <v>6</v>
      </c>
      <c r="C74" s="1581" t="s">
        <v>528</v>
      </c>
      <c r="D74" s="1183" t="s">
        <v>78</v>
      </c>
      <c r="E74" s="1174"/>
      <c r="F74" s="1175"/>
      <c r="G74" s="1175">
        <v>12</v>
      </c>
      <c r="H74" s="1176">
        <v>12</v>
      </c>
      <c r="I74" s="1174"/>
      <c r="J74" s="1175"/>
      <c r="K74" s="1175">
        <v>9</v>
      </c>
      <c r="L74" s="1176">
        <v>9</v>
      </c>
      <c r="M74" s="1174"/>
      <c r="N74" s="1175"/>
      <c r="O74" s="1175">
        <v>13</v>
      </c>
      <c r="P74" s="1176">
        <v>13</v>
      </c>
      <c r="Q74" s="1174"/>
      <c r="R74" s="1175"/>
      <c r="S74" s="1175">
        <v>25</v>
      </c>
      <c r="T74" s="1176">
        <v>25</v>
      </c>
      <c r="U74" s="1174"/>
      <c r="V74" s="1175"/>
      <c r="W74" s="1175">
        <v>41</v>
      </c>
      <c r="X74" s="1176">
        <f>SUM(U74:W74)</f>
        <v>41</v>
      </c>
      <c r="Y74" s="1177"/>
      <c r="Z74" s="1177"/>
      <c r="AA74" s="1177">
        <v>73</v>
      </c>
      <c r="AB74" s="1176">
        <f t="shared" ref="AB74:AB92" si="38">SUM(Y74:AA74)</f>
        <v>73</v>
      </c>
      <c r="AC74" s="1177"/>
      <c r="AD74" s="1177"/>
      <c r="AE74" s="1177"/>
      <c r="AF74" s="1176"/>
      <c r="AG74" s="1177">
        <v>86</v>
      </c>
      <c r="AH74" s="1177"/>
      <c r="AI74" s="1177"/>
      <c r="AJ74" s="1176">
        <f t="shared" ref="AJ74:AJ92" si="39">SUM(AG74:AI74)</f>
        <v>86</v>
      </c>
      <c r="AK74" s="1177">
        <v>90</v>
      </c>
      <c r="AL74" s="1177"/>
      <c r="AM74" s="1177">
        <v>19</v>
      </c>
      <c r="AN74" s="1176">
        <f t="shared" ref="AN74:AN92" si="40">SUM(AK74:AM74)</f>
        <v>109</v>
      </c>
      <c r="AO74" s="1177">
        <v>101</v>
      </c>
      <c r="AP74" s="1177"/>
      <c r="AQ74" s="1177"/>
      <c r="AR74" s="1147">
        <f>SUM(AO74:AQ74)</f>
        <v>101</v>
      </c>
      <c r="AS74" s="1177" t="s">
        <v>227</v>
      </c>
      <c r="AT74" s="1177">
        <v>99</v>
      </c>
      <c r="AU74" s="1177">
        <v>16</v>
      </c>
      <c r="AV74" s="1147">
        <f>SUM(AS74:AU74)</f>
        <v>115</v>
      </c>
      <c r="AW74" s="1177"/>
      <c r="AX74" s="1177"/>
      <c r="AY74" s="1177">
        <v>104</v>
      </c>
      <c r="AZ74" s="1147">
        <f>AW74+AX74+AY74</f>
        <v>104</v>
      </c>
      <c r="BA74" s="1177"/>
      <c r="BB74" s="1177"/>
      <c r="BC74" s="1177">
        <v>72</v>
      </c>
      <c r="BD74" s="1147">
        <f>BA74+BB74+BC74</f>
        <v>72</v>
      </c>
      <c r="BE74" s="1177"/>
      <c r="BF74" s="1177"/>
      <c r="BG74" s="1177"/>
      <c r="BH74" s="1147"/>
      <c r="BI74" s="1177"/>
      <c r="BJ74" s="1177"/>
      <c r="BK74" s="1177">
        <v>36</v>
      </c>
      <c r="BL74" s="1151">
        <f>BI74+BJ74+BK74</f>
        <v>36</v>
      </c>
      <c r="BM74" s="1177"/>
      <c r="BN74" s="1177"/>
      <c r="BO74" s="1177">
        <v>15</v>
      </c>
      <c r="BP74" s="1151">
        <f>BM74+BN74+BO74</f>
        <v>15</v>
      </c>
      <c r="BQ74" s="1177">
        <v>33</v>
      </c>
      <c r="BR74" s="1177">
        <v>1</v>
      </c>
      <c r="BS74" s="1177">
        <v>24</v>
      </c>
      <c r="BT74" s="1151">
        <f>BQ74+BR74+BS74</f>
        <v>58</v>
      </c>
    </row>
    <row r="75" spans="1:72" s="212" customFormat="1" ht="15" x14ac:dyDescent="0.25">
      <c r="A75" s="5462"/>
      <c r="B75" s="5462"/>
      <c r="C75" s="5461" t="s">
        <v>527</v>
      </c>
      <c r="D75" s="1152" t="s">
        <v>80</v>
      </c>
      <c r="E75" s="1167"/>
      <c r="F75" s="1164"/>
      <c r="G75" s="1164">
        <v>20</v>
      </c>
      <c r="H75" s="1165">
        <v>20</v>
      </c>
      <c r="I75" s="1167">
        <v>5</v>
      </c>
      <c r="J75" s="1164"/>
      <c r="K75" s="1164">
        <v>22</v>
      </c>
      <c r="L75" s="1165">
        <v>27</v>
      </c>
      <c r="M75" s="1167"/>
      <c r="N75" s="1164"/>
      <c r="O75" s="1164">
        <v>9</v>
      </c>
      <c r="P75" s="1165">
        <v>9</v>
      </c>
      <c r="Q75" s="1167"/>
      <c r="R75" s="1164"/>
      <c r="S75" s="1164">
        <v>17</v>
      </c>
      <c r="T75" s="1165">
        <v>17</v>
      </c>
      <c r="U75" s="1167"/>
      <c r="V75" s="1164"/>
      <c r="W75" s="1164">
        <v>1</v>
      </c>
      <c r="X75" s="1165">
        <f>SUM(U75:W75)</f>
        <v>1</v>
      </c>
      <c r="Y75" s="1166"/>
      <c r="Z75" s="1166"/>
      <c r="AA75" s="1166">
        <v>1</v>
      </c>
      <c r="AB75" s="1165">
        <f t="shared" si="38"/>
        <v>1</v>
      </c>
      <c r="AC75" s="1166"/>
      <c r="AD75" s="1166"/>
      <c r="AE75" s="1166">
        <v>5</v>
      </c>
      <c r="AF75" s="1165">
        <f t="shared" ref="AF75:AF92" si="41">SUM(AC75:AE75)</f>
        <v>5</v>
      </c>
      <c r="AG75" s="1166"/>
      <c r="AH75" s="1166"/>
      <c r="AI75" s="1166">
        <v>3</v>
      </c>
      <c r="AJ75" s="1165">
        <f t="shared" si="39"/>
        <v>3</v>
      </c>
      <c r="AK75" s="1166">
        <v>3</v>
      </c>
      <c r="AL75" s="1166"/>
      <c r="AM75" s="1166"/>
      <c r="AN75" s="1165">
        <f t="shared" si="40"/>
        <v>3</v>
      </c>
      <c r="AO75" s="1166"/>
      <c r="AP75" s="1166"/>
      <c r="AQ75" s="1166"/>
      <c r="AR75" s="1151"/>
      <c r="AS75" s="1166"/>
      <c r="AT75" s="1166"/>
      <c r="AU75" s="1166"/>
      <c r="AV75" s="1151"/>
      <c r="AW75" s="1166"/>
      <c r="AX75" s="1166"/>
      <c r="AY75" s="1166"/>
      <c r="AZ75" s="1151"/>
      <c r="BA75" s="1166"/>
      <c r="BB75" s="1166"/>
      <c r="BC75" s="1166"/>
      <c r="BD75" s="1151"/>
      <c r="BE75" s="1166"/>
      <c r="BF75" s="1166"/>
      <c r="BG75" s="1166">
        <v>14</v>
      </c>
      <c r="BH75" s="1151">
        <f>BE75+BF75+BG75</f>
        <v>14</v>
      </c>
      <c r="BI75" s="1166"/>
      <c r="BJ75" s="1166"/>
      <c r="BK75" s="1166">
        <v>14</v>
      </c>
      <c r="BL75" s="1151">
        <f>BI75+BJ75+BK75</f>
        <v>14</v>
      </c>
      <c r="BM75" s="1166"/>
      <c r="BN75" s="1166"/>
      <c r="BO75" s="1166"/>
      <c r="BP75" s="1151">
        <f>BM75+BN75+BO75</f>
        <v>0</v>
      </c>
      <c r="BQ75" s="1166"/>
      <c r="BR75" s="1166"/>
      <c r="BS75" s="1166">
        <v>15</v>
      </c>
      <c r="BT75" s="1151">
        <f>BQ75+BR75+BS75</f>
        <v>15</v>
      </c>
    </row>
    <row r="76" spans="1:72" s="212" customFormat="1" ht="15" x14ac:dyDescent="0.25">
      <c r="A76" s="5462"/>
      <c r="B76" s="5462"/>
      <c r="C76" s="5462"/>
      <c r="D76" s="1152" t="s">
        <v>81</v>
      </c>
      <c r="E76" s="1167"/>
      <c r="F76" s="1164"/>
      <c r="G76" s="1164">
        <v>46</v>
      </c>
      <c r="H76" s="1165">
        <v>46</v>
      </c>
      <c r="I76" s="1167">
        <v>1</v>
      </c>
      <c r="J76" s="1164"/>
      <c r="K76" s="1164"/>
      <c r="L76" s="1165">
        <v>1</v>
      </c>
      <c r="M76" s="1167"/>
      <c r="N76" s="1164"/>
      <c r="O76" s="1164">
        <v>14</v>
      </c>
      <c r="P76" s="1165">
        <v>14</v>
      </c>
      <c r="Q76" s="1167"/>
      <c r="R76" s="1164"/>
      <c r="S76" s="1164"/>
      <c r="T76" s="1165"/>
      <c r="U76" s="1167"/>
      <c r="V76" s="1164"/>
      <c r="W76" s="1164">
        <v>13</v>
      </c>
      <c r="X76" s="1165">
        <f>SUM(U76:W76)</f>
        <v>13</v>
      </c>
      <c r="Y76" s="1166"/>
      <c r="Z76" s="1166"/>
      <c r="AA76" s="1166">
        <v>1</v>
      </c>
      <c r="AB76" s="1165">
        <f>SUM(Y76:AA76)</f>
        <v>1</v>
      </c>
      <c r="AC76" s="1166"/>
      <c r="AD76" s="1166"/>
      <c r="AE76" s="1166">
        <v>11</v>
      </c>
      <c r="AF76" s="1165">
        <f>SUM(AC76:AE76)</f>
        <v>11</v>
      </c>
      <c r="AG76" s="1166"/>
      <c r="AH76" s="1166"/>
      <c r="AI76" s="1166"/>
      <c r="AJ76" s="1165"/>
      <c r="AK76" s="1166"/>
      <c r="AL76" s="1166"/>
      <c r="AM76" s="1166">
        <v>14</v>
      </c>
      <c r="AN76" s="1165">
        <f>SUM(AK76:AM76)</f>
        <v>14</v>
      </c>
      <c r="AO76" s="1166"/>
      <c r="AP76" s="1166"/>
      <c r="AQ76" s="1166">
        <v>21</v>
      </c>
      <c r="AR76" s="1151">
        <f t="shared" ref="AR76:AR84" si="42">SUM(AO76:AQ76)</f>
        <v>21</v>
      </c>
      <c r="AS76" s="1166" t="s">
        <v>227</v>
      </c>
      <c r="AT76" s="1166" t="s">
        <v>227</v>
      </c>
      <c r="AU76" s="1166">
        <v>14</v>
      </c>
      <c r="AV76" s="1151">
        <f>SUM(AS76:AU76)</f>
        <v>14</v>
      </c>
      <c r="AW76" s="1166"/>
      <c r="AX76" s="1166"/>
      <c r="AY76" s="1166"/>
      <c r="AZ76" s="1151"/>
      <c r="BA76" s="1166"/>
      <c r="BB76" s="1166"/>
      <c r="BC76" s="1166">
        <v>18</v>
      </c>
      <c r="BD76" s="1151">
        <f>BA76+BB76+BC76</f>
        <v>18</v>
      </c>
      <c r="BE76" s="1166"/>
      <c r="BF76" s="1166"/>
      <c r="BG76" s="1166"/>
      <c r="BH76" s="1151"/>
      <c r="BI76" s="1166"/>
      <c r="BJ76" s="1166"/>
      <c r="BK76" s="1166"/>
      <c r="BL76" s="1151">
        <f>BI76+BJ76+BK76</f>
        <v>0</v>
      </c>
      <c r="BM76" s="1166"/>
      <c r="BN76" s="1166">
        <v>15</v>
      </c>
      <c r="BO76" s="1166"/>
      <c r="BP76" s="1151">
        <f>BM76+BN76+BO76</f>
        <v>15</v>
      </c>
      <c r="BQ76" s="1166"/>
      <c r="BR76" s="1166"/>
      <c r="BS76" s="1166">
        <v>31</v>
      </c>
      <c r="BT76" s="1151">
        <f>BQ76+BR76+BS76</f>
        <v>31</v>
      </c>
    </row>
    <row r="77" spans="1:72" s="212" customFormat="1" ht="15" x14ac:dyDescent="0.25">
      <c r="A77" s="5462"/>
      <c r="B77" s="5462"/>
      <c r="C77" s="5462"/>
      <c r="D77" s="1152" t="s">
        <v>79</v>
      </c>
      <c r="E77" s="1167"/>
      <c r="F77" s="1164"/>
      <c r="G77" s="1164">
        <v>13</v>
      </c>
      <c r="H77" s="1165">
        <v>13</v>
      </c>
      <c r="I77" s="1167">
        <v>2</v>
      </c>
      <c r="J77" s="1164"/>
      <c r="K77" s="1164">
        <v>62</v>
      </c>
      <c r="L77" s="1165">
        <v>64</v>
      </c>
      <c r="M77" s="1167"/>
      <c r="N77" s="1164"/>
      <c r="O77" s="1164">
        <v>3</v>
      </c>
      <c r="P77" s="1165">
        <v>3</v>
      </c>
      <c r="Q77" s="1167"/>
      <c r="R77" s="1164"/>
      <c r="S77" s="1164">
        <v>86</v>
      </c>
      <c r="T77" s="1165">
        <v>86</v>
      </c>
      <c r="U77" s="1167"/>
      <c r="V77" s="1164"/>
      <c r="W77" s="1164"/>
      <c r="X77" s="1165"/>
      <c r="Y77" s="1166"/>
      <c r="Z77" s="1166"/>
      <c r="AA77" s="1166"/>
      <c r="AB77" s="1165"/>
      <c r="AC77" s="1166">
        <v>55</v>
      </c>
      <c r="AD77" s="1166"/>
      <c r="AE77" s="1166"/>
      <c r="AF77" s="1165">
        <f>SUM(AC77:AE77)</f>
        <v>55</v>
      </c>
      <c r="AG77" s="1166">
        <v>1</v>
      </c>
      <c r="AH77" s="1166"/>
      <c r="AI77" s="1166"/>
      <c r="AJ77" s="1165">
        <f>SUM(AG77:AI77)</f>
        <v>1</v>
      </c>
      <c r="AK77" s="1166">
        <v>56</v>
      </c>
      <c r="AL77" s="1166"/>
      <c r="AM77" s="1166"/>
      <c r="AN77" s="1165">
        <f>SUM(AK77:AM77)</f>
        <v>56</v>
      </c>
      <c r="AO77" s="1166"/>
      <c r="AP77" s="1166"/>
      <c r="AQ77" s="1166">
        <v>85</v>
      </c>
      <c r="AR77" s="1151">
        <f t="shared" si="42"/>
        <v>85</v>
      </c>
      <c r="AS77" s="1166" t="s">
        <v>227</v>
      </c>
      <c r="AT77" s="1166" t="s">
        <v>227</v>
      </c>
      <c r="AU77" s="1166">
        <v>6</v>
      </c>
      <c r="AV77" s="1151">
        <f>SUM(AS77:AU77)</f>
        <v>6</v>
      </c>
      <c r="AW77" s="1166"/>
      <c r="AX77" s="1166"/>
      <c r="AY77" s="1166">
        <v>66</v>
      </c>
      <c r="AZ77" s="1151">
        <f t="shared" ref="AZ77:AZ84" si="43">AW77+AX77+AY77</f>
        <v>66</v>
      </c>
      <c r="BA77" s="1166"/>
      <c r="BB77" s="1166"/>
      <c r="BC77" s="1166"/>
      <c r="BD77" s="1151"/>
      <c r="BE77" s="1166"/>
      <c r="BF77" s="1166"/>
      <c r="BG77" s="1166">
        <v>63</v>
      </c>
      <c r="BH77" s="1151">
        <f t="shared" ref="BH77:BH82" si="44">BE77+BF77+BG77</f>
        <v>63</v>
      </c>
      <c r="BI77" s="1166"/>
      <c r="BJ77" s="1166"/>
      <c r="BK77" s="1166"/>
      <c r="BL77" s="1151">
        <f t="shared" ref="BL77:BL84" si="45">BI77+BJ77+BK77</f>
        <v>0</v>
      </c>
      <c r="BM77" s="1166"/>
      <c r="BN77" s="1166"/>
      <c r="BO77" s="1166">
        <v>59</v>
      </c>
      <c r="BP77" s="1151">
        <f t="shared" ref="BP77:BP84" si="46">BM77+BN77+BO77</f>
        <v>59</v>
      </c>
      <c r="BQ77" s="1166"/>
      <c r="BR77" s="1166"/>
      <c r="BS77" s="1166"/>
      <c r="BT77" s="1151">
        <f t="shared" ref="BT77:BT84" si="47">BQ77+BR77+BS77</f>
        <v>0</v>
      </c>
    </row>
    <row r="78" spans="1:72" s="212" customFormat="1" ht="15" x14ac:dyDescent="0.25">
      <c r="A78" s="5462"/>
      <c r="B78" s="5462"/>
      <c r="C78" s="5462"/>
      <c r="D78" s="1152" t="s">
        <v>82</v>
      </c>
      <c r="E78" s="1167"/>
      <c r="F78" s="1164"/>
      <c r="G78" s="1164"/>
      <c r="H78" s="1165"/>
      <c r="I78" s="1167">
        <v>2</v>
      </c>
      <c r="J78" s="1164"/>
      <c r="K78" s="1164">
        <v>47</v>
      </c>
      <c r="L78" s="1165">
        <v>49</v>
      </c>
      <c r="M78" s="1167"/>
      <c r="N78" s="1164"/>
      <c r="O78" s="1164">
        <v>14</v>
      </c>
      <c r="P78" s="1165">
        <v>14</v>
      </c>
      <c r="Q78" s="1167"/>
      <c r="R78" s="1164"/>
      <c r="S78" s="1164">
        <v>96</v>
      </c>
      <c r="T78" s="1165">
        <v>96</v>
      </c>
      <c r="U78" s="1167"/>
      <c r="V78" s="1164"/>
      <c r="W78" s="1164">
        <v>6</v>
      </c>
      <c r="X78" s="1165">
        <f>SUM(U78:W78)</f>
        <v>6</v>
      </c>
      <c r="Y78" s="1166"/>
      <c r="Z78" s="1166"/>
      <c r="AA78" s="1166">
        <v>20</v>
      </c>
      <c r="AB78" s="1165">
        <f>SUM(Y78:AA78)</f>
        <v>20</v>
      </c>
      <c r="AC78" s="1166"/>
      <c r="AD78" s="1166"/>
      <c r="AE78" s="1166">
        <v>8</v>
      </c>
      <c r="AF78" s="1165">
        <f>SUM(AC78:AE78)</f>
        <v>8</v>
      </c>
      <c r="AG78" s="1166"/>
      <c r="AH78" s="1166"/>
      <c r="AI78" s="1166">
        <v>30</v>
      </c>
      <c r="AJ78" s="1165">
        <f>SUM(AG78:AI78)</f>
        <v>30</v>
      </c>
      <c r="AK78" s="1166"/>
      <c r="AL78" s="1166"/>
      <c r="AM78" s="1166">
        <v>8</v>
      </c>
      <c r="AN78" s="1165">
        <f>SUM(AK78:AM78)</f>
        <v>8</v>
      </c>
      <c r="AO78" s="1166"/>
      <c r="AP78" s="1166"/>
      <c r="AQ78" s="1166">
        <v>31</v>
      </c>
      <c r="AR78" s="1151">
        <f t="shared" si="42"/>
        <v>31</v>
      </c>
      <c r="AS78" s="1166"/>
      <c r="AT78" s="1166"/>
      <c r="AU78" s="1166"/>
      <c r="AV78" s="1151"/>
      <c r="AW78" s="1166"/>
      <c r="AX78" s="1166"/>
      <c r="AY78" s="1166">
        <v>37</v>
      </c>
      <c r="AZ78" s="1151">
        <f t="shared" si="43"/>
        <v>37</v>
      </c>
      <c r="BA78" s="1166"/>
      <c r="BB78" s="1166"/>
      <c r="BC78" s="1166"/>
      <c r="BD78" s="1151"/>
      <c r="BE78" s="1166"/>
      <c r="BF78" s="1166"/>
      <c r="BG78" s="1166">
        <v>28</v>
      </c>
      <c r="BH78" s="1151">
        <f t="shared" si="44"/>
        <v>28</v>
      </c>
      <c r="BI78" s="1166"/>
      <c r="BJ78" s="1166"/>
      <c r="BK78" s="1166"/>
      <c r="BL78" s="1151">
        <f t="shared" si="45"/>
        <v>0</v>
      </c>
      <c r="BM78" s="1166"/>
      <c r="BN78" s="1166"/>
      <c r="BO78" s="1166">
        <v>28</v>
      </c>
      <c r="BP78" s="1151">
        <f t="shared" si="46"/>
        <v>28</v>
      </c>
      <c r="BQ78" s="1166"/>
      <c r="BR78" s="1166"/>
      <c r="BS78" s="1166"/>
      <c r="BT78" s="1151">
        <f t="shared" si="47"/>
        <v>0</v>
      </c>
    </row>
    <row r="79" spans="1:72" s="212" customFormat="1" ht="15" x14ac:dyDescent="0.25">
      <c r="A79" s="5462"/>
      <c r="B79" s="5462"/>
      <c r="C79" s="5464"/>
      <c r="D79" s="1148" t="s">
        <v>139</v>
      </c>
      <c r="E79" s="1167"/>
      <c r="F79" s="1164"/>
      <c r="G79" s="1164"/>
      <c r="H79" s="1165"/>
      <c r="I79" s="1167">
        <v>19</v>
      </c>
      <c r="J79" s="1164"/>
      <c r="K79" s="1164"/>
      <c r="L79" s="1165">
        <v>19</v>
      </c>
      <c r="M79" s="1167"/>
      <c r="N79" s="1164"/>
      <c r="O79" s="1164"/>
      <c r="P79" s="1165"/>
      <c r="Q79" s="1167">
        <v>3</v>
      </c>
      <c r="R79" s="1164"/>
      <c r="S79" s="1164"/>
      <c r="T79" s="1165">
        <v>3</v>
      </c>
      <c r="U79" s="1167"/>
      <c r="V79" s="1164"/>
      <c r="W79" s="1164"/>
      <c r="X79" s="1165"/>
      <c r="Y79" s="1166">
        <v>1</v>
      </c>
      <c r="Z79" s="1166"/>
      <c r="AA79" s="1166"/>
      <c r="AB79" s="1165">
        <f>SUM(Y79:AA79)</f>
        <v>1</v>
      </c>
      <c r="AC79" s="1166">
        <v>6</v>
      </c>
      <c r="AD79" s="1166"/>
      <c r="AE79" s="1166"/>
      <c r="AF79" s="1165">
        <f>SUM(AC79:AE79)</f>
        <v>6</v>
      </c>
      <c r="AG79" s="1166">
        <v>4</v>
      </c>
      <c r="AH79" s="1166"/>
      <c r="AI79" s="1166"/>
      <c r="AJ79" s="1165">
        <f>SUM(AG79:AI79)</f>
        <v>4</v>
      </c>
      <c r="AK79" s="1166">
        <v>7</v>
      </c>
      <c r="AL79" s="1166"/>
      <c r="AM79" s="1166"/>
      <c r="AN79" s="1165">
        <f>SUM(AK79:AM79)</f>
        <v>7</v>
      </c>
      <c r="AO79" s="1166">
        <v>10</v>
      </c>
      <c r="AP79" s="1166"/>
      <c r="AQ79" s="1166"/>
      <c r="AR79" s="1151">
        <f t="shared" si="42"/>
        <v>10</v>
      </c>
      <c r="AS79" s="1166">
        <v>13</v>
      </c>
      <c r="AT79" s="1166"/>
      <c r="AU79" s="1166"/>
      <c r="AV79" s="1151">
        <f>SUM(AS79:AU79)</f>
        <v>13</v>
      </c>
      <c r="AW79" s="1166">
        <v>14</v>
      </c>
      <c r="AX79" s="1166"/>
      <c r="AY79" s="1166"/>
      <c r="AZ79" s="1151">
        <f t="shared" si="43"/>
        <v>14</v>
      </c>
      <c r="BA79" s="1166">
        <v>14</v>
      </c>
      <c r="BB79" s="1166"/>
      <c r="BC79" s="1166"/>
      <c r="BD79" s="1151">
        <f>BA79+BB79+BC79</f>
        <v>14</v>
      </c>
      <c r="BE79" s="1166">
        <v>14</v>
      </c>
      <c r="BF79" s="1166"/>
      <c r="BG79" s="1166"/>
      <c r="BH79" s="1151">
        <f t="shared" si="44"/>
        <v>14</v>
      </c>
      <c r="BI79" s="1166">
        <v>26</v>
      </c>
      <c r="BJ79" s="1166"/>
      <c r="BK79" s="1166"/>
      <c r="BL79" s="1151">
        <f t="shared" si="45"/>
        <v>26</v>
      </c>
      <c r="BM79" s="1166">
        <v>13</v>
      </c>
      <c r="BN79" s="1166"/>
      <c r="BO79" s="1166"/>
      <c r="BP79" s="1151">
        <f t="shared" si="46"/>
        <v>13</v>
      </c>
      <c r="BQ79" s="1166">
        <v>10</v>
      </c>
      <c r="BR79" s="1166"/>
      <c r="BS79" s="1166"/>
      <c r="BT79" s="1151">
        <f t="shared" si="47"/>
        <v>10</v>
      </c>
    </row>
    <row r="80" spans="1:72" s="212" customFormat="1" ht="15" x14ac:dyDescent="0.25">
      <c r="A80" s="5462"/>
      <c r="B80" s="5462"/>
      <c r="C80" s="5461" t="s">
        <v>526</v>
      </c>
      <c r="D80" s="1152" t="s">
        <v>84</v>
      </c>
      <c r="E80" s="1167">
        <v>6</v>
      </c>
      <c r="F80" s="1164"/>
      <c r="G80" s="1164">
        <v>16</v>
      </c>
      <c r="H80" s="1165">
        <v>22</v>
      </c>
      <c r="I80" s="1167">
        <v>1</v>
      </c>
      <c r="J80" s="1164"/>
      <c r="K80" s="1164">
        <v>5</v>
      </c>
      <c r="L80" s="1165">
        <v>6</v>
      </c>
      <c r="M80" s="1167">
        <v>3</v>
      </c>
      <c r="N80" s="1164"/>
      <c r="O80" s="1164">
        <v>15</v>
      </c>
      <c r="P80" s="1165">
        <v>18</v>
      </c>
      <c r="Q80" s="1167">
        <v>4</v>
      </c>
      <c r="R80" s="1164">
        <v>5</v>
      </c>
      <c r="S80" s="1164">
        <v>12</v>
      </c>
      <c r="T80" s="1165">
        <v>21</v>
      </c>
      <c r="U80" s="1167"/>
      <c r="V80" s="1164"/>
      <c r="W80" s="1164">
        <v>7</v>
      </c>
      <c r="X80" s="1165">
        <f>SUM(U80:W80)</f>
        <v>7</v>
      </c>
      <c r="Y80" s="1166"/>
      <c r="Z80" s="1166"/>
      <c r="AA80" s="1166">
        <v>11</v>
      </c>
      <c r="AB80" s="1165">
        <f t="shared" si="38"/>
        <v>11</v>
      </c>
      <c r="AC80" s="1166"/>
      <c r="AD80" s="1166"/>
      <c r="AE80" s="1166">
        <v>12</v>
      </c>
      <c r="AF80" s="1165">
        <f t="shared" si="41"/>
        <v>12</v>
      </c>
      <c r="AG80" s="1166"/>
      <c r="AH80" s="1166"/>
      <c r="AI80" s="1166">
        <v>3</v>
      </c>
      <c r="AJ80" s="1165">
        <f t="shared" si="39"/>
        <v>3</v>
      </c>
      <c r="AK80" s="1166"/>
      <c r="AL80" s="1166"/>
      <c r="AM80" s="1166">
        <v>6</v>
      </c>
      <c r="AN80" s="1165">
        <f t="shared" si="40"/>
        <v>6</v>
      </c>
      <c r="AO80" s="1166"/>
      <c r="AP80" s="1166"/>
      <c r="AQ80" s="1166">
        <v>6</v>
      </c>
      <c r="AR80" s="1151">
        <f t="shared" si="42"/>
        <v>6</v>
      </c>
      <c r="AS80" s="1166"/>
      <c r="AT80" s="1166" t="s">
        <v>227</v>
      </c>
      <c r="AU80" s="1166">
        <v>13</v>
      </c>
      <c r="AV80" s="1151">
        <f>SUM(AS80:AU80)</f>
        <v>13</v>
      </c>
      <c r="AW80" s="1166"/>
      <c r="AX80" s="1166"/>
      <c r="AY80" s="1166">
        <v>9</v>
      </c>
      <c r="AZ80" s="1151">
        <f t="shared" si="43"/>
        <v>9</v>
      </c>
      <c r="BA80" s="1166"/>
      <c r="BB80" s="1166"/>
      <c r="BC80" s="1166">
        <v>11</v>
      </c>
      <c r="BD80" s="1151">
        <f>BA80+BB80+BC80</f>
        <v>11</v>
      </c>
      <c r="BE80" s="1166"/>
      <c r="BF80" s="1166"/>
      <c r="BG80" s="1166">
        <v>11</v>
      </c>
      <c r="BH80" s="1151">
        <f t="shared" si="44"/>
        <v>11</v>
      </c>
      <c r="BI80" s="1166"/>
      <c r="BJ80" s="1166"/>
      <c r="BK80" s="1166"/>
      <c r="BL80" s="1151">
        <f t="shared" si="45"/>
        <v>0</v>
      </c>
      <c r="BM80" s="1166"/>
      <c r="BN80" s="1166"/>
      <c r="BO80" s="1166">
        <v>20</v>
      </c>
      <c r="BP80" s="1151">
        <f t="shared" si="46"/>
        <v>20</v>
      </c>
      <c r="BQ80" s="1166"/>
      <c r="BR80" s="1166"/>
      <c r="BS80" s="1166"/>
      <c r="BT80" s="1151">
        <f t="shared" si="47"/>
        <v>0</v>
      </c>
    </row>
    <row r="81" spans="1:72" s="212" customFormat="1" ht="15" x14ac:dyDescent="0.25">
      <c r="A81" s="5462"/>
      <c r="B81" s="5462"/>
      <c r="C81" s="5462"/>
      <c r="D81" s="1152" t="s">
        <v>85</v>
      </c>
      <c r="E81" s="1167"/>
      <c r="F81" s="1164"/>
      <c r="G81" s="1164">
        <v>7</v>
      </c>
      <c r="H81" s="1165">
        <v>7</v>
      </c>
      <c r="I81" s="1167">
        <v>2</v>
      </c>
      <c r="J81" s="1164"/>
      <c r="K81" s="1164">
        <v>33</v>
      </c>
      <c r="L81" s="1165">
        <v>35</v>
      </c>
      <c r="M81" s="1167">
        <v>20</v>
      </c>
      <c r="N81" s="1164"/>
      <c r="O81" s="1164"/>
      <c r="P81" s="1165">
        <v>20</v>
      </c>
      <c r="Q81" s="1167"/>
      <c r="R81" s="1164">
        <v>1</v>
      </c>
      <c r="S81" s="1164">
        <v>36</v>
      </c>
      <c r="T81" s="1165">
        <v>37</v>
      </c>
      <c r="U81" s="1167"/>
      <c r="V81" s="1164"/>
      <c r="W81" s="1164">
        <v>21</v>
      </c>
      <c r="X81" s="1165">
        <f>SUM(U81:W81)</f>
        <v>21</v>
      </c>
      <c r="Y81" s="1166"/>
      <c r="Z81" s="1166">
        <v>33</v>
      </c>
      <c r="AA81" s="1166">
        <v>6</v>
      </c>
      <c r="AB81" s="1165">
        <f t="shared" si="38"/>
        <v>39</v>
      </c>
      <c r="AC81" s="1166"/>
      <c r="AD81" s="1166"/>
      <c r="AE81" s="1166">
        <v>3</v>
      </c>
      <c r="AF81" s="1165">
        <f t="shared" si="41"/>
        <v>3</v>
      </c>
      <c r="AG81" s="1166"/>
      <c r="AH81" s="1166"/>
      <c r="AI81" s="1166">
        <v>7</v>
      </c>
      <c r="AJ81" s="1165">
        <f t="shared" si="39"/>
        <v>7</v>
      </c>
      <c r="AK81" s="1166"/>
      <c r="AL81" s="1166"/>
      <c r="AM81" s="1166">
        <v>12</v>
      </c>
      <c r="AN81" s="1165">
        <f t="shared" si="40"/>
        <v>12</v>
      </c>
      <c r="AO81" s="1166"/>
      <c r="AP81" s="1166"/>
      <c r="AQ81" s="1166">
        <v>11</v>
      </c>
      <c r="AR81" s="1151">
        <f t="shared" si="42"/>
        <v>11</v>
      </c>
      <c r="AS81" s="1166" t="s">
        <v>227</v>
      </c>
      <c r="AT81" s="1166">
        <v>15</v>
      </c>
      <c r="AU81" s="1166" t="s">
        <v>227</v>
      </c>
      <c r="AV81" s="1151">
        <f>SUM(AS81:AU81)</f>
        <v>15</v>
      </c>
      <c r="AW81" s="1166"/>
      <c r="AX81" s="1166"/>
      <c r="AY81" s="1166">
        <v>21</v>
      </c>
      <c r="AZ81" s="1151">
        <f t="shared" si="43"/>
        <v>21</v>
      </c>
      <c r="BA81" s="1166">
        <v>15</v>
      </c>
      <c r="BB81" s="1166"/>
      <c r="BC81" s="1166"/>
      <c r="BD81" s="1151">
        <f t="shared" ref="BD81:BD92" si="48">BA81+BB81+BC81</f>
        <v>15</v>
      </c>
      <c r="BE81" s="1166"/>
      <c r="BF81" s="1166"/>
      <c r="BG81" s="1166">
        <v>7</v>
      </c>
      <c r="BH81" s="1151">
        <f t="shared" si="44"/>
        <v>7</v>
      </c>
      <c r="BI81" s="1166"/>
      <c r="BJ81" s="1166"/>
      <c r="BK81" s="1166"/>
      <c r="BL81" s="1151">
        <f t="shared" si="45"/>
        <v>0</v>
      </c>
      <c r="BM81" s="1166"/>
      <c r="BN81" s="1166"/>
      <c r="BO81" s="1166">
        <v>15</v>
      </c>
      <c r="BP81" s="1151">
        <f t="shared" si="46"/>
        <v>15</v>
      </c>
      <c r="BQ81" s="1166"/>
      <c r="BR81" s="1166"/>
      <c r="BS81" s="1166">
        <v>11</v>
      </c>
      <c r="BT81" s="1151">
        <f t="shared" si="47"/>
        <v>11</v>
      </c>
    </row>
    <row r="82" spans="1:72" s="212" customFormat="1" ht="15" x14ac:dyDescent="0.25">
      <c r="A82" s="5462"/>
      <c r="B82" s="5462"/>
      <c r="C82" s="5462"/>
      <c r="D82" s="1152" t="s">
        <v>83</v>
      </c>
      <c r="E82" s="1167">
        <v>2</v>
      </c>
      <c r="F82" s="1164">
        <v>1</v>
      </c>
      <c r="G82" s="1164">
        <v>15</v>
      </c>
      <c r="H82" s="1165">
        <v>18</v>
      </c>
      <c r="I82" s="1167">
        <v>4</v>
      </c>
      <c r="J82" s="1164">
        <v>2</v>
      </c>
      <c r="K82" s="1164">
        <v>24</v>
      </c>
      <c r="L82" s="1165">
        <v>30</v>
      </c>
      <c r="M82" s="1167">
        <v>4</v>
      </c>
      <c r="N82" s="1164"/>
      <c r="O82" s="1164">
        <v>3</v>
      </c>
      <c r="P82" s="1165">
        <v>7</v>
      </c>
      <c r="Q82" s="1167">
        <v>2</v>
      </c>
      <c r="R82" s="1164"/>
      <c r="S82" s="1164">
        <v>22</v>
      </c>
      <c r="T82" s="1165">
        <v>24</v>
      </c>
      <c r="U82" s="1167"/>
      <c r="V82" s="1164"/>
      <c r="W82" s="1164">
        <v>1</v>
      </c>
      <c r="X82" s="1165">
        <f>SUM(U82:W82)</f>
        <v>1</v>
      </c>
      <c r="Y82" s="1166"/>
      <c r="Z82" s="1166"/>
      <c r="AA82" s="1166">
        <v>1</v>
      </c>
      <c r="AB82" s="1165">
        <f t="shared" si="38"/>
        <v>1</v>
      </c>
      <c r="AC82" s="1166">
        <v>9</v>
      </c>
      <c r="AD82" s="1166"/>
      <c r="AE82" s="1166"/>
      <c r="AF82" s="1165">
        <f t="shared" si="41"/>
        <v>9</v>
      </c>
      <c r="AG82" s="1166">
        <v>12</v>
      </c>
      <c r="AH82" s="1166"/>
      <c r="AI82" s="1166"/>
      <c r="AJ82" s="1165">
        <f t="shared" si="39"/>
        <v>12</v>
      </c>
      <c r="AK82" s="1166">
        <v>19</v>
      </c>
      <c r="AL82" s="1166"/>
      <c r="AM82" s="1166"/>
      <c r="AN82" s="1165">
        <f t="shared" si="40"/>
        <v>19</v>
      </c>
      <c r="AO82" s="1166"/>
      <c r="AP82" s="1166"/>
      <c r="AQ82" s="1166">
        <v>36</v>
      </c>
      <c r="AR82" s="1151">
        <f t="shared" si="42"/>
        <v>36</v>
      </c>
      <c r="AS82" s="1166" t="s">
        <v>227</v>
      </c>
      <c r="AT82" s="1166" t="s">
        <v>227</v>
      </c>
      <c r="AU82" s="1166">
        <v>23</v>
      </c>
      <c r="AV82" s="1151">
        <f>SUM(AS82:AU82)</f>
        <v>23</v>
      </c>
      <c r="AW82" s="1166"/>
      <c r="AX82" s="1166"/>
      <c r="AY82" s="1166">
        <v>38</v>
      </c>
      <c r="AZ82" s="1151">
        <f t="shared" si="43"/>
        <v>38</v>
      </c>
      <c r="BA82" s="1166"/>
      <c r="BB82" s="1166"/>
      <c r="BC82" s="1166">
        <v>38</v>
      </c>
      <c r="BD82" s="1151">
        <f t="shared" si="48"/>
        <v>38</v>
      </c>
      <c r="BE82" s="1166"/>
      <c r="BF82" s="1166"/>
      <c r="BG82" s="1166">
        <v>30</v>
      </c>
      <c r="BH82" s="1151">
        <f t="shared" si="44"/>
        <v>30</v>
      </c>
      <c r="BI82" s="1166"/>
      <c r="BJ82" s="1166"/>
      <c r="BK82" s="1166">
        <v>22</v>
      </c>
      <c r="BL82" s="1151">
        <f t="shared" si="45"/>
        <v>22</v>
      </c>
      <c r="BM82" s="1166"/>
      <c r="BN82" s="1166"/>
      <c r="BO82" s="1166">
        <v>28</v>
      </c>
      <c r="BP82" s="1151">
        <f t="shared" si="46"/>
        <v>28</v>
      </c>
      <c r="BQ82" s="1166"/>
      <c r="BR82" s="1166"/>
      <c r="BS82" s="1166">
        <v>27</v>
      </c>
      <c r="BT82" s="1151">
        <f t="shared" si="47"/>
        <v>27</v>
      </c>
    </row>
    <row r="83" spans="1:72" s="212" customFormat="1" ht="15" x14ac:dyDescent="0.25">
      <c r="A83" s="5462"/>
      <c r="B83" s="5462"/>
      <c r="C83" s="5462"/>
      <c r="D83" s="1152" t="s">
        <v>86</v>
      </c>
      <c r="E83" s="1167">
        <v>1</v>
      </c>
      <c r="F83" s="1164"/>
      <c r="G83" s="1164"/>
      <c r="H83" s="1165">
        <v>1</v>
      </c>
      <c r="I83" s="1167">
        <v>1</v>
      </c>
      <c r="J83" s="1164">
        <v>3</v>
      </c>
      <c r="K83" s="1164">
        <v>27</v>
      </c>
      <c r="L83" s="1165">
        <v>31</v>
      </c>
      <c r="M83" s="1167"/>
      <c r="N83" s="1164">
        <v>2</v>
      </c>
      <c r="O83" s="1164">
        <v>4</v>
      </c>
      <c r="P83" s="1165">
        <v>6</v>
      </c>
      <c r="Q83" s="1167">
        <v>0</v>
      </c>
      <c r="R83" s="1164">
        <v>1</v>
      </c>
      <c r="S83" s="1164">
        <v>38</v>
      </c>
      <c r="T83" s="1165">
        <v>39</v>
      </c>
      <c r="U83" s="1167">
        <v>1</v>
      </c>
      <c r="V83" s="1164"/>
      <c r="W83" s="1164">
        <v>5</v>
      </c>
      <c r="X83" s="1165">
        <f>SUM(U83:W83)</f>
        <v>6</v>
      </c>
      <c r="Y83" s="1166"/>
      <c r="Z83" s="1166"/>
      <c r="AA83" s="1166">
        <v>16</v>
      </c>
      <c r="AB83" s="1165">
        <f t="shared" si="38"/>
        <v>16</v>
      </c>
      <c r="AC83" s="1166">
        <v>4</v>
      </c>
      <c r="AD83" s="1166"/>
      <c r="AE83" s="1166">
        <v>4</v>
      </c>
      <c r="AF83" s="1165">
        <f t="shared" si="41"/>
        <v>8</v>
      </c>
      <c r="AG83" s="1166"/>
      <c r="AH83" s="1166"/>
      <c r="AI83" s="1166">
        <v>13</v>
      </c>
      <c r="AJ83" s="1165">
        <f t="shared" si="39"/>
        <v>13</v>
      </c>
      <c r="AK83" s="1166"/>
      <c r="AL83" s="1166"/>
      <c r="AM83" s="1166">
        <v>4</v>
      </c>
      <c r="AN83" s="1165">
        <f t="shared" si="40"/>
        <v>4</v>
      </c>
      <c r="AO83" s="1166"/>
      <c r="AP83" s="1166"/>
      <c r="AQ83" s="1166">
        <v>19</v>
      </c>
      <c r="AR83" s="1151">
        <f t="shared" si="42"/>
        <v>19</v>
      </c>
      <c r="AS83" s="1166"/>
      <c r="AT83" s="1166"/>
      <c r="AU83" s="1166"/>
      <c r="AV83" s="1151"/>
      <c r="AW83" s="1166"/>
      <c r="AX83" s="1166"/>
      <c r="AY83" s="1166">
        <v>14</v>
      </c>
      <c r="AZ83" s="1151">
        <f t="shared" si="43"/>
        <v>14</v>
      </c>
      <c r="BA83" s="1166">
        <v>2</v>
      </c>
      <c r="BB83" s="1166"/>
      <c r="BC83" s="1166"/>
      <c r="BD83" s="1151">
        <f t="shared" si="48"/>
        <v>2</v>
      </c>
      <c r="BE83" s="1166"/>
      <c r="BF83" s="1166"/>
      <c r="BG83" s="1166">
        <v>28</v>
      </c>
      <c r="BH83" s="1151">
        <f t="shared" ref="BH83:BH92" si="49">BE83+BF83+BG83</f>
        <v>28</v>
      </c>
      <c r="BI83" s="1166"/>
      <c r="BJ83" s="1166"/>
      <c r="BK83" s="1166"/>
      <c r="BL83" s="1151">
        <f t="shared" si="45"/>
        <v>0</v>
      </c>
      <c r="BM83" s="1166"/>
      <c r="BN83" s="1166"/>
      <c r="BO83" s="1166">
        <v>28</v>
      </c>
      <c r="BP83" s="1151">
        <f t="shared" si="46"/>
        <v>28</v>
      </c>
      <c r="BQ83" s="1166"/>
      <c r="BR83" s="1166"/>
      <c r="BS83" s="1166"/>
      <c r="BT83" s="1151">
        <f t="shared" si="47"/>
        <v>0</v>
      </c>
    </row>
    <row r="84" spans="1:72" s="212" customFormat="1" ht="15" x14ac:dyDescent="0.25">
      <c r="A84" s="5462"/>
      <c r="B84" s="5462"/>
      <c r="C84" s="5462"/>
      <c r="D84" s="1152" t="s">
        <v>143</v>
      </c>
      <c r="E84" s="1149"/>
      <c r="F84" s="1150"/>
      <c r="G84" s="1150"/>
      <c r="H84" s="1151"/>
      <c r="I84" s="1149">
        <v>12</v>
      </c>
      <c r="J84" s="1150"/>
      <c r="K84" s="1150"/>
      <c r="L84" s="1151">
        <v>12</v>
      </c>
      <c r="M84" s="1149">
        <v>11</v>
      </c>
      <c r="N84" s="1150"/>
      <c r="O84" s="1150">
        <v>1</v>
      </c>
      <c r="P84" s="1151">
        <v>12</v>
      </c>
      <c r="Q84" s="1149">
        <v>5</v>
      </c>
      <c r="R84" s="1150"/>
      <c r="S84" s="1150"/>
      <c r="T84" s="1151">
        <v>5</v>
      </c>
      <c r="U84" s="1149">
        <v>2</v>
      </c>
      <c r="V84" s="1150"/>
      <c r="W84" s="1150"/>
      <c r="X84" s="1151">
        <f>SUM(U84:W84)</f>
        <v>2</v>
      </c>
      <c r="Y84" s="1150"/>
      <c r="Z84" s="1150"/>
      <c r="AA84" s="1150"/>
      <c r="AB84" s="1151"/>
      <c r="AC84" s="1150">
        <v>9</v>
      </c>
      <c r="AD84" s="1150"/>
      <c r="AE84" s="1150"/>
      <c r="AF84" s="1151">
        <f t="shared" si="41"/>
        <v>9</v>
      </c>
      <c r="AG84" s="1150">
        <v>2</v>
      </c>
      <c r="AH84" s="1150"/>
      <c r="AI84" s="1150"/>
      <c r="AJ84" s="1151">
        <f t="shared" si="39"/>
        <v>2</v>
      </c>
      <c r="AK84" s="1150">
        <v>6</v>
      </c>
      <c r="AL84" s="1150"/>
      <c r="AM84" s="1150"/>
      <c r="AN84" s="1151">
        <f t="shared" si="40"/>
        <v>6</v>
      </c>
      <c r="AO84" s="1150">
        <v>2</v>
      </c>
      <c r="AP84" s="1150"/>
      <c r="AQ84" s="1150"/>
      <c r="AR84" s="1151">
        <f t="shared" si="42"/>
        <v>2</v>
      </c>
      <c r="AS84" s="1150">
        <v>7</v>
      </c>
      <c r="AT84" s="1150" t="s">
        <v>227</v>
      </c>
      <c r="AU84" s="1150" t="s">
        <v>227</v>
      </c>
      <c r="AV84" s="1151">
        <f>SUM(AS84:AU84)</f>
        <v>7</v>
      </c>
      <c r="AW84" s="1150">
        <v>6</v>
      </c>
      <c r="AX84" s="1150"/>
      <c r="AY84" s="1150"/>
      <c r="AZ84" s="1151">
        <f t="shared" si="43"/>
        <v>6</v>
      </c>
      <c r="BA84" s="1150">
        <v>14</v>
      </c>
      <c r="BB84" s="1150">
        <v>1</v>
      </c>
      <c r="BC84" s="1150"/>
      <c r="BD84" s="1151">
        <f t="shared" si="48"/>
        <v>15</v>
      </c>
      <c r="BE84" s="1150">
        <v>12</v>
      </c>
      <c r="BF84" s="1150">
        <v>3</v>
      </c>
      <c r="BG84" s="1150"/>
      <c r="BH84" s="1151">
        <f t="shared" si="49"/>
        <v>15</v>
      </c>
      <c r="BI84" s="1150">
        <v>12</v>
      </c>
      <c r="BJ84" s="1150">
        <v>2</v>
      </c>
      <c r="BK84" s="1150"/>
      <c r="BL84" s="1151">
        <f t="shared" si="45"/>
        <v>14</v>
      </c>
      <c r="BM84" s="1150">
        <v>17</v>
      </c>
      <c r="BN84" s="1150"/>
      <c r="BO84" s="1150"/>
      <c r="BP84" s="1151">
        <f t="shared" si="46"/>
        <v>17</v>
      </c>
      <c r="BQ84" s="1150">
        <v>15</v>
      </c>
      <c r="BR84" s="1150"/>
      <c r="BS84" s="1150"/>
      <c r="BT84" s="1151">
        <f t="shared" si="47"/>
        <v>15</v>
      </c>
    </row>
    <row r="85" spans="1:72" s="212" customFormat="1" ht="15" x14ac:dyDescent="0.25">
      <c r="A85" s="5462"/>
      <c r="B85" s="5464"/>
      <c r="C85" s="1580"/>
      <c r="D85" s="1154" t="s">
        <v>451</v>
      </c>
      <c r="E85" s="1155">
        <f t="shared" ref="E85:AJ85" si="50">SUM(E74:E84)</f>
        <v>9</v>
      </c>
      <c r="F85" s="1156">
        <f t="shared" si="50"/>
        <v>1</v>
      </c>
      <c r="G85" s="1156">
        <f t="shared" si="50"/>
        <v>129</v>
      </c>
      <c r="H85" s="1185">
        <f t="shared" si="50"/>
        <v>139</v>
      </c>
      <c r="I85" s="1155">
        <f t="shared" si="50"/>
        <v>49</v>
      </c>
      <c r="J85" s="1156">
        <f t="shared" si="50"/>
        <v>5</v>
      </c>
      <c r="K85" s="1156">
        <f t="shared" si="50"/>
        <v>229</v>
      </c>
      <c r="L85" s="1185">
        <f t="shared" si="50"/>
        <v>283</v>
      </c>
      <c r="M85" s="1155">
        <f t="shared" si="50"/>
        <v>38</v>
      </c>
      <c r="N85" s="1156">
        <f t="shared" si="50"/>
        <v>2</v>
      </c>
      <c r="O85" s="1156">
        <f t="shared" si="50"/>
        <v>76</v>
      </c>
      <c r="P85" s="1185">
        <f t="shared" si="50"/>
        <v>116</v>
      </c>
      <c r="Q85" s="1155">
        <f t="shared" si="50"/>
        <v>14</v>
      </c>
      <c r="R85" s="1156">
        <f t="shared" si="50"/>
        <v>7</v>
      </c>
      <c r="S85" s="1156">
        <f t="shared" si="50"/>
        <v>332</v>
      </c>
      <c r="T85" s="1185">
        <f t="shared" si="50"/>
        <v>353</v>
      </c>
      <c r="U85" s="1155">
        <f t="shared" si="50"/>
        <v>3</v>
      </c>
      <c r="V85" s="1156">
        <f t="shared" si="50"/>
        <v>0</v>
      </c>
      <c r="W85" s="1156">
        <f t="shared" si="50"/>
        <v>95</v>
      </c>
      <c r="X85" s="1185">
        <f t="shared" si="50"/>
        <v>98</v>
      </c>
      <c r="Y85" s="1156">
        <f t="shared" si="50"/>
        <v>1</v>
      </c>
      <c r="Z85" s="1156">
        <f t="shared" si="50"/>
        <v>33</v>
      </c>
      <c r="AA85" s="1156">
        <f t="shared" si="50"/>
        <v>129</v>
      </c>
      <c r="AB85" s="1185">
        <f t="shared" si="50"/>
        <v>163</v>
      </c>
      <c r="AC85" s="1156">
        <f t="shared" si="50"/>
        <v>83</v>
      </c>
      <c r="AD85" s="1156">
        <f t="shared" si="50"/>
        <v>0</v>
      </c>
      <c r="AE85" s="1156">
        <f t="shared" si="50"/>
        <v>43</v>
      </c>
      <c r="AF85" s="1185">
        <f t="shared" si="50"/>
        <v>126</v>
      </c>
      <c r="AG85" s="1156">
        <f t="shared" si="50"/>
        <v>105</v>
      </c>
      <c r="AH85" s="1156">
        <f t="shared" si="50"/>
        <v>0</v>
      </c>
      <c r="AI85" s="1156">
        <f t="shared" si="50"/>
        <v>56</v>
      </c>
      <c r="AJ85" s="1185">
        <f t="shared" si="50"/>
        <v>161</v>
      </c>
      <c r="AK85" s="1156">
        <f t="shared" ref="AK85:BP85" si="51">SUM(AK74:AK84)</f>
        <v>181</v>
      </c>
      <c r="AL85" s="1156">
        <f t="shared" si="51"/>
        <v>0</v>
      </c>
      <c r="AM85" s="1156">
        <f t="shared" si="51"/>
        <v>63</v>
      </c>
      <c r="AN85" s="1185">
        <f t="shared" si="51"/>
        <v>244</v>
      </c>
      <c r="AO85" s="1156">
        <f t="shared" si="51"/>
        <v>113</v>
      </c>
      <c r="AP85" s="1156">
        <f t="shared" si="51"/>
        <v>0</v>
      </c>
      <c r="AQ85" s="1156">
        <f t="shared" si="51"/>
        <v>209</v>
      </c>
      <c r="AR85" s="1185">
        <f t="shared" si="51"/>
        <v>322</v>
      </c>
      <c r="AS85" s="1156">
        <f t="shared" si="51"/>
        <v>20</v>
      </c>
      <c r="AT85" s="1156">
        <f t="shared" si="51"/>
        <v>114</v>
      </c>
      <c r="AU85" s="1156">
        <f t="shared" si="51"/>
        <v>72</v>
      </c>
      <c r="AV85" s="1185">
        <f t="shared" si="51"/>
        <v>206</v>
      </c>
      <c r="AW85" s="1156">
        <f t="shared" si="51"/>
        <v>20</v>
      </c>
      <c r="AX85" s="1156">
        <f t="shared" si="51"/>
        <v>0</v>
      </c>
      <c r="AY85" s="1156">
        <f t="shared" si="51"/>
        <v>289</v>
      </c>
      <c r="AZ85" s="1185">
        <f t="shared" si="51"/>
        <v>309</v>
      </c>
      <c r="BA85" s="1156">
        <f t="shared" si="51"/>
        <v>45</v>
      </c>
      <c r="BB85" s="1156">
        <f t="shared" si="51"/>
        <v>1</v>
      </c>
      <c r="BC85" s="1156">
        <f t="shared" si="51"/>
        <v>139</v>
      </c>
      <c r="BD85" s="1185">
        <f t="shared" si="51"/>
        <v>185</v>
      </c>
      <c r="BE85" s="1156">
        <f t="shared" si="51"/>
        <v>26</v>
      </c>
      <c r="BF85" s="1156">
        <f t="shared" si="51"/>
        <v>3</v>
      </c>
      <c r="BG85" s="1156">
        <f t="shared" si="51"/>
        <v>181</v>
      </c>
      <c r="BH85" s="1185">
        <f t="shared" si="51"/>
        <v>210</v>
      </c>
      <c r="BI85" s="1156">
        <f t="shared" si="51"/>
        <v>38</v>
      </c>
      <c r="BJ85" s="1156">
        <f t="shared" si="51"/>
        <v>2</v>
      </c>
      <c r="BK85" s="1156">
        <f t="shared" si="51"/>
        <v>72</v>
      </c>
      <c r="BL85" s="1185">
        <f t="shared" si="51"/>
        <v>112</v>
      </c>
      <c r="BM85" s="1156">
        <f t="shared" si="51"/>
        <v>30</v>
      </c>
      <c r="BN85" s="1156">
        <f t="shared" si="51"/>
        <v>15</v>
      </c>
      <c r="BO85" s="1156">
        <f t="shared" si="51"/>
        <v>193</v>
      </c>
      <c r="BP85" s="1185">
        <f t="shared" si="51"/>
        <v>238</v>
      </c>
      <c r="BQ85" s="1156">
        <f t="shared" ref="BQ85:BT85" si="52">SUM(BQ74:BQ84)</f>
        <v>58</v>
      </c>
      <c r="BR85" s="1156">
        <f t="shared" si="52"/>
        <v>1</v>
      </c>
      <c r="BS85" s="1156">
        <f t="shared" si="52"/>
        <v>108</v>
      </c>
      <c r="BT85" s="1185">
        <f t="shared" si="52"/>
        <v>167</v>
      </c>
    </row>
    <row r="86" spans="1:72" s="212" customFormat="1" ht="15" x14ac:dyDescent="0.25">
      <c r="A86" s="5462"/>
      <c r="B86" s="5461" t="s">
        <v>11</v>
      </c>
      <c r="C86" s="5461" t="s">
        <v>528</v>
      </c>
      <c r="D86" s="1158" t="s">
        <v>56</v>
      </c>
      <c r="E86" s="1184"/>
      <c r="F86" s="1160"/>
      <c r="G86" s="1160"/>
      <c r="H86" s="1161"/>
      <c r="I86" s="1184">
        <v>2</v>
      </c>
      <c r="J86" s="1160"/>
      <c r="K86" s="1160"/>
      <c r="L86" s="1165">
        <f>SUM(I86:K86)</f>
        <v>2</v>
      </c>
      <c r="M86" s="1184"/>
      <c r="N86" s="1160">
        <v>1</v>
      </c>
      <c r="O86" s="1160">
        <v>5</v>
      </c>
      <c r="P86" s="1161">
        <f>SUM(M86:O86)</f>
        <v>6</v>
      </c>
      <c r="Q86" s="1184"/>
      <c r="R86" s="1160"/>
      <c r="S86" s="1160">
        <v>9</v>
      </c>
      <c r="T86" s="1161">
        <f>SUM(Q86:S86)</f>
        <v>9</v>
      </c>
      <c r="U86" s="1184">
        <v>1</v>
      </c>
      <c r="V86" s="1160">
        <v>2</v>
      </c>
      <c r="W86" s="1160">
        <v>3</v>
      </c>
      <c r="X86" s="1161">
        <f t="shared" ref="X86:X92" si="53">SUM(U86:W86)</f>
        <v>6</v>
      </c>
      <c r="Y86" s="1162"/>
      <c r="Z86" s="1162">
        <v>2</v>
      </c>
      <c r="AA86" s="1162">
        <v>5</v>
      </c>
      <c r="AB86" s="1161">
        <f t="shared" si="38"/>
        <v>7</v>
      </c>
      <c r="AC86" s="1162">
        <v>1</v>
      </c>
      <c r="AD86" s="1162">
        <v>4</v>
      </c>
      <c r="AE86" s="1162">
        <v>7</v>
      </c>
      <c r="AF86" s="1161">
        <f t="shared" si="41"/>
        <v>12</v>
      </c>
      <c r="AG86" s="1162">
        <v>10</v>
      </c>
      <c r="AH86" s="1162">
        <v>7</v>
      </c>
      <c r="AI86" s="1162">
        <v>7</v>
      </c>
      <c r="AJ86" s="1161">
        <f t="shared" si="39"/>
        <v>24</v>
      </c>
      <c r="AK86" s="1162">
        <v>6</v>
      </c>
      <c r="AL86" s="1162">
        <v>2</v>
      </c>
      <c r="AM86" s="1162">
        <v>14</v>
      </c>
      <c r="AN86" s="1161">
        <f t="shared" si="40"/>
        <v>22</v>
      </c>
      <c r="AO86" s="1162">
        <v>1</v>
      </c>
      <c r="AP86" s="1162">
        <v>7</v>
      </c>
      <c r="AQ86" s="1162">
        <v>4</v>
      </c>
      <c r="AR86" s="1163">
        <f t="shared" ref="AR86:AR92" si="54">SUM(AO86:AQ86)</f>
        <v>12</v>
      </c>
      <c r="AS86" s="1162">
        <v>2</v>
      </c>
      <c r="AT86" s="1162">
        <v>6</v>
      </c>
      <c r="AU86" s="1162">
        <v>9</v>
      </c>
      <c r="AV86" s="1163">
        <f t="shared" ref="AV86:AV94" si="55">SUM(AS86:AU86)</f>
        <v>17</v>
      </c>
      <c r="AW86" s="1162">
        <v>6</v>
      </c>
      <c r="AX86" s="1162">
        <v>6</v>
      </c>
      <c r="AY86" s="1162">
        <v>10</v>
      </c>
      <c r="AZ86" s="1163">
        <f t="shared" ref="AZ86:AZ92" si="56">AW86+AX86+AY86</f>
        <v>22</v>
      </c>
      <c r="BA86" s="1162">
        <v>7</v>
      </c>
      <c r="BB86" s="1162">
        <v>5</v>
      </c>
      <c r="BC86" s="1162">
        <v>12</v>
      </c>
      <c r="BD86" s="1163">
        <f t="shared" si="48"/>
        <v>24</v>
      </c>
      <c r="BE86" s="1162">
        <v>9</v>
      </c>
      <c r="BF86" s="1162">
        <v>11</v>
      </c>
      <c r="BG86" s="1162">
        <v>5</v>
      </c>
      <c r="BH86" s="1163">
        <f t="shared" si="49"/>
        <v>25</v>
      </c>
      <c r="BI86" s="1162">
        <v>4</v>
      </c>
      <c r="BJ86" s="1162">
        <v>6</v>
      </c>
      <c r="BK86" s="1162">
        <v>3</v>
      </c>
      <c r="BL86" s="1163">
        <f t="shared" ref="BL86:BL94" si="57">BI86+BJ86+BK86</f>
        <v>13</v>
      </c>
      <c r="BM86" s="1162">
        <v>5</v>
      </c>
      <c r="BN86" s="1162">
        <v>6</v>
      </c>
      <c r="BO86" s="1162">
        <v>7</v>
      </c>
      <c r="BP86" s="1163">
        <f t="shared" ref="BP86:BP94" si="58">BM86+BN86+BO86</f>
        <v>18</v>
      </c>
      <c r="BQ86" s="1162">
        <v>6</v>
      </c>
      <c r="BR86" s="1162">
        <v>6</v>
      </c>
      <c r="BS86" s="1162">
        <v>6</v>
      </c>
      <c r="BT86" s="1163">
        <f t="shared" ref="BT86:BT89" si="59">BQ86+BR86+BS86</f>
        <v>18</v>
      </c>
    </row>
    <row r="87" spans="1:72" s="212" customFormat="1" ht="15" x14ac:dyDescent="0.25">
      <c r="A87" s="5462"/>
      <c r="B87" s="5462"/>
      <c r="C87" s="5464"/>
      <c r="D87" s="1148" t="s">
        <v>57</v>
      </c>
      <c r="E87" s="1167"/>
      <c r="F87" s="1164"/>
      <c r="G87" s="1164">
        <v>17</v>
      </c>
      <c r="H87" s="1165">
        <v>17</v>
      </c>
      <c r="I87" s="1167"/>
      <c r="J87" s="1164"/>
      <c r="K87" s="1164">
        <v>22</v>
      </c>
      <c r="L87" s="1165">
        <v>22</v>
      </c>
      <c r="M87" s="1167"/>
      <c r="N87" s="1164"/>
      <c r="O87" s="1164">
        <v>15</v>
      </c>
      <c r="P87" s="1165">
        <v>15</v>
      </c>
      <c r="Q87" s="1167"/>
      <c r="R87" s="1164"/>
      <c r="S87" s="1164">
        <v>13</v>
      </c>
      <c r="T87" s="1165">
        <v>13</v>
      </c>
      <c r="U87" s="1167"/>
      <c r="V87" s="1164"/>
      <c r="W87" s="1164">
        <v>17</v>
      </c>
      <c r="X87" s="1165">
        <f t="shared" si="53"/>
        <v>17</v>
      </c>
      <c r="Y87" s="1166"/>
      <c r="Z87" s="1166"/>
      <c r="AA87" s="1166">
        <v>15</v>
      </c>
      <c r="AB87" s="1165">
        <f>SUM(Y87:AA87)</f>
        <v>15</v>
      </c>
      <c r="AC87" s="1166"/>
      <c r="AD87" s="1166"/>
      <c r="AE87" s="1166">
        <v>8</v>
      </c>
      <c r="AF87" s="1165">
        <f>SUM(AC87:AE87)</f>
        <v>8</v>
      </c>
      <c r="AG87" s="1166"/>
      <c r="AH87" s="1166"/>
      <c r="AI87" s="1166"/>
      <c r="AJ87" s="1165"/>
      <c r="AK87" s="1166"/>
      <c r="AL87" s="1166">
        <v>17</v>
      </c>
      <c r="AM87" s="1166"/>
      <c r="AN87" s="1165">
        <f>SUM(AK87:AM87)</f>
        <v>17</v>
      </c>
      <c r="AO87" s="1166"/>
      <c r="AP87" s="1166"/>
      <c r="AQ87" s="1166">
        <v>10</v>
      </c>
      <c r="AR87" s="1151">
        <f t="shared" si="54"/>
        <v>10</v>
      </c>
      <c r="AS87" s="1166" t="s">
        <v>227</v>
      </c>
      <c r="AT87" s="1166" t="s">
        <v>227</v>
      </c>
      <c r="AU87" s="1166">
        <v>6</v>
      </c>
      <c r="AV87" s="1151">
        <f t="shared" si="55"/>
        <v>6</v>
      </c>
      <c r="AW87" s="1166"/>
      <c r="AX87" s="1166"/>
      <c r="AY87" s="1166">
        <v>7</v>
      </c>
      <c r="AZ87" s="1151">
        <f t="shared" si="56"/>
        <v>7</v>
      </c>
      <c r="BA87" s="1166"/>
      <c r="BB87" s="1166"/>
      <c r="BC87" s="1166">
        <v>11</v>
      </c>
      <c r="BD87" s="1151">
        <f>BA87+BB87+BC87</f>
        <v>11</v>
      </c>
      <c r="BE87" s="1166"/>
      <c r="BF87" s="1166"/>
      <c r="BG87" s="1166">
        <v>11</v>
      </c>
      <c r="BH87" s="1151">
        <f>BE87+BF87+BG87</f>
        <v>11</v>
      </c>
      <c r="BI87" s="1166"/>
      <c r="BJ87" s="1166"/>
      <c r="BK87" s="1166">
        <v>8</v>
      </c>
      <c r="BL87" s="1151">
        <f t="shared" si="57"/>
        <v>8</v>
      </c>
      <c r="BM87" s="1166"/>
      <c r="BN87" s="1166"/>
      <c r="BO87" s="1166">
        <v>3</v>
      </c>
      <c r="BP87" s="1151">
        <f t="shared" si="58"/>
        <v>3</v>
      </c>
      <c r="BQ87" s="1166"/>
      <c r="BR87" s="1166"/>
      <c r="BS87" s="1166"/>
      <c r="BT87" s="1151">
        <f t="shared" si="59"/>
        <v>0</v>
      </c>
    </row>
    <row r="88" spans="1:72" s="212" customFormat="1" ht="15" x14ac:dyDescent="0.25">
      <c r="A88" s="5462"/>
      <c r="B88" s="5462"/>
      <c r="C88" s="5461" t="s">
        <v>527</v>
      </c>
      <c r="D88" s="1152" t="s">
        <v>384</v>
      </c>
      <c r="E88" s="1167"/>
      <c r="F88" s="1164"/>
      <c r="G88" s="1164">
        <v>20</v>
      </c>
      <c r="H88" s="1165">
        <v>20</v>
      </c>
      <c r="I88" s="1167"/>
      <c r="J88" s="1164"/>
      <c r="K88" s="1164">
        <v>20</v>
      </c>
      <c r="L88" s="1165">
        <v>20</v>
      </c>
      <c r="M88" s="1167"/>
      <c r="N88" s="1164"/>
      <c r="O88" s="1164">
        <v>28</v>
      </c>
      <c r="P88" s="1165">
        <v>28</v>
      </c>
      <c r="Q88" s="1167"/>
      <c r="R88" s="1164"/>
      <c r="S88" s="1164">
        <v>35</v>
      </c>
      <c r="T88" s="1165">
        <v>35</v>
      </c>
      <c r="U88" s="1167"/>
      <c r="V88" s="1164"/>
      <c r="W88" s="1164">
        <v>23</v>
      </c>
      <c r="X88" s="1165">
        <f t="shared" si="53"/>
        <v>23</v>
      </c>
      <c r="Y88" s="1166"/>
      <c r="Z88" s="1166"/>
      <c r="AA88" s="1166">
        <v>3</v>
      </c>
      <c r="AB88" s="1165">
        <f t="shared" si="38"/>
        <v>3</v>
      </c>
      <c r="AC88" s="1166"/>
      <c r="AD88" s="1166"/>
      <c r="AE88" s="1166">
        <v>14</v>
      </c>
      <c r="AF88" s="1165">
        <f t="shared" si="41"/>
        <v>14</v>
      </c>
      <c r="AG88" s="1166"/>
      <c r="AH88" s="1166"/>
      <c r="AI88" s="1166">
        <v>20</v>
      </c>
      <c r="AJ88" s="1165">
        <f t="shared" si="39"/>
        <v>20</v>
      </c>
      <c r="AK88" s="1166"/>
      <c r="AL88" s="1166"/>
      <c r="AM88" s="1166">
        <v>27</v>
      </c>
      <c r="AN88" s="1165">
        <f t="shared" si="40"/>
        <v>27</v>
      </c>
      <c r="AO88" s="1166"/>
      <c r="AP88" s="1166"/>
      <c r="AQ88" s="1166">
        <v>16</v>
      </c>
      <c r="AR88" s="1151">
        <f t="shared" si="54"/>
        <v>16</v>
      </c>
      <c r="AS88" s="1166" t="s">
        <v>227</v>
      </c>
      <c r="AT88" s="1166" t="s">
        <v>227</v>
      </c>
      <c r="AU88" s="1166">
        <v>22</v>
      </c>
      <c r="AV88" s="1151">
        <f t="shared" si="55"/>
        <v>22</v>
      </c>
      <c r="AW88" s="1166"/>
      <c r="AX88" s="1166"/>
      <c r="AY88" s="1166">
        <v>15</v>
      </c>
      <c r="AZ88" s="1151">
        <f t="shared" si="56"/>
        <v>15</v>
      </c>
      <c r="BA88" s="1166"/>
      <c r="BB88" s="1166"/>
      <c r="BC88" s="1166">
        <v>24</v>
      </c>
      <c r="BD88" s="1151">
        <f t="shared" si="48"/>
        <v>24</v>
      </c>
      <c r="BE88" s="1166"/>
      <c r="BF88" s="1166"/>
      <c r="BG88" s="1166">
        <v>16</v>
      </c>
      <c r="BH88" s="1151">
        <f t="shared" si="49"/>
        <v>16</v>
      </c>
      <c r="BI88" s="1166"/>
      <c r="BJ88" s="1166"/>
      <c r="BK88" s="1166">
        <v>27</v>
      </c>
      <c r="BL88" s="1151">
        <f t="shared" si="57"/>
        <v>27</v>
      </c>
      <c r="BM88" s="1166"/>
      <c r="BN88" s="1166"/>
      <c r="BO88" s="1166">
        <v>19</v>
      </c>
      <c r="BP88" s="1151">
        <f t="shared" si="58"/>
        <v>19</v>
      </c>
      <c r="BQ88" s="1166"/>
      <c r="BR88" s="1166"/>
      <c r="BS88" s="1166">
        <v>15</v>
      </c>
      <c r="BT88" s="1151">
        <f t="shared" si="59"/>
        <v>15</v>
      </c>
    </row>
    <row r="89" spans="1:72" s="212" customFormat="1" ht="15" x14ac:dyDescent="0.25">
      <c r="A89" s="5462"/>
      <c r="B89" s="5462"/>
      <c r="C89" s="5462"/>
      <c r="D89" s="1152" t="s">
        <v>387</v>
      </c>
      <c r="E89" s="1167">
        <v>14</v>
      </c>
      <c r="F89" s="1164"/>
      <c r="G89" s="1164"/>
      <c r="H89" s="1165">
        <v>14</v>
      </c>
      <c r="I89" s="1167">
        <v>20</v>
      </c>
      <c r="J89" s="1164"/>
      <c r="K89" s="1164"/>
      <c r="L89" s="1165">
        <v>20</v>
      </c>
      <c r="M89" s="1167">
        <v>15</v>
      </c>
      <c r="N89" s="1164"/>
      <c r="O89" s="1164"/>
      <c r="P89" s="1165">
        <v>15</v>
      </c>
      <c r="Q89" s="1167">
        <v>12</v>
      </c>
      <c r="R89" s="1164"/>
      <c r="S89" s="1164">
        <v>1</v>
      </c>
      <c r="T89" s="1165">
        <v>13</v>
      </c>
      <c r="U89" s="1167">
        <v>6</v>
      </c>
      <c r="V89" s="1164"/>
      <c r="W89" s="1164"/>
      <c r="X89" s="1165">
        <f t="shared" si="53"/>
        <v>6</v>
      </c>
      <c r="Y89" s="1166">
        <v>6</v>
      </c>
      <c r="Z89" s="1166"/>
      <c r="AA89" s="1166"/>
      <c r="AB89" s="1165">
        <f>SUM(Y89:AA89)</f>
        <v>6</v>
      </c>
      <c r="AC89" s="1166">
        <v>4</v>
      </c>
      <c r="AD89" s="1166"/>
      <c r="AE89" s="1166">
        <v>6</v>
      </c>
      <c r="AF89" s="1165">
        <f>SUM(AC89:AE89)</f>
        <v>10</v>
      </c>
      <c r="AG89" s="1166"/>
      <c r="AH89" s="1166"/>
      <c r="AI89" s="1166">
        <v>7</v>
      </c>
      <c r="AJ89" s="1165">
        <f>SUM(AG89:AI89)</f>
        <v>7</v>
      </c>
      <c r="AK89" s="1166"/>
      <c r="AL89" s="1166"/>
      <c r="AM89" s="1166">
        <v>17</v>
      </c>
      <c r="AN89" s="1165">
        <f>SUM(AK89:AM89)</f>
        <v>17</v>
      </c>
      <c r="AO89" s="1166"/>
      <c r="AP89" s="1166"/>
      <c r="AQ89" s="1166">
        <v>14</v>
      </c>
      <c r="AR89" s="1151">
        <f t="shared" si="54"/>
        <v>14</v>
      </c>
      <c r="AS89" s="1166" t="s">
        <v>227</v>
      </c>
      <c r="AT89" s="1166" t="s">
        <v>227</v>
      </c>
      <c r="AU89" s="1166">
        <v>23</v>
      </c>
      <c r="AV89" s="1151">
        <f t="shared" si="55"/>
        <v>23</v>
      </c>
      <c r="AW89" s="1166"/>
      <c r="AX89" s="1166"/>
      <c r="AY89" s="1166">
        <v>19</v>
      </c>
      <c r="AZ89" s="1151">
        <f t="shared" si="56"/>
        <v>19</v>
      </c>
      <c r="BA89" s="1166"/>
      <c r="BB89" s="1166"/>
      <c r="BC89" s="1166">
        <v>18</v>
      </c>
      <c r="BD89" s="1151">
        <f>BA89+BB89+BC89</f>
        <v>18</v>
      </c>
      <c r="BE89" s="1166"/>
      <c r="BF89" s="1166"/>
      <c r="BG89" s="1166">
        <v>19</v>
      </c>
      <c r="BH89" s="1151">
        <f>BE89+BF89+BG89</f>
        <v>19</v>
      </c>
      <c r="BI89" s="1166"/>
      <c r="BJ89" s="1166"/>
      <c r="BK89" s="1166">
        <v>17</v>
      </c>
      <c r="BL89" s="1151">
        <f t="shared" si="57"/>
        <v>17</v>
      </c>
      <c r="BM89" s="1166"/>
      <c r="BN89" s="1166"/>
      <c r="BO89" s="1166">
        <v>17</v>
      </c>
      <c r="BP89" s="1151">
        <f t="shared" si="58"/>
        <v>17</v>
      </c>
      <c r="BQ89" s="1166"/>
      <c r="BR89" s="1166"/>
      <c r="BS89" s="1166">
        <v>14</v>
      </c>
      <c r="BT89" s="1151">
        <f t="shared" si="59"/>
        <v>14</v>
      </c>
    </row>
    <row r="90" spans="1:72" s="212" customFormat="1" ht="15" x14ac:dyDescent="0.25">
      <c r="A90" s="5462"/>
      <c r="B90" s="5462"/>
      <c r="C90" s="5462"/>
      <c r="D90" s="1148" t="s">
        <v>386</v>
      </c>
      <c r="E90" s="1167">
        <v>7</v>
      </c>
      <c r="F90" s="1164"/>
      <c r="G90" s="1164"/>
      <c r="H90" s="1165">
        <v>7</v>
      </c>
      <c r="I90" s="1167">
        <v>12</v>
      </c>
      <c r="J90" s="1164"/>
      <c r="K90" s="1164"/>
      <c r="L90" s="1165">
        <v>12</v>
      </c>
      <c r="M90" s="1167">
        <v>1</v>
      </c>
      <c r="N90" s="1164"/>
      <c r="O90" s="1164"/>
      <c r="P90" s="1165">
        <v>1</v>
      </c>
      <c r="Q90" s="1167"/>
      <c r="R90" s="1164"/>
      <c r="S90" s="1164"/>
      <c r="T90" s="1165"/>
      <c r="U90" s="1167"/>
      <c r="V90" s="1164"/>
      <c r="W90" s="1164"/>
      <c r="X90" s="1165"/>
      <c r="Y90" s="1166"/>
      <c r="Z90" s="1166"/>
      <c r="AA90" s="1166"/>
      <c r="AB90" s="1165"/>
      <c r="AC90" s="1166"/>
      <c r="AD90" s="1166"/>
      <c r="AE90" s="1166">
        <v>0</v>
      </c>
      <c r="AF90" s="1165"/>
      <c r="AG90" s="1166"/>
      <c r="AH90" s="1166"/>
      <c r="AI90" s="1166"/>
      <c r="AJ90" s="1165"/>
      <c r="AK90" s="1166"/>
      <c r="AL90" s="1166"/>
      <c r="AM90" s="1166"/>
      <c r="AN90" s="1165"/>
      <c r="AO90" s="1166"/>
      <c r="AP90" s="1166"/>
      <c r="AQ90" s="1166"/>
      <c r="AR90" s="1151"/>
      <c r="AS90" s="1166"/>
      <c r="AT90" s="1166"/>
      <c r="AU90" s="1166"/>
      <c r="AV90" s="1151">
        <f>SUM(AS90:AU90)</f>
        <v>0</v>
      </c>
      <c r="AW90" s="1166"/>
      <c r="AX90" s="1166"/>
      <c r="AY90" s="1166"/>
      <c r="AZ90" s="1151"/>
      <c r="BA90" s="1166"/>
      <c r="BB90" s="1166"/>
      <c r="BC90" s="1166"/>
      <c r="BD90" s="1151"/>
      <c r="BE90" s="1166">
        <v>8</v>
      </c>
      <c r="BF90" s="1166"/>
      <c r="BG90" s="1166">
        <v>8</v>
      </c>
      <c r="BH90" s="1151">
        <f>BE90+BF90+BG90</f>
        <v>16</v>
      </c>
      <c r="BI90" s="1166"/>
      <c r="BJ90" s="1166"/>
      <c r="BK90" s="1166">
        <v>10</v>
      </c>
      <c r="BL90" s="1151">
        <f>BI90+BJ90+BK90</f>
        <v>10</v>
      </c>
      <c r="BM90" s="1166"/>
      <c r="BN90" s="1166"/>
      <c r="BO90" s="1166">
        <v>15</v>
      </c>
      <c r="BP90" s="1151">
        <f>BM90+BN90+BO90</f>
        <v>15</v>
      </c>
      <c r="BQ90" s="1166"/>
      <c r="BR90" s="1166"/>
      <c r="BS90" s="1166">
        <v>14</v>
      </c>
      <c r="BT90" s="1151">
        <f>BQ90+BR90+BS90</f>
        <v>14</v>
      </c>
    </row>
    <row r="91" spans="1:72" s="212" customFormat="1" ht="15" x14ac:dyDescent="0.25">
      <c r="A91" s="5462"/>
      <c r="B91" s="5462"/>
      <c r="C91" s="5464"/>
      <c r="D91" s="1148" t="s">
        <v>87</v>
      </c>
      <c r="E91" s="1167"/>
      <c r="F91" s="1164"/>
      <c r="G91" s="1164"/>
      <c r="H91" s="1165"/>
      <c r="I91" s="1167"/>
      <c r="J91" s="1164"/>
      <c r="K91" s="1164"/>
      <c r="L91" s="1165"/>
      <c r="M91" s="1167"/>
      <c r="N91" s="1164"/>
      <c r="O91" s="1164">
        <v>23</v>
      </c>
      <c r="P91" s="1165">
        <v>23</v>
      </c>
      <c r="Q91" s="1167"/>
      <c r="R91" s="1164"/>
      <c r="S91" s="1164">
        <v>25</v>
      </c>
      <c r="T91" s="1165">
        <v>25</v>
      </c>
      <c r="U91" s="1167"/>
      <c r="V91" s="1164"/>
      <c r="W91" s="1164">
        <v>8</v>
      </c>
      <c r="X91" s="1165">
        <f t="shared" si="53"/>
        <v>8</v>
      </c>
      <c r="Y91" s="1166"/>
      <c r="Z91" s="1166"/>
      <c r="AA91" s="1166">
        <v>9</v>
      </c>
      <c r="AB91" s="1165">
        <f>SUM(Y91:AA91)</f>
        <v>9</v>
      </c>
      <c r="AC91" s="1166"/>
      <c r="AD91" s="1166"/>
      <c r="AE91" s="1166">
        <v>9</v>
      </c>
      <c r="AF91" s="1165">
        <f>SUM(AC91:AE91)</f>
        <v>9</v>
      </c>
      <c r="AG91" s="1166"/>
      <c r="AH91" s="1166"/>
      <c r="AI91" s="1166">
        <v>9</v>
      </c>
      <c r="AJ91" s="1165">
        <f>SUM(AG91:AI91)</f>
        <v>9</v>
      </c>
      <c r="AK91" s="1166"/>
      <c r="AL91" s="1166"/>
      <c r="AM91" s="1166">
        <v>12</v>
      </c>
      <c r="AN91" s="1165">
        <f>SUM(AK91:AM91)</f>
        <v>12</v>
      </c>
      <c r="AO91" s="1166"/>
      <c r="AP91" s="1166"/>
      <c r="AQ91" s="1166">
        <v>22</v>
      </c>
      <c r="AR91" s="1151">
        <f t="shared" si="54"/>
        <v>22</v>
      </c>
      <c r="AS91" s="1166" t="s">
        <v>227</v>
      </c>
      <c r="AT91" s="1166" t="s">
        <v>227</v>
      </c>
      <c r="AU91" s="1166">
        <v>12</v>
      </c>
      <c r="AV91" s="1151">
        <f t="shared" si="55"/>
        <v>12</v>
      </c>
      <c r="AW91" s="1166"/>
      <c r="AX91" s="1166"/>
      <c r="AY91" s="1166">
        <v>12</v>
      </c>
      <c r="AZ91" s="1151">
        <f t="shared" si="56"/>
        <v>12</v>
      </c>
      <c r="BA91" s="1166"/>
      <c r="BB91" s="1166"/>
      <c r="BC91" s="1166">
        <v>27</v>
      </c>
      <c r="BD91" s="1151">
        <f>BA91+BB91+BC91</f>
        <v>27</v>
      </c>
      <c r="BE91" s="1166"/>
      <c r="BF91" s="1166"/>
      <c r="BG91" s="1166">
        <v>11</v>
      </c>
      <c r="BH91" s="1151">
        <f>BE91+BF91+BG91</f>
        <v>11</v>
      </c>
      <c r="BI91" s="1166"/>
      <c r="BJ91" s="1166"/>
      <c r="BK91" s="1166">
        <v>24</v>
      </c>
      <c r="BL91" s="1151">
        <f t="shared" si="57"/>
        <v>24</v>
      </c>
      <c r="BM91" s="1166"/>
      <c r="BN91" s="1166"/>
      <c r="BO91" s="1166">
        <v>18</v>
      </c>
      <c r="BP91" s="1151">
        <f t="shared" si="58"/>
        <v>18</v>
      </c>
      <c r="BQ91" s="1166"/>
      <c r="BR91" s="1166"/>
      <c r="BS91" s="1166">
        <v>23</v>
      </c>
      <c r="BT91" s="1151">
        <f t="shared" ref="BT91:BT94" si="60">BQ91+BR91+BS91</f>
        <v>23</v>
      </c>
    </row>
    <row r="92" spans="1:72" s="212" customFormat="1" ht="15" x14ac:dyDescent="0.25">
      <c r="A92" s="5462"/>
      <c r="B92" s="5462"/>
      <c r="C92" s="5461" t="s">
        <v>526</v>
      </c>
      <c r="D92" s="1152" t="s">
        <v>385</v>
      </c>
      <c r="E92" s="1167">
        <v>4</v>
      </c>
      <c r="F92" s="1164"/>
      <c r="G92" s="1164">
        <v>1</v>
      </c>
      <c r="H92" s="1165">
        <v>5</v>
      </c>
      <c r="I92" s="1167">
        <v>7</v>
      </c>
      <c r="J92" s="1164">
        <v>2</v>
      </c>
      <c r="K92" s="1164">
        <v>6</v>
      </c>
      <c r="L92" s="1165">
        <v>15</v>
      </c>
      <c r="M92" s="1167">
        <v>3</v>
      </c>
      <c r="N92" s="1164">
        <v>2</v>
      </c>
      <c r="O92" s="1164">
        <v>3</v>
      </c>
      <c r="P92" s="1165">
        <v>8</v>
      </c>
      <c r="Q92" s="1167">
        <v>5</v>
      </c>
      <c r="R92" s="1164">
        <v>1</v>
      </c>
      <c r="S92" s="1164">
        <v>8</v>
      </c>
      <c r="T92" s="1165">
        <v>14</v>
      </c>
      <c r="U92" s="1167">
        <v>1</v>
      </c>
      <c r="V92" s="1164"/>
      <c r="W92" s="1164">
        <v>3</v>
      </c>
      <c r="X92" s="1165">
        <f t="shared" si="53"/>
        <v>4</v>
      </c>
      <c r="Y92" s="1166">
        <v>4</v>
      </c>
      <c r="Z92" s="1166"/>
      <c r="AA92" s="1166">
        <v>17</v>
      </c>
      <c r="AB92" s="1165">
        <f t="shared" si="38"/>
        <v>21</v>
      </c>
      <c r="AC92" s="1166">
        <v>11</v>
      </c>
      <c r="AD92" s="1166"/>
      <c r="AE92" s="1166">
        <v>8</v>
      </c>
      <c r="AF92" s="1165">
        <f t="shared" si="41"/>
        <v>19</v>
      </c>
      <c r="AG92" s="1166">
        <v>9</v>
      </c>
      <c r="AH92" s="1166"/>
      <c r="AI92" s="1166">
        <v>6</v>
      </c>
      <c r="AJ92" s="1165">
        <f t="shared" si="39"/>
        <v>15</v>
      </c>
      <c r="AK92" s="1166">
        <v>3</v>
      </c>
      <c r="AL92" s="1166"/>
      <c r="AM92" s="1166">
        <v>1</v>
      </c>
      <c r="AN92" s="1165">
        <f t="shared" si="40"/>
        <v>4</v>
      </c>
      <c r="AO92" s="1166">
        <v>2</v>
      </c>
      <c r="AP92" s="1166"/>
      <c r="AQ92" s="1166">
        <v>7</v>
      </c>
      <c r="AR92" s="1151">
        <f t="shared" si="54"/>
        <v>9</v>
      </c>
      <c r="AS92" s="1166">
        <v>6</v>
      </c>
      <c r="AT92" s="1166" t="s">
        <v>227</v>
      </c>
      <c r="AU92" s="1166">
        <v>2</v>
      </c>
      <c r="AV92" s="1151">
        <f t="shared" si="55"/>
        <v>8</v>
      </c>
      <c r="AW92" s="1166">
        <v>17</v>
      </c>
      <c r="AX92" s="1166"/>
      <c r="AY92" s="1166">
        <v>9</v>
      </c>
      <c r="AZ92" s="1151">
        <f t="shared" si="56"/>
        <v>26</v>
      </c>
      <c r="BA92" s="1166">
        <v>3</v>
      </c>
      <c r="BB92" s="1166"/>
      <c r="BC92" s="1166">
        <v>21</v>
      </c>
      <c r="BD92" s="1151">
        <f t="shared" si="48"/>
        <v>24</v>
      </c>
      <c r="BE92" s="1166">
        <v>6</v>
      </c>
      <c r="BF92" s="1166"/>
      <c r="BG92" s="1166">
        <v>17</v>
      </c>
      <c r="BH92" s="1151">
        <f t="shared" si="49"/>
        <v>23</v>
      </c>
      <c r="BI92" s="1166">
        <v>6</v>
      </c>
      <c r="BJ92" s="1166"/>
      <c r="BK92" s="1166">
        <v>12</v>
      </c>
      <c r="BL92" s="1151">
        <f t="shared" si="57"/>
        <v>18</v>
      </c>
      <c r="BM92" s="1166">
        <v>11</v>
      </c>
      <c r="BN92" s="1166"/>
      <c r="BO92" s="1166">
        <v>9</v>
      </c>
      <c r="BP92" s="1151">
        <f t="shared" si="58"/>
        <v>20</v>
      </c>
      <c r="BQ92" s="1166">
        <v>7</v>
      </c>
      <c r="BR92" s="1166"/>
      <c r="BS92" s="1166">
        <v>19</v>
      </c>
      <c r="BT92" s="1151">
        <f t="shared" si="60"/>
        <v>26</v>
      </c>
    </row>
    <row r="93" spans="1:72" s="212" customFormat="1" ht="15" x14ac:dyDescent="0.25">
      <c r="A93" s="5462"/>
      <c r="B93" s="5462"/>
      <c r="C93" s="5462"/>
      <c r="D93" s="1152" t="s">
        <v>388</v>
      </c>
      <c r="E93" s="1167"/>
      <c r="F93" s="1164"/>
      <c r="G93" s="1164"/>
      <c r="H93" s="1165"/>
      <c r="I93" s="1167"/>
      <c r="J93" s="1164"/>
      <c r="K93" s="1164"/>
      <c r="L93" s="1165"/>
      <c r="M93" s="1167"/>
      <c r="N93" s="1164"/>
      <c r="O93" s="1164">
        <v>4</v>
      </c>
      <c r="P93" s="1165">
        <v>4</v>
      </c>
      <c r="Q93" s="1167">
        <v>5</v>
      </c>
      <c r="R93" s="1164"/>
      <c r="S93" s="1164"/>
      <c r="T93" s="1165">
        <v>5</v>
      </c>
      <c r="U93" s="1167">
        <v>11</v>
      </c>
      <c r="V93" s="1164"/>
      <c r="W93" s="1164"/>
      <c r="X93" s="1165">
        <f>SUM(U93:W93)</f>
        <v>11</v>
      </c>
      <c r="Y93" s="1166">
        <v>5</v>
      </c>
      <c r="Z93" s="1166"/>
      <c r="AA93" s="1166"/>
      <c r="AB93" s="1165">
        <f>SUM(Y93:AA93)</f>
        <v>5</v>
      </c>
      <c r="AC93" s="1166">
        <v>9</v>
      </c>
      <c r="AD93" s="1166"/>
      <c r="AE93" s="1166">
        <v>3</v>
      </c>
      <c r="AF93" s="1165">
        <f>SUM(AC93:AE93)</f>
        <v>12</v>
      </c>
      <c r="AG93" s="1166"/>
      <c r="AH93" s="1166"/>
      <c r="AI93" s="1166">
        <v>1</v>
      </c>
      <c r="AJ93" s="1165">
        <f>SUM(AG93:AI93)</f>
        <v>1</v>
      </c>
      <c r="AK93" s="1166">
        <v>5</v>
      </c>
      <c r="AL93" s="1166"/>
      <c r="AM93" s="1166">
        <v>1</v>
      </c>
      <c r="AN93" s="1165">
        <f>SUM(AK93:AM93)</f>
        <v>6</v>
      </c>
      <c r="AO93" s="1166">
        <v>3</v>
      </c>
      <c r="AP93" s="1166"/>
      <c r="AQ93" s="1166">
        <v>3</v>
      </c>
      <c r="AR93" s="1151">
        <f>SUM(AO93:AQ93)</f>
        <v>6</v>
      </c>
      <c r="AS93" s="1166">
        <v>5</v>
      </c>
      <c r="AT93" s="1166" t="s">
        <v>227</v>
      </c>
      <c r="AU93" s="1166">
        <v>3</v>
      </c>
      <c r="AV93" s="1151">
        <f t="shared" si="55"/>
        <v>8</v>
      </c>
      <c r="AW93" s="1166">
        <v>2</v>
      </c>
      <c r="AX93" s="1166"/>
      <c r="AY93" s="1166">
        <v>6</v>
      </c>
      <c r="AZ93" s="1151">
        <f>AW93+AX93+AY93</f>
        <v>8</v>
      </c>
      <c r="BA93" s="1166">
        <v>4</v>
      </c>
      <c r="BB93" s="1166"/>
      <c r="BC93" s="1166">
        <v>8</v>
      </c>
      <c r="BD93" s="1151">
        <f>BA93+BB93+BC93</f>
        <v>12</v>
      </c>
      <c r="BE93" s="1166">
        <v>9</v>
      </c>
      <c r="BF93" s="1166"/>
      <c r="BG93" s="1166">
        <v>4</v>
      </c>
      <c r="BH93" s="1151">
        <f>BE93+BF93+BG93</f>
        <v>13</v>
      </c>
      <c r="BI93" s="1166">
        <v>10</v>
      </c>
      <c r="BJ93" s="1166"/>
      <c r="BK93" s="1166">
        <v>4</v>
      </c>
      <c r="BL93" s="1151">
        <f t="shared" si="57"/>
        <v>14</v>
      </c>
      <c r="BM93" s="1166">
        <v>6</v>
      </c>
      <c r="BN93" s="1166"/>
      <c r="BO93" s="1166">
        <v>7</v>
      </c>
      <c r="BP93" s="1151">
        <f t="shared" si="58"/>
        <v>13</v>
      </c>
      <c r="BQ93" s="1166">
        <v>4</v>
      </c>
      <c r="BR93" s="1166"/>
      <c r="BS93" s="1166">
        <v>5</v>
      </c>
      <c r="BT93" s="1151">
        <f t="shared" si="60"/>
        <v>9</v>
      </c>
    </row>
    <row r="94" spans="1:72" s="212" customFormat="1" ht="15" x14ac:dyDescent="0.25">
      <c r="A94" s="5462"/>
      <c r="B94" s="5462"/>
      <c r="C94" s="5462"/>
      <c r="D94" s="1152" t="s">
        <v>361</v>
      </c>
      <c r="E94" s="1149"/>
      <c r="F94" s="1150"/>
      <c r="G94" s="1150">
        <v>22</v>
      </c>
      <c r="H94" s="1151">
        <v>22</v>
      </c>
      <c r="I94" s="1149"/>
      <c r="J94" s="1150"/>
      <c r="K94" s="1150">
        <v>10</v>
      </c>
      <c r="L94" s="1151">
        <v>10</v>
      </c>
      <c r="M94" s="1149"/>
      <c r="N94" s="1150"/>
      <c r="O94" s="1150">
        <v>13</v>
      </c>
      <c r="P94" s="1151">
        <v>13</v>
      </c>
      <c r="Q94" s="1149">
        <v>5</v>
      </c>
      <c r="R94" s="1150"/>
      <c r="S94" s="1150">
        <v>11</v>
      </c>
      <c r="T94" s="1151">
        <v>16</v>
      </c>
      <c r="U94" s="1149">
        <v>4</v>
      </c>
      <c r="V94" s="1150"/>
      <c r="W94" s="1150">
        <v>4</v>
      </c>
      <c r="X94" s="1151">
        <f>SUM(U94:W94)</f>
        <v>8</v>
      </c>
      <c r="Y94" s="1150">
        <v>7</v>
      </c>
      <c r="Z94" s="1150"/>
      <c r="AA94" s="1150">
        <v>5</v>
      </c>
      <c r="AB94" s="1151">
        <f>SUM(Y94:AA94)</f>
        <v>12</v>
      </c>
      <c r="AC94" s="1150">
        <v>11</v>
      </c>
      <c r="AD94" s="1150"/>
      <c r="AE94" s="1150">
        <v>2</v>
      </c>
      <c r="AF94" s="1151">
        <f>SUM(AC94:AE94)</f>
        <v>13</v>
      </c>
      <c r="AG94" s="1150">
        <v>3</v>
      </c>
      <c r="AH94" s="1150"/>
      <c r="AI94" s="1150">
        <v>1</v>
      </c>
      <c r="AJ94" s="1151">
        <f>SUM(AG94:AI94)</f>
        <v>4</v>
      </c>
      <c r="AK94" s="1150">
        <v>2</v>
      </c>
      <c r="AL94" s="1150"/>
      <c r="AM94" s="1150">
        <v>5</v>
      </c>
      <c r="AN94" s="1151">
        <f>SUM(AK94:AM94)</f>
        <v>7</v>
      </c>
      <c r="AO94" s="1150">
        <v>3</v>
      </c>
      <c r="AP94" s="1150"/>
      <c r="AQ94" s="1150">
        <v>10</v>
      </c>
      <c r="AR94" s="1151">
        <f>SUM(AO94:AQ94)</f>
        <v>13</v>
      </c>
      <c r="AS94" s="1150" t="s">
        <v>227</v>
      </c>
      <c r="AT94" s="1150" t="s">
        <v>227</v>
      </c>
      <c r="AU94" s="1150">
        <v>11</v>
      </c>
      <c r="AV94" s="1151">
        <f t="shared" si="55"/>
        <v>11</v>
      </c>
      <c r="AW94" s="1150">
        <v>8</v>
      </c>
      <c r="AX94" s="1150"/>
      <c r="AY94" s="1150">
        <v>12</v>
      </c>
      <c r="AZ94" s="1151">
        <f>AW94+AX94+AY94</f>
        <v>20</v>
      </c>
      <c r="BA94" s="1150">
        <v>6</v>
      </c>
      <c r="BB94" s="1150"/>
      <c r="BC94" s="1150">
        <v>7</v>
      </c>
      <c r="BD94" s="1151">
        <f>BA94+BB94+BC94</f>
        <v>13</v>
      </c>
      <c r="BE94" s="1150">
        <v>9</v>
      </c>
      <c r="BF94" s="1150"/>
      <c r="BG94" s="1150">
        <v>11</v>
      </c>
      <c r="BH94" s="1151">
        <f>BE94+BF94+BG94</f>
        <v>20</v>
      </c>
      <c r="BI94" s="1150">
        <v>5</v>
      </c>
      <c r="BJ94" s="1150"/>
      <c r="BK94" s="1150">
        <v>9</v>
      </c>
      <c r="BL94" s="1151">
        <f t="shared" si="57"/>
        <v>14</v>
      </c>
      <c r="BM94" s="1150">
        <v>11</v>
      </c>
      <c r="BN94" s="1150"/>
      <c r="BO94" s="1150">
        <v>14</v>
      </c>
      <c r="BP94" s="1151">
        <f t="shared" si="58"/>
        <v>25</v>
      </c>
      <c r="BQ94" s="1150">
        <v>11</v>
      </c>
      <c r="BR94" s="1150"/>
      <c r="BS94" s="1150">
        <v>10</v>
      </c>
      <c r="BT94" s="1151">
        <f t="shared" si="60"/>
        <v>21</v>
      </c>
    </row>
    <row r="95" spans="1:72" s="212" customFormat="1" ht="15" x14ac:dyDescent="0.25">
      <c r="A95" s="5462"/>
      <c r="B95" s="5462"/>
      <c r="C95" s="1582"/>
      <c r="D95" s="1154" t="s">
        <v>451</v>
      </c>
      <c r="E95" s="1155">
        <f t="shared" ref="E95:AJ95" si="61">SUM(E86:E94)</f>
        <v>25</v>
      </c>
      <c r="F95" s="1156">
        <f t="shared" si="61"/>
        <v>0</v>
      </c>
      <c r="G95" s="1156">
        <f t="shared" si="61"/>
        <v>60</v>
      </c>
      <c r="H95" s="1185">
        <f t="shared" si="61"/>
        <v>85</v>
      </c>
      <c r="I95" s="1155">
        <f t="shared" si="61"/>
        <v>41</v>
      </c>
      <c r="J95" s="1156">
        <f t="shared" si="61"/>
        <v>2</v>
      </c>
      <c r="K95" s="1156">
        <f t="shared" si="61"/>
        <v>58</v>
      </c>
      <c r="L95" s="1185">
        <f t="shared" si="61"/>
        <v>101</v>
      </c>
      <c r="M95" s="1155">
        <f t="shared" si="61"/>
        <v>19</v>
      </c>
      <c r="N95" s="1156">
        <f t="shared" si="61"/>
        <v>3</v>
      </c>
      <c r="O95" s="1156">
        <f t="shared" si="61"/>
        <v>91</v>
      </c>
      <c r="P95" s="1185">
        <f t="shared" si="61"/>
        <v>113</v>
      </c>
      <c r="Q95" s="1155">
        <f t="shared" si="61"/>
        <v>27</v>
      </c>
      <c r="R95" s="1156">
        <f t="shared" si="61"/>
        <v>1</v>
      </c>
      <c r="S95" s="1156">
        <f t="shared" si="61"/>
        <v>102</v>
      </c>
      <c r="T95" s="1185">
        <f t="shared" si="61"/>
        <v>130</v>
      </c>
      <c r="U95" s="1155">
        <f t="shared" si="61"/>
        <v>23</v>
      </c>
      <c r="V95" s="1156">
        <f t="shared" si="61"/>
        <v>2</v>
      </c>
      <c r="W95" s="1156">
        <f t="shared" si="61"/>
        <v>58</v>
      </c>
      <c r="X95" s="1185">
        <f t="shared" si="61"/>
        <v>83</v>
      </c>
      <c r="Y95" s="1156">
        <f t="shared" si="61"/>
        <v>22</v>
      </c>
      <c r="Z95" s="1156">
        <f t="shared" si="61"/>
        <v>2</v>
      </c>
      <c r="AA95" s="1156">
        <f t="shared" si="61"/>
        <v>54</v>
      </c>
      <c r="AB95" s="1185">
        <f t="shared" si="61"/>
        <v>78</v>
      </c>
      <c r="AC95" s="1156">
        <f t="shared" si="61"/>
        <v>36</v>
      </c>
      <c r="AD95" s="1156">
        <f t="shared" si="61"/>
        <v>4</v>
      </c>
      <c r="AE95" s="1156">
        <f t="shared" si="61"/>
        <v>57</v>
      </c>
      <c r="AF95" s="1185">
        <f t="shared" si="61"/>
        <v>97</v>
      </c>
      <c r="AG95" s="1156">
        <f t="shared" si="61"/>
        <v>22</v>
      </c>
      <c r="AH95" s="1156">
        <f t="shared" si="61"/>
        <v>7</v>
      </c>
      <c r="AI95" s="1156">
        <f t="shared" si="61"/>
        <v>51</v>
      </c>
      <c r="AJ95" s="1185">
        <f t="shared" si="61"/>
        <v>80</v>
      </c>
      <c r="AK95" s="1156">
        <f t="shared" ref="AK95:BP95" si="62">SUM(AK86:AK94)</f>
        <v>16</v>
      </c>
      <c r="AL95" s="1156">
        <f t="shared" si="62"/>
        <v>19</v>
      </c>
      <c r="AM95" s="1156">
        <f t="shared" si="62"/>
        <v>77</v>
      </c>
      <c r="AN95" s="1185">
        <f t="shared" si="62"/>
        <v>112</v>
      </c>
      <c r="AO95" s="1156">
        <f t="shared" si="62"/>
        <v>9</v>
      </c>
      <c r="AP95" s="1156">
        <f t="shared" si="62"/>
        <v>7</v>
      </c>
      <c r="AQ95" s="1156">
        <f t="shared" si="62"/>
        <v>86</v>
      </c>
      <c r="AR95" s="1185">
        <f t="shared" si="62"/>
        <v>102</v>
      </c>
      <c r="AS95" s="1156">
        <f t="shared" si="62"/>
        <v>13</v>
      </c>
      <c r="AT95" s="1156">
        <f t="shared" si="62"/>
        <v>6</v>
      </c>
      <c r="AU95" s="1156">
        <f t="shared" si="62"/>
        <v>88</v>
      </c>
      <c r="AV95" s="1185">
        <f t="shared" si="62"/>
        <v>107</v>
      </c>
      <c r="AW95" s="1156">
        <f t="shared" si="62"/>
        <v>33</v>
      </c>
      <c r="AX95" s="1156">
        <f t="shared" si="62"/>
        <v>6</v>
      </c>
      <c r="AY95" s="1156">
        <f t="shared" si="62"/>
        <v>90</v>
      </c>
      <c r="AZ95" s="1185">
        <f t="shared" si="62"/>
        <v>129</v>
      </c>
      <c r="BA95" s="1156">
        <f t="shared" si="62"/>
        <v>20</v>
      </c>
      <c r="BB95" s="1156">
        <f t="shared" si="62"/>
        <v>5</v>
      </c>
      <c r="BC95" s="1156">
        <f t="shared" si="62"/>
        <v>128</v>
      </c>
      <c r="BD95" s="1185">
        <f t="shared" si="62"/>
        <v>153</v>
      </c>
      <c r="BE95" s="1156">
        <f t="shared" si="62"/>
        <v>41</v>
      </c>
      <c r="BF95" s="1156">
        <f t="shared" si="62"/>
        <v>11</v>
      </c>
      <c r="BG95" s="1156">
        <f t="shared" si="62"/>
        <v>102</v>
      </c>
      <c r="BH95" s="1185">
        <f t="shared" si="62"/>
        <v>154</v>
      </c>
      <c r="BI95" s="1156">
        <f t="shared" si="62"/>
        <v>25</v>
      </c>
      <c r="BJ95" s="1156">
        <f t="shared" si="62"/>
        <v>6</v>
      </c>
      <c r="BK95" s="1156">
        <f t="shared" si="62"/>
        <v>114</v>
      </c>
      <c r="BL95" s="1185">
        <f t="shared" si="62"/>
        <v>145</v>
      </c>
      <c r="BM95" s="1156">
        <f t="shared" si="62"/>
        <v>33</v>
      </c>
      <c r="BN95" s="1156">
        <f t="shared" si="62"/>
        <v>6</v>
      </c>
      <c r="BO95" s="1156">
        <f t="shared" si="62"/>
        <v>109</v>
      </c>
      <c r="BP95" s="1185">
        <f t="shared" si="62"/>
        <v>148</v>
      </c>
      <c r="BQ95" s="1156">
        <f t="shared" ref="BQ95:BT95" si="63">SUM(BQ86:BQ94)</f>
        <v>28</v>
      </c>
      <c r="BR95" s="1156">
        <f t="shared" si="63"/>
        <v>6</v>
      </c>
      <c r="BS95" s="1156">
        <f t="shared" si="63"/>
        <v>106</v>
      </c>
      <c r="BT95" s="1185">
        <f t="shared" si="63"/>
        <v>140</v>
      </c>
    </row>
    <row r="96" spans="1:72" s="212" customFormat="1" ht="15" x14ac:dyDescent="0.2">
      <c r="A96" s="5464"/>
      <c r="B96" s="2642"/>
      <c r="C96" s="2643"/>
      <c r="D96" s="2644" t="s">
        <v>450</v>
      </c>
      <c r="E96" s="2633">
        <f t="shared" ref="E96:AJ96" si="64">SUM(E95,E85,E73)</f>
        <v>62</v>
      </c>
      <c r="F96" s="2634">
        <f t="shared" si="64"/>
        <v>20</v>
      </c>
      <c r="G96" s="2634">
        <f t="shared" si="64"/>
        <v>245</v>
      </c>
      <c r="H96" s="2635">
        <f t="shared" si="64"/>
        <v>327</v>
      </c>
      <c r="I96" s="2633">
        <f t="shared" si="64"/>
        <v>130</v>
      </c>
      <c r="J96" s="2634">
        <f t="shared" si="64"/>
        <v>22</v>
      </c>
      <c r="K96" s="2634">
        <f t="shared" si="64"/>
        <v>352</v>
      </c>
      <c r="L96" s="2635">
        <f t="shared" si="64"/>
        <v>504</v>
      </c>
      <c r="M96" s="2633">
        <f t="shared" si="64"/>
        <v>111</v>
      </c>
      <c r="N96" s="2634">
        <f t="shared" si="64"/>
        <v>32</v>
      </c>
      <c r="O96" s="2634">
        <f t="shared" si="64"/>
        <v>224</v>
      </c>
      <c r="P96" s="2635">
        <f t="shared" si="64"/>
        <v>367</v>
      </c>
      <c r="Q96" s="2633">
        <f t="shared" si="64"/>
        <v>85</v>
      </c>
      <c r="R96" s="2634">
        <f t="shared" si="64"/>
        <v>27</v>
      </c>
      <c r="S96" s="2634">
        <f t="shared" si="64"/>
        <v>491</v>
      </c>
      <c r="T96" s="2635">
        <f t="shared" si="64"/>
        <v>603</v>
      </c>
      <c r="U96" s="2633">
        <f t="shared" si="64"/>
        <v>39</v>
      </c>
      <c r="V96" s="2634">
        <f t="shared" si="64"/>
        <v>15</v>
      </c>
      <c r="W96" s="2634">
        <f t="shared" si="64"/>
        <v>193</v>
      </c>
      <c r="X96" s="2635">
        <f t="shared" si="64"/>
        <v>247</v>
      </c>
      <c r="Y96" s="2634">
        <f t="shared" si="64"/>
        <v>42</v>
      </c>
      <c r="Z96" s="2634">
        <f t="shared" si="64"/>
        <v>52</v>
      </c>
      <c r="AA96" s="2634">
        <f t="shared" si="64"/>
        <v>223</v>
      </c>
      <c r="AB96" s="2635">
        <f t="shared" si="64"/>
        <v>317</v>
      </c>
      <c r="AC96" s="2634">
        <f t="shared" si="64"/>
        <v>150</v>
      </c>
      <c r="AD96" s="2634">
        <f t="shared" si="64"/>
        <v>29</v>
      </c>
      <c r="AE96" s="2634">
        <f t="shared" si="64"/>
        <v>154</v>
      </c>
      <c r="AF96" s="2635">
        <f t="shared" si="64"/>
        <v>333</v>
      </c>
      <c r="AG96" s="2634">
        <f t="shared" si="64"/>
        <v>141</v>
      </c>
      <c r="AH96" s="2634">
        <f t="shared" si="64"/>
        <v>23</v>
      </c>
      <c r="AI96" s="2634">
        <f t="shared" si="64"/>
        <v>156</v>
      </c>
      <c r="AJ96" s="2635">
        <f t="shared" si="64"/>
        <v>320</v>
      </c>
      <c r="AK96" s="2634">
        <f t="shared" ref="AK96:BP96" si="65">SUM(AK95,AK85,AK73)</f>
        <v>212</v>
      </c>
      <c r="AL96" s="2634">
        <f t="shared" si="65"/>
        <v>29</v>
      </c>
      <c r="AM96" s="2634">
        <f t="shared" si="65"/>
        <v>175</v>
      </c>
      <c r="AN96" s="2635">
        <f t="shared" si="65"/>
        <v>416</v>
      </c>
      <c r="AO96" s="2634">
        <f t="shared" si="65"/>
        <v>142</v>
      </c>
      <c r="AP96" s="2634">
        <f t="shared" si="65"/>
        <v>17</v>
      </c>
      <c r="AQ96" s="2634">
        <f t="shared" si="65"/>
        <v>355</v>
      </c>
      <c r="AR96" s="2635">
        <f t="shared" si="65"/>
        <v>514</v>
      </c>
      <c r="AS96" s="2634">
        <f t="shared" si="65"/>
        <v>44</v>
      </c>
      <c r="AT96" s="2634">
        <f t="shared" si="65"/>
        <v>128</v>
      </c>
      <c r="AU96" s="2634">
        <f t="shared" si="65"/>
        <v>230</v>
      </c>
      <c r="AV96" s="2635">
        <f t="shared" si="65"/>
        <v>402</v>
      </c>
      <c r="AW96" s="2634">
        <f t="shared" si="65"/>
        <v>78</v>
      </c>
      <c r="AX96" s="2634">
        <f t="shared" si="65"/>
        <v>15</v>
      </c>
      <c r="AY96" s="2634">
        <f t="shared" si="65"/>
        <v>436</v>
      </c>
      <c r="AZ96" s="2635">
        <f t="shared" si="65"/>
        <v>529</v>
      </c>
      <c r="BA96" s="2634">
        <f t="shared" si="65"/>
        <v>98</v>
      </c>
      <c r="BB96" s="2634">
        <f t="shared" si="65"/>
        <v>28</v>
      </c>
      <c r="BC96" s="2634">
        <f t="shared" si="65"/>
        <v>346</v>
      </c>
      <c r="BD96" s="2635">
        <f t="shared" si="65"/>
        <v>472</v>
      </c>
      <c r="BE96" s="2634">
        <f t="shared" si="65"/>
        <v>123</v>
      </c>
      <c r="BF96" s="2634">
        <f t="shared" si="65"/>
        <v>34</v>
      </c>
      <c r="BG96" s="2634">
        <f t="shared" si="65"/>
        <v>387</v>
      </c>
      <c r="BH96" s="2635">
        <f t="shared" si="65"/>
        <v>490</v>
      </c>
      <c r="BI96" s="2634">
        <f t="shared" si="65"/>
        <v>124</v>
      </c>
      <c r="BJ96" s="2634">
        <f t="shared" si="65"/>
        <v>24</v>
      </c>
      <c r="BK96" s="2634">
        <f t="shared" si="65"/>
        <v>256</v>
      </c>
      <c r="BL96" s="2635">
        <f t="shared" si="65"/>
        <v>404</v>
      </c>
      <c r="BM96" s="2634">
        <f t="shared" si="65"/>
        <v>98</v>
      </c>
      <c r="BN96" s="2634">
        <f t="shared" si="65"/>
        <v>36</v>
      </c>
      <c r="BO96" s="2634">
        <f t="shared" si="65"/>
        <v>374</v>
      </c>
      <c r="BP96" s="2635">
        <f t="shared" si="65"/>
        <v>508</v>
      </c>
      <c r="BQ96" s="2634">
        <f t="shared" ref="BQ96:BT96" si="66">SUM(BQ95,BQ85,BQ73)</f>
        <v>128</v>
      </c>
      <c r="BR96" s="2634">
        <f t="shared" si="66"/>
        <v>29</v>
      </c>
      <c r="BS96" s="2634">
        <f t="shared" si="66"/>
        <v>288</v>
      </c>
      <c r="BT96" s="2635">
        <f t="shared" si="66"/>
        <v>445</v>
      </c>
    </row>
    <row r="97" spans="1:72" s="212" customFormat="1" ht="15" x14ac:dyDescent="0.25">
      <c r="A97" s="5447" t="s">
        <v>448</v>
      </c>
      <c r="B97" s="5447" t="s">
        <v>6</v>
      </c>
      <c r="C97" s="5447" t="s">
        <v>528</v>
      </c>
      <c r="D97" s="1183" t="s">
        <v>58</v>
      </c>
      <c r="E97" s="1174"/>
      <c r="F97" s="1175"/>
      <c r="G97" s="1175"/>
      <c r="H97" s="1176"/>
      <c r="I97" s="1174"/>
      <c r="J97" s="1175"/>
      <c r="K97" s="1175">
        <v>36</v>
      </c>
      <c r="L97" s="1176">
        <v>36</v>
      </c>
      <c r="M97" s="1174">
        <v>5</v>
      </c>
      <c r="N97" s="1175"/>
      <c r="O97" s="1175"/>
      <c r="P97" s="1176">
        <v>5</v>
      </c>
      <c r="Q97" s="1174"/>
      <c r="R97" s="1175"/>
      <c r="S97" s="1175">
        <v>28</v>
      </c>
      <c r="T97" s="1176">
        <v>28</v>
      </c>
      <c r="U97" s="1174"/>
      <c r="V97" s="1175"/>
      <c r="W97" s="1175"/>
      <c r="X97" s="1176"/>
      <c r="Y97" s="1177"/>
      <c r="Z97" s="1177"/>
      <c r="AA97" s="1177">
        <v>5</v>
      </c>
      <c r="AB97" s="1176">
        <f>SUM(Y97:AA97)</f>
        <v>5</v>
      </c>
      <c r="AC97" s="1177"/>
      <c r="AD97" s="1177"/>
      <c r="AE97" s="1177"/>
      <c r="AF97" s="1176"/>
      <c r="AG97" s="1177"/>
      <c r="AH97" s="1177"/>
      <c r="AI97" s="1177">
        <v>5</v>
      </c>
      <c r="AJ97" s="1176">
        <f>SUM(AG97:AI97)</f>
        <v>5</v>
      </c>
      <c r="AK97" s="1177"/>
      <c r="AL97" s="1177"/>
      <c r="AM97" s="1177">
        <v>16</v>
      </c>
      <c r="AN97" s="1176">
        <f>SUM(AK97:AM97)</f>
        <v>16</v>
      </c>
      <c r="AO97" s="1177"/>
      <c r="AP97" s="1177"/>
      <c r="AQ97" s="1177">
        <v>21</v>
      </c>
      <c r="AR97" s="1147">
        <f>SUM(AO97:AQ97)</f>
        <v>21</v>
      </c>
      <c r="AS97" s="1177"/>
      <c r="AT97" s="1177"/>
      <c r="AU97" s="1177"/>
      <c r="AV97" s="1147"/>
      <c r="AW97" s="1177"/>
      <c r="AX97" s="1177"/>
      <c r="AY97" s="1177">
        <v>19</v>
      </c>
      <c r="AZ97" s="1147">
        <f>AW97+AX97+AY97</f>
        <v>19</v>
      </c>
      <c r="BA97" s="1177"/>
      <c r="BB97" s="1177"/>
      <c r="BC97" s="1177"/>
      <c r="BD97" s="1163"/>
      <c r="BE97" s="1177"/>
      <c r="BF97" s="1177"/>
      <c r="BG97" s="1177"/>
      <c r="BH97" s="1163"/>
      <c r="BI97" s="1177"/>
      <c r="BJ97" s="1177"/>
      <c r="BK97" s="1177"/>
      <c r="BL97" s="1163"/>
      <c r="BM97" s="1177"/>
      <c r="BN97" s="1177"/>
      <c r="BO97" s="1177"/>
      <c r="BP97" s="1163"/>
      <c r="BQ97" s="1177"/>
      <c r="BR97" s="1177"/>
      <c r="BS97" s="1177"/>
      <c r="BT97" s="1163"/>
    </row>
    <row r="98" spans="1:72" s="212" customFormat="1" ht="15" x14ac:dyDescent="0.25">
      <c r="A98" s="5448"/>
      <c r="B98" s="5448"/>
      <c r="C98" s="5450"/>
      <c r="D98" s="1152" t="s">
        <v>390</v>
      </c>
      <c r="E98" s="1167"/>
      <c r="F98" s="1164"/>
      <c r="G98" s="1164"/>
      <c r="H98" s="1165"/>
      <c r="I98" s="1167">
        <v>42</v>
      </c>
      <c r="J98" s="1164"/>
      <c r="K98" s="1164"/>
      <c r="L98" s="1165">
        <v>42</v>
      </c>
      <c r="M98" s="1167"/>
      <c r="N98" s="1164"/>
      <c r="O98" s="1164">
        <v>44</v>
      </c>
      <c r="P98" s="1165">
        <v>44</v>
      </c>
      <c r="Q98" s="1167">
        <v>5</v>
      </c>
      <c r="R98" s="1164">
        <v>3</v>
      </c>
      <c r="S98" s="1164">
        <v>4</v>
      </c>
      <c r="T98" s="1165">
        <v>12</v>
      </c>
      <c r="U98" s="1167"/>
      <c r="V98" s="1164"/>
      <c r="W98" s="1164"/>
      <c r="X98" s="1165"/>
      <c r="Y98" s="1166"/>
      <c r="Z98" s="1166"/>
      <c r="AA98" s="1166"/>
      <c r="AB98" s="1165"/>
      <c r="AC98" s="1166"/>
      <c r="AD98" s="1166"/>
      <c r="AE98" s="1166"/>
      <c r="AF98" s="1165"/>
      <c r="AG98" s="1166"/>
      <c r="AH98" s="1166"/>
      <c r="AI98" s="1166"/>
      <c r="AJ98" s="1165"/>
      <c r="AK98" s="1166"/>
      <c r="AL98" s="1166"/>
      <c r="AM98" s="1166">
        <v>1</v>
      </c>
      <c r="AN98" s="1165">
        <f>SUM(AK98:AM98)</f>
        <v>1</v>
      </c>
      <c r="AO98" s="1166"/>
      <c r="AP98" s="1166"/>
      <c r="AQ98" s="1166"/>
      <c r="AR98" s="1151"/>
      <c r="AS98" s="1166" t="s">
        <v>227</v>
      </c>
      <c r="AT98" s="1166" t="s">
        <v>227</v>
      </c>
      <c r="AU98" s="1166">
        <v>2</v>
      </c>
      <c r="AV98" s="1151">
        <f>SUM(AS98:AU98)</f>
        <v>2</v>
      </c>
      <c r="AW98" s="1166"/>
      <c r="AX98" s="1166"/>
      <c r="AY98" s="1166"/>
      <c r="AZ98" s="1151"/>
      <c r="BA98" s="1166"/>
      <c r="BB98" s="1166"/>
      <c r="BC98" s="1166">
        <v>35</v>
      </c>
      <c r="BD98" s="1151">
        <f>BA98+BB98+BC98</f>
        <v>35</v>
      </c>
      <c r="BE98" s="1166"/>
      <c r="BF98" s="1166"/>
      <c r="BG98" s="1166"/>
      <c r="BH98" s="1151"/>
      <c r="BI98" s="1166"/>
      <c r="BJ98" s="1166"/>
      <c r="BK98" s="1166">
        <v>34</v>
      </c>
      <c r="BL98" s="1151">
        <f t="shared" ref="BL98:BL110" si="67">BI98+BJ98+BK98</f>
        <v>34</v>
      </c>
      <c r="BM98" s="1166"/>
      <c r="BN98" s="1166"/>
      <c r="BO98" s="1166"/>
      <c r="BP98" s="1151">
        <f t="shared" ref="BP98:BP110" si="68">BM98+BN98+BO98</f>
        <v>0</v>
      </c>
      <c r="BQ98" s="1166"/>
      <c r="BR98" s="1166"/>
      <c r="BS98" s="1166"/>
      <c r="BT98" s="1151">
        <f t="shared" ref="BT98:BT110" si="69">BQ98+BR98+BS98</f>
        <v>0</v>
      </c>
    </row>
    <row r="99" spans="1:72" s="212" customFormat="1" ht="15" x14ac:dyDescent="0.25">
      <c r="A99" s="5448"/>
      <c r="B99" s="5448"/>
      <c r="C99" s="5447" t="s">
        <v>527</v>
      </c>
      <c r="D99" s="1152" t="s">
        <v>89</v>
      </c>
      <c r="E99" s="1167"/>
      <c r="F99" s="1164"/>
      <c r="G99" s="1164">
        <v>18</v>
      </c>
      <c r="H99" s="1165">
        <v>18</v>
      </c>
      <c r="I99" s="1167"/>
      <c r="J99" s="1164"/>
      <c r="K99" s="1164">
        <v>3</v>
      </c>
      <c r="L99" s="1165">
        <v>3</v>
      </c>
      <c r="M99" s="1167"/>
      <c r="N99" s="1164">
        <v>20</v>
      </c>
      <c r="O99" s="1164">
        <v>5</v>
      </c>
      <c r="P99" s="1165">
        <v>25</v>
      </c>
      <c r="Q99" s="1167"/>
      <c r="R99" s="1164"/>
      <c r="S99" s="1164"/>
      <c r="T99" s="1165"/>
      <c r="U99" s="1167"/>
      <c r="V99" s="1164"/>
      <c r="W99" s="1164"/>
      <c r="X99" s="1165"/>
      <c r="Y99" s="1166"/>
      <c r="Z99" s="1166"/>
      <c r="AA99" s="1166">
        <v>20</v>
      </c>
      <c r="AB99" s="1165">
        <f>SUM(Y99:AA99)</f>
        <v>20</v>
      </c>
      <c r="AC99" s="1166"/>
      <c r="AD99" s="1166"/>
      <c r="AE99" s="1166"/>
      <c r="AF99" s="1165"/>
      <c r="AG99" s="1166"/>
      <c r="AH99" s="1166"/>
      <c r="AI99" s="1166">
        <v>12</v>
      </c>
      <c r="AJ99" s="1165">
        <f>SUM(AG99:AI99)</f>
        <v>12</v>
      </c>
      <c r="AK99" s="1166"/>
      <c r="AL99" s="1166"/>
      <c r="AM99" s="1166"/>
      <c r="AN99" s="1165">
        <f>SUM(AK99:AM99)</f>
        <v>0</v>
      </c>
      <c r="AO99" s="1166"/>
      <c r="AP99" s="1166"/>
      <c r="AQ99" s="1166"/>
      <c r="AR99" s="1151"/>
      <c r="AS99" s="1166"/>
      <c r="AT99" s="1166"/>
      <c r="AU99" s="1166"/>
      <c r="AV99" s="1151"/>
      <c r="AW99" s="1166"/>
      <c r="AX99" s="1166"/>
      <c r="AY99" s="1166"/>
      <c r="AZ99" s="1151"/>
      <c r="BA99" s="1166"/>
      <c r="BB99" s="1166"/>
      <c r="BC99" s="1166">
        <v>18</v>
      </c>
      <c r="BD99" s="1151">
        <f>BA99+BB99+BC99</f>
        <v>18</v>
      </c>
      <c r="BE99" s="1166"/>
      <c r="BF99" s="1166"/>
      <c r="BG99" s="1166">
        <v>23</v>
      </c>
      <c r="BH99" s="1151">
        <f>BE99+BF99+BG99</f>
        <v>23</v>
      </c>
      <c r="BI99" s="1166"/>
      <c r="BJ99" s="1166"/>
      <c r="BK99" s="1166"/>
      <c r="BL99" s="1151">
        <f t="shared" si="67"/>
        <v>0</v>
      </c>
      <c r="BM99" s="1166"/>
      <c r="BN99" s="1166"/>
      <c r="BO99" s="1166">
        <v>22</v>
      </c>
      <c r="BP99" s="1151">
        <f t="shared" si="68"/>
        <v>22</v>
      </c>
      <c r="BQ99" s="1166"/>
      <c r="BR99" s="1166"/>
      <c r="BS99" s="1166"/>
      <c r="BT99" s="1151">
        <f t="shared" si="69"/>
        <v>0</v>
      </c>
    </row>
    <row r="100" spans="1:72" s="212" customFormat="1" ht="15" x14ac:dyDescent="0.25">
      <c r="A100" s="5448"/>
      <c r="B100" s="5448"/>
      <c r="C100" s="5448"/>
      <c r="D100" s="1152" t="s">
        <v>391</v>
      </c>
      <c r="E100" s="1167">
        <v>3</v>
      </c>
      <c r="F100" s="1164"/>
      <c r="G100" s="1164"/>
      <c r="H100" s="1165">
        <v>3</v>
      </c>
      <c r="I100" s="1167">
        <v>13</v>
      </c>
      <c r="J100" s="1164"/>
      <c r="K100" s="1164"/>
      <c r="L100" s="1165">
        <f>SUM(I100:K100)</f>
        <v>13</v>
      </c>
      <c r="M100" s="1167">
        <v>39</v>
      </c>
      <c r="N100" s="1164"/>
      <c r="O100" s="1164"/>
      <c r="P100" s="1165">
        <v>39</v>
      </c>
      <c r="Q100" s="1167">
        <v>2</v>
      </c>
      <c r="R100" s="1164">
        <v>31</v>
      </c>
      <c r="S100" s="1164"/>
      <c r="T100" s="1165">
        <v>33</v>
      </c>
      <c r="U100" s="1167"/>
      <c r="V100" s="1164"/>
      <c r="W100" s="1164">
        <v>29</v>
      </c>
      <c r="X100" s="1165">
        <f>SUM(U100:W100)</f>
        <v>29</v>
      </c>
      <c r="Y100" s="1166"/>
      <c r="Z100" s="1166"/>
      <c r="AA100" s="1166"/>
      <c r="AB100" s="1165"/>
      <c r="AC100" s="1166"/>
      <c r="AD100" s="1166"/>
      <c r="AE100" s="1166">
        <v>30</v>
      </c>
      <c r="AF100" s="1165">
        <f>SUM(AC100:AE100)</f>
        <v>30</v>
      </c>
      <c r="AG100" s="1166"/>
      <c r="AH100" s="1166"/>
      <c r="AI100" s="1166"/>
      <c r="AJ100" s="1165"/>
      <c r="AK100" s="1166"/>
      <c r="AL100" s="1166"/>
      <c r="AM100" s="1166">
        <v>38</v>
      </c>
      <c r="AN100" s="1165">
        <f>SUM(AK100:AM100)</f>
        <v>38</v>
      </c>
      <c r="AO100" s="1166"/>
      <c r="AP100" s="1166"/>
      <c r="AQ100" s="1166"/>
      <c r="AR100" s="1151"/>
      <c r="AS100" s="1166"/>
      <c r="AT100" s="1166" t="s">
        <v>227</v>
      </c>
      <c r="AU100" s="1166">
        <v>38</v>
      </c>
      <c r="AV100" s="1151">
        <f>SUM(AS100:AU100)</f>
        <v>38</v>
      </c>
      <c r="AW100" s="1166"/>
      <c r="AX100" s="1166"/>
      <c r="AY100" s="1166"/>
      <c r="AZ100" s="1151"/>
      <c r="BA100" s="1166"/>
      <c r="BB100" s="1166"/>
      <c r="BC100" s="1166">
        <v>3</v>
      </c>
      <c r="BD100" s="1151">
        <f>BA100+BB100+BC100</f>
        <v>3</v>
      </c>
      <c r="BE100" s="1166"/>
      <c r="BF100" s="1166"/>
      <c r="BG100" s="1166">
        <v>1</v>
      </c>
      <c r="BH100" s="1151">
        <f t="shared" ref="BH100:BH106" si="70">BE100+BF100+BG100</f>
        <v>1</v>
      </c>
      <c r="BI100" s="1166"/>
      <c r="BJ100" s="1166"/>
      <c r="BK100" s="1166"/>
      <c r="BL100" s="1151">
        <f t="shared" si="67"/>
        <v>0</v>
      </c>
      <c r="BM100" s="1166"/>
      <c r="BN100" s="1166"/>
      <c r="BO100" s="1166">
        <v>33</v>
      </c>
      <c r="BP100" s="1151">
        <f t="shared" si="68"/>
        <v>33</v>
      </c>
      <c r="BQ100" s="1166"/>
      <c r="BR100" s="1166"/>
      <c r="BS100" s="1166">
        <v>35</v>
      </c>
      <c r="BT100" s="1151">
        <f t="shared" si="69"/>
        <v>35</v>
      </c>
    </row>
    <row r="101" spans="1:72" s="212" customFormat="1" ht="15" x14ac:dyDescent="0.25">
      <c r="A101" s="5448"/>
      <c r="B101" s="5448"/>
      <c r="C101" s="5448"/>
      <c r="D101" s="1148" t="s">
        <v>392</v>
      </c>
      <c r="E101" s="1167"/>
      <c r="F101" s="1164">
        <v>15</v>
      </c>
      <c r="G101" s="1164"/>
      <c r="H101" s="1165">
        <v>15</v>
      </c>
      <c r="I101" s="1167"/>
      <c r="J101" s="1164"/>
      <c r="K101" s="1164"/>
      <c r="L101" s="1165"/>
      <c r="M101" s="1167"/>
      <c r="N101" s="1164">
        <v>9</v>
      </c>
      <c r="O101" s="1164"/>
      <c r="P101" s="1165">
        <v>9</v>
      </c>
      <c r="Q101" s="1167"/>
      <c r="R101" s="1164"/>
      <c r="S101" s="1164"/>
      <c r="T101" s="1165"/>
      <c r="U101" s="1167"/>
      <c r="V101" s="1164">
        <v>13</v>
      </c>
      <c r="W101" s="1164"/>
      <c r="X101" s="1165">
        <f>SUM(U101:W101)</f>
        <v>13</v>
      </c>
      <c r="Y101" s="1166"/>
      <c r="Z101" s="1166"/>
      <c r="AA101" s="1166">
        <v>21</v>
      </c>
      <c r="AB101" s="1165">
        <f>SUM(Y101:AA101)</f>
        <v>21</v>
      </c>
      <c r="AC101" s="1166"/>
      <c r="AD101" s="1166"/>
      <c r="AE101" s="1166"/>
      <c r="AF101" s="1165"/>
      <c r="AG101" s="1166"/>
      <c r="AH101" s="1166"/>
      <c r="AI101" s="1166">
        <v>23</v>
      </c>
      <c r="AJ101" s="1165">
        <f>SUM(AG101:AI101)</f>
        <v>23</v>
      </c>
      <c r="AK101" s="1166"/>
      <c r="AL101" s="1166"/>
      <c r="AM101" s="1166"/>
      <c r="AN101" s="1165"/>
      <c r="AO101" s="1166"/>
      <c r="AP101" s="1166"/>
      <c r="AQ101" s="1166">
        <v>29</v>
      </c>
      <c r="AR101" s="1151">
        <f>SUM(AO101:AQ101)</f>
        <v>29</v>
      </c>
      <c r="AS101" s="1166"/>
      <c r="AT101" s="1166"/>
      <c r="AU101" s="1166"/>
      <c r="AV101" s="1151"/>
      <c r="AW101" s="1166"/>
      <c r="AX101" s="1166"/>
      <c r="AY101" s="1166">
        <v>27</v>
      </c>
      <c r="AZ101" s="1151">
        <f>AW101+AX101+AY101</f>
        <v>27</v>
      </c>
      <c r="BA101" s="1166"/>
      <c r="BB101" s="1166"/>
      <c r="BC101" s="1166"/>
      <c r="BD101" s="1151"/>
      <c r="BE101" s="1166"/>
      <c r="BF101" s="1166"/>
      <c r="BG101" s="1166">
        <v>39</v>
      </c>
      <c r="BH101" s="1151">
        <f t="shared" si="70"/>
        <v>39</v>
      </c>
      <c r="BI101" s="1166"/>
      <c r="BJ101" s="1166"/>
      <c r="BK101" s="1166"/>
      <c r="BL101" s="1151">
        <f t="shared" si="67"/>
        <v>0</v>
      </c>
      <c r="BM101" s="1166"/>
      <c r="BN101" s="1166"/>
      <c r="BO101" s="1166">
        <v>28</v>
      </c>
      <c r="BP101" s="1151">
        <f t="shared" si="68"/>
        <v>28</v>
      </c>
      <c r="BQ101" s="1166"/>
      <c r="BR101" s="1166"/>
      <c r="BS101" s="1166"/>
      <c r="BT101" s="1151">
        <f t="shared" si="69"/>
        <v>0</v>
      </c>
    </row>
    <row r="102" spans="1:72" s="212" customFormat="1" ht="15" x14ac:dyDescent="0.25">
      <c r="A102" s="5448"/>
      <c r="B102" s="5448"/>
      <c r="C102" s="5448"/>
      <c r="D102" s="1148" t="s">
        <v>393</v>
      </c>
      <c r="E102" s="1167"/>
      <c r="F102" s="1164"/>
      <c r="G102" s="1164"/>
      <c r="H102" s="1165"/>
      <c r="I102" s="1167"/>
      <c r="J102" s="1164"/>
      <c r="K102" s="1164">
        <v>29</v>
      </c>
      <c r="L102" s="1165">
        <v>29</v>
      </c>
      <c r="M102" s="1167"/>
      <c r="N102" s="1164"/>
      <c r="O102" s="1164"/>
      <c r="P102" s="1165"/>
      <c r="Q102" s="1167"/>
      <c r="R102" s="1164"/>
      <c r="S102" s="1164">
        <v>22</v>
      </c>
      <c r="T102" s="1165">
        <v>22</v>
      </c>
      <c r="U102" s="1167"/>
      <c r="V102" s="1164"/>
      <c r="W102" s="1164"/>
      <c r="X102" s="1165"/>
      <c r="Y102" s="1166"/>
      <c r="Z102" s="1166"/>
      <c r="AA102" s="1166">
        <v>17</v>
      </c>
      <c r="AB102" s="1165">
        <f>SUM(Y102:AA102)</f>
        <v>17</v>
      </c>
      <c r="AC102" s="1166"/>
      <c r="AD102" s="1166"/>
      <c r="AE102" s="1166"/>
      <c r="AF102" s="1165"/>
      <c r="AG102" s="1166"/>
      <c r="AH102" s="1166"/>
      <c r="AI102" s="1166">
        <v>12</v>
      </c>
      <c r="AJ102" s="1165">
        <f>SUM(AG102:AI102)</f>
        <v>12</v>
      </c>
      <c r="AK102" s="1166"/>
      <c r="AL102" s="1166"/>
      <c r="AM102" s="1166"/>
      <c r="AN102" s="1165"/>
      <c r="AO102" s="1166"/>
      <c r="AP102" s="1166"/>
      <c r="AQ102" s="1166">
        <v>24</v>
      </c>
      <c r="AR102" s="1151">
        <f>SUM(AO102:AQ102)</f>
        <v>24</v>
      </c>
      <c r="AS102" s="1166"/>
      <c r="AT102" s="1166"/>
      <c r="AU102" s="1166"/>
      <c r="AV102" s="1151"/>
      <c r="AW102" s="1166"/>
      <c r="AX102" s="1166"/>
      <c r="AY102" s="1166">
        <v>26</v>
      </c>
      <c r="AZ102" s="1151">
        <f>AW102+AX102+AY102</f>
        <v>26</v>
      </c>
      <c r="BA102" s="1166"/>
      <c r="BB102" s="1166"/>
      <c r="BC102" s="1166"/>
      <c r="BD102" s="1151"/>
      <c r="BE102" s="1166"/>
      <c r="BF102" s="1166"/>
      <c r="BG102" s="1166">
        <v>28</v>
      </c>
      <c r="BH102" s="1151">
        <f t="shared" si="70"/>
        <v>28</v>
      </c>
      <c r="BI102" s="1166"/>
      <c r="BJ102" s="1166"/>
      <c r="BK102" s="1166"/>
      <c r="BL102" s="1151">
        <f t="shared" si="67"/>
        <v>0</v>
      </c>
      <c r="BM102" s="1166"/>
      <c r="BN102" s="1166"/>
      <c r="BO102" s="1166">
        <v>14</v>
      </c>
      <c r="BP102" s="1151">
        <f t="shared" si="68"/>
        <v>14</v>
      </c>
      <c r="BQ102" s="1166"/>
      <c r="BR102" s="1166"/>
      <c r="BS102" s="1166"/>
      <c r="BT102" s="1151">
        <f t="shared" si="69"/>
        <v>0</v>
      </c>
    </row>
    <row r="103" spans="1:72" s="212" customFormat="1" ht="15" x14ac:dyDescent="0.25">
      <c r="A103" s="5448"/>
      <c r="B103" s="5448"/>
      <c r="C103" s="5448"/>
      <c r="D103" s="1148" t="s">
        <v>19</v>
      </c>
      <c r="E103" s="1167"/>
      <c r="F103" s="1164"/>
      <c r="G103" s="1164"/>
      <c r="H103" s="1165"/>
      <c r="I103" s="1167"/>
      <c r="J103" s="1164"/>
      <c r="K103" s="1164">
        <v>28</v>
      </c>
      <c r="L103" s="1165">
        <v>28</v>
      </c>
      <c r="M103" s="1167"/>
      <c r="N103" s="1164"/>
      <c r="O103" s="1164"/>
      <c r="P103" s="1165"/>
      <c r="Q103" s="1167"/>
      <c r="R103" s="1164"/>
      <c r="S103" s="1164">
        <v>24</v>
      </c>
      <c r="T103" s="1165">
        <v>24</v>
      </c>
      <c r="U103" s="1167"/>
      <c r="V103" s="1164"/>
      <c r="W103" s="1164"/>
      <c r="X103" s="1165"/>
      <c r="Y103" s="1166"/>
      <c r="Z103" s="1166"/>
      <c r="AA103" s="1166">
        <v>20</v>
      </c>
      <c r="AB103" s="1165">
        <f>SUM(Y103:AA103)</f>
        <v>20</v>
      </c>
      <c r="AC103" s="1166"/>
      <c r="AD103" s="1166"/>
      <c r="AE103" s="1166"/>
      <c r="AF103" s="1165"/>
      <c r="AG103" s="1166"/>
      <c r="AH103" s="1166"/>
      <c r="AI103" s="1166">
        <v>25</v>
      </c>
      <c r="AJ103" s="1165">
        <f>SUM(AG103:AI103)</f>
        <v>25</v>
      </c>
      <c r="AK103" s="1166"/>
      <c r="AL103" s="1166"/>
      <c r="AM103" s="1166"/>
      <c r="AN103" s="1165"/>
      <c r="AO103" s="1166"/>
      <c r="AP103" s="1166"/>
      <c r="AQ103" s="1166">
        <v>26</v>
      </c>
      <c r="AR103" s="1151">
        <f>SUM(AO103:AQ103)</f>
        <v>26</v>
      </c>
      <c r="AS103" s="1166"/>
      <c r="AT103" s="1166"/>
      <c r="AU103" s="1166"/>
      <c r="AV103" s="1151"/>
      <c r="AW103" s="1166"/>
      <c r="AX103" s="1166"/>
      <c r="AY103" s="1166">
        <v>18</v>
      </c>
      <c r="AZ103" s="1151">
        <f>AW103+AX103+AY103</f>
        <v>18</v>
      </c>
      <c r="BA103" s="1166"/>
      <c r="BB103" s="1166"/>
      <c r="BC103" s="1166"/>
      <c r="BD103" s="1151"/>
      <c r="BE103" s="1166"/>
      <c r="BF103" s="1166"/>
      <c r="BG103" s="1166">
        <v>20</v>
      </c>
      <c r="BH103" s="1151">
        <f t="shared" si="70"/>
        <v>20</v>
      </c>
      <c r="BI103" s="1166"/>
      <c r="BJ103" s="1166"/>
      <c r="BK103" s="1166"/>
      <c r="BL103" s="1151">
        <f t="shared" si="67"/>
        <v>0</v>
      </c>
      <c r="BM103" s="1166"/>
      <c r="BN103" s="1166"/>
      <c r="BO103" s="1166">
        <v>19</v>
      </c>
      <c r="BP103" s="1151">
        <f t="shared" si="68"/>
        <v>19</v>
      </c>
      <c r="BQ103" s="1166"/>
      <c r="BR103" s="1166"/>
      <c r="BS103" s="1166"/>
      <c r="BT103" s="1151">
        <f t="shared" si="69"/>
        <v>0</v>
      </c>
    </row>
    <row r="104" spans="1:72" s="212" customFormat="1" ht="15" x14ac:dyDescent="0.25">
      <c r="A104" s="5448"/>
      <c r="B104" s="5448"/>
      <c r="C104" s="5448"/>
      <c r="D104" s="1148" t="s">
        <v>88</v>
      </c>
      <c r="E104" s="1167"/>
      <c r="F104" s="1164"/>
      <c r="G104" s="1164"/>
      <c r="H104" s="1165"/>
      <c r="I104" s="1167"/>
      <c r="J104" s="1164"/>
      <c r="K104" s="1164">
        <v>18</v>
      </c>
      <c r="L104" s="1165">
        <v>18</v>
      </c>
      <c r="M104" s="1167"/>
      <c r="N104" s="1164"/>
      <c r="O104" s="1164"/>
      <c r="P104" s="1165"/>
      <c r="Q104" s="1167"/>
      <c r="R104" s="1164"/>
      <c r="S104" s="1164">
        <v>27</v>
      </c>
      <c r="T104" s="1165">
        <v>27</v>
      </c>
      <c r="U104" s="1167"/>
      <c r="V104" s="1164"/>
      <c r="W104" s="1164"/>
      <c r="X104" s="1165"/>
      <c r="Y104" s="1166"/>
      <c r="Z104" s="1166"/>
      <c r="AA104" s="1166">
        <v>18</v>
      </c>
      <c r="AB104" s="1165">
        <f>SUM(Y104:AA104)</f>
        <v>18</v>
      </c>
      <c r="AC104" s="1166"/>
      <c r="AD104" s="1166"/>
      <c r="AE104" s="1166"/>
      <c r="AF104" s="1165"/>
      <c r="AG104" s="1166"/>
      <c r="AH104" s="1166"/>
      <c r="AI104" s="1166">
        <v>24</v>
      </c>
      <c r="AJ104" s="1165">
        <f>SUM(AG104:AI104)</f>
        <v>24</v>
      </c>
      <c r="AK104" s="1166"/>
      <c r="AL104" s="1166"/>
      <c r="AM104" s="1166"/>
      <c r="AN104" s="1165"/>
      <c r="AO104" s="1166"/>
      <c r="AP104" s="1166"/>
      <c r="AQ104" s="1166">
        <v>18</v>
      </c>
      <c r="AR104" s="1151">
        <f>SUM(AO104:AQ104)</f>
        <v>18</v>
      </c>
      <c r="AS104" s="1166"/>
      <c r="AT104" s="1166"/>
      <c r="AU104" s="1166"/>
      <c r="AV104" s="1151"/>
      <c r="AW104" s="1166"/>
      <c r="AX104" s="1166"/>
      <c r="AY104" s="1166">
        <v>20</v>
      </c>
      <c r="AZ104" s="1151">
        <f>AW104+AX104+AY104</f>
        <v>20</v>
      </c>
      <c r="BA104" s="1166"/>
      <c r="BB104" s="1166"/>
      <c r="BC104" s="1166"/>
      <c r="BD104" s="1151"/>
      <c r="BE104" s="1166"/>
      <c r="BF104" s="1166"/>
      <c r="BG104" s="1166">
        <v>14</v>
      </c>
      <c r="BH104" s="1151">
        <f t="shared" si="70"/>
        <v>14</v>
      </c>
      <c r="BI104" s="1166"/>
      <c r="BJ104" s="1166"/>
      <c r="BK104" s="1166"/>
      <c r="BL104" s="1151">
        <f t="shared" si="67"/>
        <v>0</v>
      </c>
      <c r="BM104" s="1166"/>
      <c r="BN104" s="1166"/>
      <c r="BO104" s="1166">
        <v>18</v>
      </c>
      <c r="BP104" s="1151">
        <f t="shared" si="68"/>
        <v>18</v>
      </c>
      <c r="BQ104" s="1166"/>
      <c r="BR104" s="1166"/>
      <c r="BS104" s="1166"/>
      <c r="BT104" s="1151">
        <f t="shared" si="69"/>
        <v>0</v>
      </c>
    </row>
    <row r="105" spans="1:72" s="212" customFormat="1" ht="15" x14ac:dyDescent="0.25">
      <c r="A105" s="5448"/>
      <c r="B105" s="5448"/>
      <c r="C105" s="5448"/>
      <c r="D105" s="1148" t="s">
        <v>394</v>
      </c>
      <c r="E105" s="1167"/>
      <c r="F105" s="1164"/>
      <c r="G105" s="1164"/>
      <c r="H105" s="1165"/>
      <c r="I105" s="1167"/>
      <c r="J105" s="1164">
        <v>25</v>
      </c>
      <c r="K105" s="1164"/>
      <c r="L105" s="1165">
        <v>25</v>
      </c>
      <c r="M105" s="1167"/>
      <c r="N105" s="1164"/>
      <c r="O105" s="1164"/>
      <c r="P105" s="1165"/>
      <c r="Q105" s="1167"/>
      <c r="R105" s="1164">
        <v>25</v>
      </c>
      <c r="S105" s="1164"/>
      <c r="T105" s="1165">
        <v>25</v>
      </c>
      <c r="U105" s="1167"/>
      <c r="V105" s="1164"/>
      <c r="W105" s="1164"/>
      <c r="X105" s="1165"/>
      <c r="Y105" s="1166"/>
      <c r="Z105" s="1166"/>
      <c r="AA105" s="1166">
        <v>25</v>
      </c>
      <c r="AB105" s="1165">
        <f>SUM(Y105:AA105)</f>
        <v>25</v>
      </c>
      <c r="AC105" s="1166"/>
      <c r="AD105" s="1166"/>
      <c r="AE105" s="1166"/>
      <c r="AF105" s="1165"/>
      <c r="AG105" s="1166"/>
      <c r="AH105" s="1166"/>
      <c r="AI105" s="1166">
        <v>19</v>
      </c>
      <c r="AJ105" s="1165">
        <f>SUM(AG105:AI105)</f>
        <v>19</v>
      </c>
      <c r="AK105" s="1166"/>
      <c r="AL105" s="1166"/>
      <c r="AM105" s="1166"/>
      <c r="AN105" s="1165"/>
      <c r="AO105" s="1166"/>
      <c r="AP105" s="1166"/>
      <c r="AQ105" s="1166">
        <v>18</v>
      </c>
      <c r="AR105" s="1151">
        <f>SUM(AO105:AQ105)</f>
        <v>18</v>
      </c>
      <c r="AS105" s="1166"/>
      <c r="AT105" s="1166"/>
      <c r="AU105" s="1166"/>
      <c r="AV105" s="1151"/>
      <c r="AW105" s="1166"/>
      <c r="AX105" s="1166"/>
      <c r="AY105" s="1166">
        <v>15</v>
      </c>
      <c r="AZ105" s="1151">
        <f>AW105+AX105+AY105</f>
        <v>15</v>
      </c>
      <c r="BA105" s="1166"/>
      <c r="BB105" s="1166"/>
      <c r="BC105" s="1166"/>
      <c r="BD105" s="1151"/>
      <c r="BE105" s="1166"/>
      <c r="BF105" s="1166"/>
      <c r="BG105" s="1166">
        <v>14</v>
      </c>
      <c r="BH105" s="1151">
        <f t="shared" si="70"/>
        <v>14</v>
      </c>
      <c r="BI105" s="1166"/>
      <c r="BJ105" s="1166"/>
      <c r="BK105" s="1166"/>
      <c r="BL105" s="1151">
        <f t="shared" si="67"/>
        <v>0</v>
      </c>
      <c r="BM105" s="1166"/>
      <c r="BN105" s="1166"/>
      <c r="BO105" s="1166">
        <v>17</v>
      </c>
      <c r="BP105" s="1151">
        <f t="shared" si="68"/>
        <v>17</v>
      </c>
      <c r="BQ105" s="1166"/>
      <c r="BR105" s="1166"/>
      <c r="BS105" s="1166"/>
      <c r="BT105" s="1151">
        <f t="shared" si="69"/>
        <v>0</v>
      </c>
    </row>
    <row r="106" spans="1:72" s="212" customFormat="1" ht="15" x14ac:dyDescent="0.25">
      <c r="A106" s="5448"/>
      <c r="B106" s="5448"/>
      <c r="C106" s="5448"/>
      <c r="D106" s="1148" t="s">
        <v>419</v>
      </c>
      <c r="E106" s="1167"/>
      <c r="F106" s="1164"/>
      <c r="G106" s="1164"/>
      <c r="H106" s="1165"/>
      <c r="I106" s="1167"/>
      <c r="J106" s="1164"/>
      <c r="K106" s="1164"/>
      <c r="L106" s="1165"/>
      <c r="M106" s="1167"/>
      <c r="N106" s="1164"/>
      <c r="O106" s="1164"/>
      <c r="P106" s="1165"/>
      <c r="Q106" s="1167"/>
      <c r="R106" s="1164"/>
      <c r="S106" s="1164"/>
      <c r="T106" s="1165"/>
      <c r="U106" s="1167"/>
      <c r="V106" s="1164"/>
      <c r="W106" s="1164"/>
      <c r="X106" s="1165"/>
      <c r="Y106" s="1166"/>
      <c r="Z106" s="1166"/>
      <c r="AA106" s="1166"/>
      <c r="AB106" s="1165"/>
      <c r="AC106" s="1166"/>
      <c r="AD106" s="1166"/>
      <c r="AE106" s="1166"/>
      <c r="AF106" s="1165"/>
      <c r="AG106" s="1166"/>
      <c r="AH106" s="1166"/>
      <c r="AI106" s="1166"/>
      <c r="AJ106" s="1165"/>
      <c r="AK106" s="1166"/>
      <c r="AL106" s="1166"/>
      <c r="AM106" s="1166"/>
      <c r="AN106" s="1165"/>
      <c r="AO106" s="1166"/>
      <c r="AP106" s="1166"/>
      <c r="AQ106" s="1166"/>
      <c r="AR106" s="1151"/>
      <c r="AS106" s="1166"/>
      <c r="AT106" s="1166"/>
      <c r="AU106" s="1166"/>
      <c r="AV106" s="1151"/>
      <c r="AW106" s="1166"/>
      <c r="AX106" s="1166"/>
      <c r="AY106" s="1166"/>
      <c r="AZ106" s="1151"/>
      <c r="BA106" s="1166"/>
      <c r="BB106" s="1166"/>
      <c r="BC106" s="1166"/>
      <c r="BD106" s="1151"/>
      <c r="BE106" s="1166">
        <v>19</v>
      </c>
      <c r="BF106" s="1166"/>
      <c r="BG106" s="1166"/>
      <c r="BH106" s="1151">
        <f t="shared" si="70"/>
        <v>19</v>
      </c>
      <c r="BI106" s="1166"/>
      <c r="BJ106" s="1166"/>
      <c r="BK106" s="1166"/>
      <c r="BL106" s="1151">
        <f t="shared" si="67"/>
        <v>0</v>
      </c>
      <c r="BM106" s="1166">
        <v>21</v>
      </c>
      <c r="BN106" s="1166"/>
      <c r="BO106" s="1166"/>
      <c r="BP106" s="1151">
        <f t="shared" si="68"/>
        <v>21</v>
      </c>
      <c r="BQ106" s="1166"/>
      <c r="BR106" s="1166"/>
      <c r="BS106" s="1166"/>
      <c r="BT106" s="1151">
        <f t="shared" si="69"/>
        <v>0</v>
      </c>
    </row>
    <row r="107" spans="1:72" s="212" customFormat="1" ht="15" x14ac:dyDescent="0.25">
      <c r="A107" s="5448"/>
      <c r="B107" s="5448"/>
      <c r="C107" s="5450"/>
      <c r="D107" s="1152" t="s">
        <v>139</v>
      </c>
      <c r="E107" s="1167"/>
      <c r="F107" s="1164"/>
      <c r="G107" s="1164"/>
      <c r="H107" s="1165"/>
      <c r="I107" s="1167"/>
      <c r="J107" s="1164"/>
      <c r="K107" s="1164"/>
      <c r="L107" s="1165"/>
      <c r="M107" s="1167"/>
      <c r="N107" s="1164"/>
      <c r="O107" s="1164"/>
      <c r="P107" s="1165"/>
      <c r="Q107" s="1167">
        <v>10</v>
      </c>
      <c r="R107" s="1164"/>
      <c r="S107" s="1164"/>
      <c r="T107" s="1165">
        <v>10</v>
      </c>
      <c r="U107" s="1167"/>
      <c r="V107" s="1164"/>
      <c r="W107" s="1164"/>
      <c r="X107" s="1165"/>
      <c r="Y107" s="1166">
        <v>4</v>
      </c>
      <c r="Z107" s="1166"/>
      <c r="AA107" s="1166"/>
      <c r="AB107" s="1165">
        <f>SUM(Y107:AA107)</f>
        <v>4</v>
      </c>
      <c r="AC107" s="1166">
        <v>2</v>
      </c>
      <c r="AD107" s="1166"/>
      <c r="AE107" s="1166"/>
      <c r="AF107" s="1165">
        <f>SUM(AC107:AE107)</f>
        <v>2</v>
      </c>
      <c r="AG107" s="1166">
        <v>10</v>
      </c>
      <c r="AH107" s="1166"/>
      <c r="AI107" s="1166"/>
      <c r="AJ107" s="1165">
        <f>SUM(AG107:AI107)</f>
        <v>10</v>
      </c>
      <c r="AK107" s="1166"/>
      <c r="AL107" s="1166"/>
      <c r="AM107" s="1166"/>
      <c r="AN107" s="1165"/>
      <c r="AO107" s="1166"/>
      <c r="AP107" s="1166"/>
      <c r="AQ107" s="1166"/>
      <c r="AR107" s="1151"/>
      <c r="AS107" s="1166"/>
      <c r="AT107" s="1166"/>
      <c r="AU107" s="1166"/>
      <c r="AV107" s="1151"/>
      <c r="AW107" s="1166"/>
      <c r="AX107" s="1166"/>
      <c r="AY107" s="1166"/>
      <c r="AZ107" s="1151"/>
      <c r="BA107" s="1166"/>
      <c r="BB107" s="1166"/>
      <c r="BC107" s="1166"/>
      <c r="BD107" s="1151"/>
      <c r="BE107" s="1166"/>
      <c r="BF107" s="1166"/>
      <c r="BG107" s="1166"/>
      <c r="BH107" s="1151"/>
      <c r="BI107" s="1166"/>
      <c r="BJ107" s="1166"/>
      <c r="BK107" s="1166"/>
      <c r="BL107" s="1151">
        <f t="shared" si="67"/>
        <v>0</v>
      </c>
      <c r="BM107" s="1166"/>
      <c r="BN107" s="1166"/>
      <c r="BO107" s="1166"/>
      <c r="BP107" s="1151">
        <f t="shared" si="68"/>
        <v>0</v>
      </c>
      <c r="BQ107" s="1166"/>
      <c r="BR107" s="1166"/>
      <c r="BS107" s="1166"/>
      <c r="BT107" s="1151">
        <f t="shared" si="69"/>
        <v>0</v>
      </c>
    </row>
    <row r="108" spans="1:72" s="212" customFormat="1" ht="15" x14ac:dyDescent="0.25">
      <c r="A108" s="5448"/>
      <c r="B108" s="5448"/>
      <c r="C108" s="5447" t="s">
        <v>526</v>
      </c>
      <c r="D108" s="1152" t="s">
        <v>90</v>
      </c>
      <c r="E108" s="1167"/>
      <c r="F108" s="1164"/>
      <c r="G108" s="1164"/>
      <c r="H108" s="1165"/>
      <c r="I108" s="1167"/>
      <c r="J108" s="1164"/>
      <c r="K108" s="1164"/>
      <c r="L108" s="1165"/>
      <c r="M108" s="1167"/>
      <c r="N108" s="1164"/>
      <c r="O108" s="1164"/>
      <c r="P108" s="1165"/>
      <c r="Q108" s="1167">
        <v>9</v>
      </c>
      <c r="R108" s="1164"/>
      <c r="S108" s="1164"/>
      <c r="T108" s="1165">
        <v>9</v>
      </c>
      <c r="U108" s="1167"/>
      <c r="V108" s="1164"/>
      <c r="W108" s="1164">
        <v>14</v>
      </c>
      <c r="X108" s="1165">
        <f>SUM(U108:W108)</f>
        <v>14</v>
      </c>
      <c r="Y108" s="1166"/>
      <c r="Z108" s="1166"/>
      <c r="AA108" s="1166"/>
      <c r="AB108" s="1165"/>
      <c r="AC108" s="1166"/>
      <c r="AD108" s="1166"/>
      <c r="AE108" s="1166">
        <v>10</v>
      </c>
      <c r="AF108" s="1165">
        <f>SUM(AC108:AE108)</f>
        <v>10</v>
      </c>
      <c r="AG108" s="1166"/>
      <c r="AH108" s="1166"/>
      <c r="AI108" s="1166"/>
      <c r="AJ108" s="1165"/>
      <c r="AK108" s="1166"/>
      <c r="AL108" s="1166"/>
      <c r="AM108" s="1166">
        <v>11</v>
      </c>
      <c r="AN108" s="1165">
        <f>SUM(AK108:AM108)</f>
        <v>11</v>
      </c>
      <c r="AO108" s="1166"/>
      <c r="AP108" s="1166"/>
      <c r="AQ108" s="1166"/>
      <c r="AR108" s="1151"/>
      <c r="AS108" s="1166" t="s">
        <v>227</v>
      </c>
      <c r="AT108" s="1166" t="s">
        <v>227</v>
      </c>
      <c r="AU108" s="1166">
        <v>9</v>
      </c>
      <c r="AV108" s="1151">
        <f>SUM(AS108:AU108)</f>
        <v>9</v>
      </c>
      <c r="AW108" s="1166"/>
      <c r="AX108" s="1166"/>
      <c r="AY108" s="1166"/>
      <c r="AZ108" s="1151"/>
      <c r="BA108" s="1166"/>
      <c r="BB108" s="1166"/>
      <c r="BC108" s="1166">
        <v>22</v>
      </c>
      <c r="BD108" s="1151">
        <f>BA108+BB108+BC108</f>
        <v>22</v>
      </c>
      <c r="BE108" s="1166"/>
      <c r="BF108" s="1166"/>
      <c r="BG108" s="1166"/>
      <c r="BH108" s="1151"/>
      <c r="BI108" s="1166"/>
      <c r="BJ108" s="1166"/>
      <c r="BK108" s="1166">
        <v>17</v>
      </c>
      <c r="BL108" s="1151">
        <f t="shared" si="67"/>
        <v>17</v>
      </c>
      <c r="BM108" s="1166"/>
      <c r="BN108" s="1166"/>
      <c r="BO108" s="1166"/>
      <c r="BP108" s="1151">
        <f t="shared" si="68"/>
        <v>0</v>
      </c>
      <c r="BQ108" s="1166"/>
      <c r="BR108" s="1166">
        <v>1</v>
      </c>
      <c r="BS108" s="1166">
        <v>23</v>
      </c>
      <c r="BT108" s="1151">
        <f t="shared" si="69"/>
        <v>24</v>
      </c>
    </row>
    <row r="109" spans="1:72" s="212" customFormat="1" ht="15" x14ac:dyDescent="0.25">
      <c r="A109" s="5448"/>
      <c r="B109" s="5448"/>
      <c r="C109" s="5448"/>
      <c r="D109" s="1152" t="s">
        <v>143</v>
      </c>
      <c r="E109" s="1167"/>
      <c r="F109" s="1164"/>
      <c r="G109" s="1164"/>
      <c r="H109" s="1165"/>
      <c r="I109" s="1167">
        <v>3</v>
      </c>
      <c r="J109" s="1164"/>
      <c r="K109" s="1164"/>
      <c r="L109" s="1165">
        <v>3</v>
      </c>
      <c r="M109" s="1167">
        <v>2</v>
      </c>
      <c r="N109" s="1164"/>
      <c r="O109" s="1164"/>
      <c r="P109" s="1165">
        <v>2</v>
      </c>
      <c r="Q109" s="1167">
        <v>4</v>
      </c>
      <c r="R109" s="1164"/>
      <c r="S109" s="1164"/>
      <c r="T109" s="1165">
        <v>4</v>
      </c>
      <c r="U109" s="1167">
        <v>3</v>
      </c>
      <c r="V109" s="1164"/>
      <c r="W109" s="1164"/>
      <c r="X109" s="1165">
        <f>SUM(U109:W109)</f>
        <v>3</v>
      </c>
      <c r="Y109" s="1166">
        <v>7</v>
      </c>
      <c r="Z109" s="1166"/>
      <c r="AA109" s="1166"/>
      <c r="AB109" s="1165">
        <f>SUM(Y109:AA109)</f>
        <v>7</v>
      </c>
      <c r="AC109" s="1166">
        <v>3</v>
      </c>
      <c r="AD109" s="1166"/>
      <c r="AE109" s="1166"/>
      <c r="AF109" s="1165">
        <f>SUM(AC109:AE109)</f>
        <v>3</v>
      </c>
      <c r="AG109" s="1166">
        <v>2</v>
      </c>
      <c r="AH109" s="1166"/>
      <c r="AI109" s="1166"/>
      <c r="AJ109" s="1165">
        <f>SUM(AG109:AI109)</f>
        <v>2</v>
      </c>
      <c r="AK109" s="1166"/>
      <c r="AL109" s="1166"/>
      <c r="AM109" s="1166"/>
      <c r="AN109" s="1165"/>
      <c r="AO109" s="1166"/>
      <c r="AP109" s="1166"/>
      <c r="AQ109" s="1166"/>
      <c r="AR109" s="1151"/>
      <c r="AS109" s="1166"/>
      <c r="AT109" s="1166"/>
      <c r="AU109" s="1166"/>
      <c r="AV109" s="1151"/>
      <c r="AW109" s="1166"/>
      <c r="AX109" s="1166"/>
      <c r="AY109" s="1166"/>
      <c r="AZ109" s="1151"/>
      <c r="BA109" s="1166"/>
      <c r="BB109" s="1166"/>
      <c r="BC109" s="1166"/>
      <c r="BD109" s="1151"/>
      <c r="BE109" s="1166"/>
      <c r="BF109" s="1166"/>
      <c r="BG109" s="1166"/>
      <c r="BH109" s="1151"/>
      <c r="BI109" s="1166"/>
      <c r="BJ109" s="1166"/>
      <c r="BK109" s="1166"/>
      <c r="BL109" s="1151">
        <f t="shared" si="67"/>
        <v>0</v>
      </c>
      <c r="BM109" s="1166"/>
      <c r="BN109" s="1166"/>
      <c r="BO109" s="1166"/>
      <c r="BP109" s="1151">
        <f t="shared" si="68"/>
        <v>0</v>
      </c>
      <c r="BQ109" s="1166"/>
      <c r="BR109" s="1166"/>
      <c r="BS109" s="1166"/>
      <c r="BT109" s="1151">
        <f t="shared" si="69"/>
        <v>0</v>
      </c>
    </row>
    <row r="110" spans="1:72" s="212" customFormat="1" ht="15" x14ac:dyDescent="0.25">
      <c r="A110" s="5448"/>
      <c r="B110" s="5448"/>
      <c r="C110" s="5448"/>
      <c r="D110" s="1152" t="s">
        <v>20</v>
      </c>
      <c r="E110" s="1149">
        <v>50</v>
      </c>
      <c r="F110" s="1150"/>
      <c r="G110" s="1150"/>
      <c r="H110" s="1151">
        <v>50</v>
      </c>
      <c r="I110" s="1149"/>
      <c r="J110" s="1150">
        <v>14</v>
      </c>
      <c r="K110" s="1150"/>
      <c r="L110" s="1151">
        <v>14</v>
      </c>
      <c r="M110" s="1149">
        <v>33</v>
      </c>
      <c r="N110" s="1150"/>
      <c r="O110" s="1150"/>
      <c r="P110" s="1151">
        <v>33</v>
      </c>
      <c r="Q110" s="1149"/>
      <c r="R110" s="1150"/>
      <c r="S110" s="1150"/>
      <c r="T110" s="1151"/>
      <c r="U110" s="1149">
        <v>48</v>
      </c>
      <c r="V110" s="1150"/>
      <c r="W110" s="1150"/>
      <c r="X110" s="1151">
        <f>SUM(U110:W110)</f>
        <v>48</v>
      </c>
      <c r="Y110" s="1150"/>
      <c r="Z110" s="1150"/>
      <c r="AA110" s="1150"/>
      <c r="AB110" s="1151">
        <f>SUM(Y110:AA110)</f>
        <v>0</v>
      </c>
      <c r="AC110" s="1150">
        <v>44</v>
      </c>
      <c r="AD110" s="1150"/>
      <c r="AE110" s="1150"/>
      <c r="AF110" s="1151">
        <f>SUM(AC110:AE110)</f>
        <v>44</v>
      </c>
      <c r="AG110" s="1150"/>
      <c r="AH110" s="1150"/>
      <c r="AI110" s="1150"/>
      <c r="AJ110" s="1151"/>
      <c r="AK110" s="1150">
        <v>71</v>
      </c>
      <c r="AL110" s="1150">
        <v>11</v>
      </c>
      <c r="AM110" s="1150"/>
      <c r="AN110" s="1151">
        <f>SUM(AK110:AM110)</f>
        <v>82</v>
      </c>
      <c r="AO110" s="1150">
        <v>14</v>
      </c>
      <c r="AP110" s="1150"/>
      <c r="AQ110" s="1150"/>
      <c r="AR110" s="1151">
        <f>SUM(AO110:AQ110)</f>
        <v>14</v>
      </c>
      <c r="AS110" s="1150">
        <v>46</v>
      </c>
      <c r="AT110" s="1150" t="s">
        <v>227</v>
      </c>
      <c r="AU110" s="1150" t="s">
        <v>227</v>
      </c>
      <c r="AV110" s="1151">
        <f>SUM(AS110:AU110)</f>
        <v>46</v>
      </c>
      <c r="AW110" s="1150"/>
      <c r="AX110" s="1150"/>
      <c r="AY110" s="1150"/>
      <c r="AZ110" s="1151"/>
      <c r="BA110" s="1150">
        <v>49</v>
      </c>
      <c r="BB110" s="1150"/>
      <c r="BC110" s="1150"/>
      <c r="BD110" s="1151">
        <f>BA110+BB110+BC110</f>
        <v>49</v>
      </c>
      <c r="BE110" s="1150"/>
      <c r="BF110" s="1150"/>
      <c r="BG110" s="1150"/>
      <c r="BH110" s="1151"/>
      <c r="BI110" s="1150">
        <v>54</v>
      </c>
      <c r="BJ110" s="1150"/>
      <c r="BK110" s="1150"/>
      <c r="BL110" s="1151">
        <f t="shared" si="67"/>
        <v>54</v>
      </c>
      <c r="BM110" s="1150"/>
      <c r="BN110" s="1150"/>
      <c r="BO110" s="1150"/>
      <c r="BP110" s="1151">
        <f t="shared" si="68"/>
        <v>0</v>
      </c>
      <c r="BQ110" s="1150">
        <v>51</v>
      </c>
      <c r="BR110" s="1150"/>
      <c r="BS110" s="1150"/>
      <c r="BT110" s="1151">
        <f t="shared" si="69"/>
        <v>51</v>
      </c>
    </row>
    <row r="111" spans="1:72" s="212" customFormat="1" ht="15" x14ac:dyDescent="0.25">
      <c r="A111" s="5448"/>
      <c r="B111" s="5450"/>
      <c r="C111" s="1577"/>
      <c r="D111" s="1154" t="s">
        <v>451</v>
      </c>
      <c r="E111" s="1155">
        <f t="shared" ref="E111:AJ111" si="71">SUM(E97:E110)</f>
        <v>53</v>
      </c>
      <c r="F111" s="1156">
        <f t="shared" si="71"/>
        <v>15</v>
      </c>
      <c r="G111" s="1156">
        <f t="shared" si="71"/>
        <v>18</v>
      </c>
      <c r="H111" s="1185">
        <f t="shared" si="71"/>
        <v>86</v>
      </c>
      <c r="I111" s="1155">
        <f t="shared" si="71"/>
        <v>58</v>
      </c>
      <c r="J111" s="1156">
        <f t="shared" si="71"/>
        <v>39</v>
      </c>
      <c r="K111" s="1156">
        <f t="shared" si="71"/>
        <v>114</v>
      </c>
      <c r="L111" s="1185">
        <f t="shared" si="71"/>
        <v>211</v>
      </c>
      <c r="M111" s="1155">
        <f t="shared" si="71"/>
        <v>79</v>
      </c>
      <c r="N111" s="1156">
        <f t="shared" si="71"/>
        <v>29</v>
      </c>
      <c r="O111" s="1156">
        <f t="shared" si="71"/>
        <v>49</v>
      </c>
      <c r="P111" s="1185">
        <f t="shared" si="71"/>
        <v>157</v>
      </c>
      <c r="Q111" s="1155">
        <f t="shared" si="71"/>
        <v>30</v>
      </c>
      <c r="R111" s="1156">
        <f t="shared" si="71"/>
        <v>59</v>
      </c>
      <c r="S111" s="1156">
        <f t="shared" si="71"/>
        <v>105</v>
      </c>
      <c r="T111" s="1185">
        <f t="shared" si="71"/>
        <v>194</v>
      </c>
      <c r="U111" s="1155">
        <f t="shared" si="71"/>
        <v>51</v>
      </c>
      <c r="V111" s="1156">
        <f t="shared" si="71"/>
        <v>13</v>
      </c>
      <c r="W111" s="1156">
        <f t="shared" si="71"/>
        <v>43</v>
      </c>
      <c r="X111" s="1185">
        <f t="shared" si="71"/>
        <v>107</v>
      </c>
      <c r="Y111" s="1156">
        <f t="shared" si="71"/>
        <v>11</v>
      </c>
      <c r="Z111" s="1156">
        <f t="shared" si="71"/>
        <v>0</v>
      </c>
      <c r="AA111" s="1156">
        <f t="shared" si="71"/>
        <v>126</v>
      </c>
      <c r="AB111" s="1185">
        <f t="shared" si="71"/>
        <v>137</v>
      </c>
      <c r="AC111" s="1156">
        <f t="shared" si="71"/>
        <v>49</v>
      </c>
      <c r="AD111" s="1156">
        <f t="shared" si="71"/>
        <v>0</v>
      </c>
      <c r="AE111" s="1156">
        <f t="shared" si="71"/>
        <v>40</v>
      </c>
      <c r="AF111" s="1185">
        <f t="shared" si="71"/>
        <v>89</v>
      </c>
      <c r="AG111" s="1156">
        <f t="shared" si="71"/>
        <v>12</v>
      </c>
      <c r="AH111" s="1156">
        <f t="shared" si="71"/>
        <v>0</v>
      </c>
      <c r="AI111" s="1156">
        <f t="shared" si="71"/>
        <v>120</v>
      </c>
      <c r="AJ111" s="1185">
        <f t="shared" si="71"/>
        <v>132</v>
      </c>
      <c r="AK111" s="1156">
        <f t="shared" ref="AK111:BH111" si="72">SUM(AK97:AK110)</f>
        <v>71</v>
      </c>
      <c r="AL111" s="1156">
        <f t="shared" si="72"/>
        <v>11</v>
      </c>
      <c r="AM111" s="1156">
        <f t="shared" si="72"/>
        <v>66</v>
      </c>
      <c r="AN111" s="1185">
        <f t="shared" si="72"/>
        <v>148</v>
      </c>
      <c r="AO111" s="1156">
        <f t="shared" si="72"/>
        <v>14</v>
      </c>
      <c r="AP111" s="1156">
        <f t="shared" si="72"/>
        <v>0</v>
      </c>
      <c r="AQ111" s="1156">
        <f t="shared" si="72"/>
        <v>136</v>
      </c>
      <c r="AR111" s="1185">
        <f t="shared" si="72"/>
        <v>150</v>
      </c>
      <c r="AS111" s="1156">
        <f t="shared" si="72"/>
        <v>46</v>
      </c>
      <c r="AT111" s="1156">
        <f t="shared" si="72"/>
        <v>0</v>
      </c>
      <c r="AU111" s="1156">
        <f t="shared" si="72"/>
        <v>49</v>
      </c>
      <c r="AV111" s="1185">
        <f t="shared" si="72"/>
        <v>95</v>
      </c>
      <c r="AW111" s="1156">
        <f t="shared" si="72"/>
        <v>0</v>
      </c>
      <c r="AX111" s="1156">
        <f t="shared" si="72"/>
        <v>0</v>
      </c>
      <c r="AY111" s="1156">
        <f t="shared" si="72"/>
        <v>125</v>
      </c>
      <c r="AZ111" s="1185">
        <f t="shared" si="72"/>
        <v>125</v>
      </c>
      <c r="BA111" s="1156">
        <f t="shared" si="72"/>
        <v>49</v>
      </c>
      <c r="BB111" s="1156">
        <f t="shared" si="72"/>
        <v>0</v>
      </c>
      <c r="BC111" s="1156">
        <f t="shared" si="72"/>
        <v>78</v>
      </c>
      <c r="BD111" s="1185">
        <f t="shared" si="72"/>
        <v>127</v>
      </c>
      <c r="BE111" s="1156">
        <f t="shared" si="72"/>
        <v>19</v>
      </c>
      <c r="BF111" s="1156">
        <f t="shared" si="72"/>
        <v>0</v>
      </c>
      <c r="BG111" s="1156">
        <f t="shared" si="72"/>
        <v>139</v>
      </c>
      <c r="BH111" s="1185">
        <f t="shared" si="72"/>
        <v>158</v>
      </c>
      <c r="BI111" s="1156">
        <f t="shared" ref="BI111:BP111" si="73">SUM(BI97:BI110)</f>
        <v>54</v>
      </c>
      <c r="BJ111" s="1156">
        <f t="shared" si="73"/>
        <v>0</v>
      </c>
      <c r="BK111" s="1156">
        <f t="shared" si="73"/>
        <v>51</v>
      </c>
      <c r="BL111" s="1185">
        <f t="shared" si="73"/>
        <v>105</v>
      </c>
      <c r="BM111" s="1156">
        <f t="shared" si="73"/>
        <v>21</v>
      </c>
      <c r="BN111" s="1156">
        <f t="shared" si="73"/>
        <v>0</v>
      </c>
      <c r="BO111" s="1156">
        <f t="shared" si="73"/>
        <v>151</v>
      </c>
      <c r="BP111" s="1185">
        <f t="shared" si="73"/>
        <v>172</v>
      </c>
      <c r="BQ111" s="1156">
        <f t="shared" ref="BQ111:BT111" si="74">SUM(BQ97:BQ110)</f>
        <v>51</v>
      </c>
      <c r="BR111" s="1156">
        <f t="shared" si="74"/>
        <v>1</v>
      </c>
      <c r="BS111" s="1156">
        <f t="shared" si="74"/>
        <v>58</v>
      </c>
      <c r="BT111" s="1185">
        <f t="shared" si="74"/>
        <v>110</v>
      </c>
    </row>
    <row r="112" spans="1:72" s="212" customFormat="1" ht="15" x14ac:dyDescent="0.25">
      <c r="A112" s="5448"/>
      <c r="B112" s="5447" t="s">
        <v>11</v>
      </c>
      <c r="C112" s="5447" t="s">
        <v>528</v>
      </c>
      <c r="D112" s="1158" t="s">
        <v>395</v>
      </c>
      <c r="E112" s="1184"/>
      <c r="F112" s="1160"/>
      <c r="G112" s="1160"/>
      <c r="H112" s="1161"/>
      <c r="I112" s="1184">
        <v>3</v>
      </c>
      <c r="J112" s="1160"/>
      <c r="K112" s="1160"/>
      <c r="L112" s="1161">
        <v>3</v>
      </c>
      <c r="M112" s="1184">
        <v>1</v>
      </c>
      <c r="N112" s="1160"/>
      <c r="O112" s="1160"/>
      <c r="P112" s="1161">
        <v>1</v>
      </c>
      <c r="Q112" s="1184">
        <v>10</v>
      </c>
      <c r="R112" s="1160"/>
      <c r="S112" s="1160"/>
      <c r="T112" s="1161">
        <v>10</v>
      </c>
      <c r="U112" s="1184">
        <v>8</v>
      </c>
      <c r="V112" s="1160"/>
      <c r="W112" s="1160"/>
      <c r="X112" s="1161">
        <f>SUM(U112:W112)</f>
        <v>8</v>
      </c>
      <c r="Y112" s="1162">
        <v>10</v>
      </c>
      <c r="Z112" s="1162"/>
      <c r="AA112" s="1162"/>
      <c r="AB112" s="1161">
        <f>SUM(Y112:AA112)</f>
        <v>10</v>
      </c>
      <c r="AC112" s="1162"/>
      <c r="AD112" s="1162"/>
      <c r="AE112" s="1162"/>
      <c r="AF112" s="1161"/>
      <c r="AG112" s="1162">
        <v>13</v>
      </c>
      <c r="AH112" s="1162"/>
      <c r="AI112" s="1162"/>
      <c r="AJ112" s="1161">
        <f>SUM(AG112:AI112)</f>
        <v>13</v>
      </c>
      <c r="AK112" s="1162">
        <v>8</v>
      </c>
      <c r="AL112" s="1162"/>
      <c r="AM112" s="1162"/>
      <c r="AN112" s="1161">
        <f>SUM(AK112:AM112)</f>
        <v>8</v>
      </c>
      <c r="AO112" s="1162">
        <v>12</v>
      </c>
      <c r="AP112" s="1162"/>
      <c r="AQ112" s="1162"/>
      <c r="AR112" s="1163">
        <f>SUM(AO112:AQ112)</f>
        <v>12</v>
      </c>
      <c r="AS112" s="1162"/>
      <c r="AT112" s="1162"/>
      <c r="AU112" s="1162"/>
      <c r="AV112" s="1163"/>
      <c r="AW112" s="1162"/>
      <c r="AX112" s="1162"/>
      <c r="AY112" s="1162"/>
      <c r="AZ112" s="1163"/>
      <c r="BA112" s="1162">
        <v>12</v>
      </c>
      <c r="BB112" s="1162"/>
      <c r="BC112" s="1162"/>
      <c r="BD112" s="1163">
        <f>BA112+BB112+BC112</f>
        <v>12</v>
      </c>
      <c r="BE112" s="1162"/>
      <c r="BF112" s="1162"/>
      <c r="BG112" s="1162"/>
      <c r="BH112" s="1163"/>
      <c r="BI112" s="1162">
        <v>12</v>
      </c>
      <c r="BJ112" s="1162"/>
      <c r="BK112" s="1162"/>
      <c r="BL112" s="1151">
        <f t="shared" ref="BL112:BL125" si="75">BI112+BJ112+BK112</f>
        <v>12</v>
      </c>
      <c r="BM112" s="1162"/>
      <c r="BN112" s="1162"/>
      <c r="BO112" s="1162"/>
      <c r="BP112" s="1151">
        <f t="shared" ref="BP112:BP125" si="76">BM112+BN112+BO112</f>
        <v>0</v>
      </c>
      <c r="BQ112" s="1162"/>
      <c r="BR112" s="1162"/>
      <c r="BS112" s="1162"/>
      <c r="BT112" s="1151">
        <f t="shared" ref="BT112:BT125" si="77">BQ112+BR112+BS112</f>
        <v>0</v>
      </c>
    </row>
    <row r="113" spans="1:72" s="212" customFormat="1" ht="15" x14ac:dyDescent="0.25">
      <c r="A113" s="5448"/>
      <c r="B113" s="5448"/>
      <c r="C113" s="5448"/>
      <c r="D113" s="1148" t="s">
        <v>397</v>
      </c>
      <c r="E113" s="1167">
        <v>11</v>
      </c>
      <c r="F113" s="1164"/>
      <c r="G113" s="1164"/>
      <c r="H113" s="1165">
        <v>11</v>
      </c>
      <c r="I113" s="1167">
        <v>9</v>
      </c>
      <c r="J113" s="1164"/>
      <c r="K113" s="1164"/>
      <c r="L113" s="1165">
        <v>9</v>
      </c>
      <c r="M113" s="1167">
        <v>9</v>
      </c>
      <c r="N113" s="1164"/>
      <c r="O113" s="1164"/>
      <c r="P113" s="1165">
        <v>9</v>
      </c>
      <c r="Q113" s="1167">
        <v>2</v>
      </c>
      <c r="R113" s="1164"/>
      <c r="S113" s="1164"/>
      <c r="T113" s="1165">
        <v>2</v>
      </c>
      <c r="U113" s="1167">
        <v>4</v>
      </c>
      <c r="V113" s="1164"/>
      <c r="W113" s="1164"/>
      <c r="X113" s="1165">
        <f>SUM(U113:W113)</f>
        <v>4</v>
      </c>
      <c r="Y113" s="1166"/>
      <c r="Z113" s="1166"/>
      <c r="AA113" s="1166"/>
      <c r="AB113" s="1165"/>
      <c r="AC113" s="1166"/>
      <c r="AD113" s="1166"/>
      <c r="AE113" s="1166"/>
      <c r="AF113" s="1165"/>
      <c r="AG113" s="1166"/>
      <c r="AH113" s="1166"/>
      <c r="AI113" s="1166"/>
      <c r="AJ113" s="1165"/>
      <c r="AK113" s="1166"/>
      <c r="AL113" s="1166"/>
      <c r="AM113" s="1166"/>
      <c r="AN113" s="1165"/>
      <c r="AO113" s="1166"/>
      <c r="AP113" s="1166"/>
      <c r="AQ113" s="1166"/>
      <c r="AR113" s="1151"/>
      <c r="AS113" s="1166">
        <v>10</v>
      </c>
      <c r="AT113" s="1166" t="s">
        <v>227</v>
      </c>
      <c r="AU113" s="1166" t="s">
        <v>227</v>
      </c>
      <c r="AV113" s="1151">
        <f t="shared" ref="AV113:AV130" si="78">SUM(AS113:AU113)</f>
        <v>10</v>
      </c>
      <c r="AW113" s="1166"/>
      <c r="AX113" s="1166"/>
      <c r="AY113" s="1166"/>
      <c r="AZ113" s="1151"/>
      <c r="BA113" s="1166"/>
      <c r="BB113" s="1166"/>
      <c r="BC113" s="1166"/>
      <c r="BD113" s="1151"/>
      <c r="BE113" s="1166"/>
      <c r="BF113" s="1166"/>
      <c r="BG113" s="1166"/>
      <c r="BH113" s="1151"/>
      <c r="BI113" s="1166"/>
      <c r="BJ113" s="1166"/>
      <c r="BK113" s="1166"/>
      <c r="BL113" s="1151">
        <f t="shared" si="75"/>
        <v>0</v>
      </c>
      <c r="BM113" s="1166"/>
      <c r="BN113" s="1166"/>
      <c r="BO113" s="1166"/>
      <c r="BP113" s="1151">
        <f t="shared" si="76"/>
        <v>0</v>
      </c>
      <c r="BQ113" s="1166"/>
      <c r="BR113" s="1166"/>
      <c r="BS113" s="1166"/>
      <c r="BT113" s="1151">
        <f t="shared" si="77"/>
        <v>0</v>
      </c>
    </row>
    <row r="114" spans="1:72" s="212" customFormat="1" ht="15" x14ac:dyDescent="0.25">
      <c r="A114" s="5448"/>
      <c r="B114" s="5448"/>
      <c r="C114" s="5450"/>
      <c r="D114" s="1148" t="s">
        <v>91</v>
      </c>
      <c r="E114" s="1167"/>
      <c r="F114" s="1164"/>
      <c r="G114" s="1164">
        <v>11</v>
      </c>
      <c r="H114" s="1165">
        <v>11</v>
      </c>
      <c r="I114" s="1167"/>
      <c r="J114" s="1164"/>
      <c r="K114" s="1164"/>
      <c r="L114" s="1165"/>
      <c r="M114" s="1167">
        <v>4</v>
      </c>
      <c r="N114" s="1164">
        <v>1</v>
      </c>
      <c r="O114" s="1164">
        <v>15</v>
      </c>
      <c r="P114" s="1165">
        <v>20</v>
      </c>
      <c r="Q114" s="1167"/>
      <c r="R114" s="1164"/>
      <c r="S114" s="1164">
        <v>1</v>
      </c>
      <c r="T114" s="1165">
        <v>1</v>
      </c>
      <c r="U114" s="1167"/>
      <c r="V114" s="1164"/>
      <c r="W114" s="1164"/>
      <c r="X114" s="1165"/>
      <c r="Y114" s="1166"/>
      <c r="Z114" s="1166"/>
      <c r="AA114" s="1166"/>
      <c r="AB114" s="1165"/>
      <c r="AC114" s="1166"/>
      <c r="AD114" s="1166"/>
      <c r="AE114" s="1166"/>
      <c r="AF114" s="1165"/>
      <c r="AG114" s="1166"/>
      <c r="AH114" s="1166"/>
      <c r="AI114" s="1166"/>
      <c r="AJ114" s="1165"/>
      <c r="AK114" s="1166"/>
      <c r="AL114" s="1166"/>
      <c r="AM114" s="1166"/>
      <c r="AN114" s="1165"/>
      <c r="AO114" s="1166"/>
      <c r="AP114" s="1166"/>
      <c r="AQ114" s="1166"/>
      <c r="AR114" s="1151"/>
      <c r="AS114" s="1166"/>
      <c r="AT114" s="1166"/>
      <c r="AU114" s="1166"/>
      <c r="AV114" s="1151"/>
      <c r="AW114" s="1166"/>
      <c r="AX114" s="1166"/>
      <c r="AY114" s="1166"/>
      <c r="AZ114" s="1151"/>
      <c r="BA114" s="1166"/>
      <c r="BB114" s="1166"/>
      <c r="BC114" s="1166">
        <v>19</v>
      </c>
      <c r="BD114" s="1151">
        <f>BA114+BB114+BC114</f>
        <v>19</v>
      </c>
      <c r="BE114" s="1166"/>
      <c r="BF114" s="1166"/>
      <c r="BG114" s="1166"/>
      <c r="BH114" s="1151"/>
      <c r="BI114" s="1166"/>
      <c r="BJ114" s="1166"/>
      <c r="BK114" s="1166">
        <v>1</v>
      </c>
      <c r="BL114" s="1151">
        <f t="shared" si="75"/>
        <v>1</v>
      </c>
      <c r="BM114" s="1166"/>
      <c r="BN114" s="1166"/>
      <c r="BO114" s="1166"/>
      <c r="BP114" s="1151">
        <f t="shared" si="76"/>
        <v>0</v>
      </c>
      <c r="BQ114" s="1166"/>
      <c r="BR114" s="1166"/>
      <c r="BS114" s="1166"/>
      <c r="BT114" s="1151">
        <f t="shared" si="77"/>
        <v>0</v>
      </c>
    </row>
    <row r="115" spans="1:72" s="212" customFormat="1" ht="15" x14ac:dyDescent="0.25">
      <c r="A115" s="5448"/>
      <c r="B115" s="5448"/>
      <c r="C115" s="5447" t="s">
        <v>527</v>
      </c>
      <c r="D115" s="1148" t="s">
        <v>396</v>
      </c>
      <c r="E115" s="1167"/>
      <c r="F115" s="1164"/>
      <c r="G115" s="1164"/>
      <c r="H115" s="1165"/>
      <c r="I115" s="1167"/>
      <c r="J115" s="1164"/>
      <c r="K115" s="1164"/>
      <c r="L115" s="1165"/>
      <c r="M115" s="1167"/>
      <c r="N115" s="1164"/>
      <c r="O115" s="1164"/>
      <c r="P115" s="1165"/>
      <c r="Q115" s="1167"/>
      <c r="R115" s="1164"/>
      <c r="S115" s="1164"/>
      <c r="T115" s="1165"/>
      <c r="U115" s="1167"/>
      <c r="V115" s="1164"/>
      <c r="W115" s="1164"/>
      <c r="X115" s="1165"/>
      <c r="Y115" s="1166"/>
      <c r="Z115" s="1166"/>
      <c r="AA115" s="1166"/>
      <c r="AB115" s="1165"/>
      <c r="AC115" s="1166"/>
      <c r="AD115" s="1166"/>
      <c r="AE115" s="1166"/>
      <c r="AF115" s="1165"/>
      <c r="AG115" s="1166"/>
      <c r="AH115" s="1166"/>
      <c r="AI115" s="1166"/>
      <c r="AJ115" s="1165"/>
      <c r="AK115" s="1166"/>
      <c r="AL115" s="1166"/>
      <c r="AM115" s="1166"/>
      <c r="AN115" s="1165"/>
      <c r="AO115" s="1166"/>
      <c r="AP115" s="1166"/>
      <c r="AQ115" s="1166"/>
      <c r="AR115" s="1151"/>
      <c r="AS115" s="1166"/>
      <c r="AT115" s="1166"/>
      <c r="AU115" s="1166"/>
      <c r="AV115" s="1151"/>
      <c r="AW115" s="1166">
        <v>5</v>
      </c>
      <c r="AX115" s="1166"/>
      <c r="AY115" s="1166"/>
      <c r="AZ115" s="1151">
        <f>AW115+AX115+AY115</f>
        <v>5</v>
      </c>
      <c r="BA115" s="1166"/>
      <c r="BB115" s="1166"/>
      <c r="BC115" s="1166"/>
      <c r="BD115" s="1151"/>
      <c r="BE115" s="1166">
        <v>10</v>
      </c>
      <c r="BF115" s="1166"/>
      <c r="BG115" s="1166"/>
      <c r="BH115" s="1151">
        <f>BE115+BF115+BG115</f>
        <v>10</v>
      </c>
      <c r="BI115" s="1166"/>
      <c r="BJ115" s="1166"/>
      <c r="BK115" s="1166"/>
      <c r="BL115" s="1151">
        <f t="shared" si="75"/>
        <v>0</v>
      </c>
      <c r="BM115" s="1166"/>
      <c r="BN115" s="1166"/>
      <c r="BO115" s="1166"/>
      <c r="BP115" s="1151">
        <f t="shared" si="76"/>
        <v>0</v>
      </c>
      <c r="BQ115" s="1166">
        <v>12</v>
      </c>
      <c r="BR115" s="1166"/>
      <c r="BS115" s="1166"/>
      <c r="BT115" s="1151">
        <f t="shared" si="77"/>
        <v>12</v>
      </c>
    </row>
    <row r="116" spans="1:72" s="212" customFormat="1" ht="15" x14ac:dyDescent="0.25">
      <c r="A116" s="5448"/>
      <c r="B116" s="5448"/>
      <c r="C116" s="5448"/>
      <c r="D116" s="1148" t="s">
        <v>94</v>
      </c>
      <c r="E116" s="1167"/>
      <c r="F116" s="1164"/>
      <c r="G116" s="1164">
        <v>4</v>
      </c>
      <c r="H116" s="1165">
        <v>4</v>
      </c>
      <c r="I116" s="1167"/>
      <c r="J116" s="1164"/>
      <c r="K116" s="1164">
        <v>7</v>
      </c>
      <c r="L116" s="1165">
        <v>7</v>
      </c>
      <c r="M116" s="1167"/>
      <c r="N116" s="1164"/>
      <c r="O116" s="1164"/>
      <c r="P116" s="1165"/>
      <c r="Q116" s="1167"/>
      <c r="R116" s="1164"/>
      <c r="S116" s="1164">
        <v>15</v>
      </c>
      <c r="T116" s="1165">
        <v>15</v>
      </c>
      <c r="U116" s="1167"/>
      <c r="V116" s="1164"/>
      <c r="W116" s="1164">
        <v>15</v>
      </c>
      <c r="X116" s="1165">
        <f t="shared" ref="X116:X124" si="79">SUM(U116:W116)</f>
        <v>15</v>
      </c>
      <c r="Y116" s="1166"/>
      <c r="Z116" s="1166"/>
      <c r="AA116" s="1166"/>
      <c r="AB116" s="1165"/>
      <c r="AC116" s="1166"/>
      <c r="AD116" s="1166"/>
      <c r="AE116" s="1166">
        <v>13</v>
      </c>
      <c r="AF116" s="1165">
        <f t="shared" ref="AF116:AF127" si="80">SUM(AC116:AE116)</f>
        <v>13</v>
      </c>
      <c r="AG116" s="1166"/>
      <c r="AH116" s="1166"/>
      <c r="AI116" s="1166"/>
      <c r="AJ116" s="1165"/>
      <c r="AK116" s="1166"/>
      <c r="AL116" s="1166"/>
      <c r="AM116" s="1166">
        <v>15</v>
      </c>
      <c r="AN116" s="1165">
        <f t="shared" ref="AN116:AN130" si="81">SUM(AK116:AM116)</f>
        <v>15</v>
      </c>
      <c r="AO116" s="1166"/>
      <c r="AP116" s="1166"/>
      <c r="AQ116" s="1166"/>
      <c r="AR116" s="1151"/>
      <c r="AS116" s="1166" t="s">
        <v>227</v>
      </c>
      <c r="AT116" s="1166"/>
      <c r="AU116" s="1166">
        <v>14</v>
      </c>
      <c r="AV116" s="1151">
        <f t="shared" si="78"/>
        <v>14</v>
      </c>
      <c r="AW116" s="1166"/>
      <c r="AX116" s="1166"/>
      <c r="AY116" s="1166"/>
      <c r="AZ116" s="1151"/>
      <c r="BA116" s="1166"/>
      <c r="BB116" s="1166"/>
      <c r="BC116" s="1166"/>
      <c r="BD116" s="1151"/>
      <c r="BE116" s="1166"/>
      <c r="BF116" s="1166"/>
      <c r="BG116" s="1166">
        <v>4</v>
      </c>
      <c r="BH116" s="1151">
        <f>BE116+BF116+BG116</f>
        <v>4</v>
      </c>
      <c r="BI116" s="1166"/>
      <c r="BJ116" s="1166"/>
      <c r="BK116" s="1166">
        <v>10</v>
      </c>
      <c r="BL116" s="1151">
        <f t="shared" si="75"/>
        <v>10</v>
      </c>
      <c r="BM116" s="1166"/>
      <c r="BN116" s="1166"/>
      <c r="BO116" s="1166">
        <v>1</v>
      </c>
      <c r="BP116" s="1151">
        <f t="shared" si="76"/>
        <v>1</v>
      </c>
      <c r="BQ116" s="1166"/>
      <c r="BR116" s="1166"/>
      <c r="BS116" s="1166">
        <v>12</v>
      </c>
      <c r="BT116" s="1151">
        <f t="shared" si="77"/>
        <v>12</v>
      </c>
    </row>
    <row r="117" spans="1:72" s="212" customFormat="1" ht="15" x14ac:dyDescent="0.25">
      <c r="A117" s="5448"/>
      <c r="B117" s="5448"/>
      <c r="C117" s="5448"/>
      <c r="D117" s="1148" t="s">
        <v>93</v>
      </c>
      <c r="E117" s="1167">
        <v>12</v>
      </c>
      <c r="F117" s="1164"/>
      <c r="G117" s="1164"/>
      <c r="H117" s="1165">
        <v>12</v>
      </c>
      <c r="I117" s="1167">
        <v>30</v>
      </c>
      <c r="J117" s="1164"/>
      <c r="K117" s="1164"/>
      <c r="L117" s="1165">
        <v>30</v>
      </c>
      <c r="M117" s="1167">
        <v>25</v>
      </c>
      <c r="N117" s="1164"/>
      <c r="O117" s="1164"/>
      <c r="P117" s="1165">
        <v>25</v>
      </c>
      <c r="Q117" s="1167">
        <v>15</v>
      </c>
      <c r="R117" s="1164"/>
      <c r="S117" s="1164"/>
      <c r="T117" s="1165">
        <v>15</v>
      </c>
      <c r="U117" s="1167">
        <v>10</v>
      </c>
      <c r="V117" s="1164"/>
      <c r="W117" s="1164"/>
      <c r="X117" s="1165">
        <f t="shared" si="79"/>
        <v>10</v>
      </c>
      <c r="Y117" s="1166">
        <v>12</v>
      </c>
      <c r="Z117" s="1166"/>
      <c r="AA117" s="1166"/>
      <c r="AB117" s="1165">
        <f t="shared" ref="AB117:AB130" si="82">SUM(Y117:AA117)</f>
        <v>12</v>
      </c>
      <c r="AC117" s="1166"/>
      <c r="AD117" s="1166"/>
      <c r="AE117" s="1166">
        <v>14</v>
      </c>
      <c r="AF117" s="1165">
        <f t="shared" si="80"/>
        <v>14</v>
      </c>
      <c r="AG117" s="1166"/>
      <c r="AH117" s="1166"/>
      <c r="AI117" s="1166">
        <v>13</v>
      </c>
      <c r="AJ117" s="1165">
        <f t="shared" ref="AJ117:AJ130" si="83">SUM(AG117:AI117)</f>
        <v>13</v>
      </c>
      <c r="AK117" s="1166"/>
      <c r="AL117" s="1166"/>
      <c r="AM117" s="1166">
        <v>12</v>
      </c>
      <c r="AN117" s="1165">
        <f t="shared" si="81"/>
        <v>12</v>
      </c>
      <c r="AO117" s="1166"/>
      <c r="AP117" s="1166"/>
      <c r="AQ117" s="1166">
        <v>14</v>
      </c>
      <c r="AR117" s="1151">
        <f>SUM(AO117:AQ117)</f>
        <v>14</v>
      </c>
      <c r="AS117" s="1166" t="s">
        <v>227</v>
      </c>
      <c r="AT117" s="1166"/>
      <c r="AU117" s="1166">
        <v>16</v>
      </c>
      <c r="AV117" s="1151">
        <f t="shared" si="78"/>
        <v>16</v>
      </c>
      <c r="AW117" s="1166"/>
      <c r="AX117" s="1166"/>
      <c r="AY117" s="1166">
        <v>15</v>
      </c>
      <c r="AZ117" s="1151">
        <f t="shared" ref="AZ117:AZ130" si="84">AW117+AX117+AY117</f>
        <v>15</v>
      </c>
      <c r="BA117" s="1166"/>
      <c r="BB117" s="1166"/>
      <c r="BC117" s="1166">
        <v>14</v>
      </c>
      <c r="BD117" s="1151">
        <f t="shared" ref="BD117:BD129" si="85">BA117+BB117+BC117</f>
        <v>14</v>
      </c>
      <c r="BE117" s="1166"/>
      <c r="BF117" s="1166"/>
      <c r="BG117" s="1166">
        <v>14</v>
      </c>
      <c r="BH117" s="1151">
        <f>BE117+BF117+BG117</f>
        <v>14</v>
      </c>
      <c r="BI117" s="1166"/>
      <c r="BJ117" s="1166"/>
      <c r="BK117" s="1166">
        <v>16</v>
      </c>
      <c r="BL117" s="1151">
        <f t="shared" si="75"/>
        <v>16</v>
      </c>
      <c r="BM117" s="1166"/>
      <c r="BN117" s="1166"/>
      <c r="BO117" s="1166">
        <v>16</v>
      </c>
      <c r="BP117" s="1151">
        <f t="shared" si="76"/>
        <v>16</v>
      </c>
      <c r="BQ117" s="1166"/>
      <c r="BR117" s="1166"/>
      <c r="BS117" s="1166">
        <v>13</v>
      </c>
      <c r="BT117" s="1151">
        <f t="shared" si="77"/>
        <v>13</v>
      </c>
    </row>
    <row r="118" spans="1:72" s="212" customFormat="1" ht="15" x14ac:dyDescent="0.25">
      <c r="A118" s="5448"/>
      <c r="B118" s="5448"/>
      <c r="C118" s="5448"/>
      <c r="D118" s="1148" t="s">
        <v>398</v>
      </c>
      <c r="E118" s="1167"/>
      <c r="F118" s="1164"/>
      <c r="G118" s="1164"/>
      <c r="H118" s="1165"/>
      <c r="I118" s="1167">
        <v>15</v>
      </c>
      <c r="J118" s="1164"/>
      <c r="K118" s="1164"/>
      <c r="L118" s="1165">
        <v>15</v>
      </c>
      <c r="M118" s="1167"/>
      <c r="N118" s="1164"/>
      <c r="O118" s="1164">
        <v>10</v>
      </c>
      <c r="P118" s="1165">
        <v>10</v>
      </c>
      <c r="Q118" s="1167"/>
      <c r="R118" s="1164"/>
      <c r="S118" s="1164"/>
      <c r="T118" s="1165"/>
      <c r="U118" s="1167"/>
      <c r="V118" s="1164">
        <v>9</v>
      </c>
      <c r="W118" s="1164"/>
      <c r="X118" s="1165">
        <f t="shared" si="79"/>
        <v>9</v>
      </c>
      <c r="Y118" s="1166"/>
      <c r="Z118" s="1166"/>
      <c r="AA118" s="1166"/>
      <c r="AB118" s="1165"/>
      <c r="AC118" s="1166">
        <v>12</v>
      </c>
      <c r="AD118" s="1166"/>
      <c r="AE118" s="1166"/>
      <c r="AF118" s="1165">
        <f t="shared" si="80"/>
        <v>12</v>
      </c>
      <c r="AG118" s="1166"/>
      <c r="AH118" s="1166"/>
      <c r="AI118" s="1166">
        <v>10</v>
      </c>
      <c r="AJ118" s="1165">
        <f t="shared" si="83"/>
        <v>10</v>
      </c>
      <c r="AK118" s="1166"/>
      <c r="AL118" s="1166"/>
      <c r="AM118" s="1166"/>
      <c r="AN118" s="1165"/>
      <c r="AO118" s="1166"/>
      <c r="AP118" s="1166">
        <v>10</v>
      </c>
      <c r="AQ118" s="1166"/>
      <c r="AR118" s="1151">
        <f>SUM(AO118:AQ118)</f>
        <v>10</v>
      </c>
      <c r="AS118" s="1166"/>
      <c r="AT118" s="1166"/>
      <c r="AU118" s="1166"/>
      <c r="AV118" s="1151">
        <f t="shared" si="78"/>
        <v>0</v>
      </c>
      <c r="AW118" s="1166">
        <v>10</v>
      </c>
      <c r="AX118" s="1166"/>
      <c r="AY118" s="1166"/>
      <c r="AZ118" s="1151">
        <f t="shared" si="84"/>
        <v>10</v>
      </c>
      <c r="BA118" s="1166"/>
      <c r="BB118" s="1166"/>
      <c r="BC118" s="1166">
        <v>13</v>
      </c>
      <c r="BD118" s="1151">
        <f t="shared" si="85"/>
        <v>13</v>
      </c>
      <c r="BE118" s="1166"/>
      <c r="BF118" s="1166"/>
      <c r="BG118" s="1166"/>
      <c r="BH118" s="1151"/>
      <c r="BI118" s="1166"/>
      <c r="BJ118" s="1166">
        <v>14</v>
      </c>
      <c r="BK118" s="1166"/>
      <c r="BL118" s="1151">
        <f t="shared" si="75"/>
        <v>14</v>
      </c>
      <c r="BM118" s="1166"/>
      <c r="BN118" s="1166"/>
      <c r="BO118" s="1166"/>
      <c r="BP118" s="1151">
        <f t="shared" si="76"/>
        <v>0</v>
      </c>
      <c r="BQ118" s="1166">
        <v>15</v>
      </c>
      <c r="BR118" s="1166"/>
      <c r="BS118" s="1166"/>
      <c r="BT118" s="1151">
        <f t="shared" si="77"/>
        <v>15</v>
      </c>
    </row>
    <row r="119" spans="1:72" s="212" customFormat="1" ht="15" x14ac:dyDescent="0.25">
      <c r="A119" s="5448"/>
      <c r="B119" s="5448"/>
      <c r="C119" s="5448"/>
      <c r="D119" s="1148" t="s">
        <v>569</v>
      </c>
      <c r="E119" s="1167"/>
      <c r="F119" s="1164"/>
      <c r="G119" s="1164">
        <v>15</v>
      </c>
      <c r="H119" s="1165">
        <v>15</v>
      </c>
      <c r="I119" s="1167"/>
      <c r="J119" s="1164"/>
      <c r="K119" s="1164"/>
      <c r="L119" s="1165"/>
      <c r="M119" s="1167"/>
      <c r="N119" s="1164"/>
      <c r="O119" s="1164">
        <v>13</v>
      </c>
      <c r="P119" s="1165">
        <v>13</v>
      </c>
      <c r="Q119" s="1167"/>
      <c r="R119" s="1164"/>
      <c r="S119" s="1164"/>
      <c r="T119" s="1165"/>
      <c r="U119" s="1167"/>
      <c r="V119" s="1164"/>
      <c r="W119" s="1164">
        <v>9</v>
      </c>
      <c r="X119" s="1165">
        <f t="shared" si="79"/>
        <v>9</v>
      </c>
      <c r="Y119" s="1166"/>
      <c r="Z119" s="1166"/>
      <c r="AA119" s="1166"/>
      <c r="AB119" s="1165"/>
      <c r="AC119" s="1166"/>
      <c r="AD119" s="1166"/>
      <c r="AE119" s="1166">
        <v>5</v>
      </c>
      <c r="AF119" s="1165">
        <f t="shared" si="80"/>
        <v>5</v>
      </c>
      <c r="AG119" s="1166"/>
      <c r="AH119" s="1166"/>
      <c r="AI119" s="1166"/>
      <c r="AJ119" s="1165"/>
      <c r="AK119" s="1166"/>
      <c r="AL119" s="1166"/>
      <c r="AM119" s="1166">
        <v>10</v>
      </c>
      <c r="AN119" s="1165">
        <f t="shared" si="81"/>
        <v>10</v>
      </c>
      <c r="AO119" s="1166"/>
      <c r="AP119" s="1166"/>
      <c r="AQ119" s="1166"/>
      <c r="AR119" s="1151"/>
      <c r="AS119" s="1166"/>
      <c r="AT119" s="1166"/>
      <c r="AU119" s="1166"/>
      <c r="AV119" s="1151">
        <f t="shared" si="78"/>
        <v>0</v>
      </c>
      <c r="AW119" s="1166"/>
      <c r="AX119" s="1166"/>
      <c r="AY119" s="1166">
        <v>6</v>
      </c>
      <c r="AZ119" s="1151">
        <f t="shared" si="84"/>
        <v>6</v>
      </c>
      <c r="BA119" s="1166"/>
      <c r="BB119" s="1166"/>
      <c r="BC119" s="1166"/>
      <c r="BD119" s="1151"/>
      <c r="BE119" s="1166"/>
      <c r="BF119" s="1166"/>
      <c r="BG119" s="1166">
        <v>6</v>
      </c>
      <c r="BH119" s="1151">
        <f>BE119+BF119+BG119</f>
        <v>6</v>
      </c>
      <c r="BI119" s="1166"/>
      <c r="BJ119" s="1166"/>
      <c r="BK119" s="1166"/>
      <c r="BL119" s="1151">
        <f t="shared" si="75"/>
        <v>0</v>
      </c>
      <c r="BM119" s="1166"/>
      <c r="BN119" s="1166"/>
      <c r="BO119" s="1166"/>
      <c r="BP119" s="1151">
        <f t="shared" si="76"/>
        <v>0</v>
      </c>
      <c r="BQ119" s="1166"/>
      <c r="BR119" s="1166"/>
      <c r="BS119" s="1166">
        <v>7</v>
      </c>
      <c r="BT119" s="1151">
        <f t="shared" si="77"/>
        <v>7</v>
      </c>
    </row>
    <row r="120" spans="1:72" s="212" customFormat="1" ht="15" x14ac:dyDescent="0.25">
      <c r="A120" s="5448"/>
      <c r="B120" s="5448"/>
      <c r="C120" s="5448"/>
      <c r="D120" s="1148" t="s">
        <v>95</v>
      </c>
      <c r="E120" s="1167">
        <v>20</v>
      </c>
      <c r="F120" s="1164"/>
      <c r="G120" s="1164"/>
      <c r="H120" s="1165">
        <v>20</v>
      </c>
      <c r="I120" s="1167">
        <v>12</v>
      </c>
      <c r="J120" s="1164"/>
      <c r="K120" s="1164"/>
      <c r="L120" s="1165">
        <v>12</v>
      </c>
      <c r="M120" s="1167">
        <v>9</v>
      </c>
      <c r="N120" s="1164"/>
      <c r="O120" s="1164"/>
      <c r="P120" s="1165">
        <v>9</v>
      </c>
      <c r="Q120" s="1167">
        <v>8</v>
      </c>
      <c r="R120" s="1164"/>
      <c r="S120" s="1164"/>
      <c r="T120" s="1165">
        <v>8</v>
      </c>
      <c r="U120" s="1167">
        <v>10</v>
      </c>
      <c r="V120" s="1164">
        <v>2</v>
      </c>
      <c r="W120" s="1164"/>
      <c r="X120" s="1165">
        <f t="shared" si="79"/>
        <v>12</v>
      </c>
      <c r="Y120" s="1166">
        <v>5</v>
      </c>
      <c r="Z120" s="1166"/>
      <c r="AA120" s="1166">
        <v>5</v>
      </c>
      <c r="AB120" s="1165">
        <f t="shared" si="82"/>
        <v>10</v>
      </c>
      <c r="AC120" s="1166">
        <v>4</v>
      </c>
      <c r="AD120" s="1166">
        <v>4</v>
      </c>
      <c r="AE120" s="1166">
        <v>8</v>
      </c>
      <c r="AF120" s="1165">
        <f t="shared" si="80"/>
        <v>16</v>
      </c>
      <c r="AG120" s="1166">
        <v>3</v>
      </c>
      <c r="AH120" s="1166">
        <v>4</v>
      </c>
      <c r="AI120" s="1166">
        <v>2</v>
      </c>
      <c r="AJ120" s="1165">
        <f t="shared" si="83"/>
        <v>9</v>
      </c>
      <c r="AK120" s="1166">
        <v>3</v>
      </c>
      <c r="AL120" s="1166">
        <v>8</v>
      </c>
      <c r="AM120" s="1166">
        <v>4</v>
      </c>
      <c r="AN120" s="1165">
        <f t="shared" si="81"/>
        <v>15</v>
      </c>
      <c r="AO120" s="1166">
        <v>6</v>
      </c>
      <c r="AP120" s="1166">
        <v>4</v>
      </c>
      <c r="AQ120" s="1166">
        <v>11</v>
      </c>
      <c r="AR120" s="1151">
        <f>SUM(AO120:AQ120)</f>
        <v>21</v>
      </c>
      <c r="AS120" s="1166">
        <v>8</v>
      </c>
      <c r="AT120" s="1166">
        <v>6</v>
      </c>
      <c r="AU120" s="1166">
        <v>5</v>
      </c>
      <c r="AV120" s="1151">
        <f t="shared" si="78"/>
        <v>19</v>
      </c>
      <c r="AW120" s="1166">
        <v>3</v>
      </c>
      <c r="AX120" s="1166">
        <v>5</v>
      </c>
      <c r="AY120" s="1166">
        <v>1</v>
      </c>
      <c r="AZ120" s="1151">
        <f t="shared" si="84"/>
        <v>9</v>
      </c>
      <c r="BA120" s="1166">
        <v>2</v>
      </c>
      <c r="BB120" s="1166">
        <v>3</v>
      </c>
      <c r="BC120" s="1166">
        <v>4</v>
      </c>
      <c r="BD120" s="1151">
        <f t="shared" si="85"/>
        <v>9</v>
      </c>
      <c r="BE120" s="1166">
        <v>6</v>
      </c>
      <c r="BF120" s="1166">
        <v>7</v>
      </c>
      <c r="BG120" s="1166">
        <v>3</v>
      </c>
      <c r="BH120" s="1151">
        <f t="shared" ref="BH120:BH130" si="86">BE120+BF120+BG120</f>
        <v>16</v>
      </c>
      <c r="BI120" s="1166">
        <v>5</v>
      </c>
      <c r="BJ120" s="1166">
        <v>6</v>
      </c>
      <c r="BK120" s="1166">
        <v>5</v>
      </c>
      <c r="BL120" s="1151">
        <f t="shared" si="75"/>
        <v>16</v>
      </c>
      <c r="BM120" s="1166">
        <v>6</v>
      </c>
      <c r="BN120" s="1166">
        <v>7</v>
      </c>
      <c r="BO120" s="1166">
        <v>5</v>
      </c>
      <c r="BP120" s="1151">
        <f t="shared" si="76"/>
        <v>18</v>
      </c>
      <c r="BQ120" s="1166">
        <v>4</v>
      </c>
      <c r="BR120" s="1166">
        <v>7</v>
      </c>
      <c r="BS120" s="1166">
        <v>3</v>
      </c>
      <c r="BT120" s="1151">
        <f t="shared" si="77"/>
        <v>14</v>
      </c>
    </row>
    <row r="121" spans="1:72" s="212" customFormat="1" ht="15" x14ac:dyDescent="0.25">
      <c r="A121" s="5448"/>
      <c r="B121" s="5448"/>
      <c r="C121" s="5448"/>
      <c r="D121" s="1148" t="s">
        <v>92</v>
      </c>
      <c r="E121" s="1167"/>
      <c r="F121" s="1164"/>
      <c r="G121" s="1164"/>
      <c r="H121" s="1165"/>
      <c r="I121" s="1167"/>
      <c r="J121" s="1164"/>
      <c r="K121" s="1164"/>
      <c r="L121" s="1165"/>
      <c r="M121" s="1167"/>
      <c r="N121" s="1164"/>
      <c r="O121" s="1164"/>
      <c r="P121" s="1165"/>
      <c r="Q121" s="1167">
        <v>13</v>
      </c>
      <c r="R121" s="1164"/>
      <c r="S121" s="1164">
        <v>7</v>
      </c>
      <c r="T121" s="1165">
        <v>20</v>
      </c>
      <c r="U121" s="1167"/>
      <c r="V121" s="1164"/>
      <c r="W121" s="1164">
        <v>12</v>
      </c>
      <c r="X121" s="1165">
        <f t="shared" si="79"/>
        <v>12</v>
      </c>
      <c r="Y121" s="1166"/>
      <c r="Z121" s="1166"/>
      <c r="AA121" s="1166">
        <v>6</v>
      </c>
      <c r="AB121" s="1165">
        <f t="shared" si="82"/>
        <v>6</v>
      </c>
      <c r="AC121" s="1166"/>
      <c r="AD121" s="1166"/>
      <c r="AE121" s="1166">
        <v>23</v>
      </c>
      <c r="AF121" s="1165">
        <f t="shared" si="80"/>
        <v>23</v>
      </c>
      <c r="AG121" s="1166"/>
      <c r="AH121" s="1166"/>
      <c r="AI121" s="1166">
        <v>18</v>
      </c>
      <c r="AJ121" s="1165">
        <f t="shared" si="83"/>
        <v>18</v>
      </c>
      <c r="AK121" s="1166"/>
      <c r="AL121" s="1166"/>
      <c r="AM121" s="1166">
        <v>15</v>
      </c>
      <c r="AN121" s="1165">
        <f t="shared" si="81"/>
        <v>15</v>
      </c>
      <c r="AO121" s="1166"/>
      <c r="AP121" s="1166"/>
      <c r="AQ121" s="1166">
        <v>18</v>
      </c>
      <c r="AR121" s="1151">
        <f>SUM(AO121:AQ121)</f>
        <v>18</v>
      </c>
      <c r="AS121" s="1166" t="s">
        <v>227</v>
      </c>
      <c r="AT121" s="1166" t="s">
        <v>227</v>
      </c>
      <c r="AU121" s="1166">
        <v>17</v>
      </c>
      <c r="AV121" s="1151">
        <f t="shared" si="78"/>
        <v>17</v>
      </c>
      <c r="AW121" s="1166"/>
      <c r="AX121" s="1166"/>
      <c r="AY121" s="1166">
        <v>20</v>
      </c>
      <c r="AZ121" s="1151">
        <f t="shared" si="84"/>
        <v>20</v>
      </c>
      <c r="BA121" s="1166"/>
      <c r="BB121" s="1166">
        <v>12</v>
      </c>
      <c r="BC121" s="1166">
        <v>11</v>
      </c>
      <c r="BD121" s="1151">
        <f t="shared" si="85"/>
        <v>23</v>
      </c>
      <c r="BE121" s="1166"/>
      <c r="BF121" s="1166">
        <v>11</v>
      </c>
      <c r="BG121" s="1166">
        <v>12</v>
      </c>
      <c r="BH121" s="1151">
        <f t="shared" si="86"/>
        <v>23</v>
      </c>
      <c r="BI121" s="1166"/>
      <c r="BJ121" s="1166">
        <v>12</v>
      </c>
      <c r="BK121" s="1166">
        <v>12</v>
      </c>
      <c r="BL121" s="1151">
        <f t="shared" si="75"/>
        <v>24</v>
      </c>
      <c r="BM121" s="1166"/>
      <c r="BN121" s="1166">
        <v>12</v>
      </c>
      <c r="BO121" s="1166">
        <v>12</v>
      </c>
      <c r="BP121" s="1151">
        <f t="shared" si="76"/>
        <v>24</v>
      </c>
      <c r="BQ121" s="1166"/>
      <c r="BR121" s="1166">
        <v>12</v>
      </c>
      <c r="BS121" s="1166">
        <v>12</v>
      </c>
      <c r="BT121" s="1151">
        <f t="shared" si="77"/>
        <v>24</v>
      </c>
    </row>
    <row r="122" spans="1:72" s="212" customFormat="1" ht="15" x14ac:dyDescent="0.25">
      <c r="A122" s="5448"/>
      <c r="B122" s="5448"/>
      <c r="C122" s="5450"/>
      <c r="D122" s="1148" t="s">
        <v>781</v>
      </c>
      <c r="E122" s="1167"/>
      <c r="F122" s="1164"/>
      <c r="G122" s="1164"/>
      <c r="H122" s="1165"/>
      <c r="I122" s="1167"/>
      <c r="J122" s="1164"/>
      <c r="K122" s="1164"/>
      <c r="L122" s="1165"/>
      <c r="M122" s="1167"/>
      <c r="N122" s="1164"/>
      <c r="O122" s="1164"/>
      <c r="P122" s="1165"/>
      <c r="Q122" s="1167"/>
      <c r="R122" s="1164"/>
      <c r="S122" s="1164"/>
      <c r="T122" s="1165"/>
      <c r="U122" s="1167"/>
      <c r="V122" s="1164"/>
      <c r="W122" s="1164"/>
      <c r="X122" s="1165"/>
      <c r="Y122" s="1166"/>
      <c r="Z122" s="1166"/>
      <c r="AA122" s="1166"/>
      <c r="AB122" s="1165"/>
      <c r="AC122" s="1166"/>
      <c r="AD122" s="1166"/>
      <c r="AE122" s="1166"/>
      <c r="AF122" s="1165"/>
      <c r="AG122" s="1166"/>
      <c r="AH122" s="1166"/>
      <c r="AI122" s="1166"/>
      <c r="AJ122" s="1165"/>
      <c r="AK122" s="1166"/>
      <c r="AL122" s="1166"/>
      <c r="AM122" s="1166"/>
      <c r="AN122" s="1165"/>
      <c r="AO122" s="1166"/>
      <c r="AP122" s="1166"/>
      <c r="AQ122" s="1166"/>
      <c r="AR122" s="1151"/>
      <c r="AS122" s="1166"/>
      <c r="AT122" s="1166"/>
      <c r="AU122" s="1166"/>
      <c r="AV122" s="1151"/>
      <c r="AW122" s="1166"/>
      <c r="AX122" s="1166"/>
      <c r="AY122" s="1166"/>
      <c r="AZ122" s="1151"/>
      <c r="BA122" s="1166"/>
      <c r="BB122" s="1166"/>
      <c r="BC122" s="1166"/>
      <c r="BD122" s="1151"/>
      <c r="BE122" s="1166"/>
      <c r="BF122" s="1166"/>
      <c r="BG122" s="1166"/>
      <c r="BH122" s="1151"/>
      <c r="BI122" s="1166"/>
      <c r="BJ122" s="1166"/>
      <c r="BK122" s="1166"/>
      <c r="BL122" s="1151"/>
      <c r="BM122" s="1166"/>
      <c r="BN122" s="1166">
        <v>10</v>
      </c>
      <c r="BO122" s="1166"/>
      <c r="BP122" s="1151">
        <f t="shared" si="76"/>
        <v>10</v>
      </c>
      <c r="BQ122" s="1166"/>
      <c r="BR122" s="1166">
        <v>11</v>
      </c>
      <c r="BS122" s="1166"/>
      <c r="BT122" s="1151">
        <f t="shared" si="77"/>
        <v>11</v>
      </c>
    </row>
    <row r="123" spans="1:72" s="212" customFormat="1" ht="15" x14ac:dyDescent="0.25">
      <c r="A123" s="5448"/>
      <c r="B123" s="5448"/>
      <c r="C123" s="5447" t="s">
        <v>526</v>
      </c>
      <c r="D123" s="1152" t="s">
        <v>361</v>
      </c>
      <c r="E123" s="1167"/>
      <c r="F123" s="1164"/>
      <c r="G123" s="1164">
        <v>6</v>
      </c>
      <c r="H123" s="1165">
        <v>6</v>
      </c>
      <c r="I123" s="1167"/>
      <c r="J123" s="1164"/>
      <c r="K123" s="1164">
        <v>4</v>
      </c>
      <c r="L123" s="1165">
        <v>4</v>
      </c>
      <c r="M123" s="1167"/>
      <c r="N123" s="1164"/>
      <c r="O123" s="1164">
        <v>15</v>
      </c>
      <c r="P123" s="1165">
        <v>15</v>
      </c>
      <c r="Q123" s="1167">
        <v>12</v>
      </c>
      <c r="R123" s="1164"/>
      <c r="S123" s="1164">
        <v>12</v>
      </c>
      <c r="T123" s="1165">
        <v>24</v>
      </c>
      <c r="U123" s="1167">
        <v>7</v>
      </c>
      <c r="V123" s="1164"/>
      <c r="W123" s="1164">
        <v>7</v>
      </c>
      <c r="X123" s="1165">
        <f t="shared" si="79"/>
        <v>14</v>
      </c>
      <c r="Y123" s="1166">
        <v>2</v>
      </c>
      <c r="Z123" s="1166"/>
      <c r="AA123" s="1166">
        <v>1</v>
      </c>
      <c r="AB123" s="1165">
        <f t="shared" si="82"/>
        <v>3</v>
      </c>
      <c r="AC123" s="1166">
        <v>4</v>
      </c>
      <c r="AD123" s="1166"/>
      <c r="AE123" s="1166">
        <v>2</v>
      </c>
      <c r="AF123" s="1165">
        <f t="shared" si="80"/>
        <v>6</v>
      </c>
      <c r="AG123" s="1166">
        <v>6</v>
      </c>
      <c r="AH123" s="1166"/>
      <c r="AI123" s="1166">
        <v>9</v>
      </c>
      <c r="AJ123" s="1165">
        <f t="shared" si="83"/>
        <v>15</v>
      </c>
      <c r="AK123" s="1166">
        <v>7</v>
      </c>
      <c r="AL123" s="1166"/>
      <c r="AM123" s="1166">
        <v>8</v>
      </c>
      <c r="AN123" s="1165">
        <f t="shared" si="81"/>
        <v>15</v>
      </c>
      <c r="AO123" s="1166">
        <v>6</v>
      </c>
      <c r="AP123" s="1166"/>
      <c r="AQ123" s="1166">
        <v>7</v>
      </c>
      <c r="AR123" s="1151">
        <f>SUM(AO123:AQ123)</f>
        <v>13</v>
      </c>
      <c r="AS123" s="1166" t="s">
        <v>227</v>
      </c>
      <c r="AT123" s="1166" t="s">
        <v>227</v>
      </c>
      <c r="AU123" s="1166">
        <v>13</v>
      </c>
      <c r="AV123" s="1151">
        <f t="shared" si="78"/>
        <v>13</v>
      </c>
      <c r="AW123" s="1166">
        <v>6</v>
      </c>
      <c r="AX123" s="1166"/>
      <c r="AY123" s="1166">
        <v>6</v>
      </c>
      <c r="AZ123" s="1151">
        <f t="shared" si="84"/>
        <v>12</v>
      </c>
      <c r="BA123" s="1166">
        <v>9</v>
      </c>
      <c r="BB123" s="1166"/>
      <c r="BC123" s="1166"/>
      <c r="BD123" s="1151">
        <f t="shared" si="85"/>
        <v>9</v>
      </c>
      <c r="BE123" s="1166">
        <v>9</v>
      </c>
      <c r="BF123" s="1166"/>
      <c r="BG123" s="1166">
        <v>5</v>
      </c>
      <c r="BH123" s="1151">
        <f t="shared" si="86"/>
        <v>14</v>
      </c>
      <c r="BI123" s="1166">
        <v>6</v>
      </c>
      <c r="BJ123" s="1166"/>
      <c r="BK123" s="1166">
        <v>7</v>
      </c>
      <c r="BL123" s="1151">
        <f t="shared" si="75"/>
        <v>13</v>
      </c>
      <c r="BM123" s="1166">
        <v>8</v>
      </c>
      <c r="BN123" s="1166"/>
      <c r="BO123" s="1166">
        <v>5</v>
      </c>
      <c r="BP123" s="1151">
        <f t="shared" si="76"/>
        <v>13</v>
      </c>
      <c r="BQ123" s="1166">
        <v>7</v>
      </c>
      <c r="BR123" s="1166"/>
      <c r="BS123" s="1166">
        <v>8</v>
      </c>
      <c r="BT123" s="1151">
        <f t="shared" si="77"/>
        <v>15</v>
      </c>
    </row>
    <row r="124" spans="1:72" s="212" customFormat="1" ht="15" x14ac:dyDescent="0.25">
      <c r="A124" s="5448"/>
      <c r="B124" s="5448"/>
      <c r="C124" s="5448"/>
      <c r="D124" s="1152" t="s">
        <v>96</v>
      </c>
      <c r="E124" s="1149"/>
      <c r="F124" s="1150"/>
      <c r="G124" s="1150"/>
      <c r="H124" s="1151"/>
      <c r="I124" s="1149"/>
      <c r="J124" s="1150"/>
      <c r="K124" s="1150"/>
      <c r="L124" s="1151">
        <v>0</v>
      </c>
      <c r="M124" s="1149"/>
      <c r="N124" s="1150"/>
      <c r="O124" s="1150"/>
      <c r="P124" s="1151"/>
      <c r="Q124" s="1149"/>
      <c r="R124" s="1150"/>
      <c r="S124" s="1150"/>
      <c r="T124" s="1151"/>
      <c r="U124" s="1149"/>
      <c r="V124" s="1150"/>
      <c r="W124" s="1150">
        <v>11</v>
      </c>
      <c r="X124" s="1151">
        <f t="shared" si="79"/>
        <v>11</v>
      </c>
      <c r="Y124" s="1150"/>
      <c r="Z124" s="1150"/>
      <c r="AA124" s="1150">
        <v>4</v>
      </c>
      <c r="AB124" s="1151">
        <f t="shared" si="82"/>
        <v>4</v>
      </c>
      <c r="AC124" s="1150"/>
      <c r="AD124" s="1150"/>
      <c r="AE124" s="1150">
        <v>11</v>
      </c>
      <c r="AF124" s="1151">
        <f t="shared" si="80"/>
        <v>11</v>
      </c>
      <c r="AG124" s="1150"/>
      <c r="AH124" s="1150"/>
      <c r="AI124" s="1150">
        <v>11</v>
      </c>
      <c r="AJ124" s="1151">
        <f t="shared" si="83"/>
        <v>11</v>
      </c>
      <c r="AK124" s="1150"/>
      <c r="AL124" s="1150"/>
      <c r="AM124" s="1150">
        <v>13</v>
      </c>
      <c r="AN124" s="1151">
        <f t="shared" si="81"/>
        <v>13</v>
      </c>
      <c r="AO124" s="1150"/>
      <c r="AP124" s="1150"/>
      <c r="AQ124" s="1150"/>
      <c r="AR124" s="1151"/>
      <c r="AS124" s="1150">
        <v>13</v>
      </c>
      <c r="AT124" s="1150" t="s">
        <v>227</v>
      </c>
      <c r="AU124" s="1150" t="s">
        <v>227</v>
      </c>
      <c r="AV124" s="1151">
        <f t="shared" si="78"/>
        <v>13</v>
      </c>
      <c r="AW124" s="1150"/>
      <c r="AX124" s="1150"/>
      <c r="AY124" s="1150">
        <v>13</v>
      </c>
      <c r="AZ124" s="1151">
        <f t="shared" si="84"/>
        <v>13</v>
      </c>
      <c r="BA124" s="1150"/>
      <c r="BB124" s="1150"/>
      <c r="BC124" s="1150">
        <v>8</v>
      </c>
      <c r="BD124" s="1151">
        <f t="shared" si="85"/>
        <v>8</v>
      </c>
      <c r="BE124" s="1150"/>
      <c r="BF124" s="1150"/>
      <c r="BG124" s="1150">
        <v>13</v>
      </c>
      <c r="BH124" s="1151">
        <f t="shared" si="86"/>
        <v>13</v>
      </c>
      <c r="BI124" s="1150"/>
      <c r="BJ124" s="1150"/>
      <c r="BK124" s="1150"/>
      <c r="BL124" s="1151">
        <f t="shared" si="75"/>
        <v>0</v>
      </c>
      <c r="BM124" s="1150"/>
      <c r="BN124" s="1150"/>
      <c r="BO124" s="1150">
        <v>14</v>
      </c>
      <c r="BP124" s="1151">
        <f t="shared" si="76"/>
        <v>14</v>
      </c>
      <c r="BQ124" s="1150"/>
      <c r="BR124" s="1150"/>
      <c r="BS124" s="1150"/>
      <c r="BT124" s="1151">
        <f t="shared" si="77"/>
        <v>0</v>
      </c>
    </row>
    <row r="125" spans="1:72" s="212" customFormat="1" ht="15" x14ac:dyDescent="0.25">
      <c r="A125" s="5448"/>
      <c r="B125" s="5448"/>
      <c r="C125" s="5448"/>
      <c r="D125" s="1567" t="s">
        <v>594</v>
      </c>
      <c r="E125" s="1568"/>
      <c r="F125" s="1569"/>
      <c r="G125" s="1569"/>
      <c r="H125" s="1173"/>
      <c r="I125" s="1568"/>
      <c r="J125" s="1569"/>
      <c r="K125" s="1569"/>
      <c r="L125" s="1173"/>
      <c r="M125" s="1568"/>
      <c r="N125" s="1569"/>
      <c r="O125" s="1569"/>
      <c r="P125" s="1173"/>
      <c r="Q125" s="1568"/>
      <c r="R125" s="1569"/>
      <c r="S125" s="1569"/>
      <c r="T125" s="1173"/>
      <c r="U125" s="1568"/>
      <c r="V125" s="1569"/>
      <c r="W125" s="1569"/>
      <c r="X125" s="1173"/>
      <c r="Y125" s="1569"/>
      <c r="Z125" s="1569"/>
      <c r="AA125" s="1569"/>
      <c r="AB125" s="1173"/>
      <c r="AC125" s="1569"/>
      <c r="AD125" s="1569"/>
      <c r="AE125" s="1569"/>
      <c r="AF125" s="1173"/>
      <c r="AG125" s="1569"/>
      <c r="AH125" s="1569"/>
      <c r="AI125" s="1569"/>
      <c r="AJ125" s="1173"/>
      <c r="AK125" s="1569"/>
      <c r="AL125" s="1569"/>
      <c r="AM125" s="1569"/>
      <c r="AN125" s="1173"/>
      <c r="AO125" s="1569"/>
      <c r="AP125" s="1569"/>
      <c r="AQ125" s="1569"/>
      <c r="AR125" s="1173"/>
      <c r="AS125" s="1569"/>
      <c r="AT125" s="1569"/>
      <c r="AU125" s="1569"/>
      <c r="AV125" s="1173"/>
      <c r="AW125" s="1569"/>
      <c r="AX125" s="1569"/>
      <c r="AY125" s="1569"/>
      <c r="AZ125" s="1173"/>
      <c r="BA125" s="1569"/>
      <c r="BB125" s="1569"/>
      <c r="BC125" s="1569"/>
      <c r="BD125" s="1173"/>
      <c r="BE125" s="1569"/>
      <c r="BF125" s="1569"/>
      <c r="BG125" s="1569"/>
      <c r="BH125" s="1173"/>
      <c r="BI125" s="1569">
        <v>9</v>
      </c>
      <c r="BJ125" s="1569"/>
      <c r="BK125" s="1569"/>
      <c r="BL125" s="1151">
        <f t="shared" si="75"/>
        <v>9</v>
      </c>
      <c r="BM125" s="1569">
        <v>3</v>
      </c>
      <c r="BN125" s="1569"/>
      <c r="BO125" s="1569">
        <v>4</v>
      </c>
      <c r="BP125" s="1151">
        <f t="shared" si="76"/>
        <v>7</v>
      </c>
      <c r="BQ125" s="1569">
        <v>5</v>
      </c>
      <c r="BR125" s="1569"/>
      <c r="BS125" s="1569"/>
      <c r="BT125" s="1151">
        <f t="shared" si="77"/>
        <v>5</v>
      </c>
    </row>
    <row r="126" spans="1:72" s="212" customFormat="1" ht="15" x14ac:dyDescent="0.25">
      <c r="A126" s="5448"/>
      <c r="B126" s="5450"/>
      <c r="C126" s="1577"/>
      <c r="D126" s="1154" t="s">
        <v>451</v>
      </c>
      <c r="E126" s="1155">
        <f t="shared" ref="E126:AJ126" si="87">SUM(E112:E124)</f>
        <v>43</v>
      </c>
      <c r="F126" s="1156">
        <f t="shared" si="87"/>
        <v>0</v>
      </c>
      <c r="G126" s="1156">
        <f t="shared" si="87"/>
        <v>36</v>
      </c>
      <c r="H126" s="1185">
        <f t="shared" si="87"/>
        <v>79</v>
      </c>
      <c r="I126" s="1155">
        <f t="shared" si="87"/>
        <v>69</v>
      </c>
      <c r="J126" s="1156">
        <f t="shared" si="87"/>
        <v>0</v>
      </c>
      <c r="K126" s="1156">
        <f t="shared" si="87"/>
        <v>11</v>
      </c>
      <c r="L126" s="1185">
        <f t="shared" si="87"/>
        <v>80</v>
      </c>
      <c r="M126" s="1155">
        <f t="shared" si="87"/>
        <v>48</v>
      </c>
      <c r="N126" s="1156">
        <f t="shared" si="87"/>
        <v>1</v>
      </c>
      <c r="O126" s="1156">
        <f t="shared" si="87"/>
        <v>53</v>
      </c>
      <c r="P126" s="1185">
        <f t="shared" si="87"/>
        <v>102</v>
      </c>
      <c r="Q126" s="1155">
        <f t="shared" si="87"/>
        <v>60</v>
      </c>
      <c r="R126" s="1156">
        <f t="shared" si="87"/>
        <v>0</v>
      </c>
      <c r="S126" s="1156">
        <f t="shared" si="87"/>
        <v>35</v>
      </c>
      <c r="T126" s="1185">
        <f t="shared" si="87"/>
        <v>95</v>
      </c>
      <c r="U126" s="1155">
        <f t="shared" si="87"/>
        <v>39</v>
      </c>
      <c r="V126" s="1156">
        <f t="shared" si="87"/>
        <v>11</v>
      </c>
      <c r="W126" s="1156">
        <f t="shared" si="87"/>
        <v>54</v>
      </c>
      <c r="X126" s="1185">
        <f t="shared" si="87"/>
        <v>104</v>
      </c>
      <c r="Y126" s="1156">
        <f t="shared" si="87"/>
        <v>29</v>
      </c>
      <c r="Z126" s="1156">
        <f t="shared" si="87"/>
        <v>0</v>
      </c>
      <c r="AA126" s="1156">
        <f t="shared" si="87"/>
        <v>16</v>
      </c>
      <c r="AB126" s="1185">
        <f t="shared" si="87"/>
        <v>45</v>
      </c>
      <c r="AC126" s="1156">
        <f t="shared" si="87"/>
        <v>20</v>
      </c>
      <c r="AD126" s="1156">
        <f t="shared" si="87"/>
        <v>4</v>
      </c>
      <c r="AE126" s="1156">
        <f t="shared" si="87"/>
        <v>76</v>
      </c>
      <c r="AF126" s="1185">
        <f t="shared" si="87"/>
        <v>100</v>
      </c>
      <c r="AG126" s="1156">
        <f t="shared" si="87"/>
        <v>22</v>
      </c>
      <c r="AH126" s="1156">
        <f t="shared" si="87"/>
        <v>4</v>
      </c>
      <c r="AI126" s="1156">
        <f t="shared" si="87"/>
        <v>63</v>
      </c>
      <c r="AJ126" s="1185">
        <f t="shared" si="87"/>
        <v>89</v>
      </c>
      <c r="AK126" s="1156">
        <f t="shared" ref="AK126:BH126" si="88">SUM(AK112:AK124)</f>
        <v>18</v>
      </c>
      <c r="AL126" s="1156">
        <f t="shared" si="88"/>
        <v>8</v>
      </c>
      <c r="AM126" s="1156">
        <f t="shared" si="88"/>
        <v>77</v>
      </c>
      <c r="AN126" s="1185">
        <f t="shared" si="88"/>
        <v>103</v>
      </c>
      <c r="AO126" s="1156">
        <f t="shared" si="88"/>
        <v>24</v>
      </c>
      <c r="AP126" s="1156">
        <f t="shared" si="88"/>
        <v>14</v>
      </c>
      <c r="AQ126" s="1156">
        <f t="shared" si="88"/>
        <v>50</v>
      </c>
      <c r="AR126" s="1185">
        <f t="shared" si="88"/>
        <v>88</v>
      </c>
      <c r="AS126" s="1156">
        <f t="shared" si="88"/>
        <v>31</v>
      </c>
      <c r="AT126" s="1156">
        <f t="shared" si="88"/>
        <v>6</v>
      </c>
      <c r="AU126" s="1156">
        <f t="shared" si="88"/>
        <v>65</v>
      </c>
      <c r="AV126" s="1185">
        <f t="shared" si="88"/>
        <v>102</v>
      </c>
      <c r="AW126" s="1156">
        <f t="shared" si="88"/>
        <v>24</v>
      </c>
      <c r="AX126" s="1156">
        <f t="shared" si="88"/>
        <v>5</v>
      </c>
      <c r="AY126" s="1156">
        <f t="shared" si="88"/>
        <v>61</v>
      </c>
      <c r="AZ126" s="1185">
        <f t="shared" si="88"/>
        <v>90</v>
      </c>
      <c r="BA126" s="1156">
        <f t="shared" si="88"/>
        <v>23</v>
      </c>
      <c r="BB126" s="1156">
        <f t="shared" si="88"/>
        <v>15</v>
      </c>
      <c r="BC126" s="1156">
        <f t="shared" si="88"/>
        <v>69</v>
      </c>
      <c r="BD126" s="1185">
        <f t="shared" si="88"/>
        <v>107</v>
      </c>
      <c r="BE126" s="1156">
        <f t="shared" si="88"/>
        <v>25</v>
      </c>
      <c r="BF126" s="1156">
        <f t="shared" si="88"/>
        <v>18</v>
      </c>
      <c r="BG126" s="1156">
        <f t="shared" si="88"/>
        <v>57</v>
      </c>
      <c r="BH126" s="1185">
        <f t="shared" si="88"/>
        <v>100</v>
      </c>
      <c r="BI126" s="1156">
        <f>SUM(BI112:BI125)</f>
        <v>32</v>
      </c>
      <c r="BJ126" s="1156">
        <f>SUM(BJ112:BJ124)</f>
        <v>32</v>
      </c>
      <c r="BK126" s="1156">
        <f>SUM(BK112:BK125)</f>
        <v>51</v>
      </c>
      <c r="BL126" s="1185">
        <f>SUM(BL112:BL125)</f>
        <v>115</v>
      </c>
      <c r="BM126" s="1156">
        <f>SUM(BM112:BM125)</f>
        <v>17</v>
      </c>
      <c r="BN126" s="1156">
        <f>SUM(BN112:BN124)</f>
        <v>29</v>
      </c>
      <c r="BO126" s="1156">
        <f>SUM(BO112:BO125)</f>
        <v>57</v>
      </c>
      <c r="BP126" s="1185">
        <f>SUM(BP112:BP125)</f>
        <v>103</v>
      </c>
      <c r="BQ126" s="1156">
        <f>SUM(BQ112:BQ125)</f>
        <v>43</v>
      </c>
      <c r="BR126" s="1156">
        <f>SUM(BR112:BR124)</f>
        <v>30</v>
      </c>
      <c r="BS126" s="1156">
        <f>SUM(BS112:BS125)</f>
        <v>55</v>
      </c>
      <c r="BT126" s="1185">
        <f>SUM(BT112:BT125)</f>
        <v>128</v>
      </c>
    </row>
    <row r="127" spans="1:72" s="212" customFormat="1" ht="15" x14ac:dyDescent="0.25">
      <c r="A127" s="5448"/>
      <c r="B127" s="5447" t="s">
        <v>7</v>
      </c>
      <c r="C127" s="5447" t="s">
        <v>527</v>
      </c>
      <c r="D127" s="1186" t="s">
        <v>1</v>
      </c>
      <c r="E127" s="1174"/>
      <c r="F127" s="1175"/>
      <c r="G127" s="1175"/>
      <c r="H127" s="1176"/>
      <c r="I127" s="1174"/>
      <c r="J127" s="1175">
        <v>46</v>
      </c>
      <c r="K127" s="1175"/>
      <c r="L127" s="1176">
        <v>46</v>
      </c>
      <c r="M127" s="1174"/>
      <c r="N127" s="1175"/>
      <c r="O127" s="1175"/>
      <c r="P127" s="1176"/>
      <c r="Q127" s="1174"/>
      <c r="R127" s="1175"/>
      <c r="S127" s="1175">
        <v>26</v>
      </c>
      <c r="T127" s="1176">
        <v>26</v>
      </c>
      <c r="U127" s="1174"/>
      <c r="V127" s="1175"/>
      <c r="W127" s="1175">
        <v>19</v>
      </c>
      <c r="X127" s="1176">
        <f>SUM(U127:W127)</f>
        <v>19</v>
      </c>
      <c r="Y127" s="1177"/>
      <c r="Z127" s="1177"/>
      <c r="AA127" s="1177">
        <v>23</v>
      </c>
      <c r="AB127" s="1176">
        <f t="shared" si="82"/>
        <v>23</v>
      </c>
      <c r="AC127" s="1177"/>
      <c r="AD127" s="1177"/>
      <c r="AE127" s="1177">
        <v>20</v>
      </c>
      <c r="AF127" s="1176">
        <f t="shared" si="80"/>
        <v>20</v>
      </c>
      <c r="AG127" s="1177"/>
      <c r="AH127" s="1177"/>
      <c r="AI127" s="1177">
        <v>22</v>
      </c>
      <c r="AJ127" s="1176">
        <f t="shared" si="83"/>
        <v>22</v>
      </c>
      <c r="AK127" s="1177"/>
      <c r="AL127" s="1177"/>
      <c r="AM127" s="1177">
        <v>22</v>
      </c>
      <c r="AN127" s="1176">
        <f t="shared" si="81"/>
        <v>22</v>
      </c>
      <c r="AO127" s="1177"/>
      <c r="AP127" s="1177"/>
      <c r="AQ127" s="1177">
        <v>18</v>
      </c>
      <c r="AR127" s="1147">
        <f>SUM(AO127:AQ127)</f>
        <v>18</v>
      </c>
      <c r="AS127" s="1177" t="s">
        <v>227</v>
      </c>
      <c r="AT127" s="1177" t="s">
        <v>227</v>
      </c>
      <c r="AU127" s="1177">
        <v>23</v>
      </c>
      <c r="AV127" s="1147">
        <f t="shared" si="78"/>
        <v>23</v>
      </c>
      <c r="AW127" s="1177"/>
      <c r="AX127" s="1177"/>
      <c r="AY127" s="1177">
        <v>15</v>
      </c>
      <c r="AZ127" s="1147">
        <f t="shared" si="84"/>
        <v>15</v>
      </c>
      <c r="BA127" s="1177"/>
      <c r="BB127" s="1177"/>
      <c r="BC127" s="1177">
        <v>19</v>
      </c>
      <c r="BD127" s="1163">
        <f t="shared" si="85"/>
        <v>19</v>
      </c>
      <c r="BE127" s="1177"/>
      <c r="BF127" s="1177"/>
      <c r="BG127" s="1177">
        <v>19</v>
      </c>
      <c r="BH127" s="1163">
        <f t="shared" si="86"/>
        <v>19</v>
      </c>
      <c r="BI127" s="1177"/>
      <c r="BJ127" s="1177"/>
      <c r="BK127" s="1177">
        <v>23</v>
      </c>
      <c r="BL127" s="1163">
        <f>BI127+BJ127+BK127</f>
        <v>23</v>
      </c>
      <c r="BM127" s="1177"/>
      <c r="BN127" s="1177"/>
      <c r="BO127" s="1177">
        <v>25</v>
      </c>
      <c r="BP127" s="1163">
        <f>BM127+BN127+BO127</f>
        <v>25</v>
      </c>
      <c r="BQ127" s="1177"/>
      <c r="BR127" s="1177"/>
      <c r="BS127" s="1177">
        <v>24</v>
      </c>
      <c r="BT127" s="1163">
        <f>BQ127+BR127+BS127</f>
        <v>24</v>
      </c>
    </row>
    <row r="128" spans="1:72" s="212" customFormat="1" ht="15" x14ac:dyDescent="0.25">
      <c r="A128" s="5448"/>
      <c r="B128" s="5448"/>
      <c r="C128" s="5448"/>
      <c r="D128" s="1187" t="s">
        <v>399</v>
      </c>
      <c r="E128" s="1167"/>
      <c r="F128" s="1164"/>
      <c r="G128" s="1164"/>
      <c r="H128" s="1165"/>
      <c r="I128" s="1167"/>
      <c r="J128" s="1164"/>
      <c r="K128" s="1164"/>
      <c r="L128" s="1165"/>
      <c r="M128" s="1167"/>
      <c r="N128" s="1164"/>
      <c r="O128" s="1164"/>
      <c r="P128" s="1165"/>
      <c r="Q128" s="1167"/>
      <c r="R128" s="1164"/>
      <c r="S128" s="1164"/>
      <c r="T128" s="1165"/>
      <c r="U128" s="1167"/>
      <c r="V128" s="1164"/>
      <c r="W128" s="1164"/>
      <c r="X128" s="1165"/>
      <c r="Y128" s="1166"/>
      <c r="Z128" s="1166"/>
      <c r="AA128" s="1166"/>
      <c r="AB128" s="1165"/>
      <c r="AC128" s="1166"/>
      <c r="AD128" s="1166"/>
      <c r="AE128" s="1166"/>
      <c r="AF128" s="1165"/>
      <c r="AG128" s="1166"/>
      <c r="AH128" s="1166"/>
      <c r="AI128" s="1166"/>
      <c r="AJ128" s="1165"/>
      <c r="AK128" s="1166"/>
      <c r="AL128" s="1166"/>
      <c r="AM128" s="1166"/>
      <c r="AN128" s="1165"/>
      <c r="AO128" s="1166"/>
      <c r="AP128" s="1166"/>
      <c r="AQ128" s="1166"/>
      <c r="AR128" s="1151"/>
      <c r="AS128" s="1166" t="s">
        <v>227</v>
      </c>
      <c r="AT128" s="1166">
        <v>17</v>
      </c>
      <c r="AU128" s="1166" t="s">
        <v>227</v>
      </c>
      <c r="AV128" s="1151">
        <f t="shared" si="78"/>
        <v>17</v>
      </c>
      <c r="AW128" s="1166"/>
      <c r="AX128" s="1166"/>
      <c r="AY128" s="1166"/>
      <c r="AZ128" s="1151"/>
      <c r="BA128" s="1166"/>
      <c r="BB128" s="1166">
        <v>15</v>
      </c>
      <c r="BC128" s="1166"/>
      <c r="BD128" s="1151">
        <f t="shared" si="85"/>
        <v>15</v>
      </c>
      <c r="BE128" s="1166"/>
      <c r="BF128" s="1166"/>
      <c r="BG128" s="1166"/>
      <c r="BH128" s="1151"/>
      <c r="BI128" s="1166"/>
      <c r="BJ128" s="1166">
        <v>20</v>
      </c>
      <c r="BK128" s="1166"/>
      <c r="BL128" s="1151">
        <f>BI128+BJ128+BK128</f>
        <v>20</v>
      </c>
      <c r="BM128" s="1166"/>
      <c r="BN128" s="1166"/>
      <c r="BO128" s="1166"/>
      <c r="BP128" s="1151">
        <f>BM128+BN128+BO128</f>
        <v>0</v>
      </c>
      <c r="BQ128" s="1166"/>
      <c r="BR128" s="1166">
        <v>21</v>
      </c>
      <c r="BS128" s="1166"/>
      <c r="BT128" s="1151">
        <f>BQ128+BR128+BS128</f>
        <v>21</v>
      </c>
    </row>
    <row r="129" spans="1:72" s="212" customFormat="1" ht="15" x14ac:dyDescent="0.25">
      <c r="A129" s="5448"/>
      <c r="B129" s="5448"/>
      <c r="C129" s="5450"/>
      <c r="D129" s="1187" t="s">
        <v>400</v>
      </c>
      <c r="E129" s="1167"/>
      <c r="F129" s="1164"/>
      <c r="G129" s="1164"/>
      <c r="H129" s="1165"/>
      <c r="I129" s="1167"/>
      <c r="J129" s="1164"/>
      <c r="K129" s="1164"/>
      <c r="L129" s="1165"/>
      <c r="M129" s="1167"/>
      <c r="N129" s="1164"/>
      <c r="O129" s="1164"/>
      <c r="P129" s="1165"/>
      <c r="Q129" s="1167"/>
      <c r="R129" s="1164"/>
      <c r="S129" s="1164"/>
      <c r="T129" s="1165"/>
      <c r="U129" s="1167"/>
      <c r="V129" s="1164"/>
      <c r="W129" s="1164"/>
      <c r="X129" s="1165"/>
      <c r="Y129" s="1166"/>
      <c r="Z129" s="1166"/>
      <c r="AA129" s="1166"/>
      <c r="AB129" s="1165"/>
      <c r="AC129" s="1166"/>
      <c r="AD129" s="1166"/>
      <c r="AE129" s="1166"/>
      <c r="AF129" s="1165"/>
      <c r="AG129" s="1166"/>
      <c r="AH129" s="1166"/>
      <c r="AI129" s="1166"/>
      <c r="AJ129" s="1165"/>
      <c r="AK129" s="1166"/>
      <c r="AL129" s="1166"/>
      <c r="AM129" s="1166"/>
      <c r="AN129" s="1165"/>
      <c r="AO129" s="1166"/>
      <c r="AP129" s="1166"/>
      <c r="AQ129" s="1166"/>
      <c r="AR129" s="1151"/>
      <c r="AS129" s="1166" t="s">
        <v>227</v>
      </c>
      <c r="AT129" s="1166" t="s">
        <v>227</v>
      </c>
      <c r="AU129" s="1166">
        <v>33</v>
      </c>
      <c r="AV129" s="1151">
        <f t="shared" si="78"/>
        <v>33</v>
      </c>
      <c r="AW129" s="1166"/>
      <c r="AX129" s="1166"/>
      <c r="AY129" s="1166"/>
      <c r="AZ129" s="1151"/>
      <c r="BA129" s="1166"/>
      <c r="BB129" s="1166">
        <v>24</v>
      </c>
      <c r="BC129" s="1166"/>
      <c r="BD129" s="1151">
        <f t="shared" si="85"/>
        <v>24</v>
      </c>
      <c r="BE129" s="1166"/>
      <c r="BF129" s="1166"/>
      <c r="BG129" s="1166"/>
      <c r="BH129" s="1151"/>
      <c r="BI129" s="1166"/>
      <c r="BJ129" s="1166">
        <v>23</v>
      </c>
      <c r="BK129" s="1166"/>
      <c r="BL129" s="1151">
        <f>BI129+BJ129+BK129</f>
        <v>23</v>
      </c>
      <c r="BM129" s="1166"/>
      <c r="BN129" s="1166"/>
      <c r="BO129" s="1166"/>
      <c r="BP129" s="1151">
        <f>BM129+BN129+BO129</f>
        <v>0</v>
      </c>
      <c r="BQ129" s="1166"/>
      <c r="BR129" s="1166">
        <v>24</v>
      </c>
      <c r="BS129" s="1166"/>
      <c r="BT129" s="1151">
        <f>BQ129+BR129+BS129</f>
        <v>24</v>
      </c>
    </row>
    <row r="130" spans="1:72" s="212" customFormat="1" ht="15" x14ac:dyDescent="0.25">
      <c r="A130" s="5448"/>
      <c r="B130" s="5448"/>
      <c r="C130" s="1571" t="s">
        <v>526</v>
      </c>
      <c r="D130" s="1152" t="s">
        <v>2</v>
      </c>
      <c r="E130" s="1149"/>
      <c r="F130" s="1150"/>
      <c r="G130" s="1150"/>
      <c r="H130" s="1151"/>
      <c r="I130" s="1149"/>
      <c r="J130" s="1150"/>
      <c r="K130" s="1150"/>
      <c r="L130" s="1151"/>
      <c r="M130" s="1149"/>
      <c r="N130" s="1150"/>
      <c r="O130" s="1150"/>
      <c r="P130" s="1151"/>
      <c r="Q130" s="1149"/>
      <c r="R130" s="1150">
        <v>11</v>
      </c>
      <c r="S130" s="1150">
        <v>3</v>
      </c>
      <c r="T130" s="1151">
        <v>14</v>
      </c>
      <c r="U130" s="1149"/>
      <c r="V130" s="1150"/>
      <c r="W130" s="1150"/>
      <c r="X130" s="1151"/>
      <c r="Y130" s="1150"/>
      <c r="Z130" s="1150"/>
      <c r="AA130" s="1150">
        <v>14</v>
      </c>
      <c r="AB130" s="1151">
        <f t="shared" si="82"/>
        <v>14</v>
      </c>
      <c r="AC130" s="1150"/>
      <c r="AD130" s="1150"/>
      <c r="AE130" s="1150"/>
      <c r="AF130" s="1151"/>
      <c r="AG130" s="1150">
        <v>18</v>
      </c>
      <c r="AH130" s="1150"/>
      <c r="AI130" s="1150"/>
      <c r="AJ130" s="1151">
        <f t="shared" si="83"/>
        <v>18</v>
      </c>
      <c r="AK130" s="1150">
        <v>6</v>
      </c>
      <c r="AL130" s="1150"/>
      <c r="AM130" s="1150"/>
      <c r="AN130" s="1151">
        <f t="shared" si="81"/>
        <v>6</v>
      </c>
      <c r="AO130" s="1150">
        <v>12</v>
      </c>
      <c r="AP130" s="1150"/>
      <c r="AQ130" s="1150"/>
      <c r="AR130" s="1151">
        <f>SUM(AO130:AQ130)</f>
        <v>12</v>
      </c>
      <c r="AS130" s="1150">
        <v>10</v>
      </c>
      <c r="AT130" s="1150" t="s">
        <v>227</v>
      </c>
      <c r="AU130" s="1150" t="s">
        <v>227</v>
      </c>
      <c r="AV130" s="1151">
        <f t="shared" si="78"/>
        <v>10</v>
      </c>
      <c r="AW130" s="1150">
        <v>11</v>
      </c>
      <c r="AX130" s="1150"/>
      <c r="AY130" s="1150"/>
      <c r="AZ130" s="1151">
        <f t="shared" si="84"/>
        <v>11</v>
      </c>
      <c r="BA130" s="1150">
        <v>8</v>
      </c>
      <c r="BB130" s="1150"/>
      <c r="BC130" s="1150"/>
      <c r="BD130" s="1151">
        <f>BA130+BB130+BC130</f>
        <v>8</v>
      </c>
      <c r="BE130" s="1150">
        <v>10</v>
      </c>
      <c r="BF130" s="1150"/>
      <c r="BG130" s="1150"/>
      <c r="BH130" s="1151">
        <f t="shared" si="86"/>
        <v>10</v>
      </c>
      <c r="BI130" s="1150">
        <v>8</v>
      </c>
      <c r="BJ130" s="1150"/>
      <c r="BK130" s="1150"/>
      <c r="BL130" s="1151">
        <f>BI130+BJ130+BK130</f>
        <v>8</v>
      </c>
      <c r="BM130" s="1150">
        <v>7</v>
      </c>
      <c r="BN130" s="1150"/>
      <c r="BO130" s="1150"/>
      <c r="BP130" s="1151">
        <f>BM130+BN130+BO130</f>
        <v>7</v>
      </c>
      <c r="BQ130" s="1150">
        <v>8</v>
      </c>
      <c r="BR130" s="1150"/>
      <c r="BS130" s="1150"/>
      <c r="BT130" s="1151">
        <f>BQ130+BR130+BS130</f>
        <v>8</v>
      </c>
    </row>
    <row r="131" spans="1:72" s="212" customFormat="1" ht="15" x14ac:dyDescent="0.25">
      <c r="A131" s="5448"/>
      <c r="B131" s="5450"/>
      <c r="C131" s="1577"/>
      <c r="D131" s="1154" t="s">
        <v>451</v>
      </c>
      <c r="E131" s="1155"/>
      <c r="F131" s="1156"/>
      <c r="G131" s="1156"/>
      <c r="H131" s="1185"/>
      <c r="I131" s="1155"/>
      <c r="J131" s="1156">
        <f>SUM(J127:J130)</f>
        <v>46</v>
      </c>
      <c r="K131" s="1156"/>
      <c r="L131" s="1156">
        <f>SUM(L127:L130)</f>
        <v>46</v>
      </c>
      <c r="M131" s="1155"/>
      <c r="N131" s="1156"/>
      <c r="O131" s="1156"/>
      <c r="P131" s="1185"/>
      <c r="Q131" s="1155">
        <f>SUM(Q127:Q130)</f>
        <v>0</v>
      </c>
      <c r="R131" s="1156">
        <f t="shared" ref="R131:BH131" si="89">SUM(R127:R130)</f>
        <v>11</v>
      </c>
      <c r="S131" s="1156">
        <f t="shared" si="89"/>
        <v>29</v>
      </c>
      <c r="T131" s="1185">
        <f t="shared" si="89"/>
        <v>40</v>
      </c>
      <c r="U131" s="1155">
        <f t="shared" si="89"/>
        <v>0</v>
      </c>
      <c r="V131" s="1156">
        <f t="shared" si="89"/>
        <v>0</v>
      </c>
      <c r="W131" s="1156">
        <f t="shared" si="89"/>
        <v>19</v>
      </c>
      <c r="X131" s="1185">
        <f t="shared" si="89"/>
        <v>19</v>
      </c>
      <c r="Y131" s="1156">
        <f t="shared" si="89"/>
        <v>0</v>
      </c>
      <c r="Z131" s="1156">
        <f t="shared" si="89"/>
        <v>0</v>
      </c>
      <c r="AA131" s="1156">
        <f t="shared" si="89"/>
        <v>37</v>
      </c>
      <c r="AB131" s="1185">
        <f t="shared" si="89"/>
        <v>37</v>
      </c>
      <c r="AC131" s="1156">
        <f t="shared" si="89"/>
        <v>0</v>
      </c>
      <c r="AD131" s="1156">
        <f t="shared" si="89"/>
        <v>0</v>
      </c>
      <c r="AE131" s="1156">
        <f t="shared" si="89"/>
        <v>20</v>
      </c>
      <c r="AF131" s="1185">
        <f t="shared" si="89"/>
        <v>20</v>
      </c>
      <c r="AG131" s="1156">
        <f t="shared" si="89"/>
        <v>18</v>
      </c>
      <c r="AH131" s="1156">
        <f t="shared" si="89"/>
        <v>0</v>
      </c>
      <c r="AI131" s="1156">
        <f t="shared" si="89"/>
        <v>22</v>
      </c>
      <c r="AJ131" s="1185">
        <f t="shared" si="89"/>
        <v>40</v>
      </c>
      <c r="AK131" s="1156">
        <f t="shared" si="89"/>
        <v>6</v>
      </c>
      <c r="AL131" s="1156">
        <f t="shared" si="89"/>
        <v>0</v>
      </c>
      <c r="AM131" s="1156">
        <f t="shared" si="89"/>
        <v>22</v>
      </c>
      <c r="AN131" s="1185">
        <f t="shared" si="89"/>
        <v>28</v>
      </c>
      <c r="AO131" s="1156">
        <f t="shared" si="89"/>
        <v>12</v>
      </c>
      <c r="AP131" s="1156">
        <f t="shared" si="89"/>
        <v>0</v>
      </c>
      <c r="AQ131" s="1156">
        <f t="shared" si="89"/>
        <v>18</v>
      </c>
      <c r="AR131" s="1185">
        <f t="shared" si="89"/>
        <v>30</v>
      </c>
      <c r="AS131" s="1156">
        <f t="shared" si="89"/>
        <v>10</v>
      </c>
      <c r="AT131" s="1156">
        <f t="shared" si="89"/>
        <v>17</v>
      </c>
      <c r="AU131" s="1156">
        <f t="shared" si="89"/>
        <v>56</v>
      </c>
      <c r="AV131" s="1185">
        <f t="shared" si="89"/>
        <v>83</v>
      </c>
      <c r="AW131" s="1156">
        <f t="shared" si="89"/>
        <v>11</v>
      </c>
      <c r="AX131" s="1156">
        <f t="shared" si="89"/>
        <v>0</v>
      </c>
      <c r="AY131" s="1156">
        <f t="shared" si="89"/>
        <v>15</v>
      </c>
      <c r="AZ131" s="1185">
        <f t="shared" si="89"/>
        <v>26</v>
      </c>
      <c r="BA131" s="1156">
        <f t="shared" si="89"/>
        <v>8</v>
      </c>
      <c r="BB131" s="1156">
        <f t="shared" si="89"/>
        <v>39</v>
      </c>
      <c r="BC131" s="1156">
        <f t="shared" si="89"/>
        <v>19</v>
      </c>
      <c r="BD131" s="1185">
        <f t="shared" si="89"/>
        <v>66</v>
      </c>
      <c r="BE131" s="1156">
        <f t="shared" si="89"/>
        <v>10</v>
      </c>
      <c r="BF131" s="1156">
        <f t="shared" si="89"/>
        <v>0</v>
      </c>
      <c r="BG131" s="1156">
        <f t="shared" si="89"/>
        <v>19</v>
      </c>
      <c r="BH131" s="1185">
        <f t="shared" si="89"/>
        <v>29</v>
      </c>
      <c r="BI131" s="1156">
        <f t="shared" ref="BI131:BP131" si="90">SUM(BI127:BI130)</f>
        <v>8</v>
      </c>
      <c r="BJ131" s="1156">
        <f t="shared" si="90"/>
        <v>43</v>
      </c>
      <c r="BK131" s="1156">
        <f t="shared" si="90"/>
        <v>23</v>
      </c>
      <c r="BL131" s="1185">
        <f t="shared" si="90"/>
        <v>74</v>
      </c>
      <c r="BM131" s="1156">
        <f t="shared" si="90"/>
        <v>7</v>
      </c>
      <c r="BN131" s="1156">
        <f t="shared" si="90"/>
        <v>0</v>
      </c>
      <c r="BO131" s="1156">
        <f t="shared" si="90"/>
        <v>25</v>
      </c>
      <c r="BP131" s="1185">
        <f t="shared" si="90"/>
        <v>32</v>
      </c>
      <c r="BQ131" s="1156">
        <f t="shared" ref="BQ131:BT131" si="91">SUM(BQ127:BQ130)</f>
        <v>8</v>
      </c>
      <c r="BR131" s="1156">
        <f t="shared" si="91"/>
        <v>45</v>
      </c>
      <c r="BS131" s="1156">
        <f t="shared" si="91"/>
        <v>24</v>
      </c>
      <c r="BT131" s="1185">
        <f t="shared" si="91"/>
        <v>77</v>
      </c>
    </row>
    <row r="132" spans="1:72" s="212" customFormat="1" ht="15" x14ac:dyDescent="0.2">
      <c r="A132" s="5450"/>
      <c r="B132" s="2639"/>
      <c r="C132" s="2640"/>
      <c r="D132" s="2641" t="s">
        <v>450</v>
      </c>
      <c r="E132" s="2636">
        <f t="shared" ref="E132:AJ132" si="92">SUM(E126,E111,E131)</f>
        <v>96</v>
      </c>
      <c r="F132" s="2637">
        <f t="shared" si="92"/>
        <v>15</v>
      </c>
      <c r="G132" s="2637">
        <f t="shared" si="92"/>
        <v>54</v>
      </c>
      <c r="H132" s="2638">
        <f t="shared" si="92"/>
        <v>165</v>
      </c>
      <c r="I132" s="2636">
        <f t="shared" si="92"/>
        <v>127</v>
      </c>
      <c r="J132" s="2637">
        <f t="shared" si="92"/>
        <v>85</v>
      </c>
      <c r="K132" s="2637">
        <f t="shared" si="92"/>
        <v>125</v>
      </c>
      <c r="L132" s="2638">
        <f t="shared" si="92"/>
        <v>337</v>
      </c>
      <c r="M132" s="2636">
        <f t="shared" si="92"/>
        <v>127</v>
      </c>
      <c r="N132" s="2637">
        <f t="shared" si="92"/>
        <v>30</v>
      </c>
      <c r="O132" s="2637">
        <f t="shared" si="92"/>
        <v>102</v>
      </c>
      <c r="P132" s="2638">
        <f t="shared" si="92"/>
        <v>259</v>
      </c>
      <c r="Q132" s="2636">
        <f t="shared" si="92"/>
        <v>90</v>
      </c>
      <c r="R132" s="2637">
        <f t="shared" si="92"/>
        <v>70</v>
      </c>
      <c r="S132" s="2637">
        <f t="shared" si="92"/>
        <v>169</v>
      </c>
      <c r="T132" s="2638">
        <f t="shared" si="92"/>
        <v>329</v>
      </c>
      <c r="U132" s="2636">
        <f t="shared" si="92"/>
        <v>90</v>
      </c>
      <c r="V132" s="2637">
        <f t="shared" si="92"/>
        <v>24</v>
      </c>
      <c r="W132" s="2637">
        <f t="shared" si="92"/>
        <v>116</v>
      </c>
      <c r="X132" s="2638">
        <f t="shared" si="92"/>
        <v>230</v>
      </c>
      <c r="Y132" s="2637">
        <f t="shared" si="92"/>
        <v>40</v>
      </c>
      <c r="Z132" s="2637">
        <f t="shared" si="92"/>
        <v>0</v>
      </c>
      <c r="AA132" s="2637">
        <f t="shared" si="92"/>
        <v>179</v>
      </c>
      <c r="AB132" s="2638">
        <f t="shared" si="92"/>
        <v>219</v>
      </c>
      <c r="AC132" s="2637">
        <f t="shared" si="92"/>
        <v>69</v>
      </c>
      <c r="AD132" s="2637">
        <f t="shared" si="92"/>
        <v>4</v>
      </c>
      <c r="AE132" s="2637">
        <f t="shared" si="92"/>
        <v>136</v>
      </c>
      <c r="AF132" s="2638">
        <f t="shared" si="92"/>
        <v>209</v>
      </c>
      <c r="AG132" s="2637">
        <f t="shared" si="92"/>
        <v>52</v>
      </c>
      <c r="AH132" s="2637">
        <f t="shared" si="92"/>
        <v>4</v>
      </c>
      <c r="AI132" s="2637">
        <f t="shared" si="92"/>
        <v>205</v>
      </c>
      <c r="AJ132" s="2638">
        <f t="shared" si="92"/>
        <v>261</v>
      </c>
      <c r="AK132" s="2637">
        <f t="shared" ref="AK132:BH132" si="93">SUM(AK126,AK111,AK131)</f>
        <v>95</v>
      </c>
      <c r="AL132" s="2637">
        <f t="shared" si="93"/>
        <v>19</v>
      </c>
      <c r="AM132" s="2637">
        <f t="shared" si="93"/>
        <v>165</v>
      </c>
      <c r="AN132" s="2638">
        <f t="shared" si="93"/>
        <v>279</v>
      </c>
      <c r="AO132" s="2637">
        <f t="shared" si="93"/>
        <v>50</v>
      </c>
      <c r="AP132" s="2637">
        <f t="shared" si="93"/>
        <v>14</v>
      </c>
      <c r="AQ132" s="2637">
        <f t="shared" si="93"/>
        <v>204</v>
      </c>
      <c r="AR132" s="2638">
        <f t="shared" si="93"/>
        <v>268</v>
      </c>
      <c r="AS132" s="2637">
        <f t="shared" si="93"/>
        <v>87</v>
      </c>
      <c r="AT132" s="2637">
        <f t="shared" si="93"/>
        <v>23</v>
      </c>
      <c r="AU132" s="2637">
        <f t="shared" si="93"/>
        <v>170</v>
      </c>
      <c r="AV132" s="2638">
        <f t="shared" si="93"/>
        <v>280</v>
      </c>
      <c r="AW132" s="2637">
        <f t="shared" si="93"/>
        <v>35</v>
      </c>
      <c r="AX132" s="2637">
        <f t="shared" si="93"/>
        <v>5</v>
      </c>
      <c r="AY132" s="2637">
        <f t="shared" si="93"/>
        <v>201</v>
      </c>
      <c r="AZ132" s="2638">
        <f t="shared" si="93"/>
        <v>241</v>
      </c>
      <c r="BA132" s="2637">
        <f t="shared" si="93"/>
        <v>80</v>
      </c>
      <c r="BB132" s="2637">
        <f t="shared" si="93"/>
        <v>54</v>
      </c>
      <c r="BC132" s="2637">
        <f t="shared" si="93"/>
        <v>166</v>
      </c>
      <c r="BD132" s="2638">
        <f t="shared" si="93"/>
        <v>300</v>
      </c>
      <c r="BE132" s="2637">
        <f t="shared" si="93"/>
        <v>54</v>
      </c>
      <c r="BF132" s="2637">
        <f t="shared" si="93"/>
        <v>18</v>
      </c>
      <c r="BG132" s="2637">
        <f t="shared" si="93"/>
        <v>215</v>
      </c>
      <c r="BH132" s="2638">
        <f t="shared" si="93"/>
        <v>287</v>
      </c>
      <c r="BI132" s="2637">
        <f t="shared" ref="BI132:BP132" si="94">SUM(BI126,BI111,BI131)</f>
        <v>94</v>
      </c>
      <c r="BJ132" s="2637">
        <f t="shared" si="94"/>
        <v>75</v>
      </c>
      <c r="BK132" s="2637">
        <f t="shared" si="94"/>
        <v>125</v>
      </c>
      <c r="BL132" s="2638">
        <f t="shared" si="94"/>
        <v>294</v>
      </c>
      <c r="BM132" s="2637">
        <f t="shared" si="94"/>
        <v>45</v>
      </c>
      <c r="BN132" s="2637">
        <f t="shared" si="94"/>
        <v>29</v>
      </c>
      <c r="BO132" s="2637">
        <f t="shared" si="94"/>
        <v>233</v>
      </c>
      <c r="BP132" s="2638">
        <f t="shared" si="94"/>
        <v>307</v>
      </c>
      <c r="BQ132" s="2637">
        <f t="shared" ref="BQ132:BT132" si="95">SUM(BQ126,BQ111,BQ131)</f>
        <v>102</v>
      </c>
      <c r="BR132" s="2637">
        <f t="shared" si="95"/>
        <v>76</v>
      </c>
      <c r="BS132" s="2637">
        <f t="shared" si="95"/>
        <v>137</v>
      </c>
      <c r="BT132" s="2638">
        <f t="shared" si="95"/>
        <v>315</v>
      </c>
    </row>
    <row r="133" spans="1:72" s="212" customFormat="1" ht="15" x14ac:dyDescent="0.2">
      <c r="A133" s="1188"/>
      <c r="B133" s="1188"/>
      <c r="C133" s="522"/>
      <c r="D133" s="1188"/>
      <c r="E133" s="1188"/>
      <c r="F133" s="1188"/>
      <c r="G133" s="1188"/>
      <c r="H133" s="1188"/>
      <c r="I133" s="1188"/>
      <c r="J133" s="1188"/>
      <c r="K133" s="1188"/>
      <c r="L133" s="1188"/>
      <c r="M133" s="1188"/>
      <c r="N133" s="1188"/>
      <c r="O133" s="1188"/>
      <c r="P133" s="1188"/>
      <c r="Q133" s="1188"/>
      <c r="R133" s="1188"/>
      <c r="S133" s="1188"/>
      <c r="T133" s="1188"/>
      <c r="U133" s="1188"/>
      <c r="V133" s="1188"/>
      <c r="W133" s="1188"/>
      <c r="X133" s="1188"/>
      <c r="Y133" s="1188"/>
      <c r="Z133" s="1188"/>
      <c r="AA133" s="1188"/>
      <c r="AB133" s="1188"/>
      <c r="AC133" s="1188"/>
      <c r="AD133" s="1188"/>
      <c r="AE133" s="1188"/>
      <c r="AF133" s="1188"/>
      <c r="AG133" s="1188"/>
      <c r="AH133" s="1188"/>
      <c r="AI133" s="1188"/>
      <c r="AJ133" s="1188"/>
      <c r="AK133" s="1188"/>
      <c r="AL133" s="1188"/>
      <c r="AM133" s="1188"/>
      <c r="AN133" s="1188"/>
      <c r="AO133" s="1188"/>
      <c r="AP133" s="1188"/>
      <c r="AQ133" s="1188"/>
      <c r="AR133" s="1188"/>
      <c r="AS133" s="1188"/>
      <c r="AT133" s="1188"/>
      <c r="AU133" s="1188"/>
      <c r="AV133" s="1188"/>
      <c r="AW133" s="1188"/>
      <c r="AX133" s="1188"/>
      <c r="AY133" s="1188"/>
      <c r="AZ133" s="1188"/>
      <c r="BA133" s="1188"/>
      <c r="BB133" s="1188"/>
      <c r="BC133" s="1188"/>
      <c r="BD133" s="1188"/>
      <c r="BE133" s="1188"/>
      <c r="BF133" s="1188"/>
      <c r="BG133" s="1188"/>
      <c r="BH133" s="1188"/>
      <c r="BI133" s="1188"/>
      <c r="BJ133" s="1188"/>
      <c r="BK133" s="1188"/>
      <c r="BL133" s="1188"/>
      <c r="BM133" s="1188"/>
      <c r="BN133" s="1188"/>
      <c r="BO133" s="1188"/>
      <c r="BP133" s="1188"/>
      <c r="BQ133" s="1188"/>
      <c r="BR133" s="1188"/>
      <c r="BS133" s="1188"/>
      <c r="BT133" s="1188"/>
    </row>
    <row r="134" spans="1:72" s="222" customFormat="1" ht="15" x14ac:dyDescent="0.2">
      <c r="A134" s="936"/>
      <c r="B134" s="5025" t="s">
        <v>76</v>
      </c>
      <c r="C134" s="5026"/>
      <c r="D134" s="5026"/>
      <c r="E134" s="574">
        <f t="shared" ref="E134:AJ134" si="96">SUM(E47,E57,E96,E132)</f>
        <v>256</v>
      </c>
      <c r="F134" s="575">
        <f t="shared" si="96"/>
        <v>50</v>
      </c>
      <c r="G134" s="575">
        <f t="shared" si="96"/>
        <v>409</v>
      </c>
      <c r="H134" s="576">
        <f t="shared" si="96"/>
        <v>715</v>
      </c>
      <c r="I134" s="574">
        <f t="shared" si="96"/>
        <v>375</v>
      </c>
      <c r="J134" s="575">
        <f t="shared" si="96"/>
        <v>121</v>
      </c>
      <c r="K134" s="575">
        <f t="shared" si="96"/>
        <v>617</v>
      </c>
      <c r="L134" s="575">
        <f t="shared" si="96"/>
        <v>1113</v>
      </c>
      <c r="M134" s="574">
        <f t="shared" si="96"/>
        <v>247</v>
      </c>
      <c r="N134" s="575">
        <f t="shared" si="96"/>
        <v>95</v>
      </c>
      <c r="O134" s="575">
        <f t="shared" si="96"/>
        <v>480</v>
      </c>
      <c r="P134" s="576">
        <f t="shared" si="96"/>
        <v>822</v>
      </c>
      <c r="Q134" s="574">
        <f t="shared" si="96"/>
        <v>203</v>
      </c>
      <c r="R134" s="575">
        <f t="shared" si="96"/>
        <v>103</v>
      </c>
      <c r="S134" s="575">
        <f t="shared" si="96"/>
        <v>791</v>
      </c>
      <c r="T134" s="576">
        <f t="shared" si="96"/>
        <v>1097</v>
      </c>
      <c r="U134" s="574">
        <f t="shared" si="96"/>
        <v>147</v>
      </c>
      <c r="V134" s="575">
        <f t="shared" si="96"/>
        <v>44</v>
      </c>
      <c r="W134" s="575">
        <f t="shared" si="96"/>
        <v>390</v>
      </c>
      <c r="X134" s="576">
        <f t="shared" si="96"/>
        <v>581</v>
      </c>
      <c r="Y134" s="575">
        <f t="shared" si="96"/>
        <v>113</v>
      </c>
      <c r="Z134" s="575">
        <f t="shared" si="96"/>
        <v>59</v>
      </c>
      <c r="AA134" s="575">
        <f t="shared" si="96"/>
        <v>522</v>
      </c>
      <c r="AB134" s="576">
        <f t="shared" si="96"/>
        <v>694</v>
      </c>
      <c r="AC134" s="575">
        <f t="shared" si="96"/>
        <v>237</v>
      </c>
      <c r="AD134" s="575">
        <f t="shared" si="96"/>
        <v>33</v>
      </c>
      <c r="AE134" s="575">
        <f t="shared" si="96"/>
        <v>426</v>
      </c>
      <c r="AF134" s="576">
        <f t="shared" si="96"/>
        <v>696</v>
      </c>
      <c r="AG134" s="575">
        <f t="shared" si="96"/>
        <v>228</v>
      </c>
      <c r="AH134" s="575">
        <f t="shared" si="96"/>
        <v>28</v>
      </c>
      <c r="AI134" s="575">
        <f t="shared" si="96"/>
        <v>461</v>
      </c>
      <c r="AJ134" s="576">
        <f t="shared" si="96"/>
        <v>717</v>
      </c>
      <c r="AK134" s="575">
        <f t="shared" ref="AK134:BP134" si="97">SUM(AK47,AK57,AK96,AK132)</f>
        <v>331</v>
      </c>
      <c r="AL134" s="575">
        <f t="shared" si="97"/>
        <v>58</v>
      </c>
      <c r="AM134" s="575">
        <f t="shared" si="97"/>
        <v>507</v>
      </c>
      <c r="AN134" s="576">
        <f t="shared" si="97"/>
        <v>896</v>
      </c>
      <c r="AO134" s="575">
        <f t="shared" si="97"/>
        <v>222</v>
      </c>
      <c r="AP134" s="575">
        <f t="shared" si="97"/>
        <v>33</v>
      </c>
      <c r="AQ134" s="575">
        <f t="shared" si="97"/>
        <v>685</v>
      </c>
      <c r="AR134" s="576">
        <f t="shared" si="97"/>
        <v>940</v>
      </c>
      <c r="AS134" s="575">
        <f t="shared" si="97"/>
        <v>145</v>
      </c>
      <c r="AT134" s="575">
        <f t="shared" si="97"/>
        <v>152</v>
      </c>
      <c r="AU134" s="575">
        <f t="shared" si="97"/>
        <v>595</v>
      </c>
      <c r="AV134" s="576">
        <f t="shared" si="97"/>
        <v>892</v>
      </c>
      <c r="AW134" s="575">
        <f t="shared" si="97"/>
        <v>133</v>
      </c>
      <c r="AX134" s="575">
        <f t="shared" si="97"/>
        <v>37</v>
      </c>
      <c r="AY134" s="575">
        <f t="shared" si="97"/>
        <v>796</v>
      </c>
      <c r="AZ134" s="576">
        <f t="shared" si="97"/>
        <v>966</v>
      </c>
      <c r="BA134" s="575">
        <f t="shared" si="97"/>
        <v>218</v>
      </c>
      <c r="BB134" s="575">
        <f t="shared" si="97"/>
        <v>86</v>
      </c>
      <c r="BC134" s="575">
        <f t="shared" si="97"/>
        <v>686</v>
      </c>
      <c r="BD134" s="576">
        <f t="shared" si="97"/>
        <v>990</v>
      </c>
      <c r="BE134" s="575">
        <f t="shared" si="97"/>
        <v>224</v>
      </c>
      <c r="BF134" s="575">
        <f t="shared" si="97"/>
        <v>65</v>
      </c>
      <c r="BG134" s="575">
        <f t="shared" si="97"/>
        <v>813</v>
      </c>
      <c r="BH134" s="576">
        <f t="shared" si="97"/>
        <v>1048</v>
      </c>
      <c r="BI134" s="574">
        <f t="shared" si="97"/>
        <v>262</v>
      </c>
      <c r="BJ134" s="575">
        <f t="shared" si="97"/>
        <v>105</v>
      </c>
      <c r="BK134" s="575">
        <f t="shared" si="97"/>
        <v>621</v>
      </c>
      <c r="BL134" s="576">
        <f t="shared" si="97"/>
        <v>988</v>
      </c>
      <c r="BM134" s="574">
        <f t="shared" si="97"/>
        <v>195</v>
      </c>
      <c r="BN134" s="575">
        <f t="shared" si="97"/>
        <v>72</v>
      </c>
      <c r="BO134" s="575">
        <f t="shared" si="97"/>
        <v>901</v>
      </c>
      <c r="BP134" s="576">
        <f t="shared" si="97"/>
        <v>1168</v>
      </c>
      <c r="BQ134" s="574">
        <f t="shared" ref="BQ134:BT134" si="98">SUM(BQ47,BQ57,BQ96,BQ132)</f>
        <v>270</v>
      </c>
      <c r="BR134" s="575">
        <f t="shared" si="98"/>
        <v>147</v>
      </c>
      <c r="BS134" s="575">
        <f t="shared" si="98"/>
        <v>655</v>
      </c>
      <c r="BT134" s="576">
        <f t="shared" si="98"/>
        <v>1072</v>
      </c>
    </row>
    <row r="135" spans="1:72" x14ac:dyDescent="0.2">
      <c r="B135" s="641" t="s">
        <v>0</v>
      </c>
      <c r="C135" s="641"/>
      <c r="D135" s="641"/>
      <c r="E135" s="552"/>
      <c r="F135" s="552"/>
      <c r="G135" s="552"/>
      <c r="H135" s="552"/>
      <c r="I135" s="552"/>
      <c r="J135" s="552"/>
      <c r="K135" s="552"/>
      <c r="L135" s="552"/>
      <c r="M135" s="552"/>
      <c r="N135" s="552"/>
      <c r="O135" s="552"/>
      <c r="P135" s="552"/>
      <c r="Q135" s="552"/>
      <c r="R135" s="552"/>
      <c r="S135" s="552"/>
      <c r="T135" s="552"/>
    </row>
    <row r="136" spans="1:72" x14ac:dyDescent="0.2">
      <c r="B136" s="1046"/>
      <c r="C136" s="1065"/>
      <c r="D136" s="1046"/>
      <c r="E136" s="1046"/>
      <c r="F136" s="1046"/>
      <c r="G136" s="1046"/>
      <c r="H136" s="1046"/>
      <c r="I136" s="1046"/>
      <c r="J136" s="1046"/>
      <c r="K136" s="1046"/>
      <c r="L136" s="1046"/>
      <c r="M136" s="1046"/>
      <c r="N136" s="1046"/>
      <c r="O136" s="1046"/>
      <c r="P136" s="1046"/>
      <c r="Q136" s="1046"/>
      <c r="R136" s="1046"/>
      <c r="S136" s="1046"/>
      <c r="T136" s="1046"/>
    </row>
    <row r="138" spans="1:72" x14ac:dyDescent="0.2">
      <c r="B138" s="229"/>
      <c r="C138" s="229"/>
    </row>
    <row r="140" spans="1:72" x14ac:dyDescent="0.2">
      <c r="G140" s="211"/>
    </row>
  </sheetData>
  <mergeCells count="60">
    <mergeCell ref="BQ3:BT3"/>
    <mergeCell ref="BI3:BL3"/>
    <mergeCell ref="C88:C91"/>
    <mergeCell ref="C92:C94"/>
    <mergeCell ref="C97:C98"/>
    <mergeCell ref="AK3:AN3"/>
    <mergeCell ref="AO3:AR3"/>
    <mergeCell ref="AS3:AV3"/>
    <mergeCell ref="AW3:AZ3"/>
    <mergeCell ref="BA3:BD3"/>
    <mergeCell ref="D3:D4"/>
    <mergeCell ref="E3:H3"/>
    <mergeCell ref="I3:L3"/>
    <mergeCell ref="BM3:BP3"/>
    <mergeCell ref="BE3:BH3"/>
    <mergeCell ref="Q3:T3"/>
    <mergeCell ref="AC3:AF3"/>
    <mergeCell ref="AG3:AJ3"/>
    <mergeCell ref="C65:C72"/>
    <mergeCell ref="C75:C79"/>
    <mergeCell ref="C80:C84"/>
    <mergeCell ref="C58:C64"/>
    <mergeCell ref="C6:C10"/>
    <mergeCell ref="C11:C12"/>
    <mergeCell ref="C16:C18"/>
    <mergeCell ref="C19:C25"/>
    <mergeCell ref="M3:P3"/>
    <mergeCell ref="C3:C4"/>
    <mergeCell ref="C39:C45"/>
    <mergeCell ref="C26:C28"/>
    <mergeCell ref="A3:A4"/>
    <mergeCell ref="B3:B4"/>
    <mergeCell ref="C99:C107"/>
    <mergeCell ref="U3:X3"/>
    <mergeCell ref="Y3:AB3"/>
    <mergeCell ref="C86:C87"/>
    <mergeCell ref="A97:A132"/>
    <mergeCell ref="B30:B46"/>
    <mergeCell ref="A58:A96"/>
    <mergeCell ref="B58:B73"/>
    <mergeCell ref="B74:B85"/>
    <mergeCell ref="B86:B95"/>
    <mergeCell ref="A48:A57"/>
    <mergeCell ref="B48:B50"/>
    <mergeCell ref="B51:B52"/>
    <mergeCell ref="B53:B56"/>
    <mergeCell ref="A5:A47"/>
    <mergeCell ref="B5:B15"/>
    <mergeCell ref="B16:B29"/>
    <mergeCell ref="B134:D134"/>
    <mergeCell ref="C112:C114"/>
    <mergeCell ref="C127:C129"/>
    <mergeCell ref="C108:C110"/>
    <mergeCell ref="C123:C125"/>
    <mergeCell ref="C115:C122"/>
    <mergeCell ref="B97:B111"/>
    <mergeCell ref="B112:B126"/>
    <mergeCell ref="B127:B131"/>
    <mergeCell ref="C30:C31"/>
    <mergeCell ref="C32:C38"/>
  </mergeCells>
  <printOptions horizontalCentered="1" verticalCentered="1"/>
  <pageMargins left="0.43307086614173229" right="0.43307086614173229" top="0.15748031496062992" bottom="0.15748031496062992" header="0.31496062992125984" footer="0.31496062992125984"/>
  <pageSetup scale="45" pageOrder="overThenDown" orientation="landscape" r:id="rId1"/>
  <headerFooter alignWithMargins="0"/>
  <rowBreaks count="1" manualBreakCount="1">
    <brk id="57" max="71" man="1"/>
  </rowBreaks>
  <colBreaks count="3" manualBreakCount="3">
    <brk id="24" max="139" man="1"/>
    <brk id="44" max="139" man="1"/>
    <brk id="68" max="139" man="1"/>
  </colBreaks>
  <ignoredErrors>
    <ignoredError sqref="X11:X12 X16 X32 X72:X75 X59:X63 X65:X70 X80:X84 X6:X10 X30" formulaRange="1"/>
    <ignoredError sqref="X15 X88 X99 X92 X108 X93:X97" formula="1" formulaRange="1"/>
    <ignoredError sqref="Y15:AF15 AJ15:AR15 AV15:BD15 AZ50:BA52 BD51:BH51 BD50:BE50 BH50 AZ48:BH49 AZ46 BG46:BH46 BC39:BH39 BC46:BD46 BD52 BG52:BH52 X85:X86 AV85:BH85 BL15 BL29 BL52 BL85 BL111 BL126 BI126:BJ126 BP15:BQ15 BP29 BP52 BP85 BP111 BN126:BP126 BB47:BH47 BT15 BC29:BH30 AZ29:AZ30 BC32:BH32 AZ32 AZ39 BR126:BT126" formula="1"/>
  </ignoredError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BR100"/>
  <sheetViews>
    <sheetView showGridLines="0" zoomScaleNormal="100" zoomScaleSheetLayoutView="100" workbookViewId="0">
      <pane xSplit="2" ySplit="5" topLeftCell="AZ72" activePane="bottomRight" state="frozen"/>
      <selection pane="topRight" activeCell="D1" sqref="D1"/>
      <selection pane="bottomLeft" activeCell="A7" sqref="A7"/>
      <selection pane="bottomRight" activeCell="BT15" sqref="BT15"/>
    </sheetView>
  </sheetViews>
  <sheetFormatPr baseColWidth="10" defaultRowHeight="12.75" x14ac:dyDescent="0.2"/>
  <cols>
    <col min="1" max="1" width="15.7109375" style="228" customWidth="1"/>
    <col min="2" max="2" width="20.28515625" style="209" customWidth="1"/>
    <col min="3" max="9" width="7.28515625" style="209" customWidth="1"/>
    <col min="10" max="10" width="7.42578125" style="209" customWidth="1"/>
    <col min="11" max="17" width="7.28515625" style="209" customWidth="1"/>
    <col min="18" max="18" width="8.5703125" style="209" customWidth="1"/>
    <col min="19" max="25" width="7.28515625" style="209" customWidth="1"/>
    <col min="26" max="26" width="7.28515625" style="222" customWidth="1"/>
    <col min="27" max="29" width="7.28515625" style="209" customWidth="1"/>
    <col min="30" max="30" width="7.28515625" style="222" customWidth="1"/>
    <col min="31" max="33" width="7.28515625" style="209" customWidth="1"/>
    <col min="34" max="34" width="7.28515625" style="222" customWidth="1"/>
    <col min="35" max="37" width="7.28515625" style="209" customWidth="1"/>
    <col min="38" max="38" width="7.28515625" style="222" customWidth="1"/>
    <col min="39" max="57" width="7.28515625" style="209" customWidth="1"/>
    <col min="58" max="58" width="7.7109375" style="209" bestFit="1" customWidth="1"/>
    <col min="59" max="65" width="6.7109375" style="209" customWidth="1"/>
    <col min="66" max="66" width="9.28515625" style="209" customWidth="1"/>
    <col min="67" max="70" width="7.7109375" style="209" customWidth="1"/>
    <col min="71" max="270" width="11.42578125" style="209"/>
    <col min="271" max="271" width="2" style="209" customWidth="1"/>
    <col min="272" max="272" width="16.28515625" style="209" customWidth="1"/>
    <col min="273" max="273" width="11.140625" style="209" bestFit="1" customWidth="1"/>
    <col min="274" max="274" width="20.28515625" style="209" customWidth="1"/>
    <col min="275" max="306" width="7.28515625" style="209" customWidth="1"/>
    <col min="307" max="526" width="11.42578125" style="209"/>
    <col min="527" max="527" width="2" style="209" customWidth="1"/>
    <col min="528" max="528" width="16.28515625" style="209" customWidth="1"/>
    <col min="529" max="529" width="11.140625" style="209" bestFit="1" customWidth="1"/>
    <col min="530" max="530" width="20.28515625" style="209" customWidth="1"/>
    <col min="531" max="562" width="7.28515625" style="209" customWidth="1"/>
    <col min="563" max="782" width="11.42578125" style="209"/>
    <col min="783" max="783" width="2" style="209" customWidth="1"/>
    <col min="784" max="784" width="16.28515625" style="209" customWidth="1"/>
    <col min="785" max="785" width="11.140625" style="209" bestFit="1" customWidth="1"/>
    <col min="786" max="786" width="20.28515625" style="209" customWidth="1"/>
    <col min="787" max="818" width="7.28515625" style="209" customWidth="1"/>
    <col min="819" max="1038" width="11.42578125" style="209"/>
    <col min="1039" max="1039" width="2" style="209" customWidth="1"/>
    <col min="1040" max="1040" width="16.28515625" style="209" customWidth="1"/>
    <col min="1041" max="1041" width="11.140625" style="209" bestFit="1" customWidth="1"/>
    <col min="1042" max="1042" width="20.28515625" style="209" customWidth="1"/>
    <col min="1043" max="1074" width="7.28515625" style="209" customWidth="1"/>
    <col min="1075" max="1294" width="11.42578125" style="209"/>
    <col min="1295" max="1295" width="2" style="209" customWidth="1"/>
    <col min="1296" max="1296" width="16.28515625" style="209" customWidth="1"/>
    <col min="1297" max="1297" width="11.140625" style="209" bestFit="1" customWidth="1"/>
    <col min="1298" max="1298" width="20.28515625" style="209" customWidth="1"/>
    <col min="1299" max="1330" width="7.28515625" style="209" customWidth="1"/>
    <col min="1331" max="1550" width="11.42578125" style="209"/>
    <col min="1551" max="1551" width="2" style="209" customWidth="1"/>
    <col min="1552" max="1552" width="16.28515625" style="209" customWidth="1"/>
    <col min="1553" max="1553" width="11.140625" style="209" bestFit="1" customWidth="1"/>
    <col min="1554" max="1554" width="20.28515625" style="209" customWidth="1"/>
    <col min="1555" max="1586" width="7.28515625" style="209" customWidth="1"/>
    <col min="1587" max="1806" width="11.42578125" style="209"/>
    <col min="1807" max="1807" width="2" style="209" customWidth="1"/>
    <col min="1808" max="1808" width="16.28515625" style="209" customWidth="1"/>
    <col min="1809" max="1809" width="11.140625" style="209" bestFit="1" customWidth="1"/>
    <col min="1810" max="1810" width="20.28515625" style="209" customWidth="1"/>
    <col min="1811" max="1842" width="7.28515625" style="209" customWidth="1"/>
    <col min="1843" max="2062" width="11.42578125" style="209"/>
    <col min="2063" max="2063" width="2" style="209" customWidth="1"/>
    <col min="2064" max="2064" width="16.28515625" style="209" customWidth="1"/>
    <col min="2065" max="2065" width="11.140625" style="209" bestFit="1" customWidth="1"/>
    <col min="2066" max="2066" width="20.28515625" style="209" customWidth="1"/>
    <col min="2067" max="2098" width="7.28515625" style="209" customWidth="1"/>
    <col min="2099" max="2318" width="11.42578125" style="209"/>
    <col min="2319" max="2319" width="2" style="209" customWidth="1"/>
    <col min="2320" max="2320" width="16.28515625" style="209" customWidth="1"/>
    <col min="2321" max="2321" width="11.140625" style="209" bestFit="1" customWidth="1"/>
    <col min="2322" max="2322" width="20.28515625" style="209" customWidth="1"/>
    <col min="2323" max="2354" width="7.28515625" style="209" customWidth="1"/>
    <col min="2355" max="2574" width="11.42578125" style="209"/>
    <col min="2575" max="2575" width="2" style="209" customWidth="1"/>
    <col min="2576" max="2576" width="16.28515625" style="209" customWidth="1"/>
    <col min="2577" max="2577" width="11.140625" style="209" bestFit="1" customWidth="1"/>
    <col min="2578" max="2578" width="20.28515625" style="209" customWidth="1"/>
    <col min="2579" max="2610" width="7.28515625" style="209" customWidth="1"/>
    <col min="2611" max="2830" width="11.42578125" style="209"/>
    <col min="2831" max="2831" width="2" style="209" customWidth="1"/>
    <col min="2832" max="2832" width="16.28515625" style="209" customWidth="1"/>
    <col min="2833" max="2833" width="11.140625" style="209" bestFit="1" customWidth="1"/>
    <col min="2834" max="2834" width="20.28515625" style="209" customWidth="1"/>
    <col min="2835" max="2866" width="7.28515625" style="209" customWidth="1"/>
    <col min="2867" max="3086" width="11.42578125" style="209"/>
    <col min="3087" max="3087" width="2" style="209" customWidth="1"/>
    <col min="3088" max="3088" width="16.28515625" style="209" customWidth="1"/>
    <col min="3089" max="3089" width="11.140625" style="209" bestFit="1" customWidth="1"/>
    <col min="3090" max="3090" width="20.28515625" style="209" customWidth="1"/>
    <col min="3091" max="3122" width="7.28515625" style="209" customWidth="1"/>
    <col min="3123" max="3342" width="11.42578125" style="209"/>
    <col min="3343" max="3343" width="2" style="209" customWidth="1"/>
    <col min="3344" max="3344" width="16.28515625" style="209" customWidth="1"/>
    <col min="3345" max="3345" width="11.140625" style="209" bestFit="1" customWidth="1"/>
    <col min="3346" max="3346" width="20.28515625" style="209" customWidth="1"/>
    <col min="3347" max="3378" width="7.28515625" style="209" customWidth="1"/>
    <col min="3379" max="3598" width="11.42578125" style="209"/>
    <col min="3599" max="3599" width="2" style="209" customWidth="1"/>
    <col min="3600" max="3600" width="16.28515625" style="209" customWidth="1"/>
    <col min="3601" max="3601" width="11.140625" style="209" bestFit="1" customWidth="1"/>
    <col min="3602" max="3602" width="20.28515625" style="209" customWidth="1"/>
    <col min="3603" max="3634" width="7.28515625" style="209" customWidth="1"/>
    <col min="3635" max="3854" width="11.42578125" style="209"/>
    <col min="3855" max="3855" width="2" style="209" customWidth="1"/>
    <col min="3856" max="3856" width="16.28515625" style="209" customWidth="1"/>
    <col min="3857" max="3857" width="11.140625" style="209" bestFit="1" customWidth="1"/>
    <col min="3858" max="3858" width="20.28515625" style="209" customWidth="1"/>
    <col min="3859" max="3890" width="7.28515625" style="209" customWidth="1"/>
    <col min="3891" max="4110" width="11.42578125" style="209"/>
    <col min="4111" max="4111" width="2" style="209" customWidth="1"/>
    <col min="4112" max="4112" width="16.28515625" style="209" customWidth="1"/>
    <col min="4113" max="4113" width="11.140625" style="209" bestFit="1" customWidth="1"/>
    <col min="4114" max="4114" width="20.28515625" style="209" customWidth="1"/>
    <col min="4115" max="4146" width="7.28515625" style="209" customWidth="1"/>
    <col min="4147" max="4366" width="11.42578125" style="209"/>
    <col min="4367" max="4367" width="2" style="209" customWidth="1"/>
    <col min="4368" max="4368" width="16.28515625" style="209" customWidth="1"/>
    <col min="4369" max="4369" width="11.140625" style="209" bestFit="1" customWidth="1"/>
    <col min="4370" max="4370" width="20.28515625" style="209" customWidth="1"/>
    <col min="4371" max="4402" width="7.28515625" style="209" customWidth="1"/>
    <col min="4403" max="4622" width="11.42578125" style="209"/>
    <col min="4623" max="4623" width="2" style="209" customWidth="1"/>
    <col min="4624" max="4624" width="16.28515625" style="209" customWidth="1"/>
    <col min="4625" max="4625" width="11.140625" style="209" bestFit="1" customWidth="1"/>
    <col min="4626" max="4626" width="20.28515625" style="209" customWidth="1"/>
    <col min="4627" max="4658" width="7.28515625" style="209" customWidth="1"/>
    <col min="4659" max="4878" width="11.42578125" style="209"/>
    <col min="4879" max="4879" width="2" style="209" customWidth="1"/>
    <col min="4880" max="4880" width="16.28515625" style="209" customWidth="1"/>
    <col min="4881" max="4881" width="11.140625" style="209" bestFit="1" customWidth="1"/>
    <col min="4882" max="4882" width="20.28515625" style="209" customWidth="1"/>
    <col min="4883" max="4914" width="7.28515625" style="209" customWidth="1"/>
    <col min="4915" max="5134" width="11.42578125" style="209"/>
    <col min="5135" max="5135" width="2" style="209" customWidth="1"/>
    <col min="5136" max="5136" width="16.28515625" style="209" customWidth="1"/>
    <col min="5137" max="5137" width="11.140625" style="209" bestFit="1" customWidth="1"/>
    <col min="5138" max="5138" width="20.28515625" style="209" customWidth="1"/>
    <col min="5139" max="5170" width="7.28515625" style="209" customWidth="1"/>
    <col min="5171" max="5390" width="11.42578125" style="209"/>
    <col min="5391" max="5391" width="2" style="209" customWidth="1"/>
    <col min="5392" max="5392" width="16.28515625" style="209" customWidth="1"/>
    <col min="5393" max="5393" width="11.140625" style="209" bestFit="1" customWidth="1"/>
    <col min="5394" max="5394" width="20.28515625" style="209" customWidth="1"/>
    <col min="5395" max="5426" width="7.28515625" style="209" customWidth="1"/>
    <col min="5427" max="5646" width="11.42578125" style="209"/>
    <col min="5647" max="5647" width="2" style="209" customWidth="1"/>
    <col min="5648" max="5648" width="16.28515625" style="209" customWidth="1"/>
    <col min="5649" max="5649" width="11.140625" style="209" bestFit="1" customWidth="1"/>
    <col min="5650" max="5650" width="20.28515625" style="209" customWidth="1"/>
    <col min="5651" max="5682" width="7.28515625" style="209" customWidth="1"/>
    <col min="5683" max="5902" width="11.42578125" style="209"/>
    <col min="5903" max="5903" width="2" style="209" customWidth="1"/>
    <col min="5904" max="5904" width="16.28515625" style="209" customWidth="1"/>
    <col min="5905" max="5905" width="11.140625" style="209" bestFit="1" customWidth="1"/>
    <col min="5906" max="5906" width="20.28515625" style="209" customWidth="1"/>
    <col min="5907" max="5938" width="7.28515625" style="209" customWidth="1"/>
    <col min="5939" max="6158" width="11.42578125" style="209"/>
    <col min="6159" max="6159" width="2" style="209" customWidth="1"/>
    <col min="6160" max="6160" width="16.28515625" style="209" customWidth="1"/>
    <col min="6161" max="6161" width="11.140625" style="209" bestFit="1" customWidth="1"/>
    <col min="6162" max="6162" width="20.28515625" style="209" customWidth="1"/>
    <col min="6163" max="6194" width="7.28515625" style="209" customWidth="1"/>
    <col min="6195" max="6414" width="11.42578125" style="209"/>
    <col min="6415" max="6415" width="2" style="209" customWidth="1"/>
    <col min="6416" max="6416" width="16.28515625" style="209" customWidth="1"/>
    <col min="6417" max="6417" width="11.140625" style="209" bestFit="1" customWidth="1"/>
    <col min="6418" max="6418" width="20.28515625" style="209" customWidth="1"/>
    <col min="6419" max="6450" width="7.28515625" style="209" customWidth="1"/>
    <col min="6451" max="6670" width="11.42578125" style="209"/>
    <col min="6671" max="6671" width="2" style="209" customWidth="1"/>
    <col min="6672" max="6672" width="16.28515625" style="209" customWidth="1"/>
    <col min="6673" max="6673" width="11.140625" style="209" bestFit="1" customWidth="1"/>
    <col min="6674" max="6674" width="20.28515625" style="209" customWidth="1"/>
    <col min="6675" max="6706" width="7.28515625" style="209" customWidth="1"/>
    <col min="6707" max="6926" width="11.42578125" style="209"/>
    <col min="6927" max="6927" width="2" style="209" customWidth="1"/>
    <col min="6928" max="6928" width="16.28515625" style="209" customWidth="1"/>
    <col min="6929" max="6929" width="11.140625" style="209" bestFit="1" customWidth="1"/>
    <col min="6930" max="6930" width="20.28515625" style="209" customWidth="1"/>
    <col min="6931" max="6962" width="7.28515625" style="209" customWidth="1"/>
    <col min="6963" max="7182" width="11.42578125" style="209"/>
    <col min="7183" max="7183" width="2" style="209" customWidth="1"/>
    <col min="7184" max="7184" width="16.28515625" style="209" customWidth="1"/>
    <col min="7185" max="7185" width="11.140625" style="209" bestFit="1" customWidth="1"/>
    <col min="7186" max="7186" width="20.28515625" style="209" customWidth="1"/>
    <col min="7187" max="7218" width="7.28515625" style="209" customWidth="1"/>
    <col min="7219" max="7438" width="11.42578125" style="209"/>
    <col min="7439" max="7439" width="2" style="209" customWidth="1"/>
    <col min="7440" max="7440" width="16.28515625" style="209" customWidth="1"/>
    <col min="7441" max="7441" width="11.140625" style="209" bestFit="1" customWidth="1"/>
    <col min="7442" max="7442" width="20.28515625" style="209" customWidth="1"/>
    <col min="7443" max="7474" width="7.28515625" style="209" customWidth="1"/>
    <col min="7475" max="7694" width="11.42578125" style="209"/>
    <col min="7695" max="7695" width="2" style="209" customWidth="1"/>
    <col min="7696" max="7696" width="16.28515625" style="209" customWidth="1"/>
    <col min="7697" max="7697" width="11.140625" style="209" bestFit="1" customWidth="1"/>
    <col min="7698" max="7698" width="20.28515625" style="209" customWidth="1"/>
    <col min="7699" max="7730" width="7.28515625" style="209" customWidth="1"/>
    <col min="7731" max="7950" width="11.42578125" style="209"/>
    <col min="7951" max="7951" width="2" style="209" customWidth="1"/>
    <col min="7952" max="7952" width="16.28515625" style="209" customWidth="1"/>
    <col min="7953" max="7953" width="11.140625" style="209" bestFit="1" customWidth="1"/>
    <col min="7954" max="7954" width="20.28515625" style="209" customWidth="1"/>
    <col min="7955" max="7986" width="7.28515625" style="209" customWidth="1"/>
    <col min="7987" max="8206" width="11.42578125" style="209"/>
    <col min="8207" max="8207" width="2" style="209" customWidth="1"/>
    <col min="8208" max="8208" width="16.28515625" style="209" customWidth="1"/>
    <col min="8209" max="8209" width="11.140625" style="209" bestFit="1" customWidth="1"/>
    <col min="8210" max="8210" width="20.28515625" style="209" customWidth="1"/>
    <col min="8211" max="8242" width="7.28515625" style="209" customWidth="1"/>
    <col min="8243" max="8462" width="11.42578125" style="209"/>
    <col min="8463" max="8463" width="2" style="209" customWidth="1"/>
    <col min="8464" max="8464" width="16.28515625" style="209" customWidth="1"/>
    <col min="8465" max="8465" width="11.140625" style="209" bestFit="1" customWidth="1"/>
    <col min="8466" max="8466" width="20.28515625" style="209" customWidth="1"/>
    <col min="8467" max="8498" width="7.28515625" style="209" customWidth="1"/>
    <col min="8499" max="8718" width="11.42578125" style="209"/>
    <col min="8719" max="8719" width="2" style="209" customWidth="1"/>
    <col min="8720" max="8720" width="16.28515625" style="209" customWidth="1"/>
    <col min="8721" max="8721" width="11.140625" style="209" bestFit="1" customWidth="1"/>
    <col min="8722" max="8722" width="20.28515625" style="209" customWidth="1"/>
    <col min="8723" max="8754" width="7.28515625" style="209" customWidth="1"/>
    <col min="8755" max="8974" width="11.42578125" style="209"/>
    <col min="8975" max="8975" width="2" style="209" customWidth="1"/>
    <col min="8976" max="8976" width="16.28515625" style="209" customWidth="1"/>
    <col min="8977" max="8977" width="11.140625" style="209" bestFit="1" customWidth="1"/>
    <col min="8978" max="8978" width="20.28515625" style="209" customWidth="1"/>
    <col min="8979" max="9010" width="7.28515625" style="209" customWidth="1"/>
    <col min="9011" max="9230" width="11.42578125" style="209"/>
    <col min="9231" max="9231" width="2" style="209" customWidth="1"/>
    <col min="9232" max="9232" width="16.28515625" style="209" customWidth="1"/>
    <col min="9233" max="9233" width="11.140625" style="209" bestFit="1" customWidth="1"/>
    <col min="9234" max="9234" width="20.28515625" style="209" customWidth="1"/>
    <col min="9235" max="9266" width="7.28515625" style="209" customWidth="1"/>
    <col min="9267" max="9486" width="11.42578125" style="209"/>
    <col min="9487" max="9487" width="2" style="209" customWidth="1"/>
    <col min="9488" max="9488" width="16.28515625" style="209" customWidth="1"/>
    <col min="9489" max="9489" width="11.140625" style="209" bestFit="1" customWidth="1"/>
    <col min="9490" max="9490" width="20.28515625" style="209" customWidth="1"/>
    <col min="9491" max="9522" width="7.28515625" style="209" customWidth="1"/>
    <col min="9523" max="9742" width="11.42578125" style="209"/>
    <col min="9743" max="9743" width="2" style="209" customWidth="1"/>
    <col min="9744" max="9744" width="16.28515625" style="209" customWidth="1"/>
    <col min="9745" max="9745" width="11.140625" style="209" bestFit="1" customWidth="1"/>
    <col min="9746" max="9746" width="20.28515625" style="209" customWidth="1"/>
    <col min="9747" max="9778" width="7.28515625" style="209" customWidth="1"/>
    <col min="9779" max="9998" width="11.42578125" style="209"/>
    <col min="9999" max="9999" width="2" style="209" customWidth="1"/>
    <col min="10000" max="10000" width="16.28515625" style="209" customWidth="1"/>
    <col min="10001" max="10001" width="11.140625" style="209" bestFit="1" customWidth="1"/>
    <col min="10002" max="10002" width="20.28515625" style="209" customWidth="1"/>
    <col min="10003" max="10034" width="7.28515625" style="209" customWidth="1"/>
    <col min="10035" max="10254" width="11.42578125" style="209"/>
    <col min="10255" max="10255" width="2" style="209" customWidth="1"/>
    <col min="10256" max="10256" width="16.28515625" style="209" customWidth="1"/>
    <col min="10257" max="10257" width="11.140625" style="209" bestFit="1" customWidth="1"/>
    <col min="10258" max="10258" width="20.28515625" style="209" customWidth="1"/>
    <col min="10259" max="10290" width="7.28515625" style="209" customWidth="1"/>
    <col min="10291" max="10510" width="11.42578125" style="209"/>
    <col min="10511" max="10511" width="2" style="209" customWidth="1"/>
    <col min="10512" max="10512" width="16.28515625" style="209" customWidth="1"/>
    <col min="10513" max="10513" width="11.140625" style="209" bestFit="1" customWidth="1"/>
    <col min="10514" max="10514" width="20.28515625" style="209" customWidth="1"/>
    <col min="10515" max="10546" width="7.28515625" style="209" customWidth="1"/>
    <col min="10547" max="10766" width="11.42578125" style="209"/>
    <col min="10767" max="10767" width="2" style="209" customWidth="1"/>
    <col min="10768" max="10768" width="16.28515625" style="209" customWidth="1"/>
    <col min="10769" max="10769" width="11.140625" style="209" bestFit="1" customWidth="1"/>
    <col min="10770" max="10770" width="20.28515625" style="209" customWidth="1"/>
    <col min="10771" max="10802" width="7.28515625" style="209" customWidth="1"/>
    <col min="10803" max="11022" width="11.42578125" style="209"/>
    <col min="11023" max="11023" width="2" style="209" customWidth="1"/>
    <col min="11024" max="11024" width="16.28515625" style="209" customWidth="1"/>
    <col min="11025" max="11025" width="11.140625" style="209" bestFit="1" customWidth="1"/>
    <col min="11026" max="11026" width="20.28515625" style="209" customWidth="1"/>
    <col min="11027" max="11058" width="7.28515625" style="209" customWidth="1"/>
    <col min="11059" max="11278" width="11.42578125" style="209"/>
    <col min="11279" max="11279" width="2" style="209" customWidth="1"/>
    <col min="11280" max="11280" width="16.28515625" style="209" customWidth="1"/>
    <col min="11281" max="11281" width="11.140625" style="209" bestFit="1" customWidth="1"/>
    <col min="11282" max="11282" width="20.28515625" style="209" customWidth="1"/>
    <col min="11283" max="11314" width="7.28515625" style="209" customWidth="1"/>
    <col min="11315" max="11534" width="11.42578125" style="209"/>
    <col min="11535" max="11535" width="2" style="209" customWidth="1"/>
    <col min="11536" max="11536" width="16.28515625" style="209" customWidth="1"/>
    <col min="11537" max="11537" width="11.140625" style="209" bestFit="1" customWidth="1"/>
    <col min="11538" max="11538" width="20.28515625" style="209" customWidth="1"/>
    <col min="11539" max="11570" width="7.28515625" style="209" customWidth="1"/>
    <col min="11571" max="11790" width="11.42578125" style="209"/>
    <col min="11791" max="11791" width="2" style="209" customWidth="1"/>
    <col min="11792" max="11792" width="16.28515625" style="209" customWidth="1"/>
    <col min="11793" max="11793" width="11.140625" style="209" bestFit="1" customWidth="1"/>
    <col min="11794" max="11794" width="20.28515625" style="209" customWidth="1"/>
    <col min="11795" max="11826" width="7.28515625" style="209" customWidth="1"/>
    <col min="11827" max="12046" width="11.42578125" style="209"/>
    <col min="12047" max="12047" width="2" style="209" customWidth="1"/>
    <col min="12048" max="12048" width="16.28515625" style="209" customWidth="1"/>
    <col min="12049" max="12049" width="11.140625" style="209" bestFit="1" customWidth="1"/>
    <col min="12050" max="12050" width="20.28515625" style="209" customWidth="1"/>
    <col min="12051" max="12082" width="7.28515625" style="209" customWidth="1"/>
    <col min="12083" max="12302" width="11.42578125" style="209"/>
    <col min="12303" max="12303" width="2" style="209" customWidth="1"/>
    <col min="12304" max="12304" width="16.28515625" style="209" customWidth="1"/>
    <col min="12305" max="12305" width="11.140625" style="209" bestFit="1" customWidth="1"/>
    <col min="12306" max="12306" width="20.28515625" style="209" customWidth="1"/>
    <col min="12307" max="12338" width="7.28515625" style="209" customWidth="1"/>
    <col min="12339" max="12558" width="11.42578125" style="209"/>
    <col min="12559" max="12559" width="2" style="209" customWidth="1"/>
    <col min="12560" max="12560" width="16.28515625" style="209" customWidth="1"/>
    <col min="12561" max="12561" width="11.140625" style="209" bestFit="1" customWidth="1"/>
    <col min="12562" max="12562" width="20.28515625" style="209" customWidth="1"/>
    <col min="12563" max="12594" width="7.28515625" style="209" customWidth="1"/>
    <col min="12595" max="12814" width="11.42578125" style="209"/>
    <col min="12815" max="12815" width="2" style="209" customWidth="1"/>
    <col min="12816" max="12816" width="16.28515625" style="209" customWidth="1"/>
    <col min="12817" max="12817" width="11.140625" style="209" bestFit="1" customWidth="1"/>
    <col min="12818" max="12818" width="20.28515625" style="209" customWidth="1"/>
    <col min="12819" max="12850" width="7.28515625" style="209" customWidth="1"/>
    <col min="12851" max="13070" width="11.42578125" style="209"/>
    <col min="13071" max="13071" width="2" style="209" customWidth="1"/>
    <col min="13072" max="13072" width="16.28515625" style="209" customWidth="1"/>
    <col min="13073" max="13073" width="11.140625" style="209" bestFit="1" customWidth="1"/>
    <col min="13074" max="13074" width="20.28515625" style="209" customWidth="1"/>
    <col min="13075" max="13106" width="7.28515625" style="209" customWidth="1"/>
    <col min="13107" max="13326" width="11.42578125" style="209"/>
    <col min="13327" max="13327" width="2" style="209" customWidth="1"/>
    <col min="13328" max="13328" width="16.28515625" style="209" customWidth="1"/>
    <col min="13329" max="13329" width="11.140625" style="209" bestFit="1" customWidth="1"/>
    <col min="13330" max="13330" width="20.28515625" style="209" customWidth="1"/>
    <col min="13331" max="13362" width="7.28515625" style="209" customWidth="1"/>
    <col min="13363" max="13582" width="11.42578125" style="209"/>
    <col min="13583" max="13583" width="2" style="209" customWidth="1"/>
    <col min="13584" max="13584" width="16.28515625" style="209" customWidth="1"/>
    <col min="13585" max="13585" width="11.140625" style="209" bestFit="1" customWidth="1"/>
    <col min="13586" max="13586" width="20.28515625" style="209" customWidth="1"/>
    <col min="13587" max="13618" width="7.28515625" style="209" customWidth="1"/>
    <col min="13619" max="13838" width="11.42578125" style="209"/>
    <col min="13839" max="13839" width="2" style="209" customWidth="1"/>
    <col min="13840" max="13840" width="16.28515625" style="209" customWidth="1"/>
    <col min="13841" max="13841" width="11.140625" style="209" bestFit="1" customWidth="1"/>
    <col min="13842" max="13842" width="20.28515625" style="209" customWidth="1"/>
    <col min="13843" max="13874" width="7.28515625" style="209" customWidth="1"/>
    <col min="13875" max="14094" width="11.42578125" style="209"/>
    <col min="14095" max="14095" width="2" style="209" customWidth="1"/>
    <col min="14096" max="14096" width="16.28515625" style="209" customWidth="1"/>
    <col min="14097" max="14097" width="11.140625" style="209" bestFit="1" customWidth="1"/>
    <col min="14098" max="14098" width="20.28515625" style="209" customWidth="1"/>
    <col min="14099" max="14130" width="7.28515625" style="209" customWidth="1"/>
    <col min="14131" max="14350" width="11.42578125" style="209"/>
    <col min="14351" max="14351" width="2" style="209" customWidth="1"/>
    <col min="14352" max="14352" width="16.28515625" style="209" customWidth="1"/>
    <col min="14353" max="14353" width="11.140625" style="209" bestFit="1" customWidth="1"/>
    <col min="14354" max="14354" width="20.28515625" style="209" customWidth="1"/>
    <col min="14355" max="14386" width="7.28515625" style="209" customWidth="1"/>
    <col min="14387" max="14606" width="11.42578125" style="209"/>
    <col min="14607" max="14607" width="2" style="209" customWidth="1"/>
    <col min="14608" max="14608" width="16.28515625" style="209" customWidth="1"/>
    <col min="14609" max="14609" width="11.140625" style="209" bestFit="1" customWidth="1"/>
    <col min="14610" max="14610" width="20.28515625" style="209" customWidth="1"/>
    <col min="14611" max="14642" width="7.28515625" style="209" customWidth="1"/>
    <col min="14643" max="14862" width="11.42578125" style="209"/>
    <col min="14863" max="14863" width="2" style="209" customWidth="1"/>
    <col min="14864" max="14864" width="16.28515625" style="209" customWidth="1"/>
    <col min="14865" max="14865" width="11.140625" style="209" bestFit="1" customWidth="1"/>
    <col min="14866" max="14866" width="20.28515625" style="209" customWidth="1"/>
    <col min="14867" max="14898" width="7.28515625" style="209" customWidth="1"/>
    <col min="14899" max="15118" width="11.42578125" style="209"/>
    <col min="15119" max="15119" width="2" style="209" customWidth="1"/>
    <col min="15120" max="15120" width="16.28515625" style="209" customWidth="1"/>
    <col min="15121" max="15121" width="11.140625" style="209" bestFit="1" customWidth="1"/>
    <col min="15122" max="15122" width="20.28515625" style="209" customWidth="1"/>
    <col min="15123" max="15154" width="7.28515625" style="209" customWidth="1"/>
    <col min="15155" max="15374" width="11.42578125" style="209"/>
    <col min="15375" max="15375" width="2" style="209" customWidth="1"/>
    <col min="15376" max="15376" width="16.28515625" style="209" customWidth="1"/>
    <col min="15377" max="15377" width="11.140625" style="209" bestFit="1" customWidth="1"/>
    <col min="15378" max="15378" width="20.28515625" style="209" customWidth="1"/>
    <col min="15379" max="15410" width="7.28515625" style="209" customWidth="1"/>
    <col min="15411" max="15630" width="11.42578125" style="209"/>
    <col min="15631" max="15631" width="2" style="209" customWidth="1"/>
    <col min="15632" max="15632" width="16.28515625" style="209" customWidth="1"/>
    <col min="15633" max="15633" width="11.140625" style="209" bestFit="1" customWidth="1"/>
    <col min="15634" max="15634" width="20.28515625" style="209" customWidth="1"/>
    <col min="15635" max="15666" width="7.28515625" style="209" customWidth="1"/>
    <col min="15667" max="15886" width="11.42578125" style="209"/>
    <col min="15887" max="15887" width="2" style="209" customWidth="1"/>
    <col min="15888" max="15888" width="16.28515625" style="209" customWidth="1"/>
    <col min="15889" max="15889" width="11.140625" style="209" bestFit="1" customWidth="1"/>
    <col min="15890" max="15890" width="20.28515625" style="209" customWidth="1"/>
    <col min="15891" max="15922" width="7.28515625" style="209" customWidth="1"/>
    <col min="15923" max="16142" width="11.42578125" style="209"/>
    <col min="16143" max="16143" width="2" style="209" customWidth="1"/>
    <col min="16144" max="16144" width="16.28515625" style="209" customWidth="1"/>
    <col min="16145" max="16145" width="11.140625" style="209" bestFit="1" customWidth="1"/>
    <col min="16146" max="16146" width="20.28515625" style="209" customWidth="1"/>
    <col min="16147" max="16178" width="7.28515625" style="209" customWidth="1"/>
    <col min="16179" max="16384" width="11.42578125" style="209"/>
  </cols>
  <sheetData>
    <row r="1" spans="1:70" s="222" customFormat="1" ht="31.5" customHeight="1" x14ac:dyDescent="0.2">
      <c r="A1" s="5058" t="s">
        <v>1365</v>
      </c>
      <c r="B1" s="5058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O1" s="191"/>
      <c r="AP1" s="191"/>
      <c r="AQ1" s="191"/>
      <c r="AR1" s="191"/>
      <c r="AS1" s="191"/>
      <c r="AT1" s="191"/>
    </row>
    <row r="2" spans="1:70" ht="15.75" x14ac:dyDescent="0.2">
      <c r="A2" s="1047"/>
      <c r="B2" s="1048"/>
      <c r="C2" s="1048"/>
      <c r="D2" s="1048"/>
      <c r="E2" s="1048"/>
      <c r="F2" s="1048"/>
      <c r="G2" s="1048"/>
      <c r="H2" s="1048"/>
      <c r="I2" s="1048"/>
      <c r="J2" s="1048"/>
      <c r="K2" s="1048"/>
      <c r="L2" s="1048"/>
      <c r="M2" s="1048"/>
      <c r="N2" s="1048"/>
      <c r="O2" s="1048"/>
      <c r="P2" s="1048"/>
      <c r="Q2" s="1048"/>
      <c r="R2" s="1048"/>
      <c r="S2" s="1048"/>
      <c r="T2" s="1048"/>
      <c r="U2" s="1048"/>
      <c r="V2" s="1048"/>
      <c r="W2" s="1048"/>
      <c r="X2" s="1048"/>
      <c r="Y2" s="1048"/>
      <c r="Z2" s="1048"/>
      <c r="AA2" s="1048"/>
      <c r="AB2" s="1048"/>
      <c r="AC2" s="1048"/>
      <c r="AD2" s="1048"/>
      <c r="AE2" s="1048"/>
      <c r="AF2" s="1048"/>
      <c r="AG2" s="1048"/>
      <c r="AH2" s="1048"/>
      <c r="AI2" s="1048"/>
      <c r="AJ2" s="588"/>
      <c r="AK2" s="588"/>
      <c r="AL2" s="191"/>
      <c r="AM2" s="588"/>
      <c r="AN2" s="588"/>
      <c r="AO2" s="588"/>
      <c r="AP2" s="588"/>
      <c r="AQ2" s="588"/>
      <c r="AR2" s="588"/>
      <c r="AS2" s="588"/>
      <c r="AT2" s="588"/>
    </row>
    <row r="3" spans="1:70" ht="12.75" customHeight="1" x14ac:dyDescent="0.2">
      <c r="A3" s="5106" t="s">
        <v>164</v>
      </c>
      <c r="B3" s="5494" t="s">
        <v>25</v>
      </c>
      <c r="C3" s="5444">
        <v>1999</v>
      </c>
      <c r="D3" s="5445"/>
      <c r="E3" s="5445"/>
      <c r="F3" s="5446"/>
      <c r="G3" s="5444">
        <v>2000</v>
      </c>
      <c r="H3" s="5445"/>
      <c r="I3" s="5445"/>
      <c r="J3" s="5446"/>
      <c r="K3" s="5444">
        <v>2001</v>
      </c>
      <c r="L3" s="5445"/>
      <c r="M3" s="5445"/>
      <c r="N3" s="5446"/>
      <c r="O3" s="5444">
        <v>2002</v>
      </c>
      <c r="P3" s="5445"/>
      <c r="Q3" s="5445"/>
      <c r="R3" s="5446"/>
      <c r="S3" s="5444">
        <v>2003</v>
      </c>
      <c r="T3" s="5445"/>
      <c r="U3" s="5445"/>
      <c r="V3" s="5446"/>
      <c r="W3" s="5444">
        <v>2004</v>
      </c>
      <c r="X3" s="5445"/>
      <c r="Y3" s="5445"/>
      <c r="Z3" s="5446"/>
      <c r="AA3" s="5444">
        <v>2005</v>
      </c>
      <c r="AB3" s="5445"/>
      <c r="AC3" s="5445"/>
      <c r="AD3" s="5446"/>
      <c r="AE3" s="5444">
        <v>2006</v>
      </c>
      <c r="AF3" s="5445"/>
      <c r="AG3" s="5445"/>
      <c r="AH3" s="5446"/>
      <c r="AI3" s="5444">
        <v>2007</v>
      </c>
      <c r="AJ3" s="5445"/>
      <c r="AK3" s="5445"/>
      <c r="AL3" s="5446"/>
      <c r="AM3" s="5444">
        <v>2008</v>
      </c>
      <c r="AN3" s="5445"/>
      <c r="AO3" s="5445"/>
      <c r="AP3" s="5446"/>
      <c r="AQ3" s="5444">
        <v>2009</v>
      </c>
      <c r="AR3" s="5445"/>
      <c r="AS3" s="5445"/>
      <c r="AT3" s="5446"/>
      <c r="AU3" s="5444">
        <v>2010</v>
      </c>
      <c r="AV3" s="5445"/>
      <c r="AW3" s="5445"/>
      <c r="AX3" s="5446"/>
      <c r="AY3" s="5444">
        <v>2011</v>
      </c>
      <c r="AZ3" s="5445"/>
      <c r="BA3" s="5445"/>
      <c r="BB3" s="5446"/>
      <c r="BC3" s="5444">
        <v>2012</v>
      </c>
      <c r="BD3" s="5445"/>
      <c r="BE3" s="5445"/>
      <c r="BF3" s="5446"/>
      <c r="BG3" s="5444">
        <v>2013</v>
      </c>
      <c r="BH3" s="5445"/>
      <c r="BI3" s="5445"/>
      <c r="BJ3" s="5446"/>
      <c r="BK3" s="5444">
        <v>2014</v>
      </c>
      <c r="BL3" s="5445"/>
      <c r="BM3" s="5445"/>
      <c r="BN3" s="5446"/>
      <c r="BO3" s="5444">
        <v>2015</v>
      </c>
      <c r="BP3" s="5445"/>
      <c r="BQ3" s="5445"/>
      <c r="BR3" s="5446"/>
    </row>
    <row r="4" spans="1:70" ht="15" x14ac:dyDescent="0.2">
      <c r="A4" s="5106"/>
      <c r="B4" s="5106"/>
      <c r="C4" s="1092" t="s">
        <v>670</v>
      </c>
      <c r="D4" s="1093" t="s">
        <v>668</v>
      </c>
      <c r="E4" s="1094" t="s">
        <v>669</v>
      </c>
      <c r="F4" s="1090" t="s">
        <v>160</v>
      </c>
      <c r="G4" s="1832" t="s">
        <v>670</v>
      </c>
      <c r="H4" s="1833" t="s">
        <v>668</v>
      </c>
      <c r="I4" s="1834" t="s">
        <v>669</v>
      </c>
      <c r="J4" s="1090" t="s">
        <v>160</v>
      </c>
      <c r="K4" s="1832" t="s">
        <v>670</v>
      </c>
      <c r="L4" s="1833" t="s">
        <v>668</v>
      </c>
      <c r="M4" s="1834" t="s">
        <v>669</v>
      </c>
      <c r="N4" s="1090" t="s">
        <v>160</v>
      </c>
      <c r="O4" s="1832" t="s">
        <v>670</v>
      </c>
      <c r="P4" s="1833" t="s">
        <v>668</v>
      </c>
      <c r="Q4" s="1834" t="s">
        <v>669</v>
      </c>
      <c r="R4" s="1090" t="s">
        <v>160</v>
      </c>
      <c r="S4" s="1832" t="s">
        <v>670</v>
      </c>
      <c r="T4" s="1833" t="s">
        <v>668</v>
      </c>
      <c r="U4" s="1834" t="s">
        <v>669</v>
      </c>
      <c r="V4" s="1090" t="s">
        <v>160</v>
      </c>
      <c r="W4" s="1832" t="s">
        <v>670</v>
      </c>
      <c r="X4" s="1833" t="s">
        <v>668</v>
      </c>
      <c r="Y4" s="1834" t="s">
        <v>669</v>
      </c>
      <c r="Z4" s="1090" t="s">
        <v>160</v>
      </c>
      <c r="AA4" s="1832" t="s">
        <v>670</v>
      </c>
      <c r="AB4" s="1833" t="s">
        <v>668</v>
      </c>
      <c r="AC4" s="1834" t="s">
        <v>669</v>
      </c>
      <c r="AD4" s="1090" t="s">
        <v>160</v>
      </c>
      <c r="AE4" s="1832" t="s">
        <v>670</v>
      </c>
      <c r="AF4" s="1833" t="s">
        <v>668</v>
      </c>
      <c r="AG4" s="1834" t="s">
        <v>669</v>
      </c>
      <c r="AH4" s="1090" t="s">
        <v>160</v>
      </c>
      <c r="AI4" s="1832" t="s">
        <v>670</v>
      </c>
      <c r="AJ4" s="1833" t="s">
        <v>668</v>
      </c>
      <c r="AK4" s="1834" t="s">
        <v>669</v>
      </c>
      <c r="AL4" s="1090" t="s">
        <v>160</v>
      </c>
      <c r="AM4" s="1832" t="s">
        <v>670</v>
      </c>
      <c r="AN4" s="1833" t="s">
        <v>668</v>
      </c>
      <c r="AO4" s="1834" t="s">
        <v>669</v>
      </c>
      <c r="AP4" s="1090" t="s">
        <v>160</v>
      </c>
      <c r="AQ4" s="1832" t="s">
        <v>670</v>
      </c>
      <c r="AR4" s="1833" t="s">
        <v>668</v>
      </c>
      <c r="AS4" s="1834" t="s">
        <v>669</v>
      </c>
      <c r="AT4" s="1090" t="s">
        <v>160</v>
      </c>
      <c r="AU4" s="1832" t="s">
        <v>670</v>
      </c>
      <c r="AV4" s="1833" t="s">
        <v>668</v>
      </c>
      <c r="AW4" s="1834" t="s">
        <v>669</v>
      </c>
      <c r="AX4" s="1090" t="s">
        <v>160</v>
      </c>
      <c r="AY4" s="1832" t="s">
        <v>670</v>
      </c>
      <c r="AZ4" s="1833" t="s">
        <v>668</v>
      </c>
      <c r="BA4" s="1834" t="s">
        <v>669</v>
      </c>
      <c r="BB4" s="1090" t="s">
        <v>160</v>
      </c>
      <c r="BC4" s="1832" t="s">
        <v>670</v>
      </c>
      <c r="BD4" s="1833" t="s">
        <v>668</v>
      </c>
      <c r="BE4" s="1834" t="s">
        <v>669</v>
      </c>
      <c r="BF4" s="1090" t="s">
        <v>160</v>
      </c>
      <c r="BG4" s="1832" t="s">
        <v>670</v>
      </c>
      <c r="BH4" s="1833" t="s">
        <v>668</v>
      </c>
      <c r="BI4" s="1834" t="s">
        <v>669</v>
      </c>
      <c r="BJ4" s="1090" t="s">
        <v>160</v>
      </c>
      <c r="BK4" s="2168" t="s">
        <v>670</v>
      </c>
      <c r="BL4" s="2169" t="s">
        <v>668</v>
      </c>
      <c r="BM4" s="2170" t="s">
        <v>669</v>
      </c>
      <c r="BN4" s="1090" t="s">
        <v>160</v>
      </c>
      <c r="BO4" s="4363" t="s">
        <v>670</v>
      </c>
      <c r="BP4" s="4364" t="s">
        <v>668</v>
      </c>
      <c r="BQ4" s="4365" t="s">
        <v>669</v>
      </c>
      <c r="BR4" s="1090" t="s">
        <v>160</v>
      </c>
    </row>
    <row r="5" spans="1:70" ht="15" x14ac:dyDescent="0.2">
      <c r="A5" s="263"/>
      <c r="B5" s="263"/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3"/>
      <c r="P5" s="263"/>
      <c r="Q5" s="263"/>
      <c r="R5" s="263"/>
      <c r="S5" s="263"/>
      <c r="T5" s="263"/>
      <c r="U5" s="263"/>
      <c r="V5" s="263"/>
      <c r="W5" s="263"/>
      <c r="X5" s="263"/>
      <c r="Y5" s="263"/>
      <c r="Z5" s="263"/>
      <c r="AA5" s="263"/>
      <c r="AB5" s="263"/>
      <c r="AC5" s="263"/>
      <c r="AD5" s="263"/>
      <c r="AE5" s="263"/>
      <c r="AF5" s="263"/>
      <c r="AG5" s="263"/>
      <c r="AH5" s="263"/>
      <c r="AI5" s="263"/>
      <c r="AJ5" s="263"/>
      <c r="AK5" s="263"/>
      <c r="AL5" s="263"/>
      <c r="AM5" s="263"/>
      <c r="AN5" s="263"/>
      <c r="AO5" s="263"/>
      <c r="AP5" s="263"/>
      <c r="AQ5" s="263"/>
      <c r="AR5" s="263"/>
      <c r="AS5" s="263"/>
      <c r="AT5" s="263"/>
      <c r="AU5" s="263"/>
      <c r="AV5" s="263"/>
      <c r="AW5" s="263"/>
      <c r="AX5" s="263"/>
      <c r="AY5" s="263"/>
      <c r="AZ5" s="263"/>
      <c r="BA5" s="263"/>
      <c r="BB5" s="263"/>
      <c r="BC5" s="263"/>
      <c r="BD5" s="263"/>
      <c r="BE5" s="263"/>
      <c r="BF5" s="263"/>
      <c r="BG5" s="263"/>
      <c r="BH5" s="263"/>
      <c r="BI5" s="263"/>
      <c r="BJ5" s="263"/>
      <c r="BK5" s="263"/>
      <c r="BL5" s="263"/>
      <c r="BM5" s="263"/>
      <c r="BN5" s="263"/>
      <c r="BO5" s="263"/>
      <c r="BP5" s="263"/>
      <c r="BQ5" s="263"/>
      <c r="BR5" s="263"/>
    </row>
    <row r="6" spans="1:70" ht="15" x14ac:dyDescent="0.2">
      <c r="A6" s="5489" t="s">
        <v>5</v>
      </c>
      <c r="B6" s="1067" t="s">
        <v>631</v>
      </c>
      <c r="C6" s="1334">
        <f>+'INSC-POSG plan'!E5</f>
        <v>22</v>
      </c>
      <c r="D6" s="1335">
        <f>+'INSC-POSG plan'!F5</f>
        <v>0</v>
      </c>
      <c r="E6" s="1335">
        <f>+'INSC-POSG plan'!G5</f>
        <v>12</v>
      </c>
      <c r="F6" s="1336">
        <f>SUM(C6:E6)</f>
        <v>34</v>
      </c>
      <c r="G6" s="1334">
        <f>+'INSC-POSG plan'!I5</f>
        <v>26</v>
      </c>
      <c r="H6" s="1335">
        <f>+'INSC-POSG plan'!J5</f>
        <v>0</v>
      </c>
      <c r="I6" s="1335">
        <f>+'INSC-POSG plan'!K5</f>
        <v>19</v>
      </c>
      <c r="J6" s="1336">
        <f>SUM(G6:I6)</f>
        <v>45</v>
      </c>
      <c r="K6" s="1334">
        <f>+'INSC-POSG plan'!M5</f>
        <v>0</v>
      </c>
      <c r="L6" s="1335">
        <f>+'INSC-POSG plan'!N5</f>
        <v>5</v>
      </c>
      <c r="M6" s="1335">
        <f>+'INSC-POSG plan'!O5</f>
        <v>10</v>
      </c>
      <c r="N6" s="1336">
        <f>SUM(K6:M6)</f>
        <v>15</v>
      </c>
      <c r="O6" s="1334">
        <f>+'INSC-POSG plan'!Q5</f>
        <v>3</v>
      </c>
      <c r="P6" s="1335">
        <f>+'INSC-POSG plan'!R5</f>
        <v>0</v>
      </c>
      <c r="Q6" s="1335">
        <f>+'INSC-POSG plan'!S5</f>
        <v>0</v>
      </c>
      <c r="R6" s="1336">
        <f>SUM(O6:Q6)</f>
        <v>3</v>
      </c>
      <c r="S6" s="1334"/>
      <c r="T6" s="1335"/>
      <c r="U6" s="1335"/>
      <c r="V6" s="1336"/>
      <c r="W6" s="1334"/>
      <c r="X6" s="1335"/>
      <c r="Y6" s="1335"/>
      <c r="Z6" s="1337"/>
      <c r="AA6" s="1334"/>
      <c r="AB6" s="1335"/>
      <c r="AC6" s="1335"/>
      <c r="AD6" s="1336"/>
      <c r="AE6" s="1335"/>
      <c r="AF6" s="1335"/>
      <c r="AG6" s="1335"/>
      <c r="AH6" s="1336"/>
      <c r="AI6" s="1335"/>
      <c r="AJ6" s="1335"/>
      <c r="AK6" s="1335"/>
      <c r="AL6" s="1809"/>
      <c r="AM6" s="1068"/>
      <c r="AN6" s="1069"/>
      <c r="AO6" s="1069"/>
      <c r="AP6" s="1086"/>
      <c r="AQ6" s="1068"/>
      <c r="AR6" s="1069"/>
      <c r="AS6" s="1069"/>
      <c r="AT6" s="1086"/>
      <c r="AU6" s="1068"/>
      <c r="AV6" s="1069"/>
      <c r="AW6" s="1069"/>
      <c r="AX6" s="1086"/>
      <c r="AY6" s="1068"/>
      <c r="AZ6" s="1069"/>
      <c r="BA6" s="1069"/>
      <c r="BB6" s="1086"/>
      <c r="BC6" s="1068"/>
      <c r="BD6" s="1069"/>
      <c r="BE6" s="1069"/>
      <c r="BF6" s="1086"/>
      <c r="BG6" s="1068"/>
      <c r="BH6" s="1069"/>
      <c r="BI6" s="1069"/>
      <c r="BJ6" s="1086"/>
      <c r="BK6" s="1068">
        <f>SUM('INSC-POSG plan'!BM5)</f>
        <v>0</v>
      </c>
      <c r="BL6" s="1069">
        <f>SUM('INSC-POSG plan'!BN5)</f>
        <v>0</v>
      </c>
      <c r="BM6" s="1069">
        <f>SUM('INSC-POSG plan'!BO5)</f>
        <v>0</v>
      </c>
      <c r="BN6" s="1086">
        <f>SUM(BK6:BM6)</f>
        <v>0</v>
      </c>
      <c r="BO6" s="1068">
        <f>SUM('INSC-POSG plan'!BQ5)</f>
        <v>0</v>
      </c>
      <c r="BP6" s="1069">
        <f>SUM('INSC-POSG plan'!BR5)</f>
        <v>0</v>
      </c>
      <c r="BQ6" s="1069">
        <f>SUM('INSC-POSG plan'!BS5)</f>
        <v>0</v>
      </c>
      <c r="BR6" s="1086">
        <f>SUM(BO6:BQ6)</f>
        <v>0</v>
      </c>
    </row>
    <row r="7" spans="1:70" ht="15" x14ac:dyDescent="0.2">
      <c r="A7" s="5470"/>
      <c r="B7" s="1072" t="s">
        <v>632</v>
      </c>
      <c r="C7" s="1338">
        <f>+'INSC-POSG plan'!E6+'INSC-POSG plan'!E7+'INSC-POSG plan'!E8+'INSC-POSG plan'!E9+'INSC-POSG plan'!E10</f>
        <v>19</v>
      </c>
      <c r="D7" s="1339">
        <f>+'INSC-POSG plan'!F6+'INSC-POSG plan'!F7+'INSC-POSG plan'!F8+'INSC-POSG plan'!F9+'INSC-POSG plan'!F10</f>
        <v>14</v>
      </c>
      <c r="E7" s="1339">
        <f>+'INSC-POSG plan'!G6+'INSC-POSG plan'!G7+'INSC-POSG plan'!G8+'INSC-POSG plan'!G9+'INSC-POSG plan'!G10</f>
        <v>18</v>
      </c>
      <c r="F7" s="1340">
        <f t="shared" ref="F7:F21" si="0">SUM(C7:E7)</f>
        <v>51</v>
      </c>
      <c r="G7" s="1338">
        <f>+'INSC-POSG plan'!I6+'INSC-POSG plan'!I7+'INSC-POSG plan'!I8+'INSC-POSG plan'!I9+'INSC-POSG plan'!I10</f>
        <v>31</v>
      </c>
      <c r="H7" s="1339">
        <f>+'INSC-POSG plan'!J6+'INSC-POSG plan'!J7+'INSC-POSG plan'!J8+'INSC-POSG plan'!J9+'INSC-POSG plan'!J10</f>
        <v>10</v>
      </c>
      <c r="I7" s="1339">
        <f>+'INSC-POSG plan'!K6+'INSC-POSG plan'!K7+'INSC-POSG plan'!K8+'INSC-POSG plan'!K9+'INSC-POSG plan'!K10</f>
        <v>32</v>
      </c>
      <c r="J7" s="1340">
        <f t="shared" ref="J7:J21" si="1">SUM(G7:I7)</f>
        <v>73</v>
      </c>
      <c r="K7" s="1338">
        <f>+'INSC-POSG plan'!M6+'INSC-POSG plan'!M7+'INSC-POSG plan'!M8+'INSC-POSG plan'!M9+'INSC-POSG plan'!M10</f>
        <v>2</v>
      </c>
      <c r="L7" s="1339">
        <f>+'INSC-POSG plan'!N6+'INSC-POSG plan'!N7+'INSC-POSG plan'!N8+'INSC-POSG plan'!N9+'INSC-POSG plan'!N10</f>
        <v>11</v>
      </c>
      <c r="M7" s="1339">
        <f>+'INSC-POSG plan'!O6+'INSC-POSG plan'!O7+'INSC-POSG plan'!O8+'INSC-POSG plan'!O9+'INSC-POSG plan'!O10</f>
        <v>39</v>
      </c>
      <c r="N7" s="1340">
        <f t="shared" ref="N7:N21" si="2">SUM(K7:M7)</f>
        <v>52</v>
      </c>
      <c r="O7" s="1338">
        <f>+'INSC-POSG plan'!Q6+'INSC-POSG plan'!Q7+'INSC-POSG plan'!Q8+'INSC-POSG plan'!Q9+'INSC-POSG plan'!Q10</f>
        <v>5</v>
      </c>
      <c r="P7" s="1339">
        <f>+'INSC-POSG plan'!R6+'INSC-POSG plan'!R7+'INSC-POSG plan'!R8+'INSC-POSG plan'!R9+'INSC-POSG plan'!R10</f>
        <v>4</v>
      </c>
      <c r="Q7" s="1339">
        <f>+'INSC-POSG plan'!S6+'INSC-POSG plan'!S7+'INSC-POSG plan'!S8+'INSC-POSG plan'!S9+'INSC-POSG plan'!S10</f>
        <v>23</v>
      </c>
      <c r="R7" s="1340">
        <f t="shared" ref="R7:R21" si="3">SUM(O7:Q7)</f>
        <v>32</v>
      </c>
      <c r="S7" s="1338">
        <v>15</v>
      </c>
      <c r="T7" s="1339">
        <v>4</v>
      </c>
      <c r="U7" s="1339">
        <v>17</v>
      </c>
      <c r="V7" s="1340">
        <v>36</v>
      </c>
      <c r="W7" s="1338">
        <v>7</v>
      </c>
      <c r="X7" s="1339">
        <v>5</v>
      </c>
      <c r="Y7" s="1339">
        <v>24</v>
      </c>
      <c r="Z7" s="1341">
        <v>36</v>
      </c>
      <c r="AA7" s="1338">
        <v>9</v>
      </c>
      <c r="AB7" s="1339"/>
      <c r="AC7" s="1339">
        <v>29</v>
      </c>
      <c r="AD7" s="1340">
        <v>38</v>
      </c>
      <c r="AE7" s="1339">
        <v>17</v>
      </c>
      <c r="AF7" s="1339"/>
      <c r="AG7" s="1339">
        <v>15</v>
      </c>
      <c r="AH7" s="1340">
        <v>32</v>
      </c>
      <c r="AI7" s="1339">
        <v>4</v>
      </c>
      <c r="AJ7" s="1339">
        <v>6</v>
      </c>
      <c r="AK7" s="1339">
        <v>10</v>
      </c>
      <c r="AL7" s="1810">
        <v>20</v>
      </c>
      <c r="AM7" s="1073">
        <v>2</v>
      </c>
      <c r="AN7" s="1074"/>
      <c r="AO7" s="1074">
        <v>32</v>
      </c>
      <c r="AP7" s="1077">
        <v>34</v>
      </c>
      <c r="AQ7" s="1073">
        <v>12</v>
      </c>
      <c r="AR7" s="1074"/>
      <c r="AS7" s="1074">
        <v>32</v>
      </c>
      <c r="AT7" s="1077">
        <f t="shared" ref="AT7:AT17" si="4">SUM(AQ7:AS7)</f>
        <v>44</v>
      </c>
      <c r="AU7" s="1073">
        <v>18</v>
      </c>
      <c r="AV7" s="1074"/>
      <c r="AW7" s="1074">
        <v>25</v>
      </c>
      <c r="AX7" s="1077">
        <f t="shared" ref="AX7:AX17" si="5">SUM(AU7:AW7)</f>
        <v>43</v>
      </c>
      <c r="AY7" s="1073">
        <v>6</v>
      </c>
      <c r="AZ7" s="1074"/>
      <c r="BA7" s="1074">
        <v>26</v>
      </c>
      <c r="BB7" s="1077">
        <f t="shared" ref="BB7:BB17" si="6">SUM(AY7:BA7)</f>
        <v>32</v>
      </c>
      <c r="BC7" s="1073">
        <f>SUM('INSC-POSG plan'!BE6,'INSC-POSG plan'!BE7,'INSC-POSG plan'!BE8,'INSC-POSG plan'!BE9,'INSC-POSG plan'!BE10)</f>
        <v>8</v>
      </c>
      <c r="BD7" s="1074">
        <f>SUM('INSC-POSG plan'!BF6,'INSC-POSG plan'!BF7,'INSC-POSG plan'!BF8,'INSC-POSG plan'!BF9,'INSC-POSG plan'!BF10)</f>
        <v>8</v>
      </c>
      <c r="BE7" s="1074">
        <f>SUM('INSC-POSG plan'!BG6,'INSC-POSG plan'!BG7,'INSC-POSG plan'!BG8,'INSC-POSG plan'!BG9,'INSC-POSG plan'!BG10)</f>
        <v>29</v>
      </c>
      <c r="BF7" s="1077">
        <f t="shared" ref="BF7:BF13" si="7">SUM(BC7:BE7)</f>
        <v>45</v>
      </c>
      <c r="BG7" s="1073">
        <f>SUM('INSC-POSG plan'!BI6,'INSC-POSG plan'!BI7,'INSC-POSG plan'!BI8,'INSC-POSG plan'!BI9,'INSC-POSG plan'!BI10)</f>
        <v>17</v>
      </c>
      <c r="BH7" s="1074"/>
      <c r="BI7" s="1074">
        <f>SUM('INSC-POSG plan'!BK6,'INSC-POSG plan'!BK7,'INSC-POSG plan'!BK8,'INSC-POSG plan'!BK9,'INSC-POSG plan'!BK10)</f>
        <v>46</v>
      </c>
      <c r="BJ7" s="1077">
        <f t="shared" ref="BJ7:BJ13" si="8">SUM(BG7:BI7)</f>
        <v>63</v>
      </c>
      <c r="BK7" s="1073">
        <f>SUM('INSC-POSG plan'!BM6:BM10)</f>
        <v>23</v>
      </c>
      <c r="BL7" s="1074">
        <f>SUM('INSC-POSG plan'!BN6:BN10)</f>
        <v>0</v>
      </c>
      <c r="BM7" s="1074">
        <f>SUM('INSC-POSG plan'!BO6:BO10)</f>
        <v>55</v>
      </c>
      <c r="BN7" s="1077">
        <f t="shared" ref="BN7:BN13" si="9">SUM(BK7:BM7)</f>
        <v>78</v>
      </c>
      <c r="BO7" s="1073">
        <f>SUM('INSC-POSG plan'!BQ6:BQ10)</f>
        <v>19</v>
      </c>
      <c r="BP7" s="1074">
        <f>SUM('INSC-POSG plan'!BR6:BR10)</f>
        <v>0</v>
      </c>
      <c r="BQ7" s="1074">
        <f>SUM('INSC-POSG plan'!BS6:BS10)</f>
        <v>49</v>
      </c>
      <c r="BR7" s="1077">
        <f t="shared" ref="BR7:BR13" si="10">SUM(BO7:BQ7)</f>
        <v>68</v>
      </c>
    </row>
    <row r="8" spans="1:70" s="222" customFormat="1" ht="15" x14ac:dyDescent="0.2">
      <c r="A8" s="5470"/>
      <c r="B8" s="1078" t="s">
        <v>633</v>
      </c>
      <c r="C8" s="1349">
        <f>+'INSC-POSG plan'!E11+'INSC-POSG plan'!E12</f>
        <v>0</v>
      </c>
      <c r="D8" s="1350">
        <f>+'INSC-POSG plan'!F11+'INSC-POSG plan'!F12</f>
        <v>1</v>
      </c>
      <c r="E8" s="1350">
        <f>+'INSC-POSG plan'!G11+'INSC-POSG plan'!G12</f>
        <v>1</v>
      </c>
      <c r="F8" s="1351">
        <f t="shared" si="0"/>
        <v>2</v>
      </c>
      <c r="G8" s="1349">
        <f>+'INSC-POSG plan'!I11+'INSC-POSG plan'!I12</f>
        <v>4</v>
      </c>
      <c r="H8" s="1350">
        <f>+'INSC-POSG plan'!J11+'INSC-POSG plan'!J12</f>
        <v>3</v>
      </c>
      <c r="I8" s="1350">
        <f>+'INSC-POSG plan'!K11+'INSC-POSG plan'!K12</f>
        <v>2</v>
      </c>
      <c r="J8" s="1351">
        <f t="shared" si="1"/>
        <v>9</v>
      </c>
      <c r="K8" s="1349">
        <f>+'INSC-POSG plan'!M11+'INSC-POSG plan'!M12</f>
        <v>3</v>
      </c>
      <c r="L8" s="1350">
        <f>+'INSC-POSG plan'!N11+'INSC-POSG plan'!N12</f>
        <v>0</v>
      </c>
      <c r="M8" s="1350">
        <f>+'INSC-POSG plan'!O11+'INSC-POSG plan'!O12</f>
        <v>4</v>
      </c>
      <c r="N8" s="1351">
        <f t="shared" si="2"/>
        <v>7</v>
      </c>
      <c r="O8" s="1349">
        <f>+'INSC-POSG plan'!Q11+'INSC-POSG plan'!Q12</f>
        <v>3</v>
      </c>
      <c r="P8" s="1350">
        <f>+'INSC-POSG plan'!R11+'INSC-POSG plan'!R12</f>
        <v>2</v>
      </c>
      <c r="Q8" s="1350">
        <f>+'INSC-POSG plan'!S11+'INSC-POSG plan'!S12</f>
        <v>1</v>
      </c>
      <c r="R8" s="1351">
        <f t="shared" si="3"/>
        <v>6</v>
      </c>
      <c r="S8" s="1349">
        <v>2</v>
      </c>
      <c r="T8" s="1350">
        <v>1</v>
      </c>
      <c r="U8" s="1350">
        <v>8</v>
      </c>
      <c r="V8" s="1351">
        <v>11</v>
      </c>
      <c r="W8" s="1349">
        <v>1</v>
      </c>
      <c r="X8" s="1350">
        <v>2</v>
      </c>
      <c r="Y8" s="1350">
        <v>2</v>
      </c>
      <c r="Z8" s="1352">
        <v>5</v>
      </c>
      <c r="AA8" s="1349">
        <v>1</v>
      </c>
      <c r="AB8" s="1350"/>
      <c r="AC8" s="1350">
        <v>5</v>
      </c>
      <c r="AD8" s="1351">
        <v>6</v>
      </c>
      <c r="AE8" s="1350"/>
      <c r="AF8" s="1350">
        <v>1</v>
      </c>
      <c r="AG8" s="1350">
        <v>4</v>
      </c>
      <c r="AH8" s="1351">
        <v>5</v>
      </c>
      <c r="AI8" s="1350">
        <v>5</v>
      </c>
      <c r="AJ8" s="1350">
        <v>4</v>
      </c>
      <c r="AK8" s="1350">
        <v>2</v>
      </c>
      <c r="AL8" s="1811">
        <v>11</v>
      </c>
      <c r="AM8" s="1079">
        <v>1</v>
      </c>
      <c r="AN8" s="1080">
        <v>2</v>
      </c>
      <c r="AO8" s="1080">
        <v>2</v>
      </c>
      <c r="AP8" s="1083">
        <v>5</v>
      </c>
      <c r="AQ8" s="1079">
        <v>2</v>
      </c>
      <c r="AR8" s="1080">
        <v>1</v>
      </c>
      <c r="AS8" s="1080">
        <v>2</v>
      </c>
      <c r="AT8" s="1083">
        <f t="shared" si="4"/>
        <v>5</v>
      </c>
      <c r="AU8" s="1079">
        <v>2</v>
      </c>
      <c r="AV8" s="1080">
        <v>1</v>
      </c>
      <c r="AW8" s="1080"/>
      <c r="AX8" s="1083">
        <f t="shared" si="5"/>
        <v>3</v>
      </c>
      <c r="AY8" s="1079">
        <v>2</v>
      </c>
      <c r="AZ8" s="1080">
        <v>4</v>
      </c>
      <c r="BA8" s="1080">
        <v>1</v>
      </c>
      <c r="BB8" s="1083">
        <f t="shared" si="6"/>
        <v>7</v>
      </c>
      <c r="BC8" s="1079">
        <f>SUM('INSC-POSG plan'!BE11,'INSC-POSG plan'!BE12)</f>
        <v>1</v>
      </c>
      <c r="BD8" s="1080"/>
      <c r="BE8" s="1080">
        <f>SUM('INSC-POSG plan'!BG11,'INSC-POSG plan'!BG12)</f>
        <v>4</v>
      </c>
      <c r="BF8" s="1083">
        <f t="shared" si="7"/>
        <v>5</v>
      </c>
      <c r="BG8" s="1079">
        <f>SUM('INSC-POSG plan'!BI11,'INSC-POSG plan'!BI12)</f>
        <v>1</v>
      </c>
      <c r="BH8" s="1080">
        <f>SUM('INSC-POSG plan'!BJ11:BJ14)</f>
        <v>2</v>
      </c>
      <c r="BI8" s="1080">
        <f>SUM('INSC-POSG plan'!BK11:BK14)</f>
        <v>8</v>
      </c>
      <c r="BJ8" s="1083">
        <f t="shared" si="8"/>
        <v>11</v>
      </c>
      <c r="BK8" s="1079">
        <f>SUM('INSC-POSG plan'!BM11:BM14)</f>
        <v>1</v>
      </c>
      <c r="BL8" s="1080">
        <f>SUM('INSC-POSG plan'!BN11:BN14)</f>
        <v>3</v>
      </c>
      <c r="BM8" s="1080">
        <f>SUM('INSC-POSG plan'!BO11:BO14)</f>
        <v>7</v>
      </c>
      <c r="BN8" s="1083">
        <f t="shared" si="9"/>
        <v>11</v>
      </c>
      <c r="BO8" s="1079">
        <f>SUM('INSC-POSG plan'!BQ11:BQ14)</f>
        <v>7</v>
      </c>
      <c r="BP8" s="1080">
        <f>SUM('INSC-POSG plan'!BR11:BR14)</f>
        <v>0</v>
      </c>
      <c r="BQ8" s="1080">
        <f>SUM('INSC-POSG plan'!BS11:BS14)</f>
        <v>7</v>
      </c>
      <c r="BR8" s="1083">
        <f t="shared" si="10"/>
        <v>14</v>
      </c>
    </row>
    <row r="9" spans="1:70" s="222" customFormat="1" ht="15" x14ac:dyDescent="0.2">
      <c r="A9" s="5471"/>
      <c r="B9" s="583" t="s">
        <v>13</v>
      </c>
      <c r="C9" s="1195">
        <f>SUM(C6:C8)</f>
        <v>41</v>
      </c>
      <c r="D9" s="1196">
        <f>SUM(D6:D8)</f>
        <v>15</v>
      </c>
      <c r="E9" s="1196">
        <f>SUM(E6:E8)</f>
        <v>31</v>
      </c>
      <c r="F9" s="1197">
        <f t="shared" si="0"/>
        <v>87</v>
      </c>
      <c r="G9" s="1195">
        <f>SUM(G6:G8)</f>
        <v>61</v>
      </c>
      <c r="H9" s="1196">
        <f>SUM(H6:H8)</f>
        <v>13</v>
      </c>
      <c r="I9" s="1196">
        <f>SUM(I6:I8)</f>
        <v>53</v>
      </c>
      <c r="J9" s="1197">
        <f t="shared" si="1"/>
        <v>127</v>
      </c>
      <c r="K9" s="1195">
        <f>SUM(K6:K8)</f>
        <v>5</v>
      </c>
      <c r="L9" s="1196">
        <f>SUM(L6:L8)</f>
        <v>16</v>
      </c>
      <c r="M9" s="1196">
        <f>SUM(M6:M8)</f>
        <v>53</v>
      </c>
      <c r="N9" s="1197">
        <f t="shared" si="2"/>
        <v>74</v>
      </c>
      <c r="O9" s="1195">
        <f>SUM(O6:O8)</f>
        <v>11</v>
      </c>
      <c r="P9" s="1196">
        <f>SUM(P6:P8)</f>
        <v>6</v>
      </c>
      <c r="Q9" s="1196">
        <f>SUM(Q6:Q8)</f>
        <v>24</v>
      </c>
      <c r="R9" s="1197">
        <f t="shared" si="3"/>
        <v>41</v>
      </c>
      <c r="S9" s="1195">
        <v>17</v>
      </c>
      <c r="T9" s="1196">
        <v>5</v>
      </c>
      <c r="U9" s="1196">
        <v>25</v>
      </c>
      <c r="V9" s="1197">
        <v>47</v>
      </c>
      <c r="W9" s="1195">
        <v>8</v>
      </c>
      <c r="X9" s="1196">
        <v>7</v>
      </c>
      <c r="Y9" s="1196">
        <v>26</v>
      </c>
      <c r="Z9" s="1196">
        <v>41</v>
      </c>
      <c r="AA9" s="1195">
        <v>10</v>
      </c>
      <c r="AB9" s="1196"/>
      <c r="AC9" s="1196">
        <v>34</v>
      </c>
      <c r="AD9" s="1197">
        <v>44</v>
      </c>
      <c r="AE9" s="1196">
        <v>17</v>
      </c>
      <c r="AF9" s="1196">
        <v>1</v>
      </c>
      <c r="AG9" s="1196">
        <v>19</v>
      </c>
      <c r="AH9" s="1197">
        <v>37</v>
      </c>
      <c r="AI9" s="1196">
        <v>9</v>
      </c>
      <c r="AJ9" s="1196">
        <v>10</v>
      </c>
      <c r="AK9" s="1196">
        <v>12</v>
      </c>
      <c r="AL9" s="1197">
        <v>31</v>
      </c>
      <c r="AM9" s="584">
        <v>3</v>
      </c>
      <c r="AN9" s="585">
        <v>2</v>
      </c>
      <c r="AO9" s="585">
        <v>34</v>
      </c>
      <c r="AP9" s="586">
        <v>39</v>
      </c>
      <c r="AQ9" s="584">
        <f>SUM(AQ6:AQ8)</f>
        <v>14</v>
      </c>
      <c r="AR9" s="585">
        <f>SUM(AR6:AR8)</f>
        <v>1</v>
      </c>
      <c r="AS9" s="585">
        <f>SUM(AS6:AS8)</f>
        <v>34</v>
      </c>
      <c r="AT9" s="586">
        <f t="shared" si="4"/>
        <v>49</v>
      </c>
      <c r="AU9" s="584">
        <f>SUM(AU6:AU8)</f>
        <v>20</v>
      </c>
      <c r="AV9" s="585">
        <f>SUM(AV6:AV8)</f>
        <v>1</v>
      </c>
      <c r="AW9" s="585">
        <f>SUM(AW6:AW8)</f>
        <v>25</v>
      </c>
      <c r="AX9" s="586">
        <f t="shared" si="5"/>
        <v>46</v>
      </c>
      <c r="AY9" s="584">
        <f>SUM(AY6:AY8)</f>
        <v>8</v>
      </c>
      <c r="AZ9" s="585">
        <f>SUM(AZ6:AZ8)</f>
        <v>4</v>
      </c>
      <c r="BA9" s="585">
        <f>SUM(BA6:BA8)</f>
        <v>27</v>
      </c>
      <c r="BB9" s="586">
        <f t="shared" si="6"/>
        <v>39</v>
      </c>
      <c r="BC9" s="584">
        <f>SUM(BC6:BC8)</f>
        <v>9</v>
      </c>
      <c r="BD9" s="585">
        <f>SUM(BD6:BD8)</f>
        <v>8</v>
      </c>
      <c r="BE9" s="585">
        <f>SUM(BE6:BE8)</f>
        <v>33</v>
      </c>
      <c r="BF9" s="586">
        <f t="shared" si="7"/>
        <v>50</v>
      </c>
      <c r="BG9" s="584">
        <f>SUM(BG6:BG8)</f>
        <v>18</v>
      </c>
      <c r="BH9" s="585">
        <f>SUM(BH6:BH8)</f>
        <v>2</v>
      </c>
      <c r="BI9" s="585">
        <f>SUM(BI6:BI8)</f>
        <v>54</v>
      </c>
      <c r="BJ9" s="586">
        <f t="shared" si="8"/>
        <v>74</v>
      </c>
      <c r="BK9" s="584">
        <f>SUM(BK6:BK8)</f>
        <v>24</v>
      </c>
      <c r="BL9" s="585">
        <f>SUM(BL6:BL8)</f>
        <v>3</v>
      </c>
      <c r="BM9" s="585">
        <f>SUM(BM6:BM8)</f>
        <v>62</v>
      </c>
      <c r="BN9" s="586">
        <f t="shared" si="9"/>
        <v>89</v>
      </c>
      <c r="BO9" s="584">
        <f>SUM(BO6:BO8)</f>
        <v>26</v>
      </c>
      <c r="BP9" s="585">
        <f>SUM(BP6:BP8)</f>
        <v>0</v>
      </c>
      <c r="BQ9" s="585">
        <f>SUM(BQ6:BQ8)</f>
        <v>56</v>
      </c>
      <c r="BR9" s="586">
        <f t="shared" si="10"/>
        <v>82</v>
      </c>
    </row>
    <row r="10" spans="1:70" ht="15" x14ac:dyDescent="0.2">
      <c r="A10" s="5470" t="s">
        <v>6</v>
      </c>
      <c r="B10" s="1067" t="s">
        <v>631</v>
      </c>
      <c r="C10" s="1334">
        <f>+'INSC-POSG plan'!E16+'INSC-POSG plan'!E17+'INSC-POSG plan'!E18</f>
        <v>0</v>
      </c>
      <c r="D10" s="1335">
        <f>+'INSC-POSG plan'!F16+'INSC-POSG plan'!F17+'INSC-POSG plan'!F18</f>
        <v>0</v>
      </c>
      <c r="E10" s="1335">
        <f>+'INSC-POSG plan'!G16+'INSC-POSG plan'!G17+'INSC-POSG plan'!G18</f>
        <v>25</v>
      </c>
      <c r="F10" s="1336">
        <f t="shared" si="0"/>
        <v>25</v>
      </c>
      <c r="G10" s="1334">
        <f>+'INSC-POSG plan'!I16+'INSC-POSG plan'!I17+'INSC-POSG plan'!I18</f>
        <v>0</v>
      </c>
      <c r="H10" s="1335">
        <f>+'INSC-POSG plan'!J16+'INSC-POSG plan'!J17+'INSC-POSG plan'!J18</f>
        <v>0</v>
      </c>
      <c r="I10" s="1335">
        <f>+'INSC-POSG plan'!K16+'INSC-POSG plan'!K17+'INSC-POSG plan'!K18</f>
        <v>15</v>
      </c>
      <c r="J10" s="1336">
        <f t="shared" si="1"/>
        <v>15</v>
      </c>
      <c r="K10" s="1334">
        <f>+'INSC-POSG plan'!M16+'INSC-POSG plan'!M17+'INSC-POSG plan'!M18</f>
        <v>0</v>
      </c>
      <c r="L10" s="1335">
        <f>+'INSC-POSG plan'!N16+'INSC-POSG plan'!N17+'INSC-POSG plan'!N18</f>
        <v>0</v>
      </c>
      <c r="M10" s="1335">
        <f>+'INSC-POSG plan'!O16+'INSC-POSG plan'!O17+'INSC-POSG plan'!O18</f>
        <v>20</v>
      </c>
      <c r="N10" s="1336">
        <f t="shared" si="2"/>
        <v>20</v>
      </c>
      <c r="O10" s="1334">
        <f>+'INSC-POSG plan'!Q16+'INSC-POSG plan'!Q17+'INSC-POSG plan'!Q18</f>
        <v>0</v>
      </c>
      <c r="P10" s="1335">
        <f>+'INSC-POSG plan'!R16+'INSC-POSG plan'!R17+'INSC-POSG plan'!R18</f>
        <v>0</v>
      </c>
      <c r="Q10" s="1335">
        <f>+'INSC-POSG plan'!S16+'INSC-POSG plan'!S17+'INSC-POSG plan'!S18</f>
        <v>23</v>
      </c>
      <c r="R10" s="1336">
        <f t="shared" si="3"/>
        <v>23</v>
      </c>
      <c r="S10" s="1334"/>
      <c r="T10" s="1335"/>
      <c r="U10" s="1335">
        <v>27</v>
      </c>
      <c r="V10" s="1336">
        <v>27</v>
      </c>
      <c r="W10" s="1334">
        <v>0</v>
      </c>
      <c r="X10" s="1335">
        <v>0</v>
      </c>
      <c r="Y10" s="1335">
        <v>36</v>
      </c>
      <c r="Z10" s="1337">
        <v>36</v>
      </c>
      <c r="AA10" s="1334"/>
      <c r="AB10" s="1335"/>
      <c r="AC10" s="1335">
        <v>32</v>
      </c>
      <c r="AD10" s="1336">
        <v>32</v>
      </c>
      <c r="AE10" s="1335"/>
      <c r="AF10" s="1335"/>
      <c r="AG10" s="1335">
        <v>33</v>
      </c>
      <c r="AH10" s="1336">
        <v>33</v>
      </c>
      <c r="AI10" s="1335"/>
      <c r="AJ10" s="1335"/>
      <c r="AK10" s="1335">
        <v>39</v>
      </c>
      <c r="AL10" s="1809">
        <v>39</v>
      </c>
      <c r="AM10" s="1068"/>
      <c r="AN10" s="1069"/>
      <c r="AO10" s="1069">
        <v>28</v>
      </c>
      <c r="AP10" s="1086">
        <v>28</v>
      </c>
      <c r="AQ10" s="1068"/>
      <c r="AR10" s="1069"/>
      <c r="AS10" s="1069">
        <v>18</v>
      </c>
      <c r="AT10" s="1086">
        <f t="shared" si="4"/>
        <v>18</v>
      </c>
      <c r="AU10" s="1068"/>
      <c r="AV10" s="1069"/>
      <c r="AW10" s="1069">
        <v>26</v>
      </c>
      <c r="AX10" s="1086">
        <f t="shared" si="5"/>
        <v>26</v>
      </c>
      <c r="AY10" s="1068"/>
      <c r="AZ10" s="1069"/>
      <c r="BA10" s="1069">
        <v>26</v>
      </c>
      <c r="BB10" s="1086">
        <f t="shared" si="6"/>
        <v>26</v>
      </c>
      <c r="BC10" s="1068"/>
      <c r="BD10" s="1069">
        <f>SUM('INSC-POSG plan'!BF16,'INSC-POSG plan'!BF17,'INSC-POSG plan'!BF18)</f>
        <v>1</v>
      </c>
      <c r="BE10" s="1069">
        <f>SUM('INSC-POSG plan'!BG16,'INSC-POSG plan'!BG17,'INSC-POSG plan'!BG18)</f>
        <v>16</v>
      </c>
      <c r="BF10" s="1086">
        <f t="shared" si="7"/>
        <v>17</v>
      </c>
      <c r="BG10" s="1068"/>
      <c r="BH10" s="1069"/>
      <c r="BI10" s="1069">
        <f>SUM('INSC-POSG plan'!BK16,'INSC-POSG plan'!BK17,'INSC-POSG plan'!BK18)</f>
        <v>29</v>
      </c>
      <c r="BJ10" s="1086">
        <f t="shared" si="8"/>
        <v>29</v>
      </c>
      <c r="BK10" s="1068">
        <f>SUM('INSC-POSG plan'!BM16:BM18)</f>
        <v>0</v>
      </c>
      <c r="BL10" s="1069">
        <f>SUM('INSC-POSG plan'!BN16:BN18)</f>
        <v>0</v>
      </c>
      <c r="BM10" s="1069">
        <f>SUM('INSC-POSG plan'!BO16:BO18)</f>
        <v>18</v>
      </c>
      <c r="BN10" s="1086">
        <f t="shared" si="9"/>
        <v>18</v>
      </c>
      <c r="BO10" s="1068">
        <f>SUM('INSC-POSG plan'!BQ16:BQ18)</f>
        <v>0</v>
      </c>
      <c r="BP10" s="1069">
        <f>SUM('INSC-POSG plan'!BR16:BR18)</f>
        <v>0</v>
      </c>
      <c r="BQ10" s="1069">
        <f>SUM('INSC-POSG plan'!BS16:BS18)</f>
        <v>30</v>
      </c>
      <c r="BR10" s="1086">
        <f t="shared" si="10"/>
        <v>30</v>
      </c>
    </row>
    <row r="11" spans="1:70" ht="15" x14ac:dyDescent="0.2">
      <c r="A11" s="5470"/>
      <c r="B11" s="1072" t="s">
        <v>632</v>
      </c>
      <c r="C11" s="1338">
        <f>+'INSC-POSG plan'!E19+'INSC-POSG plan'!E20+'INSC-POSG plan'!E21+'INSC-POSG plan'!E22+'INSC-POSG plan'!E23+'INSC-POSG plan'!E24+'INSC-POSG plan'!E25</f>
        <v>0</v>
      </c>
      <c r="D11" s="1339">
        <f>+'INSC-POSG plan'!F19+'INSC-POSG plan'!F20+'INSC-POSG plan'!F21+'INSC-POSG plan'!F22+'INSC-POSG plan'!F23+'INSC-POSG plan'!F24+'INSC-POSG plan'!F25</f>
        <v>0</v>
      </c>
      <c r="E11" s="1339">
        <f>+'INSC-POSG plan'!G19+'INSC-POSG plan'!G20+'INSC-POSG plan'!G21+'INSC-POSG plan'!G22+'INSC-POSG plan'!G23+'INSC-POSG plan'!G24+'INSC-POSG plan'!G25</f>
        <v>23</v>
      </c>
      <c r="F11" s="1340">
        <f t="shared" si="0"/>
        <v>23</v>
      </c>
      <c r="G11" s="1338">
        <f>+'INSC-POSG plan'!I19+'INSC-POSG plan'!I20+'INSC-POSG plan'!I21+'INSC-POSG plan'!I22+'INSC-POSG plan'!I23+'INSC-POSG plan'!I24+'INSC-POSG plan'!I25</f>
        <v>20</v>
      </c>
      <c r="H11" s="1339">
        <f>+'INSC-POSG plan'!J19+'INSC-POSG plan'!J20+'INSC-POSG plan'!J21+'INSC-POSG plan'!J22+'INSC-POSG plan'!J23+'INSC-POSG plan'!J24+'INSC-POSG plan'!J25</f>
        <v>0</v>
      </c>
      <c r="I11" s="1339">
        <f>+'INSC-POSG plan'!K19+'INSC-POSG plan'!K20+'INSC-POSG plan'!K21+'INSC-POSG plan'!K22+'INSC-POSG plan'!K23+'INSC-POSG plan'!K24+'INSC-POSG plan'!K25</f>
        <v>26</v>
      </c>
      <c r="J11" s="1340">
        <f t="shared" si="1"/>
        <v>46</v>
      </c>
      <c r="K11" s="1338">
        <f>+'INSC-POSG plan'!M19+'INSC-POSG plan'!M20+'INSC-POSG plan'!M21+'INSC-POSG plan'!M22+'INSC-POSG plan'!M23+'INSC-POSG plan'!M24+'INSC-POSG plan'!M25</f>
        <v>0</v>
      </c>
      <c r="L11" s="1339">
        <f>+'INSC-POSG plan'!N19+'INSC-POSG plan'!N20+'INSC-POSG plan'!N21+'INSC-POSG plan'!N22+'INSC-POSG plan'!N23+'INSC-POSG plan'!N24+'INSC-POSG plan'!N25</f>
        <v>0</v>
      </c>
      <c r="M11" s="1339">
        <f>+'INSC-POSG plan'!O19+'INSC-POSG plan'!O20+'INSC-POSG plan'!O21+'INSC-POSG plan'!O22+'INSC-POSG plan'!O23+'INSC-POSG plan'!O24+'INSC-POSG plan'!O25</f>
        <v>22</v>
      </c>
      <c r="N11" s="1340">
        <f t="shared" si="2"/>
        <v>22</v>
      </c>
      <c r="O11" s="1338">
        <f>+'INSC-POSG plan'!Q19+'INSC-POSG plan'!Q20+'INSC-POSG plan'!Q21+'INSC-POSG plan'!Q22+'INSC-POSG plan'!Q23+'INSC-POSG plan'!Q24+'INSC-POSG plan'!Q25</f>
        <v>16</v>
      </c>
      <c r="P11" s="1339">
        <f>+'INSC-POSG plan'!R19+'INSC-POSG plan'!R20+'INSC-POSG plan'!R21+'INSC-POSG plan'!R22+'INSC-POSG plan'!R23+'INSC-POSG plan'!R24+'INSC-POSG plan'!R25</f>
        <v>0</v>
      </c>
      <c r="Q11" s="1339">
        <f>+'INSC-POSG plan'!S19+'INSC-POSG plan'!S20+'INSC-POSG plan'!S21+'INSC-POSG plan'!S22+'INSC-POSG plan'!S23+'INSC-POSG plan'!S24+'INSC-POSG plan'!S25</f>
        <v>14</v>
      </c>
      <c r="R11" s="1340">
        <f t="shared" si="3"/>
        <v>30</v>
      </c>
      <c r="S11" s="1338"/>
      <c r="T11" s="1339"/>
      <c r="U11" s="1339"/>
      <c r="V11" s="1340"/>
      <c r="W11" s="1338">
        <v>20</v>
      </c>
      <c r="X11" s="1339">
        <v>0</v>
      </c>
      <c r="Y11" s="1339">
        <v>26</v>
      </c>
      <c r="Z11" s="1341">
        <v>46</v>
      </c>
      <c r="AA11" s="1338">
        <v>8</v>
      </c>
      <c r="AB11" s="1339"/>
      <c r="AC11" s="1339">
        <v>20</v>
      </c>
      <c r="AD11" s="1340">
        <v>28</v>
      </c>
      <c r="AE11" s="1339">
        <v>17</v>
      </c>
      <c r="AF11" s="1339"/>
      <c r="AG11" s="1339"/>
      <c r="AH11" s="1340">
        <v>17</v>
      </c>
      <c r="AI11" s="1339">
        <v>15</v>
      </c>
      <c r="AJ11" s="1339"/>
      <c r="AK11" s="1339">
        <v>32</v>
      </c>
      <c r="AL11" s="1810">
        <v>47</v>
      </c>
      <c r="AM11" s="1073">
        <v>27</v>
      </c>
      <c r="AN11" s="1074"/>
      <c r="AO11" s="1074"/>
      <c r="AP11" s="1077">
        <v>27</v>
      </c>
      <c r="AQ11" s="1073"/>
      <c r="AR11" s="1074"/>
      <c r="AS11" s="1074">
        <v>65</v>
      </c>
      <c r="AT11" s="1077">
        <f t="shared" si="4"/>
        <v>65</v>
      </c>
      <c r="AU11" s="1073"/>
      <c r="AV11" s="1074"/>
      <c r="AW11" s="1074">
        <v>8</v>
      </c>
      <c r="AX11" s="1077">
        <f t="shared" si="5"/>
        <v>8</v>
      </c>
      <c r="AY11" s="1073"/>
      <c r="AZ11" s="1074"/>
      <c r="BA11" s="1074">
        <v>48</v>
      </c>
      <c r="BB11" s="1077">
        <f t="shared" si="6"/>
        <v>48</v>
      </c>
      <c r="BC11" s="1073">
        <f>SUM('INSC-POSG plan'!BE19,'INSC-POSG plan'!BE20,'INSC-POSG plan'!BE21,'INSC-POSG plan'!BE22,'INSC-POSG plan'!BE23,'INSC-POSG plan'!BE24,'INSC-POSG plan'!BE25)</f>
        <v>15</v>
      </c>
      <c r="BD11" s="1074"/>
      <c r="BE11" s="1074">
        <f>SUM('INSC-POSG plan'!BG19,'INSC-POSG plan'!BG20,'INSC-POSG plan'!BG21,'INSC-POSG plan'!BG22,'INSC-POSG plan'!BG23,'INSC-POSG plan'!BG24,'INSC-POSG plan'!BG25)</f>
        <v>20</v>
      </c>
      <c r="BF11" s="1077">
        <f t="shared" si="7"/>
        <v>35</v>
      </c>
      <c r="BG11" s="1073"/>
      <c r="BH11" s="1074"/>
      <c r="BI11" s="1074">
        <f>SUM('INSC-POSG plan'!BK19,'INSC-POSG plan'!BK20,'INSC-POSG plan'!BK21,'INSC-POSG plan'!BK22,'INSC-POSG plan'!BK23,'INSC-POSG plan'!BK24,'INSC-POSG plan'!BK25)</f>
        <v>55</v>
      </c>
      <c r="BJ11" s="1077">
        <f t="shared" si="8"/>
        <v>55</v>
      </c>
      <c r="BK11" s="1073">
        <f>SUM('INSC-POSG plan'!BM19:BM25)</f>
        <v>24</v>
      </c>
      <c r="BL11" s="1074">
        <f>SUM('INSC-POSG plan'!BN19:BN25)</f>
        <v>0</v>
      </c>
      <c r="BM11" s="1074">
        <f>SUM('INSC-POSG plan'!BO19:BO25)</f>
        <v>27</v>
      </c>
      <c r="BN11" s="1077">
        <f t="shared" si="9"/>
        <v>51</v>
      </c>
      <c r="BO11" s="1073">
        <f>SUM('INSC-POSG plan'!BQ19:BQ25)</f>
        <v>0</v>
      </c>
      <c r="BP11" s="1074">
        <f>SUM('INSC-POSG plan'!BR19:BR25)</f>
        <v>0</v>
      </c>
      <c r="BQ11" s="1074">
        <f>SUM('INSC-POSG plan'!BS19:BS25)</f>
        <v>34</v>
      </c>
      <c r="BR11" s="1077">
        <f t="shared" si="10"/>
        <v>34</v>
      </c>
    </row>
    <row r="12" spans="1:70" ht="15" x14ac:dyDescent="0.2">
      <c r="A12" s="5470"/>
      <c r="B12" s="1078" t="s">
        <v>633</v>
      </c>
      <c r="C12" s="1349">
        <f>+'INSC-POSG plan'!E26+'INSC-POSG plan'!E27+'INSC-POSG plan'!E28</f>
        <v>0</v>
      </c>
      <c r="D12" s="1350">
        <f>+'INSC-POSG plan'!F26+'INSC-POSG plan'!F27+'INSC-POSG plan'!F28</f>
        <v>0</v>
      </c>
      <c r="E12" s="1350">
        <f>+'INSC-POSG plan'!G26+'INSC-POSG plan'!G27+'INSC-POSG plan'!G28</f>
        <v>0</v>
      </c>
      <c r="F12" s="1351">
        <f t="shared" si="0"/>
        <v>0</v>
      </c>
      <c r="G12" s="1349">
        <f>+'INSC-POSG plan'!I26+'INSC-POSG plan'!I27+'INSC-POSG plan'!I28</f>
        <v>2</v>
      </c>
      <c r="H12" s="1350">
        <f>+'INSC-POSG plan'!J26+'INSC-POSG plan'!J27+'INSC-POSG plan'!J28</f>
        <v>0</v>
      </c>
      <c r="I12" s="1350">
        <f>+'INSC-POSG plan'!K26+'INSC-POSG plan'!K27+'INSC-POSG plan'!K28</f>
        <v>0</v>
      </c>
      <c r="J12" s="1351">
        <f t="shared" si="1"/>
        <v>2</v>
      </c>
      <c r="K12" s="1349">
        <f>+'INSC-POSG plan'!M26+'INSC-POSG plan'!M27+'INSC-POSG plan'!M28</f>
        <v>0</v>
      </c>
      <c r="L12" s="1350">
        <f>+'INSC-POSG plan'!N26+'INSC-POSG plan'!N27+'INSC-POSG plan'!N28</f>
        <v>0</v>
      </c>
      <c r="M12" s="1350">
        <f>+'INSC-POSG plan'!O26+'INSC-POSG plan'!O27+'INSC-POSG plan'!O28</f>
        <v>0</v>
      </c>
      <c r="N12" s="1351">
        <f t="shared" si="2"/>
        <v>0</v>
      </c>
      <c r="O12" s="1349">
        <f>+'INSC-POSG plan'!Q26+'INSC-POSG plan'!Q27+'INSC-POSG plan'!Q28</f>
        <v>0</v>
      </c>
      <c r="P12" s="1350">
        <f>+'INSC-POSG plan'!R26+'INSC-POSG plan'!R27+'INSC-POSG plan'!R28</f>
        <v>0</v>
      </c>
      <c r="Q12" s="1350">
        <f>+'INSC-POSG plan'!S26+'INSC-POSG plan'!S27+'INSC-POSG plan'!S28</f>
        <v>0</v>
      </c>
      <c r="R12" s="1351">
        <f t="shared" si="3"/>
        <v>0</v>
      </c>
      <c r="S12" s="1349">
        <v>1</v>
      </c>
      <c r="T12" s="1350"/>
      <c r="U12" s="1350"/>
      <c r="V12" s="1351">
        <v>1</v>
      </c>
      <c r="W12" s="1349">
        <v>3</v>
      </c>
      <c r="X12" s="1350">
        <v>0</v>
      </c>
      <c r="Y12" s="1350">
        <v>0</v>
      </c>
      <c r="Z12" s="1352">
        <v>3</v>
      </c>
      <c r="AA12" s="1349"/>
      <c r="AB12" s="1350"/>
      <c r="AC12" s="1350">
        <v>12</v>
      </c>
      <c r="AD12" s="1351">
        <v>12</v>
      </c>
      <c r="AE12" s="1350">
        <v>1</v>
      </c>
      <c r="AF12" s="1350"/>
      <c r="AG12" s="1350"/>
      <c r="AH12" s="1351">
        <v>1</v>
      </c>
      <c r="AI12" s="1350"/>
      <c r="AJ12" s="1350"/>
      <c r="AK12" s="1350">
        <v>29</v>
      </c>
      <c r="AL12" s="1811">
        <v>29</v>
      </c>
      <c r="AM12" s="1079"/>
      <c r="AN12" s="1080"/>
      <c r="AO12" s="1080"/>
      <c r="AP12" s="1083"/>
      <c r="AQ12" s="1079"/>
      <c r="AR12" s="1080"/>
      <c r="AS12" s="1080">
        <v>6</v>
      </c>
      <c r="AT12" s="1083">
        <f t="shared" si="4"/>
        <v>6</v>
      </c>
      <c r="AU12" s="1079"/>
      <c r="AV12" s="1080">
        <v>16</v>
      </c>
      <c r="AW12" s="1080"/>
      <c r="AX12" s="1083">
        <f t="shared" si="5"/>
        <v>16</v>
      </c>
      <c r="AY12" s="1079"/>
      <c r="AZ12" s="1080"/>
      <c r="BA12" s="1080">
        <v>11</v>
      </c>
      <c r="BB12" s="1083">
        <f t="shared" si="6"/>
        <v>11</v>
      </c>
      <c r="BC12" s="1079"/>
      <c r="BD12" s="1080"/>
      <c r="BE12" s="1080">
        <f>SUM('INSC-POSG plan'!BG26,'INSC-POSG plan'!BG27,'INSC-POSG plan'!BG28)</f>
        <v>11</v>
      </c>
      <c r="BF12" s="1083">
        <f t="shared" si="7"/>
        <v>11</v>
      </c>
      <c r="BG12" s="1079"/>
      <c r="BH12" s="1080"/>
      <c r="BI12" s="1080">
        <f>SUM('INSC-POSG plan'!BK26,'INSC-POSG plan'!BK27,'INSC-POSG plan'!BK28)</f>
        <v>9</v>
      </c>
      <c r="BJ12" s="1083">
        <f t="shared" si="8"/>
        <v>9</v>
      </c>
      <c r="BK12" s="1079">
        <f>SUM('INSC-POSG plan'!BM26:BM28)</f>
        <v>0</v>
      </c>
      <c r="BL12" s="1080">
        <f>SUM('INSC-POSG plan'!BN26:BN28)</f>
        <v>0</v>
      </c>
      <c r="BM12" s="1080">
        <f>SUM('INSC-POSG plan'!BO26:BO28)</f>
        <v>11</v>
      </c>
      <c r="BN12" s="1083">
        <f t="shared" si="9"/>
        <v>11</v>
      </c>
      <c r="BO12" s="1079">
        <f>SUM('INSC-POSG plan'!BQ26:BQ28)</f>
        <v>0</v>
      </c>
      <c r="BP12" s="1080">
        <f>SUM('INSC-POSG plan'!BR26:BR28)</f>
        <v>0</v>
      </c>
      <c r="BQ12" s="1080">
        <f>SUM('INSC-POSG plan'!BS26:BS28)</f>
        <v>5</v>
      </c>
      <c r="BR12" s="1083">
        <f t="shared" si="10"/>
        <v>5</v>
      </c>
    </row>
    <row r="13" spans="1:70" s="222" customFormat="1" ht="15" x14ac:dyDescent="0.2">
      <c r="A13" s="5471"/>
      <c r="B13" s="583" t="s">
        <v>14</v>
      </c>
      <c r="C13" s="1195">
        <f>SUM(C10:C12)</f>
        <v>0</v>
      </c>
      <c r="D13" s="1196">
        <f>SUM(D10:D12)</f>
        <v>0</v>
      </c>
      <c r="E13" s="1196">
        <f>SUM(E10:E12)</f>
        <v>48</v>
      </c>
      <c r="F13" s="1197">
        <f t="shared" si="0"/>
        <v>48</v>
      </c>
      <c r="G13" s="1195">
        <f>SUM(G10:G12)</f>
        <v>22</v>
      </c>
      <c r="H13" s="1196">
        <f>SUM(H10:H12)</f>
        <v>0</v>
      </c>
      <c r="I13" s="1196">
        <f>SUM(I10:I12)</f>
        <v>41</v>
      </c>
      <c r="J13" s="1197">
        <f t="shared" si="1"/>
        <v>63</v>
      </c>
      <c r="K13" s="1195">
        <f>SUM(K10:K12)</f>
        <v>0</v>
      </c>
      <c r="L13" s="1196">
        <f>SUM(L10:L12)</f>
        <v>0</v>
      </c>
      <c r="M13" s="1196">
        <f>SUM(M10:M12)</f>
        <v>42</v>
      </c>
      <c r="N13" s="1197">
        <f t="shared" si="2"/>
        <v>42</v>
      </c>
      <c r="O13" s="1195">
        <f>SUM(O10:O12)</f>
        <v>16</v>
      </c>
      <c r="P13" s="1196">
        <f>SUM(P10:P12)</f>
        <v>0</v>
      </c>
      <c r="Q13" s="1196">
        <f>SUM(Q10:Q12)</f>
        <v>37</v>
      </c>
      <c r="R13" s="1197">
        <f t="shared" si="3"/>
        <v>53</v>
      </c>
      <c r="S13" s="1195">
        <v>1</v>
      </c>
      <c r="T13" s="1196"/>
      <c r="U13" s="1196">
        <v>27</v>
      </c>
      <c r="V13" s="1197">
        <v>28</v>
      </c>
      <c r="W13" s="1195">
        <v>23</v>
      </c>
      <c r="X13" s="1196">
        <v>0</v>
      </c>
      <c r="Y13" s="1196">
        <v>62</v>
      </c>
      <c r="Z13" s="1196">
        <v>85</v>
      </c>
      <c r="AA13" s="1195">
        <v>8</v>
      </c>
      <c r="AB13" s="1196"/>
      <c r="AC13" s="1196">
        <v>64</v>
      </c>
      <c r="AD13" s="1197">
        <v>72</v>
      </c>
      <c r="AE13" s="1196">
        <v>18</v>
      </c>
      <c r="AF13" s="1196"/>
      <c r="AG13" s="1196">
        <v>33</v>
      </c>
      <c r="AH13" s="1197">
        <v>51</v>
      </c>
      <c r="AI13" s="1196">
        <v>15</v>
      </c>
      <c r="AJ13" s="1196"/>
      <c r="AK13" s="1196">
        <v>100</v>
      </c>
      <c r="AL13" s="1197">
        <v>115</v>
      </c>
      <c r="AM13" s="584">
        <v>27</v>
      </c>
      <c r="AN13" s="585"/>
      <c r="AO13" s="585">
        <v>28</v>
      </c>
      <c r="AP13" s="586">
        <v>55</v>
      </c>
      <c r="AQ13" s="584"/>
      <c r="AR13" s="585"/>
      <c r="AS13" s="585">
        <f>SUM(AS10:AS12)</f>
        <v>89</v>
      </c>
      <c r="AT13" s="586">
        <f t="shared" si="4"/>
        <v>89</v>
      </c>
      <c r="AU13" s="584"/>
      <c r="AV13" s="585">
        <f>SUM(AV10:AV12)</f>
        <v>16</v>
      </c>
      <c r="AW13" s="585">
        <f>SUM(AW10:AW12)</f>
        <v>34</v>
      </c>
      <c r="AX13" s="586">
        <f t="shared" si="5"/>
        <v>50</v>
      </c>
      <c r="AY13" s="585"/>
      <c r="AZ13" s="585"/>
      <c r="BA13" s="585">
        <f>SUM(BA10:BA12)</f>
        <v>85</v>
      </c>
      <c r="BB13" s="586">
        <f t="shared" si="6"/>
        <v>85</v>
      </c>
      <c r="BC13" s="585">
        <f>SUM(BC10:BC12)</f>
        <v>15</v>
      </c>
      <c r="BD13" s="585">
        <f>SUM(BD10:BD12)</f>
        <v>1</v>
      </c>
      <c r="BE13" s="585">
        <f>SUM(BE10:BE12)</f>
        <v>47</v>
      </c>
      <c r="BF13" s="586">
        <f t="shared" si="7"/>
        <v>63</v>
      </c>
      <c r="BG13" s="585"/>
      <c r="BH13" s="585"/>
      <c r="BI13" s="585">
        <f>SUM(BI10:BI12)</f>
        <v>93</v>
      </c>
      <c r="BJ13" s="586">
        <f t="shared" si="8"/>
        <v>93</v>
      </c>
      <c r="BK13" s="584">
        <f>SUM(BK10:BK12)</f>
        <v>24</v>
      </c>
      <c r="BL13" s="585">
        <f>SUM(BL10:BL12)</f>
        <v>0</v>
      </c>
      <c r="BM13" s="585">
        <f>SUM(BM10:BM12)</f>
        <v>56</v>
      </c>
      <c r="BN13" s="586">
        <f t="shared" si="9"/>
        <v>80</v>
      </c>
      <c r="BO13" s="584">
        <f>SUM(BO10:BO12)</f>
        <v>0</v>
      </c>
      <c r="BP13" s="585">
        <f>SUM(BP10:BP12)</f>
        <v>0</v>
      </c>
      <c r="BQ13" s="585">
        <f>SUM(BQ10:BQ12)</f>
        <v>69</v>
      </c>
      <c r="BR13" s="586">
        <f t="shared" si="10"/>
        <v>69</v>
      </c>
    </row>
    <row r="14" spans="1:70" ht="15" x14ac:dyDescent="0.2">
      <c r="A14" s="5470" t="s">
        <v>7</v>
      </c>
      <c r="B14" s="1067" t="s">
        <v>631</v>
      </c>
      <c r="C14" s="1334">
        <f>+'INSC-POSG plan'!E30</f>
        <v>38</v>
      </c>
      <c r="D14" s="1335">
        <f>+'INSC-POSG plan'!F30</f>
        <v>0</v>
      </c>
      <c r="E14" s="1335">
        <f>+'INSC-POSG plan'!G30</f>
        <v>17</v>
      </c>
      <c r="F14" s="1336">
        <f t="shared" si="0"/>
        <v>55</v>
      </c>
      <c r="G14" s="1334">
        <f>+'INSC-POSG plan'!I30</f>
        <v>21</v>
      </c>
      <c r="H14" s="1335">
        <f>+'INSC-POSG plan'!J30</f>
        <v>0</v>
      </c>
      <c r="I14" s="1335">
        <f>+'INSC-POSG plan'!K30</f>
        <v>30</v>
      </c>
      <c r="J14" s="1336">
        <f t="shared" si="1"/>
        <v>51</v>
      </c>
      <c r="K14" s="1334">
        <f>+'INSC-POSG plan'!M30</f>
        <v>0</v>
      </c>
      <c r="L14" s="1335">
        <f>+'INSC-POSG plan'!N30</f>
        <v>0</v>
      </c>
      <c r="M14" s="1335">
        <f>+'INSC-POSG plan'!O30</f>
        <v>46</v>
      </c>
      <c r="N14" s="1336">
        <f t="shared" si="2"/>
        <v>46</v>
      </c>
      <c r="O14" s="1334">
        <f>+'INSC-POSG plan'!Q30</f>
        <v>0</v>
      </c>
      <c r="P14" s="1335">
        <f>+'INSC-POSG plan'!R30</f>
        <v>0</v>
      </c>
      <c r="Q14" s="1335">
        <f>+'INSC-POSG plan'!S30</f>
        <v>40</v>
      </c>
      <c r="R14" s="1336">
        <f t="shared" si="3"/>
        <v>40</v>
      </c>
      <c r="S14" s="1334"/>
      <c r="T14" s="1335"/>
      <c r="U14" s="1335">
        <v>10</v>
      </c>
      <c r="V14" s="1336">
        <v>10</v>
      </c>
      <c r="W14" s="1334"/>
      <c r="X14" s="1335"/>
      <c r="Y14" s="1335">
        <v>21</v>
      </c>
      <c r="Z14" s="1337">
        <v>21</v>
      </c>
      <c r="AA14" s="1334"/>
      <c r="AB14" s="1335"/>
      <c r="AC14" s="1335">
        <v>12</v>
      </c>
      <c r="AD14" s="1336">
        <v>12</v>
      </c>
      <c r="AE14" s="1335"/>
      <c r="AF14" s="1335"/>
      <c r="AG14" s="1335">
        <v>23</v>
      </c>
      <c r="AH14" s="1336">
        <v>23</v>
      </c>
      <c r="AI14" s="1335"/>
      <c r="AJ14" s="1335"/>
      <c r="AK14" s="1335">
        <v>42</v>
      </c>
      <c r="AL14" s="1809">
        <v>42</v>
      </c>
      <c r="AM14" s="1068"/>
      <c r="AN14" s="1069"/>
      <c r="AO14" s="1069">
        <v>47</v>
      </c>
      <c r="AP14" s="1086">
        <v>47</v>
      </c>
      <c r="AQ14" s="1068"/>
      <c r="AR14" s="1069"/>
      <c r="AS14" s="1069">
        <v>53</v>
      </c>
      <c r="AT14" s="1086">
        <f t="shared" si="4"/>
        <v>53</v>
      </c>
      <c r="AU14" s="1068"/>
      <c r="AV14" s="1069"/>
      <c r="AW14" s="1069">
        <v>82</v>
      </c>
      <c r="AX14" s="1086">
        <f t="shared" si="5"/>
        <v>82</v>
      </c>
      <c r="AY14" s="1068"/>
      <c r="AZ14" s="1069"/>
      <c r="BA14" s="1069"/>
      <c r="BB14" s="1086"/>
      <c r="BC14" s="1068"/>
      <c r="BD14" s="1069"/>
      <c r="BE14" s="1069">
        <f>SUM('INSC-POSG plan'!BG30)</f>
        <v>73</v>
      </c>
      <c r="BF14" s="1086">
        <f>SUM(BC14:BE14)</f>
        <v>73</v>
      </c>
      <c r="BG14" s="1068"/>
      <c r="BH14" s="1069"/>
      <c r="BI14" s="1069">
        <f>SUM('INSC-POSG plan'!BK30)</f>
        <v>0</v>
      </c>
      <c r="BJ14" s="1086">
        <f>SUM(BG14:BI14)</f>
        <v>0</v>
      </c>
      <c r="BK14" s="1069">
        <f>SUM('INSC-POSG plan'!BM30)</f>
        <v>0</v>
      </c>
      <c r="BL14" s="1069">
        <f>SUM('INSC-POSG plan'!BN30)</f>
        <v>0</v>
      </c>
      <c r="BM14" s="1069">
        <f>SUM('INSC-POSG plan'!BO30)</f>
        <v>65</v>
      </c>
      <c r="BN14" s="1086">
        <f>SUM(BK14:BM14)</f>
        <v>65</v>
      </c>
      <c r="BO14" s="1069">
        <f>SUM('INSC-POSG plan'!BQ30:BQ31)</f>
        <v>0</v>
      </c>
      <c r="BP14" s="1069">
        <f>SUM('INSC-POSG plan'!BR30:BR31)</f>
        <v>0</v>
      </c>
      <c r="BQ14" s="1069">
        <f>SUM('INSC-POSG plan'!BS30:BS31)</f>
        <v>0</v>
      </c>
      <c r="BR14" s="1086">
        <f>SUM(BO14:BQ14)</f>
        <v>0</v>
      </c>
    </row>
    <row r="15" spans="1:70" ht="15" x14ac:dyDescent="0.2">
      <c r="A15" s="5470"/>
      <c r="B15" s="1072" t="s">
        <v>632</v>
      </c>
      <c r="C15" s="1338">
        <f>+'INSC-POSG plan'!E32</f>
        <v>15</v>
      </c>
      <c r="D15" s="1339">
        <f>+'INSC-POSG plan'!F32</f>
        <v>0</v>
      </c>
      <c r="E15" s="1339">
        <f>+'INSC-POSG plan'!G32</f>
        <v>0</v>
      </c>
      <c r="F15" s="1340">
        <f t="shared" si="0"/>
        <v>15</v>
      </c>
      <c r="G15" s="1338">
        <f>+'INSC-POSG plan'!I32</f>
        <v>12</v>
      </c>
      <c r="H15" s="1339">
        <f>+'INSC-POSG plan'!J32</f>
        <v>0</v>
      </c>
      <c r="I15" s="1339">
        <f>+'INSC-POSG plan'!K32</f>
        <v>16</v>
      </c>
      <c r="J15" s="1340">
        <f t="shared" si="1"/>
        <v>28</v>
      </c>
      <c r="K15" s="1338">
        <f>+'INSC-POSG plan'!M32</f>
        <v>4</v>
      </c>
      <c r="L15" s="1339">
        <f>+'INSC-POSG plan'!N32</f>
        <v>17</v>
      </c>
      <c r="M15" s="1339">
        <f>+'INSC-POSG plan'!O32</f>
        <v>1</v>
      </c>
      <c r="N15" s="1340">
        <f t="shared" si="2"/>
        <v>22</v>
      </c>
      <c r="O15" s="1338">
        <f>+'INSC-POSG plan'!Q32</f>
        <v>0</v>
      </c>
      <c r="P15" s="1339">
        <f>+'INSC-POSG plan'!R32</f>
        <v>0</v>
      </c>
      <c r="Q15" s="1339">
        <f>+'INSC-POSG plan'!S32</f>
        <v>25</v>
      </c>
      <c r="R15" s="1340">
        <f t="shared" si="3"/>
        <v>25</v>
      </c>
      <c r="S15" s="1338"/>
      <c r="T15" s="1339"/>
      <c r="U15" s="1339">
        <v>19</v>
      </c>
      <c r="V15" s="1340">
        <v>19</v>
      </c>
      <c r="W15" s="1338"/>
      <c r="X15" s="1339"/>
      <c r="Y15" s="1339">
        <v>11</v>
      </c>
      <c r="Z15" s="1341">
        <v>11</v>
      </c>
      <c r="AA15" s="1338"/>
      <c r="AB15" s="1339"/>
      <c r="AC15" s="1339">
        <v>20</v>
      </c>
      <c r="AD15" s="1340">
        <v>20</v>
      </c>
      <c r="AE15" s="1339"/>
      <c r="AF15" s="1339"/>
      <c r="AG15" s="1339">
        <v>21</v>
      </c>
      <c r="AH15" s="1340">
        <v>21</v>
      </c>
      <c r="AI15" s="1339"/>
      <c r="AJ15" s="1339"/>
      <c r="AK15" s="1339">
        <v>5</v>
      </c>
      <c r="AL15" s="1810">
        <v>5</v>
      </c>
      <c r="AM15" s="1073"/>
      <c r="AN15" s="1074"/>
      <c r="AO15" s="1074">
        <v>6</v>
      </c>
      <c r="AP15" s="1077">
        <v>6</v>
      </c>
      <c r="AQ15" s="1073"/>
      <c r="AR15" s="1074"/>
      <c r="AS15" s="1074">
        <v>7</v>
      </c>
      <c r="AT15" s="1077">
        <f t="shared" si="4"/>
        <v>7</v>
      </c>
      <c r="AU15" s="1073"/>
      <c r="AV15" s="1074"/>
      <c r="AW15" s="1074">
        <v>3</v>
      </c>
      <c r="AX15" s="1077">
        <f t="shared" si="5"/>
        <v>3</v>
      </c>
      <c r="AY15" s="1073"/>
      <c r="AZ15" s="1074"/>
      <c r="BA15" s="1074">
        <v>59</v>
      </c>
      <c r="BB15" s="1077">
        <f t="shared" si="6"/>
        <v>59</v>
      </c>
      <c r="BC15" s="1073"/>
      <c r="BD15" s="1074"/>
      <c r="BE15" s="1074">
        <f>SUM('INSC-POSG plan'!BG32)</f>
        <v>7</v>
      </c>
      <c r="BF15" s="1077">
        <f>SUM(BC15:BE15)</f>
        <v>7</v>
      </c>
      <c r="BG15" s="1073"/>
      <c r="BH15" s="1074"/>
      <c r="BI15" s="1074">
        <f>SUM('INSC-POSG plan'!BK32)</f>
        <v>47</v>
      </c>
      <c r="BJ15" s="1077">
        <f>SUM(BG15:BI15)</f>
        <v>47</v>
      </c>
      <c r="BK15" s="1074">
        <f>SUM('INSC-POSG plan'!BM32)</f>
        <v>0</v>
      </c>
      <c r="BL15" s="1074">
        <f>SUM('INSC-POSG plan'!BN32)</f>
        <v>0</v>
      </c>
      <c r="BM15" s="1074">
        <f>SUM('INSC-POSG plan'!BO32)</f>
        <v>7</v>
      </c>
      <c r="BN15" s="1077">
        <f>SUM(BK15:BM15)</f>
        <v>7</v>
      </c>
      <c r="BO15" s="1074">
        <f>SUM('INSC-POSG plan'!BQ32:BQ38)</f>
        <v>2</v>
      </c>
      <c r="BP15" s="1074">
        <f>SUM('INSC-POSG plan'!BR32:BR38)</f>
        <v>38</v>
      </c>
      <c r="BQ15" s="1074">
        <f>SUM('INSC-POSG plan'!BS32:BS38)</f>
        <v>24</v>
      </c>
      <c r="BR15" s="1077">
        <f>SUM(BO15:BQ15)</f>
        <v>64</v>
      </c>
    </row>
    <row r="16" spans="1:70" ht="15" x14ac:dyDescent="0.2">
      <c r="A16" s="5470"/>
      <c r="B16" s="1078" t="s">
        <v>633</v>
      </c>
      <c r="C16" s="1349">
        <f>+'INSC-POSG plan'!E39</f>
        <v>4</v>
      </c>
      <c r="D16" s="1350">
        <f>+'INSC-POSG plan'!F39</f>
        <v>0</v>
      </c>
      <c r="E16" s="1350">
        <f>+'INSC-POSG plan'!G39</f>
        <v>14</v>
      </c>
      <c r="F16" s="1351">
        <f t="shared" si="0"/>
        <v>18</v>
      </c>
      <c r="G16" s="1349">
        <f>+'INSC-POSG plan'!I39</f>
        <v>2</v>
      </c>
      <c r="H16" s="1350">
        <f>+'INSC-POSG plan'!J39</f>
        <v>1</v>
      </c>
      <c r="I16" s="1350">
        <f>+'INSC-POSG plan'!K39</f>
        <v>0</v>
      </c>
      <c r="J16" s="1351">
        <f t="shared" si="1"/>
        <v>3</v>
      </c>
      <c r="K16" s="1349">
        <f>+'INSC-POSG plan'!M39</f>
        <v>0</v>
      </c>
      <c r="L16" s="1350">
        <f>+'INSC-POSG plan'!N39</f>
        <v>0</v>
      </c>
      <c r="M16" s="1350">
        <f>+'INSC-POSG plan'!O39</f>
        <v>12</v>
      </c>
      <c r="N16" s="1351">
        <f t="shared" si="2"/>
        <v>12</v>
      </c>
      <c r="O16" s="1349">
        <f>+'INSC-POSG plan'!Q39</f>
        <v>1</v>
      </c>
      <c r="P16" s="1350">
        <f>+'INSC-POSG plan'!R39</f>
        <v>0</v>
      </c>
      <c r="Q16" s="1350">
        <f>+'INSC-POSG plan'!S39</f>
        <v>5</v>
      </c>
      <c r="R16" s="1351">
        <f t="shared" si="3"/>
        <v>6</v>
      </c>
      <c r="S16" s="1349"/>
      <c r="T16" s="1350"/>
      <c r="U16" s="1350"/>
      <c r="V16" s="1351">
        <v>0</v>
      </c>
      <c r="W16" s="1349"/>
      <c r="X16" s="1350"/>
      <c r="Y16" s="1350"/>
      <c r="Z16" s="1352"/>
      <c r="AA16" s="1349"/>
      <c r="AB16" s="1350"/>
      <c r="AC16" s="1350">
        <v>6</v>
      </c>
      <c r="AD16" s="1351">
        <v>6</v>
      </c>
      <c r="AE16" s="1350"/>
      <c r="AF16" s="1350"/>
      <c r="AG16" s="1350">
        <v>4</v>
      </c>
      <c r="AH16" s="1351">
        <v>4</v>
      </c>
      <c r="AI16" s="1350"/>
      <c r="AJ16" s="1350"/>
      <c r="AK16" s="1350">
        <v>8</v>
      </c>
      <c r="AL16" s="1811">
        <v>8</v>
      </c>
      <c r="AM16" s="1079"/>
      <c r="AN16" s="1080"/>
      <c r="AO16" s="1080">
        <v>11</v>
      </c>
      <c r="AP16" s="1083">
        <v>11</v>
      </c>
      <c r="AQ16" s="1079"/>
      <c r="AR16" s="1080"/>
      <c r="AS16" s="1080">
        <v>12</v>
      </c>
      <c r="AT16" s="1083">
        <f t="shared" si="4"/>
        <v>12</v>
      </c>
      <c r="AU16" s="1079"/>
      <c r="AV16" s="1080"/>
      <c r="AW16" s="1080">
        <v>15</v>
      </c>
      <c r="AX16" s="1083">
        <f t="shared" si="5"/>
        <v>15</v>
      </c>
      <c r="AY16" s="1079"/>
      <c r="AZ16" s="1080"/>
      <c r="BA16" s="1080">
        <v>3</v>
      </c>
      <c r="BB16" s="1083">
        <f t="shared" si="6"/>
        <v>3</v>
      </c>
      <c r="BC16" s="1079"/>
      <c r="BD16" s="1080"/>
      <c r="BE16" s="1080">
        <f>SUM('INSC-POSG plan'!BG39)</f>
        <v>24</v>
      </c>
      <c r="BF16" s="1083">
        <f>SUM(BC16:BE16)</f>
        <v>24</v>
      </c>
      <c r="BG16" s="1079"/>
      <c r="BH16" s="1080"/>
      <c r="BI16" s="1080">
        <f>SUM('INSC-POSG plan'!BK39)</f>
        <v>3</v>
      </c>
      <c r="BJ16" s="1083">
        <f>SUM(BG16:BI16)</f>
        <v>3</v>
      </c>
      <c r="BK16" s="1080">
        <f>SUM('INSC-POSG plan'!BM39)</f>
        <v>0</v>
      </c>
      <c r="BL16" s="1080">
        <f>SUM('INSC-POSG plan'!BN39)</f>
        <v>0</v>
      </c>
      <c r="BM16" s="1080">
        <f>SUM('INSC-POSG plan'!BO39)</f>
        <v>39</v>
      </c>
      <c r="BN16" s="1083">
        <f>SUM(BK16:BM16)</f>
        <v>39</v>
      </c>
      <c r="BO16" s="1080">
        <f>SUM('INSC-POSG plan'!BQ39:BQ45)</f>
        <v>7</v>
      </c>
      <c r="BP16" s="1080">
        <f>SUM('INSC-POSG plan'!BR39:BR45)</f>
        <v>0</v>
      </c>
      <c r="BQ16" s="1080">
        <f>SUM('INSC-POSG plan'!BS39:BS45)</f>
        <v>0</v>
      </c>
      <c r="BR16" s="1083">
        <f>SUM(BO16:BQ16)</f>
        <v>7</v>
      </c>
    </row>
    <row r="17" spans="1:70" s="222" customFormat="1" ht="15" x14ac:dyDescent="0.2">
      <c r="A17" s="5471"/>
      <c r="B17" s="583" t="s">
        <v>15</v>
      </c>
      <c r="C17" s="1195">
        <f>SUM(C14:C16)</f>
        <v>57</v>
      </c>
      <c r="D17" s="1196">
        <f>SUM(D14:D16)</f>
        <v>0</v>
      </c>
      <c r="E17" s="1196">
        <f>SUM(E14:E16)</f>
        <v>31</v>
      </c>
      <c r="F17" s="1197">
        <f t="shared" si="0"/>
        <v>88</v>
      </c>
      <c r="G17" s="1195">
        <f>SUM(G14:G16)</f>
        <v>35</v>
      </c>
      <c r="H17" s="1196">
        <f>SUM(H14:H16)</f>
        <v>1</v>
      </c>
      <c r="I17" s="1196">
        <f>SUM(I14:I16)</f>
        <v>46</v>
      </c>
      <c r="J17" s="1197">
        <f t="shared" si="1"/>
        <v>82</v>
      </c>
      <c r="K17" s="1195">
        <f>SUM(K14:K16)</f>
        <v>4</v>
      </c>
      <c r="L17" s="1196">
        <f>SUM(L14:L16)</f>
        <v>17</v>
      </c>
      <c r="M17" s="1196">
        <f>SUM(M14:M16)</f>
        <v>59</v>
      </c>
      <c r="N17" s="1197">
        <f t="shared" si="2"/>
        <v>80</v>
      </c>
      <c r="O17" s="1195">
        <f>SUM(O14:O16)</f>
        <v>1</v>
      </c>
      <c r="P17" s="1196">
        <f>SUM(P14:P16)</f>
        <v>0</v>
      </c>
      <c r="Q17" s="1196">
        <f>SUM(Q14:Q16)</f>
        <v>70</v>
      </c>
      <c r="R17" s="1197">
        <f t="shared" si="3"/>
        <v>71</v>
      </c>
      <c r="S17" s="1195"/>
      <c r="T17" s="1196"/>
      <c r="U17" s="1196">
        <v>29</v>
      </c>
      <c r="V17" s="1197">
        <v>29</v>
      </c>
      <c r="W17" s="1195"/>
      <c r="X17" s="1196"/>
      <c r="Y17" s="1196">
        <v>32</v>
      </c>
      <c r="Z17" s="1196">
        <v>32</v>
      </c>
      <c r="AA17" s="1195"/>
      <c r="AB17" s="1196"/>
      <c r="AC17" s="1196">
        <v>38</v>
      </c>
      <c r="AD17" s="1197">
        <v>38</v>
      </c>
      <c r="AE17" s="1196"/>
      <c r="AF17" s="1196"/>
      <c r="AG17" s="1196">
        <v>48</v>
      </c>
      <c r="AH17" s="1197">
        <v>48</v>
      </c>
      <c r="AI17" s="1196"/>
      <c r="AJ17" s="1196"/>
      <c r="AK17" s="1196">
        <v>55</v>
      </c>
      <c r="AL17" s="1197">
        <v>55</v>
      </c>
      <c r="AM17" s="584"/>
      <c r="AN17" s="585"/>
      <c r="AO17" s="585">
        <v>64</v>
      </c>
      <c r="AP17" s="586">
        <v>64</v>
      </c>
      <c r="AQ17" s="584"/>
      <c r="AR17" s="585"/>
      <c r="AS17" s="585">
        <f>SUM(AS14:AS16)</f>
        <v>72</v>
      </c>
      <c r="AT17" s="586">
        <f t="shared" si="4"/>
        <v>72</v>
      </c>
      <c r="AU17" s="584"/>
      <c r="AV17" s="585"/>
      <c r="AW17" s="585">
        <f>SUM(AW14:AW16)</f>
        <v>100</v>
      </c>
      <c r="AX17" s="586">
        <f t="shared" si="5"/>
        <v>100</v>
      </c>
      <c r="AY17" s="585"/>
      <c r="AZ17" s="585"/>
      <c r="BA17" s="585">
        <f>SUM(BA14:BA16)</f>
        <v>62</v>
      </c>
      <c r="BB17" s="586">
        <f t="shared" si="6"/>
        <v>62</v>
      </c>
      <c r="BC17" s="585"/>
      <c r="BD17" s="585"/>
      <c r="BE17" s="585">
        <f>SUM(BE14:BE16)</f>
        <v>104</v>
      </c>
      <c r="BF17" s="586">
        <f>SUM(BC17:BE17)</f>
        <v>104</v>
      </c>
      <c r="BG17" s="585"/>
      <c r="BH17" s="585"/>
      <c r="BI17" s="585">
        <f>SUM(BI14:BI16)</f>
        <v>50</v>
      </c>
      <c r="BJ17" s="586">
        <f>SUM(BG17:BI17)</f>
        <v>50</v>
      </c>
      <c r="BK17" s="585"/>
      <c r="BL17" s="585"/>
      <c r="BM17" s="585">
        <f>SUM(BM14:BM16)</f>
        <v>111</v>
      </c>
      <c r="BN17" s="586">
        <f>SUM(BK17:BM17)</f>
        <v>111</v>
      </c>
      <c r="BO17" s="585">
        <f t="shared" ref="BO17:BP17" si="11">SUM(BO14:BO16)</f>
        <v>9</v>
      </c>
      <c r="BP17" s="585">
        <f t="shared" si="11"/>
        <v>38</v>
      </c>
      <c r="BQ17" s="585">
        <f>SUM(BQ14:BQ16)</f>
        <v>24</v>
      </c>
      <c r="BR17" s="586">
        <f>SUM(BO17:BQ17)</f>
        <v>71</v>
      </c>
    </row>
    <row r="18" spans="1:70" ht="15" x14ac:dyDescent="0.2">
      <c r="A18" s="5201" t="s">
        <v>694</v>
      </c>
      <c r="B18" s="1067" t="s">
        <v>631</v>
      </c>
      <c r="C18" s="1334">
        <f>+C6+C10+C14</f>
        <v>60</v>
      </c>
      <c r="D18" s="1335">
        <f t="shared" ref="D18:E20" si="12">+D6+D10+D14</f>
        <v>0</v>
      </c>
      <c r="E18" s="1335">
        <f t="shared" si="12"/>
        <v>54</v>
      </c>
      <c r="F18" s="1336">
        <f t="shared" si="0"/>
        <v>114</v>
      </c>
      <c r="G18" s="1334">
        <f t="shared" ref="G18:I20" si="13">+G6+G10+G14</f>
        <v>47</v>
      </c>
      <c r="H18" s="1335">
        <f t="shared" si="13"/>
        <v>0</v>
      </c>
      <c r="I18" s="1335">
        <f t="shared" si="13"/>
        <v>64</v>
      </c>
      <c r="J18" s="1336">
        <f t="shared" si="1"/>
        <v>111</v>
      </c>
      <c r="K18" s="1334">
        <f t="shared" ref="K18:M20" si="14">+K6+K10+K14</f>
        <v>0</v>
      </c>
      <c r="L18" s="1335">
        <f t="shared" si="14"/>
        <v>5</v>
      </c>
      <c r="M18" s="1335">
        <f t="shared" si="14"/>
        <v>76</v>
      </c>
      <c r="N18" s="1336">
        <f t="shared" si="2"/>
        <v>81</v>
      </c>
      <c r="O18" s="1334">
        <f t="shared" ref="O18:Q20" si="15">+O6+O10+O14</f>
        <v>3</v>
      </c>
      <c r="P18" s="1335">
        <f t="shared" si="15"/>
        <v>0</v>
      </c>
      <c r="Q18" s="1335">
        <f t="shared" si="15"/>
        <v>63</v>
      </c>
      <c r="R18" s="1336">
        <f t="shared" si="3"/>
        <v>66</v>
      </c>
      <c r="S18" s="1334">
        <v>0</v>
      </c>
      <c r="T18" s="1335">
        <v>0</v>
      </c>
      <c r="U18" s="1335">
        <v>37</v>
      </c>
      <c r="V18" s="1336">
        <v>37</v>
      </c>
      <c r="W18" s="1334">
        <v>0</v>
      </c>
      <c r="X18" s="1335">
        <v>0</v>
      </c>
      <c r="Y18" s="1335">
        <v>57</v>
      </c>
      <c r="Z18" s="1337">
        <v>57</v>
      </c>
      <c r="AA18" s="1334"/>
      <c r="AB18" s="1335"/>
      <c r="AC18" s="1335">
        <v>44</v>
      </c>
      <c r="AD18" s="1336">
        <v>44</v>
      </c>
      <c r="AE18" s="1335"/>
      <c r="AF18" s="1335"/>
      <c r="AG18" s="1335">
        <v>56</v>
      </c>
      <c r="AH18" s="1336">
        <v>56</v>
      </c>
      <c r="AI18" s="1335"/>
      <c r="AJ18" s="1335"/>
      <c r="AK18" s="1335">
        <v>81</v>
      </c>
      <c r="AL18" s="1809">
        <v>81</v>
      </c>
      <c r="AM18" s="1068">
        <v>0</v>
      </c>
      <c r="AN18" s="1069"/>
      <c r="AO18" s="1069">
        <v>75</v>
      </c>
      <c r="AP18" s="1086">
        <v>75</v>
      </c>
      <c r="AQ18" s="1068"/>
      <c r="AR18" s="1069"/>
      <c r="AS18" s="1069">
        <f t="shared" ref="AS18:AT21" si="16">AS6+AS10+AS14</f>
        <v>71</v>
      </c>
      <c r="AT18" s="1086">
        <f t="shared" si="16"/>
        <v>71</v>
      </c>
      <c r="AU18" s="1068"/>
      <c r="AV18" s="1069"/>
      <c r="AW18" s="1069">
        <f t="shared" ref="AW18:AX21" si="17">AW6+AW10+AW14</f>
        <v>108</v>
      </c>
      <c r="AX18" s="1086">
        <f t="shared" si="17"/>
        <v>108</v>
      </c>
      <c r="AY18" s="1068"/>
      <c r="AZ18" s="1069"/>
      <c r="BA18" s="1069">
        <f t="shared" ref="BA18:BF18" si="18">SUM(BA6,BA10,BA14)</f>
        <v>26</v>
      </c>
      <c r="BB18" s="1086">
        <f t="shared" si="18"/>
        <v>26</v>
      </c>
      <c r="BC18" s="1068"/>
      <c r="BD18" s="1069">
        <f t="shared" si="18"/>
        <v>1</v>
      </c>
      <c r="BE18" s="1069">
        <f t="shared" si="18"/>
        <v>89</v>
      </c>
      <c r="BF18" s="1086">
        <f t="shared" si="18"/>
        <v>90</v>
      </c>
      <c r="BG18" s="1068"/>
      <c r="BH18" s="1069"/>
      <c r="BI18" s="1069">
        <f t="shared" ref="BI18:BM20" si="19">SUM(BI6,BI10,BI14)</f>
        <v>29</v>
      </c>
      <c r="BJ18" s="1086">
        <f t="shared" si="19"/>
        <v>29</v>
      </c>
      <c r="BK18" s="1068">
        <f t="shared" ref="BK18:BR18" si="20">SUM(BK6,BK10,BK14)</f>
        <v>0</v>
      </c>
      <c r="BL18" s="1069">
        <f t="shared" si="20"/>
        <v>0</v>
      </c>
      <c r="BM18" s="1069">
        <f t="shared" si="20"/>
        <v>83</v>
      </c>
      <c r="BN18" s="1086">
        <f t="shared" si="20"/>
        <v>83</v>
      </c>
      <c r="BO18" s="1068">
        <f t="shared" si="20"/>
        <v>0</v>
      </c>
      <c r="BP18" s="1069">
        <f t="shared" si="20"/>
        <v>0</v>
      </c>
      <c r="BQ18" s="1069">
        <f t="shared" si="20"/>
        <v>30</v>
      </c>
      <c r="BR18" s="1086">
        <f t="shared" si="20"/>
        <v>30</v>
      </c>
    </row>
    <row r="19" spans="1:70" ht="15" x14ac:dyDescent="0.2">
      <c r="A19" s="5201"/>
      <c r="B19" s="1072" t="s">
        <v>632</v>
      </c>
      <c r="C19" s="1338">
        <f>+C7+C11+C15</f>
        <v>34</v>
      </c>
      <c r="D19" s="1339">
        <f t="shared" si="12"/>
        <v>14</v>
      </c>
      <c r="E19" s="1339">
        <f t="shared" si="12"/>
        <v>41</v>
      </c>
      <c r="F19" s="1340">
        <f t="shared" si="0"/>
        <v>89</v>
      </c>
      <c r="G19" s="1338">
        <f t="shared" si="13"/>
        <v>63</v>
      </c>
      <c r="H19" s="1339">
        <f t="shared" si="13"/>
        <v>10</v>
      </c>
      <c r="I19" s="1339">
        <f t="shared" si="13"/>
        <v>74</v>
      </c>
      <c r="J19" s="1340">
        <f t="shared" si="1"/>
        <v>147</v>
      </c>
      <c r="K19" s="1338">
        <f t="shared" si="14"/>
        <v>6</v>
      </c>
      <c r="L19" s="1339">
        <f t="shared" si="14"/>
        <v>28</v>
      </c>
      <c r="M19" s="1339">
        <f t="shared" si="14"/>
        <v>62</v>
      </c>
      <c r="N19" s="1340">
        <f t="shared" si="2"/>
        <v>96</v>
      </c>
      <c r="O19" s="1338">
        <f t="shared" si="15"/>
        <v>21</v>
      </c>
      <c r="P19" s="1339">
        <f t="shared" si="15"/>
        <v>4</v>
      </c>
      <c r="Q19" s="1339">
        <f t="shared" si="15"/>
        <v>62</v>
      </c>
      <c r="R19" s="1340">
        <f t="shared" si="3"/>
        <v>87</v>
      </c>
      <c r="S19" s="1338">
        <v>15</v>
      </c>
      <c r="T19" s="1339">
        <v>4</v>
      </c>
      <c r="U19" s="1339">
        <v>36</v>
      </c>
      <c r="V19" s="1340">
        <v>55</v>
      </c>
      <c r="W19" s="1338">
        <v>27</v>
      </c>
      <c r="X19" s="1339">
        <v>5</v>
      </c>
      <c r="Y19" s="1339">
        <v>61</v>
      </c>
      <c r="Z19" s="1341">
        <v>93</v>
      </c>
      <c r="AA19" s="1338">
        <v>17</v>
      </c>
      <c r="AB19" s="1339"/>
      <c r="AC19" s="1339">
        <v>69</v>
      </c>
      <c r="AD19" s="1340">
        <v>86</v>
      </c>
      <c r="AE19" s="1339">
        <v>34</v>
      </c>
      <c r="AF19" s="1339"/>
      <c r="AG19" s="1339">
        <v>36</v>
      </c>
      <c r="AH19" s="1340">
        <v>70</v>
      </c>
      <c r="AI19" s="1339">
        <v>19</v>
      </c>
      <c r="AJ19" s="1339">
        <v>6</v>
      </c>
      <c r="AK19" s="1339">
        <v>47</v>
      </c>
      <c r="AL19" s="1810">
        <v>72</v>
      </c>
      <c r="AM19" s="1073">
        <v>29</v>
      </c>
      <c r="AN19" s="1074"/>
      <c r="AO19" s="1074">
        <v>38</v>
      </c>
      <c r="AP19" s="1077">
        <v>67</v>
      </c>
      <c r="AQ19" s="1073">
        <f>AQ7+AQ11+AQ15</f>
        <v>12</v>
      </c>
      <c r="AR19" s="1074"/>
      <c r="AS19" s="1074">
        <f t="shared" si="16"/>
        <v>104</v>
      </c>
      <c r="AT19" s="1077">
        <f t="shared" si="16"/>
        <v>116</v>
      </c>
      <c r="AU19" s="1073">
        <f>AU7+AU11+AU15</f>
        <v>18</v>
      </c>
      <c r="AV19" s="1074"/>
      <c r="AW19" s="1074">
        <f t="shared" si="17"/>
        <v>36</v>
      </c>
      <c r="AX19" s="1077">
        <f t="shared" si="17"/>
        <v>54</v>
      </c>
      <c r="AY19" s="1073">
        <f t="shared" ref="AY19:BF20" si="21">SUM(AY7,AY11,AY15)</f>
        <v>6</v>
      </c>
      <c r="AZ19" s="1074"/>
      <c r="BA19" s="1074">
        <f t="shared" si="21"/>
        <v>133</v>
      </c>
      <c r="BB19" s="1077">
        <f t="shared" si="21"/>
        <v>139</v>
      </c>
      <c r="BC19" s="1073">
        <f t="shared" si="21"/>
        <v>23</v>
      </c>
      <c r="BD19" s="1074">
        <f t="shared" si="21"/>
        <v>8</v>
      </c>
      <c r="BE19" s="1074">
        <f t="shared" si="21"/>
        <v>56</v>
      </c>
      <c r="BF19" s="1077">
        <f t="shared" si="21"/>
        <v>87</v>
      </c>
      <c r="BG19" s="1073">
        <f>SUM(BG7,BG11,BG15)</f>
        <v>17</v>
      </c>
      <c r="BH19" s="1074"/>
      <c r="BI19" s="1074">
        <f t="shared" si="19"/>
        <v>148</v>
      </c>
      <c r="BJ19" s="1077">
        <f t="shared" si="19"/>
        <v>165</v>
      </c>
      <c r="BK19" s="1073">
        <f t="shared" si="19"/>
        <v>47</v>
      </c>
      <c r="BL19" s="1074">
        <f t="shared" si="19"/>
        <v>0</v>
      </c>
      <c r="BM19" s="1074">
        <f t="shared" si="19"/>
        <v>89</v>
      </c>
      <c r="BN19" s="1077">
        <f>SUM(BN7,BN11,BN15)</f>
        <v>136</v>
      </c>
      <c r="BO19" s="1073">
        <f t="shared" ref="BO19:BQ19" si="22">SUM(BO7,BO11,BO15)</f>
        <v>21</v>
      </c>
      <c r="BP19" s="1074">
        <f t="shared" si="22"/>
        <v>38</v>
      </c>
      <c r="BQ19" s="1074">
        <f t="shared" si="22"/>
        <v>107</v>
      </c>
      <c r="BR19" s="1077">
        <f>SUM(BR7,BR11,BR15)</f>
        <v>166</v>
      </c>
    </row>
    <row r="20" spans="1:70" ht="15" x14ac:dyDescent="0.2">
      <c r="A20" s="5201"/>
      <c r="B20" s="1078" t="s">
        <v>633</v>
      </c>
      <c r="C20" s="1349">
        <f>+C8+C12+C16</f>
        <v>4</v>
      </c>
      <c r="D20" s="1350">
        <f t="shared" si="12"/>
        <v>1</v>
      </c>
      <c r="E20" s="1350">
        <f t="shared" si="12"/>
        <v>15</v>
      </c>
      <c r="F20" s="1351">
        <f t="shared" si="0"/>
        <v>20</v>
      </c>
      <c r="G20" s="1349">
        <f t="shared" si="13"/>
        <v>8</v>
      </c>
      <c r="H20" s="1350">
        <f t="shared" si="13"/>
        <v>4</v>
      </c>
      <c r="I20" s="1350">
        <f t="shared" si="13"/>
        <v>2</v>
      </c>
      <c r="J20" s="1351">
        <f t="shared" si="1"/>
        <v>14</v>
      </c>
      <c r="K20" s="1349">
        <f t="shared" si="14"/>
        <v>3</v>
      </c>
      <c r="L20" s="1350">
        <f t="shared" si="14"/>
        <v>0</v>
      </c>
      <c r="M20" s="1350">
        <f t="shared" si="14"/>
        <v>16</v>
      </c>
      <c r="N20" s="1351">
        <f t="shared" si="2"/>
        <v>19</v>
      </c>
      <c r="O20" s="1349">
        <f t="shared" si="15"/>
        <v>4</v>
      </c>
      <c r="P20" s="1350">
        <f t="shared" si="15"/>
        <v>2</v>
      </c>
      <c r="Q20" s="1350">
        <f t="shared" si="15"/>
        <v>6</v>
      </c>
      <c r="R20" s="1351">
        <f t="shared" si="3"/>
        <v>12</v>
      </c>
      <c r="S20" s="1349">
        <v>3</v>
      </c>
      <c r="T20" s="1350">
        <v>1</v>
      </c>
      <c r="U20" s="1350">
        <v>8</v>
      </c>
      <c r="V20" s="1351">
        <v>12</v>
      </c>
      <c r="W20" s="1349">
        <v>4</v>
      </c>
      <c r="X20" s="1350">
        <v>2</v>
      </c>
      <c r="Y20" s="1350">
        <v>2</v>
      </c>
      <c r="Z20" s="1352">
        <v>8</v>
      </c>
      <c r="AA20" s="1349">
        <v>1</v>
      </c>
      <c r="AB20" s="1350"/>
      <c r="AC20" s="1350">
        <v>23</v>
      </c>
      <c r="AD20" s="1351">
        <v>24</v>
      </c>
      <c r="AE20" s="1350">
        <v>1</v>
      </c>
      <c r="AF20" s="1350">
        <v>1</v>
      </c>
      <c r="AG20" s="1350">
        <v>8</v>
      </c>
      <c r="AH20" s="1351">
        <v>10</v>
      </c>
      <c r="AI20" s="1350">
        <v>5</v>
      </c>
      <c r="AJ20" s="1350">
        <v>4</v>
      </c>
      <c r="AK20" s="1350">
        <v>39</v>
      </c>
      <c r="AL20" s="1811">
        <v>48</v>
      </c>
      <c r="AM20" s="1079">
        <v>1</v>
      </c>
      <c r="AN20" s="1080">
        <v>2</v>
      </c>
      <c r="AO20" s="1080">
        <v>13</v>
      </c>
      <c r="AP20" s="1083">
        <v>16</v>
      </c>
      <c r="AQ20" s="1079">
        <f>AQ8+AQ12+AQ16</f>
        <v>2</v>
      </c>
      <c r="AR20" s="1080">
        <f>AR8+AR12+AR16</f>
        <v>1</v>
      </c>
      <c r="AS20" s="1080">
        <f t="shared" si="16"/>
        <v>20</v>
      </c>
      <c r="AT20" s="1083">
        <f t="shared" si="16"/>
        <v>23</v>
      </c>
      <c r="AU20" s="1079">
        <f>AU8+AU12+AU16</f>
        <v>2</v>
      </c>
      <c r="AV20" s="1080">
        <f>AV8+AV12+AV16</f>
        <v>17</v>
      </c>
      <c r="AW20" s="1080">
        <f t="shared" si="17"/>
        <v>15</v>
      </c>
      <c r="AX20" s="1083">
        <f t="shared" si="17"/>
        <v>34</v>
      </c>
      <c r="AY20" s="1079">
        <f t="shared" si="21"/>
        <v>2</v>
      </c>
      <c r="AZ20" s="1080">
        <f t="shared" si="21"/>
        <v>4</v>
      </c>
      <c r="BA20" s="1080">
        <f t="shared" si="21"/>
        <v>15</v>
      </c>
      <c r="BB20" s="1083">
        <f t="shared" si="21"/>
        <v>21</v>
      </c>
      <c r="BC20" s="1079">
        <f t="shared" si="21"/>
        <v>1</v>
      </c>
      <c r="BD20" s="1080"/>
      <c r="BE20" s="1080">
        <f t="shared" si="21"/>
        <v>39</v>
      </c>
      <c r="BF20" s="1083">
        <f t="shared" si="21"/>
        <v>40</v>
      </c>
      <c r="BG20" s="1079">
        <f>SUM(BG8,BG12,BG16)</f>
        <v>1</v>
      </c>
      <c r="BH20" s="1080">
        <f>SUM(BH8,BH12,BH16)</f>
        <v>2</v>
      </c>
      <c r="BI20" s="1080">
        <f t="shared" si="19"/>
        <v>20</v>
      </c>
      <c r="BJ20" s="1083">
        <f t="shared" si="19"/>
        <v>23</v>
      </c>
      <c r="BK20" s="1079">
        <f t="shared" si="19"/>
        <v>1</v>
      </c>
      <c r="BL20" s="1080">
        <f t="shared" si="19"/>
        <v>3</v>
      </c>
      <c r="BM20" s="1080">
        <f t="shared" si="19"/>
        <v>57</v>
      </c>
      <c r="BN20" s="1083">
        <f>SUM(BN8,BN12,BN16)</f>
        <v>61</v>
      </c>
      <c r="BO20" s="1079">
        <f t="shared" ref="BO20:BQ20" si="23">SUM(BO8,BO12,BO16)</f>
        <v>14</v>
      </c>
      <c r="BP20" s="1080">
        <f t="shared" si="23"/>
        <v>0</v>
      </c>
      <c r="BQ20" s="1080">
        <f t="shared" si="23"/>
        <v>12</v>
      </c>
      <c r="BR20" s="1083">
        <f>SUM(BR8,BR12,BR16)</f>
        <v>26</v>
      </c>
    </row>
    <row r="21" spans="1:70" s="224" customFormat="1" ht="15" x14ac:dyDescent="0.2">
      <c r="A21" s="5472"/>
      <c r="B21" s="2611" t="s">
        <v>12</v>
      </c>
      <c r="C21" s="2655">
        <f>SUM(C18:C20)</f>
        <v>98</v>
      </c>
      <c r="D21" s="2656">
        <f>SUM(D18:D20)</f>
        <v>15</v>
      </c>
      <c r="E21" s="2656">
        <f>SUM(E18:E20)</f>
        <v>110</v>
      </c>
      <c r="F21" s="2657">
        <f t="shared" si="0"/>
        <v>223</v>
      </c>
      <c r="G21" s="2655">
        <f>SUM(G18:G20)</f>
        <v>118</v>
      </c>
      <c r="H21" s="2656">
        <f>SUM(H18:H20)</f>
        <v>14</v>
      </c>
      <c r="I21" s="2656">
        <f>SUM(I18:I20)</f>
        <v>140</v>
      </c>
      <c r="J21" s="2657">
        <f t="shared" si="1"/>
        <v>272</v>
      </c>
      <c r="K21" s="2655">
        <f>SUM(K18:K20)</f>
        <v>9</v>
      </c>
      <c r="L21" s="2656">
        <f>SUM(L18:L20)</f>
        <v>33</v>
      </c>
      <c r="M21" s="2656">
        <f>SUM(M18:M20)</f>
        <v>154</v>
      </c>
      <c r="N21" s="2657">
        <f t="shared" si="2"/>
        <v>196</v>
      </c>
      <c r="O21" s="2655">
        <f>SUM(O18:O20)</f>
        <v>28</v>
      </c>
      <c r="P21" s="2656">
        <f>SUM(P18:P20)</f>
        <v>6</v>
      </c>
      <c r="Q21" s="2656">
        <f>SUM(Q18:Q20)</f>
        <v>131</v>
      </c>
      <c r="R21" s="2657">
        <f t="shared" si="3"/>
        <v>165</v>
      </c>
      <c r="S21" s="2655">
        <f>SUM(S18:S20)</f>
        <v>18</v>
      </c>
      <c r="T21" s="2656">
        <f>SUM(T18:T20)</f>
        <v>5</v>
      </c>
      <c r="U21" s="2656">
        <f>SUM(U18:U20)</f>
        <v>81</v>
      </c>
      <c r="V21" s="2657">
        <f>SUM(V18:V20)</f>
        <v>104</v>
      </c>
      <c r="W21" s="2655">
        <f t="shared" ref="W21:AL21" si="24">SUM(W18:W20)</f>
        <v>31</v>
      </c>
      <c r="X21" s="2656">
        <f t="shared" si="24"/>
        <v>7</v>
      </c>
      <c r="Y21" s="2656">
        <f t="shared" si="24"/>
        <v>120</v>
      </c>
      <c r="Z21" s="2656">
        <f t="shared" si="24"/>
        <v>158</v>
      </c>
      <c r="AA21" s="2655">
        <f t="shared" si="24"/>
        <v>18</v>
      </c>
      <c r="AB21" s="2656"/>
      <c r="AC21" s="2656">
        <f t="shared" si="24"/>
        <v>136</v>
      </c>
      <c r="AD21" s="2657">
        <f t="shared" si="24"/>
        <v>154</v>
      </c>
      <c r="AE21" s="2656">
        <f t="shared" si="24"/>
        <v>35</v>
      </c>
      <c r="AF21" s="2656">
        <f t="shared" si="24"/>
        <v>1</v>
      </c>
      <c r="AG21" s="2656">
        <f t="shared" si="24"/>
        <v>100</v>
      </c>
      <c r="AH21" s="2657">
        <f t="shared" si="24"/>
        <v>136</v>
      </c>
      <c r="AI21" s="2656">
        <f t="shared" si="24"/>
        <v>24</v>
      </c>
      <c r="AJ21" s="2656">
        <f t="shared" si="24"/>
        <v>10</v>
      </c>
      <c r="AK21" s="2656">
        <f t="shared" si="24"/>
        <v>167</v>
      </c>
      <c r="AL21" s="2657">
        <f t="shared" si="24"/>
        <v>201</v>
      </c>
      <c r="AM21" s="2612">
        <v>30</v>
      </c>
      <c r="AN21" s="2613">
        <v>2</v>
      </c>
      <c r="AO21" s="2613">
        <v>126</v>
      </c>
      <c r="AP21" s="2614">
        <v>158</v>
      </c>
      <c r="AQ21" s="2612">
        <f>AQ9+AQ13+AQ17</f>
        <v>14</v>
      </c>
      <c r="AR21" s="2613">
        <f>AR9+AR13+AR17</f>
        <v>1</v>
      </c>
      <c r="AS21" s="2613">
        <f t="shared" si="16"/>
        <v>195</v>
      </c>
      <c r="AT21" s="2614">
        <f t="shared" si="16"/>
        <v>210</v>
      </c>
      <c r="AU21" s="2612">
        <f>AU9+AU13+AU17</f>
        <v>20</v>
      </c>
      <c r="AV21" s="2613">
        <f>AV9+AV13+AV17</f>
        <v>17</v>
      </c>
      <c r="AW21" s="2613">
        <f t="shared" si="17"/>
        <v>159</v>
      </c>
      <c r="AX21" s="2614">
        <f t="shared" si="17"/>
        <v>196</v>
      </c>
      <c r="AY21" s="2612">
        <f t="shared" ref="AY21:BJ21" si="25">AY9+AY13+AY17</f>
        <v>8</v>
      </c>
      <c r="AZ21" s="2613">
        <f t="shared" si="25"/>
        <v>4</v>
      </c>
      <c r="BA21" s="2613">
        <f t="shared" si="25"/>
        <v>174</v>
      </c>
      <c r="BB21" s="2614">
        <f t="shared" si="25"/>
        <v>186</v>
      </c>
      <c r="BC21" s="2612">
        <f t="shared" si="25"/>
        <v>24</v>
      </c>
      <c r="BD21" s="2613">
        <f t="shared" si="25"/>
        <v>9</v>
      </c>
      <c r="BE21" s="2613">
        <f t="shared" si="25"/>
        <v>184</v>
      </c>
      <c r="BF21" s="2614">
        <f t="shared" si="25"/>
        <v>217</v>
      </c>
      <c r="BG21" s="2612">
        <f t="shared" si="25"/>
        <v>18</v>
      </c>
      <c r="BH21" s="2613">
        <f t="shared" si="25"/>
        <v>2</v>
      </c>
      <c r="BI21" s="2613">
        <f t="shared" si="25"/>
        <v>197</v>
      </c>
      <c r="BJ21" s="2614">
        <f t="shared" si="25"/>
        <v>217</v>
      </c>
      <c r="BK21" s="2612">
        <f t="shared" ref="BK21:BR21" si="26">BK9+BK13+BK17</f>
        <v>48</v>
      </c>
      <c r="BL21" s="2613">
        <f t="shared" si="26"/>
        <v>3</v>
      </c>
      <c r="BM21" s="2613">
        <f t="shared" si="26"/>
        <v>229</v>
      </c>
      <c r="BN21" s="2614">
        <f t="shared" si="26"/>
        <v>280</v>
      </c>
      <c r="BO21" s="2612">
        <f t="shared" si="26"/>
        <v>35</v>
      </c>
      <c r="BP21" s="2613">
        <f t="shared" si="26"/>
        <v>38</v>
      </c>
      <c r="BQ21" s="2613">
        <f t="shared" si="26"/>
        <v>149</v>
      </c>
      <c r="BR21" s="2614">
        <f t="shared" si="26"/>
        <v>222</v>
      </c>
    </row>
    <row r="22" spans="1:70" s="224" customFormat="1" ht="15" x14ac:dyDescent="0.2">
      <c r="A22" s="936"/>
      <c r="B22" s="936"/>
      <c r="C22" s="936"/>
      <c r="D22" s="936"/>
      <c r="E22" s="936"/>
      <c r="F22" s="936"/>
      <c r="G22" s="936"/>
      <c r="H22" s="936"/>
      <c r="I22" s="936"/>
      <c r="J22" s="936"/>
      <c r="K22" s="936"/>
      <c r="L22" s="936"/>
      <c r="M22" s="936"/>
      <c r="N22" s="936"/>
      <c r="O22" s="936"/>
      <c r="P22" s="936"/>
      <c r="Q22" s="936"/>
      <c r="R22" s="936"/>
      <c r="S22" s="936"/>
      <c r="T22" s="936"/>
      <c r="U22" s="936"/>
      <c r="V22" s="936"/>
      <c r="W22" s="936"/>
      <c r="X22" s="936"/>
      <c r="Y22" s="936"/>
      <c r="Z22" s="936"/>
      <c r="AA22" s="936"/>
      <c r="AB22" s="936"/>
      <c r="AC22" s="936"/>
      <c r="AD22" s="936"/>
      <c r="AE22" s="936"/>
      <c r="AF22" s="936"/>
      <c r="AG22" s="936"/>
      <c r="AH22" s="936"/>
      <c r="AI22" s="936"/>
      <c r="AJ22" s="936"/>
      <c r="AK22" s="936"/>
      <c r="AL22" s="936"/>
      <c r="AM22" s="936"/>
      <c r="AN22" s="936"/>
      <c r="AO22" s="936"/>
      <c r="AP22" s="936"/>
      <c r="AQ22" s="936"/>
      <c r="AR22" s="936"/>
      <c r="AS22" s="936"/>
      <c r="AT22" s="936"/>
      <c r="AU22" s="936"/>
      <c r="AV22" s="936"/>
      <c r="AW22" s="936"/>
      <c r="AX22" s="936"/>
      <c r="AY22" s="936"/>
      <c r="AZ22" s="936"/>
      <c r="BA22" s="936"/>
      <c r="BB22" s="936"/>
      <c r="BC22" s="936"/>
      <c r="BD22" s="936"/>
      <c r="BE22" s="936"/>
      <c r="BF22" s="936"/>
      <c r="BG22" s="936"/>
      <c r="BH22" s="936"/>
      <c r="BI22" s="936"/>
      <c r="BJ22" s="936"/>
      <c r="BK22" s="936"/>
      <c r="BL22" s="936"/>
      <c r="BM22" s="936"/>
      <c r="BN22" s="936"/>
      <c r="BO22" s="936"/>
      <c r="BP22" s="936"/>
      <c r="BQ22" s="936"/>
      <c r="BR22" s="936"/>
    </row>
    <row r="23" spans="1:70" s="224" customFormat="1" ht="15" x14ac:dyDescent="0.2">
      <c r="A23" s="5483" t="s">
        <v>6</v>
      </c>
      <c r="B23" s="1067" t="s">
        <v>631</v>
      </c>
      <c r="C23" s="1334"/>
      <c r="D23" s="1335"/>
      <c r="E23" s="1335"/>
      <c r="F23" s="1336"/>
      <c r="G23" s="1334"/>
      <c r="H23" s="1335"/>
      <c r="I23" s="1335"/>
      <c r="J23" s="1336"/>
      <c r="K23" s="1334"/>
      <c r="L23" s="1335"/>
      <c r="M23" s="1335"/>
      <c r="N23" s="1336"/>
      <c r="O23" s="1334"/>
      <c r="P23" s="1335"/>
      <c r="Q23" s="1335"/>
      <c r="R23" s="1336"/>
      <c r="S23" s="1334"/>
      <c r="T23" s="1335"/>
      <c r="U23" s="1335"/>
      <c r="V23" s="1336"/>
      <c r="W23" s="1334"/>
      <c r="X23" s="1335"/>
      <c r="Y23" s="1335"/>
      <c r="Z23" s="1337"/>
      <c r="AA23" s="1334"/>
      <c r="AB23" s="1335"/>
      <c r="AC23" s="1335"/>
      <c r="AD23" s="1336"/>
      <c r="AE23" s="1335"/>
      <c r="AF23" s="1335"/>
      <c r="AG23" s="1335"/>
      <c r="AH23" s="1336"/>
      <c r="AI23" s="1335"/>
      <c r="AJ23" s="1335"/>
      <c r="AK23" s="1335"/>
      <c r="AL23" s="1809"/>
      <c r="AM23" s="1068"/>
      <c r="AN23" s="1069"/>
      <c r="AO23" s="1069"/>
      <c r="AP23" s="1086"/>
      <c r="AQ23" s="1068"/>
      <c r="AR23" s="1069"/>
      <c r="AS23" s="1069"/>
      <c r="AT23" s="1069"/>
      <c r="AU23" s="1068"/>
      <c r="AV23" s="1069"/>
      <c r="AW23" s="1069"/>
      <c r="AX23" s="1086"/>
      <c r="AY23" s="1068"/>
      <c r="AZ23" s="1069"/>
      <c r="BA23" s="1069"/>
      <c r="BB23" s="1086"/>
      <c r="BC23" s="1068"/>
      <c r="BD23" s="1069"/>
      <c r="BE23" s="1069"/>
      <c r="BF23" s="1086"/>
      <c r="BG23" s="1068"/>
      <c r="BH23" s="1069"/>
      <c r="BI23" s="1069"/>
      <c r="BJ23" s="1086"/>
      <c r="BK23" s="1068"/>
      <c r="BL23" s="1069"/>
      <c r="BM23" s="1069"/>
      <c r="BN23" s="1086">
        <f>SUM(BK23:BM23)</f>
        <v>0</v>
      </c>
      <c r="BO23" s="1068"/>
      <c r="BP23" s="1069"/>
      <c r="BQ23" s="1069"/>
      <c r="BR23" s="1086">
        <f>SUM(BO23:BQ23)</f>
        <v>0</v>
      </c>
    </row>
    <row r="24" spans="1:70" s="224" customFormat="1" ht="15" x14ac:dyDescent="0.2">
      <c r="A24" s="5484"/>
      <c r="B24" s="1072" t="s">
        <v>632</v>
      </c>
      <c r="C24" s="1338"/>
      <c r="D24" s="1339"/>
      <c r="E24" s="1339"/>
      <c r="F24" s="1340"/>
      <c r="G24" s="1338"/>
      <c r="H24" s="1339"/>
      <c r="I24" s="1339"/>
      <c r="J24" s="1340"/>
      <c r="K24" s="1338"/>
      <c r="L24" s="1339"/>
      <c r="M24" s="1339"/>
      <c r="N24" s="1340"/>
      <c r="O24" s="1338"/>
      <c r="P24" s="1339"/>
      <c r="Q24" s="1339"/>
      <c r="R24" s="1340"/>
      <c r="S24" s="1338"/>
      <c r="T24" s="1339"/>
      <c r="U24" s="1339"/>
      <c r="V24" s="1340"/>
      <c r="W24" s="1338"/>
      <c r="X24" s="1339"/>
      <c r="Y24" s="1339"/>
      <c r="Z24" s="1341"/>
      <c r="AA24" s="1338"/>
      <c r="AB24" s="1339"/>
      <c r="AC24" s="1339"/>
      <c r="AD24" s="1340"/>
      <c r="AE24" s="1339"/>
      <c r="AF24" s="1339"/>
      <c r="AG24" s="1339"/>
      <c r="AH24" s="1340"/>
      <c r="AI24" s="1339"/>
      <c r="AJ24" s="1339"/>
      <c r="AK24" s="1339"/>
      <c r="AL24" s="1810"/>
      <c r="AM24" s="1073"/>
      <c r="AN24" s="1074"/>
      <c r="AO24" s="1074"/>
      <c r="AP24" s="1077"/>
      <c r="AQ24" s="1073"/>
      <c r="AR24" s="1074"/>
      <c r="AS24" s="1074"/>
      <c r="AT24" s="1074"/>
      <c r="AU24" s="1073"/>
      <c r="AV24" s="1074"/>
      <c r="AW24" s="1074"/>
      <c r="AX24" s="1077"/>
      <c r="AY24" s="1073">
        <v>20</v>
      </c>
      <c r="AZ24" s="1074"/>
      <c r="BA24" s="1074"/>
      <c r="BB24" s="1077">
        <f>SUM(AY24:BA24)</f>
        <v>20</v>
      </c>
      <c r="BC24" s="1073">
        <f>SUM('INSC-POSG plan'!BE48)</f>
        <v>13</v>
      </c>
      <c r="BD24" s="1074"/>
      <c r="BE24" s="1074"/>
      <c r="BF24" s="1077">
        <f>SUM(BC24:BE24)</f>
        <v>13</v>
      </c>
      <c r="BG24" s="1073">
        <f>SUM('INSC-POSG plan'!BI48)</f>
        <v>23</v>
      </c>
      <c r="BH24" s="1074"/>
      <c r="BI24" s="1074"/>
      <c r="BJ24" s="1077">
        <f>SUM(BG24:BI24)</f>
        <v>23</v>
      </c>
      <c r="BK24" s="1073">
        <f>SUM('INSC-POSG plan'!BM48)</f>
        <v>0</v>
      </c>
      <c r="BL24" s="1074">
        <f>SUM('INSC-POSG plan'!BN48)</f>
        <v>0</v>
      </c>
      <c r="BM24" s="1074">
        <f>SUM('INSC-POSG plan'!BO48)</f>
        <v>13</v>
      </c>
      <c r="BN24" s="1077">
        <f>SUM(BK24:BM24)</f>
        <v>13</v>
      </c>
      <c r="BO24" s="1073">
        <f>SUM('INSC-POSG plan'!BQ48)</f>
        <v>0</v>
      </c>
      <c r="BP24" s="1074">
        <f>SUM('INSC-POSG plan'!BR48)</f>
        <v>0</v>
      </c>
      <c r="BQ24" s="1074">
        <f>SUM('INSC-POSG plan'!BS48)</f>
        <v>21</v>
      </c>
      <c r="BR24" s="1077">
        <f>SUM(BO24:BQ24)</f>
        <v>21</v>
      </c>
    </row>
    <row r="25" spans="1:70" s="224" customFormat="1" ht="15" x14ac:dyDescent="0.2">
      <c r="A25" s="5484"/>
      <c r="B25" s="1078" t="s">
        <v>633</v>
      </c>
      <c r="C25" s="1349"/>
      <c r="D25" s="1350"/>
      <c r="E25" s="1350"/>
      <c r="F25" s="1351"/>
      <c r="G25" s="1349"/>
      <c r="H25" s="1350"/>
      <c r="I25" s="1350"/>
      <c r="J25" s="1351"/>
      <c r="K25" s="1349"/>
      <c r="L25" s="1350"/>
      <c r="M25" s="1350"/>
      <c r="N25" s="1351"/>
      <c r="O25" s="1349"/>
      <c r="P25" s="1350"/>
      <c r="Q25" s="1350"/>
      <c r="R25" s="1351"/>
      <c r="S25" s="1349"/>
      <c r="T25" s="1350"/>
      <c r="U25" s="1350"/>
      <c r="V25" s="1351"/>
      <c r="W25" s="1349"/>
      <c r="X25" s="1350"/>
      <c r="Y25" s="1350"/>
      <c r="Z25" s="1352"/>
      <c r="AA25" s="1349"/>
      <c r="AB25" s="1350"/>
      <c r="AC25" s="1350"/>
      <c r="AD25" s="1351"/>
      <c r="AE25" s="1350"/>
      <c r="AF25" s="1350"/>
      <c r="AG25" s="1350"/>
      <c r="AH25" s="1351"/>
      <c r="AI25" s="1350"/>
      <c r="AJ25" s="1350"/>
      <c r="AK25" s="1350"/>
      <c r="AL25" s="1811"/>
      <c r="AM25" s="1079"/>
      <c r="AN25" s="1080"/>
      <c r="AO25" s="1080"/>
      <c r="AP25" s="1083"/>
      <c r="AQ25" s="1079"/>
      <c r="AR25" s="1080"/>
      <c r="AS25" s="1080"/>
      <c r="AT25" s="1080"/>
      <c r="AU25" s="1079"/>
      <c r="AV25" s="1080"/>
      <c r="AW25" s="1080"/>
      <c r="AX25" s="1083"/>
      <c r="AY25" s="1079">
        <v>12</v>
      </c>
      <c r="AZ25" s="1080"/>
      <c r="BA25" s="1080"/>
      <c r="BB25" s="1083">
        <f>SUM(AY25:BA25)</f>
        <v>12</v>
      </c>
      <c r="BC25" s="1079">
        <f>SUM('INSC-POSG plan'!BE49)</f>
        <v>10</v>
      </c>
      <c r="BD25" s="1080"/>
      <c r="BE25" s="1080"/>
      <c r="BF25" s="1083">
        <f>SUM(BC25:BE25)</f>
        <v>10</v>
      </c>
      <c r="BG25" s="1079"/>
      <c r="BH25" s="1080">
        <f>SUM('INSC-POSG plan'!BJ49)</f>
        <v>2</v>
      </c>
      <c r="BI25" s="1080">
        <f>SUM('INSC-POSG plan'!BK49)</f>
        <v>15</v>
      </c>
      <c r="BJ25" s="1083">
        <f>SUM(BG25:BI25)</f>
        <v>17</v>
      </c>
      <c r="BK25" s="1079">
        <f>SUM('INSC-POSG plan'!BM49)</f>
        <v>0</v>
      </c>
      <c r="BL25" s="1080">
        <f>SUM('INSC-POSG plan'!BN49)</f>
        <v>0</v>
      </c>
      <c r="BM25" s="1080">
        <f>SUM('INSC-POSG plan'!BO49)</f>
        <v>17</v>
      </c>
      <c r="BN25" s="1083">
        <f>SUM(BK25:BM25)</f>
        <v>17</v>
      </c>
      <c r="BO25" s="1079">
        <f>SUM('INSC-POSG plan'!BQ49)</f>
        <v>0</v>
      </c>
      <c r="BP25" s="1080">
        <f>SUM('INSC-POSG plan'!BR49)</f>
        <v>0</v>
      </c>
      <c r="BQ25" s="1080">
        <f>SUM('INSC-POSG plan'!BS49)</f>
        <v>19</v>
      </c>
      <c r="BR25" s="1083">
        <f>SUM(BO25:BQ25)</f>
        <v>19</v>
      </c>
    </row>
    <row r="26" spans="1:70" s="224" customFormat="1" ht="15" x14ac:dyDescent="0.2">
      <c r="A26" s="5485"/>
      <c r="B26" s="583" t="s">
        <v>14</v>
      </c>
      <c r="C26" s="1196"/>
      <c r="D26" s="1196"/>
      <c r="E26" s="1196"/>
      <c r="F26" s="1196"/>
      <c r="G26" s="1196"/>
      <c r="H26" s="1196"/>
      <c r="I26" s="1196"/>
      <c r="J26" s="1196"/>
      <c r="K26" s="1196"/>
      <c r="L26" s="1196"/>
      <c r="M26" s="1196"/>
      <c r="N26" s="1196"/>
      <c r="O26" s="1196"/>
      <c r="P26" s="1196"/>
      <c r="Q26" s="1196"/>
      <c r="R26" s="1196"/>
      <c r="S26" s="1196"/>
      <c r="T26" s="1196"/>
      <c r="U26" s="1196"/>
      <c r="V26" s="1196"/>
      <c r="W26" s="1196"/>
      <c r="X26" s="1196"/>
      <c r="Y26" s="1196"/>
      <c r="Z26" s="1196"/>
      <c r="AA26" s="1196"/>
      <c r="AB26" s="1196"/>
      <c r="AC26" s="1196"/>
      <c r="AD26" s="1196"/>
      <c r="AE26" s="1196"/>
      <c r="AF26" s="1196"/>
      <c r="AG26" s="1196"/>
      <c r="AH26" s="1196"/>
      <c r="AI26" s="1196"/>
      <c r="AJ26" s="1196"/>
      <c r="AK26" s="1196"/>
      <c r="AL26" s="1196"/>
      <c r="AM26" s="585"/>
      <c r="AN26" s="585"/>
      <c r="AO26" s="585"/>
      <c r="AP26" s="585"/>
      <c r="AQ26" s="585"/>
      <c r="AR26" s="585"/>
      <c r="AS26" s="585"/>
      <c r="AT26" s="585"/>
      <c r="AU26" s="584"/>
      <c r="AV26" s="585"/>
      <c r="AW26" s="585"/>
      <c r="AX26" s="586"/>
      <c r="AY26" s="584">
        <f>SUM(AY23:AY25)</f>
        <v>32</v>
      </c>
      <c r="AZ26" s="585"/>
      <c r="BA26" s="585"/>
      <c r="BB26" s="586">
        <f>SUM(AY26:BA26)</f>
        <v>32</v>
      </c>
      <c r="BC26" s="584">
        <f>SUM(BC23:BC25)</f>
        <v>23</v>
      </c>
      <c r="BD26" s="585"/>
      <c r="BE26" s="585"/>
      <c r="BF26" s="586">
        <f>SUM(BC26:BE26)</f>
        <v>23</v>
      </c>
      <c r="BG26" s="584">
        <f>SUM(BG23:BG25)</f>
        <v>23</v>
      </c>
      <c r="BH26" s="585">
        <f>SUM(BH25)</f>
        <v>2</v>
      </c>
      <c r="BI26" s="585">
        <f>SUM(BI24:BI25)</f>
        <v>15</v>
      </c>
      <c r="BJ26" s="586">
        <f>SUM(BG26:BI26)</f>
        <v>40</v>
      </c>
      <c r="BK26" s="584">
        <f>SUM(BK23:BK25)</f>
        <v>0</v>
      </c>
      <c r="BL26" s="585">
        <f>SUM(BL25)</f>
        <v>0</v>
      </c>
      <c r="BM26" s="585">
        <f>SUM(BM24:BM25)</f>
        <v>30</v>
      </c>
      <c r="BN26" s="586">
        <f>SUM(BK26:BM26)</f>
        <v>30</v>
      </c>
      <c r="BO26" s="584">
        <f>SUM(BO23:BO25)</f>
        <v>0</v>
      </c>
      <c r="BP26" s="585">
        <f>SUM(BP25)</f>
        <v>0</v>
      </c>
      <c r="BQ26" s="585">
        <f>SUM(BQ24:BQ25)</f>
        <v>40</v>
      </c>
      <c r="BR26" s="586">
        <f>SUM(BO26:BQ26)</f>
        <v>40</v>
      </c>
    </row>
    <row r="27" spans="1:70" s="224" customFormat="1" ht="15" x14ac:dyDescent="0.2">
      <c r="A27" s="5484" t="s">
        <v>9</v>
      </c>
      <c r="B27" s="1067" t="s">
        <v>631</v>
      </c>
      <c r="C27" s="1334"/>
      <c r="D27" s="1335"/>
      <c r="E27" s="1335"/>
      <c r="F27" s="1336"/>
      <c r="G27" s="1334"/>
      <c r="H27" s="1335"/>
      <c r="I27" s="1335"/>
      <c r="J27" s="1336"/>
      <c r="K27" s="1334"/>
      <c r="L27" s="1335"/>
      <c r="M27" s="1335"/>
      <c r="N27" s="1336"/>
      <c r="O27" s="1334"/>
      <c r="P27" s="1335"/>
      <c r="Q27" s="1335"/>
      <c r="R27" s="1336"/>
      <c r="S27" s="1334"/>
      <c r="T27" s="1335"/>
      <c r="U27" s="1335"/>
      <c r="V27" s="1336"/>
      <c r="W27" s="1334"/>
      <c r="X27" s="1335"/>
      <c r="Y27" s="1335"/>
      <c r="Z27" s="1337"/>
      <c r="AA27" s="1334"/>
      <c r="AB27" s="1335"/>
      <c r="AC27" s="1335"/>
      <c r="AD27" s="1336"/>
      <c r="AE27" s="1335"/>
      <c r="AF27" s="1335"/>
      <c r="AG27" s="1335"/>
      <c r="AH27" s="1336"/>
      <c r="AI27" s="1335"/>
      <c r="AJ27" s="1335"/>
      <c r="AK27" s="1335"/>
      <c r="AL27" s="1809"/>
      <c r="AM27" s="1068"/>
      <c r="AN27" s="1069"/>
      <c r="AO27" s="1069"/>
      <c r="AP27" s="1086"/>
      <c r="AQ27" s="1068"/>
      <c r="AR27" s="1069"/>
      <c r="AS27" s="1069"/>
      <c r="AT27" s="1069"/>
      <c r="AU27" s="1068"/>
      <c r="AV27" s="1069"/>
      <c r="AW27" s="1069"/>
      <c r="AX27" s="1086"/>
      <c r="AY27" s="1068"/>
      <c r="AZ27" s="1069"/>
      <c r="BA27" s="1069"/>
      <c r="BB27" s="1086"/>
      <c r="BC27" s="1068"/>
      <c r="BD27" s="1069"/>
      <c r="BE27" s="1069"/>
      <c r="BF27" s="1086"/>
      <c r="BG27" s="1068"/>
      <c r="BH27" s="1069"/>
      <c r="BI27" s="1069"/>
      <c r="BJ27" s="1086"/>
      <c r="BK27" s="1068"/>
      <c r="BL27" s="1069"/>
      <c r="BM27" s="1069"/>
      <c r="BN27" s="1086"/>
      <c r="BO27" s="1068"/>
      <c r="BP27" s="1069"/>
      <c r="BQ27" s="1069"/>
      <c r="BR27" s="1086"/>
    </row>
    <row r="28" spans="1:70" s="224" customFormat="1" ht="15" x14ac:dyDescent="0.2">
      <c r="A28" s="5484"/>
      <c r="B28" s="1072" t="s">
        <v>632</v>
      </c>
      <c r="C28" s="1338"/>
      <c r="D28" s="1339"/>
      <c r="E28" s="1339"/>
      <c r="F28" s="1340"/>
      <c r="G28" s="1338"/>
      <c r="H28" s="1339"/>
      <c r="I28" s="1339"/>
      <c r="J28" s="1340"/>
      <c r="K28" s="1338"/>
      <c r="L28" s="1339"/>
      <c r="M28" s="1339"/>
      <c r="N28" s="1340"/>
      <c r="O28" s="1338"/>
      <c r="P28" s="1339"/>
      <c r="Q28" s="1339"/>
      <c r="R28" s="1340"/>
      <c r="S28" s="1338"/>
      <c r="T28" s="1339"/>
      <c r="U28" s="1339"/>
      <c r="V28" s="1340"/>
      <c r="W28" s="1338"/>
      <c r="X28" s="1339"/>
      <c r="Y28" s="1339"/>
      <c r="Z28" s="1341"/>
      <c r="AA28" s="1338"/>
      <c r="AB28" s="1339"/>
      <c r="AC28" s="1339"/>
      <c r="AD28" s="1340"/>
      <c r="AE28" s="1339"/>
      <c r="AF28" s="1339"/>
      <c r="AG28" s="1339"/>
      <c r="AH28" s="1340"/>
      <c r="AI28" s="1339"/>
      <c r="AJ28" s="1339"/>
      <c r="AK28" s="1339"/>
      <c r="AL28" s="1810"/>
      <c r="AM28" s="1073"/>
      <c r="AN28" s="1074"/>
      <c r="AO28" s="1074"/>
      <c r="AP28" s="1077"/>
      <c r="AQ28" s="1073"/>
      <c r="AR28" s="1074"/>
      <c r="AS28" s="1074"/>
      <c r="AT28" s="1074"/>
      <c r="AU28" s="1073"/>
      <c r="AV28" s="1074"/>
      <c r="AW28" s="1074"/>
      <c r="AX28" s="1077"/>
      <c r="AY28" s="1073"/>
      <c r="AZ28" s="1074"/>
      <c r="BA28" s="1074"/>
      <c r="BB28" s="1077"/>
      <c r="BC28" s="1073"/>
      <c r="BD28" s="1074"/>
      <c r="BE28" s="1074">
        <f>SUM('INSC-POSG plan'!BG51)</f>
        <v>12</v>
      </c>
      <c r="BF28" s="1077">
        <f>SUM(BC28:BE28)</f>
        <v>12</v>
      </c>
      <c r="BG28" s="1073"/>
      <c r="BH28" s="1074"/>
      <c r="BI28" s="1074">
        <f>SUM('INSC-POSG plan'!BK51)</f>
        <v>12</v>
      </c>
      <c r="BJ28" s="1077">
        <f>SUM(BG28:BI28)</f>
        <v>12</v>
      </c>
      <c r="BK28" s="1074">
        <f>SUM('INSC-POSG plan'!BM51)</f>
        <v>0</v>
      </c>
      <c r="BL28" s="1074">
        <f>SUM('INSC-POSG plan'!BN51)</f>
        <v>0</v>
      </c>
      <c r="BM28" s="1074">
        <f>SUM('INSC-POSG plan'!BO51)</f>
        <v>20</v>
      </c>
      <c r="BN28" s="1077">
        <f>SUM(BK28:BM28)</f>
        <v>20</v>
      </c>
      <c r="BO28" s="1074">
        <f>SUM('INSC-POSG plan'!BQ51)</f>
        <v>0</v>
      </c>
      <c r="BP28" s="1074">
        <f>SUM('INSC-POSG plan'!BR51)</f>
        <v>0</v>
      </c>
      <c r="BQ28" s="1074">
        <f>SUM('INSC-POSG plan'!BS51)</f>
        <v>18</v>
      </c>
      <c r="BR28" s="1077">
        <f>SUM(BO28:BQ28)</f>
        <v>18</v>
      </c>
    </row>
    <row r="29" spans="1:70" s="224" customFormat="1" ht="15" x14ac:dyDescent="0.2">
      <c r="A29" s="5484"/>
      <c r="B29" s="1078" t="s">
        <v>633</v>
      </c>
      <c r="C29" s="1349"/>
      <c r="D29" s="1350"/>
      <c r="E29" s="1350"/>
      <c r="F29" s="1351"/>
      <c r="G29" s="1349"/>
      <c r="H29" s="1350"/>
      <c r="I29" s="1350"/>
      <c r="J29" s="1351"/>
      <c r="K29" s="1349"/>
      <c r="L29" s="1350"/>
      <c r="M29" s="1350"/>
      <c r="N29" s="1351"/>
      <c r="O29" s="1349"/>
      <c r="P29" s="1350"/>
      <c r="Q29" s="1350"/>
      <c r="R29" s="1351"/>
      <c r="S29" s="1349"/>
      <c r="T29" s="1350"/>
      <c r="U29" s="1350"/>
      <c r="V29" s="1351"/>
      <c r="W29" s="1349"/>
      <c r="X29" s="1350"/>
      <c r="Y29" s="1350"/>
      <c r="Z29" s="1352"/>
      <c r="AA29" s="1349"/>
      <c r="AB29" s="1350"/>
      <c r="AC29" s="1350"/>
      <c r="AD29" s="1351"/>
      <c r="AE29" s="1350"/>
      <c r="AF29" s="1350"/>
      <c r="AG29" s="1350"/>
      <c r="AH29" s="1351"/>
      <c r="AI29" s="1350"/>
      <c r="AJ29" s="1350"/>
      <c r="AK29" s="1350"/>
      <c r="AL29" s="1811"/>
      <c r="AM29" s="1079"/>
      <c r="AN29" s="1080"/>
      <c r="AO29" s="1080"/>
      <c r="AP29" s="1083"/>
      <c r="AQ29" s="1079"/>
      <c r="AR29" s="1080"/>
      <c r="AS29" s="1080"/>
      <c r="AT29" s="1080"/>
      <c r="AU29" s="1079"/>
      <c r="AV29" s="1080"/>
      <c r="AW29" s="1080"/>
      <c r="AX29" s="1083"/>
      <c r="AY29" s="1079"/>
      <c r="AZ29" s="1080"/>
      <c r="BA29" s="1080"/>
      <c r="BB29" s="1083"/>
      <c r="BC29" s="1079"/>
      <c r="BD29" s="1080"/>
      <c r="BE29" s="1080"/>
      <c r="BF29" s="1083"/>
      <c r="BG29" s="1079"/>
      <c r="BH29" s="1080"/>
      <c r="BI29" s="1080"/>
      <c r="BJ29" s="1083"/>
      <c r="BK29" s="1079"/>
      <c r="BL29" s="1080"/>
      <c r="BM29" s="1080"/>
      <c r="BN29" s="1083"/>
      <c r="BO29" s="1079"/>
      <c r="BP29" s="1080"/>
      <c r="BQ29" s="1080"/>
      <c r="BR29" s="1083"/>
    </row>
    <row r="30" spans="1:70" s="224" customFormat="1" ht="15" x14ac:dyDescent="0.2">
      <c r="A30" s="5485"/>
      <c r="B30" s="583" t="s">
        <v>420</v>
      </c>
      <c r="C30" s="1196"/>
      <c r="D30" s="1196"/>
      <c r="E30" s="1196"/>
      <c r="F30" s="1196"/>
      <c r="G30" s="1196"/>
      <c r="H30" s="1196"/>
      <c r="I30" s="1196"/>
      <c r="J30" s="1196"/>
      <c r="K30" s="1196"/>
      <c r="L30" s="1196"/>
      <c r="M30" s="1196"/>
      <c r="N30" s="1196"/>
      <c r="O30" s="1196"/>
      <c r="P30" s="1196"/>
      <c r="Q30" s="1196"/>
      <c r="R30" s="1196"/>
      <c r="S30" s="1196"/>
      <c r="T30" s="1196"/>
      <c r="U30" s="1196"/>
      <c r="V30" s="1196"/>
      <c r="W30" s="1196"/>
      <c r="X30" s="1196"/>
      <c r="Y30" s="1196"/>
      <c r="Z30" s="1196"/>
      <c r="AA30" s="1196"/>
      <c r="AB30" s="1196"/>
      <c r="AC30" s="1196"/>
      <c r="AD30" s="1196"/>
      <c r="AE30" s="1196"/>
      <c r="AF30" s="1196"/>
      <c r="AG30" s="1196"/>
      <c r="AH30" s="1196"/>
      <c r="AI30" s="1196"/>
      <c r="AJ30" s="1196"/>
      <c r="AK30" s="1196"/>
      <c r="AL30" s="1196"/>
      <c r="AM30" s="585"/>
      <c r="AN30" s="585"/>
      <c r="AO30" s="585"/>
      <c r="AP30" s="585"/>
      <c r="AQ30" s="585"/>
      <c r="AR30" s="585"/>
      <c r="AS30" s="585"/>
      <c r="AT30" s="585"/>
      <c r="AU30" s="584"/>
      <c r="AV30" s="585"/>
      <c r="AW30" s="585"/>
      <c r="AX30" s="586"/>
      <c r="AY30" s="584"/>
      <c r="AZ30" s="585"/>
      <c r="BA30" s="585"/>
      <c r="BB30" s="586"/>
      <c r="BC30" s="584"/>
      <c r="BD30" s="585"/>
      <c r="BE30" s="585">
        <f>SUM(BE27:BE29)</f>
        <v>12</v>
      </c>
      <c r="BF30" s="586">
        <f>SUM(BC30:BE30)</f>
        <v>12</v>
      </c>
      <c r="BG30" s="584"/>
      <c r="BH30" s="585"/>
      <c r="BI30" s="585">
        <f>SUM(BI27:BI29)</f>
        <v>12</v>
      </c>
      <c r="BJ30" s="586">
        <f>SUM(BG30:BI30)</f>
        <v>12</v>
      </c>
      <c r="BK30" s="585">
        <f>SUM(BK27:BK29)</f>
        <v>0</v>
      </c>
      <c r="BL30" s="585">
        <f>SUM(BL27:BL29)</f>
        <v>0</v>
      </c>
      <c r="BM30" s="585">
        <f>SUM(BM27:BM29)</f>
        <v>20</v>
      </c>
      <c r="BN30" s="586">
        <f>SUM(BK30:BM30)</f>
        <v>20</v>
      </c>
      <c r="BO30" s="585">
        <f>SUM(BO27:BO29)</f>
        <v>0</v>
      </c>
      <c r="BP30" s="585">
        <f>SUM(BP27:BP29)</f>
        <v>0</v>
      </c>
      <c r="BQ30" s="585">
        <f>SUM(BQ27:BQ29)</f>
        <v>18</v>
      </c>
      <c r="BR30" s="586">
        <f>SUM(BO30:BQ30)</f>
        <v>18</v>
      </c>
    </row>
    <row r="31" spans="1:70" s="224" customFormat="1" ht="15" x14ac:dyDescent="0.2">
      <c r="A31" s="5484" t="s">
        <v>74</v>
      </c>
      <c r="B31" s="1067" t="s">
        <v>631</v>
      </c>
      <c r="C31" s="1334"/>
      <c r="D31" s="1335"/>
      <c r="E31" s="1335"/>
      <c r="F31" s="1336"/>
      <c r="G31" s="1334"/>
      <c r="H31" s="1335"/>
      <c r="I31" s="1335"/>
      <c r="J31" s="1336"/>
      <c r="K31" s="1334"/>
      <c r="L31" s="1335"/>
      <c r="M31" s="1335"/>
      <c r="N31" s="1336"/>
      <c r="O31" s="1334"/>
      <c r="P31" s="1335"/>
      <c r="Q31" s="1335"/>
      <c r="R31" s="1336"/>
      <c r="S31" s="1334"/>
      <c r="T31" s="1335"/>
      <c r="U31" s="1335"/>
      <c r="V31" s="1336"/>
      <c r="W31" s="1334"/>
      <c r="X31" s="1335"/>
      <c r="Y31" s="1335"/>
      <c r="Z31" s="1337"/>
      <c r="AA31" s="1334"/>
      <c r="AB31" s="1335"/>
      <c r="AC31" s="1335"/>
      <c r="AD31" s="1336"/>
      <c r="AE31" s="1335"/>
      <c r="AF31" s="1335"/>
      <c r="AG31" s="1335"/>
      <c r="AH31" s="1336"/>
      <c r="AI31" s="1335"/>
      <c r="AJ31" s="1335"/>
      <c r="AK31" s="1335"/>
      <c r="AL31" s="1809"/>
      <c r="AM31" s="1068"/>
      <c r="AN31" s="1069"/>
      <c r="AO31" s="1069"/>
      <c r="AP31" s="1086"/>
      <c r="AQ31" s="1068"/>
      <c r="AR31" s="1069"/>
      <c r="AS31" s="1069"/>
      <c r="AT31" s="1069"/>
      <c r="AU31" s="1068"/>
      <c r="AV31" s="1069"/>
      <c r="AW31" s="1069"/>
      <c r="AX31" s="1086"/>
      <c r="AY31" s="1068"/>
      <c r="AZ31" s="1069"/>
      <c r="BA31" s="1069"/>
      <c r="BB31" s="1086"/>
      <c r="BC31" s="1068"/>
      <c r="BD31" s="1069">
        <f>SUM('INSC-POSG plan'!BF53)</f>
        <v>2</v>
      </c>
      <c r="BE31" s="1069">
        <f>SUM('INSC-POSG plan'!BG53)</f>
        <v>1</v>
      </c>
      <c r="BF31" s="1086">
        <f>SUM(BC31:BE31)</f>
        <v>3</v>
      </c>
      <c r="BG31" s="1068">
        <f>SUM('INSC-POSG plan'!BI53)</f>
        <v>1</v>
      </c>
      <c r="BH31" s="1069"/>
      <c r="BI31" s="1069">
        <f>SUM('INSC-POSG plan'!BK53)</f>
        <v>1</v>
      </c>
      <c r="BJ31" s="1086">
        <f>SUM(BG31:BI31)</f>
        <v>2</v>
      </c>
      <c r="BK31" s="1068">
        <f>SUM('INSC-POSG plan'!BM53)</f>
        <v>2</v>
      </c>
      <c r="BL31" s="1069">
        <f>SUM('INSC-POSG plan'!BN53)</f>
        <v>0</v>
      </c>
      <c r="BM31" s="1069">
        <f>SUM('INSC-POSG plan'!BO53)</f>
        <v>1</v>
      </c>
      <c r="BN31" s="1086">
        <f>SUM(BK31:BM31)</f>
        <v>3</v>
      </c>
      <c r="BO31" s="1068">
        <f>SUM('INSC-POSG plan'!BQ53)</f>
        <v>2</v>
      </c>
      <c r="BP31" s="1069">
        <f>SUM('INSC-POSG plan'!BR53)</f>
        <v>1</v>
      </c>
      <c r="BQ31" s="1069">
        <f>SUM('INSC-POSG plan'!BS53)</f>
        <v>4</v>
      </c>
      <c r="BR31" s="1086">
        <f>SUM(BO31:BQ31)</f>
        <v>7</v>
      </c>
    </row>
    <row r="32" spans="1:70" s="224" customFormat="1" ht="15" x14ac:dyDescent="0.2">
      <c r="A32" s="5484"/>
      <c r="B32" s="1072" t="s">
        <v>632</v>
      </c>
      <c r="C32" s="1338"/>
      <c r="D32" s="1339"/>
      <c r="E32" s="1339"/>
      <c r="F32" s="1340"/>
      <c r="G32" s="1338"/>
      <c r="H32" s="1339"/>
      <c r="I32" s="1339"/>
      <c r="J32" s="1340"/>
      <c r="K32" s="1338"/>
      <c r="L32" s="1339"/>
      <c r="M32" s="1339"/>
      <c r="N32" s="1340"/>
      <c r="O32" s="1338"/>
      <c r="P32" s="1339"/>
      <c r="Q32" s="1339"/>
      <c r="R32" s="1340"/>
      <c r="S32" s="1338"/>
      <c r="T32" s="1339"/>
      <c r="U32" s="1339"/>
      <c r="V32" s="1340"/>
      <c r="W32" s="1338"/>
      <c r="X32" s="1339"/>
      <c r="Y32" s="1339"/>
      <c r="Z32" s="1341"/>
      <c r="AA32" s="1338"/>
      <c r="AB32" s="1339"/>
      <c r="AC32" s="1339"/>
      <c r="AD32" s="1340"/>
      <c r="AE32" s="1339"/>
      <c r="AF32" s="1339"/>
      <c r="AG32" s="1339"/>
      <c r="AH32" s="1340"/>
      <c r="AI32" s="1339"/>
      <c r="AJ32" s="1339"/>
      <c r="AK32" s="1339"/>
      <c r="AL32" s="1810"/>
      <c r="AM32" s="1073"/>
      <c r="AN32" s="1074"/>
      <c r="AO32" s="1074"/>
      <c r="AP32" s="1077"/>
      <c r="AQ32" s="1073"/>
      <c r="AR32" s="1074"/>
      <c r="AS32" s="1074"/>
      <c r="AT32" s="1074"/>
      <c r="AU32" s="1073"/>
      <c r="AV32" s="1074"/>
      <c r="AW32" s="1074"/>
      <c r="AX32" s="1077"/>
      <c r="AY32" s="1073"/>
      <c r="AZ32" s="1074"/>
      <c r="BA32" s="1074"/>
      <c r="BB32" s="1077"/>
      <c r="BC32" s="1073"/>
      <c r="BD32" s="1074"/>
      <c r="BE32" s="1074">
        <f>SUM('INSC-POSG plan'!BG54)</f>
        <v>9</v>
      </c>
      <c r="BF32" s="1077">
        <f>SUM(BC32:BE32)</f>
        <v>9</v>
      </c>
      <c r="BG32" s="1073"/>
      <c r="BH32" s="1074"/>
      <c r="BI32" s="1074">
        <f>SUM('INSC-POSG plan'!BK54)</f>
        <v>13</v>
      </c>
      <c r="BJ32" s="1077">
        <f>SUM(BG32:BI32)</f>
        <v>13</v>
      </c>
      <c r="BK32" s="1073">
        <f>SUM('INSC-POSG plan'!BM54)</f>
        <v>0</v>
      </c>
      <c r="BL32" s="1074">
        <f>SUM('INSC-POSG plan'!BN54)</f>
        <v>0</v>
      </c>
      <c r="BM32" s="1074">
        <f>SUM('INSC-POSG plan'!BO54)</f>
        <v>12</v>
      </c>
      <c r="BN32" s="1077">
        <f>SUM(BK32:BM32)</f>
        <v>12</v>
      </c>
      <c r="BO32" s="1073">
        <f>SUM('INSC-POSG plan'!BQ54)</f>
        <v>0</v>
      </c>
      <c r="BP32" s="1074">
        <f>SUM('INSC-POSG plan'!BR54)</f>
        <v>0</v>
      </c>
      <c r="BQ32" s="1074">
        <f>SUM('INSC-POSG plan'!BS54)</f>
        <v>13</v>
      </c>
      <c r="BR32" s="1077">
        <f>SUM(BO32:BQ32)</f>
        <v>13</v>
      </c>
    </row>
    <row r="33" spans="1:70" s="224" customFormat="1" ht="15" x14ac:dyDescent="0.2">
      <c r="A33" s="5484"/>
      <c r="B33" s="1078" t="s">
        <v>633</v>
      </c>
      <c r="C33" s="1349"/>
      <c r="D33" s="1350"/>
      <c r="E33" s="1350"/>
      <c r="F33" s="1351"/>
      <c r="G33" s="1349"/>
      <c r="H33" s="1350"/>
      <c r="I33" s="1350"/>
      <c r="J33" s="1351"/>
      <c r="K33" s="1349"/>
      <c r="L33" s="1350"/>
      <c r="M33" s="1350"/>
      <c r="N33" s="1351"/>
      <c r="O33" s="1349"/>
      <c r="P33" s="1350"/>
      <c r="Q33" s="1350"/>
      <c r="R33" s="1351"/>
      <c r="S33" s="1349"/>
      <c r="T33" s="1350"/>
      <c r="U33" s="1350"/>
      <c r="V33" s="1351"/>
      <c r="W33" s="1349"/>
      <c r="X33" s="1350"/>
      <c r="Y33" s="1350"/>
      <c r="Z33" s="1352"/>
      <c r="AA33" s="1349"/>
      <c r="AB33" s="1350"/>
      <c r="AC33" s="1350"/>
      <c r="AD33" s="1351"/>
      <c r="AE33" s="1350"/>
      <c r="AF33" s="1350"/>
      <c r="AG33" s="1350"/>
      <c r="AH33" s="1351"/>
      <c r="AI33" s="1350"/>
      <c r="AJ33" s="1350"/>
      <c r="AK33" s="1350"/>
      <c r="AL33" s="1811"/>
      <c r="AM33" s="1079"/>
      <c r="AN33" s="1080"/>
      <c r="AO33" s="1080"/>
      <c r="AP33" s="1083"/>
      <c r="AQ33" s="1079"/>
      <c r="AR33" s="1080"/>
      <c r="AS33" s="1080"/>
      <c r="AT33" s="1080"/>
      <c r="AU33" s="1079"/>
      <c r="AV33" s="1080"/>
      <c r="AW33" s="1080"/>
      <c r="AX33" s="1083"/>
      <c r="AY33" s="1079"/>
      <c r="AZ33" s="1080"/>
      <c r="BA33" s="1080"/>
      <c r="BB33" s="1083"/>
      <c r="BC33" s="1079"/>
      <c r="BD33" s="1080">
        <f>SUM('INSC-POSG plan'!BF55)</f>
        <v>2</v>
      </c>
      <c r="BE33" s="1080">
        <f>SUM('INSC-POSG plan'!BG55)</f>
        <v>5</v>
      </c>
      <c r="BF33" s="1083">
        <f>SUM(BC33:BE33)</f>
        <v>7</v>
      </c>
      <c r="BG33" s="1079">
        <f>SUM('INSC-POSG plan'!BI55)</f>
        <v>2</v>
      </c>
      <c r="BH33" s="1080">
        <f>SUM('INSC-POSG plan'!BJ55)</f>
        <v>2</v>
      </c>
      <c r="BI33" s="1080">
        <f>SUM('INSC-POSG plan'!BK55)</f>
        <v>2</v>
      </c>
      <c r="BJ33" s="1083">
        <f>SUM(BG33:BI33)</f>
        <v>6</v>
      </c>
      <c r="BK33" s="1079">
        <f>SUM('INSC-POSG plan'!BM55)</f>
        <v>2</v>
      </c>
      <c r="BL33" s="1080">
        <f>SUM('INSC-POSG plan'!BN55)</f>
        <v>4</v>
      </c>
      <c r="BM33" s="1080">
        <f>SUM('INSC-POSG plan'!BO55)</f>
        <v>2</v>
      </c>
      <c r="BN33" s="1083">
        <f>SUM(BK33:BM33)</f>
        <v>8</v>
      </c>
      <c r="BO33" s="1079">
        <f>SUM('INSC-POSG plan'!BQ55)</f>
        <v>3</v>
      </c>
      <c r="BP33" s="1080">
        <f>SUM('INSC-POSG plan'!BR55)</f>
        <v>3</v>
      </c>
      <c r="BQ33" s="1080">
        <f>SUM('INSC-POSG plan'!BS55)</f>
        <v>6</v>
      </c>
      <c r="BR33" s="1083">
        <f>SUM(BO33:BQ33)</f>
        <v>12</v>
      </c>
    </row>
    <row r="34" spans="1:70" s="224" customFormat="1" ht="15" x14ac:dyDescent="0.2">
      <c r="A34" s="5485"/>
      <c r="B34" s="583" t="s">
        <v>421</v>
      </c>
      <c r="C34" s="1196"/>
      <c r="D34" s="1196"/>
      <c r="E34" s="1196"/>
      <c r="F34" s="1196"/>
      <c r="G34" s="1196"/>
      <c r="H34" s="1196"/>
      <c r="I34" s="1196"/>
      <c r="J34" s="1196"/>
      <c r="K34" s="1196"/>
      <c r="L34" s="1196"/>
      <c r="M34" s="1196"/>
      <c r="N34" s="1196"/>
      <c r="O34" s="1196"/>
      <c r="P34" s="1196"/>
      <c r="Q34" s="1196"/>
      <c r="R34" s="1196"/>
      <c r="S34" s="1196"/>
      <c r="T34" s="1196"/>
      <c r="U34" s="1196"/>
      <c r="V34" s="1196"/>
      <c r="W34" s="1196"/>
      <c r="X34" s="1196"/>
      <c r="Y34" s="1196"/>
      <c r="Z34" s="1196"/>
      <c r="AA34" s="1196"/>
      <c r="AB34" s="1196"/>
      <c r="AC34" s="1196"/>
      <c r="AD34" s="1196"/>
      <c r="AE34" s="1196"/>
      <c r="AF34" s="1196"/>
      <c r="AG34" s="1196"/>
      <c r="AH34" s="1196"/>
      <c r="AI34" s="1196"/>
      <c r="AJ34" s="1196"/>
      <c r="AK34" s="1196"/>
      <c r="AL34" s="1196"/>
      <c r="AM34" s="585"/>
      <c r="AN34" s="585"/>
      <c r="AO34" s="585"/>
      <c r="AP34" s="585"/>
      <c r="AQ34" s="585"/>
      <c r="AR34" s="585"/>
      <c r="AS34" s="585"/>
      <c r="AT34" s="585"/>
      <c r="AU34" s="584"/>
      <c r="AV34" s="585"/>
      <c r="AW34" s="585"/>
      <c r="AX34" s="586"/>
      <c r="AY34" s="584"/>
      <c r="AZ34" s="585"/>
      <c r="BA34" s="585"/>
      <c r="BB34" s="586"/>
      <c r="BC34" s="584"/>
      <c r="BD34" s="585">
        <f>SUM(BD31:BD33)</f>
        <v>4</v>
      </c>
      <c r="BE34" s="585">
        <f>SUM(BE31:BE33)</f>
        <v>15</v>
      </c>
      <c r="BF34" s="586">
        <f>SUM(BC34:BE34)</f>
        <v>19</v>
      </c>
      <c r="BG34" s="584">
        <f>SUM(BG31:BG33)</f>
        <v>3</v>
      </c>
      <c r="BH34" s="585">
        <f>SUM(BH31:BH33)</f>
        <v>2</v>
      </c>
      <c r="BI34" s="585">
        <f>SUM(BI31:BI33)</f>
        <v>16</v>
      </c>
      <c r="BJ34" s="586">
        <f>SUM(BG34:BI34)</f>
        <v>21</v>
      </c>
      <c r="BK34" s="584">
        <f>SUM(BK31:BK33)</f>
        <v>4</v>
      </c>
      <c r="BL34" s="585">
        <f>SUM(BL31:BL33)</f>
        <v>4</v>
      </c>
      <c r="BM34" s="585">
        <f>SUM(BM31:BM33)</f>
        <v>15</v>
      </c>
      <c r="BN34" s="586">
        <f>SUM(BK34:BM34)</f>
        <v>23</v>
      </c>
      <c r="BO34" s="584">
        <f>SUM(BO31:BO33)</f>
        <v>5</v>
      </c>
      <c r="BP34" s="585">
        <f>SUM(BP31:BP33)</f>
        <v>4</v>
      </c>
      <c r="BQ34" s="585">
        <f>SUM(BQ31:BQ33)</f>
        <v>23</v>
      </c>
      <c r="BR34" s="586">
        <f>SUM(BO34:BQ34)</f>
        <v>32</v>
      </c>
    </row>
    <row r="35" spans="1:70" s="224" customFormat="1" ht="15" x14ac:dyDescent="0.2">
      <c r="A35" s="5486" t="s">
        <v>695</v>
      </c>
      <c r="B35" s="1067" t="s">
        <v>631</v>
      </c>
      <c r="C35" s="1334"/>
      <c r="D35" s="1335"/>
      <c r="E35" s="1335"/>
      <c r="F35" s="1336"/>
      <c r="G35" s="1334"/>
      <c r="H35" s="1335"/>
      <c r="I35" s="1335"/>
      <c r="J35" s="1336"/>
      <c r="K35" s="1334"/>
      <c r="L35" s="1335"/>
      <c r="M35" s="1335"/>
      <c r="N35" s="1336"/>
      <c r="O35" s="1334"/>
      <c r="P35" s="1335"/>
      <c r="Q35" s="1335"/>
      <c r="R35" s="1336"/>
      <c r="S35" s="1334"/>
      <c r="T35" s="1335"/>
      <c r="U35" s="1335"/>
      <c r="V35" s="1336"/>
      <c r="W35" s="1334"/>
      <c r="X35" s="1335"/>
      <c r="Y35" s="1335"/>
      <c r="Z35" s="1337"/>
      <c r="AA35" s="1334"/>
      <c r="AB35" s="1335"/>
      <c r="AC35" s="1335"/>
      <c r="AD35" s="1336"/>
      <c r="AE35" s="1335"/>
      <c r="AF35" s="1335"/>
      <c r="AG35" s="1335"/>
      <c r="AH35" s="1336"/>
      <c r="AI35" s="1335"/>
      <c r="AJ35" s="1335"/>
      <c r="AK35" s="1335"/>
      <c r="AL35" s="1809"/>
      <c r="AM35" s="1068"/>
      <c r="AN35" s="1069"/>
      <c r="AO35" s="1069"/>
      <c r="AP35" s="1086"/>
      <c r="AQ35" s="1068"/>
      <c r="AR35" s="1069"/>
      <c r="AS35" s="1069"/>
      <c r="AT35" s="1069"/>
      <c r="AU35" s="1068"/>
      <c r="AV35" s="1069"/>
      <c r="AW35" s="1069"/>
      <c r="AX35" s="1086"/>
      <c r="AY35" s="1068"/>
      <c r="AZ35" s="1069"/>
      <c r="BA35" s="1069"/>
      <c r="BB35" s="1086"/>
      <c r="BC35" s="1068"/>
      <c r="BD35" s="1069">
        <f t="shared" ref="BC35:BG37" si="27">SUM(BD23,BD27,BD31)</f>
        <v>2</v>
      </c>
      <c r="BE35" s="1069">
        <f t="shared" si="27"/>
        <v>1</v>
      </c>
      <c r="BF35" s="1086">
        <f t="shared" si="27"/>
        <v>3</v>
      </c>
      <c r="BG35" s="1068">
        <f>SUM(BG23,BG27,BG31)</f>
        <v>1</v>
      </c>
      <c r="BH35" s="1069"/>
      <c r="BI35" s="1069">
        <f t="shared" ref="BI35:BM37" si="28">SUM(BI23,BI27,BI31)</f>
        <v>1</v>
      </c>
      <c r="BJ35" s="1086">
        <f t="shared" si="28"/>
        <v>2</v>
      </c>
      <c r="BK35" s="1068">
        <f t="shared" ref="BK35:BR35" si="29">SUM(BK23,BK27,BK31)</f>
        <v>2</v>
      </c>
      <c r="BL35" s="1069">
        <f t="shared" si="29"/>
        <v>0</v>
      </c>
      <c r="BM35" s="1069">
        <f t="shared" si="29"/>
        <v>1</v>
      </c>
      <c r="BN35" s="1086">
        <f t="shared" si="29"/>
        <v>3</v>
      </c>
      <c r="BO35" s="1068">
        <f t="shared" si="29"/>
        <v>2</v>
      </c>
      <c r="BP35" s="1069">
        <f t="shared" si="29"/>
        <v>1</v>
      </c>
      <c r="BQ35" s="1069">
        <f t="shared" si="29"/>
        <v>4</v>
      </c>
      <c r="BR35" s="1086">
        <f t="shared" si="29"/>
        <v>7</v>
      </c>
    </row>
    <row r="36" spans="1:70" s="224" customFormat="1" ht="15" x14ac:dyDescent="0.2">
      <c r="A36" s="5487"/>
      <c r="B36" s="1072" t="s">
        <v>632</v>
      </c>
      <c r="C36" s="1338"/>
      <c r="D36" s="1339"/>
      <c r="E36" s="1339"/>
      <c r="F36" s="1340"/>
      <c r="G36" s="1338"/>
      <c r="H36" s="1339"/>
      <c r="I36" s="1339"/>
      <c r="J36" s="1340"/>
      <c r="K36" s="1338"/>
      <c r="L36" s="1339"/>
      <c r="M36" s="1339"/>
      <c r="N36" s="1340"/>
      <c r="O36" s="1338"/>
      <c r="P36" s="1339"/>
      <c r="Q36" s="1339"/>
      <c r="R36" s="1340"/>
      <c r="S36" s="1338"/>
      <c r="T36" s="1339"/>
      <c r="U36" s="1339"/>
      <c r="V36" s="1340"/>
      <c r="W36" s="1338"/>
      <c r="X36" s="1339"/>
      <c r="Y36" s="1339"/>
      <c r="Z36" s="1341"/>
      <c r="AA36" s="1338"/>
      <c r="AB36" s="1339"/>
      <c r="AC36" s="1339"/>
      <c r="AD36" s="1340"/>
      <c r="AE36" s="1339"/>
      <c r="AF36" s="1339"/>
      <c r="AG36" s="1339"/>
      <c r="AH36" s="1340"/>
      <c r="AI36" s="1339"/>
      <c r="AJ36" s="1339"/>
      <c r="AK36" s="1339"/>
      <c r="AL36" s="1810"/>
      <c r="AM36" s="1073"/>
      <c r="AN36" s="1074"/>
      <c r="AO36" s="1074"/>
      <c r="AP36" s="1077"/>
      <c r="AQ36" s="1073"/>
      <c r="AR36" s="1074"/>
      <c r="AS36" s="1074"/>
      <c r="AT36" s="1074"/>
      <c r="AU36" s="1073"/>
      <c r="AV36" s="1074"/>
      <c r="AW36" s="1074"/>
      <c r="AX36" s="1077"/>
      <c r="AY36" s="1073"/>
      <c r="AZ36" s="1074"/>
      <c r="BA36" s="1074"/>
      <c r="BB36" s="1077"/>
      <c r="BC36" s="1073">
        <f t="shared" si="27"/>
        <v>13</v>
      </c>
      <c r="BD36" s="1074">
        <f t="shared" si="27"/>
        <v>0</v>
      </c>
      <c r="BE36" s="1074">
        <f t="shared" si="27"/>
        <v>21</v>
      </c>
      <c r="BF36" s="1077">
        <f t="shared" si="27"/>
        <v>34</v>
      </c>
      <c r="BG36" s="1073">
        <f t="shared" si="27"/>
        <v>23</v>
      </c>
      <c r="BH36" s="1074"/>
      <c r="BI36" s="1074">
        <f t="shared" si="28"/>
        <v>25</v>
      </c>
      <c r="BJ36" s="1077">
        <f t="shared" si="28"/>
        <v>48</v>
      </c>
      <c r="BK36" s="1073">
        <f t="shared" si="28"/>
        <v>0</v>
      </c>
      <c r="BL36" s="1074">
        <f t="shared" si="28"/>
        <v>0</v>
      </c>
      <c r="BM36" s="1074">
        <f t="shared" si="28"/>
        <v>45</v>
      </c>
      <c r="BN36" s="1077">
        <f>SUM(BN24,BN28,BN32)</f>
        <v>45</v>
      </c>
      <c r="BO36" s="1073">
        <f t="shared" ref="BO36:BQ36" si="30">SUM(BO24,BO28,BO32)</f>
        <v>0</v>
      </c>
      <c r="BP36" s="1074">
        <f t="shared" si="30"/>
        <v>0</v>
      </c>
      <c r="BQ36" s="1074">
        <f t="shared" si="30"/>
        <v>52</v>
      </c>
      <c r="BR36" s="1077">
        <f>SUM(BR24,BR28,BR32)</f>
        <v>52</v>
      </c>
    </row>
    <row r="37" spans="1:70" s="224" customFormat="1" ht="15" x14ac:dyDescent="0.2">
      <c r="A37" s="5487"/>
      <c r="B37" s="1078" t="s">
        <v>633</v>
      </c>
      <c r="C37" s="1349"/>
      <c r="D37" s="1350"/>
      <c r="E37" s="1350"/>
      <c r="F37" s="1351"/>
      <c r="G37" s="1349"/>
      <c r="H37" s="1350"/>
      <c r="I37" s="1350"/>
      <c r="J37" s="1351"/>
      <c r="K37" s="1349"/>
      <c r="L37" s="1350"/>
      <c r="M37" s="1350"/>
      <c r="N37" s="1351"/>
      <c r="O37" s="1349"/>
      <c r="P37" s="1350"/>
      <c r="Q37" s="1350"/>
      <c r="R37" s="1351"/>
      <c r="S37" s="1349"/>
      <c r="T37" s="1350"/>
      <c r="U37" s="1350"/>
      <c r="V37" s="1351"/>
      <c r="W37" s="1349"/>
      <c r="X37" s="1350"/>
      <c r="Y37" s="1350"/>
      <c r="Z37" s="1352"/>
      <c r="AA37" s="1349"/>
      <c r="AB37" s="1350"/>
      <c r="AC37" s="1350"/>
      <c r="AD37" s="1351"/>
      <c r="AE37" s="1350"/>
      <c r="AF37" s="1350"/>
      <c r="AG37" s="1350"/>
      <c r="AH37" s="1351"/>
      <c r="AI37" s="1350"/>
      <c r="AJ37" s="1350"/>
      <c r="AK37" s="1350"/>
      <c r="AL37" s="1811"/>
      <c r="AM37" s="1079"/>
      <c r="AN37" s="1080"/>
      <c r="AO37" s="1080"/>
      <c r="AP37" s="1083"/>
      <c r="AQ37" s="1079"/>
      <c r="AR37" s="1080"/>
      <c r="AS37" s="1080"/>
      <c r="AT37" s="1080"/>
      <c r="AU37" s="1079"/>
      <c r="AV37" s="1080"/>
      <c r="AW37" s="1080"/>
      <c r="AX37" s="1083"/>
      <c r="AY37" s="1079"/>
      <c r="AZ37" s="1080"/>
      <c r="BA37" s="1080"/>
      <c r="BB37" s="1083"/>
      <c r="BC37" s="1079">
        <f t="shared" si="27"/>
        <v>10</v>
      </c>
      <c r="BD37" s="1080">
        <f t="shared" si="27"/>
        <v>2</v>
      </c>
      <c r="BE37" s="1080">
        <f t="shared" si="27"/>
        <v>5</v>
      </c>
      <c r="BF37" s="1083">
        <f t="shared" si="27"/>
        <v>17</v>
      </c>
      <c r="BG37" s="1079">
        <f t="shared" si="27"/>
        <v>2</v>
      </c>
      <c r="BH37" s="1080">
        <f>SUM(BH25,BH29,BH33)</f>
        <v>4</v>
      </c>
      <c r="BI37" s="1080">
        <f t="shared" si="28"/>
        <v>17</v>
      </c>
      <c r="BJ37" s="1083">
        <f t="shared" si="28"/>
        <v>23</v>
      </c>
      <c r="BK37" s="1079">
        <f t="shared" si="28"/>
        <v>2</v>
      </c>
      <c r="BL37" s="1080">
        <f>SUM(BL25,BL29,BL33)</f>
        <v>4</v>
      </c>
      <c r="BM37" s="1080">
        <f>SUM(BM25,BM29,BM33)</f>
        <v>19</v>
      </c>
      <c r="BN37" s="1083">
        <f>SUM(BN25,BN29,BN33)</f>
        <v>25</v>
      </c>
      <c r="BO37" s="1079">
        <f t="shared" ref="BO37" si="31">SUM(BO25,BO29,BO33)</f>
        <v>3</v>
      </c>
      <c r="BP37" s="1080">
        <f>SUM(BP25,BP29,BP33)</f>
        <v>3</v>
      </c>
      <c r="BQ37" s="1080">
        <f>SUM(BQ25,BQ29,BQ33)</f>
        <v>25</v>
      </c>
      <c r="BR37" s="1083">
        <f>SUM(BR25,BR29,BR33)</f>
        <v>31</v>
      </c>
    </row>
    <row r="38" spans="1:70" s="224" customFormat="1" ht="15" x14ac:dyDescent="0.2">
      <c r="A38" s="5488"/>
      <c r="B38" s="2615" t="s">
        <v>12</v>
      </c>
      <c r="C38" s="2617"/>
      <c r="D38" s="2617"/>
      <c r="E38" s="2617"/>
      <c r="F38" s="2617"/>
      <c r="G38" s="2617"/>
      <c r="H38" s="2617"/>
      <c r="I38" s="2617"/>
      <c r="J38" s="2617"/>
      <c r="K38" s="2617"/>
      <c r="L38" s="2617"/>
      <c r="M38" s="2617"/>
      <c r="N38" s="2617"/>
      <c r="O38" s="2617"/>
      <c r="P38" s="2617"/>
      <c r="Q38" s="2617"/>
      <c r="R38" s="2617"/>
      <c r="S38" s="2617"/>
      <c r="T38" s="2617"/>
      <c r="U38" s="2617"/>
      <c r="V38" s="2617"/>
      <c r="W38" s="2617"/>
      <c r="X38" s="2617"/>
      <c r="Y38" s="2617"/>
      <c r="Z38" s="2617"/>
      <c r="AA38" s="2617"/>
      <c r="AB38" s="2617"/>
      <c r="AC38" s="2617"/>
      <c r="AD38" s="2617"/>
      <c r="AE38" s="2617"/>
      <c r="AF38" s="2617"/>
      <c r="AG38" s="2617"/>
      <c r="AH38" s="2617"/>
      <c r="AI38" s="2617"/>
      <c r="AJ38" s="2617"/>
      <c r="AK38" s="2617"/>
      <c r="AL38" s="2617"/>
      <c r="AM38" s="2617"/>
      <c r="AN38" s="2617"/>
      <c r="AO38" s="2617"/>
      <c r="AP38" s="2617"/>
      <c r="AQ38" s="2617"/>
      <c r="AR38" s="2617"/>
      <c r="AS38" s="2617"/>
      <c r="AT38" s="2617"/>
      <c r="AU38" s="2616"/>
      <c r="AV38" s="2617"/>
      <c r="AW38" s="2617"/>
      <c r="AX38" s="2618"/>
      <c r="AY38" s="2616"/>
      <c r="AZ38" s="2617"/>
      <c r="BA38" s="2617"/>
      <c r="BB38" s="2618"/>
      <c r="BC38" s="2616">
        <f>SUM(BC35:BC37)</f>
        <v>23</v>
      </c>
      <c r="BD38" s="2617">
        <f>SUM(BD35:BD37)</f>
        <v>4</v>
      </c>
      <c r="BE38" s="2617">
        <f>SUM(BE35:BE37)</f>
        <v>27</v>
      </c>
      <c r="BF38" s="2618">
        <f>SUM(BC38:BE38)</f>
        <v>54</v>
      </c>
      <c r="BG38" s="2616">
        <f>SUM(BG35:BG37)</f>
        <v>26</v>
      </c>
      <c r="BH38" s="2617">
        <f>SUM(BH35:BH37)</f>
        <v>4</v>
      </c>
      <c r="BI38" s="2617">
        <f>SUM(BI35:BI37)</f>
        <v>43</v>
      </c>
      <c r="BJ38" s="2618">
        <f>SUM(BG38:BI38)</f>
        <v>73</v>
      </c>
      <c r="BK38" s="2616">
        <f>SUM(BK35:BK37)</f>
        <v>4</v>
      </c>
      <c r="BL38" s="2617">
        <f>SUM(BL35:BL37)</f>
        <v>4</v>
      </c>
      <c r="BM38" s="2617">
        <f>SUM(BM35:BM37)</f>
        <v>65</v>
      </c>
      <c r="BN38" s="2618">
        <f>SUM(BK38:BM38)</f>
        <v>73</v>
      </c>
      <c r="BO38" s="2616">
        <f>SUM(BO35:BO37)</f>
        <v>5</v>
      </c>
      <c r="BP38" s="2617">
        <f>SUM(BP35:BP37)</f>
        <v>4</v>
      </c>
      <c r="BQ38" s="2617">
        <f>SUM(BQ35:BQ37)</f>
        <v>81</v>
      </c>
      <c r="BR38" s="2618">
        <f>SUM(BO38:BQ38)</f>
        <v>90</v>
      </c>
    </row>
    <row r="39" spans="1:70" s="224" customFormat="1" ht="15" x14ac:dyDescent="0.2">
      <c r="A39" s="936"/>
      <c r="B39" s="936"/>
      <c r="C39" s="936"/>
      <c r="D39" s="936"/>
      <c r="E39" s="936"/>
      <c r="F39" s="936"/>
      <c r="G39" s="936"/>
      <c r="H39" s="936"/>
      <c r="I39" s="936"/>
      <c r="J39" s="936"/>
      <c r="K39" s="936"/>
      <c r="L39" s="936"/>
      <c r="M39" s="936"/>
      <c r="N39" s="936"/>
      <c r="O39" s="936"/>
      <c r="P39" s="936"/>
      <c r="Q39" s="936"/>
      <c r="R39" s="936"/>
      <c r="S39" s="936"/>
      <c r="T39" s="936"/>
      <c r="U39" s="936"/>
      <c r="V39" s="936"/>
      <c r="W39" s="936"/>
      <c r="X39" s="936"/>
      <c r="Y39" s="936"/>
      <c r="Z39" s="936"/>
      <c r="AA39" s="936"/>
      <c r="AB39" s="936"/>
      <c r="AC39" s="936"/>
      <c r="AD39" s="936"/>
      <c r="AE39" s="936"/>
      <c r="AF39" s="936"/>
      <c r="AG39" s="936"/>
      <c r="AH39" s="936"/>
      <c r="AI39" s="936"/>
      <c r="AJ39" s="936"/>
      <c r="AK39" s="936"/>
      <c r="AL39" s="263"/>
      <c r="AM39" s="936"/>
      <c r="AN39" s="936"/>
      <c r="AO39" s="936"/>
      <c r="AP39" s="263"/>
      <c r="AQ39" s="936"/>
      <c r="AR39" s="936"/>
      <c r="AS39" s="936"/>
      <c r="AT39" s="263"/>
      <c r="AU39" s="936"/>
      <c r="AV39" s="936"/>
      <c r="AW39" s="936"/>
      <c r="AX39" s="263"/>
      <c r="AY39" s="936"/>
      <c r="AZ39" s="936"/>
      <c r="BA39" s="936"/>
      <c r="BB39" s="263"/>
      <c r="BC39" s="936"/>
      <c r="BD39" s="936"/>
      <c r="BE39" s="936"/>
      <c r="BF39" s="263"/>
      <c r="BG39" s="936"/>
      <c r="BH39" s="936"/>
      <c r="BI39" s="936"/>
      <c r="BJ39" s="263"/>
      <c r="BK39" s="936"/>
      <c r="BL39" s="936"/>
      <c r="BM39" s="936"/>
      <c r="BN39" s="263"/>
      <c r="BO39" s="936"/>
      <c r="BP39" s="936"/>
      <c r="BQ39" s="936"/>
      <c r="BR39" s="263"/>
    </row>
    <row r="40" spans="1:70" ht="15" x14ac:dyDescent="0.2">
      <c r="A40" s="5473" t="s">
        <v>5</v>
      </c>
      <c r="B40" s="1067" t="s">
        <v>631</v>
      </c>
      <c r="C40" s="1334"/>
      <c r="D40" s="1335"/>
      <c r="E40" s="1335"/>
      <c r="F40" s="1336"/>
      <c r="G40" s="1334"/>
      <c r="H40" s="1335"/>
      <c r="I40" s="1335"/>
      <c r="J40" s="1336"/>
      <c r="K40" s="1334"/>
      <c r="L40" s="1335"/>
      <c r="M40" s="1335"/>
      <c r="N40" s="1336"/>
      <c r="O40" s="1334"/>
      <c r="P40" s="1335"/>
      <c r="Q40" s="1335"/>
      <c r="R40" s="1336"/>
      <c r="S40" s="1334"/>
      <c r="T40" s="1335"/>
      <c r="U40" s="1335"/>
      <c r="V40" s="1336"/>
      <c r="W40" s="1334"/>
      <c r="X40" s="1335"/>
      <c r="Y40" s="1335"/>
      <c r="Z40" s="1337"/>
      <c r="AA40" s="1334"/>
      <c r="AB40" s="1335"/>
      <c r="AC40" s="1335"/>
      <c r="AD40" s="1336"/>
      <c r="AE40" s="1335"/>
      <c r="AF40" s="1335"/>
      <c r="AG40" s="1335"/>
      <c r="AH40" s="1336"/>
      <c r="AI40" s="1335"/>
      <c r="AJ40" s="1335"/>
      <c r="AK40" s="1335"/>
      <c r="AL40" s="1809"/>
      <c r="AM40" s="1068"/>
      <c r="AN40" s="1069"/>
      <c r="AO40" s="1069"/>
      <c r="AP40" s="1086"/>
      <c r="AQ40" s="1068"/>
      <c r="AR40" s="1069"/>
      <c r="AS40" s="1069"/>
      <c r="AT40" s="1086"/>
      <c r="AU40" s="1068"/>
      <c r="AV40" s="1069"/>
      <c r="AW40" s="1069"/>
      <c r="AX40" s="1086"/>
      <c r="AY40" s="1068"/>
      <c r="AZ40" s="1069"/>
      <c r="BA40" s="1069"/>
      <c r="BB40" s="1086"/>
      <c r="BC40" s="1068"/>
      <c r="BD40" s="1069"/>
      <c r="BE40" s="1069"/>
      <c r="BF40" s="1086"/>
      <c r="BG40" s="1068"/>
      <c r="BH40" s="1069"/>
      <c r="BI40" s="1069"/>
      <c r="BJ40" s="1086"/>
      <c r="BK40" s="1068"/>
      <c r="BL40" s="1069"/>
      <c r="BM40" s="1069"/>
      <c r="BN40" s="1086"/>
      <c r="BO40" s="1068"/>
      <c r="BP40" s="1069"/>
      <c r="BQ40" s="1069"/>
      <c r="BR40" s="1086"/>
    </row>
    <row r="41" spans="1:70" ht="15" x14ac:dyDescent="0.2">
      <c r="A41" s="5474"/>
      <c r="B41" s="1072" t="s">
        <v>632</v>
      </c>
      <c r="C41" s="1338">
        <f>+'INSC-POSG plan'!E58+'INSC-POSG plan'!E59+'INSC-POSG plan'!E60+'INSC-POSG plan'!E61+'INSC-POSG plan'!E62+'INSC-POSG plan'!E63</f>
        <v>18</v>
      </c>
      <c r="D41" s="1339">
        <f>+'INSC-POSG plan'!F58+'INSC-POSG plan'!F59+'INSC-POSG plan'!F60+'INSC-POSG plan'!F61+'INSC-POSG plan'!F62+'INSC-POSG plan'!F63</f>
        <v>9</v>
      </c>
      <c r="E41" s="1339">
        <f>+'INSC-POSG plan'!G58+'INSC-POSG plan'!G59+'INSC-POSG plan'!G60+'INSC-POSG plan'!G61+'INSC-POSG plan'!G62+'INSC-POSG plan'!G63</f>
        <v>46</v>
      </c>
      <c r="F41" s="1340">
        <f t="shared" ref="F41:F77" si="32">SUM(C41:E41)</f>
        <v>73</v>
      </c>
      <c r="G41" s="1338">
        <f>+'INSC-POSG plan'!I58+'INSC-POSG plan'!I59+'INSC-POSG plan'!I60+'INSC-POSG plan'!I61+'INSC-POSG plan'!I62+'INSC-POSG plan'!I63</f>
        <v>27</v>
      </c>
      <c r="H41" s="1339">
        <f>+'INSC-POSG plan'!J58+'INSC-POSG plan'!J59+'INSC-POSG plan'!J60+'INSC-POSG plan'!J61+'INSC-POSG plan'!J62+'INSC-POSG plan'!J63</f>
        <v>12</v>
      </c>
      <c r="I41" s="1339">
        <f>+'INSC-POSG plan'!K58+'INSC-POSG plan'!K59+'INSC-POSG plan'!K60+'INSC-POSG plan'!K61+'INSC-POSG plan'!K62+'INSC-POSG plan'!K63</f>
        <v>36</v>
      </c>
      <c r="J41" s="1340">
        <f t="shared" ref="J41:J55" si="33">SUM(G41:I41)</f>
        <v>75</v>
      </c>
      <c r="K41" s="1338">
        <f>+'INSC-POSG plan'!M58+'INSC-POSG plan'!M59+'INSC-POSG plan'!M60+'INSC-POSG plan'!M61+'INSC-POSG plan'!M62+'INSC-POSG plan'!M63</f>
        <v>29</v>
      </c>
      <c r="L41" s="1339">
        <f>+'INSC-POSG plan'!N58+'INSC-POSG plan'!N59+'INSC-POSG plan'!N60+'INSC-POSG plan'!N61+'INSC-POSG plan'!N62+'INSC-POSG plan'!N63</f>
        <v>15</v>
      </c>
      <c r="M41" s="1339">
        <f>+'INSC-POSG plan'!O58+'INSC-POSG plan'!O59+'INSC-POSG plan'!O60+'INSC-POSG plan'!O61+'INSC-POSG plan'!O62+'INSC-POSG plan'!O63</f>
        <v>48</v>
      </c>
      <c r="N41" s="1340">
        <f t="shared" ref="N41:N55" si="34">SUM(K41:M41)</f>
        <v>92</v>
      </c>
      <c r="O41" s="1338">
        <f>+'INSC-POSG plan'!Q58+'INSC-POSG plan'!Q59+'INSC-POSG plan'!Q60+'INSC-POSG plan'!Q61+'INSC-POSG plan'!Q62+'INSC-POSG plan'!Q63</f>
        <v>25</v>
      </c>
      <c r="P41" s="1339">
        <f>+'INSC-POSG plan'!R58+'INSC-POSG plan'!R59+'INSC-POSG plan'!R60+'INSC-POSG plan'!R61+'INSC-POSG plan'!R62+'INSC-POSG plan'!R63</f>
        <v>10</v>
      </c>
      <c r="Q41" s="1339">
        <f>+'INSC-POSG plan'!S58+'INSC-POSG plan'!S59+'INSC-POSG plan'!S60+'INSC-POSG plan'!S61+'INSC-POSG plan'!S62+'INSC-POSG plan'!S63</f>
        <v>44</v>
      </c>
      <c r="R41" s="1340">
        <f t="shared" ref="R41:R55" si="35">SUM(O41:Q41)</f>
        <v>79</v>
      </c>
      <c r="S41" s="1338">
        <v>2</v>
      </c>
      <c r="T41" s="1339">
        <v>5</v>
      </c>
      <c r="U41" s="1339">
        <v>23</v>
      </c>
      <c r="V41" s="1340">
        <v>30</v>
      </c>
      <c r="W41" s="1338">
        <v>6</v>
      </c>
      <c r="X41" s="1339">
        <v>8</v>
      </c>
      <c r="Y41" s="1339">
        <v>22</v>
      </c>
      <c r="Z41" s="1341">
        <v>36</v>
      </c>
      <c r="AA41" s="1338">
        <v>14</v>
      </c>
      <c r="AB41" s="1339">
        <v>13</v>
      </c>
      <c r="AC41" s="1339">
        <v>42</v>
      </c>
      <c r="AD41" s="1340">
        <v>69</v>
      </c>
      <c r="AE41" s="1339">
        <v>7</v>
      </c>
      <c r="AF41" s="1339">
        <v>12</v>
      </c>
      <c r="AG41" s="1339">
        <v>43</v>
      </c>
      <c r="AH41" s="1340">
        <v>62</v>
      </c>
      <c r="AI41" s="1339">
        <v>14</v>
      </c>
      <c r="AJ41" s="1339">
        <v>8</v>
      </c>
      <c r="AK41" s="1339">
        <v>28</v>
      </c>
      <c r="AL41" s="1810">
        <v>50</v>
      </c>
      <c r="AM41" s="1073">
        <v>16</v>
      </c>
      <c r="AN41" s="1074">
        <v>8</v>
      </c>
      <c r="AO41" s="1074">
        <v>46</v>
      </c>
      <c r="AP41" s="1077">
        <v>70</v>
      </c>
      <c r="AQ41" s="1073">
        <v>7</v>
      </c>
      <c r="AR41" s="1074">
        <v>4</v>
      </c>
      <c r="AS41" s="1074">
        <v>58</v>
      </c>
      <c r="AT41" s="1077">
        <f t="shared" ref="AT41:AT51" si="36">SUM(AQ41:AS41)</f>
        <v>69</v>
      </c>
      <c r="AU41" s="1073">
        <v>12</v>
      </c>
      <c r="AV41" s="1074">
        <v>7</v>
      </c>
      <c r="AW41" s="1074">
        <v>47</v>
      </c>
      <c r="AX41" s="1077">
        <f t="shared" ref="AX41:AX51" si="37">SUM(AU41:AW41)</f>
        <v>66</v>
      </c>
      <c r="AY41" s="1073">
        <v>15</v>
      </c>
      <c r="AZ41" s="1074">
        <v>16</v>
      </c>
      <c r="BA41" s="1074">
        <v>57</v>
      </c>
      <c r="BB41" s="1077">
        <f>SUM(AY41:BA41)</f>
        <v>88</v>
      </c>
      <c r="BC41" s="1073">
        <f>SUM('INSC-POSG plan'!BE58,'INSC-POSG plan'!BE59,'INSC-POSG plan'!BE60,'INSC-POSG plan'!BE61,'INSC-POSG plan'!BE62,'INSC-POSG plan'!BE63)</f>
        <v>16</v>
      </c>
      <c r="BD41" s="1074">
        <f>SUM('INSC-POSG plan'!BF58,'INSC-POSG plan'!BF59,'INSC-POSG plan'!BF60,'INSC-POSG plan'!BF61,'INSC-POSG plan'!BF62,'INSC-POSG plan'!BF63)</f>
        <v>7</v>
      </c>
      <c r="BE41" s="1074">
        <f>SUM('INSC-POSG plan'!BG58,'INSC-POSG plan'!BG59,'INSC-POSG plan'!BG60,'INSC-POSG plan'!BG61,'INSC-POSG plan'!BG62,'INSC-POSG plan'!BG63)</f>
        <v>61</v>
      </c>
      <c r="BF41" s="1077">
        <f>SUM(BC41:BE41)</f>
        <v>84</v>
      </c>
      <c r="BG41" s="1073">
        <f>SUM('INSC-POSG plan'!BI58:BI64)</f>
        <v>35</v>
      </c>
      <c r="BH41" s="1074">
        <f>SUM('INSC-POSG plan'!BJ58,'INSC-POSG plan'!BJ59,'INSC-POSG plan'!BJ60,'INSC-POSG plan'!BJ61,'INSC-POSG plan'!BJ62,'INSC-POSG plan'!BJ63)</f>
        <v>5</v>
      </c>
      <c r="BI41" s="1074">
        <f>SUM('INSC-POSG plan'!BK58:BK64)</f>
        <v>54</v>
      </c>
      <c r="BJ41" s="1077">
        <f>SUM(BG41:BI41)</f>
        <v>94</v>
      </c>
      <c r="BK41" s="1073">
        <f>SUM('INSC-POSG plan'!BM58:BM64)</f>
        <v>24</v>
      </c>
      <c r="BL41" s="1074">
        <f>SUM('INSC-POSG plan'!BN58,'INSC-POSG plan'!BN59,'INSC-POSG plan'!BN60,'INSC-POSG plan'!BN61,'INSC-POSG plan'!BN62,'INSC-POSG plan'!BN63)</f>
        <v>5</v>
      </c>
      <c r="BM41" s="1074">
        <f>SUM('INSC-POSG plan'!BO58:BO64)</f>
        <v>49</v>
      </c>
      <c r="BN41" s="1077">
        <f>SUM(BK41:BM41)</f>
        <v>78</v>
      </c>
      <c r="BO41" s="1073">
        <f>SUM('INSC-POSG plan'!BQ58:BQ64)</f>
        <v>28</v>
      </c>
      <c r="BP41" s="1074">
        <f>SUM('INSC-POSG plan'!BR58,'INSC-POSG plan'!BR59,'INSC-POSG plan'!BR60,'INSC-POSG plan'!BR61,'INSC-POSG plan'!BR62,'INSC-POSG plan'!BR63)</f>
        <v>13</v>
      </c>
      <c r="BQ41" s="1074">
        <f>SUM('INSC-POSG plan'!BS58:BS64)</f>
        <v>54</v>
      </c>
      <c r="BR41" s="1077">
        <f>SUM(BO41:BQ41)</f>
        <v>95</v>
      </c>
    </row>
    <row r="42" spans="1:70" ht="15" x14ac:dyDescent="0.2">
      <c r="A42" s="5474"/>
      <c r="B42" s="1078" t="s">
        <v>633</v>
      </c>
      <c r="C42" s="1349">
        <f>+'INSC-POSG plan'!E65+'INSC-POSG plan'!E66+'INSC-POSG plan'!E67+'INSC-POSG plan'!E68+'INSC-POSG plan'!E69+'INSC-POSG plan'!E70+'INSC-POSG plan'!E72</f>
        <v>10</v>
      </c>
      <c r="D42" s="1350">
        <f>+'INSC-POSG plan'!F65+'INSC-POSG plan'!F66+'INSC-POSG plan'!F67+'INSC-POSG plan'!F68+'INSC-POSG plan'!F69+'INSC-POSG plan'!F70+'INSC-POSG plan'!F72</f>
        <v>10</v>
      </c>
      <c r="E42" s="1350">
        <f>+'INSC-POSG plan'!G65+'INSC-POSG plan'!G66+'INSC-POSG plan'!G67+'INSC-POSG plan'!G68+'INSC-POSG plan'!G69+'INSC-POSG plan'!G70+'INSC-POSG plan'!G72</f>
        <v>10</v>
      </c>
      <c r="F42" s="1351">
        <f t="shared" si="32"/>
        <v>30</v>
      </c>
      <c r="G42" s="1349">
        <f>+'INSC-POSG plan'!I65+'INSC-POSG plan'!I66+'INSC-POSG plan'!I67+'INSC-POSG plan'!I68+'INSC-POSG plan'!I69+'INSC-POSG plan'!I70+'INSC-POSG plan'!I72</f>
        <v>13</v>
      </c>
      <c r="H42" s="1350">
        <f>+'INSC-POSG plan'!J65+'INSC-POSG plan'!J66+'INSC-POSG plan'!J67+'INSC-POSG plan'!J68+'INSC-POSG plan'!J69+'INSC-POSG plan'!J70+'INSC-POSG plan'!J72</f>
        <v>3</v>
      </c>
      <c r="I42" s="1350">
        <f>+'INSC-POSG plan'!K65+'INSC-POSG plan'!K66+'INSC-POSG plan'!K67+'INSC-POSG plan'!K68+'INSC-POSG plan'!K69+'INSC-POSG plan'!K70+'INSC-POSG plan'!K72</f>
        <v>29</v>
      </c>
      <c r="J42" s="1351">
        <f t="shared" si="33"/>
        <v>45</v>
      </c>
      <c r="K42" s="1349">
        <f>+'INSC-POSG plan'!M65+'INSC-POSG plan'!M66+'INSC-POSG plan'!M67+'INSC-POSG plan'!M68+'INSC-POSG plan'!M69+'INSC-POSG plan'!M70+'INSC-POSG plan'!M72</f>
        <v>25</v>
      </c>
      <c r="L42" s="1350">
        <f>+'INSC-POSG plan'!N65+'INSC-POSG plan'!N66+'INSC-POSG plan'!N67+'INSC-POSG plan'!N68+'INSC-POSG plan'!N69+'INSC-POSG plan'!N70+'INSC-POSG plan'!N72</f>
        <v>12</v>
      </c>
      <c r="M42" s="1350">
        <f>+'INSC-POSG plan'!O65+'INSC-POSG plan'!O66+'INSC-POSG plan'!O67+'INSC-POSG plan'!O68+'INSC-POSG plan'!O69+'INSC-POSG plan'!O70+'INSC-POSG plan'!O72</f>
        <v>9</v>
      </c>
      <c r="N42" s="1351">
        <f t="shared" si="34"/>
        <v>46</v>
      </c>
      <c r="O42" s="1349">
        <f>+'INSC-POSG plan'!Q65+'INSC-POSG plan'!Q66+'INSC-POSG plan'!Q67+'INSC-POSG plan'!Q68+'INSC-POSG plan'!Q69+'INSC-POSG plan'!Q70+'INSC-POSG plan'!Q72</f>
        <v>19</v>
      </c>
      <c r="P42" s="1350">
        <f>+'INSC-POSG plan'!R65+'INSC-POSG plan'!R66+'INSC-POSG plan'!R67+'INSC-POSG plan'!R68+'INSC-POSG plan'!R69+'INSC-POSG plan'!R70+'INSC-POSG plan'!R72</f>
        <v>9</v>
      </c>
      <c r="Q42" s="1350">
        <f>+'INSC-POSG plan'!S65+'INSC-POSG plan'!S66+'INSC-POSG plan'!S67+'INSC-POSG plan'!S68+'INSC-POSG plan'!S69+'INSC-POSG plan'!S70+'INSC-POSG plan'!S72</f>
        <v>13</v>
      </c>
      <c r="R42" s="1351">
        <f t="shared" si="35"/>
        <v>41</v>
      </c>
      <c r="S42" s="1349">
        <v>11</v>
      </c>
      <c r="T42" s="1350">
        <v>8</v>
      </c>
      <c r="U42" s="1350">
        <v>17</v>
      </c>
      <c r="V42" s="1351">
        <v>36</v>
      </c>
      <c r="W42" s="1349">
        <v>13</v>
      </c>
      <c r="X42" s="1350">
        <v>9</v>
      </c>
      <c r="Y42" s="1350">
        <v>18</v>
      </c>
      <c r="Z42" s="1352">
        <v>40</v>
      </c>
      <c r="AA42" s="1349">
        <v>17</v>
      </c>
      <c r="AB42" s="1350">
        <v>12</v>
      </c>
      <c r="AC42" s="1350">
        <v>12</v>
      </c>
      <c r="AD42" s="1351">
        <v>41</v>
      </c>
      <c r="AE42" s="1350">
        <v>7</v>
      </c>
      <c r="AF42" s="1350">
        <v>4</v>
      </c>
      <c r="AG42" s="1350">
        <v>6</v>
      </c>
      <c r="AH42" s="1351">
        <v>17</v>
      </c>
      <c r="AI42" s="1350">
        <v>1</v>
      </c>
      <c r="AJ42" s="1350">
        <v>2</v>
      </c>
      <c r="AK42" s="1350">
        <v>7</v>
      </c>
      <c r="AL42" s="1811">
        <v>10</v>
      </c>
      <c r="AM42" s="1079">
        <v>4</v>
      </c>
      <c r="AN42" s="1080">
        <v>2</v>
      </c>
      <c r="AO42" s="1080">
        <v>14</v>
      </c>
      <c r="AP42" s="1083">
        <v>20</v>
      </c>
      <c r="AQ42" s="1079">
        <v>4</v>
      </c>
      <c r="AR42" s="1080">
        <v>4</v>
      </c>
      <c r="AS42" s="1080">
        <v>12</v>
      </c>
      <c r="AT42" s="1083">
        <f t="shared" si="36"/>
        <v>20</v>
      </c>
      <c r="AU42" s="1079">
        <v>13</v>
      </c>
      <c r="AV42" s="1080">
        <v>2</v>
      </c>
      <c r="AW42" s="1080">
        <v>10</v>
      </c>
      <c r="AX42" s="1083">
        <f t="shared" si="37"/>
        <v>25</v>
      </c>
      <c r="AY42" s="1079">
        <v>18</v>
      </c>
      <c r="AZ42" s="1080">
        <v>6</v>
      </c>
      <c r="BA42" s="1080">
        <v>22</v>
      </c>
      <c r="BB42" s="1083">
        <f>SUM(AY42:BA42)</f>
        <v>46</v>
      </c>
      <c r="BC42" s="1079">
        <f>SUM('INSC-POSG plan'!BE65,'INSC-POSG plan'!BE66,'INSC-POSG plan'!BE67,'INSC-POSG plan'!BE68,'INSC-POSG plan'!BE69,'INSC-POSG plan'!BE70,'INSC-POSG plan'!BE72)</f>
        <v>17</v>
      </c>
      <c r="BD42" s="1080">
        <f>SUM('INSC-POSG plan'!BF65,'INSC-POSG plan'!BF66,'INSC-POSG plan'!BF67,'INSC-POSG plan'!BF68,'INSC-POSG plan'!BF69,'INSC-POSG plan'!BF70,'INSC-POSG plan'!BF72)</f>
        <v>9</v>
      </c>
      <c r="BE42" s="1080">
        <f>SUM('INSC-POSG plan'!BG65,'INSC-POSG plan'!BG66,'INSC-POSG plan'!BG67,'INSC-POSG plan'!BG68,'INSC-POSG plan'!BG69,'INSC-POSG plan'!BG70,'INSC-POSG plan'!BG72)</f>
        <v>16</v>
      </c>
      <c r="BF42" s="1083">
        <f>SUM(BC42:BE42)</f>
        <v>42</v>
      </c>
      <c r="BG42" s="1079">
        <f>SUM('INSC-POSG plan'!BI65:BI72)</f>
        <v>26</v>
      </c>
      <c r="BH42" s="1080">
        <f>SUM('INSC-POSG plan'!BJ65,'INSC-POSG plan'!BJ66,'INSC-POSG plan'!BJ67,'INSC-POSG plan'!BJ68,'INSC-POSG plan'!BJ69,'INSC-POSG plan'!BJ70,'INSC-POSG plan'!BJ72)</f>
        <v>11</v>
      </c>
      <c r="BI42" s="1080">
        <f>SUM('INSC-POSG plan'!BK65:BK72)</f>
        <v>16</v>
      </c>
      <c r="BJ42" s="1083">
        <f>SUM(BG42:BI42)</f>
        <v>53</v>
      </c>
      <c r="BK42" s="1079">
        <f>SUM('INSC-POSG plan'!BM65:BM72)</f>
        <v>11</v>
      </c>
      <c r="BL42" s="1080">
        <f>SUM('INSC-POSG plan'!BN65,'INSC-POSG plan'!BN66,'INSC-POSG plan'!BN67,'INSC-POSG plan'!BN68,'INSC-POSG plan'!BN69,'INSC-POSG plan'!BN70,'INSC-POSG plan'!BN72)</f>
        <v>10</v>
      </c>
      <c r="BM42" s="1080">
        <f>SUM('INSC-POSG plan'!BO65:BO72)</f>
        <v>23</v>
      </c>
      <c r="BN42" s="1083">
        <f>SUM(BK42:BM42)</f>
        <v>44</v>
      </c>
      <c r="BO42" s="1079">
        <f>SUM('INSC-POSG plan'!BQ65:BQ72)</f>
        <v>14</v>
      </c>
      <c r="BP42" s="1080">
        <f>SUM('INSC-POSG plan'!BR65,'INSC-POSG plan'!BR66,'INSC-POSG plan'!BR67,'INSC-POSG plan'!BR68,'INSC-POSG plan'!BR69,'INSC-POSG plan'!BR70,'INSC-POSG plan'!BR72)</f>
        <v>9</v>
      </c>
      <c r="BQ42" s="1080">
        <f>SUM('INSC-POSG plan'!BS65:BS72)</f>
        <v>20</v>
      </c>
      <c r="BR42" s="1083">
        <f>SUM(BO42:BQ42)</f>
        <v>43</v>
      </c>
    </row>
    <row r="43" spans="1:70" s="222" customFormat="1" ht="15" x14ac:dyDescent="0.2">
      <c r="A43" s="5475"/>
      <c r="B43" s="583" t="s">
        <v>13</v>
      </c>
      <c r="C43" s="1195">
        <f>SUM(C40:C42)</f>
        <v>28</v>
      </c>
      <c r="D43" s="1196">
        <f>SUM(D40:D42)</f>
        <v>19</v>
      </c>
      <c r="E43" s="1196">
        <f>SUM(E40:E42)</f>
        <v>56</v>
      </c>
      <c r="F43" s="1197">
        <f t="shared" si="32"/>
        <v>103</v>
      </c>
      <c r="G43" s="1195">
        <f>SUM(G40:G42)</f>
        <v>40</v>
      </c>
      <c r="H43" s="1196">
        <f>SUM(H40:H42)</f>
        <v>15</v>
      </c>
      <c r="I43" s="1196">
        <f>SUM(I40:I42)</f>
        <v>65</v>
      </c>
      <c r="J43" s="1197">
        <f t="shared" si="33"/>
        <v>120</v>
      </c>
      <c r="K43" s="1195">
        <f>SUM(K40:K42)</f>
        <v>54</v>
      </c>
      <c r="L43" s="1196">
        <f>SUM(L40:L42)</f>
        <v>27</v>
      </c>
      <c r="M43" s="1196">
        <f>SUM(M40:M42)</f>
        <v>57</v>
      </c>
      <c r="N43" s="1197">
        <f t="shared" si="34"/>
        <v>138</v>
      </c>
      <c r="O43" s="1195">
        <f>SUM(O40:O42)</f>
        <v>44</v>
      </c>
      <c r="P43" s="1196">
        <f>SUM(P40:P42)</f>
        <v>19</v>
      </c>
      <c r="Q43" s="1196">
        <f>SUM(Q40:Q42)</f>
        <v>57</v>
      </c>
      <c r="R43" s="1197">
        <f t="shared" si="35"/>
        <v>120</v>
      </c>
      <c r="S43" s="1195">
        <v>13</v>
      </c>
      <c r="T43" s="1196">
        <v>13</v>
      </c>
      <c r="U43" s="1196">
        <v>40</v>
      </c>
      <c r="V43" s="1197">
        <v>66</v>
      </c>
      <c r="W43" s="1195">
        <v>19</v>
      </c>
      <c r="X43" s="1196">
        <v>17</v>
      </c>
      <c r="Y43" s="1196">
        <v>40</v>
      </c>
      <c r="Z43" s="1196">
        <v>76</v>
      </c>
      <c r="AA43" s="1195">
        <v>31</v>
      </c>
      <c r="AB43" s="1196">
        <v>25</v>
      </c>
      <c r="AC43" s="1196">
        <v>54</v>
      </c>
      <c r="AD43" s="1197">
        <v>110</v>
      </c>
      <c r="AE43" s="1196">
        <v>14</v>
      </c>
      <c r="AF43" s="1196">
        <v>16</v>
      </c>
      <c r="AG43" s="1196">
        <v>49</v>
      </c>
      <c r="AH43" s="1197">
        <v>79</v>
      </c>
      <c r="AI43" s="1196">
        <v>15</v>
      </c>
      <c r="AJ43" s="1196">
        <v>10</v>
      </c>
      <c r="AK43" s="1196">
        <v>35</v>
      </c>
      <c r="AL43" s="1197">
        <v>60</v>
      </c>
      <c r="AM43" s="584">
        <v>20</v>
      </c>
      <c r="AN43" s="585">
        <v>10</v>
      </c>
      <c r="AO43" s="585">
        <v>60</v>
      </c>
      <c r="AP43" s="586">
        <v>90</v>
      </c>
      <c r="AQ43" s="584">
        <f>SUM(AQ40:AQ42)</f>
        <v>11</v>
      </c>
      <c r="AR43" s="585">
        <f>SUM(AR40:AR42)</f>
        <v>8</v>
      </c>
      <c r="AS43" s="585">
        <f>SUM(AS40:AS42)</f>
        <v>70</v>
      </c>
      <c r="AT43" s="586">
        <f t="shared" si="36"/>
        <v>89</v>
      </c>
      <c r="AU43" s="584">
        <f>SUM(AU40:AU42)</f>
        <v>25</v>
      </c>
      <c r="AV43" s="585">
        <f>SUM(AV40:AV42)</f>
        <v>9</v>
      </c>
      <c r="AW43" s="585">
        <f>SUM(AW40:AW42)</f>
        <v>57</v>
      </c>
      <c r="AX43" s="586">
        <f t="shared" si="37"/>
        <v>91</v>
      </c>
      <c r="AY43" s="584">
        <f>SUM(AY40:AY42)</f>
        <v>33</v>
      </c>
      <c r="AZ43" s="585">
        <f>SUM(AZ40:AZ42)</f>
        <v>22</v>
      </c>
      <c r="BA43" s="585">
        <f>SUM(BA40:BA42)</f>
        <v>79</v>
      </c>
      <c r="BB43" s="586">
        <f t="shared" ref="BB43:BB51" si="38">SUM(AY43:BA43)</f>
        <v>134</v>
      </c>
      <c r="BC43" s="584">
        <f>SUM(BC41:BC42)</f>
        <v>33</v>
      </c>
      <c r="BD43" s="585">
        <f>SUM(BD40:BD42)</f>
        <v>16</v>
      </c>
      <c r="BE43" s="585">
        <f>SUM(BE40:BE42)</f>
        <v>77</v>
      </c>
      <c r="BF43" s="586">
        <f t="shared" ref="BF43:BF51" si="39">SUM(BC43:BE43)</f>
        <v>126</v>
      </c>
      <c r="BG43" s="584">
        <f>SUM(BG41:BG42)</f>
        <v>61</v>
      </c>
      <c r="BH43" s="585">
        <f>SUM(BH40:BH42)</f>
        <v>16</v>
      </c>
      <c r="BI43" s="585">
        <f>SUM(BI40:BI42)</f>
        <v>70</v>
      </c>
      <c r="BJ43" s="586">
        <f>SUM(BG43:BI43)</f>
        <v>147</v>
      </c>
      <c r="BK43" s="584">
        <f>SUM(BK41:BK42)</f>
        <v>35</v>
      </c>
      <c r="BL43" s="585">
        <f>SUM(BL40:BL42)</f>
        <v>15</v>
      </c>
      <c r="BM43" s="585">
        <f>SUM(BM40:BM42)</f>
        <v>72</v>
      </c>
      <c r="BN43" s="586">
        <f>SUM(BK43:BM43)</f>
        <v>122</v>
      </c>
      <c r="BO43" s="584">
        <f>SUM(BO41:BO42)</f>
        <v>42</v>
      </c>
      <c r="BP43" s="585">
        <f>SUM(BP40:BP42)</f>
        <v>22</v>
      </c>
      <c r="BQ43" s="585">
        <f>SUM(BQ40:BQ42)</f>
        <v>74</v>
      </c>
      <c r="BR43" s="586">
        <f>SUM(BO43:BQ43)</f>
        <v>138</v>
      </c>
    </row>
    <row r="44" spans="1:70" ht="15" x14ac:dyDescent="0.2">
      <c r="A44" s="5474" t="s">
        <v>6</v>
      </c>
      <c r="B44" s="1067" t="s">
        <v>631</v>
      </c>
      <c r="C44" s="1334">
        <f>+'INSC-POSG plan'!E74</f>
        <v>0</v>
      </c>
      <c r="D44" s="1335">
        <f>+'INSC-POSG plan'!F74</f>
        <v>0</v>
      </c>
      <c r="E44" s="1335">
        <f>+'INSC-POSG plan'!G74</f>
        <v>12</v>
      </c>
      <c r="F44" s="1336">
        <f t="shared" si="32"/>
        <v>12</v>
      </c>
      <c r="G44" s="1334">
        <f>+'INSC-POSG plan'!I74</f>
        <v>0</v>
      </c>
      <c r="H44" s="1335">
        <f>+'INSC-POSG plan'!J74</f>
        <v>0</v>
      </c>
      <c r="I44" s="1335">
        <f>+'INSC-POSG plan'!K74</f>
        <v>9</v>
      </c>
      <c r="J44" s="1336">
        <f t="shared" si="33"/>
        <v>9</v>
      </c>
      <c r="K44" s="1334">
        <f>+'INSC-POSG plan'!M74</f>
        <v>0</v>
      </c>
      <c r="L44" s="1335">
        <f>+'INSC-POSG plan'!N74</f>
        <v>0</v>
      </c>
      <c r="M44" s="1335">
        <f>+'INSC-POSG plan'!O74</f>
        <v>13</v>
      </c>
      <c r="N44" s="1336">
        <f t="shared" si="34"/>
        <v>13</v>
      </c>
      <c r="O44" s="1334">
        <f>+'INSC-POSG plan'!Q74</f>
        <v>0</v>
      </c>
      <c r="P44" s="1335">
        <f>+'INSC-POSG plan'!R74</f>
        <v>0</v>
      </c>
      <c r="Q44" s="1335">
        <f>+'INSC-POSG plan'!S74</f>
        <v>25</v>
      </c>
      <c r="R44" s="1336">
        <f t="shared" si="35"/>
        <v>25</v>
      </c>
      <c r="S44" s="1334"/>
      <c r="T44" s="1335"/>
      <c r="U44" s="1335">
        <v>41</v>
      </c>
      <c r="V44" s="1336">
        <v>41</v>
      </c>
      <c r="W44" s="1334"/>
      <c r="X44" s="1335"/>
      <c r="Y44" s="1335">
        <v>73</v>
      </c>
      <c r="Z44" s="1337">
        <v>73</v>
      </c>
      <c r="AA44" s="1334"/>
      <c r="AB44" s="1335"/>
      <c r="AC44" s="1335"/>
      <c r="AD44" s="1336"/>
      <c r="AE44" s="1335">
        <v>86</v>
      </c>
      <c r="AF44" s="1335"/>
      <c r="AG44" s="1335"/>
      <c r="AH44" s="1336">
        <v>86</v>
      </c>
      <c r="AI44" s="1335">
        <v>90</v>
      </c>
      <c r="AJ44" s="1335"/>
      <c r="AK44" s="1335">
        <v>19</v>
      </c>
      <c r="AL44" s="1809">
        <v>109</v>
      </c>
      <c r="AM44" s="1068">
        <v>101</v>
      </c>
      <c r="AN44" s="1069"/>
      <c r="AO44" s="1069"/>
      <c r="AP44" s="1086">
        <v>101</v>
      </c>
      <c r="AQ44" s="1068"/>
      <c r="AR44" s="1069">
        <v>99</v>
      </c>
      <c r="AS44" s="1069">
        <v>16</v>
      </c>
      <c r="AT44" s="1086">
        <f t="shared" si="36"/>
        <v>115</v>
      </c>
      <c r="AU44" s="1068"/>
      <c r="AV44" s="1069"/>
      <c r="AW44" s="1069">
        <v>104</v>
      </c>
      <c r="AX44" s="1086">
        <f t="shared" si="37"/>
        <v>104</v>
      </c>
      <c r="AY44" s="1068"/>
      <c r="AZ44" s="1069"/>
      <c r="BA44" s="1069">
        <v>72</v>
      </c>
      <c r="BB44" s="1086">
        <f t="shared" si="38"/>
        <v>72</v>
      </c>
      <c r="BC44" s="1068"/>
      <c r="BD44" s="1069"/>
      <c r="BE44" s="1069"/>
      <c r="BF44" s="1086"/>
      <c r="BG44" s="1068"/>
      <c r="BH44" s="1069"/>
      <c r="BI44" s="1069">
        <f>SUM('INSC-POSG plan'!BK74)</f>
        <v>36</v>
      </c>
      <c r="BJ44" s="1086"/>
      <c r="BK44" s="1069">
        <f>SUM('INSC-POSG plan'!BM74)</f>
        <v>0</v>
      </c>
      <c r="BL44" s="1069">
        <f>SUM('INSC-POSG plan'!BN74)</f>
        <v>0</v>
      </c>
      <c r="BM44" s="1069">
        <f>SUM('INSC-POSG plan'!BO74)</f>
        <v>15</v>
      </c>
      <c r="BN44" s="1077">
        <f t="shared" ref="BN44:BN51" si="40">SUM(BK44:BM44)</f>
        <v>15</v>
      </c>
      <c r="BO44" s="1069">
        <f>SUM('INSC-POSG plan'!BQ74)</f>
        <v>33</v>
      </c>
      <c r="BP44" s="1069">
        <f>SUM('INSC-POSG plan'!BR74)</f>
        <v>1</v>
      </c>
      <c r="BQ44" s="1069">
        <f>SUM('INSC-POSG plan'!BS74)</f>
        <v>24</v>
      </c>
      <c r="BR44" s="1077">
        <f t="shared" ref="BR44:BR51" si="41">SUM(BO44:BQ44)</f>
        <v>58</v>
      </c>
    </row>
    <row r="45" spans="1:70" ht="15" x14ac:dyDescent="0.2">
      <c r="A45" s="5474"/>
      <c r="B45" s="1072" t="s">
        <v>632</v>
      </c>
      <c r="C45" s="1338">
        <f>+'INSC-POSG plan'!E75+'INSC-POSG plan'!E76+'INSC-POSG plan'!E77+'INSC-POSG plan'!E78+'INSC-POSG plan'!E79</f>
        <v>0</v>
      </c>
      <c r="D45" s="1339">
        <f>+'INSC-POSG plan'!F75+'INSC-POSG plan'!F76+'INSC-POSG plan'!F77+'INSC-POSG plan'!F78+'INSC-POSG plan'!F79</f>
        <v>0</v>
      </c>
      <c r="E45" s="1339">
        <f>+'INSC-POSG plan'!G75+'INSC-POSG plan'!G76+'INSC-POSG plan'!G77+'INSC-POSG plan'!G78+'INSC-POSG plan'!G79</f>
        <v>79</v>
      </c>
      <c r="F45" s="1340">
        <f t="shared" si="32"/>
        <v>79</v>
      </c>
      <c r="G45" s="1338">
        <f>+'INSC-POSG plan'!I75+'INSC-POSG plan'!I76+'INSC-POSG plan'!I77+'INSC-POSG plan'!I78+'INSC-POSG plan'!I79</f>
        <v>29</v>
      </c>
      <c r="H45" s="1339">
        <f>+'INSC-POSG plan'!J75+'INSC-POSG plan'!J76+'INSC-POSG plan'!J77+'INSC-POSG plan'!J78+'INSC-POSG plan'!J79</f>
        <v>0</v>
      </c>
      <c r="I45" s="1339">
        <f>+'INSC-POSG plan'!K75+'INSC-POSG plan'!K76+'INSC-POSG plan'!K77+'INSC-POSG plan'!K78+'INSC-POSG plan'!K79</f>
        <v>131</v>
      </c>
      <c r="J45" s="1340">
        <f t="shared" si="33"/>
        <v>160</v>
      </c>
      <c r="K45" s="1338">
        <f>+'INSC-POSG plan'!M75+'INSC-POSG plan'!M76+'INSC-POSG plan'!M77+'INSC-POSG plan'!M78+'INSC-POSG plan'!M79</f>
        <v>0</v>
      </c>
      <c r="L45" s="1339">
        <f>+'INSC-POSG plan'!N75+'INSC-POSG plan'!N76+'INSC-POSG plan'!N77+'INSC-POSG plan'!N78+'INSC-POSG plan'!N79</f>
        <v>0</v>
      </c>
      <c r="M45" s="1339">
        <f>+'INSC-POSG plan'!O75+'INSC-POSG plan'!O76+'INSC-POSG plan'!O77+'INSC-POSG plan'!O78+'INSC-POSG plan'!O79</f>
        <v>40</v>
      </c>
      <c r="N45" s="1340">
        <f t="shared" si="34"/>
        <v>40</v>
      </c>
      <c r="O45" s="1338">
        <f>+'INSC-POSG plan'!Q75+'INSC-POSG plan'!Q76+'INSC-POSG plan'!Q77+'INSC-POSG plan'!Q78+'INSC-POSG plan'!Q79</f>
        <v>3</v>
      </c>
      <c r="P45" s="1339">
        <f>+'INSC-POSG plan'!R75+'INSC-POSG plan'!R76+'INSC-POSG plan'!R77+'INSC-POSG plan'!R78+'INSC-POSG plan'!R79</f>
        <v>0</v>
      </c>
      <c r="Q45" s="1339">
        <f>+'INSC-POSG plan'!S75+'INSC-POSG plan'!S76+'INSC-POSG plan'!S77+'INSC-POSG plan'!S78+'INSC-POSG plan'!S79</f>
        <v>199</v>
      </c>
      <c r="R45" s="1340">
        <f t="shared" si="35"/>
        <v>202</v>
      </c>
      <c r="S45" s="1338"/>
      <c r="T45" s="1339"/>
      <c r="U45" s="1339">
        <v>20</v>
      </c>
      <c r="V45" s="1340">
        <v>20</v>
      </c>
      <c r="W45" s="1338">
        <v>1</v>
      </c>
      <c r="X45" s="1339"/>
      <c r="Y45" s="1339">
        <v>22</v>
      </c>
      <c r="Z45" s="1341">
        <v>23</v>
      </c>
      <c r="AA45" s="1338">
        <v>61</v>
      </c>
      <c r="AB45" s="1339"/>
      <c r="AC45" s="1339">
        <v>24</v>
      </c>
      <c r="AD45" s="1340">
        <v>85</v>
      </c>
      <c r="AE45" s="1339">
        <v>5</v>
      </c>
      <c r="AF45" s="1339"/>
      <c r="AG45" s="1339">
        <v>33</v>
      </c>
      <c r="AH45" s="1340">
        <v>38</v>
      </c>
      <c r="AI45" s="1339">
        <v>66</v>
      </c>
      <c r="AJ45" s="1339"/>
      <c r="AK45" s="1339">
        <v>22</v>
      </c>
      <c r="AL45" s="1810">
        <v>88</v>
      </c>
      <c r="AM45" s="1073">
        <v>10</v>
      </c>
      <c r="AN45" s="1074"/>
      <c r="AO45" s="1074">
        <v>137</v>
      </c>
      <c r="AP45" s="1077">
        <v>147</v>
      </c>
      <c r="AQ45" s="1073">
        <v>13</v>
      </c>
      <c r="AR45" s="1074"/>
      <c r="AS45" s="1074">
        <v>20</v>
      </c>
      <c r="AT45" s="1077">
        <f t="shared" si="36"/>
        <v>33</v>
      </c>
      <c r="AU45" s="1073">
        <v>14</v>
      </c>
      <c r="AV45" s="1074"/>
      <c r="AW45" s="1074">
        <v>103</v>
      </c>
      <c r="AX45" s="1077">
        <f t="shared" si="37"/>
        <v>117</v>
      </c>
      <c r="AY45" s="1073">
        <v>14</v>
      </c>
      <c r="AZ45" s="1074"/>
      <c r="BA45" s="1074">
        <v>18</v>
      </c>
      <c r="BB45" s="1077">
        <f t="shared" si="38"/>
        <v>32</v>
      </c>
      <c r="BC45" s="1073">
        <f>SUM('INSC-POSG plan'!BE75,'INSC-POSG plan'!BE76,'INSC-POSG plan'!BE77,'INSC-POSG plan'!BE78,'INSC-POSG plan'!BE79)</f>
        <v>14</v>
      </c>
      <c r="BD45" s="1074">
        <f>SUM('INSC-POSG plan'!BF75,'INSC-POSG plan'!BF76,'INSC-POSG plan'!BF77,'INSC-POSG plan'!BF78,'INSC-POSG plan'!BF79)</f>
        <v>0</v>
      </c>
      <c r="BE45" s="1074">
        <f>SUM('INSC-POSG plan'!BG75,'INSC-POSG plan'!BG76,'INSC-POSG plan'!BG77,'INSC-POSG plan'!BG78,'INSC-POSG plan'!BG79)</f>
        <v>105</v>
      </c>
      <c r="BF45" s="1077">
        <f t="shared" si="39"/>
        <v>119</v>
      </c>
      <c r="BG45" s="1073">
        <f>SUM('INSC-POSG plan'!BI75,'INSC-POSG plan'!BI76,'INSC-POSG plan'!BI77,'INSC-POSG plan'!BI78,'INSC-POSG plan'!BI79)</f>
        <v>26</v>
      </c>
      <c r="BH45" s="1074"/>
      <c r="BI45" s="1074">
        <f>SUM('INSC-POSG plan'!BK75,'INSC-POSG plan'!BK76,'INSC-POSG plan'!BK77,'INSC-POSG plan'!BK78,'INSC-POSG plan'!BK79)</f>
        <v>14</v>
      </c>
      <c r="BJ45" s="1077">
        <f t="shared" ref="BJ45:BJ51" si="42">SUM(BG45:BI45)</f>
        <v>40</v>
      </c>
      <c r="BK45" s="1074">
        <f>SUM('INSC-POSG plan'!BM75,'INSC-POSG plan'!BM76,'INSC-POSG plan'!BM77,'INSC-POSG plan'!BM78,'INSC-POSG plan'!BM79)</f>
        <v>13</v>
      </c>
      <c r="BL45" s="1074">
        <f>SUM('INSC-POSG plan'!BN75,'INSC-POSG plan'!BN76,'INSC-POSG plan'!BN77,'INSC-POSG plan'!BN78,'INSC-POSG plan'!BN79)</f>
        <v>15</v>
      </c>
      <c r="BM45" s="1074">
        <f>SUM('INSC-POSG plan'!BO75,'INSC-POSG plan'!BO76,'INSC-POSG plan'!BO77,'INSC-POSG plan'!BO78,'INSC-POSG plan'!BO79)</f>
        <v>87</v>
      </c>
      <c r="BN45" s="1077">
        <f t="shared" si="40"/>
        <v>115</v>
      </c>
      <c r="BO45" s="1074">
        <f>SUM('INSC-POSG plan'!BQ75,'INSC-POSG plan'!BQ76,'INSC-POSG plan'!BQ77,'INSC-POSG plan'!BQ78,'INSC-POSG plan'!BQ79)</f>
        <v>10</v>
      </c>
      <c r="BP45" s="1074">
        <f>SUM('INSC-POSG plan'!BR75,'INSC-POSG plan'!BR76,'INSC-POSG plan'!BR77,'INSC-POSG plan'!BR78,'INSC-POSG plan'!BR79)</f>
        <v>0</v>
      </c>
      <c r="BQ45" s="1074">
        <f>SUM('INSC-POSG plan'!BS75,'INSC-POSG plan'!BS76,'INSC-POSG plan'!BS77,'INSC-POSG plan'!BS78,'INSC-POSG plan'!BS79)</f>
        <v>46</v>
      </c>
      <c r="BR45" s="1077">
        <f t="shared" si="41"/>
        <v>56</v>
      </c>
    </row>
    <row r="46" spans="1:70" ht="15" x14ac:dyDescent="0.2">
      <c r="A46" s="5474"/>
      <c r="B46" s="1078" t="s">
        <v>633</v>
      </c>
      <c r="C46" s="1349">
        <f>+'INSC-POSG plan'!E80+'INSC-POSG plan'!E81+'INSC-POSG plan'!E82+'INSC-POSG plan'!E83+'INSC-POSG plan'!E84</f>
        <v>9</v>
      </c>
      <c r="D46" s="1350">
        <f>+'INSC-POSG plan'!F80+'INSC-POSG plan'!F81+'INSC-POSG plan'!F82+'INSC-POSG plan'!F83+'INSC-POSG plan'!F84</f>
        <v>1</v>
      </c>
      <c r="E46" s="1350">
        <f>+'INSC-POSG plan'!G80+'INSC-POSG plan'!G81+'INSC-POSG plan'!G82+'INSC-POSG plan'!G83+'INSC-POSG plan'!G84</f>
        <v>38</v>
      </c>
      <c r="F46" s="1351">
        <f t="shared" si="32"/>
        <v>48</v>
      </c>
      <c r="G46" s="1349">
        <f>+'INSC-POSG plan'!I80+'INSC-POSG plan'!I81+'INSC-POSG plan'!I82+'INSC-POSG plan'!I83+'INSC-POSG plan'!I84</f>
        <v>20</v>
      </c>
      <c r="H46" s="1350">
        <f>+'INSC-POSG plan'!J80+'INSC-POSG plan'!J81+'INSC-POSG plan'!J82+'INSC-POSG plan'!J83+'INSC-POSG plan'!J84</f>
        <v>5</v>
      </c>
      <c r="I46" s="1350">
        <f>+'INSC-POSG plan'!K80+'INSC-POSG plan'!K81+'INSC-POSG plan'!K82+'INSC-POSG plan'!K83+'INSC-POSG plan'!K84</f>
        <v>89</v>
      </c>
      <c r="J46" s="1351">
        <f t="shared" si="33"/>
        <v>114</v>
      </c>
      <c r="K46" s="1349">
        <f>+'INSC-POSG plan'!M80+'INSC-POSG plan'!M81+'INSC-POSG plan'!M82+'INSC-POSG plan'!M83+'INSC-POSG plan'!M84</f>
        <v>38</v>
      </c>
      <c r="L46" s="1350">
        <f>+'INSC-POSG plan'!N80+'INSC-POSG plan'!N81+'INSC-POSG plan'!N82+'INSC-POSG plan'!N83+'INSC-POSG plan'!N84</f>
        <v>2</v>
      </c>
      <c r="M46" s="1350">
        <f>+'INSC-POSG plan'!O80+'INSC-POSG plan'!O81+'INSC-POSG plan'!O82+'INSC-POSG plan'!O83+'INSC-POSG plan'!O84</f>
        <v>23</v>
      </c>
      <c r="N46" s="1351">
        <f t="shared" si="34"/>
        <v>63</v>
      </c>
      <c r="O46" s="1349">
        <f>+'INSC-POSG plan'!Q80+'INSC-POSG plan'!Q81+'INSC-POSG plan'!Q82+'INSC-POSG plan'!Q83+'INSC-POSG plan'!Q84</f>
        <v>11</v>
      </c>
      <c r="P46" s="1350">
        <f>+'INSC-POSG plan'!R80+'INSC-POSG plan'!R81+'INSC-POSG plan'!R82+'INSC-POSG plan'!R83+'INSC-POSG plan'!R84</f>
        <v>7</v>
      </c>
      <c r="Q46" s="1350">
        <f>+'INSC-POSG plan'!S80+'INSC-POSG plan'!S81+'INSC-POSG plan'!S82+'INSC-POSG plan'!S83+'INSC-POSG plan'!S84</f>
        <v>108</v>
      </c>
      <c r="R46" s="1351">
        <f t="shared" si="35"/>
        <v>126</v>
      </c>
      <c r="S46" s="1349">
        <v>3</v>
      </c>
      <c r="T46" s="1350"/>
      <c r="U46" s="1350">
        <v>34</v>
      </c>
      <c r="V46" s="1351">
        <v>37</v>
      </c>
      <c r="W46" s="1349"/>
      <c r="X46" s="1350">
        <v>33</v>
      </c>
      <c r="Y46" s="1350">
        <v>34</v>
      </c>
      <c r="Z46" s="1352">
        <v>67</v>
      </c>
      <c r="AA46" s="1349">
        <v>22</v>
      </c>
      <c r="AB46" s="1350"/>
      <c r="AC46" s="1350">
        <v>19</v>
      </c>
      <c r="AD46" s="1351">
        <v>41</v>
      </c>
      <c r="AE46" s="1350">
        <v>14</v>
      </c>
      <c r="AF46" s="1350"/>
      <c r="AG46" s="1350">
        <v>23</v>
      </c>
      <c r="AH46" s="1351">
        <v>37</v>
      </c>
      <c r="AI46" s="1350">
        <v>25</v>
      </c>
      <c r="AJ46" s="1350"/>
      <c r="AK46" s="1350">
        <v>22</v>
      </c>
      <c r="AL46" s="1811">
        <v>47</v>
      </c>
      <c r="AM46" s="1079">
        <v>2</v>
      </c>
      <c r="AN46" s="1080"/>
      <c r="AO46" s="1080">
        <v>72</v>
      </c>
      <c r="AP46" s="1083">
        <v>74</v>
      </c>
      <c r="AQ46" s="1079">
        <v>7</v>
      </c>
      <c r="AR46" s="1080">
        <v>15</v>
      </c>
      <c r="AS46" s="1080">
        <v>36</v>
      </c>
      <c r="AT46" s="1083">
        <f t="shared" si="36"/>
        <v>58</v>
      </c>
      <c r="AU46" s="1079">
        <v>6</v>
      </c>
      <c r="AV46" s="1080"/>
      <c r="AW46" s="1080">
        <v>82</v>
      </c>
      <c r="AX46" s="1083">
        <f t="shared" si="37"/>
        <v>88</v>
      </c>
      <c r="AY46" s="1079">
        <v>31</v>
      </c>
      <c r="AZ46" s="1080">
        <v>1</v>
      </c>
      <c r="BA46" s="1080">
        <v>49</v>
      </c>
      <c r="BB46" s="1083">
        <f t="shared" si="38"/>
        <v>81</v>
      </c>
      <c r="BC46" s="1079">
        <f>SUM('INSC-POSG plan'!BE80,'INSC-POSG plan'!BE81,'INSC-POSG plan'!BE82,'INSC-POSG plan'!BE83,'INSC-POSG plan'!BE84)</f>
        <v>12</v>
      </c>
      <c r="BD46" s="1080">
        <f>SUM('INSC-POSG plan'!BF80,'INSC-POSG plan'!BF81,'INSC-POSG plan'!BF82,'INSC-POSG plan'!BF83,'INSC-POSG plan'!BF84)</f>
        <v>3</v>
      </c>
      <c r="BE46" s="1080">
        <f>SUM('INSC-POSG plan'!BG80,'INSC-POSG plan'!BG81,'INSC-POSG plan'!BG82,'INSC-POSG plan'!BG83,'INSC-POSG plan'!BG84)</f>
        <v>76</v>
      </c>
      <c r="BF46" s="1083">
        <f t="shared" si="39"/>
        <v>91</v>
      </c>
      <c r="BG46" s="1079">
        <f>SUM('INSC-POSG plan'!BI80,'INSC-POSG plan'!BI81,'INSC-POSG plan'!BI82,'INSC-POSG plan'!BI83,'INSC-POSG plan'!BI84)</f>
        <v>12</v>
      </c>
      <c r="BH46" s="1080">
        <f>SUM('INSC-POSG plan'!BJ80,'INSC-POSG plan'!BJ81,'INSC-POSG plan'!BJ82,'INSC-POSG plan'!BJ83,'INSC-POSG plan'!BJ84)</f>
        <v>2</v>
      </c>
      <c r="BI46" s="1080">
        <f>SUM('INSC-POSG plan'!BK80,'INSC-POSG plan'!BK81,'INSC-POSG plan'!BK82,'INSC-POSG plan'!BK83,'INSC-POSG plan'!BK84)</f>
        <v>22</v>
      </c>
      <c r="BJ46" s="1083">
        <f t="shared" si="42"/>
        <v>36</v>
      </c>
      <c r="BK46" s="1080">
        <f>SUM('INSC-POSG plan'!BM80,'INSC-POSG plan'!BM81,'INSC-POSG plan'!BM82,'INSC-POSG plan'!BM83,'INSC-POSG plan'!BM84)</f>
        <v>17</v>
      </c>
      <c r="BL46" s="1080">
        <f>SUM('INSC-POSG plan'!BN80,'INSC-POSG plan'!BN81,'INSC-POSG plan'!BN82,'INSC-POSG plan'!BN83,'INSC-POSG plan'!BN84)</f>
        <v>0</v>
      </c>
      <c r="BM46" s="1080">
        <f>SUM('INSC-POSG plan'!BO80,'INSC-POSG plan'!BO81,'INSC-POSG plan'!BO82,'INSC-POSG plan'!BO83,'INSC-POSG plan'!BO84)</f>
        <v>91</v>
      </c>
      <c r="BN46" s="1083">
        <f t="shared" si="40"/>
        <v>108</v>
      </c>
      <c r="BO46" s="1080">
        <f>SUM('INSC-POSG plan'!BQ80,'INSC-POSG plan'!BQ81,'INSC-POSG plan'!BQ82,'INSC-POSG plan'!BQ83,'INSC-POSG plan'!BQ84)</f>
        <v>15</v>
      </c>
      <c r="BP46" s="1080">
        <f>SUM('INSC-POSG plan'!BR80,'INSC-POSG plan'!BR81,'INSC-POSG plan'!BR82,'INSC-POSG plan'!BR83,'INSC-POSG plan'!BR84)</f>
        <v>0</v>
      </c>
      <c r="BQ46" s="1080">
        <f>SUM('INSC-POSG plan'!BS80,'INSC-POSG plan'!BS81,'INSC-POSG plan'!BS82,'INSC-POSG plan'!BS83,'INSC-POSG plan'!BS84)</f>
        <v>38</v>
      </c>
      <c r="BR46" s="1083">
        <f t="shared" si="41"/>
        <v>53</v>
      </c>
    </row>
    <row r="47" spans="1:70" s="222" customFormat="1" ht="15" x14ac:dyDescent="0.2">
      <c r="A47" s="5475"/>
      <c r="B47" s="583" t="s">
        <v>14</v>
      </c>
      <c r="C47" s="1195">
        <f>SUM(C44:C46)</f>
        <v>9</v>
      </c>
      <c r="D47" s="1196">
        <f>SUM(D44:D46)</f>
        <v>1</v>
      </c>
      <c r="E47" s="1196">
        <f>SUM(E44:E46)</f>
        <v>129</v>
      </c>
      <c r="F47" s="1197">
        <f t="shared" si="32"/>
        <v>139</v>
      </c>
      <c r="G47" s="1195">
        <f>SUM(G44:G46)</f>
        <v>49</v>
      </c>
      <c r="H47" s="1196">
        <f>SUM(H44:H46)</f>
        <v>5</v>
      </c>
      <c r="I47" s="1196">
        <f>SUM(I44:I46)</f>
        <v>229</v>
      </c>
      <c r="J47" s="1197">
        <f t="shared" si="33"/>
        <v>283</v>
      </c>
      <c r="K47" s="1195">
        <f>SUM(K44:K46)</f>
        <v>38</v>
      </c>
      <c r="L47" s="1196">
        <f>SUM(L44:L46)</f>
        <v>2</v>
      </c>
      <c r="M47" s="1196">
        <f>SUM(M44:M46)</f>
        <v>76</v>
      </c>
      <c r="N47" s="1197">
        <f t="shared" si="34"/>
        <v>116</v>
      </c>
      <c r="O47" s="1195">
        <f>SUM(O44:O46)</f>
        <v>14</v>
      </c>
      <c r="P47" s="1196">
        <f>SUM(P44:P46)</f>
        <v>7</v>
      </c>
      <c r="Q47" s="1196">
        <f>SUM(Q44:Q46)</f>
        <v>332</v>
      </c>
      <c r="R47" s="1197">
        <f t="shared" si="35"/>
        <v>353</v>
      </c>
      <c r="S47" s="1195">
        <v>3</v>
      </c>
      <c r="T47" s="1196"/>
      <c r="U47" s="1196">
        <v>95</v>
      </c>
      <c r="V47" s="1197">
        <v>98</v>
      </c>
      <c r="W47" s="1195">
        <v>1</v>
      </c>
      <c r="X47" s="1196">
        <v>33</v>
      </c>
      <c r="Y47" s="1196">
        <v>129</v>
      </c>
      <c r="Z47" s="1196">
        <v>163</v>
      </c>
      <c r="AA47" s="1195">
        <v>83</v>
      </c>
      <c r="AB47" s="1196"/>
      <c r="AC47" s="1196">
        <v>43</v>
      </c>
      <c r="AD47" s="1197">
        <v>126</v>
      </c>
      <c r="AE47" s="1196">
        <v>105</v>
      </c>
      <c r="AF47" s="1196"/>
      <c r="AG47" s="1196">
        <v>56</v>
      </c>
      <c r="AH47" s="1197">
        <v>161</v>
      </c>
      <c r="AI47" s="1196">
        <v>181</v>
      </c>
      <c r="AJ47" s="1196"/>
      <c r="AK47" s="1196">
        <v>63</v>
      </c>
      <c r="AL47" s="1197">
        <v>244</v>
      </c>
      <c r="AM47" s="584">
        <v>113</v>
      </c>
      <c r="AN47" s="585"/>
      <c r="AO47" s="585">
        <v>209</v>
      </c>
      <c r="AP47" s="586">
        <v>322</v>
      </c>
      <c r="AQ47" s="584">
        <f>SUM(AQ44:AQ46)</f>
        <v>20</v>
      </c>
      <c r="AR47" s="585">
        <f>SUM(AR44:AR46)</f>
        <v>114</v>
      </c>
      <c r="AS47" s="585">
        <f>SUM(AS44:AS46)</f>
        <v>72</v>
      </c>
      <c r="AT47" s="586">
        <f t="shared" si="36"/>
        <v>206</v>
      </c>
      <c r="AU47" s="584">
        <f>SUM(AU44:AU46)</f>
        <v>20</v>
      </c>
      <c r="AV47" s="585"/>
      <c r="AW47" s="585">
        <f>SUM(AW44:AW46)</f>
        <v>289</v>
      </c>
      <c r="AX47" s="586">
        <f t="shared" si="37"/>
        <v>309</v>
      </c>
      <c r="AY47" s="584">
        <f>SUM(AY44:AY46)</f>
        <v>45</v>
      </c>
      <c r="AZ47" s="585">
        <f>SUM(AZ44:AZ46)</f>
        <v>1</v>
      </c>
      <c r="BA47" s="585">
        <f>SUM(BA44:BA46)</f>
        <v>139</v>
      </c>
      <c r="BB47" s="586">
        <f t="shared" si="38"/>
        <v>185</v>
      </c>
      <c r="BC47" s="584">
        <f>SUM(BC44:BC46)</f>
        <v>26</v>
      </c>
      <c r="BD47" s="585">
        <f>SUM(BD44:BD46)</f>
        <v>3</v>
      </c>
      <c r="BE47" s="585">
        <f>SUM(BE44:BE46)</f>
        <v>181</v>
      </c>
      <c r="BF47" s="586">
        <f t="shared" si="39"/>
        <v>210</v>
      </c>
      <c r="BG47" s="584">
        <f>SUM(BG44:BG46)</f>
        <v>38</v>
      </c>
      <c r="BH47" s="585">
        <f>SUM(BH44:BH46)</f>
        <v>2</v>
      </c>
      <c r="BI47" s="585">
        <f>SUM(BI44:BI46)</f>
        <v>72</v>
      </c>
      <c r="BJ47" s="586">
        <f t="shared" si="42"/>
        <v>112</v>
      </c>
      <c r="BK47" s="584">
        <f>SUM(BK44:BK46)</f>
        <v>30</v>
      </c>
      <c r="BL47" s="585">
        <f>SUM(BL44:BL46)</f>
        <v>15</v>
      </c>
      <c r="BM47" s="585">
        <f>SUM(BM44:BM46)</f>
        <v>193</v>
      </c>
      <c r="BN47" s="586">
        <f t="shared" si="40"/>
        <v>238</v>
      </c>
      <c r="BO47" s="584">
        <f>SUM(BO44:BO46)</f>
        <v>58</v>
      </c>
      <c r="BP47" s="585">
        <f>SUM(BP44:BP46)</f>
        <v>1</v>
      </c>
      <c r="BQ47" s="585">
        <f>SUM(BQ44:BQ46)</f>
        <v>108</v>
      </c>
      <c r="BR47" s="586">
        <f t="shared" si="41"/>
        <v>167</v>
      </c>
    </row>
    <row r="48" spans="1:70" ht="15" x14ac:dyDescent="0.2">
      <c r="A48" s="5474" t="s">
        <v>11</v>
      </c>
      <c r="B48" s="1067" t="s">
        <v>631</v>
      </c>
      <c r="C48" s="1334">
        <f>+'INSC-POSG plan'!E86+'INSC-POSG plan'!E87</f>
        <v>0</v>
      </c>
      <c r="D48" s="1335">
        <f>+'INSC-POSG plan'!F86+'INSC-POSG plan'!F87</f>
        <v>0</v>
      </c>
      <c r="E48" s="1335">
        <f>+'INSC-POSG plan'!G86+'INSC-POSG plan'!G87</f>
        <v>17</v>
      </c>
      <c r="F48" s="1336">
        <f t="shared" si="32"/>
        <v>17</v>
      </c>
      <c r="G48" s="1334">
        <f>+'INSC-POSG plan'!I86+'INSC-POSG plan'!I87</f>
        <v>2</v>
      </c>
      <c r="H48" s="1335">
        <f>+'INSC-POSG plan'!J86+'INSC-POSG plan'!J87</f>
        <v>0</v>
      </c>
      <c r="I48" s="1335">
        <f>+'INSC-POSG plan'!K86+'INSC-POSG plan'!K87</f>
        <v>22</v>
      </c>
      <c r="J48" s="1336">
        <f t="shared" si="33"/>
        <v>24</v>
      </c>
      <c r="K48" s="1334">
        <f>+'INSC-POSG plan'!M86+'INSC-POSG plan'!M87</f>
        <v>0</v>
      </c>
      <c r="L48" s="1335">
        <f>+'INSC-POSG plan'!N86+'INSC-POSG plan'!N87</f>
        <v>1</v>
      </c>
      <c r="M48" s="1335">
        <f>+'INSC-POSG plan'!O86+'INSC-POSG plan'!O87</f>
        <v>20</v>
      </c>
      <c r="N48" s="1336">
        <f t="shared" si="34"/>
        <v>21</v>
      </c>
      <c r="O48" s="1334">
        <f>+'INSC-POSG plan'!Q86+'INSC-POSG plan'!Q87</f>
        <v>0</v>
      </c>
      <c r="P48" s="1335">
        <f>+'INSC-POSG plan'!R86+'INSC-POSG plan'!R87</f>
        <v>0</v>
      </c>
      <c r="Q48" s="1335">
        <f>+'INSC-POSG plan'!S86+'INSC-POSG plan'!S87</f>
        <v>22</v>
      </c>
      <c r="R48" s="1336">
        <f t="shared" si="35"/>
        <v>22</v>
      </c>
      <c r="S48" s="1334">
        <v>1</v>
      </c>
      <c r="T48" s="1335">
        <v>2</v>
      </c>
      <c r="U48" s="1335">
        <v>20</v>
      </c>
      <c r="V48" s="1336">
        <v>23</v>
      </c>
      <c r="W48" s="1334"/>
      <c r="X48" s="1335">
        <v>2</v>
      </c>
      <c r="Y48" s="1335">
        <v>20</v>
      </c>
      <c r="Z48" s="1337">
        <v>22</v>
      </c>
      <c r="AA48" s="1334">
        <v>1</v>
      </c>
      <c r="AB48" s="1335">
        <v>4</v>
      </c>
      <c r="AC48" s="1335">
        <v>15</v>
      </c>
      <c r="AD48" s="1336">
        <v>20</v>
      </c>
      <c r="AE48" s="1335">
        <v>10</v>
      </c>
      <c r="AF48" s="1335">
        <v>7</v>
      </c>
      <c r="AG48" s="1335">
        <v>7</v>
      </c>
      <c r="AH48" s="1336">
        <v>24</v>
      </c>
      <c r="AI48" s="1335">
        <v>6</v>
      </c>
      <c r="AJ48" s="1335">
        <v>19</v>
      </c>
      <c r="AK48" s="1335">
        <v>14</v>
      </c>
      <c r="AL48" s="1809">
        <v>39</v>
      </c>
      <c r="AM48" s="1068">
        <v>1</v>
      </c>
      <c r="AN48" s="1069">
        <v>7</v>
      </c>
      <c r="AO48" s="1069">
        <v>14</v>
      </c>
      <c r="AP48" s="1086">
        <v>22</v>
      </c>
      <c r="AQ48" s="1068">
        <v>2</v>
      </c>
      <c r="AR48" s="1069">
        <v>6</v>
      </c>
      <c r="AS48" s="1069">
        <v>15</v>
      </c>
      <c r="AT48" s="1086">
        <f t="shared" si="36"/>
        <v>23</v>
      </c>
      <c r="AU48" s="1068">
        <v>6</v>
      </c>
      <c r="AV48" s="1069">
        <v>6</v>
      </c>
      <c r="AW48" s="1069">
        <v>17</v>
      </c>
      <c r="AX48" s="1086">
        <f t="shared" si="37"/>
        <v>29</v>
      </c>
      <c r="AY48" s="1068">
        <v>7</v>
      </c>
      <c r="AZ48" s="1069">
        <v>5</v>
      </c>
      <c r="BA48" s="1069">
        <v>23</v>
      </c>
      <c r="BB48" s="1086">
        <f t="shared" si="38"/>
        <v>35</v>
      </c>
      <c r="BC48" s="1068">
        <f>SUM('INSC-POSG plan'!BE86,'INSC-POSG plan'!BE87)</f>
        <v>9</v>
      </c>
      <c r="BD48" s="1069">
        <f>SUM('INSC-POSG plan'!BF86,'INSC-POSG plan'!BF87)</f>
        <v>11</v>
      </c>
      <c r="BE48" s="1069">
        <f>SUM('INSC-POSG plan'!BG86,'INSC-POSG plan'!BG87)</f>
        <v>16</v>
      </c>
      <c r="BF48" s="1086">
        <f t="shared" si="39"/>
        <v>36</v>
      </c>
      <c r="BG48" s="1068">
        <f>SUM('INSC-POSG plan'!BI86,'INSC-POSG plan'!BI87)</f>
        <v>4</v>
      </c>
      <c r="BH48" s="1069">
        <f>SUM('INSC-POSG plan'!BJ86,'INSC-POSG plan'!BJ87)</f>
        <v>6</v>
      </c>
      <c r="BI48" s="1069">
        <f>SUM('INSC-POSG plan'!BK86,'INSC-POSG plan'!BK87)</f>
        <v>11</v>
      </c>
      <c r="BJ48" s="1086">
        <f t="shared" si="42"/>
        <v>21</v>
      </c>
      <c r="BK48" s="1068">
        <f>SUM('INSC-POSG plan'!BM86,'INSC-POSG plan'!BM87)</f>
        <v>5</v>
      </c>
      <c r="BL48" s="1069">
        <f>SUM('INSC-POSG plan'!BN86,'INSC-POSG plan'!BN87)</f>
        <v>6</v>
      </c>
      <c r="BM48" s="1069">
        <f>SUM('INSC-POSG plan'!BO86,'INSC-POSG plan'!BO87)</f>
        <v>10</v>
      </c>
      <c r="BN48" s="1086">
        <f t="shared" si="40"/>
        <v>21</v>
      </c>
      <c r="BO48" s="1068">
        <f>SUM('INSC-POSG plan'!BQ86,'INSC-POSG plan'!BQ87)</f>
        <v>6</v>
      </c>
      <c r="BP48" s="1069">
        <f>SUM('INSC-POSG plan'!BR86,'INSC-POSG plan'!BR87)</f>
        <v>6</v>
      </c>
      <c r="BQ48" s="1069">
        <f>SUM('INSC-POSG plan'!BS86,'INSC-POSG plan'!BS87)</f>
        <v>6</v>
      </c>
      <c r="BR48" s="1086">
        <f t="shared" si="41"/>
        <v>18</v>
      </c>
    </row>
    <row r="49" spans="1:70" ht="15" x14ac:dyDescent="0.2">
      <c r="A49" s="5474"/>
      <c r="B49" s="1072" t="s">
        <v>632</v>
      </c>
      <c r="C49" s="1338">
        <f>+'INSC-POSG plan'!E88+'INSC-POSG plan'!E90+'INSC-POSG plan'!E89+'INSC-POSG plan'!E91</f>
        <v>21</v>
      </c>
      <c r="D49" s="1339">
        <f>+'INSC-POSG plan'!F88+'INSC-POSG plan'!F90+'INSC-POSG plan'!F89+'INSC-POSG plan'!F91</f>
        <v>0</v>
      </c>
      <c r="E49" s="1339">
        <f>+'INSC-POSG plan'!G88+'INSC-POSG plan'!G90+'INSC-POSG plan'!G89+'INSC-POSG plan'!G91</f>
        <v>20</v>
      </c>
      <c r="F49" s="1340">
        <f t="shared" si="32"/>
        <v>41</v>
      </c>
      <c r="G49" s="1338">
        <f>+'INSC-POSG plan'!I88+'INSC-POSG plan'!I90+'INSC-POSG plan'!I89+'INSC-POSG plan'!I91</f>
        <v>32</v>
      </c>
      <c r="H49" s="1339">
        <f>+'INSC-POSG plan'!J88+'INSC-POSG plan'!J90+'INSC-POSG plan'!J89+'INSC-POSG plan'!J91</f>
        <v>0</v>
      </c>
      <c r="I49" s="1339">
        <f>+'INSC-POSG plan'!K88+'INSC-POSG plan'!K90+'INSC-POSG plan'!K89+'INSC-POSG plan'!K91</f>
        <v>20</v>
      </c>
      <c r="J49" s="1340">
        <f t="shared" si="33"/>
        <v>52</v>
      </c>
      <c r="K49" s="1338">
        <f>+'INSC-POSG plan'!M88+'INSC-POSG plan'!M90+'INSC-POSG plan'!M89+'INSC-POSG plan'!M91</f>
        <v>16</v>
      </c>
      <c r="L49" s="1339">
        <f>+'INSC-POSG plan'!N88+'INSC-POSG plan'!N90+'INSC-POSG plan'!N89+'INSC-POSG plan'!N91</f>
        <v>0</v>
      </c>
      <c r="M49" s="1339">
        <f>+'INSC-POSG plan'!O88+'INSC-POSG plan'!O90+'INSC-POSG plan'!O89+'INSC-POSG plan'!O91</f>
        <v>51</v>
      </c>
      <c r="N49" s="1340">
        <f t="shared" si="34"/>
        <v>67</v>
      </c>
      <c r="O49" s="1338">
        <f>+'INSC-POSG plan'!Q88+'INSC-POSG plan'!Q90+'INSC-POSG plan'!Q89+'INSC-POSG plan'!Q91</f>
        <v>12</v>
      </c>
      <c r="P49" s="1339">
        <f>+'INSC-POSG plan'!R88+'INSC-POSG plan'!R90+'INSC-POSG plan'!R89+'INSC-POSG plan'!R91</f>
        <v>0</v>
      </c>
      <c r="Q49" s="1339">
        <f>+'INSC-POSG plan'!S88+'INSC-POSG plan'!S90+'INSC-POSG plan'!S89+'INSC-POSG plan'!S91</f>
        <v>61</v>
      </c>
      <c r="R49" s="1340">
        <f t="shared" si="35"/>
        <v>73</v>
      </c>
      <c r="S49" s="1338">
        <v>6</v>
      </c>
      <c r="T49" s="1339"/>
      <c r="U49" s="1339">
        <v>31</v>
      </c>
      <c r="V49" s="1340">
        <v>37</v>
      </c>
      <c r="W49" s="1338">
        <v>6</v>
      </c>
      <c r="X49" s="1339"/>
      <c r="Y49" s="1339">
        <v>12</v>
      </c>
      <c r="Z49" s="1341">
        <v>18</v>
      </c>
      <c r="AA49" s="1338">
        <v>4</v>
      </c>
      <c r="AB49" s="1339"/>
      <c r="AC49" s="1339">
        <v>29</v>
      </c>
      <c r="AD49" s="1340">
        <v>33</v>
      </c>
      <c r="AE49" s="1339"/>
      <c r="AF49" s="1339"/>
      <c r="AG49" s="1339">
        <v>36</v>
      </c>
      <c r="AH49" s="1340">
        <v>36</v>
      </c>
      <c r="AI49" s="1339"/>
      <c r="AJ49" s="1339"/>
      <c r="AK49" s="1339">
        <v>56</v>
      </c>
      <c r="AL49" s="1810">
        <v>56</v>
      </c>
      <c r="AM49" s="1073"/>
      <c r="AN49" s="1074"/>
      <c r="AO49" s="1074">
        <v>52</v>
      </c>
      <c r="AP49" s="1077">
        <v>52</v>
      </c>
      <c r="AQ49" s="1073"/>
      <c r="AR49" s="1074"/>
      <c r="AS49" s="1074">
        <v>57</v>
      </c>
      <c r="AT49" s="1077">
        <f t="shared" si="36"/>
        <v>57</v>
      </c>
      <c r="AU49" s="1073">
        <v>0</v>
      </c>
      <c r="AV49" s="1074"/>
      <c r="AW49" s="1074">
        <v>46</v>
      </c>
      <c r="AX49" s="1077">
        <f t="shared" si="37"/>
        <v>46</v>
      </c>
      <c r="AY49" s="1073"/>
      <c r="AZ49" s="1074"/>
      <c r="BA49" s="1074">
        <v>69</v>
      </c>
      <c r="BB49" s="1077">
        <f t="shared" si="38"/>
        <v>69</v>
      </c>
      <c r="BC49" s="1073">
        <f>SUM('INSC-POSG plan'!BE88,'INSC-POSG plan'!BE90,'INSC-POSG plan'!BE89,'INSC-POSG plan'!BE91)</f>
        <v>8</v>
      </c>
      <c r="BD49" s="1074"/>
      <c r="BE49" s="1074">
        <f>SUM('INSC-POSG plan'!BG88,'INSC-POSG plan'!BG90,'INSC-POSG plan'!BG89,'INSC-POSG plan'!BG91)</f>
        <v>54</v>
      </c>
      <c r="BF49" s="1077">
        <f t="shared" si="39"/>
        <v>62</v>
      </c>
      <c r="BG49" s="1073"/>
      <c r="BH49" s="1074"/>
      <c r="BI49" s="1074">
        <f>SUM('INSC-POSG plan'!BK88,'INSC-POSG plan'!BK90,'INSC-POSG plan'!BK89,'INSC-POSG plan'!BK91)</f>
        <v>78</v>
      </c>
      <c r="BJ49" s="1077">
        <f t="shared" si="42"/>
        <v>78</v>
      </c>
      <c r="BK49" s="1074">
        <f>SUM('INSC-POSG plan'!BM88,'INSC-POSG plan'!BM90,'INSC-POSG plan'!BM89,'INSC-POSG plan'!BM91)</f>
        <v>0</v>
      </c>
      <c r="BL49" s="1074">
        <f>SUM('INSC-POSG plan'!BN88,'INSC-POSG plan'!BN90,'INSC-POSG plan'!BN89,'INSC-POSG plan'!BN91)</f>
        <v>0</v>
      </c>
      <c r="BM49" s="1074">
        <f>SUM('INSC-POSG plan'!BO88,'INSC-POSG plan'!BO90,'INSC-POSG plan'!BO89,'INSC-POSG plan'!BO91)</f>
        <v>69</v>
      </c>
      <c r="BN49" s="1077">
        <f t="shared" si="40"/>
        <v>69</v>
      </c>
      <c r="BO49" s="1074">
        <f>SUM('INSC-POSG plan'!BQ88,'INSC-POSG plan'!BQ90,'INSC-POSG plan'!BQ89,'INSC-POSG plan'!BQ91)</f>
        <v>0</v>
      </c>
      <c r="BP49" s="1074">
        <f>SUM('INSC-POSG plan'!BR88,'INSC-POSG plan'!BR90,'INSC-POSG plan'!BR89,'INSC-POSG plan'!BR91)</f>
        <v>0</v>
      </c>
      <c r="BQ49" s="1074">
        <f>SUM('INSC-POSG plan'!BS88,'INSC-POSG plan'!BS90,'INSC-POSG plan'!BS89,'INSC-POSG plan'!BS91)</f>
        <v>66</v>
      </c>
      <c r="BR49" s="1077">
        <f t="shared" si="41"/>
        <v>66</v>
      </c>
    </row>
    <row r="50" spans="1:70" ht="15" x14ac:dyDescent="0.2">
      <c r="A50" s="5474"/>
      <c r="B50" s="1078" t="s">
        <v>633</v>
      </c>
      <c r="C50" s="1349">
        <f>+'INSC-POSG plan'!E92+'INSC-POSG plan'!E93+'INSC-POSG plan'!E94</f>
        <v>4</v>
      </c>
      <c r="D50" s="1350">
        <f>+'INSC-POSG plan'!F92+'INSC-POSG plan'!F93+'INSC-POSG plan'!F94</f>
        <v>0</v>
      </c>
      <c r="E50" s="1350">
        <f>+'INSC-POSG plan'!G92+'INSC-POSG plan'!G93+'INSC-POSG plan'!G94</f>
        <v>23</v>
      </c>
      <c r="F50" s="1351">
        <f t="shared" si="32"/>
        <v>27</v>
      </c>
      <c r="G50" s="1349">
        <f>+'INSC-POSG plan'!I92+'INSC-POSG plan'!I93+'INSC-POSG plan'!I94</f>
        <v>7</v>
      </c>
      <c r="H50" s="1350">
        <f>+'INSC-POSG plan'!J92+'INSC-POSG plan'!J93+'INSC-POSG plan'!J94</f>
        <v>2</v>
      </c>
      <c r="I50" s="1350">
        <f>+'INSC-POSG plan'!K92+'INSC-POSG plan'!K93+'INSC-POSG plan'!K94</f>
        <v>16</v>
      </c>
      <c r="J50" s="1351">
        <f t="shared" si="33"/>
        <v>25</v>
      </c>
      <c r="K50" s="1349">
        <f>+'INSC-POSG plan'!M92+'INSC-POSG plan'!M93+'INSC-POSG plan'!M94</f>
        <v>3</v>
      </c>
      <c r="L50" s="1350">
        <f>+'INSC-POSG plan'!N92+'INSC-POSG plan'!N93+'INSC-POSG plan'!N94</f>
        <v>2</v>
      </c>
      <c r="M50" s="1350">
        <f>+'INSC-POSG plan'!O92+'INSC-POSG plan'!O93+'INSC-POSG plan'!O94</f>
        <v>20</v>
      </c>
      <c r="N50" s="1351">
        <f t="shared" si="34"/>
        <v>25</v>
      </c>
      <c r="O50" s="1349">
        <f>+'INSC-POSG plan'!Q92+'INSC-POSG plan'!Q93+'INSC-POSG plan'!Q94</f>
        <v>15</v>
      </c>
      <c r="P50" s="1350">
        <f>+'INSC-POSG plan'!R92+'INSC-POSG plan'!R93+'INSC-POSG plan'!R94</f>
        <v>1</v>
      </c>
      <c r="Q50" s="1350">
        <f>+'INSC-POSG plan'!S92+'INSC-POSG plan'!S93+'INSC-POSG plan'!S94</f>
        <v>19</v>
      </c>
      <c r="R50" s="1351">
        <f t="shared" si="35"/>
        <v>35</v>
      </c>
      <c r="S50" s="1349">
        <v>16</v>
      </c>
      <c r="T50" s="1350"/>
      <c r="U50" s="1350">
        <v>7</v>
      </c>
      <c r="V50" s="1351">
        <v>23</v>
      </c>
      <c r="W50" s="1349">
        <v>16</v>
      </c>
      <c r="X50" s="1350"/>
      <c r="Y50" s="1350">
        <v>22</v>
      </c>
      <c r="Z50" s="1352">
        <v>38</v>
      </c>
      <c r="AA50" s="1349">
        <v>31</v>
      </c>
      <c r="AB50" s="1350"/>
      <c r="AC50" s="1350">
        <v>13</v>
      </c>
      <c r="AD50" s="1351">
        <v>44</v>
      </c>
      <c r="AE50" s="1350">
        <v>12</v>
      </c>
      <c r="AF50" s="1350"/>
      <c r="AG50" s="1350">
        <v>8</v>
      </c>
      <c r="AH50" s="1351">
        <v>20</v>
      </c>
      <c r="AI50" s="1350">
        <v>10</v>
      </c>
      <c r="AJ50" s="1350"/>
      <c r="AK50" s="1350">
        <v>7</v>
      </c>
      <c r="AL50" s="1811">
        <v>17</v>
      </c>
      <c r="AM50" s="1079">
        <v>8</v>
      </c>
      <c r="AN50" s="1080"/>
      <c r="AO50" s="1080">
        <v>20</v>
      </c>
      <c r="AP50" s="1083">
        <v>28</v>
      </c>
      <c r="AQ50" s="1079">
        <v>11</v>
      </c>
      <c r="AR50" s="1080"/>
      <c r="AS50" s="1080">
        <v>16</v>
      </c>
      <c r="AT50" s="1083">
        <f t="shared" si="36"/>
        <v>27</v>
      </c>
      <c r="AU50" s="1079">
        <v>27</v>
      </c>
      <c r="AV50" s="1080"/>
      <c r="AW50" s="1080">
        <v>27</v>
      </c>
      <c r="AX50" s="1083">
        <f t="shared" si="37"/>
        <v>54</v>
      </c>
      <c r="AY50" s="1079">
        <v>13</v>
      </c>
      <c r="AZ50" s="1080"/>
      <c r="BA50" s="1080">
        <v>36</v>
      </c>
      <c r="BB50" s="1083">
        <f t="shared" si="38"/>
        <v>49</v>
      </c>
      <c r="BC50" s="1079">
        <f>SUM('INSC-POSG plan'!BE92,'INSC-POSG plan'!BE93,'INSC-POSG plan'!BE94)</f>
        <v>24</v>
      </c>
      <c r="BD50" s="1080"/>
      <c r="BE50" s="1080">
        <f>SUM('INSC-POSG plan'!BG92,'INSC-POSG plan'!BG93,'INSC-POSG plan'!BG94)</f>
        <v>32</v>
      </c>
      <c r="BF50" s="1083">
        <f t="shared" si="39"/>
        <v>56</v>
      </c>
      <c r="BG50" s="1079">
        <f>SUM('INSC-POSG plan'!BI92,'INSC-POSG plan'!BI93,'INSC-POSG plan'!BI94)</f>
        <v>21</v>
      </c>
      <c r="BH50" s="1080"/>
      <c r="BI50" s="1080">
        <f>SUM('INSC-POSG plan'!BK92,'INSC-POSG plan'!BK93,'INSC-POSG plan'!BK94)</f>
        <v>25</v>
      </c>
      <c r="BJ50" s="1083">
        <f t="shared" si="42"/>
        <v>46</v>
      </c>
      <c r="BK50" s="1080">
        <f>SUM('INSC-POSG plan'!BM92,'INSC-POSG plan'!BM93,'INSC-POSG plan'!BM94)</f>
        <v>28</v>
      </c>
      <c r="BL50" s="1080">
        <f>SUM('INSC-POSG plan'!BN92,'INSC-POSG plan'!BN93,'INSC-POSG plan'!BN94)</f>
        <v>0</v>
      </c>
      <c r="BM50" s="1080">
        <f>SUM('INSC-POSG plan'!BO92,'INSC-POSG plan'!BO93,'INSC-POSG plan'!BO94)</f>
        <v>30</v>
      </c>
      <c r="BN50" s="1083">
        <f t="shared" si="40"/>
        <v>58</v>
      </c>
      <c r="BO50" s="1080">
        <f>SUM('INSC-POSG plan'!BQ92,'INSC-POSG plan'!BQ93,'INSC-POSG plan'!BQ94)</f>
        <v>22</v>
      </c>
      <c r="BP50" s="1080">
        <f>SUM('INSC-POSG plan'!BR92,'INSC-POSG plan'!BR93,'INSC-POSG plan'!BR94)</f>
        <v>0</v>
      </c>
      <c r="BQ50" s="1080">
        <f>SUM('INSC-POSG plan'!BS92,'INSC-POSG plan'!BS93,'INSC-POSG plan'!BS94)</f>
        <v>34</v>
      </c>
      <c r="BR50" s="1083">
        <f t="shared" si="41"/>
        <v>56</v>
      </c>
    </row>
    <row r="51" spans="1:70" s="222" customFormat="1" ht="15" x14ac:dyDescent="0.2">
      <c r="A51" s="5475"/>
      <c r="B51" s="583" t="s">
        <v>30</v>
      </c>
      <c r="C51" s="1195">
        <f>SUM(C48:C50)</f>
        <v>25</v>
      </c>
      <c r="D51" s="1196">
        <f>SUM(D48:D50)</f>
        <v>0</v>
      </c>
      <c r="E51" s="1196">
        <f>SUM(E48:E50)</f>
        <v>60</v>
      </c>
      <c r="F51" s="1197">
        <f t="shared" si="32"/>
        <v>85</v>
      </c>
      <c r="G51" s="1195">
        <f>SUM(G48:G50)</f>
        <v>41</v>
      </c>
      <c r="H51" s="1196">
        <f>SUM(H48:H50)</f>
        <v>2</v>
      </c>
      <c r="I51" s="1196">
        <f>SUM(I48:I50)</f>
        <v>58</v>
      </c>
      <c r="J51" s="1197">
        <f t="shared" si="33"/>
        <v>101</v>
      </c>
      <c r="K51" s="1195">
        <f>SUM(K48:K50)</f>
        <v>19</v>
      </c>
      <c r="L51" s="1196">
        <f>SUM(L48:L50)</f>
        <v>3</v>
      </c>
      <c r="M51" s="1196">
        <f>SUM(M48:M50)</f>
        <v>91</v>
      </c>
      <c r="N51" s="1197">
        <f t="shared" si="34"/>
        <v>113</v>
      </c>
      <c r="O51" s="1195">
        <f>SUM(O48:O50)</f>
        <v>27</v>
      </c>
      <c r="P51" s="1196">
        <f>SUM(P48:P50)</f>
        <v>1</v>
      </c>
      <c r="Q51" s="1196">
        <f>SUM(Q48:Q50)</f>
        <v>102</v>
      </c>
      <c r="R51" s="1197">
        <f t="shared" si="35"/>
        <v>130</v>
      </c>
      <c r="S51" s="1195">
        <v>23</v>
      </c>
      <c r="T51" s="1196">
        <v>2</v>
      </c>
      <c r="U51" s="1196">
        <v>58</v>
      </c>
      <c r="V51" s="1197">
        <v>83</v>
      </c>
      <c r="W51" s="1195">
        <v>22</v>
      </c>
      <c r="X51" s="1196">
        <v>2</v>
      </c>
      <c r="Y51" s="1196">
        <v>54</v>
      </c>
      <c r="Z51" s="1196">
        <v>78</v>
      </c>
      <c r="AA51" s="1195">
        <v>36</v>
      </c>
      <c r="AB51" s="1196">
        <v>4</v>
      </c>
      <c r="AC51" s="1196">
        <v>57</v>
      </c>
      <c r="AD51" s="1197">
        <v>97</v>
      </c>
      <c r="AE51" s="1196">
        <v>22</v>
      </c>
      <c r="AF51" s="1196">
        <v>7</v>
      </c>
      <c r="AG51" s="1196">
        <v>51</v>
      </c>
      <c r="AH51" s="1197">
        <v>80</v>
      </c>
      <c r="AI51" s="1196">
        <v>16</v>
      </c>
      <c r="AJ51" s="1196">
        <v>19</v>
      </c>
      <c r="AK51" s="1196">
        <v>77</v>
      </c>
      <c r="AL51" s="1197">
        <v>112</v>
      </c>
      <c r="AM51" s="584">
        <v>9</v>
      </c>
      <c r="AN51" s="585">
        <v>7</v>
      </c>
      <c r="AO51" s="585">
        <v>86</v>
      </c>
      <c r="AP51" s="586">
        <v>102</v>
      </c>
      <c r="AQ51" s="584">
        <f>SUM(AQ48:AQ50)</f>
        <v>13</v>
      </c>
      <c r="AR51" s="585">
        <f>SUM(AR48:AR50)</f>
        <v>6</v>
      </c>
      <c r="AS51" s="585">
        <f>SUM(AS48:AS50)</f>
        <v>88</v>
      </c>
      <c r="AT51" s="586">
        <f t="shared" si="36"/>
        <v>107</v>
      </c>
      <c r="AU51" s="584">
        <f>SUM(AU48:AU50)</f>
        <v>33</v>
      </c>
      <c r="AV51" s="585">
        <f>SUM(AV48:AV50)</f>
        <v>6</v>
      </c>
      <c r="AW51" s="585">
        <f>SUM(AW48:AW50)</f>
        <v>90</v>
      </c>
      <c r="AX51" s="586">
        <f t="shared" si="37"/>
        <v>129</v>
      </c>
      <c r="AY51" s="584">
        <f>SUM(AY48:AY50)</f>
        <v>20</v>
      </c>
      <c r="AZ51" s="585">
        <f>SUM(AZ48:AZ50)</f>
        <v>5</v>
      </c>
      <c r="BA51" s="585">
        <f>SUM(BA48:BA50)</f>
        <v>128</v>
      </c>
      <c r="BB51" s="586">
        <f t="shared" si="38"/>
        <v>153</v>
      </c>
      <c r="BC51" s="584">
        <f>SUM(BC48:BC50)</f>
        <v>41</v>
      </c>
      <c r="BD51" s="585">
        <f>SUM(BD48:BD50)</f>
        <v>11</v>
      </c>
      <c r="BE51" s="585">
        <f>SUM(BE48:BE50)</f>
        <v>102</v>
      </c>
      <c r="BF51" s="586">
        <f t="shared" si="39"/>
        <v>154</v>
      </c>
      <c r="BG51" s="584">
        <f>SUM(BG48:BG50)</f>
        <v>25</v>
      </c>
      <c r="BH51" s="585">
        <f>SUM(BH48:BH50)</f>
        <v>6</v>
      </c>
      <c r="BI51" s="585">
        <f>SUM(BI48:BI50)</f>
        <v>114</v>
      </c>
      <c r="BJ51" s="586">
        <f t="shared" si="42"/>
        <v>145</v>
      </c>
      <c r="BK51" s="584">
        <f>SUM(BK48:BK50)</f>
        <v>33</v>
      </c>
      <c r="BL51" s="585">
        <f>SUM(BL48:BL50)</f>
        <v>6</v>
      </c>
      <c r="BM51" s="585">
        <f>SUM(BM48:BM50)</f>
        <v>109</v>
      </c>
      <c r="BN51" s="586">
        <f t="shared" si="40"/>
        <v>148</v>
      </c>
      <c r="BO51" s="584">
        <f>SUM(BO48:BO50)</f>
        <v>28</v>
      </c>
      <c r="BP51" s="585">
        <f>SUM(BP48:BP50)</f>
        <v>6</v>
      </c>
      <c r="BQ51" s="585">
        <f>SUM(BQ48:BQ50)</f>
        <v>106</v>
      </c>
      <c r="BR51" s="586">
        <f t="shared" si="41"/>
        <v>140</v>
      </c>
    </row>
    <row r="52" spans="1:70" ht="15" x14ac:dyDescent="0.2">
      <c r="A52" s="5476" t="s">
        <v>696</v>
      </c>
      <c r="B52" s="1067" t="s">
        <v>631</v>
      </c>
      <c r="C52" s="1334">
        <f>+C40+C44+C48</f>
        <v>0</v>
      </c>
      <c r="D52" s="1335">
        <f t="shared" ref="D52:E54" si="43">+D40+D44+D48</f>
        <v>0</v>
      </c>
      <c r="E52" s="1335">
        <f t="shared" si="43"/>
        <v>29</v>
      </c>
      <c r="F52" s="1336">
        <f t="shared" si="32"/>
        <v>29</v>
      </c>
      <c r="G52" s="1334">
        <f t="shared" ref="G52:I54" si="44">+G40+G44+G48</f>
        <v>2</v>
      </c>
      <c r="H52" s="1335">
        <f t="shared" si="44"/>
        <v>0</v>
      </c>
      <c r="I52" s="1335">
        <f t="shared" si="44"/>
        <v>31</v>
      </c>
      <c r="J52" s="1336">
        <f t="shared" si="33"/>
        <v>33</v>
      </c>
      <c r="K52" s="1334">
        <f t="shared" ref="K52:M54" si="45">+K40+K44+K48</f>
        <v>0</v>
      </c>
      <c r="L52" s="1335">
        <f t="shared" si="45"/>
        <v>1</v>
      </c>
      <c r="M52" s="1335">
        <f t="shared" si="45"/>
        <v>33</v>
      </c>
      <c r="N52" s="1336">
        <f t="shared" si="34"/>
        <v>34</v>
      </c>
      <c r="O52" s="1334">
        <f t="shared" ref="O52:Q54" si="46">+O40+O44+O48</f>
        <v>0</v>
      </c>
      <c r="P52" s="1335">
        <f t="shared" si="46"/>
        <v>0</v>
      </c>
      <c r="Q52" s="1335">
        <f t="shared" si="46"/>
        <v>47</v>
      </c>
      <c r="R52" s="1336">
        <f t="shared" si="35"/>
        <v>47</v>
      </c>
      <c r="S52" s="1334">
        <v>1</v>
      </c>
      <c r="T52" s="1335">
        <v>2</v>
      </c>
      <c r="U52" s="1335">
        <v>61</v>
      </c>
      <c r="V52" s="1336">
        <v>64</v>
      </c>
      <c r="W52" s="1334">
        <v>0</v>
      </c>
      <c r="X52" s="1335">
        <v>2</v>
      </c>
      <c r="Y52" s="1335">
        <v>93</v>
      </c>
      <c r="Z52" s="1337">
        <v>95</v>
      </c>
      <c r="AA52" s="1334">
        <v>1</v>
      </c>
      <c r="AB52" s="1335">
        <v>4</v>
      </c>
      <c r="AC52" s="1335">
        <v>15</v>
      </c>
      <c r="AD52" s="1336">
        <v>20</v>
      </c>
      <c r="AE52" s="1335">
        <v>96</v>
      </c>
      <c r="AF52" s="1335">
        <v>7</v>
      </c>
      <c r="AG52" s="1335">
        <v>7</v>
      </c>
      <c r="AH52" s="1336">
        <v>110</v>
      </c>
      <c r="AI52" s="1335">
        <v>96</v>
      </c>
      <c r="AJ52" s="1335">
        <v>19</v>
      </c>
      <c r="AK52" s="1335">
        <v>33</v>
      </c>
      <c r="AL52" s="1809">
        <v>148</v>
      </c>
      <c r="AM52" s="1068">
        <v>102</v>
      </c>
      <c r="AN52" s="1069">
        <v>7</v>
      </c>
      <c r="AO52" s="1069">
        <v>14</v>
      </c>
      <c r="AP52" s="1086">
        <v>123</v>
      </c>
      <c r="AQ52" s="1068">
        <f t="shared" ref="AQ52:AX55" si="47">AQ40+AQ44+AQ48</f>
        <v>2</v>
      </c>
      <c r="AR52" s="1069">
        <f t="shared" si="47"/>
        <v>105</v>
      </c>
      <c r="AS52" s="1069">
        <f t="shared" si="47"/>
        <v>31</v>
      </c>
      <c r="AT52" s="1086">
        <f t="shared" si="47"/>
        <v>138</v>
      </c>
      <c r="AU52" s="1068">
        <f t="shared" si="47"/>
        <v>6</v>
      </c>
      <c r="AV52" s="1069">
        <f t="shared" si="47"/>
        <v>6</v>
      </c>
      <c r="AW52" s="1069">
        <f t="shared" si="47"/>
        <v>121</v>
      </c>
      <c r="AX52" s="1086">
        <f t="shared" si="47"/>
        <v>133</v>
      </c>
      <c r="AY52" s="1068">
        <f>SUM(AY40,AY44,AY48)</f>
        <v>7</v>
      </c>
      <c r="AZ52" s="1069">
        <f>SUM(AZ40,AZ44,AZ48)</f>
        <v>5</v>
      </c>
      <c r="BA52" s="1069">
        <f>SUM(BA40,BA44,BA48)</f>
        <v>95</v>
      </c>
      <c r="BB52" s="1086">
        <f>SUM(AY52:BA52)</f>
        <v>107</v>
      </c>
      <c r="BC52" s="1068">
        <f t="shared" ref="BC52:BE54" si="48">SUM(BC40,BC44,BC48)</f>
        <v>9</v>
      </c>
      <c r="BD52" s="1069">
        <f t="shared" si="48"/>
        <v>11</v>
      </c>
      <c r="BE52" s="1069">
        <f t="shared" si="48"/>
        <v>16</v>
      </c>
      <c r="BF52" s="1086">
        <f>SUM(BC52:BE52)</f>
        <v>36</v>
      </c>
      <c r="BG52" s="1068">
        <f t="shared" ref="BG52:BI54" si="49">SUM(BG40,BG44,BG48)</f>
        <v>4</v>
      </c>
      <c r="BH52" s="1069">
        <f t="shared" si="49"/>
        <v>6</v>
      </c>
      <c r="BI52" s="1069">
        <f t="shared" si="49"/>
        <v>47</v>
      </c>
      <c r="BJ52" s="1086">
        <f>SUM(BG52:BI52)</f>
        <v>57</v>
      </c>
      <c r="BK52" s="1068">
        <f t="shared" ref="BK52:BM54" si="50">SUM(BK40,BK44,BK48)</f>
        <v>5</v>
      </c>
      <c r="BL52" s="1069">
        <f t="shared" si="50"/>
        <v>6</v>
      </c>
      <c r="BM52" s="1069">
        <f t="shared" si="50"/>
        <v>25</v>
      </c>
      <c r="BN52" s="1086">
        <f>SUM(BK52:BM52)</f>
        <v>36</v>
      </c>
      <c r="BO52" s="1068">
        <f t="shared" ref="BO52:BQ52" si="51">SUM(BO40,BO44,BO48)</f>
        <v>39</v>
      </c>
      <c r="BP52" s="1069">
        <f t="shared" si="51"/>
        <v>7</v>
      </c>
      <c r="BQ52" s="1069">
        <f t="shared" si="51"/>
        <v>30</v>
      </c>
      <c r="BR52" s="1086">
        <f>SUM(BO52:BQ52)</f>
        <v>76</v>
      </c>
    </row>
    <row r="53" spans="1:70" ht="15" x14ac:dyDescent="0.2">
      <c r="A53" s="5476"/>
      <c r="B53" s="1072" t="s">
        <v>632</v>
      </c>
      <c r="C53" s="1338">
        <f>+C41+C45+C49</f>
        <v>39</v>
      </c>
      <c r="D53" s="1339">
        <f t="shared" si="43"/>
        <v>9</v>
      </c>
      <c r="E53" s="1339">
        <f t="shared" si="43"/>
        <v>145</v>
      </c>
      <c r="F53" s="1340">
        <f t="shared" si="32"/>
        <v>193</v>
      </c>
      <c r="G53" s="1338">
        <f t="shared" si="44"/>
        <v>88</v>
      </c>
      <c r="H53" s="1339">
        <f t="shared" si="44"/>
        <v>12</v>
      </c>
      <c r="I53" s="1339">
        <f t="shared" si="44"/>
        <v>187</v>
      </c>
      <c r="J53" s="1340">
        <f t="shared" si="33"/>
        <v>287</v>
      </c>
      <c r="K53" s="1338">
        <f t="shared" si="45"/>
        <v>45</v>
      </c>
      <c r="L53" s="1339">
        <f t="shared" si="45"/>
        <v>15</v>
      </c>
      <c r="M53" s="1339">
        <f t="shared" si="45"/>
        <v>139</v>
      </c>
      <c r="N53" s="1340">
        <f t="shared" si="34"/>
        <v>199</v>
      </c>
      <c r="O53" s="1338">
        <f t="shared" si="46"/>
        <v>40</v>
      </c>
      <c r="P53" s="1339">
        <f t="shared" si="46"/>
        <v>10</v>
      </c>
      <c r="Q53" s="1339">
        <f t="shared" si="46"/>
        <v>304</v>
      </c>
      <c r="R53" s="1340">
        <f t="shared" si="35"/>
        <v>354</v>
      </c>
      <c r="S53" s="1338">
        <v>8</v>
      </c>
      <c r="T53" s="1339">
        <v>5</v>
      </c>
      <c r="U53" s="1339">
        <v>74</v>
      </c>
      <c r="V53" s="1340">
        <v>87</v>
      </c>
      <c r="W53" s="1338">
        <v>13</v>
      </c>
      <c r="X53" s="1339">
        <v>8</v>
      </c>
      <c r="Y53" s="1339">
        <v>56</v>
      </c>
      <c r="Z53" s="1341">
        <v>77</v>
      </c>
      <c r="AA53" s="1338">
        <v>79</v>
      </c>
      <c r="AB53" s="1339">
        <v>13</v>
      </c>
      <c r="AC53" s="1339">
        <v>95</v>
      </c>
      <c r="AD53" s="1340">
        <v>187</v>
      </c>
      <c r="AE53" s="1339">
        <v>12</v>
      </c>
      <c r="AF53" s="1339">
        <v>12</v>
      </c>
      <c r="AG53" s="1339">
        <v>112</v>
      </c>
      <c r="AH53" s="1340">
        <v>136</v>
      </c>
      <c r="AI53" s="1339">
        <v>80</v>
      </c>
      <c r="AJ53" s="1339">
        <v>8</v>
      </c>
      <c r="AK53" s="1339">
        <v>106</v>
      </c>
      <c r="AL53" s="1810">
        <v>194</v>
      </c>
      <c r="AM53" s="1073">
        <v>26</v>
      </c>
      <c r="AN53" s="1074">
        <v>8</v>
      </c>
      <c r="AO53" s="1074">
        <v>235</v>
      </c>
      <c r="AP53" s="1077">
        <v>269</v>
      </c>
      <c r="AQ53" s="1073">
        <f t="shared" si="47"/>
        <v>20</v>
      </c>
      <c r="AR53" s="1074">
        <f t="shared" si="47"/>
        <v>4</v>
      </c>
      <c r="AS53" s="1074">
        <f t="shared" si="47"/>
        <v>135</v>
      </c>
      <c r="AT53" s="1077">
        <f t="shared" si="47"/>
        <v>159</v>
      </c>
      <c r="AU53" s="1073">
        <f t="shared" si="47"/>
        <v>26</v>
      </c>
      <c r="AV53" s="1074">
        <f t="shared" si="47"/>
        <v>7</v>
      </c>
      <c r="AW53" s="1074">
        <f t="shared" si="47"/>
        <v>196</v>
      </c>
      <c r="AX53" s="1077">
        <f t="shared" si="47"/>
        <v>229</v>
      </c>
      <c r="AY53" s="1073">
        <f t="shared" ref="AY53:BA54" si="52">SUM(AY41,AY45,AY49)</f>
        <v>29</v>
      </c>
      <c r="AZ53" s="1074">
        <f t="shared" si="52"/>
        <v>16</v>
      </c>
      <c r="BA53" s="1074">
        <f t="shared" si="52"/>
        <v>144</v>
      </c>
      <c r="BB53" s="1077">
        <f>SUM(AY53:BA53)</f>
        <v>189</v>
      </c>
      <c r="BC53" s="1073">
        <f t="shared" si="48"/>
        <v>38</v>
      </c>
      <c r="BD53" s="1074">
        <f t="shared" si="48"/>
        <v>7</v>
      </c>
      <c r="BE53" s="1074">
        <f t="shared" si="48"/>
        <v>220</v>
      </c>
      <c r="BF53" s="1077">
        <f>SUM(BC53:BE53)</f>
        <v>265</v>
      </c>
      <c r="BG53" s="1073">
        <f t="shared" si="49"/>
        <v>61</v>
      </c>
      <c r="BH53" s="1074">
        <f t="shared" si="49"/>
        <v>5</v>
      </c>
      <c r="BI53" s="1074">
        <f t="shared" si="49"/>
        <v>146</v>
      </c>
      <c r="BJ53" s="1077">
        <f>SUM(BG53:BI53)</f>
        <v>212</v>
      </c>
      <c r="BK53" s="1073">
        <f t="shared" si="50"/>
        <v>37</v>
      </c>
      <c r="BL53" s="1074">
        <f t="shared" si="50"/>
        <v>20</v>
      </c>
      <c r="BM53" s="1074">
        <f t="shared" si="50"/>
        <v>205</v>
      </c>
      <c r="BN53" s="1077">
        <f>SUM(BK53:BM53)</f>
        <v>262</v>
      </c>
      <c r="BO53" s="1073">
        <f t="shared" ref="BO53:BQ53" si="53">SUM(BO41,BO45,BO49)</f>
        <v>38</v>
      </c>
      <c r="BP53" s="1074">
        <f t="shared" si="53"/>
        <v>13</v>
      </c>
      <c r="BQ53" s="1074">
        <f t="shared" si="53"/>
        <v>166</v>
      </c>
      <c r="BR53" s="1077">
        <f>SUM(BO53:BQ53)</f>
        <v>217</v>
      </c>
    </row>
    <row r="54" spans="1:70" ht="15" x14ac:dyDescent="0.2">
      <c r="A54" s="5476"/>
      <c r="B54" s="1078" t="s">
        <v>633</v>
      </c>
      <c r="C54" s="1349">
        <f>+C42+C46+C50</f>
        <v>23</v>
      </c>
      <c r="D54" s="1350">
        <f t="shared" si="43"/>
        <v>11</v>
      </c>
      <c r="E54" s="1350">
        <f t="shared" si="43"/>
        <v>71</v>
      </c>
      <c r="F54" s="1351">
        <f t="shared" si="32"/>
        <v>105</v>
      </c>
      <c r="G54" s="1349">
        <f t="shared" si="44"/>
        <v>40</v>
      </c>
      <c r="H54" s="1350">
        <f t="shared" si="44"/>
        <v>10</v>
      </c>
      <c r="I54" s="1350">
        <f t="shared" si="44"/>
        <v>134</v>
      </c>
      <c r="J54" s="1351">
        <f t="shared" si="33"/>
        <v>184</v>
      </c>
      <c r="K54" s="1349">
        <f t="shared" si="45"/>
        <v>66</v>
      </c>
      <c r="L54" s="1350">
        <f t="shared" si="45"/>
        <v>16</v>
      </c>
      <c r="M54" s="1350">
        <f t="shared" si="45"/>
        <v>52</v>
      </c>
      <c r="N54" s="1351">
        <f t="shared" si="34"/>
        <v>134</v>
      </c>
      <c r="O54" s="1349">
        <f t="shared" si="46"/>
        <v>45</v>
      </c>
      <c r="P54" s="1350">
        <f t="shared" si="46"/>
        <v>17</v>
      </c>
      <c r="Q54" s="1350">
        <f t="shared" si="46"/>
        <v>140</v>
      </c>
      <c r="R54" s="1351">
        <f t="shared" si="35"/>
        <v>202</v>
      </c>
      <c r="S54" s="1349">
        <v>30</v>
      </c>
      <c r="T54" s="1350">
        <v>8</v>
      </c>
      <c r="U54" s="1350">
        <v>58</v>
      </c>
      <c r="V54" s="1351">
        <v>96</v>
      </c>
      <c r="W54" s="1349">
        <v>29</v>
      </c>
      <c r="X54" s="1350">
        <v>42</v>
      </c>
      <c r="Y54" s="1350">
        <v>74</v>
      </c>
      <c r="Z54" s="1352">
        <v>145</v>
      </c>
      <c r="AA54" s="1349">
        <v>70</v>
      </c>
      <c r="AB54" s="1350">
        <v>12</v>
      </c>
      <c r="AC54" s="1350">
        <v>44</v>
      </c>
      <c r="AD54" s="1351">
        <v>126</v>
      </c>
      <c r="AE54" s="1350">
        <v>33</v>
      </c>
      <c r="AF54" s="1350">
        <v>4</v>
      </c>
      <c r="AG54" s="1350">
        <v>37</v>
      </c>
      <c r="AH54" s="1351">
        <v>74</v>
      </c>
      <c r="AI54" s="1350">
        <v>36</v>
      </c>
      <c r="AJ54" s="1350">
        <v>2</v>
      </c>
      <c r="AK54" s="1350">
        <v>36</v>
      </c>
      <c r="AL54" s="1811">
        <v>74</v>
      </c>
      <c r="AM54" s="1079">
        <v>14</v>
      </c>
      <c r="AN54" s="1080">
        <v>2</v>
      </c>
      <c r="AO54" s="1080">
        <v>106</v>
      </c>
      <c r="AP54" s="1083">
        <v>122</v>
      </c>
      <c r="AQ54" s="1079">
        <f t="shared" si="47"/>
        <v>22</v>
      </c>
      <c r="AR54" s="1080">
        <f t="shared" si="47"/>
        <v>19</v>
      </c>
      <c r="AS54" s="1080">
        <f t="shared" si="47"/>
        <v>64</v>
      </c>
      <c r="AT54" s="1083">
        <f t="shared" si="47"/>
        <v>105</v>
      </c>
      <c r="AU54" s="1079">
        <f t="shared" si="47"/>
        <v>46</v>
      </c>
      <c r="AV54" s="1080">
        <f t="shared" si="47"/>
        <v>2</v>
      </c>
      <c r="AW54" s="1080">
        <f t="shared" si="47"/>
        <v>119</v>
      </c>
      <c r="AX54" s="1083">
        <f t="shared" si="47"/>
        <v>167</v>
      </c>
      <c r="AY54" s="1079">
        <f t="shared" si="52"/>
        <v>62</v>
      </c>
      <c r="AZ54" s="1080">
        <f t="shared" si="52"/>
        <v>7</v>
      </c>
      <c r="BA54" s="1080">
        <f t="shared" si="52"/>
        <v>107</v>
      </c>
      <c r="BB54" s="1083">
        <f>SUM(AY54:BA54)</f>
        <v>176</v>
      </c>
      <c r="BC54" s="1079">
        <f t="shared" si="48"/>
        <v>53</v>
      </c>
      <c r="BD54" s="1080">
        <f t="shared" si="48"/>
        <v>12</v>
      </c>
      <c r="BE54" s="1080">
        <f t="shared" si="48"/>
        <v>124</v>
      </c>
      <c r="BF54" s="1083">
        <f>SUM(BC54:BE54)</f>
        <v>189</v>
      </c>
      <c r="BG54" s="1079">
        <f t="shared" si="49"/>
        <v>59</v>
      </c>
      <c r="BH54" s="1080">
        <f t="shared" si="49"/>
        <v>13</v>
      </c>
      <c r="BI54" s="1080">
        <f t="shared" si="49"/>
        <v>63</v>
      </c>
      <c r="BJ54" s="1083">
        <f>SUM(BG54:BI54)</f>
        <v>135</v>
      </c>
      <c r="BK54" s="1079">
        <f t="shared" si="50"/>
        <v>56</v>
      </c>
      <c r="BL54" s="1080">
        <f t="shared" si="50"/>
        <v>10</v>
      </c>
      <c r="BM54" s="1080">
        <f t="shared" si="50"/>
        <v>144</v>
      </c>
      <c r="BN54" s="1083">
        <f>SUM(BK54:BM54)</f>
        <v>210</v>
      </c>
      <c r="BO54" s="1079">
        <f t="shared" ref="BO54:BQ54" si="54">SUM(BO42,BO46,BO50)</f>
        <v>51</v>
      </c>
      <c r="BP54" s="1080">
        <f t="shared" si="54"/>
        <v>9</v>
      </c>
      <c r="BQ54" s="1080">
        <f t="shared" si="54"/>
        <v>92</v>
      </c>
      <c r="BR54" s="1083">
        <f>SUM(BO54:BQ54)</f>
        <v>152</v>
      </c>
    </row>
    <row r="55" spans="1:70" s="222" customFormat="1" ht="15" x14ac:dyDescent="0.2">
      <c r="A55" s="5477"/>
      <c r="B55" s="2619" t="s">
        <v>12</v>
      </c>
      <c r="C55" s="2652">
        <f>SUM(C52:C54)</f>
        <v>62</v>
      </c>
      <c r="D55" s="2653">
        <f>SUM(D52:D54)</f>
        <v>20</v>
      </c>
      <c r="E55" s="2653">
        <f>SUM(E52:E54)</f>
        <v>245</v>
      </c>
      <c r="F55" s="2654">
        <f t="shared" si="32"/>
        <v>327</v>
      </c>
      <c r="G55" s="2652">
        <f>SUM(G52:G54)</f>
        <v>130</v>
      </c>
      <c r="H55" s="2653">
        <f>SUM(H52:H54)</f>
        <v>22</v>
      </c>
      <c r="I55" s="2653">
        <f>SUM(I52:I54)</f>
        <v>352</v>
      </c>
      <c r="J55" s="2654">
        <f t="shared" si="33"/>
        <v>504</v>
      </c>
      <c r="K55" s="2652">
        <f>SUM(K52:K54)</f>
        <v>111</v>
      </c>
      <c r="L55" s="2653">
        <f>SUM(L52:L54)</f>
        <v>32</v>
      </c>
      <c r="M55" s="2653">
        <f>SUM(M52:M54)</f>
        <v>224</v>
      </c>
      <c r="N55" s="2654">
        <f t="shared" si="34"/>
        <v>367</v>
      </c>
      <c r="O55" s="2652">
        <f>SUM(O52:O54)</f>
        <v>85</v>
      </c>
      <c r="P55" s="2653">
        <f>SUM(P52:P54)</f>
        <v>27</v>
      </c>
      <c r="Q55" s="2653">
        <f>SUM(Q52:Q54)</f>
        <v>491</v>
      </c>
      <c r="R55" s="2654">
        <f t="shared" si="35"/>
        <v>603</v>
      </c>
      <c r="S55" s="2652">
        <f>SUM(S52:S54)</f>
        <v>39</v>
      </c>
      <c r="T55" s="2653">
        <f>SUM(T52:T54)</f>
        <v>15</v>
      </c>
      <c r="U55" s="2653">
        <f>SUM(U52:U54)</f>
        <v>193</v>
      </c>
      <c r="V55" s="2654">
        <f>SUM(V52:V54)</f>
        <v>247</v>
      </c>
      <c r="W55" s="2652">
        <f t="shared" ref="W55:AL55" si="55">SUM(W52:W54)</f>
        <v>42</v>
      </c>
      <c r="X55" s="2653">
        <f t="shared" si="55"/>
        <v>52</v>
      </c>
      <c r="Y55" s="2653">
        <f t="shared" si="55"/>
        <v>223</v>
      </c>
      <c r="Z55" s="2653">
        <f t="shared" si="55"/>
        <v>317</v>
      </c>
      <c r="AA55" s="2652">
        <f t="shared" si="55"/>
        <v>150</v>
      </c>
      <c r="AB55" s="2653">
        <f t="shared" si="55"/>
        <v>29</v>
      </c>
      <c r="AC55" s="2653">
        <f t="shared" si="55"/>
        <v>154</v>
      </c>
      <c r="AD55" s="2654">
        <f t="shared" si="55"/>
        <v>333</v>
      </c>
      <c r="AE55" s="2653">
        <f t="shared" si="55"/>
        <v>141</v>
      </c>
      <c r="AF55" s="2653">
        <f t="shared" si="55"/>
        <v>23</v>
      </c>
      <c r="AG55" s="2653">
        <f t="shared" si="55"/>
        <v>156</v>
      </c>
      <c r="AH55" s="2654">
        <f t="shared" si="55"/>
        <v>320</v>
      </c>
      <c r="AI55" s="2653">
        <f t="shared" si="55"/>
        <v>212</v>
      </c>
      <c r="AJ55" s="2653">
        <f t="shared" si="55"/>
        <v>29</v>
      </c>
      <c r="AK55" s="2653">
        <f t="shared" si="55"/>
        <v>175</v>
      </c>
      <c r="AL55" s="2654">
        <f t="shared" si="55"/>
        <v>416</v>
      </c>
      <c r="AM55" s="2620">
        <v>142</v>
      </c>
      <c r="AN55" s="2621">
        <v>17</v>
      </c>
      <c r="AO55" s="2621">
        <v>355</v>
      </c>
      <c r="AP55" s="2622">
        <v>514</v>
      </c>
      <c r="AQ55" s="2620">
        <f t="shared" si="47"/>
        <v>44</v>
      </c>
      <c r="AR55" s="2621">
        <f t="shared" si="47"/>
        <v>128</v>
      </c>
      <c r="AS55" s="2621">
        <f t="shared" si="47"/>
        <v>230</v>
      </c>
      <c r="AT55" s="2622">
        <f t="shared" si="47"/>
        <v>402</v>
      </c>
      <c r="AU55" s="2620">
        <f t="shared" si="47"/>
        <v>78</v>
      </c>
      <c r="AV55" s="2621">
        <f t="shared" si="47"/>
        <v>15</v>
      </c>
      <c r="AW55" s="2621">
        <f t="shared" si="47"/>
        <v>436</v>
      </c>
      <c r="AX55" s="2622">
        <f t="shared" si="47"/>
        <v>529</v>
      </c>
      <c r="AY55" s="2620">
        <f t="shared" ref="AY55:BF55" si="56">SUM(AY52:AY54)</f>
        <v>98</v>
      </c>
      <c r="AZ55" s="2621">
        <f t="shared" si="56"/>
        <v>28</v>
      </c>
      <c r="BA55" s="2621">
        <f t="shared" si="56"/>
        <v>346</v>
      </c>
      <c r="BB55" s="2622">
        <f t="shared" si="56"/>
        <v>472</v>
      </c>
      <c r="BC55" s="2620">
        <f t="shared" si="56"/>
        <v>100</v>
      </c>
      <c r="BD55" s="2621">
        <f t="shared" si="56"/>
        <v>30</v>
      </c>
      <c r="BE55" s="2621">
        <f t="shared" si="56"/>
        <v>360</v>
      </c>
      <c r="BF55" s="2622">
        <f t="shared" si="56"/>
        <v>490</v>
      </c>
      <c r="BG55" s="2620">
        <f t="shared" ref="BG55:BN55" si="57">SUM(BG52:BG54)</f>
        <v>124</v>
      </c>
      <c r="BH55" s="2621">
        <f t="shared" si="57"/>
        <v>24</v>
      </c>
      <c r="BI55" s="2621">
        <f t="shared" si="57"/>
        <v>256</v>
      </c>
      <c r="BJ55" s="2622">
        <f t="shared" si="57"/>
        <v>404</v>
      </c>
      <c r="BK55" s="2620">
        <f t="shared" si="57"/>
        <v>98</v>
      </c>
      <c r="BL55" s="2621">
        <f t="shared" si="57"/>
        <v>36</v>
      </c>
      <c r="BM55" s="2621">
        <f t="shared" si="57"/>
        <v>374</v>
      </c>
      <c r="BN55" s="2622">
        <f t="shared" si="57"/>
        <v>508</v>
      </c>
      <c r="BO55" s="2620">
        <f t="shared" ref="BO55:BR55" si="58">SUM(BO52:BO54)</f>
        <v>128</v>
      </c>
      <c r="BP55" s="2621">
        <f t="shared" si="58"/>
        <v>29</v>
      </c>
      <c r="BQ55" s="2621">
        <f t="shared" si="58"/>
        <v>288</v>
      </c>
      <c r="BR55" s="2622">
        <f t="shared" si="58"/>
        <v>445</v>
      </c>
    </row>
    <row r="56" spans="1:70" s="222" customFormat="1" ht="15" x14ac:dyDescent="0.2">
      <c r="A56" s="936"/>
      <c r="B56" s="936"/>
      <c r="C56" s="936"/>
      <c r="D56" s="936"/>
      <c r="E56" s="936"/>
      <c r="F56" s="936"/>
      <c r="G56" s="936"/>
      <c r="H56" s="936"/>
      <c r="I56" s="936"/>
      <c r="J56" s="936"/>
      <c r="K56" s="936"/>
      <c r="L56" s="936"/>
      <c r="M56" s="936"/>
      <c r="N56" s="936"/>
      <c r="O56" s="936"/>
      <c r="P56" s="936"/>
      <c r="Q56" s="936"/>
      <c r="R56" s="936"/>
      <c r="S56" s="936"/>
      <c r="T56" s="936"/>
      <c r="U56" s="936"/>
      <c r="V56" s="936"/>
      <c r="W56" s="936"/>
      <c r="X56" s="936"/>
      <c r="Y56" s="936"/>
      <c r="Z56" s="936"/>
      <c r="AA56" s="936"/>
      <c r="AB56" s="936"/>
      <c r="AC56" s="936"/>
      <c r="AD56" s="936"/>
      <c r="AE56" s="936"/>
      <c r="AF56" s="936"/>
      <c r="AG56" s="936"/>
      <c r="AH56" s="936"/>
      <c r="AI56" s="936"/>
      <c r="AJ56" s="936"/>
      <c r="AK56" s="936"/>
      <c r="AL56" s="263"/>
      <c r="AM56" s="936"/>
      <c r="AN56" s="936"/>
      <c r="AO56" s="936"/>
      <c r="AP56" s="263"/>
      <c r="AQ56" s="936"/>
      <c r="AR56" s="936"/>
      <c r="AS56" s="936"/>
      <c r="AT56" s="263"/>
      <c r="AU56" s="936"/>
      <c r="AV56" s="936"/>
      <c r="AW56" s="936"/>
      <c r="AX56" s="263"/>
      <c r="AY56" s="936"/>
      <c r="AZ56" s="936"/>
      <c r="BA56" s="936"/>
      <c r="BB56" s="263"/>
      <c r="BC56" s="936"/>
      <c r="BD56" s="936"/>
      <c r="BE56" s="936"/>
      <c r="BF56" s="263"/>
      <c r="BG56" s="936"/>
      <c r="BH56" s="936"/>
      <c r="BI56" s="936"/>
      <c r="BJ56" s="263"/>
      <c r="BK56" s="936"/>
      <c r="BL56" s="936"/>
      <c r="BM56" s="936"/>
      <c r="BN56" s="263"/>
      <c r="BO56" s="936"/>
      <c r="BP56" s="936"/>
      <c r="BQ56" s="936"/>
      <c r="BR56" s="263"/>
    </row>
    <row r="57" spans="1:70" ht="15" x14ac:dyDescent="0.2">
      <c r="A57" s="5478" t="s">
        <v>6</v>
      </c>
      <c r="B57" s="1067" t="s">
        <v>631</v>
      </c>
      <c r="C57" s="1334">
        <f>+'INSC-POSG plan'!E97+'INSC-POSG plan'!E98</f>
        <v>0</v>
      </c>
      <c r="D57" s="1335">
        <f>+'INSC-POSG plan'!F97+'INSC-POSG plan'!F98</f>
        <v>0</v>
      </c>
      <c r="E57" s="1335">
        <f>+'INSC-POSG plan'!G97+'INSC-POSG plan'!G98</f>
        <v>0</v>
      </c>
      <c r="F57" s="1336">
        <f t="shared" si="32"/>
        <v>0</v>
      </c>
      <c r="G57" s="1334">
        <f>+'INSC-POSG plan'!I97+'INSC-POSG plan'!I98</f>
        <v>42</v>
      </c>
      <c r="H57" s="1335">
        <f>+'INSC-POSG plan'!J97+'INSC-POSG plan'!J98</f>
        <v>0</v>
      </c>
      <c r="I57" s="1335">
        <f>+'INSC-POSG plan'!K97+'INSC-POSG plan'!K98</f>
        <v>36</v>
      </c>
      <c r="J57" s="1336">
        <f t="shared" ref="J57:J72" si="59">SUM(G57:I57)</f>
        <v>78</v>
      </c>
      <c r="K57" s="1334">
        <f>+'INSC-POSG plan'!M97+'INSC-POSG plan'!M98</f>
        <v>5</v>
      </c>
      <c r="L57" s="1335">
        <f>+'INSC-POSG plan'!N97+'INSC-POSG plan'!N98</f>
        <v>0</v>
      </c>
      <c r="M57" s="1335">
        <f>+'INSC-POSG plan'!O97+'INSC-POSG plan'!O98</f>
        <v>44</v>
      </c>
      <c r="N57" s="1336">
        <f t="shared" ref="N57:N77" si="60">SUM(K57:M57)</f>
        <v>49</v>
      </c>
      <c r="O57" s="1334">
        <f>+'INSC-POSG plan'!Q97+'INSC-POSG plan'!Q98</f>
        <v>5</v>
      </c>
      <c r="P57" s="1335">
        <f>+'INSC-POSG plan'!R97+'INSC-POSG plan'!R98</f>
        <v>3</v>
      </c>
      <c r="Q57" s="1335">
        <f>+'INSC-POSG plan'!S97+'INSC-POSG plan'!S98</f>
        <v>32</v>
      </c>
      <c r="R57" s="1336">
        <f t="shared" ref="R57:R77" si="61">SUM(O57:Q57)</f>
        <v>40</v>
      </c>
      <c r="S57" s="1334"/>
      <c r="T57" s="1335"/>
      <c r="U57" s="1335"/>
      <c r="V57" s="1336"/>
      <c r="W57" s="1334"/>
      <c r="X57" s="1335"/>
      <c r="Y57" s="1335">
        <v>5</v>
      </c>
      <c r="Z57" s="1337">
        <v>5</v>
      </c>
      <c r="AA57" s="1334">
        <v>0</v>
      </c>
      <c r="AB57" s="1335"/>
      <c r="AC57" s="1335"/>
      <c r="AD57" s="1336"/>
      <c r="AE57" s="1335"/>
      <c r="AF57" s="1335"/>
      <c r="AG57" s="1335">
        <v>5</v>
      </c>
      <c r="AH57" s="1336">
        <v>5</v>
      </c>
      <c r="AI57" s="1335"/>
      <c r="AJ57" s="1335"/>
      <c r="AK57" s="1335">
        <v>17</v>
      </c>
      <c r="AL57" s="1809">
        <v>17</v>
      </c>
      <c r="AM57" s="1068"/>
      <c r="AN57" s="1069"/>
      <c r="AO57" s="1069">
        <v>21</v>
      </c>
      <c r="AP57" s="1086">
        <v>21</v>
      </c>
      <c r="AQ57" s="1068"/>
      <c r="AR57" s="1069"/>
      <c r="AS57" s="1069">
        <v>2</v>
      </c>
      <c r="AT57" s="1086">
        <f t="shared" ref="AT57:AT64" si="62">SUM(AQ57:AS57)</f>
        <v>2</v>
      </c>
      <c r="AU57" s="1068"/>
      <c r="AV57" s="1069"/>
      <c r="AW57" s="1069">
        <v>19</v>
      </c>
      <c r="AX57" s="1086">
        <f>SUM(AU57:AW57)</f>
        <v>19</v>
      </c>
      <c r="AY57" s="1068"/>
      <c r="AZ57" s="1069"/>
      <c r="BA57" s="1069">
        <v>35</v>
      </c>
      <c r="BB57" s="1086">
        <f>SUM(AY57:BA57)</f>
        <v>35</v>
      </c>
      <c r="BC57" s="1068"/>
      <c r="BD57" s="1069"/>
      <c r="BE57" s="1069"/>
      <c r="BF57" s="1086"/>
      <c r="BG57" s="1068"/>
      <c r="BH57" s="1069"/>
      <c r="BI57" s="1069">
        <f>SUM('INSC-POSG plan'!BK97:BK98)</f>
        <v>34</v>
      </c>
      <c r="BJ57" s="1086">
        <f>SUM(BG57:BI57)</f>
        <v>34</v>
      </c>
      <c r="BK57" s="1068">
        <f>SUM('INSC-POSG plan'!BM97:BM98)</f>
        <v>0</v>
      </c>
      <c r="BL57" s="1069">
        <f>SUM('INSC-POSG plan'!BN97:BN98)</f>
        <v>0</v>
      </c>
      <c r="BM57" s="1069">
        <f>SUM('INSC-POSG plan'!BO97:BO98)</f>
        <v>0</v>
      </c>
      <c r="BN57" s="1086">
        <f>SUM(BK57:BM57)</f>
        <v>0</v>
      </c>
      <c r="BO57" s="1068">
        <f>SUM('INSC-POSG plan'!BQ97:BQ98)</f>
        <v>0</v>
      </c>
      <c r="BP57" s="1069">
        <f>SUM('INSC-POSG plan'!BR97:BR98)</f>
        <v>0</v>
      </c>
      <c r="BQ57" s="1069">
        <f>SUM('INSC-POSG plan'!BS97:BS98)</f>
        <v>0</v>
      </c>
      <c r="BR57" s="1086">
        <f>SUM(BO57:BQ57)</f>
        <v>0</v>
      </c>
    </row>
    <row r="58" spans="1:70" ht="15" x14ac:dyDescent="0.2">
      <c r="A58" s="5479"/>
      <c r="B58" s="1072" t="s">
        <v>632</v>
      </c>
      <c r="C58" s="1338">
        <f>+'INSC-POSG plan'!E99+'INSC-POSG plan'!E100+'INSC-POSG plan'!E101+'INSC-POSG plan'!E102+'INSC-POSG plan'!E103+'INSC-POSG plan'!E104+'INSC-POSG plan'!E105+'INSC-POSG plan'!E106+'INSC-POSG plan'!E107</f>
        <v>3</v>
      </c>
      <c r="D58" s="1339">
        <f>+'INSC-POSG plan'!F99+'INSC-POSG plan'!F100+'INSC-POSG plan'!F101+'INSC-POSG plan'!F102+'INSC-POSG plan'!F103+'INSC-POSG plan'!F104+'INSC-POSG plan'!F105+'INSC-POSG plan'!F106+'INSC-POSG plan'!F107</f>
        <v>15</v>
      </c>
      <c r="E58" s="1339">
        <f>+'INSC-POSG plan'!G99+'INSC-POSG plan'!G100+'INSC-POSG plan'!G101+'INSC-POSG plan'!G102+'INSC-POSG plan'!G103+'INSC-POSG plan'!G104+'INSC-POSG plan'!G105+'INSC-POSG plan'!G106+'INSC-POSG plan'!G107</f>
        <v>18</v>
      </c>
      <c r="F58" s="1340">
        <f t="shared" si="32"/>
        <v>36</v>
      </c>
      <c r="G58" s="1338">
        <f>+'INSC-POSG plan'!I99+'INSC-POSG plan'!I100+'INSC-POSG plan'!I101+'INSC-POSG plan'!I102+'INSC-POSG plan'!I103+'INSC-POSG plan'!I104+'INSC-POSG plan'!I105+'INSC-POSG plan'!I106+'INSC-POSG plan'!I107</f>
        <v>13</v>
      </c>
      <c r="H58" s="1339">
        <f>+'INSC-POSG plan'!J99+'INSC-POSG plan'!J100+'INSC-POSG plan'!J101+'INSC-POSG plan'!J102+'INSC-POSG plan'!J103+'INSC-POSG plan'!J104+'INSC-POSG plan'!J105+'INSC-POSG plan'!J106+'INSC-POSG plan'!J107</f>
        <v>25</v>
      </c>
      <c r="I58" s="1339">
        <f>+'INSC-POSG plan'!K99+'INSC-POSG plan'!K100+'INSC-POSG plan'!K101+'INSC-POSG plan'!K102+'INSC-POSG plan'!K103+'INSC-POSG plan'!K104+'INSC-POSG plan'!K105+'INSC-POSG plan'!K106+'INSC-POSG plan'!K107</f>
        <v>78</v>
      </c>
      <c r="J58" s="1340">
        <f t="shared" si="59"/>
        <v>116</v>
      </c>
      <c r="K58" s="1338">
        <f>+'INSC-POSG plan'!M99+'INSC-POSG plan'!M100+'INSC-POSG plan'!M101+'INSC-POSG plan'!M102+'INSC-POSG plan'!M103+'INSC-POSG plan'!M104+'INSC-POSG plan'!M105+'INSC-POSG plan'!M106+'INSC-POSG plan'!M107</f>
        <v>39</v>
      </c>
      <c r="L58" s="1339">
        <f>+'INSC-POSG plan'!N99+'INSC-POSG plan'!N100+'INSC-POSG plan'!N101+'INSC-POSG plan'!N102+'INSC-POSG plan'!N103+'INSC-POSG plan'!N104+'INSC-POSG plan'!N105+'INSC-POSG plan'!N106+'INSC-POSG plan'!N107</f>
        <v>29</v>
      </c>
      <c r="M58" s="1339">
        <f>+'INSC-POSG plan'!O99+'INSC-POSG plan'!O100+'INSC-POSG plan'!O101+'INSC-POSG plan'!O102+'INSC-POSG plan'!O103+'INSC-POSG plan'!O104+'INSC-POSG plan'!O105+'INSC-POSG plan'!O106+'INSC-POSG plan'!O107</f>
        <v>5</v>
      </c>
      <c r="N58" s="1340">
        <f t="shared" si="60"/>
        <v>73</v>
      </c>
      <c r="O58" s="1338">
        <f>+'INSC-POSG plan'!Q99+'INSC-POSG plan'!Q100+'INSC-POSG plan'!Q101+'INSC-POSG plan'!Q102+'INSC-POSG plan'!Q103+'INSC-POSG plan'!Q104+'INSC-POSG plan'!Q105+'INSC-POSG plan'!Q106+'INSC-POSG plan'!Q107</f>
        <v>12</v>
      </c>
      <c r="P58" s="1339">
        <f>+'INSC-POSG plan'!R99+'INSC-POSG plan'!R100+'INSC-POSG plan'!R101+'INSC-POSG plan'!R102+'INSC-POSG plan'!R103+'INSC-POSG plan'!R104+'INSC-POSG plan'!R105+'INSC-POSG plan'!R106+'INSC-POSG plan'!R107</f>
        <v>56</v>
      </c>
      <c r="Q58" s="1339">
        <f>+'INSC-POSG plan'!S99+'INSC-POSG plan'!S100+'INSC-POSG plan'!S101+'INSC-POSG plan'!S102+'INSC-POSG plan'!S103+'INSC-POSG plan'!S104+'INSC-POSG plan'!S105+'INSC-POSG plan'!S106+'INSC-POSG plan'!S107</f>
        <v>73</v>
      </c>
      <c r="R58" s="1340">
        <f t="shared" si="61"/>
        <v>141</v>
      </c>
      <c r="S58" s="1338">
        <v>0</v>
      </c>
      <c r="T58" s="1339">
        <v>13</v>
      </c>
      <c r="U58" s="1339">
        <v>29</v>
      </c>
      <c r="V58" s="1340">
        <v>42</v>
      </c>
      <c r="W58" s="1338">
        <v>4</v>
      </c>
      <c r="X58" s="1339"/>
      <c r="Y58" s="1339">
        <v>121</v>
      </c>
      <c r="Z58" s="1341">
        <v>125</v>
      </c>
      <c r="AA58" s="1338">
        <v>2</v>
      </c>
      <c r="AB58" s="1339"/>
      <c r="AC58" s="1339">
        <v>30</v>
      </c>
      <c r="AD58" s="1340">
        <v>32</v>
      </c>
      <c r="AE58" s="1339">
        <v>10</v>
      </c>
      <c r="AF58" s="1339"/>
      <c r="AG58" s="1339">
        <v>115</v>
      </c>
      <c r="AH58" s="1340">
        <v>125</v>
      </c>
      <c r="AI58" s="1339"/>
      <c r="AJ58" s="1339"/>
      <c r="AK58" s="1339">
        <v>38</v>
      </c>
      <c r="AL58" s="1810">
        <v>38</v>
      </c>
      <c r="AM58" s="1073"/>
      <c r="AN58" s="1074"/>
      <c r="AO58" s="1074">
        <v>115</v>
      </c>
      <c r="AP58" s="1077">
        <v>115</v>
      </c>
      <c r="AQ58" s="1073"/>
      <c r="AR58" s="1074"/>
      <c r="AS58" s="1074">
        <v>38</v>
      </c>
      <c r="AT58" s="1077">
        <f t="shared" si="62"/>
        <v>38</v>
      </c>
      <c r="AU58" s="1073"/>
      <c r="AV58" s="1074"/>
      <c r="AW58" s="1074">
        <v>106</v>
      </c>
      <c r="AX58" s="1077">
        <f>SUM(AU58:AW58)</f>
        <v>106</v>
      </c>
      <c r="AY58" s="1073"/>
      <c r="AZ58" s="1074"/>
      <c r="BA58" s="1074">
        <v>21</v>
      </c>
      <c r="BB58" s="1077">
        <f>SUM(AY58:BA58)</f>
        <v>21</v>
      </c>
      <c r="BC58" s="1073">
        <f>SUM('INSC-POSG plan'!BE99,'INSC-POSG plan'!BE100,'INSC-POSG plan'!BE101:BE107)</f>
        <v>19</v>
      </c>
      <c r="BD58" s="1074"/>
      <c r="BE58" s="1074">
        <f>SUM('INSC-POSG plan'!BG99,'INSC-POSG plan'!BG100,'INSC-POSG plan'!BG101:BG107)</f>
        <v>139</v>
      </c>
      <c r="BF58" s="1077">
        <f>SUM(BC58:BE58)</f>
        <v>158</v>
      </c>
      <c r="BG58" s="1073"/>
      <c r="BH58" s="1074"/>
      <c r="BI58" s="1074"/>
      <c r="BJ58" s="1077">
        <f>SUM(BG58:BI58)</f>
        <v>0</v>
      </c>
      <c r="BK58" s="1073">
        <f>SUM('INSC-POSG plan'!BM99:BM107)</f>
        <v>21</v>
      </c>
      <c r="BL58" s="1074">
        <f>SUM('INSC-POSG plan'!BN99:BN107)</f>
        <v>0</v>
      </c>
      <c r="BM58" s="1074">
        <f>SUM('INSC-POSG plan'!BO99:BO107)</f>
        <v>151</v>
      </c>
      <c r="BN58" s="1077">
        <f>SUM(BK58:BM58)</f>
        <v>172</v>
      </c>
      <c r="BO58" s="1073">
        <f>SUM('INSC-POSG plan'!BQ99:BQ107)</f>
        <v>0</v>
      </c>
      <c r="BP58" s="1074">
        <f>SUM('INSC-POSG plan'!BR99:BR107)</f>
        <v>0</v>
      </c>
      <c r="BQ58" s="1074">
        <f>SUM('INSC-POSG plan'!BS99:BS107)</f>
        <v>35</v>
      </c>
      <c r="BR58" s="1077">
        <f>SUM(BO58:BQ58)</f>
        <v>35</v>
      </c>
    </row>
    <row r="59" spans="1:70" ht="15" x14ac:dyDescent="0.2">
      <c r="A59" s="5479"/>
      <c r="B59" s="1078" t="s">
        <v>633</v>
      </c>
      <c r="C59" s="1349">
        <f>+'INSC-POSG plan'!E108+'INSC-POSG plan'!E109+'INSC-POSG plan'!E110</f>
        <v>50</v>
      </c>
      <c r="D59" s="1350">
        <f>+'INSC-POSG plan'!F108+'INSC-POSG plan'!F109+'INSC-POSG plan'!F110</f>
        <v>0</v>
      </c>
      <c r="E59" s="1350">
        <f>+'INSC-POSG plan'!G108+'INSC-POSG plan'!G109+'INSC-POSG plan'!G110</f>
        <v>0</v>
      </c>
      <c r="F59" s="1351">
        <f t="shared" si="32"/>
        <v>50</v>
      </c>
      <c r="G59" s="1349">
        <f>+'INSC-POSG plan'!I108+'INSC-POSG plan'!I109+'INSC-POSG plan'!I110</f>
        <v>3</v>
      </c>
      <c r="H59" s="1350">
        <f>+'INSC-POSG plan'!J108+'INSC-POSG plan'!J109+'INSC-POSG plan'!J110</f>
        <v>14</v>
      </c>
      <c r="I59" s="1350">
        <f>+'INSC-POSG plan'!K108+'INSC-POSG plan'!K109+'INSC-POSG plan'!K110</f>
        <v>0</v>
      </c>
      <c r="J59" s="1351">
        <f t="shared" si="59"/>
        <v>17</v>
      </c>
      <c r="K59" s="1349">
        <f>+'INSC-POSG plan'!M108+'INSC-POSG plan'!M109+'INSC-POSG plan'!M110</f>
        <v>35</v>
      </c>
      <c r="L59" s="1350">
        <f>+'INSC-POSG plan'!N108+'INSC-POSG plan'!N109+'INSC-POSG plan'!N110</f>
        <v>0</v>
      </c>
      <c r="M59" s="1350">
        <f>+'INSC-POSG plan'!O108+'INSC-POSG plan'!O109+'INSC-POSG plan'!O110</f>
        <v>0</v>
      </c>
      <c r="N59" s="1351">
        <f t="shared" si="60"/>
        <v>35</v>
      </c>
      <c r="O59" s="1349">
        <f>+'INSC-POSG plan'!Q108+'INSC-POSG plan'!Q109+'INSC-POSG plan'!Q110</f>
        <v>13</v>
      </c>
      <c r="P59" s="1350">
        <f>+'INSC-POSG plan'!R108+'INSC-POSG plan'!R109+'INSC-POSG plan'!R110</f>
        <v>0</v>
      </c>
      <c r="Q59" s="1350">
        <f>+'INSC-POSG plan'!S108+'INSC-POSG plan'!S109+'INSC-POSG plan'!S110</f>
        <v>0</v>
      </c>
      <c r="R59" s="1351">
        <f t="shared" si="61"/>
        <v>13</v>
      </c>
      <c r="S59" s="1349">
        <v>51</v>
      </c>
      <c r="T59" s="1350">
        <v>0</v>
      </c>
      <c r="U59" s="1350">
        <v>14</v>
      </c>
      <c r="V59" s="1351">
        <v>65</v>
      </c>
      <c r="W59" s="1349">
        <v>7</v>
      </c>
      <c r="X59" s="1350"/>
      <c r="Y59" s="1350">
        <v>0</v>
      </c>
      <c r="Z59" s="1352">
        <v>7</v>
      </c>
      <c r="AA59" s="1349">
        <v>47</v>
      </c>
      <c r="AB59" s="1350"/>
      <c r="AC59" s="1350">
        <v>10</v>
      </c>
      <c r="AD59" s="1351">
        <v>57</v>
      </c>
      <c r="AE59" s="1350">
        <v>2</v>
      </c>
      <c r="AF59" s="1350"/>
      <c r="AG59" s="1350"/>
      <c r="AH59" s="1351">
        <v>2</v>
      </c>
      <c r="AI59" s="1350">
        <v>71</v>
      </c>
      <c r="AJ59" s="1350">
        <v>11</v>
      </c>
      <c r="AK59" s="1350">
        <v>11</v>
      </c>
      <c r="AL59" s="1811">
        <v>93</v>
      </c>
      <c r="AM59" s="1079">
        <v>14</v>
      </c>
      <c r="AN59" s="1080"/>
      <c r="AO59" s="1080"/>
      <c r="AP59" s="1083">
        <v>14</v>
      </c>
      <c r="AQ59" s="1079">
        <v>46</v>
      </c>
      <c r="AR59" s="1080"/>
      <c r="AS59" s="1080">
        <v>9</v>
      </c>
      <c r="AT59" s="1083">
        <f t="shared" si="62"/>
        <v>55</v>
      </c>
      <c r="AU59" s="1079"/>
      <c r="AV59" s="1080"/>
      <c r="AW59" s="1080"/>
      <c r="AX59" s="1083"/>
      <c r="AY59" s="1079">
        <v>49</v>
      </c>
      <c r="AZ59" s="1080"/>
      <c r="BA59" s="1080">
        <v>22</v>
      </c>
      <c r="BB59" s="1083">
        <f>SUM(AY59:BA59)</f>
        <v>71</v>
      </c>
      <c r="BC59" s="1079"/>
      <c r="BD59" s="1080"/>
      <c r="BE59" s="1080"/>
      <c r="BF59" s="1083"/>
      <c r="BG59" s="1079">
        <f>SUM('INSC-POSG plan'!BI108:BI110)</f>
        <v>54</v>
      </c>
      <c r="BH59" s="1080"/>
      <c r="BI59" s="1080">
        <f>SUM('INSC-POSG plan'!BK108:BK110)</f>
        <v>17</v>
      </c>
      <c r="BJ59" s="1083">
        <f>SUM(BG59:BI59)</f>
        <v>71</v>
      </c>
      <c r="BK59" s="1079">
        <f>SUM('INSC-POSG plan'!BM108:BM110)</f>
        <v>0</v>
      </c>
      <c r="BL59" s="1080">
        <f>SUM('INSC-POSG plan'!BN108:BN110)</f>
        <v>0</v>
      </c>
      <c r="BM59" s="1080">
        <f>SUM('INSC-POSG plan'!BO108:BO110)</f>
        <v>0</v>
      </c>
      <c r="BN59" s="1083">
        <f>SUM(BK59:BM59)</f>
        <v>0</v>
      </c>
      <c r="BO59" s="1079">
        <f>SUM('INSC-POSG plan'!BQ108:BQ110)</f>
        <v>51</v>
      </c>
      <c r="BP59" s="1080">
        <f>SUM('INSC-POSG plan'!BR108:BR110)</f>
        <v>1</v>
      </c>
      <c r="BQ59" s="1080">
        <f>SUM('INSC-POSG plan'!BS108:BS110)</f>
        <v>23</v>
      </c>
      <c r="BR59" s="1083">
        <f>SUM(BO59:BQ59)</f>
        <v>75</v>
      </c>
    </row>
    <row r="60" spans="1:70" s="222" customFormat="1" ht="15" x14ac:dyDescent="0.2">
      <c r="A60" s="5480"/>
      <c r="B60" s="583" t="s">
        <v>14</v>
      </c>
      <c r="C60" s="1195">
        <f>SUM(C57:C59)</f>
        <v>53</v>
      </c>
      <c r="D60" s="1196">
        <f>SUM(D57:D59)</f>
        <v>15</v>
      </c>
      <c r="E60" s="1196">
        <f>SUM(E57:E59)</f>
        <v>18</v>
      </c>
      <c r="F60" s="1197">
        <f t="shared" si="32"/>
        <v>86</v>
      </c>
      <c r="G60" s="1195">
        <f>SUM(G57:G59)</f>
        <v>58</v>
      </c>
      <c r="H60" s="1196">
        <f>SUM(H57:H59)</f>
        <v>39</v>
      </c>
      <c r="I60" s="1196">
        <f>SUM(I57:I59)</f>
        <v>114</v>
      </c>
      <c r="J60" s="1197">
        <f t="shared" si="59"/>
        <v>211</v>
      </c>
      <c r="K60" s="1195">
        <f>SUM(K57:K59)</f>
        <v>79</v>
      </c>
      <c r="L60" s="1196">
        <f>SUM(L57:L59)</f>
        <v>29</v>
      </c>
      <c r="M60" s="1196">
        <f>SUM(M57:M59)</f>
        <v>49</v>
      </c>
      <c r="N60" s="1197">
        <f t="shared" si="60"/>
        <v>157</v>
      </c>
      <c r="O60" s="1195">
        <f>SUM(O57:O59)</f>
        <v>30</v>
      </c>
      <c r="P60" s="1196">
        <f>SUM(P57:P59)</f>
        <v>59</v>
      </c>
      <c r="Q60" s="1196">
        <f>SUM(Q57:Q59)</f>
        <v>105</v>
      </c>
      <c r="R60" s="1197">
        <f t="shared" si="61"/>
        <v>194</v>
      </c>
      <c r="S60" s="1195">
        <v>51</v>
      </c>
      <c r="T60" s="1196">
        <v>13</v>
      </c>
      <c r="U60" s="1196">
        <v>43</v>
      </c>
      <c r="V60" s="1197">
        <v>107</v>
      </c>
      <c r="W60" s="1195">
        <v>11</v>
      </c>
      <c r="X60" s="1196"/>
      <c r="Y60" s="1196">
        <v>126</v>
      </c>
      <c r="Z60" s="1196">
        <v>137</v>
      </c>
      <c r="AA60" s="1195">
        <v>49</v>
      </c>
      <c r="AB60" s="1196"/>
      <c r="AC60" s="1196">
        <v>40</v>
      </c>
      <c r="AD60" s="1197">
        <v>89</v>
      </c>
      <c r="AE60" s="1196">
        <v>12</v>
      </c>
      <c r="AF60" s="1196"/>
      <c r="AG60" s="1196">
        <v>120</v>
      </c>
      <c r="AH60" s="1197">
        <v>132</v>
      </c>
      <c r="AI60" s="1196">
        <v>71</v>
      </c>
      <c r="AJ60" s="1196">
        <v>11</v>
      </c>
      <c r="AK60" s="1196">
        <v>66</v>
      </c>
      <c r="AL60" s="1197">
        <v>148</v>
      </c>
      <c r="AM60" s="584">
        <v>14</v>
      </c>
      <c r="AN60" s="585"/>
      <c r="AO60" s="585">
        <v>136</v>
      </c>
      <c r="AP60" s="586">
        <v>150</v>
      </c>
      <c r="AQ60" s="584">
        <f>SUM(AQ57:AQ59)</f>
        <v>46</v>
      </c>
      <c r="AR60" s="585"/>
      <c r="AS60" s="585">
        <f>SUM(AS57:AS59)</f>
        <v>49</v>
      </c>
      <c r="AT60" s="586">
        <f t="shared" si="62"/>
        <v>95</v>
      </c>
      <c r="AU60" s="584"/>
      <c r="AV60" s="585"/>
      <c r="AW60" s="585">
        <f>SUM(AW57:AW59)</f>
        <v>125</v>
      </c>
      <c r="AX60" s="586">
        <f>SUM(AU60:AW60)</f>
        <v>125</v>
      </c>
      <c r="AY60" s="584">
        <f t="shared" ref="AY60:BF60" si="63">SUM(AY57:AY59)</f>
        <v>49</v>
      </c>
      <c r="AZ60" s="585"/>
      <c r="BA60" s="585">
        <f t="shared" si="63"/>
        <v>78</v>
      </c>
      <c r="BB60" s="586">
        <f t="shared" si="63"/>
        <v>127</v>
      </c>
      <c r="BC60" s="584">
        <f t="shared" si="63"/>
        <v>19</v>
      </c>
      <c r="BD60" s="585"/>
      <c r="BE60" s="585">
        <f t="shared" si="63"/>
        <v>139</v>
      </c>
      <c r="BF60" s="586">
        <f t="shared" si="63"/>
        <v>158</v>
      </c>
      <c r="BG60" s="584">
        <f>SUM(BG57:BG59)</f>
        <v>54</v>
      </c>
      <c r="BH60" s="585"/>
      <c r="BI60" s="585">
        <f t="shared" ref="BI60:BN60" si="64">SUM(BI57:BI59)</f>
        <v>51</v>
      </c>
      <c r="BJ60" s="586">
        <f t="shared" si="64"/>
        <v>105</v>
      </c>
      <c r="BK60" s="584">
        <f t="shared" si="64"/>
        <v>21</v>
      </c>
      <c r="BL60" s="585">
        <f t="shared" si="64"/>
        <v>0</v>
      </c>
      <c r="BM60" s="585">
        <f t="shared" si="64"/>
        <v>151</v>
      </c>
      <c r="BN60" s="586">
        <f t="shared" si="64"/>
        <v>172</v>
      </c>
      <c r="BO60" s="584">
        <f t="shared" ref="BO60:BR60" si="65">SUM(BO57:BO59)</f>
        <v>51</v>
      </c>
      <c r="BP60" s="585">
        <f t="shared" si="65"/>
        <v>1</v>
      </c>
      <c r="BQ60" s="585">
        <f t="shared" si="65"/>
        <v>58</v>
      </c>
      <c r="BR60" s="586">
        <f t="shared" si="65"/>
        <v>110</v>
      </c>
    </row>
    <row r="61" spans="1:70" ht="15" x14ac:dyDescent="0.2">
      <c r="A61" s="5479" t="s">
        <v>11</v>
      </c>
      <c r="B61" s="1067" t="s">
        <v>631</v>
      </c>
      <c r="C61" s="1334">
        <f>+'INSC-POSG plan'!E112+'INSC-POSG plan'!E113+'INSC-POSG plan'!E114</f>
        <v>11</v>
      </c>
      <c r="D61" s="1335">
        <f>+'INSC-POSG plan'!F112+'INSC-POSG plan'!F113+'INSC-POSG plan'!F114</f>
        <v>0</v>
      </c>
      <c r="E61" s="1335">
        <f>+'INSC-POSG plan'!G112+'INSC-POSG plan'!G113+'INSC-POSG plan'!G114</f>
        <v>11</v>
      </c>
      <c r="F61" s="1336">
        <f t="shared" si="32"/>
        <v>22</v>
      </c>
      <c r="G61" s="1334">
        <f>+'INSC-POSG plan'!I112+'INSC-POSG plan'!I113+'INSC-POSG plan'!I114</f>
        <v>12</v>
      </c>
      <c r="H61" s="1335">
        <f>+'INSC-POSG plan'!J112+'INSC-POSG plan'!J113+'INSC-POSG plan'!J114</f>
        <v>0</v>
      </c>
      <c r="I61" s="1335">
        <f>+'INSC-POSG plan'!K112+'INSC-POSG plan'!K113+'INSC-POSG plan'!K114</f>
        <v>0</v>
      </c>
      <c r="J61" s="1336">
        <f t="shared" si="59"/>
        <v>12</v>
      </c>
      <c r="K61" s="1334">
        <f>+'INSC-POSG plan'!M112+'INSC-POSG plan'!M113+'INSC-POSG plan'!M114</f>
        <v>14</v>
      </c>
      <c r="L61" s="1335">
        <f>+'INSC-POSG plan'!N112+'INSC-POSG plan'!N113+'INSC-POSG plan'!N114</f>
        <v>1</v>
      </c>
      <c r="M61" s="1335">
        <f>+'INSC-POSG plan'!O112+'INSC-POSG plan'!O113+'INSC-POSG plan'!O114</f>
        <v>15</v>
      </c>
      <c r="N61" s="1336">
        <f t="shared" si="60"/>
        <v>30</v>
      </c>
      <c r="O61" s="1334">
        <f>+'INSC-POSG plan'!Q112+'INSC-POSG plan'!Q113+'INSC-POSG plan'!Q114</f>
        <v>12</v>
      </c>
      <c r="P61" s="1335">
        <f>+'INSC-POSG plan'!R112+'INSC-POSG plan'!R113+'INSC-POSG plan'!R114</f>
        <v>0</v>
      </c>
      <c r="Q61" s="1335">
        <f>+'INSC-POSG plan'!S112+'INSC-POSG plan'!S113+'INSC-POSG plan'!S114</f>
        <v>1</v>
      </c>
      <c r="R61" s="1336">
        <f t="shared" si="61"/>
        <v>13</v>
      </c>
      <c r="S61" s="1334">
        <v>12</v>
      </c>
      <c r="T61" s="1335"/>
      <c r="U61" s="1335"/>
      <c r="V61" s="1336">
        <v>12</v>
      </c>
      <c r="W61" s="1334">
        <v>10</v>
      </c>
      <c r="X61" s="1335"/>
      <c r="Y61" s="1335"/>
      <c r="Z61" s="1337">
        <v>10</v>
      </c>
      <c r="AA61" s="1334"/>
      <c r="AB61" s="1335"/>
      <c r="AC61" s="1335"/>
      <c r="AD61" s="1336"/>
      <c r="AE61" s="1335">
        <v>13</v>
      </c>
      <c r="AF61" s="1335"/>
      <c r="AG61" s="1335"/>
      <c r="AH61" s="1336">
        <v>13</v>
      </c>
      <c r="AI61" s="1335">
        <v>8</v>
      </c>
      <c r="AJ61" s="1335"/>
      <c r="AK61" s="1335"/>
      <c r="AL61" s="1809">
        <v>8</v>
      </c>
      <c r="AM61" s="1068">
        <v>12</v>
      </c>
      <c r="AN61" s="1069"/>
      <c r="AO61" s="1069"/>
      <c r="AP61" s="1086">
        <v>12</v>
      </c>
      <c r="AQ61" s="1068">
        <v>10</v>
      </c>
      <c r="AR61" s="1069"/>
      <c r="AS61" s="1069"/>
      <c r="AT61" s="1086">
        <f t="shared" si="62"/>
        <v>10</v>
      </c>
      <c r="AU61" s="1068"/>
      <c r="AV61" s="1069"/>
      <c r="AW61" s="1069"/>
      <c r="AX61" s="1086"/>
      <c r="AY61" s="1068">
        <v>12</v>
      </c>
      <c r="AZ61" s="1069"/>
      <c r="BA61" s="1069">
        <v>19</v>
      </c>
      <c r="BB61" s="1086">
        <f>SUM(AY61:BA61)</f>
        <v>31</v>
      </c>
      <c r="BC61" s="1068"/>
      <c r="BD61" s="1069"/>
      <c r="BE61" s="1069"/>
      <c r="BF61" s="1086"/>
      <c r="BG61" s="1068">
        <f>SUM('INSC-POSG plan'!BI112:BI114)</f>
        <v>12</v>
      </c>
      <c r="BH61" s="1069"/>
      <c r="BI61" s="1069">
        <f>SUM('INSC-POSG plan'!BK112:BK114)</f>
        <v>1</v>
      </c>
      <c r="BJ61" s="1086"/>
      <c r="BK61" s="1068">
        <f>SUM('INSC-POSG plan'!BM112:BM114)</f>
        <v>0</v>
      </c>
      <c r="BL61" s="1069">
        <f>SUM('INSC-POSG plan'!BN112:BN114)</f>
        <v>0</v>
      </c>
      <c r="BM61" s="1069">
        <f>SUM('INSC-POSG plan'!BO112:BO114)</f>
        <v>0</v>
      </c>
      <c r="BN61" s="1086">
        <f>SUM(BK61:BM61)</f>
        <v>0</v>
      </c>
      <c r="BO61" s="1068">
        <f>SUM('INSC-POSG plan'!BQ112:BQ114)</f>
        <v>0</v>
      </c>
      <c r="BP61" s="1069">
        <f>SUM('INSC-POSG plan'!BR112:BR114)</f>
        <v>0</v>
      </c>
      <c r="BQ61" s="1069">
        <f>SUM('INSC-POSG plan'!BS112:BS114)</f>
        <v>0</v>
      </c>
      <c r="BR61" s="1086">
        <f>SUM(BO61:BQ61)</f>
        <v>0</v>
      </c>
    </row>
    <row r="62" spans="1:70" ht="15" x14ac:dyDescent="0.2">
      <c r="A62" s="5479"/>
      <c r="B62" s="1072" t="s">
        <v>632</v>
      </c>
      <c r="C62" s="1338">
        <f>+'INSC-POSG plan'!E115+'INSC-POSG plan'!E116+'INSC-POSG plan'!E117+'INSC-POSG plan'!E118+'INSC-POSG plan'!E119+'INSC-POSG plan'!E120+'INSC-POSG plan'!E121</f>
        <v>32</v>
      </c>
      <c r="D62" s="1339">
        <f>+'INSC-POSG plan'!F115+'INSC-POSG plan'!F116+'INSC-POSG plan'!F117+'INSC-POSG plan'!F118+'INSC-POSG plan'!F119+'INSC-POSG plan'!F120+'INSC-POSG plan'!F121</f>
        <v>0</v>
      </c>
      <c r="E62" s="1339">
        <f>+'INSC-POSG plan'!G115+'INSC-POSG plan'!G116+'INSC-POSG plan'!G117+'INSC-POSG plan'!G118+'INSC-POSG plan'!G119+'INSC-POSG plan'!G120+'INSC-POSG plan'!G121</f>
        <v>19</v>
      </c>
      <c r="F62" s="1340">
        <f t="shared" si="32"/>
        <v>51</v>
      </c>
      <c r="G62" s="1338">
        <f>+'INSC-POSG plan'!I115+'INSC-POSG plan'!I116+'INSC-POSG plan'!I117+'INSC-POSG plan'!I118+'INSC-POSG plan'!I119+'INSC-POSG plan'!I120+'INSC-POSG plan'!I121</f>
        <v>57</v>
      </c>
      <c r="H62" s="1339">
        <f>+'INSC-POSG plan'!J115+'INSC-POSG plan'!J116+'INSC-POSG plan'!J117+'INSC-POSG plan'!J118+'INSC-POSG plan'!J119+'INSC-POSG plan'!J120+'INSC-POSG plan'!J121</f>
        <v>0</v>
      </c>
      <c r="I62" s="1339">
        <f>+'INSC-POSG plan'!K115+'INSC-POSG plan'!K116+'INSC-POSG plan'!K117+'INSC-POSG plan'!K118+'INSC-POSG plan'!K119+'INSC-POSG plan'!K120+'INSC-POSG plan'!K121</f>
        <v>7</v>
      </c>
      <c r="J62" s="1340">
        <f t="shared" si="59"/>
        <v>64</v>
      </c>
      <c r="K62" s="1338">
        <f>+'INSC-POSG plan'!M115+'INSC-POSG plan'!M116+'INSC-POSG plan'!M117+'INSC-POSG plan'!M118+'INSC-POSG plan'!M119+'INSC-POSG plan'!M120+'INSC-POSG plan'!M121</f>
        <v>34</v>
      </c>
      <c r="L62" s="1339">
        <f>+'INSC-POSG plan'!N115+'INSC-POSG plan'!N116+'INSC-POSG plan'!N117+'INSC-POSG plan'!N118+'INSC-POSG plan'!N119+'INSC-POSG plan'!N120+'INSC-POSG plan'!N121</f>
        <v>0</v>
      </c>
      <c r="M62" s="1339">
        <f>+'INSC-POSG plan'!O115+'INSC-POSG plan'!O116+'INSC-POSG plan'!O117+'INSC-POSG plan'!O118+'INSC-POSG plan'!O119+'INSC-POSG plan'!O120+'INSC-POSG plan'!O121</f>
        <v>23</v>
      </c>
      <c r="N62" s="1340">
        <f t="shared" si="60"/>
        <v>57</v>
      </c>
      <c r="O62" s="1338">
        <f>+'INSC-POSG plan'!Q115+'INSC-POSG plan'!Q116+'INSC-POSG plan'!Q117+'INSC-POSG plan'!Q118+'INSC-POSG plan'!Q119+'INSC-POSG plan'!Q120+'INSC-POSG plan'!Q121</f>
        <v>36</v>
      </c>
      <c r="P62" s="1339">
        <f>+'INSC-POSG plan'!R115+'INSC-POSG plan'!R116+'INSC-POSG plan'!R117+'INSC-POSG plan'!R118+'INSC-POSG plan'!R119+'INSC-POSG plan'!R120+'INSC-POSG plan'!R121</f>
        <v>0</v>
      </c>
      <c r="Q62" s="1339">
        <f>+'INSC-POSG plan'!S115+'INSC-POSG plan'!S116+'INSC-POSG plan'!S117+'INSC-POSG plan'!S118+'INSC-POSG plan'!S119+'INSC-POSG plan'!S120+'INSC-POSG plan'!S121</f>
        <v>22</v>
      </c>
      <c r="R62" s="1340">
        <f t="shared" si="61"/>
        <v>58</v>
      </c>
      <c r="S62" s="1338">
        <v>20</v>
      </c>
      <c r="T62" s="1339">
        <v>11</v>
      </c>
      <c r="U62" s="1339">
        <v>36</v>
      </c>
      <c r="V62" s="1340">
        <v>67</v>
      </c>
      <c r="W62" s="1338">
        <v>17</v>
      </c>
      <c r="X62" s="1339"/>
      <c r="Y62" s="1339">
        <v>11</v>
      </c>
      <c r="Z62" s="1341">
        <v>28</v>
      </c>
      <c r="AA62" s="1338">
        <v>16</v>
      </c>
      <c r="AB62" s="1339">
        <v>4</v>
      </c>
      <c r="AC62" s="1339">
        <v>63</v>
      </c>
      <c r="AD62" s="1340">
        <v>83</v>
      </c>
      <c r="AE62" s="1339">
        <v>3</v>
      </c>
      <c r="AF62" s="1339">
        <v>4</v>
      </c>
      <c r="AG62" s="1339">
        <v>43</v>
      </c>
      <c r="AH62" s="1340">
        <v>50</v>
      </c>
      <c r="AI62" s="1339">
        <v>3</v>
      </c>
      <c r="AJ62" s="1339">
        <v>8</v>
      </c>
      <c r="AK62" s="1339">
        <v>56</v>
      </c>
      <c r="AL62" s="1810">
        <v>67</v>
      </c>
      <c r="AM62" s="1073">
        <v>6</v>
      </c>
      <c r="AN62" s="1074">
        <v>14</v>
      </c>
      <c r="AO62" s="1074">
        <v>43</v>
      </c>
      <c r="AP62" s="1077">
        <v>63</v>
      </c>
      <c r="AQ62" s="1073">
        <v>8</v>
      </c>
      <c r="AR62" s="1074">
        <v>6</v>
      </c>
      <c r="AS62" s="1074">
        <v>52</v>
      </c>
      <c r="AT62" s="1077">
        <f t="shared" si="62"/>
        <v>66</v>
      </c>
      <c r="AU62" s="1073">
        <v>18</v>
      </c>
      <c r="AV62" s="1074">
        <v>5</v>
      </c>
      <c r="AW62" s="1074">
        <v>42</v>
      </c>
      <c r="AX62" s="1077">
        <f>SUM(AU62:AW62)</f>
        <v>65</v>
      </c>
      <c r="AY62" s="1073">
        <v>2</v>
      </c>
      <c r="AZ62" s="1074">
        <v>15</v>
      </c>
      <c r="BA62" s="1074">
        <v>42</v>
      </c>
      <c r="BB62" s="1077">
        <f>SUM(AY62:BA62)</f>
        <v>59</v>
      </c>
      <c r="BC62" s="1073">
        <f>SUM('INSC-POSG plan'!BE115,'INSC-POSG plan'!BE116,'INSC-POSG plan'!BE117,'INSC-POSG plan'!BE118,'INSC-POSG plan'!BE119,'INSC-POSG plan'!BE120,'INSC-POSG plan'!BE121)</f>
        <v>16</v>
      </c>
      <c r="BD62" s="1074">
        <f>SUM('INSC-POSG plan'!BF115,'INSC-POSG plan'!BF116,'INSC-POSG plan'!BF117,'INSC-POSG plan'!BF118,'INSC-POSG plan'!BF119,'INSC-POSG plan'!BF120,'INSC-POSG plan'!BF121)</f>
        <v>18</v>
      </c>
      <c r="BE62" s="1074">
        <f>SUM('INSC-POSG plan'!BG115,'INSC-POSG plan'!BG116,'INSC-POSG plan'!BG117,'INSC-POSG plan'!BG118,'INSC-POSG plan'!BG119,'INSC-POSG plan'!BG120,'INSC-POSG plan'!BG121)</f>
        <v>39</v>
      </c>
      <c r="BF62" s="1077">
        <f>SUM(BC62:BE62)</f>
        <v>73</v>
      </c>
      <c r="BG62" s="1073">
        <f>SUM('INSC-POSG plan'!BI115:BI121)</f>
        <v>5</v>
      </c>
      <c r="BH62" s="1074">
        <f>SUM('INSC-POSG plan'!BJ115,'INSC-POSG plan'!BJ116,'INSC-POSG plan'!BJ117,'INSC-POSG plan'!BJ118,'INSC-POSG plan'!BJ119,'INSC-POSG plan'!BJ120,'INSC-POSG plan'!BJ121)</f>
        <v>32</v>
      </c>
      <c r="BI62" s="1074">
        <f>SUM('INSC-POSG plan'!BK115:BK121)</f>
        <v>43</v>
      </c>
      <c r="BJ62" s="1077">
        <f>SUM(BG62:BI62)</f>
        <v>80</v>
      </c>
      <c r="BK62" s="1073">
        <f>SUM('INSC-POSG plan'!BM115:BM122)</f>
        <v>6</v>
      </c>
      <c r="BL62" s="1074">
        <f>SUM('INSC-POSG plan'!BN115:BN122)</f>
        <v>29</v>
      </c>
      <c r="BM62" s="1074">
        <f>SUM('INSC-POSG plan'!BO115:BO122)</f>
        <v>34</v>
      </c>
      <c r="BN62" s="1077">
        <f>SUM(BK62:BM62)</f>
        <v>69</v>
      </c>
      <c r="BO62" s="1073">
        <f>SUM('INSC-POSG plan'!BQ115:BQ122)</f>
        <v>31</v>
      </c>
      <c r="BP62" s="1074">
        <f>SUM('INSC-POSG plan'!BR115:BR122)</f>
        <v>30</v>
      </c>
      <c r="BQ62" s="1074">
        <f>SUM('INSC-POSG plan'!BS115:BS122)</f>
        <v>47</v>
      </c>
      <c r="BR62" s="1077">
        <f>SUM(BO62:BQ62)</f>
        <v>108</v>
      </c>
    </row>
    <row r="63" spans="1:70" ht="15" x14ac:dyDescent="0.2">
      <c r="A63" s="5479"/>
      <c r="B63" s="1078" t="s">
        <v>633</v>
      </c>
      <c r="C63" s="1349">
        <f>+'INSC-POSG plan'!E123+'INSC-POSG plan'!E124</f>
        <v>0</v>
      </c>
      <c r="D63" s="1350">
        <f>+'INSC-POSG plan'!F123+'INSC-POSG plan'!F124</f>
        <v>0</v>
      </c>
      <c r="E63" s="1350">
        <f>+'INSC-POSG plan'!G123+'INSC-POSG plan'!G124</f>
        <v>6</v>
      </c>
      <c r="F63" s="1351">
        <f t="shared" si="32"/>
        <v>6</v>
      </c>
      <c r="G63" s="1349">
        <f>+'INSC-POSG plan'!I123+'INSC-POSG plan'!I124</f>
        <v>0</v>
      </c>
      <c r="H63" s="1350">
        <f>+'INSC-POSG plan'!J123+'INSC-POSG plan'!J124</f>
        <v>0</v>
      </c>
      <c r="I63" s="1350">
        <f>+'INSC-POSG plan'!K123+'INSC-POSG plan'!K124</f>
        <v>4</v>
      </c>
      <c r="J63" s="1351">
        <f t="shared" si="59"/>
        <v>4</v>
      </c>
      <c r="K63" s="1349">
        <f>+'INSC-POSG plan'!M123+'INSC-POSG plan'!M124</f>
        <v>0</v>
      </c>
      <c r="L63" s="1350">
        <f>+'INSC-POSG plan'!N123+'INSC-POSG plan'!N124</f>
        <v>0</v>
      </c>
      <c r="M63" s="1350">
        <f>+'INSC-POSG plan'!O123+'INSC-POSG plan'!O124</f>
        <v>15</v>
      </c>
      <c r="N63" s="1351">
        <f t="shared" si="60"/>
        <v>15</v>
      </c>
      <c r="O63" s="1349">
        <f>+'INSC-POSG plan'!Q123+'INSC-POSG plan'!Q124</f>
        <v>12</v>
      </c>
      <c r="P63" s="1350">
        <f>+'INSC-POSG plan'!R123+'INSC-POSG plan'!R124</f>
        <v>0</v>
      </c>
      <c r="Q63" s="1350">
        <f>+'INSC-POSG plan'!S123+'INSC-POSG plan'!S124</f>
        <v>12</v>
      </c>
      <c r="R63" s="1351">
        <f t="shared" si="61"/>
        <v>24</v>
      </c>
      <c r="S63" s="1349">
        <v>7</v>
      </c>
      <c r="T63" s="1350"/>
      <c r="U63" s="1350">
        <v>18</v>
      </c>
      <c r="V63" s="1351">
        <v>25</v>
      </c>
      <c r="W63" s="1349">
        <v>2</v>
      </c>
      <c r="X63" s="1350"/>
      <c r="Y63" s="1350">
        <v>5</v>
      </c>
      <c r="Z63" s="1352">
        <v>7</v>
      </c>
      <c r="AA63" s="1349">
        <v>4</v>
      </c>
      <c r="AB63" s="1350"/>
      <c r="AC63" s="1350">
        <v>13</v>
      </c>
      <c r="AD63" s="1351">
        <v>17</v>
      </c>
      <c r="AE63" s="1350">
        <v>6</v>
      </c>
      <c r="AF63" s="1350"/>
      <c r="AG63" s="1350">
        <v>20</v>
      </c>
      <c r="AH63" s="1351">
        <v>26</v>
      </c>
      <c r="AI63" s="1350">
        <v>7</v>
      </c>
      <c r="AJ63" s="1350"/>
      <c r="AK63" s="1350">
        <v>21</v>
      </c>
      <c r="AL63" s="1811">
        <v>28</v>
      </c>
      <c r="AM63" s="1079">
        <v>6</v>
      </c>
      <c r="AN63" s="1080"/>
      <c r="AO63" s="1080">
        <v>7</v>
      </c>
      <c r="AP63" s="1083">
        <v>13</v>
      </c>
      <c r="AQ63" s="1079">
        <v>13</v>
      </c>
      <c r="AR63" s="1080"/>
      <c r="AS63" s="1080">
        <v>13</v>
      </c>
      <c r="AT63" s="1083">
        <f t="shared" si="62"/>
        <v>26</v>
      </c>
      <c r="AU63" s="1079">
        <v>6</v>
      </c>
      <c r="AV63" s="1080"/>
      <c r="AW63" s="1080">
        <v>19</v>
      </c>
      <c r="AX63" s="1083">
        <f>SUM(AU63:AW63)</f>
        <v>25</v>
      </c>
      <c r="AY63" s="1079">
        <v>9</v>
      </c>
      <c r="AZ63" s="1080"/>
      <c r="BA63" s="1080">
        <v>8</v>
      </c>
      <c r="BB63" s="1083">
        <f>SUM(AY63:BA63)</f>
        <v>17</v>
      </c>
      <c r="BC63" s="1079">
        <f>SUM('INSC-POSG plan'!BE123,'INSC-POSG plan'!BE124)</f>
        <v>9</v>
      </c>
      <c r="BD63" s="1080"/>
      <c r="BE63" s="1080">
        <f>SUM('INSC-POSG plan'!BG123,'INSC-POSG plan'!BG124)</f>
        <v>18</v>
      </c>
      <c r="BF63" s="1083">
        <f>SUM(BC63:BE63)</f>
        <v>27</v>
      </c>
      <c r="BG63" s="1079">
        <f>SUM('INSC-POSG plan'!BI123:BI125)</f>
        <v>15</v>
      </c>
      <c r="BH63" s="1080"/>
      <c r="BI63" s="1080">
        <f>SUM('INSC-POSG plan'!BK123:BK125)</f>
        <v>7</v>
      </c>
      <c r="BJ63" s="1083">
        <f>SUM(BG63:BI63)</f>
        <v>22</v>
      </c>
      <c r="BK63" s="1079">
        <f>SUM('INSC-POSG plan'!BM123:BM125)</f>
        <v>11</v>
      </c>
      <c r="BL63" s="1080">
        <f>SUM('INSC-POSG plan'!BN123:BN125)</f>
        <v>0</v>
      </c>
      <c r="BM63" s="1080">
        <f>SUM('INSC-POSG plan'!BO123:BO125)</f>
        <v>23</v>
      </c>
      <c r="BN63" s="1083">
        <f>SUM(BK63:BM63)</f>
        <v>34</v>
      </c>
      <c r="BO63" s="1079">
        <f>SUM('INSC-POSG plan'!BQ123:BQ125)</f>
        <v>12</v>
      </c>
      <c r="BP63" s="1080">
        <f>SUM('INSC-POSG plan'!BR123:BR125)</f>
        <v>0</v>
      </c>
      <c r="BQ63" s="1080">
        <f>SUM('INSC-POSG plan'!BS123:BS125)</f>
        <v>8</v>
      </c>
      <c r="BR63" s="1083">
        <f>SUM(BO63:BQ63)</f>
        <v>20</v>
      </c>
    </row>
    <row r="64" spans="1:70" s="222" customFormat="1" ht="15" x14ac:dyDescent="0.2">
      <c r="A64" s="5480"/>
      <c r="B64" s="583" t="s">
        <v>30</v>
      </c>
      <c r="C64" s="1195">
        <f>SUM(C61:C63)</f>
        <v>43</v>
      </c>
      <c r="D64" s="1196">
        <f>SUM(D61:D63)</f>
        <v>0</v>
      </c>
      <c r="E64" s="1196">
        <f>SUM(E61:E63)</f>
        <v>36</v>
      </c>
      <c r="F64" s="1197">
        <f t="shared" si="32"/>
        <v>79</v>
      </c>
      <c r="G64" s="1195">
        <f>SUM(G61:G63)</f>
        <v>69</v>
      </c>
      <c r="H64" s="1196">
        <f>SUM(H61:H63)</f>
        <v>0</v>
      </c>
      <c r="I64" s="1196">
        <f>SUM(I61:I63)</f>
        <v>11</v>
      </c>
      <c r="J64" s="1197">
        <f t="shared" si="59"/>
        <v>80</v>
      </c>
      <c r="K64" s="1195">
        <f>SUM(K61:K63)</f>
        <v>48</v>
      </c>
      <c r="L64" s="1196">
        <f>SUM(L61:L63)</f>
        <v>1</v>
      </c>
      <c r="M64" s="1196">
        <f>SUM(M61:M63)</f>
        <v>53</v>
      </c>
      <c r="N64" s="1197">
        <f t="shared" si="60"/>
        <v>102</v>
      </c>
      <c r="O64" s="1195">
        <f>SUM(O61:O63)</f>
        <v>60</v>
      </c>
      <c r="P64" s="1196">
        <f>SUM(P61:P63)</f>
        <v>0</v>
      </c>
      <c r="Q64" s="1196">
        <f>SUM(Q61:Q63)</f>
        <v>35</v>
      </c>
      <c r="R64" s="1197">
        <f t="shared" si="61"/>
        <v>95</v>
      </c>
      <c r="S64" s="1195">
        <v>39</v>
      </c>
      <c r="T64" s="1196">
        <v>11</v>
      </c>
      <c r="U64" s="1196">
        <v>54</v>
      </c>
      <c r="V64" s="1197">
        <v>104</v>
      </c>
      <c r="W64" s="1195">
        <v>29</v>
      </c>
      <c r="X64" s="1196"/>
      <c r="Y64" s="1196">
        <v>16</v>
      </c>
      <c r="Z64" s="1196">
        <v>45</v>
      </c>
      <c r="AA64" s="1195">
        <v>20</v>
      </c>
      <c r="AB64" s="1196">
        <v>4</v>
      </c>
      <c r="AC64" s="1196">
        <v>76</v>
      </c>
      <c r="AD64" s="1197">
        <v>100</v>
      </c>
      <c r="AE64" s="1196">
        <v>22</v>
      </c>
      <c r="AF64" s="1196">
        <v>4</v>
      </c>
      <c r="AG64" s="1196">
        <v>63</v>
      </c>
      <c r="AH64" s="1197">
        <v>89</v>
      </c>
      <c r="AI64" s="1196">
        <v>18</v>
      </c>
      <c r="AJ64" s="1196">
        <v>8</v>
      </c>
      <c r="AK64" s="1196">
        <v>77</v>
      </c>
      <c r="AL64" s="1197">
        <v>103</v>
      </c>
      <c r="AM64" s="584">
        <v>24</v>
      </c>
      <c r="AN64" s="585">
        <v>14</v>
      </c>
      <c r="AO64" s="585">
        <v>50</v>
      </c>
      <c r="AP64" s="586">
        <v>88</v>
      </c>
      <c r="AQ64" s="584">
        <f>SUM(AQ61:AQ63)</f>
        <v>31</v>
      </c>
      <c r="AR64" s="585">
        <f>SUM(AR61:AR63)</f>
        <v>6</v>
      </c>
      <c r="AS64" s="585">
        <f>SUM(AS61:AS63)</f>
        <v>65</v>
      </c>
      <c r="AT64" s="586">
        <f t="shared" si="62"/>
        <v>102</v>
      </c>
      <c r="AU64" s="584">
        <f>SUM(AU61:AU63)</f>
        <v>24</v>
      </c>
      <c r="AV64" s="585">
        <f>SUM(AV61:AV63)</f>
        <v>5</v>
      </c>
      <c r="AW64" s="585">
        <f>SUM(AW61:AW63)</f>
        <v>61</v>
      </c>
      <c r="AX64" s="586">
        <f>SUM(AU64:AW64)</f>
        <v>90</v>
      </c>
      <c r="AY64" s="584">
        <f>SUM(AY61:AY63)</f>
        <v>23</v>
      </c>
      <c r="AZ64" s="585">
        <f>SUM(AZ61:AZ63)</f>
        <v>15</v>
      </c>
      <c r="BA64" s="585">
        <f>SUM(BA61:BA63)</f>
        <v>69</v>
      </c>
      <c r="BB64" s="586">
        <f>SUM(AY64:BA64)</f>
        <v>107</v>
      </c>
      <c r="BC64" s="584">
        <f>SUM(BC61:BC63)</f>
        <v>25</v>
      </c>
      <c r="BD64" s="585">
        <f>SUM(BD61:BD63)</f>
        <v>18</v>
      </c>
      <c r="BE64" s="585">
        <f>SUM(BE61:BE63)</f>
        <v>57</v>
      </c>
      <c r="BF64" s="586">
        <f>SUM(BC64:BE64)</f>
        <v>100</v>
      </c>
      <c r="BG64" s="584">
        <f>SUM(BG61:BG63)</f>
        <v>32</v>
      </c>
      <c r="BH64" s="585">
        <f>SUM(BH61:BH63)</f>
        <v>32</v>
      </c>
      <c r="BI64" s="585">
        <f>SUM(BI61:BI63)</f>
        <v>51</v>
      </c>
      <c r="BJ64" s="586">
        <f>SUM(BG64:BI64)</f>
        <v>115</v>
      </c>
      <c r="BK64" s="584">
        <f>SUM(BK61:BK63)</f>
        <v>17</v>
      </c>
      <c r="BL64" s="585">
        <f>SUM(BL61:BL63)</f>
        <v>29</v>
      </c>
      <c r="BM64" s="585">
        <f>SUM(BM61:BM63)</f>
        <v>57</v>
      </c>
      <c r="BN64" s="586">
        <f>SUM(BK64:BM64)</f>
        <v>103</v>
      </c>
      <c r="BO64" s="584">
        <f>SUM(BO61:BO63)</f>
        <v>43</v>
      </c>
      <c r="BP64" s="585">
        <f>SUM(BP61:BP63)</f>
        <v>30</v>
      </c>
      <c r="BQ64" s="585">
        <f>SUM(BQ61:BQ63)</f>
        <v>55</v>
      </c>
      <c r="BR64" s="586">
        <f>SUM(BO64:BQ64)</f>
        <v>128</v>
      </c>
    </row>
    <row r="65" spans="1:70" ht="15" x14ac:dyDescent="0.2">
      <c r="A65" s="5479" t="s">
        <v>7</v>
      </c>
      <c r="B65" s="1067" t="s">
        <v>631</v>
      </c>
      <c r="C65" s="1334"/>
      <c r="D65" s="1335"/>
      <c r="E65" s="1335"/>
      <c r="F65" s="1336"/>
      <c r="G65" s="1334"/>
      <c r="H65" s="1335"/>
      <c r="I65" s="1335"/>
      <c r="J65" s="1336"/>
      <c r="K65" s="1334"/>
      <c r="L65" s="1335"/>
      <c r="M65" s="1335"/>
      <c r="N65" s="1336"/>
      <c r="O65" s="1334"/>
      <c r="P65" s="1335"/>
      <c r="Q65" s="1335"/>
      <c r="R65" s="1336"/>
      <c r="S65" s="1334"/>
      <c r="T65" s="1335"/>
      <c r="U65" s="1335"/>
      <c r="V65" s="1336"/>
      <c r="W65" s="1334"/>
      <c r="X65" s="1335"/>
      <c r="Y65" s="1335"/>
      <c r="Z65" s="1337"/>
      <c r="AA65" s="1334"/>
      <c r="AB65" s="1335"/>
      <c r="AC65" s="1335"/>
      <c r="AD65" s="1336"/>
      <c r="AE65" s="1335"/>
      <c r="AF65" s="1335"/>
      <c r="AG65" s="1335"/>
      <c r="AH65" s="1336"/>
      <c r="AI65" s="1335"/>
      <c r="AJ65" s="1335"/>
      <c r="AK65" s="1335"/>
      <c r="AL65" s="1809"/>
      <c r="AM65" s="1068"/>
      <c r="AN65" s="1069"/>
      <c r="AO65" s="1069"/>
      <c r="AP65" s="1086"/>
      <c r="AQ65" s="1068"/>
      <c r="AR65" s="1069"/>
      <c r="AS65" s="1069"/>
      <c r="AT65" s="1086"/>
      <c r="AU65" s="1068"/>
      <c r="AV65" s="1069"/>
      <c r="AW65" s="1069"/>
      <c r="AX65" s="1086"/>
      <c r="AY65" s="1068"/>
      <c r="AZ65" s="1069"/>
      <c r="BA65" s="1069"/>
      <c r="BB65" s="1086"/>
      <c r="BC65" s="1068"/>
      <c r="BD65" s="1069"/>
      <c r="BE65" s="1069"/>
      <c r="BF65" s="1086"/>
      <c r="BG65" s="1068"/>
      <c r="BH65" s="1069"/>
      <c r="BI65" s="1069"/>
      <c r="BJ65" s="1086"/>
      <c r="BK65" s="1068"/>
      <c r="BL65" s="1069"/>
      <c r="BM65" s="1069"/>
      <c r="BN65" s="1086"/>
      <c r="BO65" s="1068"/>
      <c r="BP65" s="1069"/>
      <c r="BQ65" s="1069"/>
      <c r="BR65" s="1086"/>
    </row>
    <row r="66" spans="1:70" ht="15" x14ac:dyDescent="0.2">
      <c r="A66" s="5479"/>
      <c r="B66" s="1072" t="s">
        <v>632</v>
      </c>
      <c r="C66" s="1338">
        <f>+'INSC-POSG plan'!E127+'INSC-POSG plan'!E128+'INSC-POSG plan'!E129</f>
        <v>0</v>
      </c>
      <c r="D66" s="1339">
        <f>+'INSC-POSG plan'!F127+'INSC-POSG plan'!F128+'INSC-POSG plan'!F129</f>
        <v>0</v>
      </c>
      <c r="E66" s="1339">
        <f>+'INSC-POSG plan'!G127+'INSC-POSG plan'!G128+'INSC-POSG plan'!G129</f>
        <v>0</v>
      </c>
      <c r="F66" s="1340">
        <f t="shared" si="32"/>
        <v>0</v>
      </c>
      <c r="G66" s="1338">
        <f>+'INSC-POSG plan'!I127+'INSC-POSG plan'!I128+'INSC-POSG plan'!I129</f>
        <v>0</v>
      </c>
      <c r="H66" s="1339">
        <f>+'INSC-POSG plan'!J127+'INSC-POSG plan'!J128+'INSC-POSG plan'!J129</f>
        <v>46</v>
      </c>
      <c r="I66" s="1339">
        <f>+'INSC-POSG plan'!K127+'INSC-POSG plan'!K128+'INSC-POSG plan'!K129</f>
        <v>0</v>
      </c>
      <c r="J66" s="1340">
        <f t="shared" si="59"/>
        <v>46</v>
      </c>
      <c r="K66" s="1338">
        <f>+'INSC-POSG plan'!M127+'INSC-POSG plan'!M128+'INSC-POSG plan'!M129</f>
        <v>0</v>
      </c>
      <c r="L66" s="1339">
        <f>+'INSC-POSG plan'!N127+'INSC-POSG plan'!N128+'INSC-POSG plan'!N129</f>
        <v>0</v>
      </c>
      <c r="M66" s="1339">
        <f>+'INSC-POSG plan'!O127+'INSC-POSG plan'!O128+'INSC-POSG plan'!O129</f>
        <v>0</v>
      </c>
      <c r="N66" s="1340">
        <f t="shared" si="60"/>
        <v>0</v>
      </c>
      <c r="O66" s="1338">
        <f>+'INSC-POSG plan'!Q127+'INSC-POSG plan'!Q128+'INSC-POSG plan'!Q129</f>
        <v>0</v>
      </c>
      <c r="P66" s="1339">
        <f>+'INSC-POSG plan'!R127+'INSC-POSG plan'!R128+'INSC-POSG plan'!R129</f>
        <v>0</v>
      </c>
      <c r="Q66" s="1339">
        <f>+'INSC-POSG plan'!S127+'INSC-POSG plan'!S128+'INSC-POSG plan'!S129</f>
        <v>26</v>
      </c>
      <c r="R66" s="1340">
        <f t="shared" si="61"/>
        <v>26</v>
      </c>
      <c r="S66" s="1338"/>
      <c r="T66" s="1339"/>
      <c r="U66" s="1339">
        <v>19</v>
      </c>
      <c r="V66" s="1340">
        <v>19</v>
      </c>
      <c r="W66" s="1338"/>
      <c r="X66" s="1339"/>
      <c r="Y66" s="1339">
        <v>23</v>
      </c>
      <c r="Z66" s="1341">
        <v>23</v>
      </c>
      <c r="AA66" s="1338"/>
      <c r="AB66" s="1339"/>
      <c r="AC66" s="1339">
        <v>20</v>
      </c>
      <c r="AD66" s="1340">
        <v>20</v>
      </c>
      <c r="AE66" s="1339"/>
      <c r="AF66" s="1339"/>
      <c r="AG66" s="1339">
        <v>22</v>
      </c>
      <c r="AH66" s="1340">
        <v>22</v>
      </c>
      <c r="AI66" s="1339"/>
      <c r="AJ66" s="1339"/>
      <c r="AK66" s="1339">
        <v>22</v>
      </c>
      <c r="AL66" s="1810">
        <v>22</v>
      </c>
      <c r="AM66" s="1073"/>
      <c r="AN66" s="1074"/>
      <c r="AO66" s="1074">
        <v>18</v>
      </c>
      <c r="AP66" s="1077">
        <v>18</v>
      </c>
      <c r="AQ66" s="1073"/>
      <c r="AR66" s="1074">
        <v>17</v>
      </c>
      <c r="AS66" s="1074">
        <v>56</v>
      </c>
      <c r="AT66" s="1077">
        <f>SUM(AQ66:AS66)</f>
        <v>73</v>
      </c>
      <c r="AU66" s="1073"/>
      <c r="AV66" s="1074"/>
      <c r="AW66" s="1074">
        <v>15</v>
      </c>
      <c r="AX66" s="1077">
        <f>SUM(AU66:AW66)</f>
        <v>15</v>
      </c>
      <c r="AY66" s="1073"/>
      <c r="AZ66" s="1074">
        <v>39</v>
      </c>
      <c r="BA66" s="1074">
        <v>19</v>
      </c>
      <c r="BB66" s="1077">
        <f>SUM(AY66:BA66)</f>
        <v>58</v>
      </c>
      <c r="BC66" s="1073"/>
      <c r="BD66" s="1074"/>
      <c r="BE66" s="1074">
        <f>SUM('INSC-POSG plan'!BG127,'INSC-POSG plan'!BG128,'INSC-POSG plan'!BG129)</f>
        <v>19</v>
      </c>
      <c r="BF66" s="1077">
        <f>SUM(BC66:BE66)</f>
        <v>19</v>
      </c>
      <c r="BG66" s="1073"/>
      <c r="BH66" s="1074">
        <f>SUM('INSC-POSG plan'!BJ128:BJ129)</f>
        <v>43</v>
      </c>
      <c r="BI66" s="1074">
        <f>SUM('INSC-POSG plan'!BK127:BK129)</f>
        <v>23</v>
      </c>
      <c r="BJ66" s="1077">
        <f>SUM(BG66:BI66)</f>
        <v>66</v>
      </c>
      <c r="BK66" s="1074">
        <f>SUM('INSC-POSG plan'!BM127:BM129)</f>
        <v>0</v>
      </c>
      <c r="BL66" s="1074">
        <f>SUM('INSC-POSG plan'!BN127:BN129)</f>
        <v>0</v>
      </c>
      <c r="BM66" s="1074">
        <f>SUM('INSC-POSG plan'!BO127:BO129)</f>
        <v>25</v>
      </c>
      <c r="BN66" s="1077">
        <f>SUM(BK66:BM66)</f>
        <v>25</v>
      </c>
      <c r="BO66" s="1074">
        <f>SUM('INSC-POSG plan'!BQ127:BQ129)</f>
        <v>0</v>
      </c>
      <c r="BP66" s="1074">
        <f>SUM('INSC-POSG plan'!BR127:BR129)</f>
        <v>45</v>
      </c>
      <c r="BQ66" s="1074">
        <f>SUM('INSC-POSG plan'!BS127:BS129)</f>
        <v>24</v>
      </c>
      <c r="BR66" s="1077">
        <f>SUM(BO66:BQ66)</f>
        <v>69</v>
      </c>
    </row>
    <row r="67" spans="1:70" ht="15" x14ac:dyDescent="0.2">
      <c r="A67" s="5479"/>
      <c r="B67" s="1078" t="s">
        <v>633</v>
      </c>
      <c r="C67" s="1349">
        <f>+'INSC-POSG plan'!E130</f>
        <v>0</v>
      </c>
      <c r="D67" s="1350">
        <f>+'INSC-POSG plan'!F130</f>
        <v>0</v>
      </c>
      <c r="E67" s="1350">
        <f>+'INSC-POSG plan'!G130</f>
        <v>0</v>
      </c>
      <c r="F67" s="1351">
        <f t="shared" si="32"/>
        <v>0</v>
      </c>
      <c r="G67" s="1349">
        <f>+'INSC-POSG plan'!I130</f>
        <v>0</v>
      </c>
      <c r="H67" s="1350">
        <f>+'INSC-POSG plan'!J130</f>
        <v>0</v>
      </c>
      <c r="I67" s="1350">
        <f>+'INSC-POSG plan'!K130</f>
        <v>0</v>
      </c>
      <c r="J67" s="1351">
        <f t="shared" si="59"/>
        <v>0</v>
      </c>
      <c r="K67" s="1349">
        <f>+'INSC-POSG plan'!M130</f>
        <v>0</v>
      </c>
      <c r="L67" s="1350">
        <f>+'INSC-POSG plan'!N130</f>
        <v>0</v>
      </c>
      <c r="M67" s="1350">
        <f>+'INSC-POSG plan'!O130</f>
        <v>0</v>
      </c>
      <c r="N67" s="1351">
        <f t="shared" si="60"/>
        <v>0</v>
      </c>
      <c r="O67" s="1349">
        <f>+'INSC-POSG plan'!Q130</f>
        <v>0</v>
      </c>
      <c r="P67" s="1350">
        <f>+'INSC-POSG plan'!R130</f>
        <v>11</v>
      </c>
      <c r="Q67" s="1350">
        <f>+'INSC-POSG plan'!S130</f>
        <v>3</v>
      </c>
      <c r="R67" s="1351">
        <f t="shared" si="61"/>
        <v>14</v>
      </c>
      <c r="S67" s="1349"/>
      <c r="T67" s="1350"/>
      <c r="U67" s="1350"/>
      <c r="V67" s="1351"/>
      <c r="W67" s="1349"/>
      <c r="X67" s="1350"/>
      <c r="Y67" s="1350">
        <v>14</v>
      </c>
      <c r="Z67" s="1352">
        <v>14</v>
      </c>
      <c r="AA67" s="1349"/>
      <c r="AB67" s="1350"/>
      <c r="AC67" s="1350"/>
      <c r="AD67" s="1351"/>
      <c r="AE67" s="1350">
        <v>18</v>
      </c>
      <c r="AF67" s="1350"/>
      <c r="AG67" s="1350"/>
      <c r="AH67" s="1351">
        <v>18</v>
      </c>
      <c r="AI67" s="1350">
        <v>6</v>
      </c>
      <c r="AJ67" s="1350"/>
      <c r="AK67" s="1350"/>
      <c r="AL67" s="1811">
        <v>6</v>
      </c>
      <c r="AM67" s="1079">
        <v>12</v>
      </c>
      <c r="AN67" s="1080"/>
      <c r="AO67" s="1080"/>
      <c r="AP67" s="1083">
        <v>12</v>
      </c>
      <c r="AQ67" s="1079">
        <v>10</v>
      </c>
      <c r="AR67" s="1080"/>
      <c r="AS67" s="1080"/>
      <c r="AT67" s="1083">
        <f>SUM(AQ67:AS67)</f>
        <v>10</v>
      </c>
      <c r="AU67" s="1079">
        <v>11</v>
      </c>
      <c r="AV67" s="1080"/>
      <c r="AW67" s="1080"/>
      <c r="AX67" s="1083">
        <f>SUM(AU67:AW67)</f>
        <v>11</v>
      </c>
      <c r="AY67" s="1079">
        <v>8</v>
      </c>
      <c r="AZ67" s="1080"/>
      <c r="BA67" s="1080"/>
      <c r="BB67" s="1083">
        <f>SUM(AY67:BA67)</f>
        <v>8</v>
      </c>
      <c r="BC67" s="1079">
        <f>SUM('INSC-POSG plan'!BE130)</f>
        <v>10</v>
      </c>
      <c r="BD67" s="1080"/>
      <c r="BE67" s="1080"/>
      <c r="BF67" s="1083">
        <f>SUM(BC67:BE67)</f>
        <v>10</v>
      </c>
      <c r="BG67" s="1079">
        <f>SUM('INSC-POSG plan'!BI130)</f>
        <v>8</v>
      </c>
      <c r="BH67" s="1080"/>
      <c r="BI67" s="1080">
        <f>SUM('INSC-POSG plan'!BK130)</f>
        <v>0</v>
      </c>
      <c r="BJ67" s="1083">
        <f>SUM(BG67:BI67)</f>
        <v>8</v>
      </c>
      <c r="BK67" s="1080">
        <f>SUM('INSC-POSG plan'!BM130)</f>
        <v>7</v>
      </c>
      <c r="BL67" s="1080">
        <f>SUM('INSC-POSG plan'!BN130)</f>
        <v>0</v>
      </c>
      <c r="BM67" s="1080">
        <f>SUM('INSC-POSG plan'!BO130)</f>
        <v>0</v>
      </c>
      <c r="BN67" s="1083">
        <f>SUM(BK67:BM67)</f>
        <v>7</v>
      </c>
      <c r="BO67" s="1080">
        <f>SUM('INSC-POSG plan'!BQ130)</f>
        <v>8</v>
      </c>
      <c r="BP67" s="1080">
        <f>SUM('INSC-POSG plan'!BR130)</f>
        <v>0</v>
      </c>
      <c r="BQ67" s="1080">
        <f>SUM('INSC-POSG plan'!BS130)</f>
        <v>0</v>
      </c>
      <c r="BR67" s="1083">
        <f>SUM(BO67:BQ67)</f>
        <v>8</v>
      </c>
    </row>
    <row r="68" spans="1:70" s="222" customFormat="1" ht="15" x14ac:dyDescent="0.2">
      <c r="A68" s="5480"/>
      <c r="B68" s="583" t="s">
        <v>15</v>
      </c>
      <c r="C68" s="1195">
        <f>SUM(C65:C67)</f>
        <v>0</v>
      </c>
      <c r="D68" s="1196">
        <f>SUM(D65:D67)</f>
        <v>0</v>
      </c>
      <c r="E68" s="1196">
        <f>SUM(E65:E67)</f>
        <v>0</v>
      </c>
      <c r="F68" s="1197">
        <f t="shared" si="32"/>
        <v>0</v>
      </c>
      <c r="G68" s="1195">
        <f>SUM(G65:G67)</f>
        <v>0</v>
      </c>
      <c r="H68" s="1196">
        <f>SUM(H65:H67)</f>
        <v>46</v>
      </c>
      <c r="I68" s="1196">
        <f>SUM(I65:I67)</f>
        <v>0</v>
      </c>
      <c r="J68" s="1197">
        <f t="shared" si="59"/>
        <v>46</v>
      </c>
      <c r="K68" s="1195">
        <f>SUM(K65:K67)</f>
        <v>0</v>
      </c>
      <c r="L68" s="1196">
        <f>SUM(L65:L67)</f>
        <v>0</v>
      </c>
      <c r="M68" s="1196">
        <f>SUM(M65:M67)</f>
        <v>0</v>
      </c>
      <c r="N68" s="1197">
        <f t="shared" si="60"/>
        <v>0</v>
      </c>
      <c r="O68" s="1195">
        <f>SUM(O65:O67)</f>
        <v>0</v>
      </c>
      <c r="P68" s="1196">
        <f>SUM(P65:P67)</f>
        <v>11</v>
      </c>
      <c r="Q68" s="1196">
        <f>SUM(Q65:Q67)</f>
        <v>29</v>
      </c>
      <c r="R68" s="1197">
        <f t="shared" si="61"/>
        <v>40</v>
      </c>
      <c r="S68" s="1195"/>
      <c r="T68" s="1196"/>
      <c r="U68" s="1196">
        <v>19</v>
      </c>
      <c r="V68" s="1197">
        <v>19</v>
      </c>
      <c r="W68" s="1195"/>
      <c r="X68" s="1196"/>
      <c r="Y68" s="1196">
        <v>37</v>
      </c>
      <c r="Z68" s="1196">
        <v>37</v>
      </c>
      <c r="AA68" s="1195"/>
      <c r="AB68" s="1196"/>
      <c r="AC68" s="1196">
        <v>20</v>
      </c>
      <c r="AD68" s="1197">
        <v>20</v>
      </c>
      <c r="AE68" s="1196">
        <v>18</v>
      </c>
      <c r="AF68" s="1196"/>
      <c r="AG68" s="1196">
        <v>22</v>
      </c>
      <c r="AH68" s="1197">
        <v>40</v>
      </c>
      <c r="AI68" s="1196">
        <v>6</v>
      </c>
      <c r="AJ68" s="1196"/>
      <c r="AK68" s="1196">
        <v>22</v>
      </c>
      <c r="AL68" s="1197">
        <v>28</v>
      </c>
      <c r="AM68" s="584">
        <v>12</v>
      </c>
      <c r="AN68" s="585"/>
      <c r="AO68" s="585">
        <v>18</v>
      </c>
      <c r="AP68" s="586">
        <v>30</v>
      </c>
      <c r="AQ68" s="584">
        <f>SUM(AQ65:AQ67)</f>
        <v>10</v>
      </c>
      <c r="AR68" s="585">
        <f>SUM(AR65:AR67)</f>
        <v>17</v>
      </c>
      <c r="AS68" s="585">
        <f>SUM(AS65:AS67)</f>
        <v>56</v>
      </c>
      <c r="AT68" s="586">
        <f>SUM(AQ68:AS68)</f>
        <v>83</v>
      </c>
      <c r="AU68" s="584">
        <f>SUM(AU65:AU67)</f>
        <v>11</v>
      </c>
      <c r="AV68" s="585"/>
      <c r="AW68" s="585">
        <f>SUM(AW65:AW67)</f>
        <v>15</v>
      </c>
      <c r="AX68" s="586">
        <f>SUM(AU68:AW68)</f>
        <v>26</v>
      </c>
      <c r="AY68" s="584">
        <f t="shared" ref="AY68:BF68" si="66">SUM(AY65:AY67)</f>
        <v>8</v>
      </c>
      <c r="AZ68" s="585">
        <f t="shared" si="66"/>
        <v>39</v>
      </c>
      <c r="BA68" s="585">
        <f t="shared" si="66"/>
        <v>19</v>
      </c>
      <c r="BB68" s="586">
        <f t="shared" si="66"/>
        <v>66</v>
      </c>
      <c r="BC68" s="584">
        <f t="shared" si="66"/>
        <v>10</v>
      </c>
      <c r="BD68" s="585"/>
      <c r="BE68" s="585">
        <f t="shared" si="66"/>
        <v>19</v>
      </c>
      <c r="BF68" s="586">
        <f t="shared" si="66"/>
        <v>29</v>
      </c>
      <c r="BG68" s="584">
        <f t="shared" ref="BG68:BN68" si="67">SUM(BG65:BG67)</f>
        <v>8</v>
      </c>
      <c r="BH68" s="585">
        <f t="shared" si="67"/>
        <v>43</v>
      </c>
      <c r="BI68" s="585">
        <f t="shared" si="67"/>
        <v>23</v>
      </c>
      <c r="BJ68" s="586">
        <f t="shared" si="67"/>
        <v>74</v>
      </c>
      <c r="BK68" s="584">
        <f t="shared" si="67"/>
        <v>7</v>
      </c>
      <c r="BL68" s="585">
        <f t="shared" si="67"/>
        <v>0</v>
      </c>
      <c r="BM68" s="585">
        <f t="shared" si="67"/>
        <v>25</v>
      </c>
      <c r="BN68" s="586">
        <f t="shared" si="67"/>
        <v>32</v>
      </c>
      <c r="BO68" s="584">
        <f t="shared" ref="BO68:BR68" si="68">SUM(BO65:BO67)</f>
        <v>8</v>
      </c>
      <c r="BP68" s="585">
        <f t="shared" si="68"/>
        <v>45</v>
      </c>
      <c r="BQ68" s="585">
        <f t="shared" si="68"/>
        <v>24</v>
      </c>
      <c r="BR68" s="586">
        <f t="shared" si="68"/>
        <v>77</v>
      </c>
    </row>
    <row r="69" spans="1:70" ht="15" x14ac:dyDescent="0.2">
      <c r="A69" s="5481" t="s">
        <v>697</v>
      </c>
      <c r="B69" s="1067" t="s">
        <v>631</v>
      </c>
      <c r="C69" s="1334">
        <f>+C57+C61+C65</f>
        <v>11</v>
      </c>
      <c r="D69" s="1335">
        <f t="shared" ref="D69:E71" si="69">+D57+D61+D65</f>
        <v>0</v>
      </c>
      <c r="E69" s="1335">
        <f t="shared" si="69"/>
        <v>11</v>
      </c>
      <c r="F69" s="1336">
        <f t="shared" si="32"/>
        <v>22</v>
      </c>
      <c r="G69" s="1334">
        <f t="shared" ref="G69:I71" si="70">+G57+G61+G65</f>
        <v>54</v>
      </c>
      <c r="H69" s="1335">
        <f t="shared" si="70"/>
        <v>0</v>
      </c>
      <c r="I69" s="1335">
        <f t="shared" si="70"/>
        <v>36</v>
      </c>
      <c r="J69" s="1336">
        <f t="shared" si="59"/>
        <v>90</v>
      </c>
      <c r="K69" s="1334">
        <f t="shared" ref="K69:M71" si="71">+K57+K61+K65</f>
        <v>19</v>
      </c>
      <c r="L69" s="1335">
        <f t="shared" si="71"/>
        <v>1</v>
      </c>
      <c r="M69" s="1335">
        <f t="shared" si="71"/>
        <v>59</v>
      </c>
      <c r="N69" s="1336">
        <f t="shared" si="60"/>
        <v>79</v>
      </c>
      <c r="O69" s="1334">
        <f t="shared" ref="O69:Q71" si="72">+O57+O61+O65</f>
        <v>17</v>
      </c>
      <c r="P69" s="1335">
        <f t="shared" si="72"/>
        <v>3</v>
      </c>
      <c r="Q69" s="1335">
        <f t="shared" si="72"/>
        <v>33</v>
      </c>
      <c r="R69" s="1336">
        <f t="shared" si="61"/>
        <v>53</v>
      </c>
      <c r="S69" s="1334">
        <v>12</v>
      </c>
      <c r="T69" s="1335"/>
      <c r="U69" s="1335">
        <v>0</v>
      </c>
      <c r="V69" s="1336">
        <v>12</v>
      </c>
      <c r="W69" s="1334">
        <v>10</v>
      </c>
      <c r="X69" s="1335"/>
      <c r="Y69" s="1335">
        <v>5</v>
      </c>
      <c r="Z69" s="1337">
        <v>15</v>
      </c>
      <c r="AA69" s="1334"/>
      <c r="AB69" s="1335"/>
      <c r="AC69" s="1335"/>
      <c r="AD69" s="1336"/>
      <c r="AE69" s="1335">
        <v>13</v>
      </c>
      <c r="AF69" s="1335"/>
      <c r="AG69" s="1335">
        <v>5</v>
      </c>
      <c r="AH69" s="1336">
        <v>18</v>
      </c>
      <c r="AI69" s="1335">
        <v>8</v>
      </c>
      <c r="AJ69" s="1335"/>
      <c r="AK69" s="1335">
        <v>17</v>
      </c>
      <c r="AL69" s="1809">
        <v>25</v>
      </c>
      <c r="AM69" s="1068">
        <v>12</v>
      </c>
      <c r="AN69" s="1069"/>
      <c r="AO69" s="1069">
        <v>21</v>
      </c>
      <c r="AP69" s="1086">
        <v>33</v>
      </c>
      <c r="AQ69" s="1068">
        <f>AQ57+AQ61+AQ65</f>
        <v>10</v>
      </c>
      <c r="AR69" s="1069"/>
      <c r="AS69" s="1069">
        <f t="shared" ref="AS69:AT72" si="73">AS57+AS61+AS65</f>
        <v>2</v>
      </c>
      <c r="AT69" s="1086">
        <f t="shared" si="73"/>
        <v>12</v>
      </c>
      <c r="AU69" s="1068"/>
      <c r="AV69" s="1069"/>
      <c r="AW69" s="1069">
        <f t="shared" ref="AW69:AX72" si="74">AW57+AW61+AW65</f>
        <v>19</v>
      </c>
      <c r="AX69" s="1086">
        <f t="shared" si="74"/>
        <v>19</v>
      </c>
      <c r="AY69" s="1068">
        <f>SUM(AY57,AY61,AY65)</f>
        <v>12</v>
      </c>
      <c r="AZ69" s="1069"/>
      <c r="BA69" s="1069">
        <f t="shared" ref="AZ69:BF71" si="75">SUM(BA57,BA61,BA65)</f>
        <v>54</v>
      </c>
      <c r="BB69" s="1086">
        <f t="shared" si="75"/>
        <v>66</v>
      </c>
      <c r="BC69" s="1068"/>
      <c r="BD69" s="1069"/>
      <c r="BE69" s="1069"/>
      <c r="BF69" s="1086"/>
      <c r="BG69" s="1068">
        <f>SUM(BG57,BG61,BG65)</f>
        <v>12</v>
      </c>
      <c r="BH69" s="1069"/>
      <c r="BI69" s="1069">
        <f>SUM(BI57,BI61,BI65)</f>
        <v>35</v>
      </c>
      <c r="BJ69" s="1086">
        <f t="shared" ref="BG69:BJ70" si="76">SUM(BJ57,BJ61,BJ65)</f>
        <v>34</v>
      </c>
      <c r="BK69" s="1068">
        <f t="shared" ref="BK69:BN70" si="77">SUM(BK57,BK61,BK65)</f>
        <v>0</v>
      </c>
      <c r="BL69" s="1069">
        <f t="shared" si="77"/>
        <v>0</v>
      </c>
      <c r="BM69" s="1069">
        <f t="shared" si="77"/>
        <v>0</v>
      </c>
      <c r="BN69" s="1086">
        <f t="shared" si="77"/>
        <v>0</v>
      </c>
      <c r="BO69" s="1068">
        <f t="shared" ref="BO69:BR69" si="78">SUM(BO57,BO61,BO65)</f>
        <v>0</v>
      </c>
      <c r="BP69" s="1069">
        <f t="shared" si="78"/>
        <v>0</v>
      </c>
      <c r="BQ69" s="1069">
        <f t="shared" si="78"/>
        <v>0</v>
      </c>
      <c r="BR69" s="1086">
        <f t="shared" si="78"/>
        <v>0</v>
      </c>
    </row>
    <row r="70" spans="1:70" ht="15" x14ac:dyDescent="0.2">
      <c r="A70" s="5481"/>
      <c r="B70" s="1072" t="s">
        <v>632</v>
      </c>
      <c r="C70" s="1338">
        <f>+C58+C62+C66</f>
        <v>35</v>
      </c>
      <c r="D70" s="1339">
        <f t="shared" si="69"/>
        <v>15</v>
      </c>
      <c r="E70" s="1339">
        <f t="shared" si="69"/>
        <v>37</v>
      </c>
      <c r="F70" s="1340">
        <f t="shared" si="32"/>
        <v>87</v>
      </c>
      <c r="G70" s="1338">
        <f t="shared" si="70"/>
        <v>70</v>
      </c>
      <c r="H70" s="1339">
        <f t="shared" si="70"/>
        <v>71</v>
      </c>
      <c r="I70" s="1339">
        <f t="shared" si="70"/>
        <v>85</v>
      </c>
      <c r="J70" s="1340">
        <f t="shared" si="59"/>
        <v>226</v>
      </c>
      <c r="K70" s="1338">
        <f t="shared" si="71"/>
        <v>73</v>
      </c>
      <c r="L70" s="1339">
        <f t="shared" si="71"/>
        <v>29</v>
      </c>
      <c r="M70" s="1339">
        <f t="shared" si="71"/>
        <v>28</v>
      </c>
      <c r="N70" s="1340">
        <f t="shared" si="60"/>
        <v>130</v>
      </c>
      <c r="O70" s="1338">
        <f t="shared" si="72"/>
        <v>48</v>
      </c>
      <c r="P70" s="1339">
        <f t="shared" si="72"/>
        <v>56</v>
      </c>
      <c r="Q70" s="1339">
        <f t="shared" si="72"/>
        <v>121</v>
      </c>
      <c r="R70" s="1340">
        <f t="shared" si="61"/>
        <v>225</v>
      </c>
      <c r="S70" s="1338">
        <v>20</v>
      </c>
      <c r="T70" s="1339">
        <v>24</v>
      </c>
      <c r="U70" s="1339">
        <v>84</v>
      </c>
      <c r="V70" s="1340">
        <v>128</v>
      </c>
      <c r="W70" s="1338">
        <v>21</v>
      </c>
      <c r="X70" s="1339"/>
      <c r="Y70" s="1339">
        <v>155</v>
      </c>
      <c r="Z70" s="1341">
        <v>176</v>
      </c>
      <c r="AA70" s="1338">
        <v>18</v>
      </c>
      <c r="AB70" s="1339">
        <v>4</v>
      </c>
      <c r="AC70" s="1339">
        <v>113</v>
      </c>
      <c r="AD70" s="1340">
        <v>135</v>
      </c>
      <c r="AE70" s="1339">
        <v>13</v>
      </c>
      <c r="AF70" s="1339">
        <v>4</v>
      </c>
      <c r="AG70" s="1339">
        <v>180</v>
      </c>
      <c r="AH70" s="1340">
        <v>197</v>
      </c>
      <c r="AI70" s="1339">
        <v>3</v>
      </c>
      <c r="AJ70" s="1339">
        <v>8</v>
      </c>
      <c r="AK70" s="1339">
        <v>116</v>
      </c>
      <c r="AL70" s="1810">
        <v>127</v>
      </c>
      <c r="AM70" s="1073">
        <v>6</v>
      </c>
      <c r="AN70" s="1074">
        <v>14</v>
      </c>
      <c r="AO70" s="1074">
        <v>176</v>
      </c>
      <c r="AP70" s="1077">
        <v>196</v>
      </c>
      <c r="AQ70" s="1073">
        <f>AQ58+AQ62+AQ66</f>
        <v>8</v>
      </c>
      <c r="AR70" s="1074">
        <f>AR58+AR62+AR66</f>
        <v>23</v>
      </c>
      <c r="AS70" s="1074">
        <f t="shared" si="73"/>
        <v>146</v>
      </c>
      <c r="AT70" s="1077">
        <f t="shared" si="73"/>
        <v>177</v>
      </c>
      <c r="AU70" s="1073">
        <f>AU58+AU62+AU66</f>
        <v>18</v>
      </c>
      <c r="AV70" s="1074">
        <f>AV58+AV62+AV66</f>
        <v>5</v>
      </c>
      <c r="AW70" s="1074">
        <f t="shared" si="74"/>
        <v>163</v>
      </c>
      <c r="AX70" s="1077">
        <f t="shared" si="74"/>
        <v>186</v>
      </c>
      <c r="AY70" s="1073">
        <f>SUM(AY58,AY62,AY66)</f>
        <v>2</v>
      </c>
      <c r="AZ70" s="1074">
        <f t="shared" si="75"/>
        <v>54</v>
      </c>
      <c r="BA70" s="1074">
        <f t="shared" si="75"/>
        <v>82</v>
      </c>
      <c r="BB70" s="1077">
        <f t="shared" si="75"/>
        <v>138</v>
      </c>
      <c r="BC70" s="1073">
        <f t="shared" si="75"/>
        <v>35</v>
      </c>
      <c r="BD70" s="1074">
        <f t="shared" si="75"/>
        <v>18</v>
      </c>
      <c r="BE70" s="1074">
        <f t="shared" si="75"/>
        <v>197</v>
      </c>
      <c r="BF70" s="1077">
        <f t="shared" si="75"/>
        <v>250</v>
      </c>
      <c r="BG70" s="1073">
        <f t="shared" si="76"/>
        <v>5</v>
      </c>
      <c r="BH70" s="1074">
        <f t="shared" si="76"/>
        <v>75</v>
      </c>
      <c r="BI70" s="1074">
        <f t="shared" si="76"/>
        <v>66</v>
      </c>
      <c r="BJ70" s="1077">
        <f t="shared" si="76"/>
        <v>146</v>
      </c>
      <c r="BK70" s="1073">
        <f t="shared" si="77"/>
        <v>27</v>
      </c>
      <c r="BL70" s="1074">
        <f t="shared" si="77"/>
        <v>29</v>
      </c>
      <c r="BM70" s="1074">
        <f t="shared" si="77"/>
        <v>210</v>
      </c>
      <c r="BN70" s="1077">
        <f t="shared" si="77"/>
        <v>266</v>
      </c>
      <c r="BO70" s="1073">
        <f t="shared" ref="BO70:BR70" si="79">SUM(BO58,BO62,BO66)</f>
        <v>31</v>
      </c>
      <c r="BP70" s="1074">
        <f t="shared" si="79"/>
        <v>75</v>
      </c>
      <c r="BQ70" s="1074">
        <f t="shared" si="79"/>
        <v>106</v>
      </c>
      <c r="BR70" s="1077">
        <f t="shared" si="79"/>
        <v>212</v>
      </c>
    </row>
    <row r="71" spans="1:70" ht="15" x14ac:dyDescent="0.2">
      <c r="A71" s="5481"/>
      <c r="B71" s="1078" t="s">
        <v>633</v>
      </c>
      <c r="C71" s="1349">
        <f>+C59+C63+C67</f>
        <v>50</v>
      </c>
      <c r="D71" s="1350">
        <f t="shared" si="69"/>
        <v>0</v>
      </c>
      <c r="E71" s="1350">
        <f t="shared" si="69"/>
        <v>6</v>
      </c>
      <c r="F71" s="1351">
        <f t="shared" si="32"/>
        <v>56</v>
      </c>
      <c r="G71" s="1349">
        <f t="shared" si="70"/>
        <v>3</v>
      </c>
      <c r="H71" s="1350">
        <f t="shared" si="70"/>
        <v>14</v>
      </c>
      <c r="I71" s="1350">
        <f t="shared" si="70"/>
        <v>4</v>
      </c>
      <c r="J71" s="1351">
        <f t="shared" si="59"/>
        <v>21</v>
      </c>
      <c r="K71" s="1349">
        <f t="shared" si="71"/>
        <v>35</v>
      </c>
      <c r="L71" s="1350">
        <f t="shared" si="71"/>
        <v>0</v>
      </c>
      <c r="M71" s="1350">
        <f t="shared" si="71"/>
        <v>15</v>
      </c>
      <c r="N71" s="1351">
        <f t="shared" si="60"/>
        <v>50</v>
      </c>
      <c r="O71" s="1349">
        <f t="shared" si="72"/>
        <v>25</v>
      </c>
      <c r="P71" s="1350">
        <f t="shared" si="72"/>
        <v>11</v>
      </c>
      <c r="Q71" s="1350">
        <f t="shared" si="72"/>
        <v>15</v>
      </c>
      <c r="R71" s="1351">
        <f t="shared" si="61"/>
        <v>51</v>
      </c>
      <c r="S71" s="1349">
        <v>58</v>
      </c>
      <c r="T71" s="1350"/>
      <c r="U71" s="1350">
        <v>32</v>
      </c>
      <c r="V71" s="1351">
        <v>90</v>
      </c>
      <c r="W71" s="1349">
        <v>9</v>
      </c>
      <c r="X71" s="1350"/>
      <c r="Y71" s="1350">
        <v>19</v>
      </c>
      <c r="Z71" s="1352">
        <v>28</v>
      </c>
      <c r="AA71" s="1349">
        <v>51</v>
      </c>
      <c r="AB71" s="1350"/>
      <c r="AC71" s="1350">
        <v>23</v>
      </c>
      <c r="AD71" s="1351">
        <v>74</v>
      </c>
      <c r="AE71" s="1350">
        <v>26</v>
      </c>
      <c r="AF71" s="1350"/>
      <c r="AG71" s="1350">
        <v>20</v>
      </c>
      <c r="AH71" s="1351">
        <v>46</v>
      </c>
      <c r="AI71" s="1350">
        <v>84</v>
      </c>
      <c r="AJ71" s="1350">
        <v>11</v>
      </c>
      <c r="AK71" s="1350">
        <v>32</v>
      </c>
      <c r="AL71" s="1811">
        <v>127</v>
      </c>
      <c r="AM71" s="1079">
        <v>32</v>
      </c>
      <c r="AN71" s="1080"/>
      <c r="AO71" s="1080">
        <v>7</v>
      </c>
      <c r="AP71" s="1083">
        <v>39</v>
      </c>
      <c r="AQ71" s="1079">
        <f>AQ59+AQ63+AQ67</f>
        <v>69</v>
      </c>
      <c r="AR71" s="1080"/>
      <c r="AS71" s="1080">
        <f t="shared" si="73"/>
        <v>22</v>
      </c>
      <c r="AT71" s="1083">
        <f t="shared" si="73"/>
        <v>91</v>
      </c>
      <c r="AU71" s="1079">
        <f>AU59+AU63+AU67</f>
        <v>17</v>
      </c>
      <c r="AV71" s="1080"/>
      <c r="AW71" s="1080">
        <f t="shared" si="74"/>
        <v>19</v>
      </c>
      <c r="AX71" s="1083">
        <f t="shared" si="74"/>
        <v>36</v>
      </c>
      <c r="AY71" s="1079">
        <f>SUM(AY59,AY63,AY67)</f>
        <v>66</v>
      </c>
      <c r="AZ71" s="1080">
        <f t="shared" si="75"/>
        <v>0</v>
      </c>
      <c r="BA71" s="1080">
        <f t="shared" si="75"/>
        <v>30</v>
      </c>
      <c r="BB71" s="1083">
        <f t="shared" si="75"/>
        <v>96</v>
      </c>
      <c r="BC71" s="1079">
        <f t="shared" si="75"/>
        <v>19</v>
      </c>
      <c r="BD71" s="1080"/>
      <c r="BE71" s="1080">
        <f t="shared" si="75"/>
        <v>18</v>
      </c>
      <c r="BF71" s="1083">
        <f t="shared" si="75"/>
        <v>37</v>
      </c>
      <c r="BG71" s="1079">
        <f>SUM(BG59,BG63,BG67)</f>
        <v>77</v>
      </c>
      <c r="BH71" s="1080"/>
      <c r="BI71" s="1080">
        <f>SUM(BI59,BI63,BI67)</f>
        <v>24</v>
      </c>
      <c r="BJ71" s="1083">
        <f>SUM(BJ59,BJ63,BJ67)</f>
        <v>101</v>
      </c>
      <c r="BK71" s="1079">
        <f>SUM(BK59,BK63,BK67)</f>
        <v>18</v>
      </c>
      <c r="BL71" s="1080"/>
      <c r="BM71" s="1080">
        <f t="shared" ref="BM71:BR71" si="80">SUM(BM59,BM63,BM67)</f>
        <v>23</v>
      </c>
      <c r="BN71" s="1083">
        <f t="shared" si="80"/>
        <v>41</v>
      </c>
      <c r="BO71" s="1079">
        <f t="shared" si="80"/>
        <v>71</v>
      </c>
      <c r="BP71" s="1080">
        <f t="shared" si="80"/>
        <v>1</v>
      </c>
      <c r="BQ71" s="1080">
        <f t="shared" si="80"/>
        <v>31</v>
      </c>
      <c r="BR71" s="1083">
        <f t="shared" si="80"/>
        <v>103</v>
      </c>
    </row>
    <row r="72" spans="1:70" s="222" customFormat="1" ht="15" x14ac:dyDescent="0.2">
      <c r="A72" s="5482"/>
      <c r="B72" s="2623" t="s">
        <v>12</v>
      </c>
      <c r="C72" s="2649">
        <f>SUM(C69:C71)</f>
        <v>96</v>
      </c>
      <c r="D72" s="2650">
        <f>SUM(D69:D71)</f>
        <v>15</v>
      </c>
      <c r="E72" s="2650">
        <f>SUM(E69:E71)</f>
        <v>54</v>
      </c>
      <c r="F72" s="2651">
        <f t="shared" si="32"/>
        <v>165</v>
      </c>
      <c r="G72" s="2649">
        <f>SUM(G69:G71)</f>
        <v>127</v>
      </c>
      <c r="H72" s="2650">
        <f>SUM(H69:H71)</f>
        <v>85</v>
      </c>
      <c r="I72" s="2650">
        <f>SUM(I69:I71)</f>
        <v>125</v>
      </c>
      <c r="J72" s="2651">
        <f t="shared" si="59"/>
        <v>337</v>
      </c>
      <c r="K72" s="2649">
        <f>SUM(K69:K71)</f>
        <v>127</v>
      </c>
      <c r="L72" s="2650">
        <f>SUM(L69:L71)</f>
        <v>30</v>
      </c>
      <c r="M72" s="2650">
        <f>SUM(M69:M71)</f>
        <v>102</v>
      </c>
      <c r="N72" s="2651">
        <f t="shared" si="60"/>
        <v>259</v>
      </c>
      <c r="O72" s="2649">
        <f>SUM(O69:O71)</f>
        <v>90</v>
      </c>
      <c r="P72" s="2650">
        <f>SUM(P69:P71)</f>
        <v>70</v>
      </c>
      <c r="Q72" s="2650">
        <f>SUM(Q69:Q71)</f>
        <v>169</v>
      </c>
      <c r="R72" s="2651">
        <f t="shared" si="61"/>
        <v>329</v>
      </c>
      <c r="S72" s="2649">
        <f>SUM(S69:S71)</f>
        <v>90</v>
      </c>
      <c r="T72" s="2650">
        <f>SUM(T69:T71)</f>
        <v>24</v>
      </c>
      <c r="U72" s="2650">
        <f>SUM(U69:U71)</f>
        <v>116</v>
      </c>
      <c r="V72" s="2651">
        <f>SUM(V69:V71)</f>
        <v>230</v>
      </c>
      <c r="W72" s="2649">
        <f t="shared" ref="W72:AL72" si="81">SUM(W69:W71)</f>
        <v>40</v>
      </c>
      <c r="X72" s="2650"/>
      <c r="Y72" s="2650">
        <f t="shared" si="81"/>
        <v>179</v>
      </c>
      <c r="Z72" s="2650">
        <f t="shared" si="81"/>
        <v>219</v>
      </c>
      <c r="AA72" s="2649">
        <f t="shared" si="81"/>
        <v>69</v>
      </c>
      <c r="AB72" s="2650">
        <f t="shared" si="81"/>
        <v>4</v>
      </c>
      <c r="AC72" s="2650">
        <f t="shared" si="81"/>
        <v>136</v>
      </c>
      <c r="AD72" s="2651">
        <f t="shared" si="81"/>
        <v>209</v>
      </c>
      <c r="AE72" s="2650">
        <f t="shared" si="81"/>
        <v>52</v>
      </c>
      <c r="AF72" s="2650">
        <f t="shared" si="81"/>
        <v>4</v>
      </c>
      <c r="AG72" s="2650">
        <f t="shared" si="81"/>
        <v>205</v>
      </c>
      <c r="AH72" s="2651">
        <f t="shared" si="81"/>
        <v>261</v>
      </c>
      <c r="AI72" s="2650">
        <f t="shared" si="81"/>
        <v>95</v>
      </c>
      <c r="AJ72" s="2650">
        <f t="shared" si="81"/>
        <v>19</v>
      </c>
      <c r="AK72" s="2650">
        <f t="shared" si="81"/>
        <v>165</v>
      </c>
      <c r="AL72" s="2651">
        <f t="shared" si="81"/>
        <v>279</v>
      </c>
      <c r="AM72" s="2624">
        <v>50</v>
      </c>
      <c r="AN72" s="2625">
        <v>14</v>
      </c>
      <c r="AO72" s="2625">
        <v>204</v>
      </c>
      <c r="AP72" s="2626">
        <v>268</v>
      </c>
      <c r="AQ72" s="2624">
        <f>AQ60+AQ64+AQ68</f>
        <v>87</v>
      </c>
      <c r="AR72" s="2625">
        <f>AR60+AR64+AR68</f>
        <v>23</v>
      </c>
      <c r="AS72" s="2625">
        <f t="shared" si="73"/>
        <v>170</v>
      </c>
      <c r="AT72" s="2626">
        <f t="shared" si="73"/>
        <v>280</v>
      </c>
      <c r="AU72" s="2624">
        <f>AU60+AU64+AU68</f>
        <v>35</v>
      </c>
      <c r="AV72" s="2625">
        <f>AV60+AV64+AV68</f>
        <v>5</v>
      </c>
      <c r="AW72" s="2625">
        <f t="shared" si="74"/>
        <v>201</v>
      </c>
      <c r="AX72" s="2626">
        <f t="shared" si="74"/>
        <v>241</v>
      </c>
      <c r="AY72" s="2624">
        <f>SUM(AY69:AY71)</f>
        <v>80</v>
      </c>
      <c r="AZ72" s="2625">
        <f>SUM(AZ69:AZ71)</f>
        <v>54</v>
      </c>
      <c r="BA72" s="2625">
        <f>SUM(BA69:BA71)</f>
        <v>166</v>
      </c>
      <c r="BB72" s="2626">
        <f>BB60+BB64+BB68</f>
        <v>300</v>
      </c>
      <c r="BC72" s="2624">
        <f>SUM(BC69:BC71)</f>
        <v>54</v>
      </c>
      <c r="BD72" s="2625">
        <f>SUM(BD69:BD71)</f>
        <v>18</v>
      </c>
      <c r="BE72" s="2625">
        <f>SUM(BE69:BE71)</f>
        <v>215</v>
      </c>
      <c r="BF72" s="2626">
        <f>BF60+BF64+BF68</f>
        <v>287</v>
      </c>
      <c r="BG72" s="2624">
        <f>SUM(BG69:BG71)</f>
        <v>94</v>
      </c>
      <c r="BH72" s="2625">
        <f>SUM(BH69:BH71)</f>
        <v>75</v>
      </c>
      <c r="BI72" s="2625">
        <f>SUM(BI69:BI71)</f>
        <v>125</v>
      </c>
      <c r="BJ72" s="2626">
        <f>BJ60+BJ64+BJ68</f>
        <v>294</v>
      </c>
      <c r="BK72" s="2624">
        <f>SUM(BK69:BK71)</f>
        <v>45</v>
      </c>
      <c r="BL72" s="2625">
        <f>SUM(BL69:BL71)</f>
        <v>29</v>
      </c>
      <c r="BM72" s="2625">
        <f>SUM(BM69:BM71)</f>
        <v>233</v>
      </c>
      <c r="BN72" s="2626">
        <f>BN60+BN64+BN68</f>
        <v>307</v>
      </c>
      <c r="BO72" s="2624">
        <f>SUM(BO69:BO71)</f>
        <v>102</v>
      </c>
      <c r="BP72" s="2625">
        <f>SUM(BP69:BP71)</f>
        <v>76</v>
      </c>
      <c r="BQ72" s="2625">
        <f>SUM(BQ69:BQ71)</f>
        <v>137</v>
      </c>
      <c r="BR72" s="2626">
        <f>BR60+BR64+BR68</f>
        <v>315</v>
      </c>
    </row>
    <row r="73" spans="1:70" s="222" customFormat="1" ht="15" x14ac:dyDescent="0.2">
      <c r="A73" s="936"/>
      <c r="B73" s="936"/>
      <c r="C73" s="936"/>
      <c r="D73" s="936"/>
      <c r="E73" s="936"/>
      <c r="F73" s="936"/>
      <c r="G73" s="936"/>
      <c r="H73" s="936"/>
      <c r="I73" s="936"/>
      <c r="J73" s="936"/>
      <c r="K73" s="936"/>
      <c r="L73" s="936"/>
      <c r="M73" s="936"/>
      <c r="N73" s="936"/>
      <c r="O73" s="936"/>
      <c r="P73" s="936"/>
      <c r="Q73" s="936"/>
      <c r="R73" s="936"/>
      <c r="S73" s="936"/>
      <c r="T73" s="936"/>
      <c r="U73" s="936"/>
      <c r="V73" s="936"/>
      <c r="W73" s="936"/>
      <c r="X73" s="936"/>
      <c r="Y73" s="936"/>
      <c r="Z73" s="936"/>
      <c r="AA73" s="936"/>
      <c r="AB73" s="936"/>
      <c r="AC73" s="936"/>
      <c r="AD73" s="936"/>
      <c r="AE73" s="936"/>
      <c r="AF73" s="936"/>
      <c r="AG73" s="936"/>
      <c r="AH73" s="936"/>
      <c r="AI73" s="936"/>
      <c r="AJ73" s="936"/>
      <c r="AK73" s="936"/>
      <c r="AL73" s="936"/>
      <c r="AM73" s="936"/>
      <c r="AN73" s="936"/>
      <c r="AO73" s="936"/>
      <c r="AP73" s="936"/>
      <c r="AQ73" s="936"/>
      <c r="AR73" s="936"/>
      <c r="AS73" s="936"/>
      <c r="AT73" s="936"/>
      <c r="AU73" s="936"/>
      <c r="AV73" s="936"/>
      <c r="AW73" s="936"/>
      <c r="AX73" s="936"/>
      <c r="AY73" s="936"/>
      <c r="AZ73" s="936"/>
      <c r="BA73" s="936"/>
      <c r="BB73" s="263"/>
      <c r="BC73" s="936"/>
      <c r="BD73" s="936"/>
      <c r="BE73" s="936"/>
      <c r="BF73" s="263"/>
      <c r="BG73" s="936"/>
      <c r="BH73" s="936"/>
      <c r="BI73" s="936"/>
      <c r="BJ73" s="263"/>
      <c r="BK73" s="936"/>
      <c r="BL73" s="936"/>
      <c r="BM73" s="936"/>
      <c r="BN73" s="263"/>
      <c r="BO73" s="936"/>
      <c r="BP73" s="936"/>
      <c r="BQ73" s="936"/>
      <c r="BR73" s="263"/>
    </row>
    <row r="74" spans="1:70" ht="15" x14ac:dyDescent="0.2">
      <c r="A74" s="5467" t="s">
        <v>586</v>
      </c>
      <c r="B74" s="1067" t="s">
        <v>631</v>
      </c>
      <c r="C74" s="1334">
        <f>+C18+C52+C69</f>
        <v>71</v>
      </c>
      <c r="D74" s="1335">
        <f t="shared" ref="D74:E76" si="82">+D18+D52+D69</f>
        <v>0</v>
      </c>
      <c r="E74" s="1335">
        <f t="shared" si="82"/>
        <v>94</v>
      </c>
      <c r="F74" s="1336">
        <f t="shared" si="32"/>
        <v>165</v>
      </c>
      <c r="G74" s="1334">
        <f t="shared" ref="G74:I76" si="83">+G18+G52+G69</f>
        <v>103</v>
      </c>
      <c r="H74" s="1335">
        <f t="shared" si="83"/>
        <v>0</v>
      </c>
      <c r="I74" s="1335">
        <f t="shared" si="83"/>
        <v>131</v>
      </c>
      <c r="J74" s="1336">
        <f>SUM(G74:I74)</f>
        <v>234</v>
      </c>
      <c r="K74" s="1334">
        <f t="shared" ref="K74:M76" si="84">+K18+K52+K69</f>
        <v>19</v>
      </c>
      <c r="L74" s="1335">
        <f t="shared" si="84"/>
        <v>7</v>
      </c>
      <c r="M74" s="1335">
        <f t="shared" si="84"/>
        <v>168</v>
      </c>
      <c r="N74" s="1336">
        <f t="shared" si="60"/>
        <v>194</v>
      </c>
      <c r="O74" s="1334">
        <f t="shared" ref="O74:Q76" si="85">+O18+O52+O69</f>
        <v>20</v>
      </c>
      <c r="P74" s="1335">
        <f t="shared" si="85"/>
        <v>3</v>
      </c>
      <c r="Q74" s="1335">
        <f t="shared" si="85"/>
        <v>143</v>
      </c>
      <c r="R74" s="1336">
        <f t="shared" si="61"/>
        <v>166</v>
      </c>
      <c r="S74" s="1334">
        <f t="shared" ref="S74:AL76" si="86">S18+S52+S69</f>
        <v>13</v>
      </c>
      <c r="T74" s="1335">
        <f t="shared" si="86"/>
        <v>2</v>
      </c>
      <c r="U74" s="1335">
        <f t="shared" si="86"/>
        <v>98</v>
      </c>
      <c r="V74" s="1336">
        <f t="shared" si="86"/>
        <v>113</v>
      </c>
      <c r="W74" s="1334">
        <f t="shared" si="86"/>
        <v>10</v>
      </c>
      <c r="X74" s="1335">
        <f t="shared" si="86"/>
        <v>2</v>
      </c>
      <c r="Y74" s="1335">
        <f t="shared" si="86"/>
        <v>155</v>
      </c>
      <c r="Z74" s="1337">
        <f t="shared" si="86"/>
        <v>167</v>
      </c>
      <c r="AA74" s="1334">
        <f t="shared" si="86"/>
        <v>1</v>
      </c>
      <c r="AB74" s="1335">
        <f t="shared" si="86"/>
        <v>4</v>
      </c>
      <c r="AC74" s="1335">
        <f t="shared" si="86"/>
        <v>59</v>
      </c>
      <c r="AD74" s="1336">
        <f t="shared" si="86"/>
        <v>64</v>
      </c>
      <c r="AE74" s="1335">
        <f t="shared" si="86"/>
        <v>109</v>
      </c>
      <c r="AF74" s="1335">
        <f t="shared" si="86"/>
        <v>7</v>
      </c>
      <c r="AG74" s="1335">
        <f t="shared" si="86"/>
        <v>68</v>
      </c>
      <c r="AH74" s="1336">
        <f t="shared" si="86"/>
        <v>184</v>
      </c>
      <c r="AI74" s="1335">
        <f t="shared" si="86"/>
        <v>104</v>
      </c>
      <c r="AJ74" s="1335">
        <f t="shared" si="86"/>
        <v>19</v>
      </c>
      <c r="AK74" s="1335">
        <f t="shared" si="86"/>
        <v>131</v>
      </c>
      <c r="AL74" s="1809">
        <f t="shared" si="86"/>
        <v>254</v>
      </c>
      <c r="AM74" s="1068">
        <v>114</v>
      </c>
      <c r="AN74" s="1069">
        <v>7</v>
      </c>
      <c r="AO74" s="1069">
        <v>110</v>
      </c>
      <c r="AP74" s="1086">
        <v>231</v>
      </c>
      <c r="AQ74" s="1068">
        <f t="shared" ref="AQ74:AX77" si="87">AQ18+AQ52+AQ69</f>
        <v>12</v>
      </c>
      <c r="AR74" s="1069">
        <f t="shared" si="87"/>
        <v>105</v>
      </c>
      <c r="AS74" s="1069">
        <f t="shared" si="87"/>
        <v>104</v>
      </c>
      <c r="AT74" s="1086">
        <f t="shared" si="87"/>
        <v>221</v>
      </c>
      <c r="AU74" s="1068">
        <f t="shared" si="87"/>
        <v>6</v>
      </c>
      <c r="AV74" s="1069">
        <f t="shared" si="87"/>
        <v>6</v>
      </c>
      <c r="AW74" s="1069">
        <f t="shared" si="87"/>
        <v>248</v>
      </c>
      <c r="AX74" s="1086">
        <f t="shared" si="87"/>
        <v>260</v>
      </c>
      <c r="AY74" s="1068">
        <f t="shared" ref="AY74:BB76" si="88">SUM(AY18,AY52,AY69,AY23)</f>
        <v>19</v>
      </c>
      <c r="AZ74" s="1069">
        <f t="shared" si="88"/>
        <v>5</v>
      </c>
      <c r="BA74" s="1069">
        <f t="shared" si="88"/>
        <v>175</v>
      </c>
      <c r="BB74" s="1086">
        <f t="shared" si="88"/>
        <v>199</v>
      </c>
      <c r="BC74" s="1068">
        <f t="shared" ref="BC74:BE76" si="89">SUM(BC18,BC35,BC52,BC69)</f>
        <v>9</v>
      </c>
      <c r="BD74" s="1069">
        <f t="shared" si="89"/>
        <v>14</v>
      </c>
      <c r="BE74" s="1069">
        <f t="shared" si="89"/>
        <v>106</v>
      </c>
      <c r="BF74" s="1086">
        <f>SUM(BC74:BE74)</f>
        <v>129</v>
      </c>
      <c r="BG74" s="1068">
        <f t="shared" ref="BG74:BH76" si="90">SUM(BG18,BG35,BG52,BG69)</f>
        <v>17</v>
      </c>
      <c r="BH74" s="1069">
        <f t="shared" si="90"/>
        <v>6</v>
      </c>
      <c r="BI74" s="1069">
        <f>SUM(BI18,BI35,BI52,BI69)</f>
        <v>112</v>
      </c>
      <c r="BJ74" s="1086">
        <f>SUM(BG74:BI74)</f>
        <v>135</v>
      </c>
      <c r="BK74" s="1068">
        <f t="shared" ref="BK74:BM76" si="91">SUM(BK18,BK35,BK52,BK69)</f>
        <v>7</v>
      </c>
      <c r="BL74" s="1069">
        <f t="shared" si="91"/>
        <v>6</v>
      </c>
      <c r="BM74" s="1069">
        <f t="shared" si="91"/>
        <v>109</v>
      </c>
      <c r="BN74" s="1086">
        <f>SUM(BK74:BM74)</f>
        <v>122</v>
      </c>
      <c r="BO74" s="1068">
        <f t="shared" ref="BO74:BQ74" si="92">SUM(BO18,BO35,BO52,BO69)</f>
        <v>41</v>
      </c>
      <c r="BP74" s="1069">
        <f t="shared" si="92"/>
        <v>8</v>
      </c>
      <c r="BQ74" s="1069">
        <f t="shared" si="92"/>
        <v>64</v>
      </c>
      <c r="BR74" s="1086">
        <f>SUM(BO74:BQ74)</f>
        <v>113</v>
      </c>
    </row>
    <row r="75" spans="1:70" ht="15" x14ac:dyDescent="0.2">
      <c r="A75" s="5468"/>
      <c r="B75" s="1072" t="s">
        <v>632</v>
      </c>
      <c r="C75" s="1338">
        <f>+C19+C53+C70</f>
        <v>108</v>
      </c>
      <c r="D75" s="1339">
        <f t="shared" si="82"/>
        <v>38</v>
      </c>
      <c r="E75" s="1339">
        <f t="shared" si="82"/>
        <v>223</v>
      </c>
      <c r="F75" s="1340">
        <f t="shared" si="32"/>
        <v>369</v>
      </c>
      <c r="G75" s="1338">
        <f t="shared" si="83"/>
        <v>221</v>
      </c>
      <c r="H75" s="1339">
        <f t="shared" si="83"/>
        <v>93</v>
      </c>
      <c r="I75" s="1339">
        <f t="shared" si="83"/>
        <v>346</v>
      </c>
      <c r="J75" s="1340">
        <f>SUM(G75:I75)</f>
        <v>660</v>
      </c>
      <c r="K75" s="1338">
        <f t="shared" si="84"/>
        <v>124</v>
      </c>
      <c r="L75" s="1339">
        <f t="shared" si="84"/>
        <v>72</v>
      </c>
      <c r="M75" s="1339">
        <f t="shared" si="84"/>
        <v>229</v>
      </c>
      <c r="N75" s="1340">
        <f t="shared" si="60"/>
        <v>425</v>
      </c>
      <c r="O75" s="1338">
        <f t="shared" si="85"/>
        <v>109</v>
      </c>
      <c r="P75" s="1339">
        <f t="shared" si="85"/>
        <v>70</v>
      </c>
      <c r="Q75" s="1339">
        <f t="shared" si="85"/>
        <v>487</v>
      </c>
      <c r="R75" s="1340">
        <f t="shared" si="61"/>
        <v>666</v>
      </c>
      <c r="S75" s="1338">
        <f t="shared" si="86"/>
        <v>43</v>
      </c>
      <c r="T75" s="1339">
        <f t="shared" si="86"/>
        <v>33</v>
      </c>
      <c r="U75" s="1339">
        <f t="shared" si="86"/>
        <v>194</v>
      </c>
      <c r="V75" s="1340">
        <f t="shared" si="86"/>
        <v>270</v>
      </c>
      <c r="W75" s="1338">
        <f t="shared" si="86"/>
        <v>61</v>
      </c>
      <c r="X75" s="1339">
        <f t="shared" si="86"/>
        <v>13</v>
      </c>
      <c r="Y75" s="1339">
        <f t="shared" si="86"/>
        <v>272</v>
      </c>
      <c r="Z75" s="1341">
        <f t="shared" si="86"/>
        <v>346</v>
      </c>
      <c r="AA75" s="1338">
        <f t="shared" si="86"/>
        <v>114</v>
      </c>
      <c r="AB75" s="1339">
        <f t="shared" si="86"/>
        <v>17</v>
      </c>
      <c r="AC75" s="1339">
        <f t="shared" si="86"/>
        <v>277</v>
      </c>
      <c r="AD75" s="1340">
        <f t="shared" si="86"/>
        <v>408</v>
      </c>
      <c r="AE75" s="1339">
        <f t="shared" si="86"/>
        <v>59</v>
      </c>
      <c r="AF75" s="1339">
        <f t="shared" si="86"/>
        <v>16</v>
      </c>
      <c r="AG75" s="1339">
        <f t="shared" si="86"/>
        <v>328</v>
      </c>
      <c r="AH75" s="1340">
        <f t="shared" si="86"/>
        <v>403</v>
      </c>
      <c r="AI75" s="1339">
        <f t="shared" si="86"/>
        <v>102</v>
      </c>
      <c r="AJ75" s="1339">
        <f t="shared" si="86"/>
        <v>22</v>
      </c>
      <c r="AK75" s="1339">
        <f t="shared" si="86"/>
        <v>269</v>
      </c>
      <c r="AL75" s="1810">
        <f t="shared" si="86"/>
        <v>393</v>
      </c>
      <c r="AM75" s="1073">
        <v>61</v>
      </c>
      <c r="AN75" s="1074">
        <v>22</v>
      </c>
      <c r="AO75" s="1074">
        <v>449</v>
      </c>
      <c r="AP75" s="1077">
        <v>532</v>
      </c>
      <c r="AQ75" s="1073">
        <f t="shared" si="87"/>
        <v>40</v>
      </c>
      <c r="AR75" s="1074">
        <f t="shared" si="87"/>
        <v>27</v>
      </c>
      <c r="AS75" s="1074">
        <f t="shared" si="87"/>
        <v>385</v>
      </c>
      <c r="AT75" s="1077">
        <f t="shared" si="87"/>
        <v>452</v>
      </c>
      <c r="AU75" s="1073">
        <f t="shared" si="87"/>
        <v>62</v>
      </c>
      <c r="AV75" s="1074">
        <f t="shared" si="87"/>
        <v>12</v>
      </c>
      <c r="AW75" s="1074">
        <f t="shared" si="87"/>
        <v>395</v>
      </c>
      <c r="AX75" s="1077">
        <f t="shared" si="87"/>
        <v>469</v>
      </c>
      <c r="AY75" s="1073">
        <f t="shared" si="88"/>
        <v>57</v>
      </c>
      <c r="AZ75" s="1074">
        <f t="shared" si="88"/>
        <v>70</v>
      </c>
      <c r="BA75" s="1074">
        <f t="shared" si="88"/>
        <v>359</v>
      </c>
      <c r="BB75" s="1077">
        <f t="shared" si="88"/>
        <v>486</v>
      </c>
      <c r="BC75" s="1073">
        <f t="shared" si="89"/>
        <v>109</v>
      </c>
      <c r="BD75" s="1074">
        <f t="shared" si="89"/>
        <v>33</v>
      </c>
      <c r="BE75" s="1074">
        <f t="shared" si="89"/>
        <v>494</v>
      </c>
      <c r="BF75" s="1077">
        <f>SUM(BC75:BE75)</f>
        <v>636</v>
      </c>
      <c r="BG75" s="1073">
        <f t="shared" si="90"/>
        <v>106</v>
      </c>
      <c r="BH75" s="1074">
        <f t="shared" si="90"/>
        <v>80</v>
      </c>
      <c r="BI75" s="1074">
        <f>SUM(BI19,BI36,BI53,BI70)</f>
        <v>385</v>
      </c>
      <c r="BJ75" s="1077">
        <f>SUM(BG75:BI75)</f>
        <v>571</v>
      </c>
      <c r="BK75" s="1073">
        <f t="shared" si="91"/>
        <v>111</v>
      </c>
      <c r="BL75" s="1074">
        <f t="shared" si="91"/>
        <v>49</v>
      </c>
      <c r="BM75" s="1074">
        <f t="shared" si="91"/>
        <v>549</v>
      </c>
      <c r="BN75" s="1077">
        <f>SUM(BK75:BM75)</f>
        <v>709</v>
      </c>
      <c r="BO75" s="1073">
        <f t="shared" ref="BO75:BQ75" si="93">SUM(BO19,BO36,BO53,BO70)</f>
        <v>90</v>
      </c>
      <c r="BP75" s="1074">
        <f t="shared" si="93"/>
        <v>126</v>
      </c>
      <c r="BQ75" s="1074">
        <f t="shared" si="93"/>
        <v>431</v>
      </c>
      <c r="BR75" s="1077">
        <f>SUM(BO75:BQ75)</f>
        <v>647</v>
      </c>
    </row>
    <row r="76" spans="1:70" ht="15" x14ac:dyDescent="0.2">
      <c r="A76" s="5468"/>
      <c r="B76" s="1078" t="s">
        <v>633</v>
      </c>
      <c r="C76" s="1349">
        <f>+C20+C54+C71</f>
        <v>77</v>
      </c>
      <c r="D76" s="1350">
        <f t="shared" si="82"/>
        <v>12</v>
      </c>
      <c r="E76" s="1350">
        <f t="shared" si="82"/>
        <v>92</v>
      </c>
      <c r="F76" s="1351">
        <f t="shared" si="32"/>
        <v>181</v>
      </c>
      <c r="G76" s="1349">
        <f t="shared" si="83"/>
        <v>51</v>
      </c>
      <c r="H76" s="1350">
        <f t="shared" si="83"/>
        <v>28</v>
      </c>
      <c r="I76" s="1350">
        <f t="shared" si="83"/>
        <v>140</v>
      </c>
      <c r="J76" s="1351">
        <f>SUM(G76:I76)</f>
        <v>219</v>
      </c>
      <c r="K76" s="1349">
        <f t="shared" si="84"/>
        <v>104</v>
      </c>
      <c r="L76" s="1350">
        <f t="shared" si="84"/>
        <v>16</v>
      </c>
      <c r="M76" s="1350">
        <f t="shared" si="84"/>
        <v>83</v>
      </c>
      <c r="N76" s="1351">
        <f t="shared" si="60"/>
        <v>203</v>
      </c>
      <c r="O76" s="1349">
        <f t="shared" si="85"/>
        <v>74</v>
      </c>
      <c r="P76" s="1350">
        <f t="shared" si="85"/>
        <v>30</v>
      </c>
      <c r="Q76" s="1350">
        <f t="shared" si="85"/>
        <v>161</v>
      </c>
      <c r="R76" s="1351">
        <f t="shared" si="61"/>
        <v>265</v>
      </c>
      <c r="S76" s="1349">
        <f t="shared" si="86"/>
        <v>91</v>
      </c>
      <c r="T76" s="1350">
        <f t="shared" si="86"/>
        <v>9</v>
      </c>
      <c r="U76" s="1350">
        <f t="shared" si="86"/>
        <v>98</v>
      </c>
      <c r="V76" s="1351">
        <f t="shared" si="86"/>
        <v>198</v>
      </c>
      <c r="W76" s="1349">
        <f t="shared" si="86"/>
        <v>42</v>
      </c>
      <c r="X76" s="1350">
        <f t="shared" si="86"/>
        <v>44</v>
      </c>
      <c r="Y76" s="1350">
        <f t="shared" si="86"/>
        <v>95</v>
      </c>
      <c r="Z76" s="1352">
        <f t="shared" si="86"/>
        <v>181</v>
      </c>
      <c r="AA76" s="1349">
        <f t="shared" si="86"/>
        <v>122</v>
      </c>
      <c r="AB76" s="1350">
        <f t="shared" si="86"/>
        <v>12</v>
      </c>
      <c r="AC76" s="1350">
        <f t="shared" si="86"/>
        <v>90</v>
      </c>
      <c r="AD76" s="1351">
        <f t="shared" si="86"/>
        <v>224</v>
      </c>
      <c r="AE76" s="1350">
        <f t="shared" si="86"/>
        <v>60</v>
      </c>
      <c r="AF76" s="1350">
        <f t="shared" si="86"/>
        <v>5</v>
      </c>
      <c r="AG76" s="1350">
        <f t="shared" si="86"/>
        <v>65</v>
      </c>
      <c r="AH76" s="1351">
        <f t="shared" si="86"/>
        <v>130</v>
      </c>
      <c r="AI76" s="1350">
        <f t="shared" si="86"/>
        <v>125</v>
      </c>
      <c r="AJ76" s="1350">
        <f t="shared" si="86"/>
        <v>17</v>
      </c>
      <c r="AK76" s="1350">
        <f t="shared" si="86"/>
        <v>107</v>
      </c>
      <c r="AL76" s="1811">
        <f t="shared" si="86"/>
        <v>249</v>
      </c>
      <c r="AM76" s="1079">
        <v>47</v>
      </c>
      <c r="AN76" s="1080">
        <v>4</v>
      </c>
      <c r="AO76" s="1080">
        <v>126</v>
      </c>
      <c r="AP76" s="1083">
        <v>177</v>
      </c>
      <c r="AQ76" s="1079">
        <f t="shared" si="87"/>
        <v>93</v>
      </c>
      <c r="AR76" s="1080">
        <f t="shared" si="87"/>
        <v>20</v>
      </c>
      <c r="AS76" s="1080">
        <f t="shared" si="87"/>
        <v>106</v>
      </c>
      <c r="AT76" s="1083">
        <f t="shared" si="87"/>
        <v>219</v>
      </c>
      <c r="AU76" s="1079">
        <f t="shared" si="87"/>
        <v>65</v>
      </c>
      <c r="AV76" s="1080">
        <f t="shared" si="87"/>
        <v>19</v>
      </c>
      <c r="AW76" s="1080">
        <f t="shared" si="87"/>
        <v>153</v>
      </c>
      <c r="AX76" s="1083">
        <f t="shared" si="87"/>
        <v>237</v>
      </c>
      <c r="AY76" s="1079">
        <f t="shared" si="88"/>
        <v>142</v>
      </c>
      <c r="AZ76" s="1080">
        <f t="shared" si="88"/>
        <v>11</v>
      </c>
      <c r="BA76" s="1080">
        <f t="shared" si="88"/>
        <v>152</v>
      </c>
      <c r="BB76" s="1083">
        <f t="shared" si="88"/>
        <v>305</v>
      </c>
      <c r="BC76" s="1079">
        <f t="shared" si="89"/>
        <v>83</v>
      </c>
      <c r="BD76" s="1080">
        <f t="shared" si="89"/>
        <v>14</v>
      </c>
      <c r="BE76" s="1080">
        <f t="shared" si="89"/>
        <v>186</v>
      </c>
      <c r="BF76" s="1083">
        <f>SUM(BC76:BE76)</f>
        <v>283</v>
      </c>
      <c r="BG76" s="1079">
        <f t="shared" si="90"/>
        <v>139</v>
      </c>
      <c r="BH76" s="1080">
        <f t="shared" si="90"/>
        <v>19</v>
      </c>
      <c r="BI76" s="1080">
        <f>SUM(BI20,BI37,BI54,BI71)</f>
        <v>124</v>
      </c>
      <c r="BJ76" s="1083">
        <f>SUM(BG76:BI76)</f>
        <v>282</v>
      </c>
      <c r="BK76" s="1079">
        <f t="shared" si="91"/>
        <v>77</v>
      </c>
      <c r="BL76" s="1080">
        <f t="shared" si="91"/>
        <v>17</v>
      </c>
      <c r="BM76" s="1080">
        <f t="shared" si="91"/>
        <v>243</v>
      </c>
      <c r="BN76" s="1083">
        <f>SUM(BK76:BM76)</f>
        <v>337</v>
      </c>
      <c r="BO76" s="1079">
        <f t="shared" ref="BO76:BQ76" si="94">SUM(BO20,BO37,BO54,BO71)</f>
        <v>139</v>
      </c>
      <c r="BP76" s="1080">
        <f t="shared" si="94"/>
        <v>13</v>
      </c>
      <c r="BQ76" s="1080">
        <f t="shared" si="94"/>
        <v>160</v>
      </c>
      <c r="BR76" s="1083">
        <f>SUM(BO76:BQ76)</f>
        <v>312</v>
      </c>
    </row>
    <row r="77" spans="1:70" s="222" customFormat="1" ht="15" x14ac:dyDescent="0.2">
      <c r="A77" s="5469"/>
      <c r="B77" s="573" t="s">
        <v>12</v>
      </c>
      <c r="C77" s="574">
        <f>SUM(C74:C76)</f>
        <v>256</v>
      </c>
      <c r="D77" s="575">
        <f>SUM(D74:D76)</f>
        <v>50</v>
      </c>
      <c r="E77" s="575">
        <f>SUM(E74:E76)</f>
        <v>409</v>
      </c>
      <c r="F77" s="576">
        <f t="shared" si="32"/>
        <v>715</v>
      </c>
      <c r="G77" s="574">
        <f>SUM(G74:G76)</f>
        <v>375</v>
      </c>
      <c r="H77" s="575">
        <f>SUM(H74:H76)</f>
        <v>121</v>
      </c>
      <c r="I77" s="575">
        <f>SUM(I74:I76)</f>
        <v>617</v>
      </c>
      <c r="J77" s="576">
        <f>SUM(G77:I77)</f>
        <v>1113</v>
      </c>
      <c r="K77" s="574">
        <f>SUM(K74:K76)</f>
        <v>247</v>
      </c>
      <c r="L77" s="575">
        <f>SUM(L74:L76)</f>
        <v>95</v>
      </c>
      <c r="M77" s="575">
        <f>SUM(M74:M76)</f>
        <v>480</v>
      </c>
      <c r="N77" s="576">
        <f t="shared" si="60"/>
        <v>822</v>
      </c>
      <c r="O77" s="574">
        <f>SUM(O74:O76)</f>
        <v>203</v>
      </c>
      <c r="P77" s="575">
        <f>SUM(P74:P76)</f>
        <v>103</v>
      </c>
      <c r="Q77" s="575">
        <f>SUM(Q74:Q76)</f>
        <v>791</v>
      </c>
      <c r="R77" s="576">
        <f t="shared" si="61"/>
        <v>1097</v>
      </c>
      <c r="S77" s="574">
        <f>SUM(S74:S76)</f>
        <v>147</v>
      </c>
      <c r="T77" s="575">
        <f>SUM(T74:T76)</f>
        <v>44</v>
      </c>
      <c r="U77" s="575">
        <f>SUM(U74:U76)</f>
        <v>390</v>
      </c>
      <c r="V77" s="576">
        <f>SUM(V74:V76)</f>
        <v>581</v>
      </c>
      <c r="W77" s="574">
        <f t="shared" ref="W77:AL77" si="95">SUM(W74:W76)</f>
        <v>113</v>
      </c>
      <c r="X77" s="575">
        <f t="shared" si="95"/>
        <v>59</v>
      </c>
      <c r="Y77" s="575">
        <f t="shared" si="95"/>
        <v>522</v>
      </c>
      <c r="Z77" s="575">
        <f t="shared" si="95"/>
        <v>694</v>
      </c>
      <c r="AA77" s="574">
        <f t="shared" si="95"/>
        <v>237</v>
      </c>
      <c r="AB77" s="575">
        <f t="shared" si="95"/>
        <v>33</v>
      </c>
      <c r="AC77" s="575">
        <f t="shared" si="95"/>
        <v>426</v>
      </c>
      <c r="AD77" s="576">
        <f t="shared" si="95"/>
        <v>696</v>
      </c>
      <c r="AE77" s="575">
        <f t="shared" si="95"/>
        <v>228</v>
      </c>
      <c r="AF77" s="575">
        <f t="shared" si="95"/>
        <v>28</v>
      </c>
      <c r="AG77" s="575">
        <f t="shared" si="95"/>
        <v>461</v>
      </c>
      <c r="AH77" s="576">
        <f t="shared" si="95"/>
        <v>717</v>
      </c>
      <c r="AI77" s="575">
        <f t="shared" si="95"/>
        <v>331</v>
      </c>
      <c r="AJ77" s="575">
        <f t="shared" si="95"/>
        <v>58</v>
      </c>
      <c r="AK77" s="575">
        <f t="shared" si="95"/>
        <v>507</v>
      </c>
      <c r="AL77" s="576">
        <f t="shared" si="95"/>
        <v>896</v>
      </c>
      <c r="AM77" s="574">
        <v>222</v>
      </c>
      <c r="AN77" s="575">
        <v>33</v>
      </c>
      <c r="AO77" s="575">
        <v>685</v>
      </c>
      <c r="AP77" s="576">
        <v>940</v>
      </c>
      <c r="AQ77" s="574">
        <f t="shared" si="87"/>
        <v>145</v>
      </c>
      <c r="AR77" s="575">
        <f t="shared" si="87"/>
        <v>152</v>
      </c>
      <c r="AS77" s="575">
        <f t="shared" si="87"/>
        <v>595</v>
      </c>
      <c r="AT77" s="576">
        <f t="shared" si="87"/>
        <v>892</v>
      </c>
      <c r="AU77" s="574">
        <f t="shared" si="87"/>
        <v>133</v>
      </c>
      <c r="AV77" s="575">
        <f t="shared" si="87"/>
        <v>37</v>
      </c>
      <c r="AW77" s="575">
        <f t="shared" si="87"/>
        <v>796</v>
      </c>
      <c r="AX77" s="576">
        <f t="shared" si="87"/>
        <v>966</v>
      </c>
      <c r="AY77" s="574">
        <f t="shared" ref="AY77:BF77" si="96">SUM(AY74:AY76)</f>
        <v>218</v>
      </c>
      <c r="AZ77" s="575">
        <f t="shared" si="96"/>
        <v>86</v>
      </c>
      <c r="BA77" s="575">
        <f t="shared" si="96"/>
        <v>686</v>
      </c>
      <c r="BB77" s="576">
        <f t="shared" si="96"/>
        <v>990</v>
      </c>
      <c r="BC77" s="574">
        <f t="shared" si="96"/>
        <v>201</v>
      </c>
      <c r="BD77" s="575">
        <f t="shared" si="96"/>
        <v>61</v>
      </c>
      <c r="BE77" s="575">
        <f t="shared" si="96"/>
        <v>786</v>
      </c>
      <c r="BF77" s="576">
        <f t="shared" si="96"/>
        <v>1048</v>
      </c>
      <c r="BG77" s="574">
        <f t="shared" ref="BG77:BN77" si="97">SUM(BG74:BG76)</f>
        <v>262</v>
      </c>
      <c r="BH77" s="575">
        <f t="shared" si="97"/>
        <v>105</v>
      </c>
      <c r="BI77" s="575">
        <f t="shared" si="97"/>
        <v>621</v>
      </c>
      <c r="BJ77" s="576">
        <f t="shared" si="97"/>
        <v>988</v>
      </c>
      <c r="BK77" s="574">
        <f t="shared" si="97"/>
        <v>195</v>
      </c>
      <c r="BL77" s="575">
        <f t="shared" si="97"/>
        <v>72</v>
      </c>
      <c r="BM77" s="575">
        <f t="shared" si="97"/>
        <v>901</v>
      </c>
      <c r="BN77" s="576">
        <f t="shared" si="97"/>
        <v>1168</v>
      </c>
      <c r="BO77" s="574">
        <f t="shared" ref="BO77:BR77" si="98">SUM(BO74:BO76)</f>
        <v>270</v>
      </c>
      <c r="BP77" s="575">
        <f t="shared" si="98"/>
        <v>147</v>
      </c>
      <c r="BQ77" s="575">
        <f t="shared" si="98"/>
        <v>655</v>
      </c>
      <c r="BR77" s="576">
        <f t="shared" si="98"/>
        <v>1072</v>
      </c>
    </row>
    <row r="78" spans="1:70" x14ac:dyDescent="0.2">
      <c r="S78" s="1046"/>
      <c r="T78" s="1046"/>
      <c r="U78" s="1046"/>
      <c r="V78" s="1046"/>
      <c r="AY78" s="211"/>
      <c r="BH78" s="211"/>
    </row>
    <row r="79" spans="1:70" x14ac:dyDescent="0.2">
      <c r="A79" s="5493" t="s">
        <v>0</v>
      </c>
      <c r="B79" s="5493"/>
      <c r="C79" s="5493"/>
      <c r="D79" s="5493"/>
      <c r="E79" s="5493"/>
      <c r="F79" s="5493"/>
      <c r="G79" s="5493"/>
      <c r="H79" s="5493"/>
      <c r="I79" s="5493"/>
      <c r="J79" s="5493"/>
      <c r="K79" s="5493"/>
      <c r="L79" s="5493"/>
      <c r="M79" s="5493"/>
      <c r="N79" s="5493"/>
      <c r="O79" s="5493"/>
      <c r="P79" s="5493"/>
      <c r="Q79" s="5493"/>
      <c r="R79" s="5493"/>
      <c r="S79" s="5493"/>
      <c r="W79" s="227"/>
      <c r="X79" s="227"/>
      <c r="Y79" s="227"/>
      <c r="Z79" s="527"/>
      <c r="AA79" s="227"/>
      <c r="AB79" s="227"/>
      <c r="AC79" s="227"/>
      <c r="AD79" s="527"/>
      <c r="AE79" s="227"/>
      <c r="AF79" s="227"/>
      <c r="AG79" s="227"/>
      <c r="AH79" s="527"/>
      <c r="AI79" s="227"/>
      <c r="AJ79" s="227"/>
      <c r="AK79" s="227"/>
      <c r="AL79" s="527"/>
      <c r="AM79" s="227"/>
      <c r="AQ79" s="227"/>
      <c r="BB79" s="211"/>
    </row>
    <row r="80" spans="1:70" x14ac:dyDescent="0.2">
      <c r="A80" s="1046"/>
      <c r="AY80" s="211"/>
      <c r="AZ80" s="211"/>
      <c r="BA80" s="211"/>
      <c r="BB80" s="211"/>
      <c r="BF80" s="211"/>
    </row>
    <row r="82" spans="45:56" x14ac:dyDescent="0.2">
      <c r="AS82" s="4373">
        <v>1999</v>
      </c>
    </row>
    <row r="83" spans="45:56" x14ac:dyDescent="0.2">
      <c r="AS83" s="4373">
        <v>2000</v>
      </c>
    </row>
    <row r="84" spans="45:56" x14ac:dyDescent="0.2">
      <c r="AS84" s="4373">
        <v>2001</v>
      </c>
    </row>
    <row r="85" spans="45:56" x14ac:dyDescent="0.2">
      <c r="AS85" s="4373">
        <v>2002</v>
      </c>
    </row>
    <row r="86" spans="45:56" x14ac:dyDescent="0.2">
      <c r="AS86" s="4373">
        <v>2003</v>
      </c>
    </row>
    <row r="87" spans="45:56" x14ac:dyDescent="0.2">
      <c r="AS87" s="4373">
        <v>2004</v>
      </c>
    </row>
    <row r="88" spans="45:56" x14ac:dyDescent="0.2">
      <c r="AS88" s="4373">
        <v>2005</v>
      </c>
    </row>
    <row r="89" spans="45:56" x14ac:dyDescent="0.2">
      <c r="AS89" s="4373">
        <v>2006</v>
      </c>
    </row>
    <row r="90" spans="45:56" x14ac:dyDescent="0.2">
      <c r="AS90" s="4373">
        <v>2007</v>
      </c>
      <c r="BD90" s="928"/>
    </row>
    <row r="91" spans="45:56" x14ac:dyDescent="0.2">
      <c r="AS91" s="4373">
        <v>2008</v>
      </c>
    </row>
    <row r="92" spans="45:56" x14ac:dyDescent="0.2">
      <c r="AS92" s="4373">
        <v>2009</v>
      </c>
    </row>
    <row r="93" spans="45:56" x14ac:dyDescent="0.2">
      <c r="AS93" s="4373">
        <v>2010</v>
      </c>
    </row>
    <row r="94" spans="45:56" x14ac:dyDescent="0.2">
      <c r="AS94" s="4373">
        <v>2011</v>
      </c>
    </row>
    <row r="95" spans="45:56" x14ac:dyDescent="0.2">
      <c r="AS95" s="4373">
        <v>2012</v>
      </c>
    </row>
    <row r="96" spans="45:56" x14ac:dyDescent="0.2">
      <c r="AS96" s="4373">
        <v>2013</v>
      </c>
    </row>
    <row r="97" spans="36:45" x14ac:dyDescent="0.2">
      <c r="AS97" s="4373">
        <v>2014</v>
      </c>
    </row>
    <row r="98" spans="36:45" x14ac:dyDescent="0.2">
      <c r="AS98" s="4373">
        <v>2015</v>
      </c>
    </row>
    <row r="100" spans="36:45" x14ac:dyDescent="0.2">
      <c r="AJ100" s="4378"/>
    </row>
  </sheetData>
  <mergeCells count="38">
    <mergeCell ref="BO3:BR3"/>
    <mergeCell ref="A1:B1"/>
    <mergeCell ref="A35:A38"/>
    <mergeCell ref="AQ3:AT3"/>
    <mergeCell ref="A14:A17"/>
    <mergeCell ref="A18:A21"/>
    <mergeCell ref="A23:A26"/>
    <mergeCell ref="A27:A30"/>
    <mergeCell ref="A31:A34"/>
    <mergeCell ref="A6:A9"/>
    <mergeCell ref="A10:A13"/>
    <mergeCell ref="S3:V3"/>
    <mergeCell ref="W3:Z3"/>
    <mergeCell ref="B3:B4"/>
    <mergeCell ref="C3:F3"/>
    <mergeCell ref="G3:J3"/>
    <mergeCell ref="K3:N3"/>
    <mergeCell ref="BG3:BJ3"/>
    <mergeCell ref="O3:R3"/>
    <mergeCell ref="AU3:AX3"/>
    <mergeCell ref="AY3:BB3"/>
    <mergeCell ref="BC3:BF3"/>
    <mergeCell ref="BK3:BN3"/>
    <mergeCell ref="A65:A68"/>
    <mergeCell ref="A69:A72"/>
    <mergeCell ref="A74:A77"/>
    <mergeCell ref="A79:S79"/>
    <mergeCell ref="A40:A43"/>
    <mergeCell ref="A44:A47"/>
    <mergeCell ref="A48:A51"/>
    <mergeCell ref="A52:A55"/>
    <mergeCell ref="A57:A60"/>
    <mergeCell ref="A61:A64"/>
    <mergeCell ref="AA3:AD3"/>
    <mergeCell ref="AE3:AH3"/>
    <mergeCell ref="AI3:AL3"/>
    <mergeCell ref="AM3:AP3"/>
    <mergeCell ref="A3:A4"/>
  </mergeCells>
  <printOptions horizontalCentered="1" verticalCentered="1"/>
  <pageMargins left="0.39370078740157483" right="0.39370078740157483" top="0.19685039370078741" bottom="0.19685039370078741" header="0" footer="0"/>
  <pageSetup scale="44" pageOrder="overThenDown" orientation="landscape" r:id="rId1"/>
  <headerFooter alignWithMargins="0"/>
  <rowBreaks count="1" manualBreakCount="1">
    <brk id="79" max="69" man="1"/>
  </rowBreaks>
  <colBreaks count="1" manualBreakCount="1">
    <brk id="34" max="135" man="1"/>
  </colBreaks>
  <ignoredErrors>
    <ignoredError sqref="F9:AP20 AM21:AP21 F43:AL54 F73:AL77 F55:R72 BF64:BF76 AX60:AX68 BB60:BB64 BB72 AU43:BF54 BF38 BF34 BJ9:BJ13 BJ30 BJ34:BJ38 BJ47:BJ54 BJ64:BJ76 BN60 BN51:BN59 BN61:BN76 BN34:BO40 BN17:BN30 BN9:BN13 BN43:BO47 BN41:BN42" formula="1"/>
    <ignoredError sqref="F21:AL21 S55:AL72 AU9:BF9 AT9 BF13 AT61:AT68 AT43:AT54 BB13 BO41:BO42" formula="1" formulaRange="1"/>
    <ignoredError sqref="C21:E21 AT7 BI41:BI42 BI62:BI63 BI66 AT15:AT16 AT8 AU8:BG8 AT10:AT14 AU12:BI12 BG9:BI9 AU14:BI14 AU13:BA13 BI13 AT41:AT42 AT69:AT72 AT55:AT60 BI8 BG42 AU10:BF11 BI10:BI11 BG62 BC13:BE13 BM7:BM8 BL7 BK41:BM42 BM57:BM59 BK62:BM63 BK66 BO61:BO66 BO7:BO8 BP16 BP58:BP63 BQ7:BQ16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AO75"/>
  <sheetViews>
    <sheetView showGridLines="0" zoomScaleNormal="100" zoomScaleSheetLayoutView="50" workbookViewId="0">
      <pane xSplit="2" ySplit="5" topLeftCell="Y36" activePane="bottomRight" state="frozen"/>
      <selection pane="topRight" activeCell="D1" sqref="D1"/>
      <selection pane="bottomLeft" activeCell="A8" sqref="A8"/>
      <selection pane="bottomRight" activeCell="AN50" sqref="AN50"/>
    </sheetView>
  </sheetViews>
  <sheetFormatPr baseColWidth="10" defaultRowHeight="12.75" x14ac:dyDescent="0.2"/>
  <cols>
    <col min="1" max="1" width="15.7109375" style="184" customWidth="1"/>
    <col min="2" max="2" width="10.7109375" style="184" customWidth="1"/>
    <col min="3" max="41" width="9.7109375" style="184" customWidth="1"/>
    <col min="42" max="255" width="11.42578125" style="184"/>
    <col min="256" max="256" width="0.28515625" style="184" customWidth="1"/>
    <col min="257" max="257" width="15.85546875" style="184" customWidth="1"/>
    <col min="258" max="258" width="9.140625" style="184" bestFit="1" customWidth="1"/>
    <col min="259" max="260" width="8.42578125" style="184" bestFit="1" customWidth="1"/>
    <col min="261" max="261" width="10.7109375" style="184" customWidth="1"/>
    <col min="262" max="263" width="8.42578125" style="184" bestFit="1" customWidth="1"/>
    <col min="264" max="264" width="10.7109375" style="184" customWidth="1"/>
    <col min="265" max="266" width="8.42578125" style="184" bestFit="1" customWidth="1"/>
    <col min="267" max="267" width="10.7109375" style="184" customWidth="1"/>
    <col min="268" max="269" width="8.42578125" style="184" bestFit="1" customWidth="1"/>
    <col min="270" max="270" width="10.7109375" style="184" customWidth="1"/>
    <col min="271" max="272" width="8.42578125" style="184" bestFit="1" customWidth="1"/>
    <col min="273" max="273" width="10.7109375" style="184" customWidth="1"/>
    <col min="274" max="275" width="8.42578125" style="184" bestFit="1" customWidth="1"/>
    <col min="276" max="276" width="10.7109375" style="184" customWidth="1"/>
    <col min="277" max="278" width="8.42578125" style="184" bestFit="1" customWidth="1"/>
    <col min="279" max="279" width="10.7109375" style="184" customWidth="1"/>
    <col min="280" max="280" width="8.42578125" style="184" bestFit="1" customWidth="1"/>
    <col min="281" max="281" width="5.42578125" style="184" bestFit="1" customWidth="1"/>
    <col min="282" max="282" width="10.7109375" style="184" customWidth="1"/>
    <col min="283" max="511" width="11.42578125" style="184"/>
    <col min="512" max="512" width="0.28515625" style="184" customWidth="1"/>
    <col min="513" max="513" width="15.85546875" style="184" customWidth="1"/>
    <col min="514" max="514" width="9.140625" style="184" bestFit="1" customWidth="1"/>
    <col min="515" max="516" width="8.42578125" style="184" bestFit="1" customWidth="1"/>
    <col min="517" max="517" width="10.7109375" style="184" customWidth="1"/>
    <col min="518" max="519" width="8.42578125" style="184" bestFit="1" customWidth="1"/>
    <col min="520" max="520" width="10.7109375" style="184" customWidth="1"/>
    <col min="521" max="522" width="8.42578125" style="184" bestFit="1" customWidth="1"/>
    <col min="523" max="523" width="10.7109375" style="184" customWidth="1"/>
    <col min="524" max="525" width="8.42578125" style="184" bestFit="1" customWidth="1"/>
    <col min="526" max="526" width="10.7109375" style="184" customWidth="1"/>
    <col min="527" max="528" width="8.42578125" style="184" bestFit="1" customWidth="1"/>
    <col min="529" max="529" width="10.7109375" style="184" customWidth="1"/>
    <col min="530" max="531" width="8.42578125" style="184" bestFit="1" customWidth="1"/>
    <col min="532" max="532" width="10.7109375" style="184" customWidth="1"/>
    <col min="533" max="534" width="8.42578125" style="184" bestFit="1" customWidth="1"/>
    <col min="535" max="535" width="10.7109375" style="184" customWidth="1"/>
    <col min="536" max="536" width="8.42578125" style="184" bestFit="1" customWidth="1"/>
    <col min="537" max="537" width="5.42578125" style="184" bestFit="1" customWidth="1"/>
    <col min="538" max="538" width="10.7109375" style="184" customWidth="1"/>
    <col min="539" max="767" width="11.42578125" style="184"/>
    <col min="768" max="768" width="0.28515625" style="184" customWidth="1"/>
    <col min="769" max="769" width="15.85546875" style="184" customWidth="1"/>
    <col min="770" max="770" width="9.140625" style="184" bestFit="1" customWidth="1"/>
    <col min="771" max="772" width="8.42578125" style="184" bestFit="1" customWidth="1"/>
    <col min="773" max="773" width="10.7109375" style="184" customWidth="1"/>
    <col min="774" max="775" width="8.42578125" style="184" bestFit="1" customWidth="1"/>
    <col min="776" max="776" width="10.7109375" style="184" customWidth="1"/>
    <col min="777" max="778" width="8.42578125" style="184" bestFit="1" customWidth="1"/>
    <col min="779" max="779" width="10.7109375" style="184" customWidth="1"/>
    <col min="780" max="781" width="8.42578125" style="184" bestFit="1" customWidth="1"/>
    <col min="782" max="782" width="10.7109375" style="184" customWidth="1"/>
    <col min="783" max="784" width="8.42578125" style="184" bestFit="1" customWidth="1"/>
    <col min="785" max="785" width="10.7109375" style="184" customWidth="1"/>
    <col min="786" max="787" width="8.42578125" style="184" bestFit="1" customWidth="1"/>
    <col min="788" max="788" width="10.7109375" style="184" customWidth="1"/>
    <col min="789" max="790" width="8.42578125" style="184" bestFit="1" customWidth="1"/>
    <col min="791" max="791" width="10.7109375" style="184" customWidth="1"/>
    <col min="792" max="792" width="8.42578125" style="184" bestFit="1" customWidth="1"/>
    <col min="793" max="793" width="5.42578125" style="184" bestFit="1" customWidth="1"/>
    <col min="794" max="794" width="10.7109375" style="184" customWidth="1"/>
    <col min="795" max="1023" width="11.42578125" style="184"/>
    <col min="1024" max="1024" width="0.28515625" style="184" customWidth="1"/>
    <col min="1025" max="1025" width="15.85546875" style="184" customWidth="1"/>
    <col min="1026" max="1026" width="9.140625" style="184" bestFit="1" customWidth="1"/>
    <col min="1027" max="1028" width="8.42578125" style="184" bestFit="1" customWidth="1"/>
    <col min="1029" max="1029" width="10.7109375" style="184" customWidth="1"/>
    <col min="1030" max="1031" width="8.42578125" style="184" bestFit="1" customWidth="1"/>
    <col min="1032" max="1032" width="10.7109375" style="184" customWidth="1"/>
    <col min="1033" max="1034" width="8.42578125" style="184" bestFit="1" customWidth="1"/>
    <col min="1035" max="1035" width="10.7109375" style="184" customWidth="1"/>
    <col min="1036" max="1037" width="8.42578125" style="184" bestFit="1" customWidth="1"/>
    <col min="1038" max="1038" width="10.7109375" style="184" customWidth="1"/>
    <col min="1039" max="1040" width="8.42578125" style="184" bestFit="1" customWidth="1"/>
    <col min="1041" max="1041" width="10.7109375" style="184" customWidth="1"/>
    <col min="1042" max="1043" width="8.42578125" style="184" bestFit="1" customWidth="1"/>
    <col min="1044" max="1044" width="10.7109375" style="184" customWidth="1"/>
    <col min="1045" max="1046" width="8.42578125" style="184" bestFit="1" customWidth="1"/>
    <col min="1047" max="1047" width="10.7109375" style="184" customWidth="1"/>
    <col min="1048" max="1048" width="8.42578125" style="184" bestFit="1" customWidth="1"/>
    <col min="1049" max="1049" width="5.42578125" style="184" bestFit="1" customWidth="1"/>
    <col min="1050" max="1050" width="10.7109375" style="184" customWidth="1"/>
    <col min="1051" max="1279" width="11.42578125" style="184"/>
    <col min="1280" max="1280" width="0.28515625" style="184" customWidth="1"/>
    <col min="1281" max="1281" width="15.85546875" style="184" customWidth="1"/>
    <col min="1282" max="1282" width="9.140625" style="184" bestFit="1" customWidth="1"/>
    <col min="1283" max="1284" width="8.42578125" style="184" bestFit="1" customWidth="1"/>
    <col min="1285" max="1285" width="10.7109375" style="184" customWidth="1"/>
    <col min="1286" max="1287" width="8.42578125" style="184" bestFit="1" customWidth="1"/>
    <col min="1288" max="1288" width="10.7109375" style="184" customWidth="1"/>
    <col min="1289" max="1290" width="8.42578125" style="184" bestFit="1" customWidth="1"/>
    <col min="1291" max="1291" width="10.7109375" style="184" customWidth="1"/>
    <col min="1292" max="1293" width="8.42578125" style="184" bestFit="1" customWidth="1"/>
    <col min="1294" max="1294" width="10.7109375" style="184" customWidth="1"/>
    <col min="1295" max="1296" width="8.42578125" style="184" bestFit="1" customWidth="1"/>
    <col min="1297" max="1297" width="10.7109375" style="184" customWidth="1"/>
    <col min="1298" max="1299" width="8.42578125" style="184" bestFit="1" customWidth="1"/>
    <col min="1300" max="1300" width="10.7109375" style="184" customWidth="1"/>
    <col min="1301" max="1302" width="8.42578125" style="184" bestFit="1" customWidth="1"/>
    <col min="1303" max="1303" width="10.7109375" style="184" customWidth="1"/>
    <col min="1304" max="1304" width="8.42578125" style="184" bestFit="1" customWidth="1"/>
    <col min="1305" max="1305" width="5.42578125" style="184" bestFit="1" customWidth="1"/>
    <col min="1306" max="1306" width="10.7109375" style="184" customWidth="1"/>
    <col min="1307" max="1535" width="11.42578125" style="184"/>
    <col min="1536" max="1536" width="0.28515625" style="184" customWidth="1"/>
    <col min="1537" max="1537" width="15.85546875" style="184" customWidth="1"/>
    <col min="1538" max="1538" width="9.140625" style="184" bestFit="1" customWidth="1"/>
    <col min="1539" max="1540" width="8.42578125" style="184" bestFit="1" customWidth="1"/>
    <col min="1541" max="1541" width="10.7109375" style="184" customWidth="1"/>
    <col min="1542" max="1543" width="8.42578125" style="184" bestFit="1" customWidth="1"/>
    <col min="1544" max="1544" width="10.7109375" style="184" customWidth="1"/>
    <col min="1545" max="1546" width="8.42578125" style="184" bestFit="1" customWidth="1"/>
    <col min="1547" max="1547" width="10.7109375" style="184" customWidth="1"/>
    <col min="1548" max="1549" width="8.42578125" style="184" bestFit="1" customWidth="1"/>
    <col min="1550" max="1550" width="10.7109375" style="184" customWidth="1"/>
    <col min="1551" max="1552" width="8.42578125" style="184" bestFit="1" customWidth="1"/>
    <col min="1553" max="1553" width="10.7109375" style="184" customWidth="1"/>
    <col min="1554" max="1555" width="8.42578125" style="184" bestFit="1" customWidth="1"/>
    <col min="1556" max="1556" width="10.7109375" style="184" customWidth="1"/>
    <col min="1557" max="1558" width="8.42578125" style="184" bestFit="1" customWidth="1"/>
    <col min="1559" max="1559" width="10.7109375" style="184" customWidth="1"/>
    <col min="1560" max="1560" width="8.42578125" style="184" bestFit="1" customWidth="1"/>
    <col min="1561" max="1561" width="5.42578125" style="184" bestFit="1" customWidth="1"/>
    <col min="1562" max="1562" width="10.7109375" style="184" customWidth="1"/>
    <col min="1563" max="1791" width="11.42578125" style="184"/>
    <col min="1792" max="1792" width="0.28515625" style="184" customWidth="1"/>
    <col min="1793" max="1793" width="15.85546875" style="184" customWidth="1"/>
    <col min="1794" max="1794" width="9.140625" style="184" bestFit="1" customWidth="1"/>
    <col min="1795" max="1796" width="8.42578125" style="184" bestFit="1" customWidth="1"/>
    <col min="1797" max="1797" width="10.7109375" style="184" customWidth="1"/>
    <col min="1798" max="1799" width="8.42578125" style="184" bestFit="1" customWidth="1"/>
    <col min="1800" max="1800" width="10.7109375" style="184" customWidth="1"/>
    <col min="1801" max="1802" width="8.42578125" style="184" bestFit="1" customWidth="1"/>
    <col min="1803" max="1803" width="10.7109375" style="184" customWidth="1"/>
    <col min="1804" max="1805" width="8.42578125" style="184" bestFit="1" customWidth="1"/>
    <col min="1806" max="1806" width="10.7109375" style="184" customWidth="1"/>
    <col min="1807" max="1808" width="8.42578125" style="184" bestFit="1" customWidth="1"/>
    <col min="1809" max="1809" width="10.7109375" style="184" customWidth="1"/>
    <col min="1810" max="1811" width="8.42578125" style="184" bestFit="1" customWidth="1"/>
    <col min="1812" max="1812" width="10.7109375" style="184" customWidth="1"/>
    <col min="1813" max="1814" width="8.42578125" style="184" bestFit="1" customWidth="1"/>
    <col min="1815" max="1815" width="10.7109375" style="184" customWidth="1"/>
    <col min="1816" max="1816" width="8.42578125" style="184" bestFit="1" customWidth="1"/>
    <col min="1817" max="1817" width="5.42578125" style="184" bestFit="1" customWidth="1"/>
    <col min="1818" max="1818" width="10.7109375" style="184" customWidth="1"/>
    <col min="1819" max="2047" width="11.42578125" style="184"/>
    <col min="2048" max="2048" width="0.28515625" style="184" customWidth="1"/>
    <col min="2049" max="2049" width="15.85546875" style="184" customWidth="1"/>
    <col min="2050" max="2050" width="9.140625" style="184" bestFit="1" customWidth="1"/>
    <col min="2051" max="2052" width="8.42578125" style="184" bestFit="1" customWidth="1"/>
    <col min="2053" max="2053" width="10.7109375" style="184" customWidth="1"/>
    <col min="2054" max="2055" width="8.42578125" style="184" bestFit="1" customWidth="1"/>
    <col min="2056" max="2056" width="10.7109375" style="184" customWidth="1"/>
    <col min="2057" max="2058" width="8.42578125" style="184" bestFit="1" customWidth="1"/>
    <col min="2059" max="2059" width="10.7109375" style="184" customWidth="1"/>
    <col min="2060" max="2061" width="8.42578125" style="184" bestFit="1" customWidth="1"/>
    <col min="2062" max="2062" width="10.7109375" style="184" customWidth="1"/>
    <col min="2063" max="2064" width="8.42578125" style="184" bestFit="1" customWidth="1"/>
    <col min="2065" max="2065" width="10.7109375" style="184" customWidth="1"/>
    <col min="2066" max="2067" width="8.42578125" style="184" bestFit="1" customWidth="1"/>
    <col min="2068" max="2068" width="10.7109375" style="184" customWidth="1"/>
    <col min="2069" max="2070" width="8.42578125" style="184" bestFit="1" customWidth="1"/>
    <col min="2071" max="2071" width="10.7109375" style="184" customWidth="1"/>
    <col min="2072" max="2072" width="8.42578125" style="184" bestFit="1" customWidth="1"/>
    <col min="2073" max="2073" width="5.42578125" style="184" bestFit="1" customWidth="1"/>
    <col min="2074" max="2074" width="10.7109375" style="184" customWidth="1"/>
    <col min="2075" max="2303" width="11.42578125" style="184"/>
    <col min="2304" max="2304" width="0.28515625" style="184" customWidth="1"/>
    <col min="2305" max="2305" width="15.85546875" style="184" customWidth="1"/>
    <col min="2306" max="2306" width="9.140625" style="184" bestFit="1" customWidth="1"/>
    <col min="2307" max="2308" width="8.42578125" style="184" bestFit="1" customWidth="1"/>
    <col min="2309" max="2309" width="10.7109375" style="184" customWidth="1"/>
    <col min="2310" max="2311" width="8.42578125" style="184" bestFit="1" customWidth="1"/>
    <col min="2312" max="2312" width="10.7109375" style="184" customWidth="1"/>
    <col min="2313" max="2314" width="8.42578125" style="184" bestFit="1" customWidth="1"/>
    <col min="2315" max="2315" width="10.7109375" style="184" customWidth="1"/>
    <col min="2316" max="2317" width="8.42578125" style="184" bestFit="1" customWidth="1"/>
    <col min="2318" max="2318" width="10.7109375" style="184" customWidth="1"/>
    <col min="2319" max="2320" width="8.42578125" style="184" bestFit="1" customWidth="1"/>
    <col min="2321" max="2321" width="10.7109375" style="184" customWidth="1"/>
    <col min="2322" max="2323" width="8.42578125" style="184" bestFit="1" customWidth="1"/>
    <col min="2324" max="2324" width="10.7109375" style="184" customWidth="1"/>
    <col min="2325" max="2326" width="8.42578125" style="184" bestFit="1" customWidth="1"/>
    <col min="2327" max="2327" width="10.7109375" style="184" customWidth="1"/>
    <col min="2328" max="2328" width="8.42578125" style="184" bestFit="1" customWidth="1"/>
    <col min="2329" max="2329" width="5.42578125" style="184" bestFit="1" customWidth="1"/>
    <col min="2330" max="2330" width="10.7109375" style="184" customWidth="1"/>
    <col min="2331" max="2559" width="11.42578125" style="184"/>
    <col min="2560" max="2560" width="0.28515625" style="184" customWidth="1"/>
    <col min="2561" max="2561" width="15.85546875" style="184" customWidth="1"/>
    <col min="2562" max="2562" width="9.140625" style="184" bestFit="1" customWidth="1"/>
    <col min="2563" max="2564" width="8.42578125" style="184" bestFit="1" customWidth="1"/>
    <col min="2565" max="2565" width="10.7109375" style="184" customWidth="1"/>
    <col min="2566" max="2567" width="8.42578125" style="184" bestFit="1" customWidth="1"/>
    <col min="2568" max="2568" width="10.7109375" style="184" customWidth="1"/>
    <col min="2569" max="2570" width="8.42578125" style="184" bestFit="1" customWidth="1"/>
    <col min="2571" max="2571" width="10.7109375" style="184" customWidth="1"/>
    <col min="2572" max="2573" width="8.42578125" style="184" bestFit="1" customWidth="1"/>
    <col min="2574" max="2574" width="10.7109375" style="184" customWidth="1"/>
    <col min="2575" max="2576" width="8.42578125" style="184" bestFit="1" customWidth="1"/>
    <col min="2577" max="2577" width="10.7109375" style="184" customWidth="1"/>
    <col min="2578" max="2579" width="8.42578125" style="184" bestFit="1" customWidth="1"/>
    <col min="2580" max="2580" width="10.7109375" style="184" customWidth="1"/>
    <col min="2581" max="2582" width="8.42578125" style="184" bestFit="1" customWidth="1"/>
    <col min="2583" max="2583" width="10.7109375" style="184" customWidth="1"/>
    <col min="2584" max="2584" width="8.42578125" style="184" bestFit="1" customWidth="1"/>
    <col min="2585" max="2585" width="5.42578125" style="184" bestFit="1" customWidth="1"/>
    <col min="2586" max="2586" width="10.7109375" style="184" customWidth="1"/>
    <col min="2587" max="2815" width="11.42578125" style="184"/>
    <col min="2816" max="2816" width="0.28515625" style="184" customWidth="1"/>
    <col min="2817" max="2817" width="15.85546875" style="184" customWidth="1"/>
    <col min="2818" max="2818" width="9.140625" style="184" bestFit="1" customWidth="1"/>
    <col min="2819" max="2820" width="8.42578125" style="184" bestFit="1" customWidth="1"/>
    <col min="2821" max="2821" width="10.7109375" style="184" customWidth="1"/>
    <col min="2822" max="2823" width="8.42578125" style="184" bestFit="1" customWidth="1"/>
    <col min="2824" max="2824" width="10.7109375" style="184" customWidth="1"/>
    <col min="2825" max="2826" width="8.42578125" style="184" bestFit="1" customWidth="1"/>
    <col min="2827" max="2827" width="10.7109375" style="184" customWidth="1"/>
    <col min="2828" max="2829" width="8.42578125" style="184" bestFit="1" customWidth="1"/>
    <col min="2830" max="2830" width="10.7109375" style="184" customWidth="1"/>
    <col min="2831" max="2832" width="8.42578125" style="184" bestFit="1" customWidth="1"/>
    <col min="2833" max="2833" width="10.7109375" style="184" customWidth="1"/>
    <col min="2834" max="2835" width="8.42578125" style="184" bestFit="1" customWidth="1"/>
    <col min="2836" max="2836" width="10.7109375" style="184" customWidth="1"/>
    <col min="2837" max="2838" width="8.42578125" style="184" bestFit="1" customWidth="1"/>
    <col min="2839" max="2839" width="10.7109375" style="184" customWidth="1"/>
    <col min="2840" max="2840" width="8.42578125" style="184" bestFit="1" customWidth="1"/>
    <col min="2841" max="2841" width="5.42578125" style="184" bestFit="1" customWidth="1"/>
    <col min="2842" max="2842" width="10.7109375" style="184" customWidth="1"/>
    <col min="2843" max="3071" width="11.42578125" style="184"/>
    <col min="3072" max="3072" width="0.28515625" style="184" customWidth="1"/>
    <col min="3073" max="3073" width="15.85546875" style="184" customWidth="1"/>
    <col min="3074" max="3074" width="9.140625" style="184" bestFit="1" customWidth="1"/>
    <col min="3075" max="3076" width="8.42578125" style="184" bestFit="1" customWidth="1"/>
    <col min="3077" max="3077" width="10.7109375" style="184" customWidth="1"/>
    <col min="3078" max="3079" width="8.42578125" style="184" bestFit="1" customWidth="1"/>
    <col min="3080" max="3080" width="10.7109375" style="184" customWidth="1"/>
    <col min="3081" max="3082" width="8.42578125" style="184" bestFit="1" customWidth="1"/>
    <col min="3083" max="3083" width="10.7109375" style="184" customWidth="1"/>
    <col min="3084" max="3085" width="8.42578125" style="184" bestFit="1" customWidth="1"/>
    <col min="3086" max="3086" width="10.7109375" style="184" customWidth="1"/>
    <col min="3087" max="3088" width="8.42578125" style="184" bestFit="1" customWidth="1"/>
    <col min="3089" max="3089" width="10.7109375" style="184" customWidth="1"/>
    <col min="3090" max="3091" width="8.42578125" style="184" bestFit="1" customWidth="1"/>
    <col min="3092" max="3092" width="10.7109375" style="184" customWidth="1"/>
    <col min="3093" max="3094" width="8.42578125" style="184" bestFit="1" customWidth="1"/>
    <col min="3095" max="3095" width="10.7109375" style="184" customWidth="1"/>
    <col min="3096" max="3096" width="8.42578125" style="184" bestFit="1" customWidth="1"/>
    <col min="3097" max="3097" width="5.42578125" style="184" bestFit="1" customWidth="1"/>
    <col min="3098" max="3098" width="10.7109375" style="184" customWidth="1"/>
    <col min="3099" max="3327" width="11.42578125" style="184"/>
    <col min="3328" max="3328" width="0.28515625" style="184" customWidth="1"/>
    <col min="3329" max="3329" width="15.85546875" style="184" customWidth="1"/>
    <col min="3330" max="3330" width="9.140625" style="184" bestFit="1" customWidth="1"/>
    <col min="3331" max="3332" width="8.42578125" style="184" bestFit="1" customWidth="1"/>
    <col min="3333" max="3333" width="10.7109375" style="184" customWidth="1"/>
    <col min="3334" max="3335" width="8.42578125" style="184" bestFit="1" customWidth="1"/>
    <col min="3336" max="3336" width="10.7109375" style="184" customWidth="1"/>
    <col min="3337" max="3338" width="8.42578125" style="184" bestFit="1" customWidth="1"/>
    <col min="3339" max="3339" width="10.7109375" style="184" customWidth="1"/>
    <col min="3340" max="3341" width="8.42578125" style="184" bestFit="1" customWidth="1"/>
    <col min="3342" max="3342" width="10.7109375" style="184" customWidth="1"/>
    <col min="3343" max="3344" width="8.42578125" style="184" bestFit="1" customWidth="1"/>
    <col min="3345" max="3345" width="10.7109375" style="184" customWidth="1"/>
    <col min="3346" max="3347" width="8.42578125" style="184" bestFit="1" customWidth="1"/>
    <col min="3348" max="3348" width="10.7109375" style="184" customWidth="1"/>
    <col min="3349" max="3350" width="8.42578125" style="184" bestFit="1" customWidth="1"/>
    <col min="3351" max="3351" width="10.7109375" style="184" customWidth="1"/>
    <col min="3352" max="3352" width="8.42578125" style="184" bestFit="1" customWidth="1"/>
    <col min="3353" max="3353" width="5.42578125" style="184" bestFit="1" customWidth="1"/>
    <col min="3354" max="3354" width="10.7109375" style="184" customWidth="1"/>
    <col min="3355" max="3583" width="11.42578125" style="184"/>
    <col min="3584" max="3584" width="0.28515625" style="184" customWidth="1"/>
    <col min="3585" max="3585" width="15.85546875" style="184" customWidth="1"/>
    <col min="3586" max="3586" width="9.140625" style="184" bestFit="1" customWidth="1"/>
    <col min="3587" max="3588" width="8.42578125" style="184" bestFit="1" customWidth="1"/>
    <col min="3589" max="3589" width="10.7109375" style="184" customWidth="1"/>
    <col min="3590" max="3591" width="8.42578125" style="184" bestFit="1" customWidth="1"/>
    <col min="3592" max="3592" width="10.7109375" style="184" customWidth="1"/>
    <col min="3593" max="3594" width="8.42578125" style="184" bestFit="1" customWidth="1"/>
    <col min="3595" max="3595" width="10.7109375" style="184" customWidth="1"/>
    <col min="3596" max="3597" width="8.42578125" style="184" bestFit="1" customWidth="1"/>
    <col min="3598" max="3598" width="10.7109375" style="184" customWidth="1"/>
    <col min="3599" max="3600" width="8.42578125" style="184" bestFit="1" customWidth="1"/>
    <col min="3601" max="3601" width="10.7109375" style="184" customWidth="1"/>
    <col min="3602" max="3603" width="8.42578125" style="184" bestFit="1" customWidth="1"/>
    <col min="3604" max="3604" width="10.7109375" style="184" customWidth="1"/>
    <col min="3605" max="3606" width="8.42578125" style="184" bestFit="1" customWidth="1"/>
    <col min="3607" max="3607" width="10.7109375" style="184" customWidth="1"/>
    <col min="3608" max="3608" width="8.42578125" style="184" bestFit="1" customWidth="1"/>
    <col min="3609" max="3609" width="5.42578125" style="184" bestFit="1" customWidth="1"/>
    <col min="3610" max="3610" width="10.7109375" style="184" customWidth="1"/>
    <col min="3611" max="3839" width="11.42578125" style="184"/>
    <col min="3840" max="3840" width="0.28515625" style="184" customWidth="1"/>
    <col min="3841" max="3841" width="15.85546875" style="184" customWidth="1"/>
    <col min="3842" max="3842" width="9.140625" style="184" bestFit="1" customWidth="1"/>
    <col min="3843" max="3844" width="8.42578125" style="184" bestFit="1" customWidth="1"/>
    <col min="3845" max="3845" width="10.7109375" style="184" customWidth="1"/>
    <col min="3846" max="3847" width="8.42578125" style="184" bestFit="1" customWidth="1"/>
    <col min="3848" max="3848" width="10.7109375" style="184" customWidth="1"/>
    <col min="3849" max="3850" width="8.42578125" style="184" bestFit="1" customWidth="1"/>
    <col min="3851" max="3851" width="10.7109375" style="184" customWidth="1"/>
    <col min="3852" max="3853" width="8.42578125" style="184" bestFit="1" customWidth="1"/>
    <col min="3854" max="3854" width="10.7109375" style="184" customWidth="1"/>
    <col min="3855" max="3856" width="8.42578125" style="184" bestFit="1" customWidth="1"/>
    <col min="3857" max="3857" width="10.7109375" style="184" customWidth="1"/>
    <col min="3858" max="3859" width="8.42578125" style="184" bestFit="1" customWidth="1"/>
    <col min="3860" max="3860" width="10.7109375" style="184" customWidth="1"/>
    <col min="3861" max="3862" width="8.42578125" style="184" bestFit="1" customWidth="1"/>
    <col min="3863" max="3863" width="10.7109375" style="184" customWidth="1"/>
    <col min="3864" max="3864" width="8.42578125" style="184" bestFit="1" customWidth="1"/>
    <col min="3865" max="3865" width="5.42578125" style="184" bestFit="1" customWidth="1"/>
    <col min="3866" max="3866" width="10.7109375" style="184" customWidth="1"/>
    <col min="3867" max="4095" width="11.42578125" style="184"/>
    <col min="4096" max="4096" width="0.28515625" style="184" customWidth="1"/>
    <col min="4097" max="4097" width="15.85546875" style="184" customWidth="1"/>
    <col min="4098" max="4098" width="9.140625" style="184" bestFit="1" customWidth="1"/>
    <col min="4099" max="4100" width="8.42578125" style="184" bestFit="1" customWidth="1"/>
    <col min="4101" max="4101" width="10.7109375" style="184" customWidth="1"/>
    <col min="4102" max="4103" width="8.42578125" style="184" bestFit="1" customWidth="1"/>
    <col min="4104" max="4104" width="10.7109375" style="184" customWidth="1"/>
    <col min="4105" max="4106" width="8.42578125" style="184" bestFit="1" customWidth="1"/>
    <col min="4107" max="4107" width="10.7109375" style="184" customWidth="1"/>
    <col min="4108" max="4109" width="8.42578125" style="184" bestFit="1" customWidth="1"/>
    <col min="4110" max="4110" width="10.7109375" style="184" customWidth="1"/>
    <col min="4111" max="4112" width="8.42578125" style="184" bestFit="1" customWidth="1"/>
    <col min="4113" max="4113" width="10.7109375" style="184" customWidth="1"/>
    <col min="4114" max="4115" width="8.42578125" style="184" bestFit="1" customWidth="1"/>
    <col min="4116" max="4116" width="10.7109375" style="184" customWidth="1"/>
    <col min="4117" max="4118" width="8.42578125" style="184" bestFit="1" customWidth="1"/>
    <col min="4119" max="4119" width="10.7109375" style="184" customWidth="1"/>
    <col min="4120" max="4120" width="8.42578125" style="184" bestFit="1" customWidth="1"/>
    <col min="4121" max="4121" width="5.42578125" style="184" bestFit="1" customWidth="1"/>
    <col min="4122" max="4122" width="10.7109375" style="184" customWidth="1"/>
    <col min="4123" max="4351" width="11.42578125" style="184"/>
    <col min="4352" max="4352" width="0.28515625" style="184" customWidth="1"/>
    <col min="4353" max="4353" width="15.85546875" style="184" customWidth="1"/>
    <col min="4354" max="4354" width="9.140625" style="184" bestFit="1" customWidth="1"/>
    <col min="4355" max="4356" width="8.42578125" style="184" bestFit="1" customWidth="1"/>
    <col min="4357" max="4357" width="10.7109375" style="184" customWidth="1"/>
    <col min="4358" max="4359" width="8.42578125" style="184" bestFit="1" customWidth="1"/>
    <col min="4360" max="4360" width="10.7109375" style="184" customWidth="1"/>
    <col min="4361" max="4362" width="8.42578125" style="184" bestFit="1" customWidth="1"/>
    <col min="4363" max="4363" width="10.7109375" style="184" customWidth="1"/>
    <col min="4364" max="4365" width="8.42578125" style="184" bestFit="1" customWidth="1"/>
    <col min="4366" max="4366" width="10.7109375" style="184" customWidth="1"/>
    <col min="4367" max="4368" width="8.42578125" style="184" bestFit="1" customWidth="1"/>
    <col min="4369" max="4369" width="10.7109375" style="184" customWidth="1"/>
    <col min="4370" max="4371" width="8.42578125" style="184" bestFit="1" customWidth="1"/>
    <col min="4372" max="4372" width="10.7109375" style="184" customWidth="1"/>
    <col min="4373" max="4374" width="8.42578125" style="184" bestFit="1" customWidth="1"/>
    <col min="4375" max="4375" width="10.7109375" style="184" customWidth="1"/>
    <col min="4376" max="4376" width="8.42578125" style="184" bestFit="1" customWidth="1"/>
    <col min="4377" max="4377" width="5.42578125" style="184" bestFit="1" customWidth="1"/>
    <col min="4378" max="4378" width="10.7109375" style="184" customWidth="1"/>
    <col min="4379" max="4607" width="11.42578125" style="184"/>
    <col min="4608" max="4608" width="0.28515625" style="184" customWidth="1"/>
    <col min="4609" max="4609" width="15.85546875" style="184" customWidth="1"/>
    <col min="4610" max="4610" width="9.140625" style="184" bestFit="1" customWidth="1"/>
    <col min="4611" max="4612" width="8.42578125" style="184" bestFit="1" customWidth="1"/>
    <col min="4613" max="4613" width="10.7109375" style="184" customWidth="1"/>
    <col min="4614" max="4615" width="8.42578125" style="184" bestFit="1" customWidth="1"/>
    <col min="4616" max="4616" width="10.7109375" style="184" customWidth="1"/>
    <col min="4617" max="4618" width="8.42578125" style="184" bestFit="1" customWidth="1"/>
    <col min="4619" max="4619" width="10.7109375" style="184" customWidth="1"/>
    <col min="4620" max="4621" width="8.42578125" style="184" bestFit="1" customWidth="1"/>
    <col min="4622" max="4622" width="10.7109375" style="184" customWidth="1"/>
    <col min="4623" max="4624" width="8.42578125" style="184" bestFit="1" customWidth="1"/>
    <col min="4625" max="4625" width="10.7109375" style="184" customWidth="1"/>
    <col min="4626" max="4627" width="8.42578125" style="184" bestFit="1" customWidth="1"/>
    <col min="4628" max="4628" width="10.7109375" style="184" customWidth="1"/>
    <col min="4629" max="4630" width="8.42578125" style="184" bestFit="1" customWidth="1"/>
    <col min="4631" max="4631" width="10.7109375" style="184" customWidth="1"/>
    <col min="4632" max="4632" width="8.42578125" style="184" bestFit="1" customWidth="1"/>
    <col min="4633" max="4633" width="5.42578125" style="184" bestFit="1" customWidth="1"/>
    <col min="4634" max="4634" width="10.7109375" style="184" customWidth="1"/>
    <col min="4635" max="4863" width="11.42578125" style="184"/>
    <col min="4864" max="4864" width="0.28515625" style="184" customWidth="1"/>
    <col min="4865" max="4865" width="15.85546875" style="184" customWidth="1"/>
    <col min="4866" max="4866" width="9.140625" style="184" bestFit="1" customWidth="1"/>
    <col min="4867" max="4868" width="8.42578125" style="184" bestFit="1" customWidth="1"/>
    <col min="4869" max="4869" width="10.7109375" style="184" customWidth="1"/>
    <col min="4870" max="4871" width="8.42578125" style="184" bestFit="1" customWidth="1"/>
    <col min="4872" max="4872" width="10.7109375" style="184" customWidth="1"/>
    <col min="4873" max="4874" width="8.42578125" style="184" bestFit="1" customWidth="1"/>
    <col min="4875" max="4875" width="10.7109375" style="184" customWidth="1"/>
    <col min="4876" max="4877" width="8.42578125" style="184" bestFit="1" customWidth="1"/>
    <col min="4878" max="4878" width="10.7109375" style="184" customWidth="1"/>
    <col min="4879" max="4880" width="8.42578125" style="184" bestFit="1" customWidth="1"/>
    <col min="4881" max="4881" width="10.7109375" style="184" customWidth="1"/>
    <col min="4882" max="4883" width="8.42578125" style="184" bestFit="1" customWidth="1"/>
    <col min="4884" max="4884" width="10.7109375" style="184" customWidth="1"/>
    <col min="4885" max="4886" width="8.42578125" style="184" bestFit="1" customWidth="1"/>
    <col min="4887" max="4887" width="10.7109375" style="184" customWidth="1"/>
    <col min="4888" max="4888" width="8.42578125" style="184" bestFit="1" customWidth="1"/>
    <col min="4889" max="4889" width="5.42578125" style="184" bestFit="1" customWidth="1"/>
    <col min="4890" max="4890" width="10.7109375" style="184" customWidth="1"/>
    <col min="4891" max="5119" width="11.42578125" style="184"/>
    <col min="5120" max="5120" width="0.28515625" style="184" customWidth="1"/>
    <col min="5121" max="5121" width="15.85546875" style="184" customWidth="1"/>
    <col min="5122" max="5122" width="9.140625" style="184" bestFit="1" customWidth="1"/>
    <col min="5123" max="5124" width="8.42578125" style="184" bestFit="1" customWidth="1"/>
    <col min="5125" max="5125" width="10.7109375" style="184" customWidth="1"/>
    <col min="5126" max="5127" width="8.42578125" style="184" bestFit="1" customWidth="1"/>
    <col min="5128" max="5128" width="10.7109375" style="184" customWidth="1"/>
    <col min="5129" max="5130" width="8.42578125" style="184" bestFit="1" customWidth="1"/>
    <col min="5131" max="5131" width="10.7109375" style="184" customWidth="1"/>
    <col min="5132" max="5133" width="8.42578125" style="184" bestFit="1" customWidth="1"/>
    <col min="5134" max="5134" width="10.7109375" style="184" customWidth="1"/>
    <col min="5135" max="5136" width="8.42578125" style="184" bestFit="1" customWidth="1"/>
    <col min="5137" max="5137" width="10.7109375" style="184" customWidth="1"/>
    <col min="5138" max="5139" width="8.42578125" style="184" bestFit="1" customWidth="1"/>
    <col min="5140" max="5140" width="10.7109375" style="184" customWidth="1"/>
    <col min="5141" max="5142" width="8.42578125" style="184" bestFit="1" customWidth="1"/>
    <col min="5143" max="5143" width="10.7109375" style="184" customWidth="1"/>
    <col min="5144" max="5144" width="8.42578125" style="184" bestFit="1" customWidth="1"/>
    <col min="5145" max="5145" width="5.42578125" style="184" bestFit="1" customWidth="1"/>
    <col min="5146" max="5146" width="10.7109375" style="184" customWidth="1"/>
    <col min="5147" max="5375" width="11.42578125" style="184"/>
    <col min="5376" max="5376" width="0.28515625" style="184" customWidth="1"/>
    <col min="5377" max="5377" width="15.85546875" style="184" customWidth="1"/>
    <col min="5378" max="5378" width="9.140625" style="184" bestFit="1" customWidth="1"/>
    <col min="5379" max="5380" width="8.42578125" style="184" bestFit="1" customWidth="1"/>
    <col min="5381" max="5381" width="10.7109375" style="184" customWidth="1"/>
    <col min="5382" max="5383" width="8.42578125" style="184" bestFit="1" customWidth="1"/>
    <col min="5384" max="5384" width="10.7109375" style="184" customWidth="1"/>
    <col min="5385" max="5386" width="8.42578125" style="184" bestFit="1" customWidth="1"/>
    <col min="5387" max="5387" width="10.7109375" style="184" customWidth="1"/>
    <col min="5388" max="5389" width="8.42578125" style="184" bestFit="1" customWidth="1"/>
    <col min="5390" max="5390" width="10.7109375" style="184" customWidth="1"/>
    <col min="5391" max="5392" width="8.42578125" style="184" bestFit="1" customWidth="1"/>
    <col min="5393" max="5393" width="10.7109375" style="184" customWidth="1"/>
    <col min="5394" max="5395" width="8.42578125" style="184" bestFit="1" customWidth="1"/>
    <col min="5396" max="5396" width="10.7109375" style="184" customWidth="1"/>
    <col min="5397" max="5398" width="8.42578125" style="184" bestFit="1" customWidth="1"/>
    <col min="5399" max="5399" width="10.7109375" style="184" customWidth="1"/>
    <col min="5400" max="5400" width="8.42578125" style="184" bestFit="1" customWidth="1"/>
    <col min="5401" max="5401" width="5.42578125" style="184" bestFit="1" customWidth="1"/>
    <col min="5402" max="5402" width="10.7109375" style="184" customWidth="1"/>
    <col min="5403" max="5631" width="11.42578125" style="184"/>
    <col min="5632" max="5632" width="0.28515625" style="184" customWidth="1"/>
    <col min="5633" max="5633" width="15.85546875" style="184" customWidth="1"/>
    <col min="5634" max="5634" width="9.140625" style="184" bestFit="1" customWidth="1"/>
    <col min="5635" max="5636" width="8.42578125" style="184" bestFit="1" customWidth="1"/>
    <col min="5637" max="5637" width="10.7109375" style="184" customWidth="1"/>
    <col min="5638" max="5639" width="8.42578125" style="184" bestFit="1" customWidth="1"/>
    <col min="5640" max="5640" width="10.7109375" style="184" customWidth="1"/>
    <col min="5641" max="5642" width="8.42578125" style="184" bestFit="1" customWidth="1"/>
    <col min="5643" max="5643" width="10.7109375" style="184" customWidth="1"/>
    <col min="5644" max="5645" width="8.42578125" style="184" bestFit="1" customWidth="1"/>
    <col min="5646" max="5646" width="10.7109375" style="184" customWidth="1"/>
    <col min="5647" max="5648" width="8.42578125" style="184" bestFit="1" customWidth="1"/>
    <col min="5649" max="5649" width="10.7109375" style="184" customWidth="1"/>
    <col min="5650" max="5651" width="8.42578125" style="184" bestFit="1" customWidth="1"/>
    <col min="5652" max="5652" width="10.7109375" style="184" customWidth="1"/>
    <col min="5653" max="5654" width="8.42578125" style="184" bestFit="1" customWidth="1"/>
    <col min="5655" max="5655" width="10.7109375" style="184" customWidth="1"/>
    <col min="5656" max="5656" width="8.42578125" style="184" bestFit="1" customWidth="1"/>
    <col min="5657" max="5657" width="5.42578125" style="184" bestFit="1" customWidth="1"/>
    <col min="5658" max="5658" width="10.7109375" style="184" customWidth="1"/>
    <col min="5659" max="5887" width="11.42578125" style="184"/>
    <col min="5888" max="5888" width="0.28515625" style="184" customWidth="1"/>
    <col min="5889" max="5889" width="15.85546875" style="184" customWidth="1"/>
    <col min="5890" max="5890" width="9.140625" style="184" bestFit="1" customWidth="1"/>
    <col min="5891" max="5892" width="8.42578125" style="184" bestFit="1" customWidth="1"/>
    <col min="5893" max="5893" width="10.7109375" style="184" customWidth="1"/>
    <col min="5894" max="5895" width="8.42578125" style="184" bestFit="1" customWidth="1"/>
    <col min="5896" max="5896" width="10.7109375" style="184" customWidth="1"/>
    <col min="5897" max="5898" width="8.42578125" style="184" bestFit="1" customWidth="1"/>
    <col min="5899" max="5899" width="10.7109375" style="184" customWidth="1"/>
    <col min="5900" max="5901" width="8.42578125" style="184" bestFit="1" customWidth="1"/>
    <col min="5902" max="5902" width="10.7109375" style="184" customWidth="1"/>
    <col min="5903" max="5904" width="8.42578125" style="184" bestFit="1" customWidth="1"/>
    <col min="5905" max="5905" width="10.7109375" style="184" customWidth="1"/>
    <col min="5906" max="5907" width="8.42578125" style="184" bestFit="1" customWidth="1"/>
    <col min="5908" max="5908" width="10.7109375" style="184" customWidth="1"/>
    <col min="5909" max="5910" width="8.42578125" style="184" bestFit="1" customWidth="1"/>
    <col min="5911" max="5911" width="10.7109375" style="184" customWidth="1"/>
    <col min="5912" max="5912" width="8.42578125" style="184" bestFit="1" customWidth="1"/>
    <col min="5913" max="5913" width="5.42578125" style="184" bestFit="1" customWidth="1"/>
    <col min="5914" max="5914" width="10.7109375" style="184" customWidth="1"/>
    <col min="5915" max="6143" width="11.42578125" style="184"/>
    <col min="6144" max="6144" width="0.28515625" style="184" customWidth="1"/>
    <col min="6145" max="6145" width="15.85546875" style="184" customWidth="1"/>
    <col min="6146" max="6146" width="9.140625" style="184" bestFit="1" customWidth="1"/>
    <col min="6147" max="6148" width="8.42578125" style="184" bestFit="1" customWidth="1"/>
    <col min="6149" max="6149" width="10.7109375" style="184" customWidth="1"/>
    <col min="6150" max="6151" width="8.42578125" style="184" bestFit="1" customWidth="1"/>
    <col min="6152" max="6152" width="10.7109375" style="184" customWidth="1"/>
    <col min="6153" max="6154" width="8.42578125" style="184" bestFit="1" customWidth="1"/>
    <col min="6155" max="6155" width="10.7109375" style="184" customWidth="1"/>
    <col min="6156" max="6157" width="8.42578125" style="184" bestFit="1" customWidth="1"/>
    <col min="6158" max="6158" width="10.7109375" style="184" customWidth="1"/>
    <col min="6159" max="6160" width="8.42578125" style="184" bestFit="1" customWidth="1"/>
    <col min="6161" max="6161" width="10.7109375" style="184" customWidth="1"/>
    <col min="6162" max="6163" width="8.42578125" style="184" bestFit="1" customWidth="1"/>
    <col min="6164" max="6164" width="10.7109375" style="184" customWidth="1"/>
    <col min="6165" max="6166" width="8.42578125" style="184" bestFit="1" customWidth="1"/>
    <col min="6167" max="6167" width="10.7109375" style="184" customWidth="1"/>
    <col min="6168" max="6168" width="8.42578125" style="184" bestFit="1" customWidth="1"/>
    <col min="6169" max="6169" width="5.42578125" style="184" bestFit="1" customWidth="1"/>
    <col min="6170" max="6170" width="10.7109375" style="184" customWidth="1"/>
    <col min="6171" max="6399" width="11.42578125" style="184"/>
    <col min="6400" max="6400" width="0.28515625" style="184" customWidth="1"/>
    <col min="6401" max="6401" width="15.85546875" style="184" customWidth="1"/>
    <col min="6402" max="6402" width="9.140625" style="184" bestFit="1" customWidth="1"/>
    <col min="6403" max="6404" width="8.42578125" style="184" bestFit="1" customWidth="1"/>
    <col min="6405" max="6405" width="10.7109375" style="184" customWidth="1"/>
    <col min="6406" max="6407" width="8.42578125" style="184" bestFit="1" customWidth="1"/>
    <col min="6408" max="6408" width="10.7109375" style="184" customWidth="1"/>
    <col min="6409" max="6410" width="8.42578125" style="184" bestFit="1" customWidth="1"/>
    <col min="6411" max="6411" width="10.7109375" style="184" customWidth="1"/>
    <col min="6412" max="6413" width="8.42578125" style="184" bestFit="1" customWidth="1"/>
    <col min="6414" max="6414" width="10.7109375" style="184" customWidth="1"/>
    <col min="6415" max="6416" width="8.42578125" style="184" bestFit="1" customWidth="1"/>
    <col min="6417" max="6417" width="10.7109375" style="184" customWidth="1"/>
    <col min="6418" max="6419" width="8.42578125" style="184" bestFit="1" customWidth="1"/>
    <col min="6420" max="6420" width="10.7109375" style="184" customWidth="1"/>
    <col min="6421" max="6422" width="8.42578125" style="184" bestFit="1" customWidth="1"/>
    <col min="6423" max="6423" width="10.7109375" style="184" customWidth="1"/>
    <col min="6424" max="6424" width="8.42578125" style="184" bestFit="1" customWidth="1"/>
    <col min="6425" max="6425" width="5.42578125" style="184" bestFit="1" customWidth="1"/>
    <col min="6426" max="6426" width="10.7109375" style="184" customWidth="1"/>
    <col min="6427" max="6655" width="11.42578125" style="184"/>
    <col min="6656" max="6656" width="0.28515625" style="184" customWidth="1"/>
    <col min="6657" max="6657" width="15.85546875" style="184" customWidth="1"/>
    <col min="6658" max="6658" width="9.140625" style="184" bestFit="1" customWidth="1"/>
    <col min="6659" max="6660" width="8.42578125" style="184" bestFit="1" customWidth="1"/>
    <col min="6661" max="6661" width="10.7109375" style="184" customWidth="1"/>
    <col min="6662" max="6663" width="8.42578125" style="184" bestFit="1" customWidth="1"/>
    <col min="6664" max="6664" width="10.7109375" style="184" customWidth="1"/>
    <col min="6665" max="6666" width="8.42578125" style="184" bestFit="1" customWidth="1"/>
    <col min="6667" max="6667" width="10.7109375" style="184" customWidth="1"/>
    <col min="6668" max="6669" width="8.42578125" style="184" bestFit="1" customWidth="1"/>
    <col min="6670" max="6670" width="10.7109375" style="184" customWidth="1"/>
    <col min="6671" max="6672" width="8.42578125" style="184" bestFit="1" customWidth="1"/>
    <col min="6673" max="6673" width="10.7109375" style="184" customWidth="1"/>
    <col min="6674" max="6675" width="8.42578125" style="184" bestFit="1" customWidth="1"/>
    <col min="6676" max="6676" width="10.7109375" style="184" customWidth="1"/>
    <col min="6677" max="6678" width="8.42578125" style="184" bestFit="1" customWidth="1"/>
    <col min="6679" max="6679" width="10.7109375" style="184" customWidth="1"/>
    <col min="6680" max="6680" width="8.42578125" style="184" bestFit="1" customWidth="1"/>
    <col min="6681" max="6681" width="5.42578125" style="184" bestFit="1" customWidth="1"/>
    <col min="6682" max="6682" width="10.7109375" style="184" customWidth="1"/>
    <col min="6683" max="6911" width="11.42578125" style="184"/>
    <col min="6912" max="6912" width="0.28515625" style="184" customWidth="1"/>
    <col min="6913" max="6913" width="15.85546875" style="184" customWidth="1"/>
    <col min="6914" max="6914" width="9.140625" style="184" bestFit="1" customWidth="1"/>
    <col min="6915" max="6916" width="8.42578125" style="184" bestFit="1" customWidth="1"/>
    <col min="6917" max="6917" width="10.7109375" style="184" customWidth="1"/>
    <col min="6918" max="6919" width="8.42578125" style="184" bestFit="1" customWidth="1"/>
    <col min="6920" max="6920" width="10.7109375" style="184" customWidth="1"/>
    <col min="6921" max="6922" width="8.42578125" style="184" bestFit="1" customWidth="1"/>
    <col min="6923" max="6923" width="10.7109375" style="184" customWidth="1"/>
    <col min="6924" max="6925" width="8.42578125" style="184" bestFit="1" customWidth="1"/>
    <col min="6926" max="6926" width="10.7109375" style="184" customWidth="1"/>
    <col min="6927" max="6928" width="8.42578125" style="184" bestFit="1" customWidth="1"/>
    <col min="6929" max="6929" width="10.7109375" style="184" customWidth="1"/>
    <col min="6930" max="6931" width="8.42578125" style="184" bestFit="1" customWidth="1"/>
    <col min="6932" max="6932" width="10.7109375" style="184" customWidth="1"/>
    <col min="6933" max="6934" width="8.42578125" style="184" bestFit="1" customWidth="1"/>
    <col min="6935" max="6935" width="10.7109375" style="184" customWidth="1"/>
    <col min="6936" max="6936" width="8.42578125" style="184" bestFit="1" customWidth="1"/>
    <col min="6937" max="6937" width="5.42578125" style="184" bestFit="1" customWidth="1"/>
    <col min="6938" max="6938" width="10.7109375" style="184" customWidth="1"/>
    <col min="6939" max="7167" width="11.42578125" style="184"/>
    <col min="7168" max="7168" width="0.28515625" style="184" customWidth="1"/>
    <col min="7169" max="7169" width="15.85546875" style="184" customWidth="1"/>
    <col min="7170" max="7170" width="9.140625" style="184" bestFit="1" customWidth="1"/>
    <col min="7171" max="7172" width="8.42578125" style="184" bestFit="1" customWidth="1"/>
    <col min="7173" max="7173" width="10.7109375" style="184" customWidth="1"/>
    <col min="7174" max="7175" width="8.42578125" style="184" bestFit="1" customWidth="1"/>
    <col min="7176" max="7176" width="10.7109375" style="184" customWidth="1"/>
    <col min="7177" max="7178" width="8.42578125" style="184" bestFit="1" customWidth="1"/>
    <col min="7179" max="7179" width="10.7109375" style="184" customWidth="1"/>
    <col min="7180" max="7181" width="8.42578125" style="184" bestFit="1" customWidth="1"/>
    <col min="7182" max="7182" width="10.7109375" style="184" customWidth="1"/>
    <col min="7183" max="7184" width="8.42578125" style="184" bestFit="1" customWidth="1"/>
    <col min="7185" max="7185" width="10.7109375" style="184" customWidth="1"/>
    <col min="7186" max="7187" width="8.42578125" style="184" bestFit="1" customWidth="1"/>
    <col min="7188" max="7188" width="10.7109375" style="184" customWidth="1"/>
    <col min="7189" max="7190" width="8.42578125" style="184" bestFit="1" customWidth="1"/>
    <col min="7191" max="7191" width="10.7109375" style="184" customWidth="1"/>
    <col min="7192" max="7192" width="8.42578125" style="184" bestFit="1" customWidth="1"/>
    <col min="7193" max="7193" width="5.42578125" style="184" bestFit="1" customWidth="1"/>
    <col min="7194" max="7194" width="10.7109375" style="184" customWidth="1"/>
    <col min="7195" max="7423" width="11.42578125" style="184"/>
    <col min="7424" max="7424" width="0.28515625" style="184" customWidth="1"/>
    <col min="7425" max="7425" width="15.85546875" style="184" customWidth="1"/>
    <col min="7426" max="7426" width="9.140625" style="184" bestFit="1" customWidth="1"/>
    <col min="7427" max="7428" width="8.42578125" style="184" bestFit="1" customWidth="1"/>
    <col min="7429" max="7429" width="10.7109375" style="184" customWidth="1"/>
    <col min="7430" max="7431" width="8.42578125" style="184" bestFit="1" customWidth="1"/>
    <col min="7432" max="7432" width="10.7109375" style="184" customWidth="1"/>
    <col min="7433" max="7434" width="8.42578125" style="184" bestFit="1" customWidth="1"/>
    <col min="7435" max="7435" width="10.7109375" style="184" customWidth="1"/>
    <col min="7436" max="7437" width="8.42578125" style="184" bestFit="1" customWidth="1"/>
    <col min="7438" max="7438" width="10.7109375" style="184" customWidth="1"/>
    <col min="7439" max="7440" width="8.42578125" style="184" bestFit="1" customWidth="1"/>
    <col min="7441" max="7441" width="10.7109375" style="184" customWidth="1"/>
    <col min="7442" max="7443" width="8.42578125" style="184" bestFit="1" customWidth="1"/>
    <col min="7444" max="7444" width="10.7109375" style="184" customWidth="1"/>
    <col min="7445" max="7446" width="8.42578125" style="184" bestFit="1" customWidth="1"/>
    <col min="7447" max="7447" width="10.7109375" style="184" customWidth="1"/>
    <col min="7448" max="7448" width="8.42578125" style="184" bestFit="1" customWidth="1"/>
    <col min="7449" max="7449" width="5.42578125" style="184" bestFit="1" customWidth="1"/>
    <col min="7450" max="7450" width="10.7109375" style="184" customWidth="1"/>
    <col min="7451" max="7679" width="11.42578125" style="184"/>
    <col min="7680" max="7680" width="0.28515625" style="184" customWidth="1"/>
    <col min="7681" max="7681" width="15.85546875" style="184" customWidth="1"/>
    <col min="7682" max="7682" width="9.140625" style="184" bestFit="1" customWidth="1"/>
    <col min="7683" max="7684" width="8.42578125" style="184" bestFit="1" customWidth="1"/>
    <col min="7685" max="7685" width="10.7109375" style="184" customWidth="1"/>
    <col min="7686" max="7687" width="8.42578125" style="184" bestFit="1" customWidth="1"/>
    <col min="7688" max="7688" width="10.7109375" style="184" customWidth="1"/>
    <col min="7689" max="7690" width="8.42578125" style="184" bestFit="1" customWidth="1"/>
    <col min="7691" max="7691" width="10.7109375" style="184" customWidth="1"/>
    <col min="7692" max="7693" width="8.42578125" style="184" bestFit="1" customWidth="1"/>
    <col min="7694" max="7694" width="10.7109375" style="184" customWidth="1"/>
    <col min="7695" max="7696" width="8.42578125" style="184" bestFit="1" customWidth="1"/>
    <col min="7697" max="7697" width="10.7109375" style="184" customWidth="1"/>
    <col min="7698" max="7699" width="8.42578125" style="184" bestFit="1" customWidth="1"/>
    <col min="7700" max="7700" width="10.7109375" style="184" customWidth="1"/>
    <col min="7701" max="7702" width="8.42578125" style="184" bestFit="1" customWidth="1"/>
    <col min="7703" max="7703" width="10.7109375" style="184" customWidth="1"/>
    <col min="7704" max="7704" width="8.42578125" style="184" bestFit="1" customWidth="1"/>
    <col min="7705" max="7705" width="5.42578125" style="184" bestFit="1" customWidth="1"/>
    <col min="7706" max="7706" width="10.7109375" style="184" customWidth="1"/>
    <col min="7707" max="7935" width="11.42578125" style="184"/>
    <col min="7936" max="7936" width="0.28515625" style="184" customWidth="1"/>
    <col min="7937" max="7937" width="15.85546875" style="184" customWidth="1"/>
    <col min="7938" max="7938" width="9.140625" style="184" bestFit="1" customWidth="1"/>
    <col min="7939" max="7940" width="8.42578125" style="184" bestFit="1" customWidth="1"/>
    <col min="7941" max="7941" width="10.7109375" style="184" customWidth="1"/>
    <col min="7942" max="7943" width="8.42578125" style="184" bestFit="1" customWidth="1"/>
    <col min="7944" max="7944" width="10.7109375" style="184" customWidth="1"/>
    <col min="7945" max="7946" width="8.42578125" style="184" bestFit="1" customWidth="1"/>
    <col min="7947" max="7947" width="10.7109375" style="184" customWidth="1"/>
    <col min="7948" max="7949" width="8.42578125" style="184" bestFit="1" customWidth="1"/>
    <col min="7950" max="7950" width="10.7109375" style="184" customWidth="1"/>
    <col min="7951" max="7952" width="8.42578125" style="184" bestFit="1" customWidth="1"/>
    <col min="7953" max="7953" width="10.7109375" style="184" customWidth="1"/>
    <col min="7954" max="7955" width="8.42578125" style="184" bestFit="1" customWidth="1"/>
    <col min="7956" max="7956" width="10.7109375" style="184" customWidth="1"/>
    <col min="7957" max="7958" width="8.42578125" style="184" bestFit="1" customWidth="1"/>
    <col min="7959" max="7959" width="10.7109375" style="184" customWidth="1"/>
    <col min="7960" max="7960" width="8.42578125" style="184" bestFit="1" customWidth="1"/>
    <col min="7961" max="7961" width="5.42578125" style="184" bestFit="1" customWidth="1"/>
    <col min="7962" max="7962" width="10.7109375" style="184" customWidth="1"/>
    <col min="7963" max="8191" width="11.42578125" style="184"/>
    <col min="8192" max="8192" width="0.28515625" style="184" customWidth="1"/>
    <col min="8193" max="8193" width="15.85546875" style="184" customWidth="1"/>
    <col min="8194" max="8194" width="9.140625" style="184" bestFit="1" customWidth="1"/>
    <col min="8195" max="8196" width="8.42578125" style="184" bestFit="1" customWidth="1"/>
    <col min="8197" max="8197" width="10.7109375" style="184" customWidth="1"/>
    <col min="8198" max="8199" width="8.42578125" style="184" bestFit="1" customWidth="1"/>
    <col min="8200" max="8200" width="10.7109375" style="184" customWidth="1"/>
    <col min="8201" max="8202" width="8.42578125" style="184" bestFit="1" customWidth="1"/>
    <col min="8203" max="8203" width="10.7109375" style="184" customWidth="1"/>
    <col min="8204" max="8205" width="8.42578125" style="184" bestFit="1" customWidth="1"/>
    <col min="8206" max="8206" width="10.7109375" style="184" customWidth="1"/>
    <col min="8207" max="8208" width="8.42578125" style="184" bestFit="1" customWidth="1"/>
    <col min="8209" max="8209" width="10.7109375" style="184" customWidth="1"/>
    <col min="8210" max="8211" width="8.42578125" style="184" bestFit="1" customWidth="1"/>
    <col min="8212" max="8212" width="10.7109375" style="184" customWidth="1"/>
    <col min="8213" max="8214" width="8.42578125" style="184" bestFit="1" customWidth="1"/>
    <col min="8215" max="8215" width="10.7109375" style="184" customWidth="1"/>
    <col min="8216" max="8216" width="8.42578125" style="184" bestFit="1" customWidth="1"/>
    <col min="8217" max="8217" width="5.42578125" style="184" bestFit="1" customWidth="1"/>
    <col min="8218" max="8218" width="10.7109375" style="184" customWidth="1"/>
    <col min="8219" max="8447" width="11.42578125" style="184"/>
    <col min="8448" max="8448" width="0.28515625" style="184" customWidth="1"/>
    <col min="8449" max="8449" width="15.85546875" style="184" customWidth="1"/>
    <col min="8450" max="8450" width="9.140625" style="184" bestFit="1" customWidth="1"/>
    <col min="8451" max="8452" width="8.42578125" style="184" bestFit="1" customWidth="1"/>
    <col min="8453" max="8453" width="10.7109375" style="184" customWidth="1"/>
    <col min="8454" max="8455" width="8.42578125" style="184" bestFit="1" customWidth="1"/>
    <col min="8456" max="8456" width="10.7109375" style="184" customWidth="1"/>
    <col min="8457" max="8458" width="8.42578125" style="184" bestFit="1" customWidth="1"/>
    <col min="8459" max="8459" width="10.7109375" style="184" customWidth="1"/>
    <col min="8460" max="8461" width="8.42578125" style="184" bestFit="1" customWidth="1"/>
    <col min="8462" max="8462" width="10.7109375" style="184" customWidth="1"/>
    <col min="8463" max="8464" width="8.42578125" style="184" bestFit="1" customWidth="1"/>
    <col min="8465" max="8465" width="10.7109375" style="184" customWidth="1"/>
    <col min="8466" max="8467" width="8.42578125" style="184" bestFit="1" customWidth="1"/>
    <col min="8468" max="8468" width="10.7109375" style="184" customWidth="1"/>
    <col min="8469" max="8470" width="8.42578125" style="184" bestFit="1" customWidth="1"/>
    <col min="8471" max="8471" width="10.7109375" style="184" customWidth="1"/>
    <col min="8472" max="8472" width="8.42578125" style="184" bestFit="1" customWidth="1"/>
    <col min="8473" max="8473" width="5.42578125" style="184" bestFit="1" customWidth="1"/>
    <col min="8474" max="8474" width="10.7109375" style="184" customWidth="1"/>
    <col min="8475" max="8703" width="11.42578125" style="184"/>
    <col min="8704" max="8704" width="0.28515625" style="184" customWidth="1"/>
    <col min="8705" max="8705" width="15.85546875" style="184" customWidth="1"/>
    <col min="8706" max="8706" width="9.140625" style="184" bestFit="1" customWidth="1"/>
    <col min="8707" max="8708" width="8.42578125" style="184" bestFit="1" customWidth="1"/>
    <col min="8709" max="8709" width="10.7109375" style="184" customWidth="1"/>
    <col min="8710" max="8711" width="8.42578125" style="184" bestFit="1" customWidth="1"/>
    <col min="8712" max="8712" width="10.7109375" style="184" customWidth="1"/>
    <col min="8713" max="8714" width="8.42578125" style="184" bestFit="1" customWidth="1"/>
    <col min="8715" max="8715" width="10.7109375" style="184" customWidth="1"/>
    <col min="8716" max="8717" width="8.42578125" style="184" bestFit="1" customWidth="1"/>
    <col min="8718" max="8718" width="10.7109375" style="184" customWidth="1"/>
    <col min="8719" max="8720" width="8.42578125" style="184" bestFit="1" customWidth="1"/>
    <col min="8721" max="8721" width="10.7109375" style="184" customWidth="1"/>
    <col min="8722" max="8723" width="8.42578125" style="184" bestFit="1" customWidth="1"/>
    <col min="8724" max="8724" width="10.7109375" style="184" customWidth="1"/>
    <col min="8725" max="8726" width="8.42578125" style="184" bestFit="1" customWidth="1"/>
    <col min="8727" max="8727" width="10.7109375" style="184" customWidth="1"/>
    <col min="8728" max="8728" width="8.42578125" style="184" bestFit="1" customWidth="1"/>
    <col min="8729" max="8729" width="5.42578125" style="184" bestFit="1" customWidth="1"/>
    <col min="8730" max="8730" width="10.7109375" style="184" customWidth="1"/>
    <col min="8731" max="8959" width="11.42578125" style="184"/>
    <col min="8960" max="8960" width="0.28515625" style="184" customWidth="1"/>
    <col min="8961" max="8961" width="15.85546875" style="184" customWidth="1"/>
    <col min="8962" max="8962" width="9.140625" style="184" bestFit="1" customWidth="1"/>
    <col min="8963" max="8964" width="8.42578125" style="184" bestFit="1" customWidth="1"/>
    <col min="8965" max="8965" width="10.7109375" style="184" customWidth="1"/>
    <col min="8966" max="8967" width="8.42578125" style="184" bestFit="1" customWidth="1"/>
    <col min="8968" max="8968" width="10.7109375" style="184" customWidth="1"/>
    <col min="8969" max="8970" width="8.42578125" style="184" bestFit="1" customWidth="1"/>
    <col min="8971" max="8971" width="10.7109375" style="184" customWidth="1"/>
    <col min="8972" max="8973" width="8.42578125" style="184" bestFit="1" customWidth="1"/>
    <col min="8974" max="8974" width="10.7109375" style="184" customWidth="1"/>
    <col min="8975" max="8976" width="8.42578125" style="184" bestFit="1" customWidth="1"/>
    <col min="8977" max="8977" width="10.7109375" style="184" customWidth="1"/>
    <col min="8978" max="8979" width="8.42578125" style="184" bestFit="1" customWidth="1"/>
    <col min="8980" max="8980" width="10.7109375" style="184" customWidth="1"/>
    <col min="8981" max="8982" width="8.42578125" style="184" bestFit="1" customWidth="1"/>
    <col min="8983" max="8983" width="10.7109375" style="184" customWidth="1"/>
    <col min="8984" max="8984" width="8.42578125" style="184" bestFit="1" customWidth="1"/>
    <col min="8985" max="8985" width="5.42578125" style="184" bestFit="1" customWidth="1"/>
    <col min="8986" max="8986" width="10.7109375" style="184" customWidth="1"/>
    <col min="8987" max="9215" width="11.42578125" style="184"/>
    <col min="9216" max="9216" width="0.28515625" style="184" customWidth="1"/>
    <col min="9217" max="9217" width="15.85546875" style="184" customWidth="1"/>
    <col min="9218" max="9218" width="9.140625" style="184" bestFit="1" customWidth="1"/>
    <col min="9219" max="9220" width="8.42578125" style="184" bestFit="1" customWidth="1"/>
    <col min="9221" max="9221" width="10.7109375" style="184" customWidth="1"/>
    <col min="9222" max="9223" width="8.42578125" style="184" bestFit="1" customWidth="1"/>
    <col min="9224" max="9224" width="10.7109375" style="184" customWidth="1"/>
    <col min="9225" max="9226" width="8.42578125" style="184" bestFit="1" customWidth="1"/>
    <col min="9227" max="9227" width="10.7109375" style="184" customWidth="1"/>
    <col min="9228" max="9229" width="8.42578125" style="184" bestFit="1" customWidth="1"/>
    <col min="9230" max="9230" width="10.7109375" style="184" customWidth="1"/>
    <col min="9231" max="9232" width="8.42578125" style="184" bestFit="1" customWidth="1"/>
    <col min="9233" max="9233" width="10.7109375" style="184" customWidth="1"/>
    <col min="9234" max="9235" width="8.42578125" style="184" bestFit="1" customWidth="1"/>
    <col min="9236" max="9236" width="10.7109375" style="184" customWidth="1"/>
    <col min="9237" max="9238" width="8.42578125" style="184" bestFit="1" customWidth="1"/>
    <col min="9239" max="9239" width="10.7109375" style="184" customWidth="1"/>
    <col min="9240" max="9240" width="8.42578125" style="184" bestFit="1" customWidth="1"/>
    <col min="9241" max="9241" width="5.42578125" style="184" bestFit="1" customWidth="1"/>
    <col min="9242" max="9242" width="10.7109375" style="184" customWidth="1"/>
    <col min="9243" max="9471" width="11.42578125" style="184"/>
    <col min="9472" max="9472" width="0.28515625" style="184" customWidth="1"/>
    <col min="9473" max="9473" width="15.85546875" style="184" customWidth="1"/>
    <col min="9474" max="9474" width="9.140625" style="184" bestFit="1" customWidth="1"/>
    <col min="9475" max="9476" width="8.42578125" style="184" bestFit="1" customWidth="1"/>
    <col min="9477" max="9477" width="10.7109375" style="184" customWidth="1"/>
    <col min="9478" max="9479" width="8.42578125" style="184" bestFit="1" customWidth="1"/>
    <col min="9480" max="9480" width="10.7109375" style="184" customWidth="1"/>
    <col min="9481" max="9482" width="8.42578125" style="184" bestFit="1" customWidth="1"/>
    <col min="9483" max="9483" width="10.7109375" style="184" customWidth="1"/>
    <col min="9484" max="9485" width="8.42578125" style="184" bestFit="1" customWidth="1"/>
    <col min="9486" max="9486" width="10.7109375" style="184" customWidth="1"/>
    <col min="9487" max="9488" width="8.42578125" style="184" bestFit="1" customWidth="1"/>
    <col min="9489" max="9489" width="10.7109375" style="184" customWidth="1"/>
    <col min="9490" max="9491" width="8.42578125" style="184" bestFit="1" customWidth="1"/>
    <col min="9492" max="9492" width="10.7109375" style="184" customWidth="1"/>
    <col min="9493" max="9494" width="8.42578125" style="184" bestFit="1" customWidth="1"/>
    <col min="9495" max="9495" width="10.7109375" style="184" customWidth="1"/>
    <col min="9496" max="9496" width="8.42578125" style="184" bestFit="1" customWidth="1"/>
    <col min="9497" max="9497" width="5.42578125" style="184" bestFit="1" customWidth="1"/>
    <col min="9498" max="9498" width="10.7109375" style="184" customWidth="1"/>
    <col min="9499" max="9727" width="11.42578125" style="184"/>
    <col min="9728" max="9728" width="0.28515625" style="184" customWidth="1"/>
    <col min="9729" max="9729" width="15.85546875" style="184" customWidth="1"/>
    <col min="9730" max="9730" width="9.140625" style="184" bestFit="1" customWidth="1"/>
    <col min="9731" max="9732" width="8.42578125" style="184" bestFit="1" customWidth="1"/>
    <col min="9733" max="9733" width="10.7109375" style="184" customWidth="1"/>
    <col min="9734" max="9735" width="8.42578125" style="184" bestFit="1" customWidth="1"/>
    <col min="9736" max="9736" width="10.7109375" style="184" customWidth="1"/>
    <col min="9737" max="9738" width="8.42578125" style="184" bestFit="1" customWidth="1"/>
    <col min="9739" max="9739" width="10.7109375" style="184" customWidth="1"/>
    <col min="9740" max="9741" width="8.42578125" style="184" bestFit="1" customWidth="1"/>
    <col min="9742" max="9742" width="10.7109375" style="184" customWidth="1"/>
    <col min="9743" max="9744" width="8.42578125" style="184" bestFit="1" customWidth="1"/>
    <col min="9745" max="9745" width="10.7109375" style="184" customWidth="1"/>
    <col min="9746" max="9747" width="8.42578125" style="184" bestFit="1" customWidth="1"/>
    <col min="9748" max="9748" width="10.7109375" style="184" customWidth="1"/>
    <col min="9749" max="9750" width="8.42578125" style="184" bestFit="1" customWidth="1"/>
    <col min="9751" max="9751" width="10.7109375" style="184" customWidth="1"/>
    <col min="9752" max="9752" width="8.42578125" style="184" bestFit="1" customWidth="1"/>
    <col min="9753" max="9753" width="5.42578125" style="184" bestFit="1" customWidth="1"/>
    <col min="9754" max="9754" width="10.7109375" style="184" customWidth="1"/>
    <col min="9755" max="9983" width="11.42578125" style="184"/>
    <col min="9984" max="9984" width="0.28515625" style="184" customWidth="1"/>
    <col min="9985" max="9985" width="15.85546875" style="184" customWidth="1"/>
    <col min="9986" max="9986" width="9.140625" style="184" bestFit="1" customWidth="1"/>
    <col min="9987" max="9988" width="8.42578125" style="184" bestFit="1" customWidth="1"/>
    <col min="9989" max="9989" width="10.7109375" style="184" customWidth="1"/>
    <col min="9990" max="9991" width="8.42578125" style="184" bestFit="1" customWidth="1"/>
    <col min="9992" max="9992" width="10.7109375" style="184" customWidth="1"/>
    <col min="9993" max="9994" width="8.42578125" style="184" bestFit="1" customWidth="1"/>
    <col min="9995" max="9995" width="10.7109375" style="184" customWidth="1"/>
    <col min="9996" max="9997" width="8.42578125" style="184" bestFit="1" customWidth="1"/>
    <col min="9998" max="9998" width="10.7109375" style="184" customWidth="1"/>
    <col min="9999" max="10000" width="8.42578125" style="184" bestFit="1" customWidth="1"/>
    <col min="10001" max="10001" width="10.7109375" style="184" customWidth="1"/>
    <col min="10002" max="10003" width="8.42578125" style="184" bestFit="1" customWidth="1"/>
    <col min="10004" max="10004" width="10.7109375" style="184" customWidth="1"/>
    <col min="10005" max="10006" width="8.42578125" style="184" bestFit="1" customWidth="1"/>
    <col min="10007" max="10007" width="10.7109375" style="184" customWidth="1"/>
    <col min="10008" max="10008" width="8.42578125" style="184" bestFit="1" customWidth="1"/>
    <col min="10009" max="10009" width="5.42578125" style="184" bestFit="1" customWidth="1"/>
    <col min="10010" max="10010" width="10.7109375" style="184" customWidth="1"/>
    <col min="10011" max="10239" width="11.42578125" style="184"/>
    <col min="10240" max="10240" width="0.28515625" style="184" customWidth="1"/>
    <col min="10241" max="10241" width="15.85546875" style="184" customWidth="1"/>
    <col min="10242" max="10242" width="9.140625" style="184" bestFit="1" customWidth="1"/>
    <col min="10243" max="10244" width="8.42578125" style="184" bestFit="1" customWidth="1"/>
    <col min="10245" max="10245" width="10.7109375" style="184" customWidth="1"/>
    <col min="10246" max="10247" width="8.42578125" style="184" bestFit="1" customWidth="1"/>
    <col min="10248" max="10248" width="10.7109375" style="184" customWidth="1"/>
    <col min="10249" max="10250" width="8.42578125" style="184" bestFit="1" customWidth="1"/>
    <col min="10251" max="10251" width="10.7109375" style="184" customWidth="1"/>
    <col min="10252" max="10253" width="8.42578125" style="184" bestFit="1" customWidth="1"/>
    <col min="10254" max="10254" width="10.7109375" style="184" customWidth="1"/>
    <col min="10255" max="10256" width="8.42578125" style="184" bestFit="1" customWidth="1"/>
    <col min="10257" max="10257" width="10.7109375" style="184" customWidth="1"/>
    <col min="10258" max="10259" width="8.42578125" style="184" bestFit="1" customWidth="1"/>
    <col min="10260" max="10260" width="10.7109375" style="184" customWidth="1"/>
    <col min="10261" max="10262" width="8.42578125" style="184" bestFit="1" customWidth="1"/>
    <col min="10263" max="10263" width="10.7109375" style="184" customWidth="1"/>
    <col min="10264" max="10264" width="8.42578125" style="184" bestFit="1" customWidth="1"/>
    <col min="10265" max="10265" width="5.42578125" style="184" bestFit="1" customWidth="1"/>
    <col min="10266" max="10266" width="10.7109375" style="184" customWidth="1"/>
    <col min="10267" max="10495" width="11.42578125" style="184"/>
    <col min="10496" max="10496" width="0.28515625" style="184" customWidth="1"/>
    <col min="10497" max="10497" width="15.85546875" style="184" customWidth="1"/>
    <col min="10498" max="10498" width="9.140625" style="184" bestFit="1" customWidth="1"/>
    <col min="10499" max="10500" width="8.42578125" style="184" bestFit="1" customWidth="1"/>
    <col min="10501" max="10501" width="10.7109375" style="184" customWidth="1"/>
    <col min="10502" max="10503" width="8.42578125" style="184" bestFit="1" customWidth="1"/>
    <col min="10504" max="10504" width="10.7109375" style="184" customWidth="1"/>
    <col min="10505" max="10506" width="8.42578125" style="184" bestFit="1" customWidth="1"/>
    <col min="10507" max="10507" width="10.7109375" style="184" customWidth="1"/>
    <col min="10508" max="10509" width="8.42578125" style="184" bestFit="1" customWidth="1"/>
    <col min="10510" max="10510" width="10.7109375" style="184" customWidth="1"/>
    <col min="10511" max="10512" width="8.42578125" style="184" bestFit="1" customWidth="1"/>
    <col min="10513" max="10513" width="10.7109375" style="184" customWidth="1"/>
    <col min="10514" max="10515" width="8.42578125" style="184" bestFit="1" customWidth="1"/>
    <col min="10516" max="10516" width="10.7109375" style="184" customWidth="1"/>
    <col min="10517" max="10518" width="8.42578125" style="184" bestFit="1" customWidth="1"/>
    <col min="10519" max="10519" width="10.7109375" style="184" customWidth="1"/>
    <col min="10520" max="10520" width="8.42578125" style="184" bestFit="1" customWidth="1"/>
    <col min="10521" max="10521" width="5.42578125" style="184" bestFit="1" customWidth="1"/>
    <col min="10522" max="10522" width="10.7109375" style="184" customWidth="1"/>
    <col min="10523" max="10751" width="11.42578125" style="184"/>
    <col min="10752" max="10752" width="0.28515625" style="184" customWidth="1"/>
    <col min="10753" max="10753" width="15.85546875" style="184" customWidth="1"/>
    <col min="10754" max="10754" width="9.140625" style="184" bestFit="1" customWidth="1"/>
    <col min="10755" max="10756" width="8.42578125" style="184" bestFit="1" customWidth="1"/>
    <col min="10757" max="10757" width="10.7109375" style="184" customWidth="1"/>
    <col min="10758" max="10759" width="8.42578125" style="184" bestFit="1" customWidth="1"/>
    <col min="10760" max="10760" width="10.7109375" style="184" customWidth="1"/>
    <col min="10761" max="10762" width="8.42578125" style="184" bestFit="1" customWidth="1"/>
    <col min="10763" max="10763" width="10.7109375" style="184" customWidth="1"/>
    <col min="10764" max="10765" width="8.42578125" style="184" bestFit="1" customWidth="1"/>
    <col min="10766" max="10766" width="10.7109375" style="184" customWidth="1"/>
    <col min="10767" max="10768" width="8.42578125" style="184" bestFit="1" customWidth="1"/>
    <col min="10769" max="10769" width="10.7109375" style="184" customWidth="1"/>
    <col min="10770" max="10771" width="8.42578125" style="184" bestFit="1" customWidth="1"/>
    <col min="10772" max="10772" width="10.7109375" style="184" customWidth="1"/>
    <col min="10773" max="10774" width="8.42578125" style="184" bestFit="1" customWidth="1"/>
    <col min="10775" max="10775" width="10.7109375" style="184" customWidth="1"/>
    <col min="10776" max="10776" width="8.42578125" style="184" bestFit="1" customWidth="1"/>
    <col min="10777" max="10777" width="5.42578125" style="184" bestFit="1" customWidth="1"/>
    <col min="10778" max="10778" width="10.7109375" style="184" customWidth="1"/>
    <col min="10779" max="11007" width="11.42578125" style="184"/>
    <col min="11008" max="11008" width="0.28515625" style="184" customWidth="1"/>
    <col min="11009" max="11009" width="15.85546875" style="184" customWidth="1"/>
    <col min="11010" max="11010" width="9.140625" style="184" bestFit="1" customWidth="1"/>
    <col min="11011" max="11012" width="8.42578125" style="184" bestFit="1" customWidth="1"/>
    <col min="11013" max="11013" width="10.7109375" style="184" customWidth="1"/>
    <col min="11014" max="11015" width="8.42578125" style="184" bestFit="1" customWidth="1"/>
    <col min="11016" max="11016" width="10.7109375" style="184" customWidth="1"/>
    <col min="11017" max="11018" width="8.42578125" style="184" bestFit="1" customWidth="1"/>
    <col min="11019" max="11019" width="10.7109375" style="184" customWidth="1"/>
    <col min="11020" max="11021" width="8.42578125" style="184" bestFit="1" customWidth="1"/>
    <col min="11022" max="11022" width="10.7109375" style="184" customWidth="1"/>
    <col min="11023" max="11024" width="8.42578125" style="184" bestFit="1" customWidth="1"/>
    <col min="11025" max="11025" width="10.7109375" style="184" customWidth="1"/>
    <col min="11026" max="11027" width="8.42578125" style="184" bestFit="1" customWidth="1"/>
    <col min="11028" max="11028" width="10.7109375" style="184" customWidth="1"/>
    <col min="11029" max="11030" width="8.42578125" style="184" bestFit="1" customWidth="1"/>
    <col min="11031" max="11031" width="10.7109375" style="184" customWidth="1"/>
    <col min="11032" max="11032" width="8.42578125" style="184" bestFit="1" customWidth="1"/>
    <col min="11033" max="11033" width="5.42578125" style="184" bestFit="1" customWidth="1"/>
    <col min="11034" max="11034" width="10.7109375" style="184" customWidth="1"/>
    <col min="11035" max="11263" width="11.42578125" style="184"/>
    <col min="11264" max="11264" width="0.28515625" style="184" customWidth="1"/>
    <col min="11265" max="11265" width="15.85546875" style="184" customWidth="1"/>
    <col min="11266" max="11266" width="9.140625" style="184" bestFit="1" customWidth="1"/>
    <col min="11267" max="11268" width="8.42578125" style="184" bestFit="1" customWidth="1"/>
    <col min="11269" max="11269" width="10.7109375" style="184" customWidth="1"/>
    <col min="11270" max="11271" width="8.42578125" style="184" bestFit="1" customWidth="1"/>
    <col min="11272" max="11272" width="10.7109375" style="184" customWidth="1"/>
    <col min="11273" max="11274" width="8.42578125" style="184" bestFit="1" customWidth="1"/>
    <col min="11275" max="11275" width="10.7109375" style="184" customWidth="1"/>
    <col min="11276" max="11277" width="8.42578125" style="184" bestFit="1" customWidth="1"/>
    <col min="11278" max="11278" width="10.7109375" style="184" customWidth="1"/>
    <col min="11279" max="11280" width="8.42578125" style="184" bestFit="1" customWidth="1"/>
    <col min="11281" max="11281" width="10.7109375" style="184" customWidth="1"/>
    <col min="11282" max="11283" width="8.42578125" style="184" bestFit="1" customWidth="1"/>
    <col min="11284" max="11284" width="10.7109375" style="184" customWidth="1"/>
    <col min="11285" max="11286" width="8.42578125" style="184" bestFit="1" customWidth="1"/>
    <col min="11287" max="11287" width="10.7109375" style="184" customWidth="1"/>
    <col min="11288" max="11288" width="8.42578125" style="184" bestFit="1" customWidth="1"/>
    <col min="11289" max="11289" width="5.42578125" style="184" bestFit="1" customWidth="1"/>
    <col min="11290" max="11290" width="10.7109375" style="184" customWidth="1"/>
    <col min="11291" max="11519" width="11.42578125" style="184"/>
    <col min="11520" max="11520" width="0.28515625" style="184" customWidth="1"/>
    <col min="11521" max="11521" width="15.85546875" style="184" customWidth="1"/>
    <col min="11522" max="11522" width="9.140625" style="184" bestFit="1" customWidth="1"/>
    <col min="11523" max="11524" width="8.42578125" style="184" bestFit="1" customWidth="1"/>
    <col min="11525" max="11525" width="10.7109375" style="184" customWidth="1"/>
    <col min="11526" max="11527" width="8.42578125" style="184" bestFit="1" customWidth="1"/>
    <col min="11528" max="11528" width="10.7109375" style="184" customWidth="1"/>
    <col min="11529" max="11530" width="8.42578125" style="184" bestFit="1" customWidth="1"/>
    <col min="11531" max="11531" width="10.7109375" style="184" customWidth="1"/>
    <col min="11532" max="11533" width="8.42578125" style="184" bestFit="1" customWidth="1"/>
    <col min="11534" max="11534" width="10.7109375" style="184" customWidth="1"/>
    <col min="11535" max="11536" width="8.42578125" style="184" bestFit="1" customWidth="1"/>
    <col min="11537" max="11537" width="10.7109375" style="184" customWidth="1"/>
    <col min="11538" max="11539" width="8.42578125" style="184" bestFit="1" customWidth="1"/>
    <col min="11540" max="11540" width="10.7109375" style="184" customWidth="1"/>
    <col min="11541" max="11542" width="8.42578125" style="184" bestFit="1" customWidth="1"/>
    <col min="11543" max="11543" width="10.7109375" style="184" customWidth="1"/>
    <col min="11544" max="11544" width="8.42578125" style="184" bestFit="1" customWidth="1"/>
    <col min="11545" max="11545" width="5.42578125" style="184" bestFit="1" customWidth="1"/>
    <col min="11546" max="11546" width="10.7109375" style="184" customWidth="1"/>
    <col min="11547" max="11775" width="11.42578125" style="184"/>
    <col min="11776" max="11776" width="0.28515625" style="184" customWidth="1"/>
    <col min="11777" max="11777" width="15.85546875" style="184" customWidth="1"/>
    <col min="11778" max="11778" width="9.140625" style="184" bestFit="1" customWidth="1"/>
    <col min="11779" max="11780" width="8.42578125" style="184" bestFit="1" customWidth="1"/>
    <col min="11781" max="11781" width="10.7109375" style="184" customWidth="1"/>
    <col min="11782" max="11783" width="8.42578125" style="184" bestFit="1" customWidth="1"/>
    <col min="11784" max="11784" width="10.7109375" style="184" customWidth="1"/>
    <col min="11785" max="11786" width="8.42578125" style="184" bestFit="1" customWidth="1"/>
    <col min="11787" max="11787" width="10.7109375" style="184" customWidth="1"/>
    <col min="11788" max="11789" width="8.42578125" style="184" bestFit="1" customWidth="1"/>
    <col min="11790" max="11790" width="10.7109375" style="184" customWidth="1"/>
    <col min="11791" max="11792" width="8.42578125" style="184" bestFit="1" customWidth="1"/>
    <col min="11793" max="11793" width="10.7109375" style="184" customWidth="1"/>
    <col min="11794" max="11795" width="8.42578125" style="184" bestFit="1" customWidth="1"/>
    <col min="11796" max="11796" width="10.7109375" style="184" customWidth="1"/>
    <col min="11797" max="11798" width="8.42578125" style="184" bestFit="1" customWidth="1"/>
    <col min="11799" max="11799" width="10.7109375" style="184" customWidth="1"/>
    <col min="11800" max="11800" width="8.42578125" style="184" bestFit="1" customWidth="1"/>
    <col min="11801" max="11801" width="5.42578125" style="184" bestFit="1" customWidth="1"/>
    <col min="11802" max="11802" width="10.7109375" style="184" customWidth="1"/>
    <col min="11803" max="12031" width="11.42578125" style="184"/>
    <col min="12032" max="12032" width="0.28515625" style="184" customWidth="1"/>
    <col min="12033" max="12033" width="15.85546875" style="184" customWidth="1"/>
    <col min="12034" max="12034" width="9.140625" style="184" bestFit="1" customWidth="1"/>
    <col min="12035" max="12036" width="8.42578125" style="184" bestFit="1" customWidth="1"/>
    <col min="12037" max="12037" width="10.7109375" style="184" customWidth="1"/>
    <col min="12038" max="12039" width="8.42578125" style="184" bestFit="1" customWidth="1"/>
    <col min="12040" max="12040" width="10.7109375" style="184" customWidth="1"/>
    <col min="12041" max="12042" width="8.42578125" style="184" bestFit="1" customWidth="1"/>
    <col min="12043" max="12043" width="10.7109375" style="184" customWidth="1"/>
    <col min="12044" max="12045" width="8.42578125" style="184" bestFit="1" customWidth="1"/>
    <col min="12046" max="12046" width="10.7109375" style="184" customWidth="1"/>
    <col min="12047" max="12048" width="8.42578125" style="184" bestFit="1" customWidth="1"/>
    <col min="12049" max="12049" width="10.7109375" style="184" customWidth="1"/>
    <col min="12050" max="12051" width="8.42578125" style="184" bestFit="1" customWidth="1"/>
    <col min="12052" max="12052" width="10.7109375" style="184" customWidth="1"/>
    <col min="12053" max="12054" width="8.42578125" style="184" bestFit="1" customWidth="1"/>
    <col min="12055" max="12055" width="10.7109375" style="184" customWidth="1"/>
    <col min="12056" max="12056" width="8.42578125" style="184" bestFit="1" customWidth="1"/>
    <col min="12057" max="12057" width="5.42578125" style="184" bestFit="1" customWidth="1"/>
    <col min="12058" max="12058" width="10.7109375" style="184" customWidth="1"/>
    <col min="12059" max="12287" width="11.42578125" style="184"/>
    <col min="12288" max="12288" width="0.28515625" style="184" customWidth="1"/>
    <col min="12289" max="12289" width="15.85546875" style="184" customWidth="1"/>
    <col min="12290" max="12290" width="9.140625" style="184" bestFit="1" customWidth="1"/>
    <col min="12291" max="12292" width="8.42578125" style="184" bestFit="1" customWidth="1"/>
    <col min="12293" max="12293" width="10.7109375" style="184" customWidth="1"/>
    <col min="12294" max="12295" width="8.42578125" style="184" bestFit="1" customWidth="1"/>
    <col min="12296" max="12296" width="10.7109375" style="184" customWidth="1"/>
    <col min="12297" max="12298" width="8.42578125" style="184" bestFit="1" customWidth="1"/>
    <col min="12299" max="12299" width="10.7109375" style="184" customWidth="1"/>
    <col min="12300" max="12301" width="8.42578125" style="184" bestFit="1" customWidth="1"/>
    <col min="12302" max="12302" width="10.7109375" style="184" customWidth="1"/>
    <col min="12303" max="12304" width="8.42578125" style="184" bestFit="1" customWidth="1"/>
    <col min="12305" max="12305" width="10.7109375" style="184" customWidth="1"/>
    <col min="12306" max="12307" width="8.42578125" style="184" bestFit="1" customWidth="1"/>
    <col min="12308" max="12308" width="10.7109375" style="184" customWidth="1"/>
    <col min="12309" max="12310" width="8.42578125" style="184" bestFit="1" customWidth="1"/>
    <col min="12311" max="12311" width="10.7109375" style="184" customWidth="1"/>
    <col min="12312" max="12312" width="8.42578125" style="184" bestFit="1" customWidth="1"/>
    <col min="12313" max="12313" width="5.42578125" style="184" bestFit="1" customWidth="1"/>
    <col min="12314" max="12314" width="10.7109375" style="184" customWidth="1"/>
    <col min="12315" max="12543" width="11.42578125" style="184"/>
    <col min="12544" max="12544" width="0.28515625" style="184" customWidth="1"/>
    <col min="12545" max="12545" width="15.85546875" style="184" customWidth="1"/>
    <col min="12546" max="12546" width="9.140625" style="184" bestFit="1" customWidth="1"/>
    <col min="12547" max="12548" width="8.42578125" style="184" bestFit="1" customWidth="1"/>
    <col min="12549" max="12549" width="10.7109375" style="184" customWidth="1"/>
    <col min="12550" max="12551" width="8.42578125" style="184" bestFit="1" customWidth="1"/>
    <col min="12552" max="12552" width="10.7109375" style="184" customWidth="1"/>
    <col min="12553" max="12554" width="8.42578125" style="184" bestFit="1" customWidth="1"/>
    <col min="12555" max="12555" width="10.7109375" style="184" customWidth="1"/>
    <col min="12556" max="12557" width="8.42578125" style="184" bestFit="1" customWidth="1"/>
    <col min="12558" max="12558" width="10.7109375" style="184" customWidth="1"/>
    <col min="12559" max="12560" width="8.42578125" style="184" bestFit="1" customWidth="1"/>
    <col min="12561" max="12561" width="10.7109375" style="184" customWidth="1"/>
    <col min="12562" max="12563" width="8.42578125" style="184" bestFit="1" customWidth="1"/>
    <col min="12564" max="12564" width="10.7109375" style="184" customWidth="1"/>
    <col min="12565" max="12566" width="8.42578125" style="184" bestFit="1" customWidth="1"/>
    <col min="12567" max="12567" width="10.7109375" style="184" customWidth="1"/>
    <col min="12568" max="12568" width="8.42578125" style="184" bestFit="1" customWidth="1"/>
    <col min="12569" max="12569" width="5.42578125" style="184" bestFit="1" customWidth="1"/>
    <col min="12570" max="12570" width="10.7109375" style="184" customWidth="1"/>
    <col min="12571" max="12799" width="11.42578125" style="184"/>
    <col min="12800" max="12800" width="0.28515625" style="184" customWidth="1"/>
    <col min="12801" max="12801" width="15.85546875" style="184" customWidth="1"/>
    <col min="12802" max="12802" width="9.140625" style="184" bestFit="1" customWidth="1"/>
    <col min="12803" max="12804" width="8.42578125" style="184" bestFit="1" customWidth="1"/>
    <col min="12805" max="12805" width="10.7109375" style="184" customWidth="1"/>
    <col min="12806" max="12807" width="8.42578125" style="184" bestFit="1" customWidth="1"/>
    <col min="12808" max="12808" width="10.7109375" style="184" customWidth="1"/>
    <col min="12809" max="12810" width="8.42578125" style="184" bestFit="1" customWidth="1"/>
    <col min="12811" max="12811" width="10.7109375" style="184" customWidth="1"/>
    <col min="12812" max="12813" width="8.42578125" style="184" bestFit="1" customWidth="1"/>
    <col min="12814" max="12814" width="10.7109375" style="184" customWidth="1"/>
    <col min="12815" max="12816" width="8.42578125" style="184" bestFit="1" customWidth="1"/>
    <col min="12817" max="12817" width="10.7109375" style="184" customWidth="1"/>
    <col min="12818" max="12819" width="8.42578125" style="184" bestFit="1" customWidth="1"/>
    <col min="12820" max="12820" width="10.7109375" style="184" customWidth="1"/>
    <col min="12821" max="12822" width="8.42578125" style="184" bestFit="1" customWidth="1"/>
    <col min="12823" max="12823" width="10.7109375" style="184" customWidth="1"/>
    <col min="12824" max="12824" width="8.42578125" style="184" bestFit="1" customWidth="1"/>
    <col min="12825" max="12825" width="5.42578125" style="184" bestFit="1" customWidth="1"/>
    <col min="12826" max="12826" width="10.7109375" style="184" customWidth="1"/>
    <col min="12827" max="13055" width="11.42578125" style="184"/>
    <col min="13056" max="13056" width="0.28515625" style="184" customWidth="1"/>
    <col min="13057" max="13057" width="15.85546875" style="184" customWidth="1"/>
    <col min="13058" max="13058" width="9.140625" style="184" bestFit="1" customWidth="1"/>
    <col min="13059" max="13060" width="8.42578125" style="184" bestFit="1" customWidth="1"/>
    <col min="13061" max="13061" width="10.7109375" style="184" customWidth="1"/>
    <col min="13062" max="13063" width="8.42578125" style="184" bestFit="1" customWidth="1"/>
    <col min="13064" max="13064" width="10.7109375" style="184" customWidth="1"/>
    <col min="13065" max="13066" width="8.42578125" style="184" bestFit="1" customWidth="1"/>
    <col min="13067" max="13067" width="10.7109375" style="184" customWidth="1"/>
    <col min="13068" max="13069" width="8.42578125" style="184" bestFit="1" customWidth="1"/>
    <col min="13070" max="13070" width="10.7109375" style="184" customWidth="1"/>
    <col min="13071" max="13072" width="8.42578125" style="184" bestFit="1" customWidth="1"/>
    <col min="13073" max="13073" width="10.7109375" style="184" customWidth="1"/>
    <col min="13074" max="13075" width="8.42578125" style="184" bestFit="1" customWidth="1"/>
    <col min="13076" max="13076" width="10.7109375" style="184" customWidth="1"/>
    <col min="13077" max="13078" width="8.42578125" style="184" bestFit="1" customWidth="1"/>
    <col min="13079" max="13079" width="10.7109375" style="184" customWidth="1"/>
    <col min="13080" max="13080" width="8.42578125" style="184" bestFit="1" customWidth="1"/>
    <col min="13081" max="13081" width="5.42578125" style="184" bestFit="1" customWidth="1"/>
    <col min="13082" max="13082" width="10.7109375" style="184" customWidth="1"/>
    <col min="13083" max="13311" width="11.42578125" style="184"/>
    <col min="13312" max="13312" width="0.28515625" style="184" customWidth="1"/>
    <col min="13313" max="13313" width="15.85546875" style="184" customWidth="1"/>
    <col min="13314" max="13314" width="9.140625" style="184" bestFit="1" customWidth="1"/>
    <col min="13315" max="13316" width="8.42578125" style="184" bestFit="1" customWidth="1"/>
    <col min="13317" max="13317" width="10.7109375" style="184" customWidth="1"/>
    <col min="13318" max="13319" width="8.42578125" style="184" bestFit="1" customWidth="1"/>
    <col min="13320" max="13320" width="10.7109375" style="184" customWidth="1"/>
    <col min="13321" max="13322" width="8.42578125" style="184" bestFit="1" customWidth="1"/>
    <col min="13323" max="13323" width="10.7109375" style="184" customWidth="1"/>
    <col min="13324" max="13325" width="8.42578125" style="184" bestFit="1" customWidth="1"/>
    <col min="13326" max="13326" width="10.7109375" style="184" customWidth="1"/>
    <col min="13327" max="13328" width="8.42578125" style="184" bestFit="1" customWidth="1"/>
    <col min="13329" max="13329" width="10.7109375" style="184" customWidth="1"/>
    <col min="13330" max="13331" width="8.42578125" style="184" bestFit="1" customWidth="1"/>
    <col min="13332" max="13332" width="10.7109375" style="184" customWidth="1"/>
    <col min="13333" max="13334" width="8.42578125" style="184" bestFit="1" customWidth="1"/>
    <col min="13335" max="13335" width="10.7109375" style="184" customWidth="1"/>
    <col min="13336" max="13336" width="8.42578125" style="184" bestFit="1" customWidth="1"/>
    <col min="13337" max="13337" width="5.42578125" style="184" bestFit="1" customWidth="1"/>
    <col min="13338" max="13338" width="10.7109375" style="184" customWidth="1"/>
    <col min="13339" max="13567" width="11.42578125" style="184"/>
    <col min="13568" max="13568" width="0.28515625" style="184" customWidth="1"/>
    <col min="13569" max="13569" width="15.85546875" style="184" customWidth="1"/>
    <col min="13570" max="13570" width="9.140625" style="184" bestFit="1" customWidth="1"/>
    <col min="13571" max="13572" width="8.42578125" style="184" bestFit="1" customWidth="1"/>
    <col min="13573" max="13573" width="10.7109375" style="184" customWidth="1"/>
    <col min="13574" max="13575" width="8.42578125" style="184" bestFit="1" customWidth="1"/>
    <col min="13576" max="13576" width="10.7109375" style="184" customWidth="1"/>
    <col min="13577" max="13578" width="8.42578125" style="184" bestFit="1" customWidth="1"/>
    <col min="13579" max="13579" width="10.7109375" style="184" customWidth="1"/>
    <col min="13580" max="13581" width="8.42578125" style="184" bestFit="1" customWidth="1"/>
    <col min="13582" max="13582" width="10.7109375" style="184" customWidth="1"/>
    <col min="13583" max="13584" width="8.42578125" style="184" bestFit="1" customWidth="1"/>
    <col min="13585" max="13585" width="10.7109375" style="184" customWidth="1"/>
    <col min="13586" max="13587" width="8.42578125" style="184" bestFit="1" customWidth="1"/>
    <col min="13588" max="13588" width="10.7109375" style="184" customWidth="1"/>
    <col min="13589" max="13590" width="8.42578125" style="184" bestFit="1" customWidth="1"/>
    <col min="13591" max="13591" width="10.7109375" style="184" customWidth="1"/>
    <col min="13592" max="13592" width="8.42578125" style="184" bestFit="1" customWidth="1"/>
    <col min="13593" max="13593" width="5.42578125" style="184" bestFit="1" customWidth="1"/>
    <col min="13594" max="13594" width="10.7109375" style="184" customWidth="1"/>
    <col min="13595" max="13823" width="11.42578125" style="184"/>
    <col min="13824" max="13824" width="0.28515625" style="184" customWidth="1"/>
    <col min="13825" max="13825" width="15.85546875" style="184" customWidth="1"/>
    <col min="13826" max="13826" width="9.140625" style="184" bestFit="1" customWidth="1"/>
    <col min="13827" max="13828" width="8.42578125" style="184" bestFit="1" customWidth="1"/>
    <col min="13829" max="13829" width="10.7109375" style="184" customWidth="1"/>
    <col min="13830" max="13831" width="8.42578125" style="184" bestFit="1" customWidth="1"/>
    <col min="13832" max="13832" width="10.7109375" style="184" customWidth="1"/>
    <col min="13833" max="13834" width="8.42578125" style="184" bestFit="1" customWidth="1"/>
    <col min="13835" max="13835" width="10.7109375" style="184" customWidth="1"/>
    <col min="13836" max="13837" width="8.42578125" style="184" bestFit="1" customWidth="1"/>
    <col min="13838" max="13838" width="10.7109375" style="184" customWidth="1"/>
    <col min="13839" max="13840" width="8.42578125" style="184" bestFit="1" customWidth="1"/>
    <col min="13841" max="13841" width="10.7109375" style="184" customWidth="1"/>
    <col min="13842" max="13843" width="8.42578125" style="184" bestFit="1" customWidth="1"/>
    <col min="13844" max="13844" width="10.7109375" style="184" customWidth="1"/>
    <col min="13845" max="13846" width="8.42578125" style="184" bestFit="1" customWidth="1"/>
    <col min="13847" max="13847" width="10.7109375" style="184" customWidth="1"/>
    <col min="13848" max="13848" width="8.42578125" style="184" bestFit="1" customWidth="1"/>
    <col min="13849" max="13849" width="5.42578125" style="184" bestFit="1" customWidth="1"/>
    <col min="13850" max="13850" width="10.7109375" style="184" customWidth="1"/>
    <col min="13851" max="14079" width="11.42578125" style="184"/>
    <col min="14080" max="14080" width="0.28515625" style="184" customWidth="1"/>
    <col min="14081" max="14081" width="15.85546875" style="184" customWidth="1"/>
    <col min="14082" max="14082" width="9.140625" style="184" bestFit="1" customWidth="1"/>
    <col min="14083" max="14084" width="8.42578125" style="184" bestFit="1" customWidth="1"/>
    <col min="14085" max="14085" width="10.7109375" style="184" customWidth="1"/>
    <col min="14086" max="14087" width="8.42578125" style="184" bestFit="1" customWidth="1"/>
    <col min="14088" max="14088" width="10.7109375" style="184" customWidth="1"/>
    <col min="14089" max="14090" width="8.42578125" style="184" bestFit="1" customWidth="1"/>
    <col min="14091" max="14091" width="10.7109375" style="184" customWidth="1"/>
    <col min="14092" max="14093" width="8.42578125" style="184" bestFit="1" customWidth="1"/>
    <col min="14094" max="14094" width="10.7109375" style="184" customWidth="1"/>
    <col min="14095" max="14096" width="8.42578125" style="184" bestFit="1" customWidth="1"/>
    <col min="14097" max="14097" width="10.7109375" style="184" customWidth="1"/>
    <col min="14098" max="14099" width="8.42578125" style="184" bestFit="1" customWidth="1"/>
    <col min="14100" max="14100" width="10.7109375" style="184" customWidth="1"/>
    <col min="14101" max="14102" width="8.42578125" style="184" bestFit="1" customWidth="1"/>
    <col min="14103" max="14103" width="10.7109375" style="184" customWidth="1"/>
    <col min="14104" max="14104" width="8.42578125" style="184" bestFit="1" customWidth="1"/>
    <col min="14105" max="14105" width="5.42578125" style="184" bestFit="1" customWidth="1"/>
    <col min="14106" max="14106" width="10.7109375" style="184" customWidth="1"/>
    <col min="14107" max="14335" width="11.42578125" style="184"/>
    <col min="14336" max="14336" width="0.28515625" style="184" customWidth="1"/>
    <col min="14337" max="14337" width="15.85546875" style="184" customWidth="1"/>
    <col min="14338" max="14338" width="9.140625" style="184" bestFit="1" customWidth="1"/>
    <col min="14339" max="14340" width="8.42578125" style="184" bestFit="1" customWidth="1"/>
    <col min="14341" max="14341" width="10.7109375" style="184" customWidth="1"/>
    <col min="14342" max="14343" width="8.42578125" style="184" bestFit="1" customWidth="1"/>
    <col min="14344" max="14344" width="10.7109375" style="184" customWidth="1"/>
    <col min="14345" max="14346" width="8.42578125" style="184" bestFit="1" customWidth="1"/>
    <col min="14347" max="14347" width="10.7109375" style="184" customWidth="1"/>
    <col min="14348" max="14349" width="8.42578125" style="184" bestFit="1" customWidth="1"/>
    <col min="14350" max="14350" width="10.7109375" style="184" customWidth="1"/>
    <col min="14351" max="14352" width="8.42578125" style="184" bestFit="1" customWidth="1"/>
    <col min="14353" max="14353" width="10.7109375" style="184" customWidth="1"/>
    <col min="14354" max="14355" width="8.42578125" style="184" bestFit="1" customWidth="1"/>
    <col min="14356" max="14356" width="10.7109375" style="184" customWidth="1"/>
    <col min="14357" max="14358" width="8.42578125" style="184" bestFit="1" customWidth="1"/>
    <col min="14359" max="14359" width="10.7109375" style="184" customWidth="1"/>
    <col min="14360" max="14360" width="8.42578125" style="184" bestFit="1" customWidth="1"/>
    <col min="14361" max="14361" width="5.42578125" style="184" bestFit="1" customWidth="1"/>
    <col min="14362" max="14362" width="10.7109375" style="184" customWidth="1"/>
    <col min="14363" max="14591" width="11.42578125" style="184"/>
    <col min="14592" max="14592" width="0.28515625" style="184" customWidth="1"/>
    <col min="14593" max="14593" width="15.85546875" style="184" customWidth="1"/>
    <col min="14594" max="14594" width="9.140625" style="184" bestFit="1" customWidth="1"/>
    <col min="14595" max="14596" width="8.42578125" style="184" bestFit="1" customWidth="1"/>
    <col min="14597" max="14597" width="10.7109375" style="184" customWidth="1"/>
    <col min="14598" max="14599" width="8.42578125" style="184" bestFit="1" customWidth="1"/>
    <col min="14600" max="14600" width="10.7109375" style="184" customWidth="1"/>
    <col min="14601" max="14602" width="8.42578125" style="184" bestFit="1" customWidth="1"/>
    <col min="14603" max="14603" width="10.7109375" style="184" customWidth="1"/>
    <col min="14604" max="14605" width="8.42578125" style="184" bestFit="1" customWidth="1"/>
    <col min="14606" max="14606" width="10.7109375" style="184" customWidth="1"/>
    <col min="14607" max="14608" width="8.42578125" style="184" bestFit="1" customWidth="1"/>
    <col min="14609" max="14609" width="10.7109375" style="184" customWidth="1"/>
    <col min="14610" max="14611" width="8.42578125" style="184" bestFit="1" customWidth="1"/>
    <col min="14612" max="14612" width="10.7109375" style="184" customWidth="1"/>
    <col min="14613" max="14614" width="8.42578125" style="184" bestFit="1" customWidth="1"/>
    <col min="14615" max="14615" width="10.7109375" style="184" customWidth="1"/>
    <col min="14616" max="14616" width="8.42578125" style="184" bestFit="1" customWidth="1"/>
    <col min="14617" max="14617" width="5.42578125" style="184" bestFit="1" customWidth="1"/>
    <col min="14618" max="14618" width="10.7109375" style="184" customWidth="1"/>
    <col min="14619" max="14847" width="11.42578125" style="184"/>
    <col min="14848" max="14848" width="0.28515625" style="184" customWidth="1"/>
    <col min="14849" max="14849" width="15.85546875" style="184" customWidth="1"/>
    <col min="14850" max="14850" width="9.140625" style="184" bestFit="1" customWidth="1"/>
    <col min="14851" max="14852" width="8.42578125" style="184" bestFit="1" customWidth="1"/>
    <col min="14853" max="14853" width="10.7109375" style="184" customWidth="1"/>
    <col min="14854" max="14855" width="8.42578125" style="184" bestFit="1" customWidth="1"/>
    <col min="14856" max="14856" width="10.7109375" style="184" customWidth="1"/>
    <col min="14857" max="14858" width="8.42578125" style="184" bestFit="1" customWidth="1"/>
    <col min="14859" max="14859" width="10.7109375" style="184" customWidth="1"/>
    <col min="14860" max="14861" width="8.42578125" style="184" bestFit="1" customWidth="1"/>
    <col min="14862" max="14862" width="10.7109375" style="184" customWidth="1"/>
    <col min="14863" max="14864" width="8.42578125" style="184" bestFit="1" customWidth="1"/>
    <col min="14865" max="14865" width="10.7109375" style="184" customWidth="1"/>
    <col min="14866" max="14867" width="8.42578125" style="184" bestFit="1" customWidth="1"/>
    <col min="14868" max="14868" width="10.7109375" style="184" customWidth="1"/>
    <col min="14869" max="14870" width="8.42578125" style="184" bestFit="1" customWidth="1"/>
    <col min="14871" max="14871" width="10.7109375" style="184" customWidth="1"/>
    <col min="14872" max="14872" width="8.42578125" style="184" bestFit="1" customWidth="1"/>
    <col min="14873" max="14873" width="5.42578125" style="184" bestFit="1" customWidth="1"/>
    <col min="14874" max="14874" width="10.7109375" style="184" customWidth="1"/>
    <col min="14875" max="15103" width="11.42578125" style="184"/>
    <col min="15104" max="15104" width="0.28515625" style="184" customWidth="1"/>
    <col min="15105" max="15105" width="15.85546875" style="184" customWidth="1"/>
    <col min="15106" max="15106" width="9.140625" style="184" bestFit="1" customWidth="1"/>
    <col min="15107" max="15108" width="8.42578125" style="184" bestFit="1" customWidth="1"/>
    <col min="15109" max="15109" width="10.7109375" style="184" customWidth="1"/>
    <col min="15110" max="15111" width="8.42578125" style="184" bestFit="1" customWidth="1"/>
    <col min="15112" max="15112" width="10.7109375" style="184" customWidth="1"/>
    <col min="15113" max="15114" width="8.42578125" style="184" bestFit="1" customWidth="1"/>
    <col min="15115" max="15115" width="10.7109375" style="184" customWidth="1"/>
    <col min="15116" max="15117" width="8.42578125" style="184" bestFit="1" customWidth="1"/>
    <col min="15118" max="15118" width="10.7109375" style="184" customWidth="1"/>
    <col min="15119" max="15120" width="8.42578125" style="184" bestFit="1" customWidth="1"/>
    <col min="15121" max="15121" width="10.7109375" style="184" customWidth="1"/>
    <col min="15122" max="15123" width="8.42578125" style="184" bestFit="1" customWidth="1"/>
    <col min="15124" max="15124" width="10.7109375" style="184" customWidth="1"/>
    <col min="15125" max="15126" width="8.42578125" style="184" bestFit="1" customWidth="1"/>
    <col min="15127" max="15127" width="10.7109375" style="184" customWidth="1"/>
    <col min="15128" max="15128" width="8.42578125" style="184" bestFit="1" customWidth="1"/>
    <col min="15129" max="15129" width="5.42578125" style="184" bestFit="1" customWidth="1"/>
    <col min="15130" max="15130" width="10.7109375" style="184" customWidth="1"/>
    <col min="15131" max="15359" width="11.42578125" style="184"/>
    <col min="15360" max="15360" width="0.28515625" style="184" customWidth="1"/>
    <col min="15361" max="15361" width="15.85546875" style="184" customWidth="1"/>
    <col min="15362" max="15362" width="9.140625" style="184" bestFit="1" customWidth="1"/>
    <col min="15363" max="15364" width="8.42578125" style="184" bestFit="1" customWidth="1"/>
    <col min="15365" max="15365" width="10.7109375" style="184" customWidth="1"/>
    <col min="15366" max="15367" width="8.42578125" style="184" bestFit="1" customWidth="1"/>
    <col min="15368" max="15368" width="10.7109375" style="184" customWidth="1"/>
    <col min="15369" max="15370" width="8.42578125" style="184" bestFit="1" customWidth="1"/>
    <col min="15371" max="15371" width="10.7109375" style="184" customWidth="1"/>
    <col min="15372" max="15373" width="8.42578125" style="184" bestFit="1" customWidth="1"/>
    <col min="15374" max="15374" width="10.7109375" style="184" customWidth="1"/>
    <col min="15375" max="15376" width="8.42578125" style="184" bestFit="1" customWidth="1"/>
    <col min="15377" max="15377" width="10.7109375" style="184" customWidth="1"/>
    <col min="15378" max="15379" width="8.42578125" style="184" bestFit="1" customWidth="1"/>
    <col min="15380" max="15380" width="10.7109375" style="184" customWidth="1"/>
    <col min="15381" max="15382" width="8.42578125" style="184" bestFit="1" customWidth="1"/>
    <col min="15383" max="15383" width="10.7109375" style="184" customWidth="1"/>
    <col min="15384" max="15384" width="8.42578125" style="184" bestFit="1" customWidth="1"/>
    <col min="15385" max="15385" width="5.42578125" style="184" bestFit="1" customWidth="1"/>
    <col min="15386" max="15386" width="10.7109375" style="184" customWidth="1"/>
    <col min="15387" max="15615" width="11.42578125" style="184"/>
    <col min="15616" max="15616" width="0.28515625" style="184" customWidth="1"/>
    <col min="15617" max="15617" width="15.85546875" style="184" customWidth="1"/>
    <col min="15618" max="15618" width="9.140625" style="184" bestFit="1" customWidth="1"/>
    <col min="15619" max="15620" width="8.42578125" style="184" bestFit="1" customWidth="1"/>
    <col min="15621" max="15621" width="10.7109375" style="184" customWidth="1"/>
    <col min="15622" max="15623" width="8.42578125" style="184" bestFit="1" customWidth="1"/>
    <col min="15624" max="15624" width="10.7109375" style="184" customWidth="1"/>
    <col min="15625" max="15626" width="8.42578125" style="184" bestFit="1" customWidth="1"/>
    <col min="15627" max="15627" width="10.7109375" style="184" customWidth="1"/>
    <col min="15628" max="15629" width="8.42578125" style="184" bestFit="1" customWidth="1"/>
    <col min="15630" max="15630" width="10.7109375" style="184" customWidth="1"/>
    <col min="15631" max="15632" width="8.42578125" style="184" bestFit="1" customWidth="1"/>
    <col min="15633" max="15633" width="10.7109375" style="184" customWidth="1"/>
    <col min="15634" max="15635" width="8.42578125" style="184" bestFit="1" customWidth="1"/>
    <col min="15636" max="15636" width="10.7109375" style="184" customWidth="1"/>
    <col min="15637" max="15638" width="8.42578125" style="184" bestFit="1" customWidth="1"/>
    <col min="15639" max="15639" width="10.7109375" style="184" customWidth="1"/>
    <col min="15640" max="15640" width="8.42578125" style="184" bestFit="1" customWidth="1"/>
    <col min="15641" max="15641" width="5.42578125" style="184" bestFit="1" customWidth="1"/>
    <col min="15642" max="15642" width="10.7109375" style="184" customWidth="1"/>
    <col min="15643" max="15871" width="11.42578125" style="184"/>
    <col min="15872" max="15872" width="0.28515625" style="184" customWidth="1"/>
    <col min="15873" max="15873" width="15.85546875" style="184" customWidth="1"/>
    <col min="15874" max="15874" width="9.140625" style="184" bestFit="1" customWidth="1"/>
    <col min="15875" max="15876" width="8.42578125" style="184" bestFit="1" customWidth="1"/>
    <col min="15877" max="15877" width="10.7109375" style="184" customWidth="1"/>
    <col min="15878" max="15879" width="8.42578125" style="184" bestFit="1" customWidth="1"/>
    <col min="15880" max="15880" width="10.7109375" style="184" customWidth="1"/>
    <col min="15881" max="15882" width="8.42578125" style="184" bestFit="1" customWidth="1"/>
    <col min="15883" max="15883" width="10.7109375" style="184" customWidth="1"/>
    <col min="15884" max="15885" width="8.42578125" style="184" bestFit="1" customWidth="1"/>
    <col min="15886" max="15886" width="10.7109375" style="184" customWidth="1"/>
    <col min="15887" max="15888" width="8.42578125" style="184" bestFit="1" customWidth="1"/>
    <col min="15889" max="15889" width="10.7109375" style="184" customWidth="1"/>
    <col min="15890" max="15891" width="8.42578125" style="184" bestFit="1" customWidth="1"/>
    <col min="15892" max="15892" width="10.7109375" style="184" customWidth="1"/>
    <col min="15893" max="15894" width="8.42578125" style="184" bestFit="1" customWidth="1"/>
    <col min="15895" max="15895" width="10.7109375" style="184" customWidth="1"/>
    <col min="15896" max="15896" width="8.42578125" style="184" bestFit="1" customWidth="1"/>
    <col min="15897" max="15897" width="5.42578125" style="184" bestFit="1" customWidth="1"/>
    <col min="15898" max="15898" width="10.7109375" style="184" customWidth="1"/>
    <col min="15899" max="16127" width="11.42578125" style="184"/>
    <col min="16128" max="16128" width="0.28515625" style="184" customWidth="1"/>
    <col min="16129" max="16129" width="15.85546875" style="184" customWidth="1"/>
    <col min="16130" max="16130" width="9.140625" style="184" bestFit="1" customWidth="1"/>
    <col min="16131" max="16132" width="8.42578125" style="184" bestFit="1" customWidth="1"/>
    <col min="16133" max="16133" width="10.7109375" style="184" customWidth="1"/>
    <col min="16134" max="16135" width="8.42578125" style="184" bestFit="1" customWidth="1"/>
    <col min="16136" max="16136" width="10.7109375" style="184" customWidth="1"/>
    <col min="16137" max="16138" width="8.42578125" style="184" bestFit="1" customWidth="1"/>
    <col min="16139" max="16139" width="10.7109375" style="184" customWidth="1"/>
    <col min="16140" max="16141" width="8.42578125" style="184" bestFit="1" customWidth="1"/>
    <col min="16142" max="16142" width="10.7109375" style="184" customWidth="1"/>
    <col min="16143" max="16144" width="8.42578125" style="184" bestFit="1" customWidth="1"/>
    <col min="16145" max="16145" width="10.7109375" style="184" customWidth="1"/>
    <col min="16146" max="16147" width="8.42578125" style="184" bestFit="1" customWidth="1"/>
    <col min="16148" max="16148" width="10.7109375" style="184" customWidth="1"/>
    <col min="16149" max="16150" width="8.42578125" style="184" bestFit="1" customWidth="1"/>
    <col min="16151" max="16151" width="10.7109375" style="184" customWidth="1"/>
    <col min="16152" max="16152" width="8.42578125" style="184" bestFit="1" customWidth="1"/>
    <col min="16153" max="16153" width="5.42578125" style="184" bestFit="1" customWidth="1"/>
    <col min="16154" max="16154" width="10.7109375" style="184" customWidth="1"/>
    <col min="16155" max="16384" width="11.42578125" style="184"/>
  </cols>
  <sheetData>
    <row r="1" spans="1:41" s="186" customFormat="1" ht="66" customHeight="1" x14ac:dyDescent="0.2">
      <c r="A1" s="5058" t="s">
        <v>1284</v>
      </c>
      <c r="B1" s="5058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</row>
    <row r="2" spans="1:41" s="186" customFormat="1" ht="15" customHeight="1" x14ac:dyDescent="0.35">
      <c r="A2" s="191"/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2174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</row>
    <row r="3" spans="1:41" s="186" customFormat="1" ht="15" customHeight="1" x14ac:dyDescent="0.2">
      <c r="A3" s="5020" t="s">
        <v>16</v>
      </c>
      <c r="B3" s="5020" t="s">
        <v>4</v>
      </c>
      <c r="C3" s="5022">
        <v>2003</v>
      </c>
      <c r="D3" s="5023"/>
      <c r="E3" s="5024"/>
      <c r="F3" s="5022">
        <v>2004</v>
      </c>
      <c r="G3" s="5023"/>
      <c r="H3" s="5024"/>
      <c r="I3" s="5022">
        <v>2005</v>
      </c>
      <c r="J3" s="5023"/>
      <c r="K3" s="5024"/>
      <c r="L3" s="5022">
        <v>2006</v>
      </c>
      <c r="M3" s="5023"/>
      <c r="N3" s="5024"/>
      <c r="O3" s="5022">
        <v>2007</v>
      </c>
      <c r="P3" s="5023"/>
      <c r="Q3" s="5024"/>
      <c r="R3" s="5022">
        <v>2008</v>
      </c>
      <c r="S3" s="5023"/>
      <c r="T3" s="5024"/>
      <c r="U3" s="5022">
        <v>2009</v>
      </c>
      <c r="V3" s="5023"/>
      <c r="W3" s="5024"/>
      <c r="X3" s="5022">
        <v>2010</v>
      </c>
      <c r="Y3" s="5023"/>
      <c r="Z3" s="5024"/>
      <c r="AA3" s="5022">
        <v>2011</v>
      </c>
      <c r="AB3" s="5023"/>
      <c r="AC3" s="5024"/>
      <c r="AD3" s="5022">
        <v>2012</v>
      </c>
      <c r="AE3" s="5023"/>
      <c r="AF3" s="5024"/>
      <c r="AG3" s="5022">
        <v>2013</v>
      </c>
      <c r="AH3" s="5023"/>
      <c r="AI3" s="5024"/>
      <c r="AJ3" s="5022">
        <v>2014</v>
      </c>
      <c r="AK3" s="5023"/>
      <c r="AL3" s="5024"/>
      <c r="AM3" s="5022">
        <v>2015</v>
      </c>
      <c r="AN3" s="5023"/>
      <c r="AO3" s="5024"/>
    </row>
    <row r="4" spans="1:41" s="189" customFormat="1" ht="15.75" x14ac:dyDescent="0.2">
      <c r="A4" s="5021"/>
      <c r="B4" s="5021"/>
      <c r="C4" s="566" t="s">
        <v>668</v>
      </c>
      <c r="D4" s="567" t="s">
        <v>669</v>
      </c>
      <c r="E4" s="1031" t="s">
        <v>160</v>
      </c>
      <c r="F4" s="566" t="s">
        <v>668</v>
      </c>
      <c r="G4" s="567" t="s">
        <v>669</v>
      </c>
      <c r="H4" s="1031" t="s">
        <v>160</v>
      </c>
      <c r="I4" s="566" t="s">
        <v>668</v>
      </c>
      <c r="J4" s="567" t="s">
        <v>669</v>
      </c>
      <c r="K4" s="1031" t="s">
        <v>160</v>
      </c>
      <c r="L4" s="566" t="s">
        <v>668</v>
      </c>
      <c r="M4" s="567" t="s">
        <v>669</v>
      </c>
      <c r="N4" s="1031" t="s">
        <v>160</v>
      </c>
      <c r="O4" s="566" t="s">
        <v>668</v>
      </c>
      <c r="P4" s="567" t="s">
        <v>669</v>
      </c>
      <c r="Q4" s="1031" t="s">
        <v>160</v>
      </c>
      <c r="R4" s="566" t="s">
        <v>668</v>
      </c>
      <c r="S4" s="567" t="s">
        <v>669</v>
      </c>
      <c r="T4" s="1031" t="s">
        <v>160</v>
      </c>
      <c r="U4" s="566" t="s">
        <v>668</v>
      </c>
      <c r="V4" s="567" t="s">
        <v>669</v>
      </c>
      <c r="W4" s="1031" t="s">
        <v>160</v>
      </c>
      <c r="X4" s="566" t="s">
        <v>668</v>
      </c>
      <c r="Y4" s="567" t="s">
        <v>669</v>
      </c>
      <c r="Z4" s="1031" t="s">
        <v>160</v>
      </c>
      <c r="AA4" s="566" t="s">
        <v>668</v>
      </c>
      <c r="AB4" s="567" t="s">
        <v>669</v>
      </c>
      <c r="AC4" s="1031" t="s">
        <v>160</v>
      </c>
      <c r="AD4" s="566" t="s">
        <v>668</v>
      </c>
      <c r="AE4" s="567" t="s">
        <v>669</v>
      </c>
      <c r="AF4" s="1031" t="s">
        <v>160</v>
      </c>
      <c r="AG4" s="566" t="s">
        <v>668</v>
      </c>
      <c r="AH4" s="567" t="s">
        <v>669</v>
      </c>
      <c r="AI4" s="1031" t="s">
        <v>160</v>
      </c>
      <c r="AJ4" s="566" t="s">
        <v>668</v>
      </c>
      <c r="AK4" s="567" t="s">
        <v>669</v>
      </c>
      <c r="AL4" s="1031" t="s">
        <v>160</v>
      </c>
      <c r="AM4" s="566" t="s">
        <v>668</v>
      </c>
      <c r="AN4" s="567" t="s">
        <v>669</v>
      </c>
      <c r="AO4" s="1031" t="s">
        <v>160</v>
      </c>
    </row>
    <row r="5" spans="1:41" s="186" customFormat="1" ht="15" customHeight="1" x14ac:dyDescent="0.2"/>
    <row r="6" spans="1:41" s="186" customFormat="1" ht="15" customHeight="1" x14ac:dyDescent="0.2">
      <c r="A6" s="5065" t="s">
        <v>3</v>
      </c>
      <c r="B6" s="499" t="s">
        <v>5</v>
      </c>
      <c r="C6" s="472">
        <v>983</v>
      </c>
      <c r="D6" s="471">
        <v>3792</v>
      </c>
      <c r="E6" s="500">
        <v>4775</v>
      </c>
      <c r="F6" s="472">
        <v>1626</v>
      </c>
      <c r="G6" s="471">
        <v>4865</v>
      </c>
      <c r="H6" s="500">
        <v>6491</v>
      </c>
      <c r="I6" s="472">
        <v>1842</v>
      </c>
      <c r="J6" s="471">
        <v>4634</v>
      </c>
      <c r="K6" s="501">
        <v>6476</v>
      </c>
      <c r="L6" s="471">
        <v>1847</v>
      </c>
      <c r="M6" s="471">
        <v>3951</v>
      </c>
      <c r="N6" s="501">
        <v>5798</v>
      </c>
      <c r="O6" s="471">
        <v>1602</v>
      </c>
      <c r="P6" s="471">
        <v>4194</v>
      </c>
      <c r="Q6" s="501">
        <v>5796</v>
      </c>
      <c r="R6" s="471">
        <v>1910</v>
      </c>
      <c r="S6" s="471">
        <v>4434</v>
      </c>
      <c r="T6" s="501">
        <v>6344</v>
      </c>
      <c r="U6" s="472">
        <v>2077</v>
      </c>
      <c r="V6" s="471">
        <v>4916</v>
      </c>
      <c r="W6" s="501">
        <v>6993</v>
      </c>
      <c r="X6" s="472">
        <v>2514</v>
      </c>
      <c r="Y6" s="471">
        <v>5779</v>
      </c>
      <c r="Z6" s="501">
        <f>SUM(X6:Y6)</f>
        <v>8293</v>
      </c>
      <c r="AA6" s="472">
        <v>2734</v>
      </c>
      <c r="AB6" s="471">
        <v>5448</v>
      </c>
      <c r="AC6" s="501">
        <f>SUM(AA6:AB6)</f>
        <v>8182</v>
      </c>
      <c r="AD6" s="472">
        <f>SUM('Aspirantes plan'!AE6:AE15)</f>
        <v>2816</v>
      </c>
      <c r="AE6" s="471">
        <f>SUM('Aspirantes plan'!AF6:AF15)</f>
        <v>6205</v>
      </c>
      <c r="AF6" s="501">
        <f>SUM(AD6:AE6)</f>
        <v>9021</v>
      </c>
      <c r="AG6" s="472">
        <f>SUM('Aspirantes plan'!AH6:AH15)</f>
        <v>2446</v>
      </c>
      <c r="AH6" s="471">
        <f>SUM('Aspirantes plan'!AI6:AI15)</f>
        <v>6503</v>
      </c>
      <c r="AI6" s="501">
        <f>SUM(AG6:AH6)</f>
        <v>8949</v>
      </c>
      <c r="AJ6" s="472">
        <f>SUM('Aspirantes plan'!AK6:AK15)</f>
        <v>2244</v>
      </c>
      <c r="AK6" s="471">
        <f>SUM('Aspirantes plan'!AL6:AL15)</f>
        <v>6852</v>
      </c>
      <c r="AL6" s="501">
        <f>SUM(AJ6:AK6)</f>
        <v>9096</v>
      </c>
      <c r="AM6" s="472">
        <f>SUM('Aspirantes plan'!AN6:AN15)</f>
        <v>2565</v>
      </c>
      <c r="AN6" s="471">
        <f>SUM('Aspirantes plan'!AO6:AO15)</f>
        <v>7543</v>
      </c>
      <c r="AO6" s="501">
        <f>SUM(AM6:AN6)</f>
        <v>10108</v>
      </c>
    </row>
    <row r="7" spans="1:41" s="186" customFormat="1" ht="15" customHeight="1" x14ac:dyDescent="0.2">
      <c r="A7" s="5066"/>
      <c r="B7" s="505" t="s">
        <v>6</v>
      </c>
      <c r="C7" s="475">
        <v>2549</v>
      </c>
      <c r="D7" s="474">
        <v>6571</v>
      </c>
      <c r="E7" s="506">
        <v>9120</v>
      </c>
      <c r="F7" s="475">
        <v>2550</v>
      </c>
      <c r="G7" s="474">
        <v>6937</v>
      </c>
      <c r="H7" s="506">
        <v>9487</v>
      </c>
      <c r="I7" s="475">
        <v>2840</v>
      </c>
      <c r="J7" s="474">
        <v>6836</v>
      </c>
      <c r="K7" s="507">
        <v>9676</v>
      </c>
      <c r="L7" s="474">
        <v>2952</v>
      </c>
      <c r="M7" s="474">
        <v>6157</v>
      </c>
      <c r="N7" s="507">
        <v>9109</v>
      </c>
      <c r="O7" s="474">
        <v>2807</v>
      </c>
      <c r="P7" s="474">
        <v>6644</v>
      </c>
      <c r="Q7" s="507">
        <v>9451</v>
      </c>
      <c r="R7" s="474">
        <v>3132</v>
      </c>
      <c r="S7" s="474">
        <v>6571</v>
      </c>
      <c r="T7" s="507">
        <v>9703</v>
      </c>
      <c r="U7" s="475">
        <v>3107</v>
      </c>
      <c r="V7" s="474">
        <v>6959</v>
      </c>
      <c r="W7" s="507">
        <v>10066</v>
      </c>
      <c r="X7" s="475">
        <v>3292</v>
      </c>
      <c r="Y7" s="474">
        <v>7583</v>
      </c>
      <c r="Z7" s="507">
        <f>SUM(X7:Y7)</f>
        <v>10875</v>
      </c>
      <c r="AA7" s="475">
        <v>3646</v>
      </c>
      <c r="AB7" s="474">
        <v>7200</v>
      </c>
      <c r="AC7" s="507">
        <f>SUM(AA7:AB7)</f>
        <v>10846</v>
      </c>
      <c r="AD7" s="475">
        <f>SUM('Aspirantes plan'!AE17:AE20)</f>
        <v>3555</v>
      </c>
      <c r="AE7" s="474">
        <f>SUM('Aspirantes plan'!AF17:AF20)</f>
        <v>8158</v>
      </c>
      <c r="AF7" s="507">
        <f>SUM(AD7:AE7)</f>
        <v>11713</v>
      </c>
      <c r="AG7" s="475">
        <f>SUM('Aspirantes plan'!AH17:AH20)</f>
        <v>3275</v>
      </c>
      <c r="AH7" s="474">
        <f>SUM('Aspirantes plan'!AI17:AI20)</f>
        <v>8110</v>
      </c>
      <c r="AI7" s="507">
        <f>SUM(AG7:AH7)</f>
        <v>11385</v>
      </c>
      <c r="AJ7" s="475">
        <f>SUM('Aspirantes plan'!AK17:AK20)</f>
        <v>2753</v>
      </c>
      <c r="AK7" s="474">
        <f>SUM('Aspirantes plan'!AL17:AL20)</f>
        <v>7999</v>
      </c>
      <c r="AL7" s="507">
        <f>SUM(AJ7:AK7)</f>
        <v>10752</v>
      </c>
      <c r="AM7" s="475">
        <f>SUM('Aspirantes plan'!AN17:AN20)</f>
        <v>3059</v>
      </c>
      <c r="AN7" s="474">
        <f>SUM('Aspirantes plan'!AO17:AO20)</f>
        <v>8359</v>
      </c>
      <c r="AO7" s="507">
        <f>SUM(AM7:AN7)</f>
        <v>11418</v>
      </c>
    </row>
    <row r="8" spans="1:41" s="186" customFormat="1" ht="15" customHeight="1" x14ac:dyDescent="0.2">
      <c r="A8" s="5066"/>
      <c r="B8" s="275" t="s">
        <v>7</v>
      </c>
      <c r="C8" s="276">
        <v>1427</v>
      </c>
      <c r="D8" s="277">
        <v>3655</v>
      </c>
      <c r="E8" s="594">
        <v>5082</v>
      </c>
      <c r="F8" s="276">
        <v>1519</v>
      </c>
      <c r="G8" s="277">
        <v>3865</v>
      </c>
      <c r="H8" s="594">
        <v>5384</v>
      </c>
      <c r="I8" s="276">
        <v>1635</v>
      </c>
      <c r="J8" s="277">
        <v>4043</v>
      </c>
      <c r="K8" s="595">
        <v>5678</v>
      </c>
      <c r="L8" s="277">
        <v>1712</v>
      </c>
      <c r="M8" s="277">
        <v>3677</v>
      </c>
      <c r="N8" s="595">
        <v>5389</v>
      </c>
      <c r="O8" s="277">
        <v>1774</v>
      </c>
      <c r="P8" s="277">
        <v>4347</v>
      </c>
      <c r="Q8" s="595">
        <v>6121</v>
      </c>
      <c r="R8" s="277">
        <v>2301</v>
      </c>
      <c r="S8" s="277">
        <v>4621</v>
      </c>
      <c r="T8" s="595">
        <v>6922</v>
      </c>
      <c r="U8" s="276">
        <v>2373</v>
      </c>
      <c r="V8" s="277">
        <v>5031</v>
      </c>
      <c r="W8" s="595">
        <v>7404</v>
      </c>
      <c r="X8" s="276">
        <v>2570</v>
      </c>
      <c r="Y8" s="277">
        <v>5798</v>
      </c>
      <c r="Z8" s="595">
        <f>SUM(X8:Y8)</f>
        <v>8368</v>
      </c>
      <c r="AA8" s="276">
        <v>2925</v>
      </c>
      <c r="AB8" s="277">
        <v>5433</v>
      </c>
      <c r="AC8" s="595">
        <f>SUM(AA8:AB8)</f>
        <v>8358</v>
      </c>
      <c r="AD8" s="276">
        <f>SUM('Aspirantes plan'!AE22:AE24)</f>
        <v>2899</v>
      </c>
      <c r="AE8" s="277">
        <f>SUM('Aspirantes plan'!AF22:AF24)</f>
        <v>6579</v>
      </c>
      <c r="AF8" s="595">
        <f>SUM(AD8:AE8)</f>
        <v>9478</v>
      </c>
      <c r="AG8" s="276">
        <f>SUM('Aspirantes plan'!AH22:AH24)</f>
        <v>2605</v>
      </c>
      <c r="AH8" s="277">
        <f>SUM('Aspirantes plan'!AI22:AI24)</f>
        <v>6052</v>
      </c>
      <c r="AI8" s="595">
        <f>SUM(AG8:AH8)</f>
        <v>8657</v>
      </c>
      <c r="AJ8" s="276">
        <f>SUM('Aspirantes plan'!AK22:AK24)</f>
        <v>2266</v>
      </c>
      <c r="AK8" s="277">
        <f>SUM('Aspirantes plan'!AL22:AL24)</f>
        <v>5719</v>
      </c>
      <c r="AL8" s="595">
        <f>SUM(AJ8:AK8)</f>
        <v>7985</v>
      </c>
      <c r="AM8" s="276">
        <f>SUM('Aspirantes plan'!AN22:AN24)</f>
        <v>2298</v>
      </c>
      <c r="AN8" s="277">
        <f>SUM('Aspirantes plan'!AO22:AO24)</f>
        <v>5473</v>
      </c>
      <c r="AO8" s="595">
        <f>SUM(AM8:AN8)</f>
        <v>7771</v>
      </c>
    </row>
    <row r="9" spans="1:41" s="188" customFormat="1" ht="15" customHeight="1" x14ac:dyDescent="0.2">
      <c r="A9" s="5067"/>
      <c r="B9" s="2405" t="s">
        <v>12</v>
      </c>
      <c r="C9" s="2406">
        <v>4959</v>
      </c>
      <c r="D9" s="2490">
        <v>14018</v>
      </c>
      <c r="E9" s="2490">
        <v>18977</v>
      </c>
      <c r="F9" s="2406">
        <v>5695</v>
      </c>
      <c r="G9" s="2490">
        <v>15667</v>
      </c>
      <c r="H9" s="2490">
        <v>21362</v>
      </c>
      <c r="I9" s="2406">
        <v>6317</v>
      </c>
      <c r="J9" s="2490">
        <v>15513</v>
      </c>
      <c r="K9" s="2491">
        <v>21830</v>
      </c>
      <c r="L9" s="2490">
        <v>6511</v>
      </c>
      <c r="M9" s="2490">
        <v>13785</v>
      </c>
      <c r="N9" s="2491">
        <v>20296</v>
      </c>
      <c r="O9" s="2490">
        <v>6183</v>
      </c>
      <c r="P9" s="2490">
        <v>15185</v>
      </c>
      <c r="Q9" s="2491">
        <v>21368</v>
      </c>
      <c r="R9" s="2490">
        <v>7343</v>
      </c>
      <c r="S9" s="2490">
        <v>15626</v>
      </c>
      <c r="T9" s="2491">
        <v>22969</v>
      </c>
      <c r="U9" s="2406">
        <v>7557</v>
      </c>
      <c r="V9" s="2490">
        <v>16906</v>
      </c>
      <c r="W9" s="2491">
        <v>24463</v>
      </c>
      <c r="X9" s="2406">
        <f>SUM(X6:X8)</f>
        <v>8376</v>
      </c>
      <c r="Y9" s="2490">
        <v>19160</v>
      </c>
      <c r="Z9" s="2491">
        <f>SUM(X9:Y9)</f>
        <v>27536</v>
      </c>
      <c r="AA9" s="2406">
        <f>SUM(AA6:AA8)</f>
        <v>9305</v>
      </c>
      <c r="AB9" s="2490">
        <v>18081</v>
      </c>
      <c r="AC9" s="2491">
        <f>SUM(AA9:AB9)</f>
        <v>27386</v>
      </c>
      <c r="AD9" s="2406">
        <f t="shared" ref="AD9:AI9" si="0">SUM(AD6:AD8)</f>
        <v>9270</v>
      </c>
      <c r="AE9" s="2490">
        <f t="shared" si="0"/>
        <v>20942</v>
      </c>
      <c r="AF9" s="2491">
        <f t="shared" si="0"/>
        <v>30212</v>
      </c>
      <c r="AG9" s="2406">
        <f t="shared" si="0"/>
        <v>8326</v>
      </c>
      <c r="AH9" s="2490">
        <f t="shared" si="0"/>
        <v>20665</v>
      </c>
      <c r="AI9" s="2491">
        <f t="shared" si="0"/>
        <v>28991</v>
      </c>
      <c r="AJ9" s="2406">
        <f t="shared" ref="AJ9:AO9" si="1">SUM(AJ6:AJ8)</f>
        <v>7263</v>
      </c>
      <c r="AK9" s="2490">
        <f t="shared" si="1"/>
        <v>20570</v>
      </c>
      <c r="AL9" s="2491">
        <f t="shared" si="1"/>
        <v>27833</v>
      </c>
      <c r="AM9" s="2406">
        <f t="shared" si="1"/>
        <v>7922</v>
      </c>
      <c r="AN9" s="2490">
        <f t="shared" si="1"/>
        <v>21375</v>
      </c>
      <c r="AO9" s="2491">
        <f t="shared" si="1"/>
        <v>29297</v>
      </c>
    </row>
    <row r="10" spans="1:41" s="188" customFormat="1" ht="15" customHeight="1" x14ac:dyDescent="0.2">
      <c r="A10" s="1037"/>
      <c r="B10" s="771"/>
      <c r="C10" s="771"/>
      <c r="D10" s="771"/>
      <c r="E10" s="771"/>
      <c r="F10" s="771"/>
      <c r="G10" s="771"/>
      <c r="H10" s="771"/>
      <c r="I10" s="771"/>
      <c r="J10" s="771"/>
      <c r="K10" s="771"/>
      <c r="L10" s="771"/>
      <c r="M10" s="771"/>
      <c r="N10" s="771"/>
      <c r="O10" s="771"/>
      <c r="P10" s="771"/>
      <c r="Q10" s="771"/>
      <c r="R10" s="771"/>
      <c r="S10" s="771"/>
      <c r="T10" s="771"/>
      <c r="U10" s="771"/>
      <c r="V10" s="771"/>
      <c r="W10" s="771"/>
      <c r="X10" s="771"/>
      <c r="Y10" s="771"/>
      <c r="Z10" s="771"/>
      <c r="AA10" s="771"/>
      <c r="AB10" s="771"/>
      <c r="AC10" s="771"/>
      <c r="AD10" s="771"/>
      <c r="AE10" s="771"/>
      <c r="AF10" s="771"/>
      <c r="AG10" s="771"/>
      <c r="AH10" s="771"/>
      <c r="AI10" s="771"/>
      <c r="AJ10" s="771"/>
      <c r="AK10" s="771"/>
      <c r="AL10" s="771"/>
      <c r="AM10" s="771"/>
      <c r="AN10" s="771"/>
      <c r="AO10" s="771"/>
    </row>
    <row r="11" spans="1:41" s="188" customFormat="1" ht="15" customHeight="1" x14ac:dyDescent="0.2">
      <c r="A11" s="5069" t="s">
        <v>8</v>
      </c>
      <c r="B11" s="719" t="s">
        <v>6</v>
      </c>
      <c r="C11" s="472"/>
      <c r="D11" s="471"/>
      <c r="E11" s="500"/>
      <c r="F11" s="472"/>
      <c r="G11" s="471"/>
      <c r="H11" s="500"/>
      <c r="I11" s="472"/>
      <c r="J11" s="471">
        <v>482</v>
      </c>
      <c r="K11" s="501">
        <v>482</v>
      </c>
      <c r="L11" s="471"/>
      <c r="M11" s="471">
        <v>103</v>
      </c>
      <c r="N11" s="501">
        <v>103</v>
      </c>
      <c r="O11" s="471"/>
      <c r="P11" s="471">
        <v>170</v>
      </c>
      <c r="Q11" s="501">
        <v>170</v>
      </c>
      <c r="R11" s="471"/>
      <c r="S11" s="471">
        <v>222</v>
      </c>
      <c r="T11" s="501">
        <v>222</v>
      </c>
      <c r="U11" s="472"/>
      <c r="V11" s="471">
        <v>242</v>
      </c>
      <c r="W11" s="501">
        <v>242</v>
      </c>
      <c r="X11" s="472"/>
      <c r="Y11" s="471">
        <v>306</v>
      </c>
      <c r="Z11" s="501">
        <v>306</v>
      </c>
      <c r="AA11" s="472"/>
      <c r="AB11" s="471">
        <v>321</v>
      </c>
      <c r="AC11" s="501">
        <v>321</v>
      </c>
      <c r="AD11" s="472">
        <f>SUM('Aspirantes plan'!AE79:AE82)</f>
        <v>0</v>
      </c>
      <c r="AE11" s="471">
        <f>SUM('Aspirantes plan'!AF79:AF82)</f>
        <v>334</v>
      </c>
      <c r="AF11" s="501">
        <f>SUM(AD11:AE11)</f>
        <v>334</v>
      </c>
      <c r="AG11" s="472">
        <f>SUM('Aspirantes plan'!AH79:AH82)</f>
        <v>0</v>
      </c>
      <c r="AH11" s="471">
        <f>SUM('Aspirantes plan'!AI79:AI82)</f>
        <v>716</v>
      </c>
      <c r="AI11" s="501">
        <f>SUM(AG11:AH11)</f>
        <v>716</v>
      </c>
      <c r="AJ11" s="472">
        <f>SUM('Aspirantes plan'!AK79:AK82)</f>
        <v>363</v>
      </c>
      <c r="AK11" s="471">
        <f>SUM('Aspirantes plan'!AL79:AL82)</f>
        <v>788</v>
      </c>
      <c r="AL11" s="501">
        <f>SUM(AJ11:AK11)</f>
        <v>1151</v>
      </c>
      <c r="AM11" s="472">
        <f>SUM('Aspirantes plan'!AN79:AN82)</f>
        <v>458</v>
      </c>
      <c r="AN11" s="471">
        <f>SUM('Aspirantes plan'!AO79:AO82)</f>
        <v>1130</v>
      </c>
      <c r="AO11" s="501">
        <f>SUM(AM11:AN11)</f>
        <v>1588</v>
      </c>
    </row>
    <row r="12" spans="1:41" s="188" customFormat="1" ht="15" customHeight="1" x14ac:dyDescent="0.2">
      <c r="A12" s="5070"/>
      <c r="B12" s="720" t="s">
        <v>9</v>
      </c>
      <c r="C12" s="475"/>
      <c r="D12" s="474"/>
      <c r="E12" s="506"/>
      <c r="F12" s="475"/>
      <c r="G12" s="474"/>
      <c r="H12" s="506"/>
      <c r="I12" s="475"/>
      <c r="J12" s="474">
        <v>135</v>
      </c>
      <c r="K12" s="507">
        <v>135</v>
      </c>
      <c r="L12" s="474"/>
      <c r="M12" s="474">
        <v>89</v>
      </c>
      <c r="N12" s="507">
        <v>89</v>
      </c>
      <c r="O12" s="474"/>
      <c r="P12" s="474">
        <v>588</v>
      </c>
      <c r="Q12" s="507">
        <v>588</v>
      </c>
      <c r="R12" s="474"/>
      <c r="S12" s="474">
        <v>685</v>
      </c>
      <c r="T12" s="507">
        <v>685</v>
      </c>
      <c r="U12" s="475"/>
      <c r="V12" s="474">
        <v>879</v>
      </c>
      <c r="W12" s="507">
        <v>879</v>
      </c>
      <c r="X12" s="475"/>
      <c r="Y12" s="474">
        <v>1094</v>
      </c>
      <c r="Z12" s="507">
        <v>1094</v>
      </c>
      <c r="AA12" s="475"/>
      <c r="AB12" s="474">
        <v>1011</v>
      </c>
      <c r="AC12" s="507">
        <v>1011</v>
      </c>
      <c r="AD12" s="475">
        <f>SUM('Aspirantes plan'!AE84:AE86)</f>
        <v>0</v>
      </c>
      <c r="AE12" s="474">
        <f>SUM('Aspirantes plan'!AF84:AF86)</f>
        <v>1001</v>
      </c>
      <c r="AF12" s="507">
        <f>SUM(AD12:AE12)</f>
        <v>1001</v>
      </c>
      <c r="AG12" s="475">
        <f>SUM('Aspirantes plan'!AH84:AH86)</f>
        <v>0</v>
      </c>
      <c r="AH12" s="474">
        <f>SUM('Aspirantes plan'!AI84:AI86)</f>
        <v>1887</v>
      </c>
      <c r="AI12" s="507">
        <f>SUM(AG12:AH12)</f>
        <v>1887</v>
      </c>
      <c r="AJ12" s="475">
        <f>SUM('Aspirantes plan'!AK84:AK86)</f>
        <v>0</v>
      </c>
      <c r="AK12" s="474">
        <f>SUM('Aspirantes plan'!AL84:AL86)</f>
        <v>1920</v>
      </c>
      <c r="AL12" s="507">
        <f>SUM(AJ12:AK12)</f>
        <v>1920</v>
      </c>
      <c r="AM12" s="475">
        <f>SUM('Aspirantes plan'!AN84:AN86)</f>
        <v>0</v>
      </c>
      <c r="AN12" s="474">
        <f>SUM('Aspirantes plan'!AO84:AO86)</f>
        <v>1926</v>
      </c>
      <c r="AO12" s="507">
        <f>SUM(AM12:AN12)</f>
        <v>1926</v>
      </c>
    </row>
    <row r="13" spans="1:41" s="188" customFormat="1" ht="15" customHeight="1" x14ac:dyDescent="0.2">
      <c r="A13" s="5070"/>
      <c r="B13" s="275" t="s">
        <v>74</v>
      </c>
      <c r="C13" s="276"/>
      <c r="D13" s="277"/>
      <c r="E13" s="594"/>
      <c r="F13" s="276"/>
      <c r="G13" s="277"/>
      <c r="H13" s="594"/>
      <c r="I13" s="276"/>
      <c r="J13" s="277">
        <v>209</v>
      </c>
      <c r="K13" s="595">
        <v>209</v>
      </c>
      <c r="L13" s="277"/>
      <c r="M13" s="277">
        <v>94</v>
      </c>
      <c r="N13" s="595">
        <v>94</v>
      </c>
      <c r="O13" s="277"/>
      <c r="P13" s="277">
        <v>169</v>
      </c>
      <c r="Q13" s="595">
        <v>169</v>
      </c>
      <c r="R13" s="277"/>
      <c r="S13" s="277">
        <v>246</v>
      </c>
      <c r="T13" s="595">
        <v>246</v>
      </c>
      <c r="U13" s="276"/>
      <c r="V13" s="277">
        <v>241</v>
      </c>
      <c r="W13" s="595">
        <v>241</v>
      </c>
      <c r="X13" s="276"/>
      <c r="Y13" s="277">
        <v>444</v>
      </c>
      <c r="Z13" s="595">
        <v>444</v>
      </c>
      <c r="AA13" s="276"/>
      <c r="AB13" s="277">
        <v>380</v>
      </c>
      <c r="AC13" s="507">
        <v>380</v>
      </c>
      <c r="AD13" s="276">
        <f>SUM('Aspirantes plan'!AE88:AE91)</f>
        <v>0</v>
      </c>
      <c r="AE13" s="277">
        <f>SUM('Aspirantes plan'!AF88:AF91)</f>
        <v>363</v>
      </c>
      <c r="AF13" s="595">
        <f>SUM(AD13:AE13)</f>
        <v>363</v>
      </c>
      <c r="AG13" s="276">
        <f>SUM('Aspirantes plan'!AH88:AH91)</f>
        <v>0</v>
      </c>
      <c r="AH13" s="277">
        <f>SUM('Aspirantes plan'!AI88:AI91)</f>
        <v>770</v>
      </c>
      <c r="AI13" s="595">
        <f>SUM(AG13:AH13)</f>
        <v>770</v>
      </c>
      <c r="AJ13" s="276">
        <f>SUM('Aspirantes plan'!AK88:AK91)</f>
        <v>0</v>
      </c>
      <c r="AK13" s="277">
        <f>SUM('Aspirantes plan'!AL88:AL91)</f>
        <v>849</v>
      </c>
      <c r="AL13" s="595">
        <f>SUM(AJ13:AK13)</f>
        <v>849</v>
      </c>
      <c r="AM13" s="276">
        <f>SUM('Aspirantes plan'!AN88:AN91)</f>
        <v>0</v>
      </c>
      <c r="AN13" s="277">
        <f>SUM('Aspirantes plan'!AO88:AO91)</f>
        <v>955</v>
      </c>
      <c r="AO13" s="595">
        <f>SUM(AM13:AN13)</f>
        <v>955</v>
      </c>
    </row>
    <row r="14" spans="1:41" s="188" customFormat="1" ht="15" customHeight="1" x14ac:dyDescent="0.2">
      <c r="A14" s="5071"/>
      <c r="B14" s="2402" t="s">
        <v>12</v>
      </c>
      <c r="C14" s="2403"/>
      <c r="D14" s="2492"/>
      <c r="E14" s="2492"/>
      <c r="F14" s="2403"/>
      <c r="G14" s="2492"/>
      <c r="H14" s="2492"/>
      <c r="I14" s="2403"/>
      <c r="J14" s="2492">
        <v>826</v>
      </c>
      <c r="K14" s="2493">
        <v>826</v>
      </c>
      <c r="L14" s="2492"/>
      <c r="M14" s="2492">
        <v>286</v>
      </c>
      <c r="N14" s="2493">
        <v>286</v>
      </c>
      <c r="O14" s="2492"/>
      <c r="P14" s="2492">
        <v>927</v>
      </c>
      <c r="Q14" s="2493">
        <v>927</v>
      </c>
      <c r="R14" s="2492"/>
      <c r="S14" s="2492">
        <v>1153</v>
      </c>
      <c r="T14" s="2493">
        <v>1153</v>
      </c>
      <c r="U14" s="2403"/>
      <c r="V14" s="2492">
        <v>1362</v>
      </c>
      <c r="W14" s="2493">
        <v>1362</v>
      </c>
      <c r="X14" s="2403"/>
      <c r="Y14" s="2492">
        <v>1844</v>
      </c>
      <c r="Z14" s="2493">
        <v>1844</v>
      </c>
      <c r="AA14" s="2403"/>
      <c r="AB14" s="2492">
        <v>1712</v>
      </c>
      <c r="AC14" s="2493">
        <v>1712</v>
      </c>
      <c r="AD14" s="2403">
        <f t="shared" ref="AD14:AI14" si="2">SUM(AD11:AD13)</f>
        <v>0</v>
      </c>
      <c r="AE14" s="2492">
        <f t="shared" si="2"/>
        <v>1698</v>
      </c>
      <c r="AF14" s="2493">
        <f t="shared" si="2"/>
        <v>1698</v>
      </c>
      <c r="AG14" s="2403">
        <f t="shared" si="2"/>
        <v>0</v>
      </c>
      <c r="AH14" s="2492">
        <f t="shared" si="2"/>
        <v>3373</v>
      </c>
      <c r="AI14" s="2493">
        <f t="shared" si="2"/>
        <v>3373</v>
      </c>
      <c r="AJ14" s="2403">
        <f t="shared" ref="AJ14:AO14" si="3">SUM(AJ11:AJ13)</f>
        <v>363</v>
      </c>
      <c r="AK14" s="2492">
        <f t="shared" si="3"/>
        <v>3557</v>
      </c>
      <c r="AL14" s="2493">
        <f t="shared" si="3"/>
        <v>3920</v>
      </c>
      <c r="AM14" s="2403">
        <f t="shared" si="3"/>
        <v>458</v>
      </c>
      <c r="AN14" s="2492">
        <f t="shared" si="3"/>
        <v>4011</v>
      </c>
      <c r="AO14" s="2493">
        <f t="shared" si="3"/>
        <v>4469</v>
      </c>
    </row>
    <row r="15" spans="1:41" s="188" customFormat="1" ht="15" customHeight="1" x14ac:dyDescent="0.2"/>
    <row r="16" spans="1:41" s="186" customFormat="1" ht="15" customHeight="1" x14ac:dyDescent="0.2">
      <c r="A16" s="5062" t="s">
        <v>75</v>
      </c>
      <c r="B16" s="499" t="s">
        <v>5</v>
      </c>
      <c r="C16" s="472">
        <v>1159</v>
      </c>
      <c r="D16" s="471">
        <v>2440</v>
      </c>
      <c r="E16" s="500">
        <v>3599</v>
      </c>
      <c r="F16" s="472">
        <v>902</v>
      </c>
      <c r="G16" s="471">
        <v>2050</v>
      </c>
      <c r="H16" s="500">
        <v>2952</v>
      </c>
      <c r="I16" s="472">
        <v>978</v>
      </c>
      <c r="J16" s="471">
        <v>2254</v>
      </c>
      <c r="K16" s="501">
        <v>3232</v>
      </c>
      <c r="L16" s="471">
        <v>1062</v>
      </c>
      <c r="M16" s="471">
        <v>1947</v>
      </c>
      <c r="N16" s="501">
        <v>3009</v>
      </c>
      <c r="O16" s="471">
        <v>850</v>
      </c>
      <c r="P16" s="471">
        <v>2003</v>
      </c>
      <c r="Q16" s="501">
        <v>2853</v>
      </c>
      <c r="R16" s="471">
        <v>965</v>
      </c>
      <c r="S16" s="471">
        <v>2088</v>
      </c>
      <c r="T16" s="501">
        <v>3053</v>
      </c>
      <c r="U16" s="472">
        <v>983</v>
      </c>
      <c r="V16" s="471">
        <v>2386</v>
      </c>
      <c r="W16" s="501">
        <v>3369</v>
      </c>
      <c r="X16" s="472">
        <v>269</v>
      </c>
      <c r="Y16" s="471">
        <v>2835</v>
      </c>
      <c r="Z16" s="501">
        <f>SUM(X16:Y16)</f>
        <v>3104</v>
      </c>
      <c r="AA16" s="472">
        <v>316</v>
      </c>
      <c r="AB16" s="471">
        <v>2765</v>
      </c>
      <c r="AC16" s="501">
        <f>SUM(AA16:AB16)</f>
        <v>3081</v>
      </c>
      <c r="AD16" s="472">
        <f>SUM('Aspirantes plan'!AE27:AE35)</f>
        <v>320</v>
      </c>
      <c r="AE16" s="471">
        <f>SUM('Aspirantes plan'!AF27:AF35)</f>
        <v>3270</v>
      </c>
      <c r="AF16" s="501">
        <f>SUM(AD16:AE16)</f>
        <v>3590</v>
      </c>
      <c r="AG16" s="472">
        <f>SUM('Aspirantes plan'!AH27:AH35)</f>
        <v>385</v>
      </c>
      <c r="AH16" s="471">
        <f>SUM('Aspirantes plan'!AI27:AI35)</f>
        <v>3268</v>
      </c>
      <c r="AI16" s="501">
        <f>SUM(AG16:AH16)</f>
        <v>3653</v>
      </c>
      <c r="AJ16" s="472">
        <f>SUM('Aspirantes plan'!AK27:AK35)</f>
        <v>360</v>
      </c>
      <c r="AK16" s="471">
        <f>SUM('Aspirantes plan'!AL27:AL35)</f>
        <v>3274</v>
      </c>
      <c r="AL16" s="501">
        <f>SUM(AJ16:AK16)</f>
        <v>3634</v>
      </c>
      <c r="AM16" s="472">
        <f>SUM('Aspirantes plan'!AN27:AN35)</f>
        <v>436</v>
      </c>
      <c r="AN16" s="471">
        <f>SUM('Aspirantes plan'!AO27:AO35)</f>
        <v>3695</v>
      </c>
      <c r="AO16" s="501">
        <f>SUM(AM16:AN16)</f>
        <v>4131</v>
      </c>
    </row>
    <row r="17" spans="1:41" s="186" customFormat="1" ht="15" customHeight="1" x14ac:dyDescent="0.2">
      <c r="A17" s="5063"/>
      <c r="B17" s="505" t="s">
        <v>6</v>
      </c>
      <c r="C17" s="475">
        <v>1046</v>
      </c>
      <c r="D17" s="474">
        <v>3757</v>
      </c>
      <c r="E17" s="506">
        <v>4803</v>
      </c>
      <c r="F17" s="475">
        <v>913</v>
      </c>
      <c r="G17" s="474">
        <v>3561</v>
      </c>
      <c r="H17" s="506">
        <v>4474</v>
      </c>
      <c r="I17" s="475">
        <v>1024</v>
      </c>
      <c r="J17" s="474">
        <v>3941</v>
      </c>
      <c r="K17" s="507">
        <v>4965</v>
      </c>
      <c r="L17" s="474">
        <v>1060</v>
      </c>
      <c r="M17" s="474">
        <v>4203</v>
      </c>
      <c r="N17" s="507">
        <v>5263</v>
      </c>
      <c r="O17" s="474">
        <v>1072</v>
      </c>
      <c r="P17" s="474">
        <v>4348</v>
      </c>
      <c r="Q17" s="507">
        <v>5420</v>
      </c>
      <c r="R17" s="474">
        <v>1146</v>
      </c>
      <c r="S17" s="474">
        <v>4829</v>
      </c>
      <c r="T17" s="507">
        <v>5975</v>
      </c>
      <c r="U17" s="475">
        <v>1197</v>
      </c>
      <c r="V17" s="474">
        <v>5275</v>
      </c>
      <c r="W17" s="507">
        <v>6472</v>
      </c>
      <c r="X17" s="475">
        <v>1376</v>
      </c>
      <c r="Y17" s="474">
        <v>6022</v>
      </c>
      <c r="Z17" s="507">
        <f>SUM(X17:Y17)</f>
        <v>7398</v>
      </c>
      <c r="AA17" s="475">
        <v>1523</v>
      </c>
      <c r="AB17" s="474">
        <v>5800</v>
      </c>
      <c r="AC17" s="507">
        <f>SUM(AA17:AB17)</f>
        <v>7323</v>
      </c>
      <c r="AD17" s="475">
        <f>SUM('Aspirantes plan'!AE37:AE47)</f>
        <v>1555</v>
      </c>
      <c r="AE17" s="474">
        <f>SUM('Aspirantes plan'!AF37:AF47)</f>
        <v>6758</v>
      </c>
      <c r="AF17" s="507">
        <f>SUM(AD17:AE17)</f>
        <v>8313</v>
      </c>
      <c r="AG17" s="475">
        <f>SUM('Aspirantes plan'!AH37:AH47)</f>
        <v>1470</v>
      </c>
      <c r="AH17" s="474">
        <f>SUM('Aspirantes plan'!AI37:AI47)</f>
        <v>6737</v>
      </c>
      <c r="AI17" s="507">
        <f>SUM(AG17:AH17)</f>
        <v>8207</v>
      </c>
      <c r="AJ17" s="475">
        <f>SUM('Aspirantes plan'!AK37:AK47)</f>
        <v>1292</v>
      </c>
      <c r="AK17" s="474">
        <f>SUM('Aspirantes plan'!AL37:AL47)</f>
        <v>6544</v>
      </c>
      <c r="AL17" s="507">
        <f>SUM(AJ17:AK17)</f>
        <v>7836</v>
      </c>
      <c r="AM17" s="475">
        <f>SUM('Aspirantes plan'!AN37:AN47)</f>
        <v>1416</v>
      </c>
      <c r="AN17" s="474">
        <f>SUM('Aspirantes plan'!AO37:AO47)</f>
        <v>6739</v>
      </c>
      <c r="AO17" s="507">
        <f>SUM(AM17:AN17)</f>
        <v>8155</v>
      </c>
    </row>
    <row r="18" spans="1:41" s="186" customFormat="1" ht="15" customHeight="1" x14ac:dyDescent="0.2">
      <c r="A18" s="5063"/>
      <c r="B18" s="275" t="s">
        <v>11</v>
      </c>
      <c r="C18" s="276">
        <v>340</v>
      </c>
      <c r="D18" s="277">
        <v>854</v>
      </c>
      <c r="E18" s="594">
        <v>1194</v>
      </c>
      <c r="F18" s="276">
        <v>332</v>
      </c>
      <c r="G18" s="277">
        <v>917</v>
      </c>
      <c r="H18" s="594">
        <v>1249</v>
      </c>
      <c r="I18" s="276">
        <v>339</v>
      </c>
      <c r="J18" s="277">
        <v>1021</v>
      </c>
      <c r="K18" s="595">
        <v>1360</v>
      </c>
      <c r="L18" s="277">
        <v>414</v>
      </c>
      <c r="M18" s="277">
        <v>1070</v>
      </c>
      <c r="N18" s="595">
        <v>1484</v>
      </c>
      <c r="O18" s="277">
        <v>401</v>
      </c>
      <c r="P18" s="277">
        <v>1044</v>
      </c>
      <c r="Q18" s="595">
        <v>1445</v>
      </c>
      <c r="R18" s="277">
        <v>498</v>
      </c>
      <c r="S18" s="277">
        <v>1398</v>
      </c>
      <c r="T18" s="595">
        <v>1896</v>
      </c>
      <c r="U18" s="276">
        <v>581</v>
      </c>
      <c r="V18" s="277">
        <v>1615</v>
      </c>
      <c r="W18" s="595">
        <v>2196</v>
      </c>
      <c r="X18" s="276">
        <v>664</v>
      </c>
      <c r="Y18" s="277">
        <v>1730</v>
      </c>
      <c r="Z18" s="595">
        <f>SUM(X18:Y18)</f>
        <v>2394</v>
      </c>
      <c r="AA18" s="276">
        <v>886</v>
      </c>
      <c r="AB18" s="277">
        <v>1718</v>
      </c>
      <c r="AC18" s="507">
        <f>SUM(AA18:AB18)</f>
        <v>2604</v>
      </c>
      <c r="AD18" s="276">
        <f>SUM('Aspirantes plan'!AE49:AE54)</f>
        <v>858</v>
      </c>
      <c r="AE18" s="277">
        <f>SUM('Aspirantes plan'!AF49:AF54)</f>
        <v>1970</v>
      </c>
      <c r="AF18" s="595">
        <f>SUM(AD18:AE18)</f>
        <v>2828</v>
      </c>
      <c r="AG18" s="276">
        <f>SUM('Aspirantes plan'!AH49:AH54)</f>
        <v>810</v>
      </c>
      <c r="AH18" s="277">
        <f>SUM('Aspirantes plan'!AI49:AI54)</f>
        <v>2020</v>
      </c>
      <c r="AI18" s="595">
        <f>SUM(AG18:AH18)</f>
        <v>2830</v>
      </c>
      <c r="AJ18" s="276">
        <f>SUM('Aspirantes plan'!AK49:AK54)</f>
        <v>782</v>
      </c>
      <c r="AK18" s="277">
        <f>SUM('Aspirantes plan'!AL49:AL54)</f>
        <v>2191</v>
      </c>
      <c r="AL18" s="595">
        <f>SUM(AJ18:AK18)</f>
        <v>2973</v>
      </c>
      <c r="AM18" s="276">
        <f>SUM('Aspirantes plan'!AN49:AN54)</f>
        <v>887</v>
      </c>
      <c r="AN18" s="277">
        <f>SUM('Aspirantes plan'!AO49:AO54)</f>
        <v>2228</v>
      </c>
      <c r="AO18" s="595">
        <f>SUM(AM18:AN18)</f>
        <v>3115</v>
      </c>
    </row>
    <row r="19" spans="1:41" s="188" customFormat="1" ht="15" customHeight="1" x14ac:dyDescent="0.2">
      <c r="A19" s="5064"/>
      <c r="B19" s="2399" t="s">
        <v>12</v>
      </c>
      <c r="C19" s="2400">
        <v>2545</v>
      </c>
      <c r="D19" s="2488">
        <v>7051</v>
      </c>
      <c r="E19" s="2488">
        <v>9596</v>
      </c>
      <c r="F19" s="2400">
        <v>2147</v>
      </c>
      <c r="G19" s="2488">
        <v>6528</v>
      </c>
      <c r="H19" s="2488">
        <v>8675</v>
      </c>
      <c r="I19" s="2400">
        <v>2341</v>
      </c>
      <c r="J19" s="2488">
        <v>7216</v>
      </c>
      <c r="K19" s="2489">
        <v>9557</v>
      </c>
      <c r="L19" s="2488">
        <v>2536</v>
      </c>
      <c r="M19" s="2488">
        <v>7220</v>
      </c>
      <c r="N19" s="2489">
        <v>9756</v>
      </c>
      <c r="O19" s="2488">
        <v>2323</v>
      </c>
      <c r="P19" s="2488">
        <v>7395</v>
      </c>
      <c r="Q19" s="2489">
        <v>9718</v>
      </c>
      <c r="R19" s="2488">
        <v>2609</v>
      </c>
      <c r="S19" s="2488">
        <v>8315</v>
      </c>
      <c r="T19" s="2489">
        <v>10924</v>
      </c>
      <c r="U19" s="2400">
        <v>2761</v>
      </c>
      <c r="V19" s="2488">
        <v>9276</v>
      </c>
      <c r="W19" s="2489">
        <v>12037</v>
      </c>
      <c r="X19" s="2400">
        <f>SUM(X16:X18)</f>
        <v>2309</v>
      </c>
      <c r="Y19" s="2488">
        <v>10587</v>
      </c>
      <c r="Z19" s="2489">
        <f>SUM(X19:Y19)</f>
        <v>12896</v>
      </c>
      <c r="AA19" s="2400">
        <f>SUM(AA16:AA18)</f>
        <v>2725</v>
      </c>
      <c r="AB19" s="2488">
        <v>10283</v>
      </c>
      <c r="AC19" s="2489">
        <f>SUM(AA19:AB19)</f>
        <v>13008</v>
      </c>
      <c r="AD19" s="2400">
        <f t="shared" ref="AD19:AI19" si="4">SUM(AD16:AD18)</f>
        <v>2733</v>
      </c>
      <c r="AE19" s="2488">
        <f t="shared" si="4"/>
        <v>11998</v>
      </c>
      <c r="AF19" s="2489">
        <f t="shared" si="4"/>
        <v>14731</v>
      </c>
      <c r="AG19" s="2400">
        <f t="shared" si="4"/>
        <v>2665</v>
      </c>
      <c r="AH19" s="2488">
        <f t="shared" si="4"/>
        <v>12025</v>
      </c>
      <c r="AI19" s="2489">
        <f t="shared" si="4"/>
        <v>14690</v>
      </c>
      <c r="AJ19" s="2400">
        <f t="shared" ref="AJ19:AO19" si="5">SUM(AJ16:AJ18)</f>
        <v>2434</v>
      </c>
      <c r="AK19" s="2488">
        <f t="shared" si="5"/>
        <v>12009</v>
      </c>
      <c r="AL19" s="2489">
        <f t="shared" si="5"/>
        <v>14443</v>
      </c>
      <c r="AM19" s="2400">
        <f t="shared" si="5"/>
        <v>2739</v>
      </c>
      <c r="AN19" s="2488">
        <f t="shared" si="5"/>
        <v>12662</v>
      </c>
      <c r="AO19" s="2489">
        <f t="shared" si="5"/>
        <v>15401</v>
      </c>
    </row>
    <row r="20" spans="1:41" s="188" customFormat="1" ht="15" customHeight="1" x14ac:dyDescent="0.2"/>
    <row r="21" spans="1:41" s="186" customFormat="1" ht="15" customHeight="1" x14ac:dyDescent="0.2">
      <c r="A21" s="5068" t="s">
        <v>326</v>
      </c>
      <c r="B21" s="499" t="s">
        <v>5</v>
      </c>
      <c r="C21" s="711"/>
      <c r="D21" s="500"/>
      <c r="E21" s="500"/>
      <c r="F21" s="500"/>
      <c r="G21" s="500"/>
      <c r="H21" s="500"/>
      <c r="I21" s="500"/>
      <c r="J21" s="500"/>
      <c r="K21" s="500"/>
      <c r="L21" s="500"/>
      <c r="M21" s="500"/>
      <c r="N21" s="500"/>
      <c r="O21" s="500"/>
      <c r="P21" s="500"/>
      <c r="Q21" s="500"/>
      <c r="R21" s="500"/>
      <c r="S21" s="500"/>
      <c r="T21" s="500"/>
      <c r="U21" s="500"/>
      <c r="V21" s="500"/>
      <c r="W21" s="500"/>
      <c r="X21" s="500"/>
      <c r="Y21" s="500"/>
      <c r="Z21" s="501"/>
      <c r="AA21" s="472">
        <v>21</v>
      </c>
      <c r="AB21" s="471">
        <v>46</v>
      </c>
      <c r="AC21" s="501">
        <f>SUM(AA21:AB21)</f>
        <v>67</v>
      </c>
      <c r="AD21" s="472">
        <f>SUM('Aspirantes plan'!AE94)</f>
        <v>0</v>
      </c>
      <c r="AE21" s="471">
        <f>SUM('Aspirantes plan'!AF94)</f>
        <v>33</v>
      </c>
      <c r="AF21" s="501">
        <f>SUM(AD21:AE21)</f>
        <v>33</v>
      </c>
      <c r="AG21" s="472">
        <f>SUM('Aspirantes plan'!AH94)</f>
        <v>20</v>
      </c>
      <c r="AH21" s="471">
        <f>SUM('Aspirantes plan'!AI94)</f>
        <v>40</v>
      </c>
      <c r="AI21" s="501">
        <f>SUM(AG21:AH21)</f>
        <v>60</v>
      </c>
      <c r="AJ21" s="472">
        <f>SUM('Aspirantes plan'!AK94)</f>
        <v>21</v>
      </c>
      <c r="AK21" s="471">
        <f>SUM('Aspirantes plan'!AL94)</f>
        <v>45</v>
      </c>
      <c r="AL21" s="501">
        <f>SUM(AJ21:AK21)</f>
        <v>66</v>
      </c>
      <c r="AM21" s="472">
        <f>SUM('Aspirantes plan'!AN94)</f>
        <v>23</v>
      </c>
      <c r="AN21" s="471">
        <f>SUM('Aspirantes plan'!AO94)</f>
        <v>56</v>
      </c>
      <c r="AO21" s="501">
        <f>SUM(AM21:AN21)</f>
        <v>79</v>
      </c>
    </row>
    <row r="22" spans="1:41" s="186" customFormat="1" ht="15" customHeight="1" x14ac:dyDescent="0.2">
      <c r="A22" s="5068"/>
      <c r="B22" s="505" t="s">
        <v>6</v>
      </c>
      <c r="C22" s="712"/>
      <c r="D22" s="506"/>
      <c r="E22" s="506"/>
      <c r="F22" s="506"/>
      <c r="G22" s="506"/>
      <c r="H22" s="506"/>
      <c r="I22" s="506"/>
      <c r="J22" s="506"/>
      <c r="K22" s="506"/>
      <c r="L22" s="506"/>
      <c r="M22" s="506"/>
      <c r="N22" s="506"/>
      <c r="O22" s="506"/>
      <c r="P22" s="506"/>
      <c r="Q22" s="506"/>
      <c r="R22" s="506"/>
      <c r="S22" s="506"/>
      <c r="T22" s="506"/>
      <c r="U22" s="506"/>
      <c r="V22" s="506"/>
      <c r="W22" s="506"/>
      <c r="X22" s="506"/>
      <c r="Y22" s="506"/>
      <c r="Z22" s="507"/>
      <c r="AA22" s="475">
        <v>49</v>
      </c>
      <c r="AB22" s="474">
        <v>119</v>
      </c>
      <c r="AC22" s="507">
        <f>SUM(AA22:AB22)</f>
        <v>168</v>
      </c>
      <c r="AD22" s="475">
        <f>SUM('Aspirantes plan'!AE95)</f>
        <v>0</v>
      </c>
      <c r="AE22" s="474">
        <f>SUM('Aspirantes plan'!AF95)</f>
        <v>67</v>
      </c>
      <c r="AF22" s="507">
        <f>SUM(AD22:AE22)</f>
        <v>67</v>
      </c>
      <c r="AG22" s="475">
        <f>'Aspirantes plan'!AH97</f>
        <v>30</v>
      </c>
      <c r="AH22" s="474">
        <f>'Aspirantes plan'!AI97</f>
        <v>164</v>
      </c>
      <c r="AI22" s="507">
        <f>SUM(AG22:AH22)</f>
        <v>194</v>
      </c>
      <c r="AJ22" s="475">
        <f>'Aspirantes plan'!AK97</f>
        <v>0</v>
      </c>
      <c r="AK22" s="474">
        <f>'Aspirantes plan'!AL97</f>
        <v>285</v>
      </c>
      <c r="AL22" s="507">
        <f>SUM(AJ22:AK22)</f>
        <v>285</v>
      </c>
      <c r="AM22" s="475">
        <f>'Aspirantes plan'!AN97</f>
        <v>0</v>
      </c>
      <c r="AN22" s="474">
        <f>'Aspirantes plan'!AO97</f>
        <v>395</v>
      </c>
      <c r="AO22" s="507">
        <f>SUM(AM22:AN22)</f>
        <v>395</v>
      </c>
    </row>
    <row r="23" spans="1:41" s="186" customFormat="1" ht="15" customHeight="1" x14ac:dyDescent="0.2">
      <c r="A23" s="5068"/>
      <c r="B23" s="275" t="s">
        <v>11</v>
      </c>
      <c r="C23" s="712"/>
      <c r="D23" s="506"/>
      <c r="E23" s="506"/>
      <c r="F23" s="506"/>
      <c r="G23" s="506"/>
      <c r="H23" s="506"/>
      <c r="I23" s="506"/>
      <c r="J23" s="506"/>
      <c r="K23" s="506"/>
      <c r="L23" s="506"/>
      <c r="M23" s="506"/>
      <c r="N23" s="506"/>
      <c r="O23" s="506"/>
      <c r="P23" s="506"/>
      <c r="Q23" s="506"/>
      <c r="R23" s="506"/>
      <c r="S23" s="506"/>
      <c r="T23" s="506"/>
      <c r="U23" s="506"/>
      <c r="V23" s="506"/>
      <c r="W23" s="506"/>
      <c r="X23" s="506"/>
      <c r="Y23" s="506"/>
      <c r="Z23" s="507"/>
      <c r="AA23" s="276">
        <v>34</v>
      </c>
      <c r="AB23" s="277">
        <v>133</v>
      </c>
      <c r="AC23" s="507">
        <f>SUM(AA23:AB23)</f>
        <v>167</v>
      </c>
      <c r="AD23" s="276">
        <f>SUM('Aspirantes plan'!AE98)</f>
        <v>0</v>
      </c>
      <c r="AE23" s="277">
        <f>SUM('Aspirantes plan'!AF98)</f>
        <v>63</v>
      </c>
      <c r="AF23" s="595">
        <f>SUM(AD23:AE23)</f>
        <v>63</v>
      </c>
      <c r="AG23" s="276">
        <f>SUM('Aspirantes plan'!AH98)</f>
        <v>32</v>
      </c>
      <c r="AH23" s="277">
        <f>SUM('Aspirantes plan'!AI98)</f>
        <v>115</v>
      </c>
      <c r="AI23" s="595">
        <f>SUM(AG23:AH23)</f>
        <v>147</v>
      </c>
      <c r="AJ23" s="276">
        <f>SUM('Aspirantes plan'!AK98)</f>
        <v>43</v>
      </c>
      <c r="AK23" s="277">
        <f>SUM('Aspirantes plan'!AL98)</f>
        <v>39</v>
      </c>
      <c r="AL23" s="595">
        <f>SUM(AJ23:AK23)</f>
        <v>82</v>
      </c>
      <c r="AM23" s="276">
        <f>SUM('Aspirantes plan'!AN98)</f>
        <v>38</v>
      </c>
      <c r="AN23" s="277">
        <f>SUM('Aspirantes plan'!AO98)</f>
        <v>133</v>
      </c>
      <c r="AO23" s="595">
        <f>SUM(AM23:AN23)</f>
        <v>171</v>
      </c>
    </row>
    <row r="24" spans="1:41" s="188" customFormat="1" ht="15" customHeight="1" x14ac:dyDescent="0.2">
      <c r="A24" s="5068"/>
      <c r="B24" s="2397" t="s">
        <v>12</v>
      </c>
      <c r="C24" s="2476"/>
      <c r="D24" s="2477"/>
      <c r="E24" s="2477"/>
      <c r="F24" s="2477"/>
      <c r="G24" s="2477"/>
      <c r="H24" s="2477"/>
      <c r="I24" s="2477"/>
      <c r="J24" s="2477"/>
      <c r="K24" s="2477"/>
      <c r="L24" s="2477"/>
      <c r="M24" s="2477"/>
      <c r="N24" s="2477"/>
      <c r="O24" s="2477"/>
      <c r="P24" s="2477"/>
      <c r="Q24" s="2477"/>
      <c r="R24" s="2477"/>
      <c r="S24" s="2477"/>
      <c r="T24" s="2477"/>
      <c r="U24" s="2477"/>
      <c r="V24" s="2477"/>
      <c r="W24" s="2477"/>
      <c r="X24" s="2477"/>
      <c r="Y24" s="2477"/>
      <c r="Z24" s="2478"/>
      <c r="AA24" s="2398">
        <f>SUM(AA21:AA23)</f>
        <v>104</v>
      </c>
      <c r="AB24" s="2494">
        <v>298</v>
      </c>
      <c r="AC24" s="2408">
        <f>SUM(AA24:AB24)</f>
        <v>402</v>
      </c>
      <c r="AD24" s="2398">
        <f t="shared" ref="AD24:AI24" si="6">SUM(AD21:AD23)</f>
        <v>0</v>
      </c>
      <c r="AE24" s="2494">
        <f t="shared" si="6"/>
        <v>163</v>
      </c>
      <c r="AF24" s="2408">
        <f t="shared" si="6"/>
        <v>163</v>
      </c>
      <c r="AG24" s="2398">
        <f t="shared" si="6"/>
        <v>82</v>
      </c>
      <c r="AH24" s="2494">
        <f t="shared" si="6"/>
        <v>319</v>
      </c>
      <c r="AI24" s="2408">
        <f t="shared" si="6"/>
        <v>401</v>
      </c>
      <c r="AJ24" s="2398">
        <f t="shared" ref="AJ24:AO24" si="7">SUM(AJ21:AJ23)</f>
        <v>64</v>
      </c>
      <c r="AK24" s="2494">
        <f t="shared" si="7"/>
        <v>369</v>
      </c>
      <c r="AL24" s="2408">
        <f t="shared" si="7"/>
        <v>433</v>
      </c>
      <c r="AM24" s="2398">
        <f t="shared" si="7"/>
        <v>61</v>
      </c>
      <c r="AN24" s="2494">
        <f t="shared" si="7"/>
        <v>584</v>
      </c>
      <c r="AO24" s="2408">
        <f t="shared" si="7"/>
        <v>645</v>
      </c>
    </row>
    <row r="25" spans="1:41" s="188" customFormat="1" ht="15" customHeight="1" x14ac:dyDescent="0.2">
      <c r="A25" s="1037"/>
      <c r="B25" s="710"/>
      <c r="C25" s="710"/>
      <c r="D25" s="710"/>
      <c r="E25" s="710"/>
      <c r="F25" s="710"/>
      <c r="G25" s="710"/>
      <c r="H25" s="710"/>
      <c r="I25" s="710"/>
      <c r="J25" s="710"/>
      <c r="K25" s="710"/>
      <c r="L25" s="710"/>
      <c r="M25" s="710"/>
      <c r="N25" s="710"/>
      <c r="O25" s="710"/>
      <c r="P25" s="710"/>
      <c r="Q25" s="710"/>
      <c r="R25" s="710"/>
      <c r="S25" s="710"/>
      <c r="T25" s="710"/>
      <c r="U25" s="710"/>
      <c r="V25" s="710"/>
      <c r="W25" s="710"/>
      <c r="X25" s="710"/>
      <c r="Y25" s="710"/>
      <c r="Z25" s="710"/>
      <c r="AA25" s="710"/>
      <c r="AB25" s="710"/>
      <c r="AC25" s="710"/>
      <c r="AD25" s="710"/>
      <c r="AE25" s="710"/>
      <c r="AF25" s="710"/>
      <c r="AG25" s="710"/>
      <c r="AH25" s="710"/>
      <c r="AI25" s="710"/>
      <c r="AJ25" s="710"/>
      <c r="AK25" s="710"/>
      <c r="AL25" s="710"/>
      <c r="AM25" s="710"/>
      <c r="AN25" s="710"/>
      <c r="AO25" s="710"/>
    </row>
    <row r="26" spans="1:41" s="188" customFormat="1" ht="15" customHeight="1" x14ac:dyDescent="0.2">
      <c r="A26" s="5072" t="s">
        <v>10</v>
      </c>
      <c r="B26" s="499" t="s">
        <v>6</v>
      </c>
      <c r="C26" s="472">
        <v>3214</v>
      </c>
      <c r="D26" s="471">
        <v>6695</v>
      </c>
      <c r="E26" s="500">
        <v>9909</v>
      </c>
      <c r="F26" s="472">
        <v>3067</v>
      </c>
      <c r="G26" s="471">
        <v>6419</v>
      </c>
      <c r="H26" s="500">
        <v>9486</v>
      </c>
      <c r="I26" s="472">
        <v>3424</v>
      </c>
      <c r="J26" s="471">
        <v>6962</v>
      </c>
      <c r="K26" s="501">
        <v>10386</v>
      </c>
      <c r="L26" s="471">
        <v>3466</v>
      </c>
      <c r="M26" s="471">
        <v>6227</v>
      </c>
      <c r="N26" s="501">
        <v>9693</v>
      </c>
      <c r="O26" s="471">
        <v>3426</v>
      </c>
      <c r="P26" s="471">
        <v>6365</v>
      </c>
      <c r="Q26" s="501">
        <v>9791</v>
      </c>
      <c r="R26" s="471">
        <v>3760</v>
      </c>
      <c r="S26" s="471">
        <v>6538</v>
      </c>
      <c r="T26" s="501">
        <v>10298</v>
      </c>
      <c r="U26" s="472">
        <v>4082</v>
      </c>
      <c r="V26" s="471">
        <v>6936</v>
      </c>
      <c r="W26" s="501">
        <v>11018</v>
      </c>
      <c r="X26" s="472">
        <v>4056</v>
      </c>
      <c r="Y26" s="471">
        <v>7614</v>
      </c>
      <c r="Z26" s="501">
        <f>SUM(X26:Y26)</f>
        <v>11670</v>
      </c>
      <c r="AA26" s="472">
        <v>4430</v>
      </c>
      <c r="AB26" s="471">
        <v>7553</v>
      </c>
      <c r="AC26" s="501">
        <f>SUM(AA26:AB26)</f>
        <v>11983</v>
      </c>
      <c r="AD26" s="472">
        <f>SUM('Aspirantes plan'!AE57:AE62)</f>
        <v>4532</v>
      </c>
      <c r="AE26" s="471">
        <f>SUM('Aspirantes plan'!AF57:AF62)</f>
        <v>8284</v>
      </c>
      <c r="AF26" s="501">
        <f>SUM(AD26:AE26)</f>
        <v>12816</v>
      </c>
      <c r="AG26" s="472">
        <f>SUM('Aspirantes plan'!AH57:AH62)</f>
        <v>4055</v>
      </c>
      <c r="AH26" s="471">
        <f>SUM('Aspirantes plan'!AI57:AI62)</f>
        <v>8088</v>
      </c>
      <c r="AI26" s="501">
        <f>SUM(AG26:AH26)</f>
        <v>12143</v>
      </c>
      <c r="AJ26" s="472">
        <f>SUM('Aspirantes plan'!AK57:AK62)</f>
        <v>3460</v>
      </c>
      <c r="AK26" s="471">
        <f>SUM('Aspirantes plan'!AL57:AL62)</f>
        <v>7870</v>
      </c>
      <c r="AL26" s="501">
        <f>SUM(AJ26:AK26)</f>
        <v>11330</v>
      </c>
      <c r="AM26" s="472">
        <f>SUM('Aspirantes plan'!AN57:AN62)</f>
        <v>3758</v>
      </c>
      <c r="AN26" s="471">
        <f>SUM('Aspirantes plan'!AO57:AO62)</f>
        <v>7845</v>
      </c>
      <c r="AO26" s="501">
        <f>SUM(AM26:AN26)</f>
        <v>11603</v>
      </c>
    </row>
    <row r="27" spans="1:41" s="188" customFormat="1" ht="15" customHeight="1" x14ac:dyDescent="0.2">
      <c r="A27" s="5073"/>
      <c r="B27" s="505" t="s">
        <v>11</v>
      </c>
      <c r="C27" s="475">
        <v>3113</v>
      </c>
      <c r="D27" s="474">
        <v>7519</v>
      </c>
      <c r="E27" s="506">
        <v>10632</v>
      </c>
      <c r="F27" s="475">
        <v>3317</v>
      </c>
      <c r="G27" s="474">
        <v>8198</v>
      </c>
      <c r="H27" s="506">
        <v>11515</v>
      </c>
      <c r="I27" s="475">
        <v>3987</v>
      </c>
      <c r="J27" s="474">
        <v>8833</v>
      </c>
      <c r="K27" s="507">
        <v>12820</v>
      </c>
      <c r="L27" s="474">
        <v>4142</v>
      </c>
      <c r="M27" s="474">
        <v>8088</v>
      </c>
      <c r="N27" s="507">
        <v>12230</v>
      </c>
      <c r="O27" s="474">
        <v>3944</v>
      </c>
      <c r="P27" s="474">
        <v>8994</v>
      </c>
      <c r="Q27" s="507">
        <v>12938</v>
      </c>
      <c r="R27" s="474">
        <v>4808</v>
      </c>
      <c r="S27" s="474">
        <v>9456</v>
      </c>
      <c r="T27" s="507">
        <v>14264</v>
      </c>
      <c r="U27" s="475">
        <v>4993</v>
      </c>
      <c r="V27" s="474">
        <v>10161</v>
      </c>
      <c r="W27" s="507">
        <v>15154</v>
      </c>
      <c r="X27" s="475">
        <v>5014</v>
      </c>
      <c r="Y27" s="474">
        <v>11298</v>
      </c>
      <c r="Z27" s="507">
        <f>SUM(X27:Y27)</f>
        <v>16312</v>
      </c>
      <c r="AA27" s="475">
        <v>6087</v>
      </c>
      <c r="AB27" s="474">
        <v>11494</v>
      </c>
      <c r="AC27" s="507">
        <f>SUM(AA27:AB27)</f>
        <v>17581</v>
      </c>
      <c r="AD27" s="475">
        <f>SUM('Aspirantes plan'!AE64:AE71)</f>
        <v>6380</v>
      </c>
      <c r="AE27" s="474">
        <f>SUM('Aspirantes plan'!AF64:AF71)</f>
        <v>13392</v>
      </c>
      <c r="AF27" s="507">
        <f>SUM(AD27:AE27)</f>
        <v>19772</v>
      </c>
      <c r="AG27" s="475">
        <f>SUM('Aspirantes plan'!AH64:AH71)</f>
        <v>6342</v>
      </c>
      <c r="AH27" s="474">
        <f>SUM('Aspirantes plan'!AI64:AI71)</f>
        <v>14912</v>
      </c>
      <c r="AI27" s="507">
        <f>SUM(AG27:AH27)</f>
        <v>21254</v>
      </c>
      <c r="AJ27" s="475">
        <f>SUM('Aspirantes plan'!AK64:AK71)</f>
        <v>6027</v>
      </c>
      <c r="AK27" s="474">
        <f>SUM('Aspirantes plan'!AL64:AL71)</f>
        <v>15702</v>
      </c>
      <c r="AL27" s="507">
        <f>SUM(AJ27:AK27)</f>
        <v>21729</v>
      </c>
      <c r="AM27" s="475">
        <f>SUM('Aspirantes plan'!AN64:AN71)</f>
        <v>6965</v>
      </c>
      <c r="AN27" s="474">
        <f>SUM('Aspirantes plan'!AO64:AO71)</f>
        <v>17629</v>
      </c>
      <c r="AO27" s="507">
        <f>SUM(AM27:AN27)</f>
        <v>24594</v>
      </c>
    </row>
    <row r="28" spans="1:41" s="188" customFormat="1" ht="15" customHeight="1" x14ac:dyDescent="0.2">
      <c r="A28" s="5073"/>
      <c r="B28" s="275" t="s">
        <v>7</v>
      </c>
      <c r="C28" s="276">
        <v>1274</v>
      </c>
      <c r="D28" s="277">
        <v>2892</v>
      </c>
      <c r="E28" s="594">
        <v>4166</v>
      </c>
      <c r="F28" s="276">
        <v>1272</v>
      </c>
      <c r="G28" s="277">
        <v>3013</v>
      </c>
      <c r="H28" s="594">
        <v>4285</v>
      </c>
      <c r="I28" s="276">
        <v>1377</v>
      </c>
      <c r="J28" s="277">
        <v>2968</v>
      </c>
      <c r="K28" s="595">
        <v>4345</v>
      </c>
      <c r="L28" s="277">
        <v>1469</v>
      </c>
      <c r="M28" s="277">
        <v>2805</v>
      </c>
      <c r="N28" s="595">
        <v>4274</v>
      </c>
      <c r="O28" s="277">
        <v>1523</v>
      </c>
      <c r="P28" s="277">
        <v>3318</v>
      </c>
      <c r="Q28" s="595">
        <v>4841</v>
      </c>
      <c r="R28" s="277">
        <v>1996</v>
      </c>
      <c r="S28" s="277">
        <v>3591</v>
      </c>
      <c r="T28" s="595">
        <v>5587</v>
      </c>
      <c r="U28" s="276">
        <v>2024</v>
      </c>
      <c r="V28" s="277">
        <v>3932</v>
      </c>
      <c r="W28" s="595">
        <v>5956</v>
      </c>
      <c r="X28" s="276">
        <v>2205</v>
      </c>
      <c r="Y28" s="277">
        <v>4528</v>
      </c>
      <c r="Z28" s="595">
        <f>SUM(X28:Y28)</f>
        <v>6733</v>
      </c>
      <c r="AA28" s="276">
        <v>2499</v>
      </c>
      <c r="AB28" s="277">
        <v>4456</v>
      </c>
      <c r="AC28" s="507">
        <f>SUM(AA28:AB28)</f>
        <v>6955</v>
      </c>
      <c r="AD28" s="276">
        <f>SUM('Aspirantes plan'!AE73:AE76)</f>
        <v>2570</v>
      </c>
      <c r="AE28" s="277">
        <f>SUM('Aspirantes plan'!AF73:AF76)</f>
        <v>5107</v>
      </c>
      <c r="AF28" s="595">
        <f>SUM(AD28:AE28)</f>
        <v>7677</v>
      </c>
      <c r="AG28" s="276">
        <f>SUM('Aspirantes plan'!AH73:AH76)</f>
        <v>2401</v>
      </c>
      <c r="AH28" s="277">
        <f>SUM('Aspirantes plan'!AI73:AI76)</f>
        <v>4865</v>
      </c>
      <c r="AI28" s="595">
        <f>SUM(AG28:AH28)</f>
        <v>7266</v>
      </c>
      <c r="AJ28" s="276">
        <f>SUM('Aspirantes plan'!AK73:AK76)</f>
        <v>1904</v>
      </c>
      <c r="AK28" s="277">
        <f>SUM('Aspirantes plan'!AL73:AL76)</f>
        <v>4561</v>
      </c>
      <c r="AL28" s="595">
        <f>SUM(AJ28:AK28)</f>
        <v>6465</v>
      </c>
      <c r="AM28" s="276">
        <f>SUM('Aspirantes plan'!AN73:AN76)</f>
        <v>2054</v>
      </c>
      <c r="AN28" s="277">
        <f>SUM('Aspirantes plan'!AO73:AO76)</f>
        <v>4627</v>
      </c>
      <c r="AO28" s="595">
        <f>SUM(AM28:AN28)</f>
        <v>6681</v>
      </c>
    </row>
    <row r="29" spans="1:41" s="188" customFormat="1" ht="15" customHeight="1" x14ac:dyDescent="0.2">
      <c r="A29" s="5074"/>
      <c r="B29" s="2409" t="s">
        <v>12</v>
      </c>
      <c r="C29" s="2410">
        <v>7601</v>
      </c>
      <c r="D29" s="2486">
        <v>17106</v>
      </c>
      <c r="E29" s="2486">
        <v>24707</v>
      </c>
      <c r="F29" s="2410">
        <v>7656</v>
      </c>
      <c r="G29" s="2486">
        <v>17630</v>
      </c>
      <c r="H29" s="2486">
        <v>25286</v>
      </c>
      <c r="I29" s="2410">
        <v>8788</v>
      </c>
      <c r="J29" s="2486">
        <v>18763</v>
      </c>
      <c r="K29" s="2487">
        <v>27551</v>
      </c>
      <c r="L29" s="2486">
        <v>9077</v>
      </c>
      <c r="M29" s="2486">
        <v>17120</v>
      </c>
      <c r="N29" s="2487">
        <v>26197</v>
      </c>
      <c r="O29" s="2486">
        <v>8893</v>
      </c>
      <c r="P29" s="2486">
        <v>18677</v>
      </c>
      <c r="Q29" s="2487">
        <v>27570</v>
      </c>
      <c r="R29" s="2486">
        <v>10564</v>
      </c>
      <c r="S29" s="2486">
        <v>19585</v>
      </c>
      <c r="T29" s="2487">
        <v>30149</v>
      </c>
      <c r="U29" s="2410">
        <v>11099</v>
      </c>
      <c r="V29" s="2486">
        <v>21029</v>
      </c>
      <c r="W29" s="2487">
        <v>32128</v>
      </c>
      <c r="X29" s="2410">
        <f>SUM(X26:X28)</f>
        <v>11275</v>
      </c>
      <c r="Y29" s="2486">
        <v>23440</v>
      </c>
      <c r="Z29" s="2487">
        <f>SUM(X29:Y29)</f>
        <v>34715</v>
      </c>
      <c r="AA29" s="2410">
        <f>SUM(AA26:AA28)</f>
        <v>13016</v>
      </c>
      <c r="AB29" s="2486">
        <v>23503</v>
      </c>
      <c r="AC29" s="2487">
        <f>SUM(AA29:AB29)</f>
        <v>36519</v>
      </c>
      <c r="AD29" s="2410">
        <f t="shared" ref="AD29:AI29" si="8">SUM(AD26:AD28)</f>
        <v>13482</v>
      </c>
      <c r="AE29" s="2486">
        <f t="shared" si="8"/>
        <v>26783</v>
      </c>
      <c r="AF29" s="2487">
        <f t="shared" si="8"/>
        <v>40265</v>
      </c>
      <c r="AG29" s="2410">
        <f t="shared" si="8"/>
        <v>12798</v>
      </c>
      <c r="AH29" s="2486">
        <f t="shared" si="8"/>
        <v>27865</v>
      </c>
      <c r="AI29" s="2487">
        <f t="shared" si="8"/>
        <v>40663</v>
      </c>
      <c r="AJ29" s="2410">
        <f t="shared" ref="AJ29:AO29" si="9">SUM(AJ26:AJ28)</f>
        <v>11391</v>
      </c>
      <c r="AK29" s="2486">
        <f t="shared" si="9"/>
        <v>28133</v>
      </c>
      <c r="AL29" s="2487">
        <f t="shared" si="9"/>
        <v>39524</v>
      </c>
      <c r="AM29" s="2410">
        <f t="shared" si="9"/>
        <v>12777</v>
      </c>
      <c r="AN29" s="2486">
        <f t="shared" si="9"/>
        <v>30101</v>
      </c>
      <c r="AO29" s="2487">
        <f t="shared" si="9"/>
        <v>42878</v>
      </c>
    </row>
    <row r="30" spans="1:41" s="186" customFormat="1" ht="15" customHeight="1" x14ac:dyDescent="0.2">
      <c r="AC30" s="188"/>
      <c r="AF30" s="188"/>
      <c r="AI30" s="188"/>
      <c r="AL30" s="188"/>
      <c r="AO30" s="188"/>
    </row>
    <row r="31" spans="1:41" s="186" customFormat="1" ht="15" customHeight="1" x14ac:dyDescent="0.2">
      <c r="A31" s="5059" t="s">
        <v>60</v>
      </c>
      <c r="B31" s="499" t="s">
        <v>5</v>
      </c>
      <c r="C31" s="472">
        <v>2142</v>
      </c>
      <c r="D31" s="471">
        <v>6232</v>
      </c>
      <c r="E31" s="500">
        <v>8374</v>
      </c>
      <c r="F31" s="472">
        <v>2528</v>
      </c>
      <c r="G31" s="471">
        <v>6915</v>
      </c>
      <c r="H31" s="500">
        <v>9443</v>
      </c>
      <c r="I31" s="472">
        <v>2820</v>
      </c>
      <c r="J31" s="471">
        <v>6888</v>
      </c>
      <c r="K31" s="501">
        <v>9708</v>
      </c>
      <c r="L31" s="471">
        <v>2909</v>
      </c>
      <c r="M31" s="471">
        <v>5898</v>
      </c>
      <c r="N31" s="501">
        <v>8807</v>
      </c>
      <c r="O31" s="471">
        <v>2452</v>
      </c>
      <c r="P31" s="471">
        <v>6197</v>
      </c>
      <c r="Q31" s="501">
        <v>8649</v>
      </c>
      <c r="R31" s="471">
        <v>2875</v>
      </c>
      <c r="S31" s="471">
        <v>6522</v>
      </c>
      <c r="T31" s="501">
        <v>9397</v>
      </c>
      <c r="U31" s="472">
        <v>3060</v>
      </c>
      <c r="V31" s="471">
        <v>7302</v>
      </c>
      <c r="W31" s="501">
        <v>10362</v>
      </c>
      <c r="X31" s="472">
        <f>X6+X16</f>
        <v>2783</v>
      </c>
      <c r="Y31" s="471">
        <v>8614</v>
      </c>
      <c r="Z31" s="501">
        <f t="shared" ref="Z31:Z36" si="10">SUM(X31:Y31)</f>
        <v>11397</v>
      </c>
      <c r="AA31" s="472">
        <f>SUM(AA6,AA16,AA21)</f>
        <v>3071</v>
      </c>
      <c r="AB31" s="471">
        <f>SUM(AB6,AB16,AB21)</f>
        <v>8259</v>
      </c>
      <c r="AC31" s="501">
        <f>SUM(AA31:AB31)</f>
        <v>11330</v>
      </c>
      <c r="AD31" s="472">
        <f>SUM(AD6,AD16,AD21)</f>
        <v>3136</v>
      </c>
      <c r="AE31" s="471">
        <f>SUM(AE6,AE16,AE21)</f>
        <v>9508</v>
      </c>
      <c r="AF31" s="501">
        <f t="shared" ref="AF31:AF36" si="11">SUM(AD31:AE31)</f>
        <v>12644</v>
      </c>
      <c r="AG31" s="472">
        <f>SUM(AG6,AG16,AG21)</f>
        <v>2851</v>
      </c>
      <c r="AH31" s="471">
        <f>SUM(AH6,AH16,AH21)</f>
        <v>9811</v>
      </c>
      <c r="AI31" s="501">
        <f t="shared" ref="AI31:AI36" si="12">SUM(AG31:AH31)</f>
        <v>12662</v>
      </c>
      <c r="AJ31" s="472">
        <f>SUM(AJ6,AJ16,AJ21)</f>
        <v>2625</v>
      </c>
      <c r="AK31" s="471">
        <f>SUM(AK6,AK16,AK21)</f>
        <v>10171</v>
      </c>
      <c r="AL31" s="501">
        <f t="shared" ref="AL31:AL36" si="13">SUM(AJ31:AK31)</f>
        <v>12796</v>
      </c>
      <c r="AM31" s="472">
        <f>SUM(AM6,AM16,AM21)</f>
        <v>3024</v>
      </c>
      <c r="AN31" s="471">
        <f>SUM(AN6,AN16,AN21)</f>
        <v>11294</v>
      </c>
      <c r="AO31" s="501">
        <f t="shared" ref="AO31:AO36" si="14">SUM(AM31:AN31)</f>
        <v>14318</v>
      </c>
    </row>
    <row r="32" spans="1:41" s="186" customFormat="1" ht="15" customHeight="1" x14ac:dyDescent="0.2">
      <c r="A32" s="5060"/>
      <c r="B32" s="505" t="s">
        <v>6</v>
      </c>
      <c r="C32" s="475">
        <v>6809</v>
      </c>
      <c r="D32" s="474">
        <v>17023</v>
      </c>
      <c r="E32" s="506">
        <v>23832</v>
      </c>
      <c r="F32" s="475">
        <v>6530</v>
      </c>
      <c r="G32" s="474">
        <v>16917</v>
      </c>
      <c r="H32" s="506">
        <v>23447</v>
      </c>
      <c r="I32" s="475">
        <v>7288</v>
      </c>
      <c r="J32" s="474">
        <v>18221</v>
      </c>
      <c r="K32" s="507">
        <v>25509</v>
      </c>
      <c r="L32" s="474">
        <v>7478</v>
      </c>
      <c r="M32" s="474">
        <v>16690</v>
      </c>
      <c r="N32" s="507">
        <v>24168</v>
      </c>
      <c r="O32" s="474">
        <v>7305</v>
      </c>
      <c r="P32" s="474">
        <v>17527</v>
      </c>
      <c r="Q32" s="507">
        <v>24832</v>
      </c>
      <c r="R32" s="474">
        <v>8038</v>
      </c>
      <c r="S32" s="474">
        <v>18160</v>
      </c>
      <c r="T32" s="507">
        <v>26198</v>
      </c>
      <c r="U32" s="475">
        <v>8386</v>
      </c>
      <c r="V32" s="474">
        <v>19412</v>
      </c>
      <c r="W32" s="507">
        <v>27798</v>
      </c>
      <c r="X32" s="475">
        <f>SUM(X7,X17,X26,X11,X22)</f>
        <v>8724</v>
      </c>
      <c r="Y32" s="474">
        <v>21525</v>
      </c>
      <c r="Z32" s="507">
        <f t="shared" si="10"/>
        <v>30249</v>
      </c>
      <c r="AA32" s="475">
        <f>SUM(AA7,AA17,AA26,AA11,AA22)</f>
        <v>9648</v>
      </c>
      <c r="AB32" s="474">
        <f>SUM(AB7,AB17,AB26,AB11,AB22)</f>
        <v>20993</v>
      </c>
      <c r="AC32" s="507">
        <f>SUM(AC7,AC17,AC26,AC11,AC22)</f>
        <v>30641</v>
      </c>
      <c r="AD32" s="475">
        <f>SUM(AD7,AD11,AD17,AD22,AD26)</f>
        <v>9642</v>
      </c>
      <c r="AE32" s="474">
        <f>SUM(AE7,AE11,AE17,AE22,AE26)</f>
        <v>23601</v>
      </c>
      <c r="AF32" s="507">
        <f t="shared" si="11"/>
        <v>33243</v>
      </c>
      <c r="AG32" s="475">
        <f>SUM(AG7,AG11,AG17,AG22,AG26)</f>
        <v>8830</v>
      </c>
      <c r="AH32" s="474">
        <f>SUM(AH7,AH11,AH17,AH22,AH26)</f>
        <v>23815</v>
      </c>
      <c r="AI32" s="507">
        <f t="shared" si="12"/>
        <v>32645</v>
      </c>
      <c r="AJ32" s="475">
        <f>SUM(AJ7,AJ11,AJ17,AJ22,AJ26)</f>
        <v>7868</v>
      </c>
      <c r="AK32" s="474">
        <f>SUM(AK7,AK11,AK17,AK22,AK26)</f>
        <v>23486</v>
      </c>
      <c r="AL32" s="507">
        <f t="shared" si="13"/>
        <v>31354</v>
      </c>
      <c r="AM32" s="475">
        <f>SUM(AM7,AM11,AM17,AM22,AM26)</f>
        <v>8691</v>
      </c>
      <c r="AN32" s="474">
        <f>SUM(AN7,AN11,AN17,AN22,AN26)</f>
        <v>24468</v>
      </c>
      <c r="AO32" s="507">
        <f t="shared" si="14"/>
        <v>33159</v>
      </c>
    </row>
    <row r="33" spans="1:41" s="186" customFormat="1" ht="15" customHeight="1" x14ac:dyDescent="0.2">
      <c r="A33" s="5060"/>
      <c r="B33" s="505" t="s">
        <v>11</v>
      </c>
      <c r="C33" s="475">
        <v>3453</v>
      </c>
      <c r="D33" s="474">
        <v>8373</v>
      </c>
      <c r="E33" s="506">
        <v>11826</v>
      </c>
      <c r="F33" s="475">
        <v>3649</v>
      </c>
      <c r="G33" s="474">
        <v>9115</v>
      </c>
      <c r="H33" s="506">
        <v>12764</v>
      </c>
      <c r="I33" s="475">
        <v>4326</v>
      </c>
      <c r="J33" s="474">
        <v>9854</v>
      </c>
      <c r="K33" s="507">
        <v>14180</v>
      </c>
      <c r="L33" s="474">
        <v>4556</v>
      </c>
      <c r="M33" s="474">
        <v>9158</v>
      </c>
      <c r="N33" s="507">
        <v>13714</v>
      </c>
      <c r="O33" s="474">
        <v>4345</v>
      </c>
      <c r="P33" s="474">
        <v>10038</v>
      </c>
      <c r="Q33" s="507">
        <v>14383</v>
      </c>
      <c r="R33" s="474">
        <v>5306</v>
      </c>
      <c r="S33" s="474">
        <v>10854</v>
      </c>
      <c r="T33" s="507">
        <v>16160</v>
      </c>
      <c r="U33" s="475">
        <v>5574</v>
      </c>
      <c r="V33" s="474">
        <v>11776</v>
      </c>
      <c r="W33" s="507">
        <v>17350</v>
      </c>
      <c r="X33" s="475">
        <f>X18+X27</f>
        <v>5678</v>
      </c>
      <c r="Y33" s="474">
        <v>13028</v>
      </c>
      <c r="Z33" s="507">
        <f t="shared" si="10"/>
        <v>18706</v>
      </c>
      <c r="AA33" s="475">
        <f>SUM(AA18,AA27,AA23)</f>
        <v>7007</v>
      </c>
      <c r="AB33" s="474">
        <f>SUM(AB18,AB27,AB23)</f>
        <v>13345</v>
      </c>
      <c r="AC33" s="507">
        <f>SUM(AA33:AB33)</f>
        <v>20352</v>
      </c>
      <c r="AD33" s="475">
        <f>SUM(AD18,AD23,AD27)</f>
        <v>7238</v>
      </c>
      <c r="AE33" s="474">
        <f>SUM(AE18,AE23,AE27)</f>
        <v>15425</v>
      </c>
      <c r="AF33" s="507">
        <f t="shared" si="11"/>
        <v>22663</v>
      </c>
      <c r="AG33" s="475">
        <f>SUM(AG18,AG23,AG27)</f>
        <v>7184</v>
      </c>
      <c r="AH33" s="474">
        <f>SUM(AH18,AH23,AH27)</f>
        <v>17047</v>
      </c>
      <c r="AI33" s="507">
        <f t="shared" si="12"/>
        <v>24231</v>
      </c>
      <c r="AJ33" s="475">
        <f>SUM(AJ18,AJ23,AJ27)</f>
        <v>6852</v>
      </c>
      <c r="AK33" s="474">
        <f>SUM(AK18,AK23,AK27)</f>
        <v>17932</v>
      </c>
      <c r="AL33" s="507">
        <f t="shared" si="13"/>
        <v>24784</v>
      </c>
      <c r="AM33" s="475">
        <f>SUM(AM18,AM23,AM27)</f>
        <v>7890</v>
      </c>
      <c r="AN33" s="474">
        <f>SUM(AN18,AN23,AN27)</f>
        <v>19990</v>
      </c>
      <c r="AO33" s="507">
        <f t="shared" si="14"/>
        <v>27880</v>
      </c>
    </row>
    <row r="34" spans="1:41" s="186" customFormat="1" ht="15" customHeight="1" x14ac:dyDescent="0.2">
      <c r="A34" s="5060"/>
      <c r="B34" s="505" t="s">
        <v>7</v>
      </c>
      <c r="C34" s="475">
        <v>2701</v>
      </c>
      <c r="D34" s="474">
        <v>6547</v>
      </c>
      <c r="E34" s="506">
        <v>9248</v>
      </c>
      <c r="F34" s="475">
        <v>2791</v>
      </c>
      <c r="G34" s="474">
        <v>6878</v>
      </c>
      <c r="H34" s="506">
        <v>9669</v>
      </c>
      <c r="I34" s="475">
        <v>3012</v>
      </c>
      <c r="J34" s="474">
        <v>7011</v>
      </c>
      <c r="K34" s="507">
        <v>10023</v>
      </c>
      <c r="L34" s="474">
        <v>3181</v>
      </c>
      <c r="M34" s="474">
        <v>6482</v>
      </c>
      <c r="N34" s="507">
        <v>9663</v>
      </c>
      <c r="O34" s="474">
        <v>3297</v>
      </c>
      <c r="P34" s="474">
        <v>7665</v>
      </c>
      <c r="Q34" s="507">
        <v>10962</v>
      </c>
      <c r="R34" s="474">
        <v>4297</v>
      </c>
      <c r="S34" s="474">
        <v>8212</v>
      </c>
      <c r="T34" s="507">
        <v>12509</v>
      </c>
      <c r="U34" s="475">
        <v>4397</v>
      </c>
      <c r="V34" s="474">
        <v>8963</v>
      </c>
      <c r="W34" s="507">
        <v>13360</v>
      </c>
      <c r="X34" s="475">
        <f>X8+X28</f>
        <v>4775</v>
      </c>
      <c r="Y34" s="474">
        <v>10326</v>
      </c>
      <c r="Z34" s="507">
        <f t="shared" si="10"/>
        <v>15101</v>
      </c>
      <c r="AA34" s="475">
        <f>SUM(AA8,AA28)</f>
        <v>5424</v>
      </c>
      <c r="AB34" s="474">
        <f>SUM(AB8,AB28)</f>
        <v>9889</v>
      </c>
      <c r="AC34" s="507">
        <f>SUM(AA34:AB34)</f>
        <v>15313</v>
      </c>
      <c r="AD34" s="475">
        <f>SUM(AD8,AD28)</f>
        <v>5469</v>
      </c>
      <c r="AE34" s="474">
        <f>SUM(AE8,AE28)</f>
        <v>11686</v>
      </c>
      <c r="AF34" s="507">
        <f t="shared" si="11"/>
        <v>17155</v>
      </c>
      <c r="AG34" s="475">
        <f>SUM(AG8,AG28)</f>
        <v>5006</v>
      </c>
      <c r="AH34" s="474">
        <f>SUM(AH8,AH28)</f>
        <v>10917</v>
      </c>
      <c r="AI34" s="507">
        <f t="shared" si="12"/>
        <v>15923</v>
      </c>
      <c r="AJ34" s="475">
        <f>SUM(AJ8,AJ28)</f>
        <v>4170</v>
      </c>
      <c r="AK34" s="474">
        <f>SUM(AK8,AK28)</f>
        <v>10280</v>
      </c>
      <c r="AL34" s="507">
        <f t="shared" si="13"/>
        <v>14450</v>
      </c>
      <c r="AM34" s="475">
        <f>SUM(AM8,AM28)</f>
        <v>4352</v>
      </c>
      <c r="AN34" s="474">
        <f>SUM(AN8,AN28)</f>
        <v>10100</v>
      </c>
      <c r="AO34" s="507">
        <f t="shared" si="14"/>
        <v>14452</v>
      </c>
    </row>
    <row r="35" spans="1:41" s="186" customFormat="1" ht="15" customHeight="1" x14ac:dyDescent="0.2">
      <c r="A35" s="5060"/>
      <c r="B35" s="505" t="s">
        <v>9</v>
      </c>
      <c r="C35" s="475"/>
      <c r="D35" s="474"/>
      <c r="E35" s="506"/>
      <c r="F35" s="475"/>
      <c r="G35" s="474"/>
      <c r="H35" s="506">
        <v>0</v>
      </c>
      <c r="I35" s="475"/>
      <c r="J35" s="474">
        <v>135</v>
      </c>
      <c r="K35" s="507">
        <v>135</v>
      </c>
      <c r="L35" s="474"/>
      <c r="M35" s="474">
        <v>89</v>
      </c>
      <c r="N35" s="507">
        <v>89</v>
      </c>
      <c r="O35" s="474"/>
      <c r="P35" s="474">
        <v>588</v>
      </c>
      <c r="Q35" s="507">
        <v>588</v>
      </c>
      <c r="R35" s="474"/>
      <c r="S35" s="474">
        <v>685</v>
      </c>
      <c r="T35" s="507">
        <v>685</v>
      </c>
      <c r="U35" s="475"/>
      <c r="V35" s="474">
        <v>879</v>
      </c>
      <c r="W35" s="507">
        <v>879</v>
      </c>
      <c r="X35" s="475"/>
      <c r="Y35" s="474">
        <v>1094</v>
      </c>
      <c r="Z35" s="507">
        <f t="shared" si="10"/>
        <v>1094</v>
      </c>
      <c r="AA35" s="475"/>
      <c r="AB35" s="474">
        <f>SUM(AB12)</f>
        <v>1011</v>
      </c>
      <c r="AC35" s="507">
        <f>SUM(AA35:AB35)</f>
        <v>1011</v>
      </c>
      <c r="AD35" s="475">
        <f>SUM(AD12)</f>
        <v>0</v>
      </c>
      <c r="AE35" s="474">
        <f>SUM(AE12)</f>
        <v>1001</v>
      </c>
      <c r="AF35" s="507">
        <f t="shared" si="11"/>
        <v>1001</v>
      </c>
      <c r="AG35" s="475">
        <f>SUM(AG12)</f>
        <v>0</v>
      </c>
      <c r="AH35" s="474">
        <f>SUM(AH12)</f>
        <v>1887</v>
      </c>
      <c r="AI35" s="507">
        <f t="shared" si="12"/>
        <v>1887</v>
      </c>
      <c r="AJ35" s="475">
        <f>SUM(AJ12)</f>
        <v>0</v>
      </c>
      <c r="AK35" s="474">
        <f>SUM(AK12)</f>
        <v>1920</v>
      </c>
      <c r="AL35" s="507">
        <f t="shared" si="13"/>
        <v>1920</v>
      </c>
      <c r="AM35" s="475">
        <f>SUM(AM12)</f>
        <v>0</v>
      </c>
      <c r="AN35" s="474">
        <f>SUM(AN12)</f>
        <v>1926</v>
      </c>
      <c r="AO35" s="507">
        <f t="shared" si="14"/>
        <v>1926</v>
      </c>
    </row>
    <row r="36" spans="1:41" s="186" customFormat="1" ht="15" customHeight="1" x14ac:dyDescent="0.2">
      <c r="A36" s="5060"/>
      <c r="B36" s="511" t="s">
        <v>74</v>
      </c>
      <c r="C36" s="478"/>
      <c r="D36" s="477"/>
      <c r="E36" s="512"/>
      <c r="F36" s="478"/>
      <c r="G36" s="477"/>
      <c r="H36" s="512">
        <v>0</v>
      </c>
      <c r="I36" s="478"/>
      <c r="J36" s="477">
        <v>209</v>
      </c>
      <c r="K36" s="513">
        <v>209</v>
      </c>
      <c r="L36" s="477"/>
      <c r="M36" s="477">
        <v>94</v>
      </c>
      <c r="N36" s="513">
        <v>94</v>
      </c>
      <c r="O36" s="477"/>
      <c r="P36" s="477">
        <v>169</v>
      </c>
      <c r="Q36" s="513">
        <v>169</v>
      </c>
      <c r="R36" s="477"/>
      <c r="S36" s="477">
        <v>246</v>
      </c>
      <c r="T36" s="513">
        <v>246</v>
      </c>
      <c r="U36" s="478"/>
      <c r="V36" s="477">
        <v>241</v>
      </c>
      <c r="W36" s="513">
        <v>241</v>
      </c>
      <c r="X36" s="478"/>
      <c r="Y36" s="477">
        <v>444</v>
      </c>
      <c r="Z36" s="513">
        <f t="shared" si="10"/>
        <v>444</v>
      </c>
      <c r="AA36" s="478"/>
      <c r="AB36" s="477">
        <f>SUM(AB13)</f>
        <v>380</v>
      </c>
      <c r="AC36" s="513">
        <f>SUM(AA36:AB36)</f>
        <v>380</v>
      </c>
      <c r="AD36" s="478">
        <f>SUM(AD13)</f>
        <v>0</v>
      </c>
      <c r="AE36" s="477">
        <f>SUM(AE13)</f>
        <v>363</v>
      </c>
      <c r="AF36" s="513">
        <f t="shared" si="11"/>
        <v>363</v>
      </c>
      <c r="AG36" s="478">
        <f>SUM(AG13)</f>
        <v>0</v>
      </c>
      <c r="AH36" s="477">
        <f>SUM(AH13)</f>
        <v>770</v>
      </c>
      <c r="AI36" s="513">
        <f t="shared" si="12"/>
        <v>770</v>
      </c>
      <c r="AJ36" s="478">
        <f>SUM(AJ13)</f>
        <v>0</v>
      </c>
      <c r="AK36" s="477">
        <f>SUM(AK13)</f>
        <v>849</v>
      </c>
      <c r="AL36" s="513">
        <f t="shared" si="13"/>
        <v>849</v>
      </c>
      <c r="AM36" s="478">
        <f>SUM(AM13)</f>
        <v>0</v>
      </c>
      <c r="AN36" s="477">
        <f>SUM(AN13)</f>
        <v>955</v>
      </c>
      <c r="AO36" s="513">
        <f t="shared" si="14"/>
        <v>955</v>
      </c>
    </row>
    <row r="37" spans="1:41" s="188" customFormat="1" ht="15.75" customHeight="1" x14ac:dyDescent="0.2">
      <c r="A37" s="5061"/>
      <c r="B37" s="573" t="s">
        <v>12</v>
      </c>
      <c r="C37" s="574">
        <f>SUM(C31:C36)</f>
        <v>15105</v>
      </c>
      <c r="D37" s="575">
        <f>SUM(D31:D36)</f>
        <v>38175</v>
      </c>
      <c r="E37" s="575">
        <f>SUM(E31:E36)</f>
        <v>53280</v>
      </c>
      <c r="F37" s="574">
        <f>SUM(F31:F36)</f>
        <v>15498</v>
      </c>
      <c r="G37" s="575">
        <f t="shared" ref="G37:AC37" si="15">SUM(G31:G36)</f>
        <v>39825</v>
      </c>
      <c r="H37" s="575">
        <f t="shared" si="15"/>
        <v>55323</v>
      </c>
      <c r="I37" s="574">
        <f t="shared" si="15"/>
        <v>17446</v>
      </c>
      <c r="J37" s="575">
        <f t="shared" si="15"/>
        <v>42318</v>
      </c>
      <c r="K37" s="575">
        <f t="shared" si="15"/>
        <v>59764</v>
      </c>
      <c r="L37" s="574">
        <f t="shared" si="15"/>
        <v>18124</v>
      </c>
      <c r="M37" s="575">
        <f t="shared" si="15"/>
        <v>38411</v>
      </c>
      <c r="N37" s="575">
        <f t="shared" si="15"/>
        <v>56535</v>
      </c>
      <c r="O37" s="574">
        <f t="shared" si="15"/>
        <v>17399</v>
      </c>
      <c r="P37" s="575">
        <f t="shared" si="15"/>
        <v>42184</v>
      </c>
      <c r="Q37" s="575">
        <f t="shared" si="15"/>
        <v>59583</v>
      </c>
      <c r="R37" s="574">
        <f t="shared" si="15"/>
        <v>20516</v>
      </c>
      <c r="S37" s="575">
        <f t="shared" si="15"/>
        <v>44679</v>
      </c>
      <c r="T37" s="575">
        <f t="shared" si="15"/>
        <v>65195</v>
      </c>
      <c r="U37" s="574">
        <f t="shared" si="15"/>
        <v>21417</v>
      </c>
      <c r="V37" s="575">
        <f t="shared" si="15"/>
        <v>48573</v>
      </c>
      <c r="W37" s="575">
        <f t="shared" si="15"/>
        <v>69990</v>
      </c>
      <c r="X37" s="574">
        <f t="shared" si="15"/>
        <v>21960</v>
      </c>
      <c r="Y37" s="575">
        <f t="shared" si="15"/>
        <v>55031</v>
      </c>
      <c r="Z37" s="575">
        <f t="shared" si="15"/>
        <v>76991</v>
      </c>
      <c r="AA37" s="574">
        <f t="shared" si="15"/>
        <v>25150</v>
      </c>
      <c r="AB37" s="575">
        <f t="shared" si="15"/>
        <v>53877</v>
      </c>
      <c r="AC37" s="576">
        <f t="shared" si="15"/>
        <v>79027</v>
      </c>
      <c r="AD37" s="574">
        <f t="shared" ref="AD37:AI37" si="16">SUM(AD31:AD36)</f>
        <v>25485</v>
      </c>
      <c r="AE37" s="575">
        <f t="shared" si="16"/>
        <v>61584</v>
      </c>
      <c r="AF37" s="576">
        <f t="shared" si="16"/>
        <v>87069</v>
      </c>
      <c r="AG37" s="574">
        <f t="shared" si="16"/>
        <v>23871</v>
      </c>
      <c r="AH37" s="575">
        <f t="shared" si="16"/>
        <v>64247</v>
      </c>
      <c r="AI37" s="576">
        <f t="shared" si="16"/>
        <v>88118</v>
      </c>
      <c r="AJ37" s="574">
        <f t="shared" ref="AJ37:AO37" si="17">SUM(AJ31:AJ36)</f>
        <v>21515</v>
      </c>
      <c r="AK37" s="575">
        <f t="shared" si="17"/>
        <v>64638</v>
      </c>
      <c r="AL37" s="576">
        <f t="shared" si="17"/>
        <v>86153</v>
      </c>
      <c r="AM37" s="574">
        <f t="shared" si="17"/>
        <v>23957</v>
      </c>
      <c r="AN37" s="575">
        <f t="shared" si="17"/>
        <v>68733</v>
      </c>
      <c r="AO37" s="576">
        <f t="shared" si="17"/>
        <v>92690</v>
      </c>
    </row>
    <row r="38" spans="1:41" ht="13.5" customHeight="1" x14ac:dyDescent="0.2">
      <c r="B38" s="376"/>
      <c r="C38" s="376"/>
      <c r="D38" s="376"/>
      <c r="E38" s="376"/>
    </row>
    <row r="39" spans="1:41" ht="12.75" customHeight="1" x14ac:dyDescent="0.2">
      <c r="A39" s="378" t="s">
        <v>350</v>
      </c>
      <c r="B39" s="572"/>
      <c r="C39" s="572"/>
      <c r="D39" s="572"/>
      <c r="E39" s="572"/>
    </row>
    <row r="40" spans="1:41" x14ac:dyDescent="0.2">
      <c r="A40" s="572"/>
      <c r="B40" s="572"/>
      <c r="C40" s="572"/>
      <c r="D40" s="572"/>
      <c r="E40" s="572"/>
    </row>
    <row r="46" spans="1:41" x14ac:dyDescent="0.2">
      <c r="S46" s="3985"/>
    </row>
    <row r="47" spans="1:41" x14ac:dyDescent="0.2">
      <c r="S47" s="3985"/>
    </row>
    <row r="48" spans="1:41" x14ac:dyDescent="0.2">
      <c r="S48" s="3985"/>
    </row>
    <row r="49" spans="19:19" x14ac:dyDescent="0.2">
      <c r="S49" s="3985"/>
    </row>
    <row r="50" spans="19:19" x14ac:dyDescent="0.2">
      <c r="S50" s="3985"/>
    </row>
    <row r="51" spans="19:19" x14ac:dyDescent="0.2">
      <c r="S51" s="3985">
        <v>2003</v>
      </c>
    </row>
    <row r="52" spans="19:19" x14ac:dyDescent="0.2">
      <c r="S52" s="3985">
        <v>2004</v>
      </c>
    </row>
    <row r="53" spans="19:19" x14ac:dyDescent="0.2">
      <c r="S53" s="3985">
        <v>2005</v>
      </c>
    </row>
    <row r="54" spans="19:19" x14ac:dyDescent="0.2">
      <c r="S54" s="3985">
        <v>2006</v>
      </c>
    </row>
    <row r="55" spans="19:19" x14ac:dyDescent="0.2">
      <c r="S55" s="3985">
        <v>2007</v>
      </c>
    </row>
    <row r="56" spans="19:19" x14ac:dyDescent="0.2">
      <c r="S56" s="3985">
        <v>2008</v>
      </c>
    </row>
    <row r="57" spans="19:19" x14ac:dyDescent="0.2">
      <c r="S57" s="3985">
        <v>2009</v>
      </c>
    </row>
    <row r="58" spans="19:19" x14ac:dyDescent="0.2">
      <c r="S58" s="3985">
        <v>2010</v>
      </c>
    </row>
    <row r="59" spans="19:19" x14ac:dyDescent="0.2">
      <c r="S59" s="3985">
        <v>2011</v>
      </c>
    </row>
    <row r="60" spans="19:19" x14ac:dyDescent="0.2">
      <c r="S60" s="3985">
        <v>2012</v>
      </c>
    </row>
    <row r="61" spans="19:19" x14ac:dyDescent="0.2">
      <c r="S61" s="3985">
        <v>2013</v>
      </c>
    </row>
    <row r="62" spans="19:19" x14ac:dyDescent="0.2">
      <c r="S62" s="3985">
        <v>2014</v>
      </c>
    </row>
    <row r="63" spans="19:19" x14ac:dyDescent="0.2">
      <c r="S63" s="3985">
        <v>2015</v>
      </c>
    </row>
    <row r="69" spans="19:23" x14ac:dyDescent="0.2">
      <c r="S69" s="3985"/>
    </row>
    <row r="70" spans="19:23" x14ac:dyDescent="0.2">
      <c r="S70" s="3985" t="s">
        <v>161</v>
      </c>
    </row>
    <row r="71" spans="19:23" x14ac:dyDescent="0.2">
      <c r="S71" s="3985" t="s">
        <v>410</v>
      </c>
    </row>
    <row r="72" spans="19:23" x14ac:dyDescent="0.2">
      <c r="S72" s="3985" t="s">
        <v>162</v>
      </c>
    </row>
    <row r="73" spans="19:23" x14ac:dyDescent="0.2">
      <c r="S73" s="3985" t="s">
        <v>411</v>
      </c>
    </row>
    <row r="74" spans="19:23" x14ac:dyDescent="0.2">
      <c r="S74" s="3985" t="s">
        <v>163</v>
      </c>
      <c r="W74" s="2382"/>
    </row>
    <row r="75" spans="19:23" x14ac:dyDescent="0.2">
      <c r="W75" s="2382"/>
    </row>
  </sheetData>
  <mergeCells count="22">
    <mergeCell ref="AM3:AO3"/>
    <mergeCell ref="O3:Q3"/>
    <mergeCell ref="C3:E3"/>
    <mergeCell ref="AJ3:AL3"/>
    <mergeCell ref="F3:H3"/>
    <mergeCell ref="I3:K3"/>
    <mergeCell ref="L3:N3"/>
    <mergeCell ref="AG3:AI3"/>
    <mergeCell ref="X3:Z3"/>
    <mergeCell ref="AA3:AC3"/>
    <mergeCell ref="AD3:AF3"/>
    <mergeCell ref="R3:T3"/>
    <mergeCell ref="U3:W3"/>
    <mergeCell ref="A1:B1"/>
    <mergeCell ref="A31:A37"/>
    <mergeCell ref="A16:A19"/>
    <mergeCell ref="A6:A9"/>
    <mergeCell ref="A21:A24"/>
    <mergeCell ref="A11:A14"/>
    <mergeCell ref="A26:A29"/>
    <mergeCell ref="A3:A4"/>
    <mergeCell ref="B3:B4"/>
  </mergeCells>
  <printOptions horizontalCentered="1" verticalCentered="1"/>
  <pageMargins left="0.15748031496062992" right="0.19685039370078741" top="0.31496062992125984" bottom="0.19685039370078741" header="0" footer="0.31496062992125984"/>
  <pageSetup scale="65" pageOrder="overThenDown" orientation="landscape" horizontalDpi="1200" verticalDpi="1200" r:id="rId1"/>
  <headerFooter alignWithMargins="0"/>
  <rowBreaks count="1" manualBreakCount="1">
    <brk id="40" max="37" man="1"/>
  </rowBreaks>
  <colBreaks count="2" manualBreakCount="2">
    <brk id="20" max="38" man="1"/>
    <brk id="38" max="38" man="1"/>
  </colBreaks>
  <ignoredErrors>
    <ignoredError sqref="Z6:Z9 Z16:Z19 Z35:Z36 Z26:Z28 AK12:AK13" formulaRange="1"/>
    <ignoredError sqref="AC31:AC36 AF31:AF36 AI31:AI36 AL31:AL36" formula="1"/>
  </ignoredError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AA100"/>
  <sheetViews>
    <sheetView showGridLines="0" topLeftCell="D1" zoomScaleNormal="100" zoomScaleSheetLayoutView="70" workbookViewId="0">
      <selection activeCell="H23" sqref="H23"/>
    </sheetView>
  </sheetViews>
  <sheetFormatPr baseColWidth="10" defaultRowHeight="12.75" x14ac:dyDescent="0.2"/>
  <cols>
    <col min="1" max="1" width="1.42578125" style="209" customWidth="1"/>
    <col min="2" max="2" width="13" style="209" customWidth="1"/>
    <col min="3" max="3" width="54.140625" style="210" customWidth="1"/>
    <col min="4" max="24" width="7.7109375" style="211" customWidth="1"/>
    <col min="25" max="27" width="7.7109375" style="209" customWidth="1"/>
    <col min="28" max="255" width="11.42578125" style="209"/>
    <col min="256" max="256" width="1.42578125" style="209" customWidth="1"/>
    <col min="257" max="257" width="14.85546875" style="209" bestFit="1" customWidth="1"/>
    <col min="258" max="258" width="13" style="209" customWidth="1"/>
    <col min="259" max="259" width="54.140625" style="209" customWidth="1"/>
    <col min="260" max="283" width="7.7109375" style="209" customWidth="1"/>
    <col min="284" max="511" width="11.42578125" style="209"/>
    <col min="512" max="512" width="1.42578125" style="209" customWidth="1"/>
    <col min="513" max="513" width="14.85546875" style="209" bestFit="1" customWidth="1"/>
    <col min="514" max="514" width="13" style="209" customWidth="1"/>
    <col min="515" max="515" width="54.140625" style="209" customWidth="1"/>
    <col min="516" max="539" width="7.7109375" style="209" customWidth="1"/>
    <col min="540" max="767" width="11.42578125" style="209"/>
    <col min="768" max="768" width="1.42578125" style="209" customWidth="1"/>
    <col min="769" max="769" width="14.85546875" style="209" bestFit="1" customWidth="1"/>
    <col min="770" max="770" width="13" style="209" customWidth="1"/>
    <col min="771" max="771" width="54.140625" style="209" customWidth="1"/>
    <col min="772" max="795" width="7.7109375" style="209" customWidth="1"/>
    <col min="796" max="1023" width="11.42578125" style="209"/>
    <col min="1024" max="1024" width="1.42578125" style="209" customWidth="1"/>
    <col min="1025" max="1025" width="14.85546875" style="209" bestFit="1" customWidth="1"/>
    <col min="1026" max="1026" width="13" style="209" customWidth="1"/>
    <col min="1027" max="1027" width="54.140625" style="209" customWidth="1"/>
    <col min="1028" max="1051" width="7.7109375" style="209" customWidth="1"/>
    <col min="1052" max="1279" width="11.42578125" style="209"/>
    <col min="1280" max="1280" width="1.42578125" style="209" customWidth="1"/>
    <col min="1281" max="1281" width="14.85546875" style="209" bestFit="1" customWidth="1"/>
    <col min="1282" max="1282" width="13" style="209" customWidth="1"/>
    <col min="1283" max="1283" width="54.140625" style="209" customWidth="1"/>
    <col min="1284" max="1307" width="7.7109375" style="209" customWidth="1"/>
    <col min="1308" max="1535" width="11.42578125" style="209"/>
    <col min="1536" max="1536" width="1.42578125" style="209" customWidth="1"/>
    <col min="1537" max="1537" width="14.85546875" style="209" bestFit="1" customWidth="1"/>
    <col min="1538" max="1538" width="13" style="209" customWidth="1"/>
    <col min="1539" max="1539" width="54.140625" style="209" customWidth="1"/>
    <col min="1540" max="1563" width="7.7109375" style="209" customWidth="1"/>
    <col min="1564" max="1791" width="11.42578125" style="209"/>
    <col min="1792" max="1792" width="1.42578125" style="209" customWidth="1"/>
    <col min="1793" max="1793" width="14.85546875" style="209" bestFit="1" customWidth="1"/>
    <col min="1794" max="1794" width="13" style="209" customWidth="1"/>
    <col min="1795" max="1795" width="54.140625" style="209" customWidth="1"/>
    <col min="1796" max="1819" width="7.7109375" style="209" customWidth="1"/>
    <col min="1820" max="2047" width="11.42578125" style="209"/>
    <col min="2048" max="2048" width="1.42578125" style="209" customWidth="1"/>
    <col min="2049" max="2049" width="14.85546875" style="209" bestFit="1" customWidth="1"/>
    <col min="2050" max="2050" width="13" style="209" customWidth="1"/>
    <col min="2051" max="2051" width="54.140625" style="209" customWidth="1"/>
    <col min="2052" max="2075" width="7.7109375" style="209" customWidth="1"/>
    <col min="2076" max="2303" width="11.42578125" style="209"/>
    <col min="2304" max="2304" width="1.42578125" style="209" customWidth="1"/>
    <col min="2305" max="2305" width="14.85546875" style="209" bestFit="1" customWidth="1"/>
    <col min="2306" max="2306" width="13" style="209" customWidth="1"/>
    <col min="2307" max="2307" width="54.140625" style="209" customWidth="1"/>
    <col min="2308" max="2331" width="7.7109375" style="209" customWidth="1"/>
    <col min="2332" max="2559" width="11.42578125" style="209"/>
    <col min="2560" max="2560" width="1.42578125" style="209" customWidth="1"/>
    <col min="2561" max="2561" width="14.85546875" style="209" bestFit="1" customWidth="1"/>
    <col min="2562" max="2562" width="13" style="209" customWidth="1"/>
    <col min="2563" max="2563" width="54.140625" style="209" customWidth="1"/>
    <col min="2564" max="2587" width="7.7109375" style="209" customWidth="1"/>
    <col min="2588" max="2815" width="11.42578125" style="209"/>
    <col min="2816" max="2816" width="1.42578125" style="209" customWidth="1"/>
    <col min="2817" max="2817" width="14.85546875" style="209" bestFit="1" customWidth="1"/>
    <col min="2818" max="2818" width="13" style="209" customWidth="1"/>
    <col min="2819" max="2819" width="54.140625" style="209" customWidth="1"/>
    <col min="2820" max="2843" width="7.7109375" style="209" customWidth="1"/>
    <col min="2844" max="3071" width="11.42578125" style="209"/>
    <col min="3072" max="3072" width="1.42578125" style="209" customWidth="1"/>
    <col min="3073" max="3073" width="14.85546875" style="209" bestFit="1" customWidth="1"/>
    <col min="3074" max="3074" width="13" style="209" customWidth="1"/>
    <col min="3075" max="3075" width="54.140625" style="209" customWidth="1"/>
    <col min="3076" max="3099" width="7.7109375" style="209" customWidth="1"/>
    <col min="3100" max="3327" width="11.42578125" style="209"/>
    <col min="3328" max="3328" width="1.42578125" style="209" customWidth="1"/>
    <col min="3329" max="3329" width="14.85546875" style="209" bestFit="1" customWidth="1"/>
    <col min="3330" max="3330" width="13" style="209" customWidth="1"/>
    <col min="3331" max="3331" width="54.140625" style="209" customWidth="1"/>
    <col min="3332" max="3355" width="7.7109375" style="209" customWidth="1"/>
    <col min="3356" max="3583" width="11.42578125" style="209"/>
    <col min="3584" max="3584" width="1.42578125" style="209" customWidth="1"/>
    <col min="3585" max="3585" width="14.85546875" style="209" bestFit="1" customWidth="1"/>
    <col min="3586" max="3586" width="13" style="209" customWidth="1"/>
    <col min="3587" max="3587" width="54.140625" style="209" customWidth="1"/>
    <col min="3588" max="3611" width="7.7109375" style="209" customWidth="1"/>
    <col min="3612" max="3839" width="11.42578125" style="209"/>
    <col min="3840" max="3840" width="1.42578125" style="209" customWidth="1"/>
    <col min="3841" max="3841" width="14.85546875" style="209" bestFit="1" customWidth="1"/>
    <col min="3842" max="3842" width="13" style="209" customWidth="1"/>
    <col min="3843" max="3843" width="54.140625" style="209" customWidth="1"/>
    <col min="3844" max="3867" width="7.7109375" style="209" customWidth="1"/>
    <col min="3868" max="4095" width="11.42578125" style="209"/>
    <col min="4096" max="4096" width="1.42578125" style="209" customWidth="1"/>
    <col min="4097" max="4097" width="14.85546875" style="209" bestFit="1" customWidth="1"/>
    <col min="4098" max="4098" width="13" style="209" customWidth="1"/>
    <col min="4099" max="4099" width="54.140625" style="209" customWidth="1"/>
    <col min="4100" max="4123" width="7.7109375" style="209" customWidth="1"/>
    <col min="4124" max="4351" width="11.42578125" style="209"/>
    <col min="4352" max="4352" width="1.42578125" style="209" customWidth="1"/>
    <col min="4353" max="4353" width="14.85546875" style="209" bestFit="1" customWidth="1"/>
    <col min="4354" max="4354" width="13" style="209" customWidth="1"/>
    <col min="4355" max="4355" width="54.140625" style="209" customWidth="1"/>
    <col min="4356" max="4379" width="7.7109375" style="209" customWidth="1"/>
    <col min="4380" max="4607" width="11.42578125" style="209"/>
    <col min="4608" max="4608" width="1.42578125" style="209" customWidth="1"/>
    <col min="4609" max="4609" width="14.85546875" style="209" bestFit="1" customWidth="1"/>
    <col min="4610" max="4610" width="13" style="209" customWidth="1"/>
    <col min="4611" max="4611" width="54.140625" style="209" customWidth="1"/>
    <col min="4612" max="4635" width="7.7109375" style="209" customWidth="1"/>
    <col min="4636" max="4863" width="11.42578125" style="209"/>
    <col min="4864" max="4864" width="1.42578125" style="209" customWidth="1"/>
    <col min="4865" max="4865" width="14.85546875" style="209" bestFit="1" customWidth="1"/>
    <col min="4866" max="4866" width="13" style="209" customWidth="1"/>
    <col min="4867" max="4867" width="54.140625" style="209" customWidth="1"/>
    <col min="4868" max="4891" width="7.7109375" style="209" customWidth="1"/>
    <col min="4892" max="5119" width="11.42578125" style="209"/>
    <col min="5120" max="5120" width="1.42578125" style="209" customWidth="1"/>
    <col min="5121" max="5121" width="14.85546875" style="209" bestFit="1" customWidth="1"/>
    <col min="5122" max="5122" width="13" style="209" customWidth="1"/>
    <col min="5123" max="5123" width="54.140625" style="209" customWidth="1"/>
    <col min="5124" max="5147" width="7.7109375" style="209" customWidth="1"/>
    <col min="5148" max="5375" width="11.42578125" style="209"/>
    <col min="5376" max="5376" width="1.42578125" style="209" customWidth="1"/>
    <col min="5377" max="5377" width="14.85546875" style="209" bestFit="1" customWidth="1"/>
    <col min="5378" max="5378" width="13" style="209" customWidth="1"/>
    <col min="5379" max="5379" width="54.140625" style="209" customWidth="1"/>
    <col min="5380" max="5403" width="7.7109375" style="209" customWidth="1"/>
    <col min="5404" max="5631" width="11.42578125" style="209"/>
    <col min="5632" max="5632" width="1.42578125" style="209" customWidth="1"/>
    <col min="5633" max="5633" width="14.85546875" style="209" bestFit="1" customWidth="1"/>
    <col min="5634" max="5634" width="13" style="209" customWidth="1"/>
    <col min="5635" max="5635" width="54.140625" style="209" customWidth="1"/>
    <col min="5636" max="5659" width="7.7109375" style="209" customWidth="1"/>
    <col min="5660" max="5887" width="11.42578125" style="209"/>
    <col min="5888" max="5888" width="1.42578125" style="209" customWidth="1"/>
    <col min="5889" max="5889" width="14.85546875" style="209" bestFit="1" customWidth="1"/>
    <col min="5890" max="5890" width="13" style="209" customWidth="1"/>
    <col min="5891" max="5891" width="54.140625" style="209" customWidth="1"/>
    <col min="5892" max="5915" width="7.7109375" style="209" customWidth="1"/>
    <col min="5916" max="6143" width="11.42578125" style="209"/>
    <col min="6144" max="6144" width="1.42578125" style="209" customWidth="1"/>
    <col min="6145" max="6145" width="14.85546875" style="209" bestFit="1" customWidth="1"/>
    <col min="6146" max="6146" width="13" style="209" customWidth="1"/>
    <col min="6147" max="6147" width="54.140625" style="209" customWidth="1"/>
    <col min="6148" max="6171" width="7.7109375" style="209" customWidth="1"/>
    <col min="6172" max="6399" width="11.42578125" style="209"/>
    <col min="6400" max="6400" width="1.42578125" style="209" customWidth="1"/>
    <col min="6401" max="6401" width="14.85546875" style="209" bestFit="1" customWidth="1"/>
    <col min="6402" max="6402" width="13" style="209" customWidth="1"/>
    <col min="6403" max="6403" width="54.140625" style="209" customWidth="1"/>
    <col min="6404" max="6427" width="7.7109375" style="209" customWidth="1"/>
    <col min="6428" max="6655" width="11.42578125" style="209"/>
    <col min="6656" max="6656" width="1.42578125" style="209" customWidth="1"/>
    <col min="6657" max="6657" width="14.85546875" style="209" bestFit="1" customWidth="1"/>
    <col min="6658" max="6658" width="13" style="209" customWidth="1"/>
    <col min="6659" max="6659" width="54.140625" style="209" customWidth="1"/>
    <col min="6660" max="6683" width="7.7109375" style="209" customWidth="1"/>
    <col min="6684" max="6911" width="11.42578125" style="209"/>
    <col min="6912" max="6912" width="1.42578125" style="209" customWidth="1"/>
    <col min="6913" max="6913" width="14.85546875" style="209" bestFit="1" customWidth="1"/>
    <col min="6914" max="6914" width="13" style="209" customWidth="1"/>
    <col min="6915" max="6915" width="54.140625" style="209" customWidth="1"/>
    <col min="6916" max="6939" width="7.7109375" style="209" customWidth="1"/>
    <col min="6940" max="7167" width="11.42578125" style="209"/>
    <col min="7168" max="7168" width="1.42578125" style="209" customWidth="1"/>
    <col min="7169" max="7169" width="14.85546875" style="209" bestFit="1" customWidth="1"/>
    <col min="7170" max="7170" width="13" style="209" customWidth="1"/>
    <col min="7171" max="7171" width="54.140625" style="209" customWidth="1"/>
    <col min="7172" max="7195" width="7.7109375" style="209" customWidth="1"/>
    <col min="7196" max="7423" width="11.42578125" style="209"/>
    <col min="7424" max="7424" width="1.42578125" style="209" customWidth="1"/>
    <col min="7425" max="7425" width="14.85546875" style="209" bestFit="1" customWidth="1"/>
    <col min="7426" max="7426" width="13" style="209" customWidth="1"/>
    <col min="7427" max="7427" width="54.140625" style="209" customWidth="1"/>
    <col min="7428" max="7451" width="7.7109375" style="209" customWidth="1"/>
    <col min="7452" max="7679" width="11.42578125" style="209"/>
    <col min="7680" max="7680" width="1.42578125" style="209" customWidth="1"/>
    <col min="7681" max="7681" width="14.85546875" style="209" bestFit="1" customWidth="1"/>
    <col min="7682" max="7682" width="13" style="209" customWidth="1"/>
    <col min="7683" max="7683" width="54.140625" style="209" customWidth="1"/>
    <col min="7684" max="7707" width="7.7109375" style="209" customWidth="1"/>
    <col min="7708" max="7935" width="11.42578125" style="209"/>
    <col min="7936" max="7936" width="1.42578125" style="209" customWidth="1"/>
    <col min="7937" max="7937" width="14.85546875" style="209" bestFit="1" customWidth="1"/>
    <col min="7938" max="7938" width="13" style="209" customWidth="1"/>
    <col min="7939" max="7939" width="54.140625" style="209" customWidth="1"/>
    <col min="7940" max="7963" width="7.7109375" style="209" customWidth="1"/>
    <col min="7964" max="8191" width="11.42578125" style="209"/>
    <col min="8192" max="8192" width="1.42578125" style="209" customWidth="1"/>
    <col min="8193" max="8193" width="14.85546875" style="209" bestFit="1" customWidth="1"/>
    <col min="8194" max="8194" width="13" style="209" customWidth="1"/>
    <col min="8195" max="8195" width="54.140625" style="209" customWidth="1"/>
    <col min="8196" max="8219" width="7.7109375" style="209" customWidth="1"/>
    <col min="8220" max="8447" width="11.42578125" style="209"/>
    <col min="8448" max="8448" width="1.42578125" style="209" customWidth="1"/>
    <col min="8449" max="8449" width="14.85546875" style="209" bestFit="1" customWidth="1"/>
    <col min="8450" max="8450" width="13" style="209" customWidth="1"/>
    <col min="8451" max="8451" width="54.140625" style="209" customWidth="1"/>
    <col min="8452" max="8475" width="7.7109375" style="209" customWidth="1"/>
    <col min="8476" max="8703" width="11.42578125" style="209"/>
    <col min="8704" max="8704" width="1.42578125" style="209" customWidth="1"/>
    <col min="8705" max="8705" width="14.85546875" style="209" bestFit="1" customWidth="1"/>
    <col min="8706" max="8706" width="13" style="209" customWidth="1"/>
    <col min="8707" max="8707" width="54.140625" style="209" customWidth="1"/>
    <col min="8708" max="8731" width="7.7109375" style="209" customWidth="1"/>
    <col min="8732" max="8959" width="11.42578125" style="209"/>
    <col min="8960" max="8960" width="1.42578125" style="209" customWidth="1"/>
    <col min="8961" max="8961" width="14.85546875" style="209" bestFit="1" customWidth="1"/>
    <col min="8962" max="8962" width="13" style="209" customWidth="1"/>
    <col min="8963" max="8963" width="54.140625" style="209" customWidth="1"/>
    <col min="8964" max="8987" width="7.7109375" style="209" customWidth="1"/>
    <col min="8988" max="9215" width="11.42578125" style="209"/>
    <col min="9216" max="9216" width="1.42578125" style="209" customWidth="1"/>
    <col min="9217" max="9217" width="14.85546875" style="209" bestFit="1" customWidth="1"/>
    <col min="9218" max="9218" width="13" style="209" customWidth="1"/>
    <col min="9219" max="9219" width="54.140625" style="209" customWidth="1"/>
    <col min="9220" max="9243" width="7.7109375" style="209" customWidth="1"/>
    <col min="9244" max="9471" width="11.42578125" style="209"/>
    <col min="9472" max="9472" width="1.42578125" style="209" customWidth="1"/>
    <col min="9473" max="9473" width="14.85546875" style="209" bestFit="1" customWidth="1"/>
    <col min="9474" max="9474" width="13" style="209" customWidth="1"/>
    <col min="9475" max="9475" width="54.140625" style="209" customWidth="1"/>
    <col min="9476" max="9499" width="7.7109375" style="209" customWidth="1"/>
    <col min="9500" max="9727" width="11.42578125" style="209"/>
    <col min="9728" max="9728" width="1.42578125" style="209" customWidth="1"/>
    <col min="9729" max="9729" width="14.85546875" style="209" bestFit="1" customWidth="1"/>
    <col min="9730" max="9730" width="13" style="209" customWidth="1"/>
    <col min="9731" max="9731" width="54.140625" style="209" customWidth="1"/>
    <col min="9732" max="9755" width="7.7109375" style="209" customWidth="1"/>
    <col min="9756" max="9983" width="11.42578125" style="209"/>
    <col min="9984" max="9984" width="1.42578125" style="209" customWidth="1"/>
    <col min="9985" max="9985" width="14.85546875" style="209" bestFit="1" customWidth="1"/>
    <col min="9986" max="9986" width="13" style="209" customWidth="1"/>
    <col min="9987" max="9987" width="54.140625" style="209" customWidth="1"/>
    <col min="9988" max="10011" width="7.7109375" style="209" customWidth="1"/>
    <col min="10012" max="10239" width="11.42578125" style="209"/>
    <col min="10240" max="10240" width="1.42578125" style="209" customWidth="1"/>
    <col min="10241" max="10241" width="14.85546875" style="209" bestFit="1" customWidth="1"/>
    <col min="10242" max="10242" width="13" style="209" customWidth="1"/>
    <col min="10243" max="10243" width="54.140625" style="209" customWidth="1"/>
    <col min="10244" max="10267" width="7.7109375" style="209" customWidth="1"/>
    <col min="10268" max="10495" width="11.42578125" style="209"/>
    <col min="10496" max="10496" width="1.42578125" style="209" customWidth="1"/>
    <col min="10497" max="10497" width="14.85546875" style="209" bestFit="1" customWidth="1"/>
    <col min="10498" max="10498" width="13" style="209" customWidth="1"/>
    <col min="10499" max="10499" width="54.140625" style="209" customWidth="1"/>
    <col min="10500" max="10523" width="7.7109375" style="209" customWidth="1"/>
    <col min="10524" max="10751" width="11.42578125" style="209"/>
    <col min="10752" max="10752" width="1.42578125" style="209" customWidth="1"/>
    <col min="10753" max="10753" width="14.85546875" style="209" bestFit="1" customWidth="1"/>
    <col min="10754" max="10754" width="13" style="209" customWidth="1"/>
    <col min="10755" max="10755" width="54.140625" style="209" customWidth="1"/>
    <col min="10756" max="10779" width="7.7109375" style="209" customWidth="1"/>
    <col min="10780" max="11007" width="11.42578125" style="209"/>
    <col min="11008" max="11008" width="1.42578125" style="209" customWidth="1"/>
    <col min="11009" max="11009" width="14.85546875" style="209" bestFit="1" customWidth="1"/>
    <col min="11010" max="11010" width="13" style="209" customWidth="1"/>
    <col min="11011" max="11011" width="54.140625" style="209" customWidth="1"/>
    <col min="11012" max="11035" width="7.7109375" style="209" customWidth="1"/>
    <col min="11036" max="11263" width="11.42578125" style="209"/>
    <col min="11264" max="11264" width="1.42578125" style="209" customWidth="1"/>
    <col min="11265" max="11265" width="14.85546875" style="209" bestFit="1" customWidth="1"/>
    <col min="11266" max="11266" width="13" style="209" customWidth="1"/>
    <col min="11267" max="11267" width="54.140625" style="209" customWidth="1"/>
    <col min="11268" max="11291" width="7.7109375" style="209" customWidth="1"/>
    <col min="11292" max="11519" width="11.42578125" style="209"/>
    <col min="11520" max="11520" width="1.42578125" style="209" customWidth="1"/>
    <col min="11521" max="11521" width="14.85546875" style="209" bestFit="1" customWidth="1"/>
    <col min="11522" max="11522" width="13" style="209" customWidth="1"/>
    <col min="11523" max="11523" width="54.140625" style="209" customWidth="1"/>
    <col min="11524" max="11547" width="7.7109375" style="209" customWidth="1"/>
    <col min="11548" max="11775" width="11.42578125" style="209"/>
    <col min="11776" max="11776" width="1.42578125" style="209" customWidth="1"/>
    <col min="11777" max="11777" width="14.85546875" style="209" bestFit="1" customWidth="1"/>
    <col min="11778" max="11778" width="13" style="209" customWidth="1"/>
    <col min="11779" max="11779" width="54.140625" style="209" customWidth="1"/>
    <col min="11780" max="11803" width="7.7109375" style="209" customWidth="1"/>
    <col min="11804" max="12031" width="11.42578125" style="209"/>
    <col min="12032" max="12032" width="1.42578125" style="209" customWidth="1"/>
    <col min="12033" max="12033" width="14.85546875" style="209" bestFit="1" customWidth="1"/>
    <col min="12034" max="12034" width="13" style="209" customWidth="1"/>
    <col min="12035" max="12035" width="54.140625" style="209" customWidth="1"/>
    <col min="12036" max="12059" width="7.7109375" style="209" customWidth="1"/>
    <col min="12060" max="12287" width="11.42578125" style="209"/>
    <col min="12288" max="12288" width="1.42578125" style="209" customWidth="1"/>
    <col min="12289" max="12289" width="14.85546875" style="209" bestFit="1" customWidth="1"/>
    <col min="12290" max="12290" width="13" style="209" customWidth="1"/>
    <col min="12291" max="12291" width="54.140625" style="209" customWidth="1"/>
    <col min="12292" max="12315" width="7.7109375" style="209" customWidth="1"/>
    <col min="12316" max="12543" width="11.42578125" style="209"/>
    <col min="12544" max="12544" width="1.42578125" style="209" customWidth="1"/>
    <col min="12545" max="12545" width="14.85546875" style="209" bestFit="1" customWidth="1"/>
    <col min="12546" max="12546" width="13" style="209" customWidth="1"/>
    <col min="12547" max="12547" width="54.140625" style="209" customWidth="1"/>
    <col min="12548" max="12571" width="7.7109375" style="209" customWidth="1"/>
    <col min="12572" max="12799" width="11.42578125" style="209"/>
    <col min="12800" max="12800" width="1.42578125" style="209" customWidth="1"/>
    <col min="12801" max="12801" width="14.85546875" style="209" bestFit="1" customWidth="1"/>
    <col min="12802" max="12802" width="13" style="209" customWidth="1"/>
    <col min="12803" max="12803" width="54.140625" style="209" customWidth="1"/>
    <col min="12804" max="12827" width="7.7109375" style="209" customWidth="1"/>
    <col min="12828" max="13055" width="11.42578125" style="209"/>
    <col min="13056" max="13056" width="1.42578125" style="209" customWidth="1"/>
    <col min="13057" max="13057" width="14.85546875" style="209" bestFit="1" customWidth="1"/>
    <col min="13058" max="13058" width="13" style="209" customWidth="1"/>
    <col min="13059" max="13059" width="54.140625" style="209" customWidth="1"/>
    <col min="13060" max="13083" width="7.7109375" style="209" customWidth="1"/>
    <col min="13084" max="13311" width="11.42578125" style="209"/>
    <col min="13312" max="13312" width="1.42578125" style="209" customWidth="1"/>
    <col min="13313" max="13313" width="14.85546875" style="209" bestFit="1" customWidth="1"/>
    <col min="13314" max="13314" width="13" style="209" customWidth="1"/>
    <col min="13315" max="13315" width="54.140625" style="209" customWidth="1"/>
    <col min="13316" max="13339" width="7.7109375" style="209" customWidth="1"/>
    <col min="13340" max="13567" width="11.42578125" style="209"/>
    <col min="13568" max="13568" width="1.42578125" style="209" customWidth="1"/>
    <col min="13569" max="13569" width="14.85546875" style="209" bestFit="1" customWidth="1"/>
    <col min="13570" max="13570" width="13" style="209" customWidth="1"/>
    <col min="13571" max="13571" width="54.140625" style="209" customWidth="1"/>
    <col min="13572" max="13595" width="7.7109375" style="209" customWidth="1"/>
    <col min="13596" max="13823" width="11.42578125" style="209"/>
    <col min="13824" max="13824" width="1.42578125" style="209" customWidth="1"/>
    <col min="13825" max="13825" width="14.85546875" style="209" bestFit="1" customWidth="1"/>
    <col min="13826" max="13826" width="13" style="209" customWidth="1"/>
    <col min="13827" max="13827" width="54.140625" style="209" customWidth="1"/>
    <col min="13828" max="13851" width="7.7109375" style="209" customWidth="1"/>
    <col min="13852" max="14079" width="11.42578125" style="209"/>
    <col min="14080" max="14080" width="1.42578125" style="209" customWidth="1"/>
    <col min="14081" max="14081" width="14.85546875" style="209" bestFit="1" customWidth="1"/>
    <col min="14082" max="14082" width="13" style="209" customWidth="1"/>
    <col min="14083" max="14083" width="54.140625" style="209" customWidth="1"/>
    <col min="14084" max="14107" width="7.7109375" style="209" customWidth="1"/>
    <col min="14108" max="14335" width="11.42578125" style="209"/>
    <col min="14336" max="14336" width="1.42578125" style="209" customWidth="1"/>
    <col min="14337" max="14337" width="14.85546875" style="209" bestFit="1" customWidth="1"/>
    <col min="14338" max="14338" width="13" style="209" customWidth="1"/>
    <col min="14339" max="14339" width="54.140625" style="209" customWidth="1"/>
    <col min="14340" max="14363" width="7.7109375" style="209" customWidth="1"/>
    <col min="14364" max="14591" width="11.42578125" style="209"/>
    <col min="14592" max="14592" width="1.42578125" style="209" customWidth="1"/>
    <col min="14593" max="14593" width="14.85546875" style="209" bestFit="1" customWidth="1"/>
    <col min="14594" max="14594" width="13" style="209" customWidth="1"/>
    <col min="14595" max="14595" width="54.140625" style="209" customWidth="1"/>
    <col min="14596" max="14619" width="7.7109375" style="209" customWidth="1"/>
    <col min="14620" max="14847" width="11.42578125" style="209"/>
    <col min="14848" max="14848" width="1.42578125" style="209" customWidth="1"/>
    <col min="14849" max="14849" width="14.85546875" style="209" bestFit="1" customWidth="1"/>
    <col min="14850" max="14850" width="13" style="209" customWidth="1"/>
    <col min="14851" max="14851" width="54.140625" style="209" customWidth="1"/>
    <col min="14852" max="14875" width="7.7109375" style="209" customWidth="1"/>
    <col min="14876" max="15103" width="11.42578125" style="209"/>
    <col min="15104" max="15104" width="1.42578125" style="209" customWidth="1"/>
    <col min="15105" max="15105" width="14.85546875" style="209" bestFit="1" customWidth="1"/>
    <col min="15106" max="15106" width="13" style="209" customWidth="1"/>
    <col min="15107" max="15107" width="54.140625" style="209" customWidth="1"/>
    <col min="15108" max="15131" width="7.7109375" style="209" customWidth="1"/>
    <col min="15132" max="15359" width="11.42578125" style="209"/>
    <col min="15360" max="15360" width="1.42578125" style="209" customWidth="1"/>
    <col min="15361" max="15361" width="14.85546875" style="209" bestFit="1" customWidth="1"/>
    <col min="15362" max="15362" width="13" style="209" customWidth="1"/>
    <col min="15363" max="15363" width="54.140625" style="209" customWidth="1"/>
    <col min="15364" max="15387" width="7.7109375" style="209" customWidth="1"/>
    <col min="15388" max="15615" width="11.42578125" style="209"/>
    <col min="15616" max="15616" width="1.42578125" style="209" customWidth="1"/>
    <col min="15617" max="15617" width="14.85546875" style="209" bestFit="1" customWidth="1"/>
    <col min="15618" max="15618" width="13" style="209" customWidth="1"/>
    <col min="15619" max="15619" width="54.140625" style="209" customWidth="1"/>
    <col min="15620" max="15643" width="7.7109375" style="209" customWidth="1"/>
    <col min="15644" max="15871" width="11.42578125" style="209"/>
    <col min="15872" max="15872" width="1.42578125" style="209" customWidth="1"/>
    <col min="15873" max="15873" width="14.85546875" style="209" bestFit="1" customWidth="1"/>
    <col min="15874" max="15874" width="13" style="209" customWidth="1"/>
    <col min="15875" max="15875" width="54.140625" style="209" customWidth="1"/>
    <col min="15876" max="15899" width="7.7109375" style="209" customWidth="1"/>
    <col min="15900" max="16127" width="11.42578125" style="209"/>
    <col min="16128" max="16128" width="1.42578125" style="209" customWidth="1"/>
    <col min="16129" max="16129" width="14.85546875" style="209" bestFit="1" customWidth="1"/>
    <col min="16130" max="16130" width="13" style="209" customWidth="1"/>
    <col min="16131" max="16131" width="54.140625" style="209" customWidth="1"/>
    <col min="16132" max="16155" width="7.7109375" style="209" customWidth="1"/>
    <col min="16156" max="16384" width="11.42578125" style="209"/>
  </cols>
  <sheetData>
    <row r="1" spans="2:27" ht="20.25" x14ac:dyDescent="0.2">
      <c r="B1" s="588"/>
      <c r="C1" s="638"/>
      <c r="D1" s="638"/>
      <c r="E1" s="638"/>
      <c r="F1" s="638"/>
      <c r="G1" s="638"/>
      <c r="H1" s="638"/>
      <c r="I1" s="638"/>
      <c r="J1" s="638"/>
      <c r="K1" s="638"/>
      <c r="L1" s="638"/>
      <c r="M1" s="638"/>
      <c r="N1" s="638"/>
      <c r="O1" s="638"/>
      <c r="P1" s="638"/>
      <c r="Q1" s="638"/>
      <c r="R1" s="638"/>
      <c r="S1" s="638"/>
      <c r="T1" s="638"/>
      <c r="U1" s="638"/>
      <c r="V1" s="638"/>
      <c r="W1" s="638"/>
      <c r="X1" s="638"/>
    </row>
    <row r="2" spans="2:27" ht="18" x14ac:dyDescent="0.2">
      <c r="B2" s="191" t="s">
        <v>352</v>
      </c>
      <c r="C2" s="657"/>
      <c r="D2" s="657"/>
      <c r="E2" s="657"/>
      <c r="F2" s="657"/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W2" s="657"/>
      <c r="X2" s="657"/>
    </row>
    <row r="3" spans="2:27" ht="18" customHeight="1" x14ac:dyDescent="0.2">
      <c r="B3" s="191" t="s">
        <v>337</v>
      </c>
      <c r="C3" s="657"/>
      <c r="D3" s="657"/>
      <c r="E3" s="657"/>
      <c r="F3" s="657"/>
      <c r="G3" s="657"/>
      <c r="H3" s="657"/>
      <c r="I3" s="657"/>
      <c r="J3" s="657"/>
      <c r="K3" s="657"/>
      <c r="L3" s="657"/>
      <c r="M3" s="657"/>
      <c r="N3" s="657"/>
      <c r="O3" s="657"/>
      <c r="P3" s="657"/>
      <c r="Q3" s="657"/>
      <c r="R3" s="657"/>
      <c r="S3" s="657"/>
      <c r="T3" s="657"/>
      <c r="U3" s="657"/>
      <c r="V3" s="657"/>
      <c r="W3" s="657"/>
      <c r="X3" s="657"/>
    </row>
    <row r="4" spans="2:27" ht="18" customHeight="1" x14ac:dyDescent="0.2"/>
    <row r="5" spans="2:27" ht="12.75" customHeight="1" x14ac:dyDescent="0.2">
      <c r="B5" s="5510" t="s">
        <v>164</v>
      </c>
      <c r="C5" s="5510" t="s">
        <v>77</v>
      </c>
      <c r="D5" s="5498" t="s">
        <v>156</v>
      </c>
      <c r="E5" s="5498" t="s">
        <v>154</v>
      </c>
      <c r="F5" s="5498" t="s">
        <v>155</v>
      </c>
      <c r="G5" s="5498" t="s">
        <v>73</v>
      </c>
      <c r="H5" s="5498" t="s">
        <v>71</v>
      </c>
      <c r="I5" s="5498" t="s">
        <v>70</v>
      </c>
      <c r="J5" s="5508" t="s">
        <v>72</v>
      </c>
      <c r="K5" s="5498" t="s">
        <v>24</v>
      </c>
      <c r="L5" s="5498" t="s">
        <v>23</v>
      </c>
      <c r="M5" s="5498" t="s">
        <v>69</v>
      </c>
      <c r="N5" s="5498" t="s">
        <v>59</v>
      </c>
      <c r="O5" s="5498" t="s">
        <v>21</v>
      </c>
      <c r="P5" s="5508" t="s">
        <v>22</v>
      </c>
      <c r="Q5" s="5498" t="s">
        <v>17</v>
      </c>
      <c r="R5" s="5511" t="s">
        <v>18</v>
      </c>
      <c r="S5" s="5498" t="s">
        <v>150</v>
      </c>
      <c r="T5" s="5498" t="s">
        <v>148</v>
      </c>
      <c r="U5" s="5498" t="s">
        <v>149</v>
      </c>
      <c r="V5" s="5498" t="s">
        <v>325</v>
      </c>
      <c r="W5" s="5498" t="s">
        <v>324</v>
      </c>
      <c r="X5" s="5498" t="s">
        <v>323</v>
      </c>
      <c r="Y5" s="5498" t="s">
        <v>338</v>
      </c>
      <c r="Z5" s="5498" t="s">
        <v>335</v>
      </c>
      <c r="AA5" s="5498" t="s">
        <v>336</v>
      </c>
    </row>
    <row r="6" spans="2:27" x14ac:dyDescent="0.2">
      <c r="B6" s="5510"/>
      <c r="C6" s="5510"/>
      <c r="D6" s="5499"/>
      <c r="E6" s="5499"/>
      <c r="F6" s="5499"/>
      <c r="G6" s="5499"/>
      <c r="H6" s="5499"/>
      <c r="I6" s="5499"/>
      <c r="J6" s="5509"/>
      <c r="K6" s="5499"/>
      <c r="L6" s="5499"/>
      <c r="M6" s="5499"/>
      <c r="N6" s="5499"/>
      <c r="O6" s="5499"/>
      <c r="P6" s="5509"/>
      <c r="Q6" s="5499"/>
      <c r="R6" s="5512"/>
      <c r="S6" s="5499"/>
      <c r="T6" s="5499"/>
      <c r="U6" s="5499"/>
      <c r="V6" s="5499"/>
      <c r="W6" s="5499"/>
      <c r="X6" s="5499"/>
      <c r="Y6" s="5499"/>
      <c r="Z6" s="5499"/>
      <c r="AA6" s="5499"/>
    </row>
    <row r="7" spans="2:27" s="212" customFormat="1" x14ac:dyDescent="0.2">
      <c r="B7" s="5495" t="s">
        <v>5</v>
      </c>
      <c r="C7" s="230" t="s">
        <v>235</v>
      </c>
      <c r="D7" s="528">
        <v>27</v>
      </c>
      <c r="E7" s="397">
        <v>21</v>
      </c>
      <c r="F7" s="397">
        <v>22</v>
      </c>
      <c r="G7" s="529">
        <v>28</v>
      </c>
      <c r="H7" s="397">
        <v>24</v>
      </c>
      <c r="I7" s="397">
        <v>21</v>
      </c>
      <c r="J7" s="397">
        <v>18</v>
      </c>
      <c r="K7" s="529">
        <v>18</v>
      </c>
      <c r="L7" s="397">
        <v>13</v>
      </c>
      <c r="M7" s="397">
        <v>12</v>
      </c>
      <c r="N7" s="397">
        <v>16</v>
      </c>
      <c r="O7" s="529">
        <v>12</v>
      </c>
      <c r="P7" s="397">
        <v>12</v>
      </c>
      <c r="Q7" s="397">
        <v>9</v>
      </c>
      <c r="R7" s="397">
        <v>3</v>
      </c>
      <c r="S7" s="528">
        <v>3</v>
      </c>
      <c r="T7" s="397">
        <v>3</v>
      </c>
      <c r="U7" s="529">
        <v>2</v>
      </c>
      <c r="V7" s="528">
        <v>8</v>
      </c>
      <c r="W7" s="397">
        <v>7</v>
      </c>
      <c r="X7" s="529">
        <v>14</v>
      </c>
      <c r="Y7" s="528">
        <v>18</v>
      </c>
      <c r="Z7" s="397">
        <v>20</v>
      </c>
      <c r="AA7" s="529">
        <v>17</v>
      </c>
    </row>
    <row r="8" spans="2:27" s="212" customFormat="1" ht="24" x14ac:dyDescent="0.2">
      <c r="B8" s="5496"/>
      <c r="C8" s="230" t="s">
        <v>231</v>
      </c>
      <c r="D8" s="530">
        <v>51</v>
      </c>
      <c r="E8" s="398">
        <v>56</v>
      </c>
      <c r="F8" s="398">
        <v>43</v>
      </c>
      <c r="G8" s="531">
        <v>49</v>
      </c>
      <c r="H8" s="398">
        <v>44</v>
      </c>
      <c r="I8" s="398">
        <v>43</v>
      </c>
      <c r="J8" s="398">
        <v>49</v>
      </c>
      <c r="K8" s="531">
        <v>58</v>
      </c>
      <c r="L8" s="398">
        <v>46</v>
      </c>
      <c r="M8" s="398">
        <v>60</v>
      </c>
      <c r="N8" s="398">
        <v>66</v>
      </c>
      <c r="O8" s="531">
        <v>63</v>
      </c>
      <c r="P8" s="398">
        <v>66</v>
      </c>
      <c r="Q8" s="398">
        <v>56</v>
      </c>
      <c r="R8" s="398">
        <v>46</v>
      </c>
      <c r="S8" s="530">
        <v>30</v>
      </c>
      <c r="T8" s="398">
        <v>27</v>
      </c>
      <c r="U8" s="531">
        <v>13</v>
      </c>
      <c r="V8" s="530">
        <v>35</v>
      </c>
      <c r="W8" s="398">
        <v>36</v>
      </c>
      <c r="X8" s="531">
        <v>35</v>
      </c>
      <c r="Y8" s="530">
        <v>54</v>
      </c>
      <c r="Z8" s="398">
        <v>63</v>
      </c>
      <c r="AA8" s="531">
        <v>56</v>
      </c>
    </row>
    <row r="9" spans="2:27" s="212" customFormat="1" x14ac:dyDescent="0.2">
      <c r="B9" s="5496"/>
      <c r="C9" s="230" t="s">
        <v>304</v>
      </c>
      <c r="D9" s="530">
        <v>9</v>
      </c>
      <c r="E9" s="398">
        <v>8</v>
      </c>
      <c r="F9" s="398">
        <v>6</v>
      </c>
      <c r="G9" s="531">
        <v>8</v>
      </c>
      <c r="H9" s="398">
        <v>8</v>
      </c>
      <c r="I9" s="398">
        <v>8</v>
      </c>
      <c r="J9" s="398">
        <v>13</v>
      </c>
      <c r="K9" s="531">
        <v>12</v>
      </c>
      <c r="L9" s="398">
        <v>10</v>
      </c>
      <c r="M9" s="398">
        <v>18</v>
      </c>
      <c r="N9" s="398">
        <v>14</v>
      </c>
      <c r="O9" s="531">
        <v>8</v>
      </c>
      <c r="P9" s="398">
        <v>13</v>
      </c>
      <c r="Q9" s="398">
        <v>14</v>
      </c>
      <c r="R9" s="398">
        <v>11</v>
      </c>
      <c r="S9" s="530">
        <v>14</v>
      </c>
      <c r="T9" s="398">
        <v>15</v>
      </c>
      <c r="U9" s="531">
        <v>12</v>
      </c>
      <c r="V9" s="530">
        <v>13</v>
      </c>
      <c r="W9" s="398">
        <v>12</v>
      </c>
      <c r="X9" s="531">
        <v>6</v>
      </c>
      <c r="Y9" s="530">
        <v>12</v>
      </c>
      <c r="Z9" s="398">
        <v>11</v>
      </c>
      <c r="AA9" s="531">
        <v>10</v>
      </c>
    </row>
    <row r="10" spans="2:27" s="212" customFormat="1" ht="24" x14ac:dyDescent="0.2">
      <c r="B10" s="5496"/>
      <c r="C10" s="231" t="s">
        <v>305</v>
      </c>
      <c r="D10" s="530">
        <v>19</v>
      </c>
      <c r="E10" s="398">
        <v>17</v>
      </c>
      <c r="F10" s="398">
        <v>19</v>
      </c>
      <c r="G10" s="531">
        <v>18</v>
      </c>
      <c r="H10" s="398">
        <v>17</v>
      </c>
      <c r="I10" s="398">
        <v>21</v>
      </c>
      <c r="J10" s="398">
        <v>20</v>
      </c>
      <c r="K10" s="531">
        <v>20</v>
      </c>
      <c r="L10" s="398">
        <v>12</v>
      </c>
      <c r="M10" s="398">
        <v>12</v>
      </c>
      <c r="N10" s="398">
        <v>11</v>
      </c>
      <c r="O10" s="531">
        <v>12</v>
      </c>
      <c r="P10" s="398">
        <v>12</v>
      </c>
      <c r="Q10" s="398">
        <v>18</v>
      </c>
      <c r="R10" s="398">
        <v>21</v>
      </c>
      <c r="S10" s="530">
        <v>26</v>
      </c>
      <c r="T10" s="398">
        <v>26</v>
      </c>
      <c r="U10" s="531">
        <v>29</v>
      </c>
      <c r="V10" s="530">
        <v>27</v>
      </c>
      <c r="W10" s="398">
        <v>29</v>
      </c>
      <c r="X10" s="531">
        <v>27</v>
      </c>
      <c r="Y10" s="530">
        <v>27</v>
      </c>
      <c r="Z10" s="398">
        <v>24</v>
      </c>
      <c r="AA10" s="531">
        <v>23</v>
      </c>
    </row>
    <row r="11" spans="2:27" s="212" customFormat="1" x14ac:dyDescent="0.2">
      <c r="B11" s="5496"/>
      <c r="C11" s="231" t="s">
        <v>306</v>
      </c>
      <c r="D11" s="530">
        <v>1</v>
      </c>
      <c r="E11" s="398">
        <v>1</v>
      </c>
      <c r="F11" s="398">
        <v>1</v>
      </c>
      <c r="G11" s="531">
        <v>6</v>
      </c>
      <c r="H11" s="398">
        <v>6</v>
      </c>
      <c r="I11" s="398">
        <v>6</v>
      </c>
      <c r="J11" s="398">
        <v>7</v>
      </c>
      <c r="K11" s="531">
        <v>7</v>
      </c>
      <c r="L11" s="398">
        <v>7</v>
      </c>
      <c r="M11" s="398">
        <v>9</v>
      </c>
      <c r="N11" s="398">
        <v>9</v>
      </c>
      <c r="O11" s="531">
        <v>8</v>
      </c>
      <c r="P11" s="398">
        <v>10</v>
      </c>
      <c r="Q11" s="398">
        <v>9</v>
      </c>
      <c r="R11" s="398">
        <v>10</v>
      </c>
      <c r="S11" s="530">
        <v>8</v>
      </c>
      <c r="T11" s="398">
        <v>9</v>
      </c>
      <c r="U11" s="531">
        <v>9</v>
      </c>
      <c r="V11" s="530">
        <v>9</v>
      </c>
      <c r="W11" s="398">
        <v>8</v>
      </c>
      <c r="X11" s="531">
        <v>9</v>
      </c>
      <c r="Y11" s="530">
        <v>9</v>
      </c>
      <c r="Z11" s="398">
        <v>9</v>
      </c>
      <c r="AA11" s="531">
        <v>8</v>
      </c>
    </row>
    <row r="12" spans="2:27" s="212" customFormat="1" x14ac:dyDescent="0.2">
      <c r="B12" s="5495" t="s">
        <v>6</v>
      </c>
      <c r="C12" s="393" t="s">
        <v>236</v>
      </c>
      <c r="D12" s="528">
        <v>14</v>
      </c>
      <c r="E12" s="397">
        <v>13</v>
      </c>
      <c r="F12" s="397">
        <v>4</v>
      </c>
      <c r="G12" s="529">
        <v>26</v>
      </c>
      <c r="H12" s="397">
        <v>24</v>
      </c>
      <c r="I12" s="397">
        <v>2</v>
      </c>
      <c r="J12" s="397">
        <v>18</v>
      </c>
      <c r="K12" s="529">
        <v>17</v>
      </c>
      <c r="L12" s="397" t="s">
        <v>227</v>
      </c>
      <c r="M12" s="397">
        <v>18</v>
      </c>
      <c r="N12" s="397">
        <v>21</v>
      </c>
      <c r="O12" s="529" t="s">
        <v>227</v>
      </c>
      <c r="P12" s="397">
        <v>12</v>
      </c>
      <c r="Q12" s="397">
        <v>15</v>
      </c>
      <c r="R12" s="397" t="s">
        <v>227</v>
      </c>
      <c r="S12" s="528">
        <v>17</v>
      </c>
      <c r="T12" s="397">
        <v>16</v>
      </c>
      <c r="U12" s="529">
        <v>1</v>
      </c>
      <c r="V12" s="528">
        <v>18</v>
      </c>
      <c r="W12" s="397">
        <v>17</v>
      </c>
      <c r="X12" s="529"/>
      <c r="Y12" s="528">
        <v>14</v>
      </c>
      <c r="Z12" s="397">
        <v>15</v>
      </c>
      <c r="AA12" s="529">
        <v>1</v>
      </c>
    </row>
    <row r="13" spans="2:27" s="212" customFormat="1" ht="12" customHeight="1" x14ac:dyDescent="0.2">
      <c r="B13" s="5496"/>
      <c r="C13" s="230" t="s">
        <v>237</v>
      </c>
      <c r="D13" s="530" t="s">
        <v>227</v>
      </c>
      <c r="E13" s="532" t="s">
        <v>227</v>
      </c>
      <c r="F13" s="532" t="s">
        <v>227</v>
      </c>
      <c r="G13" s="533" t="s">
        <v>227</v>
      </c>
      <c r="H13" s="400" t="s">
        <v>227</v>
      </c>
      <c r="I13" s="400" t="s">
        <v>227</v>
      </c>
      <c r="J13" s="400">
        <v>17</v>
      </c>
      <c r="K13" s="533">
        <v>15</v>
      </c>
      <c r="L13" s="400" t="s">
        <v>227</v>
      </c>
      <c r="M13" s="400">
        <v>7</v>
      </c>
      <c r="N13" s="400">
        <v>7</v>
      </c>
      <c r="O13" s="533" t="s">
        <v>227</v>
      </c>
      <c r="P13" s="400">
        <v>17</v>
      </c>
      <c r="Q13" s="400">
        <v>17</v>
      </c>
      <c r="R13" s="400" t="s">
        <v>227</v>
      </c>
      <c r="S13" s="534">
        <v>9</v>
      </c>
      <c r="T13" s="400">
        <v>10</v>
      </c>
      <c r="U13" s="533">
        <v>2</v>
      </c>
      <c r="V13" s="534">
        <v>12</v>
      </c>
      <c r="W13" s="400">
        <v>9</v>
      </c>
      <c r="X13" s="533"/>
      <c r="Y13" s="534"/>
      <c r="Z13" s="400"/>
      <c r="AA13" s="533"/>
    </row>
    <row r="14" spans="2:27" s="212" customFormat="1" x14ac:dyDescent="0.2">
      <c r="B14" s="5496"/>
      <c r="C14" s="230" t="s">
        <v>330</v>
      </c>
      <c r="D14" s="530"/>
      <c r="E14" s="532"/>
      <c r="F14" s="532"/>
      <c r="G14" s="533"/>
      <c r="H14" s="400"/>
      <c r="I14" s="400"/>
      <c r="J14" s="400"/>
      <c r="K14" s="533"/>
      <c r="L14" s="400"/>
      <c r="M14" s="400"/>
      <c r="N14" s="400"/>
      <c r="O14" s="533"/>
      <c r="P14" s="400"/>
      <c r="Q14" s="400"/>
      <c r="R14" s="400"/>
      <c r="S14" s="534"/>
      <c r="T14" s="400"/>
      <c r="U14" s="533"/>
      <c r="V14" s="534">
        <v>1</v>
      </c>
      <c r="W14" s="400">
        <v>1</v>
      </c>
      <c r="X14" s="533">
        <v>1</v>
      </c>
      <c r="Y14" s="534"/>
      <c r="Z14" s="400"/>
      <c r="AA14" s="533"/>
    </row>
    <row r="15" spans="2:27" s="212" customFormat="1" x14ac:dyDescent="0.2">
      <c r="B15" s="5496"/>
      <c r="C15" s="230" t="s">
        <v>246</v>
      </c>
      <c r="D15" s="530">
        <v>18</v>
      </c>
      <c r="E15" s="532">
        <v>12</v>
      </c>
      <c r="F15" s="532">
        <v>12</v>
      </c>
      <c r="G15" s="533">
        <v>7</v>
      </c>
      <c r="H15" s="400">
        <v>9</v>
      </c>
      <c r="I15" s="400">
        <v>10</v>
      </c>
      <c r="J15" s="400">
        <v>9</v>
      </c>
      <c r="K15" s="533">
        <v>16</v>
      </c>
      <c r="L15" s="400">
        <v>16</v>
      </c>
      <c r="M15" s="400">
        <v>7</v>
      </c>
      <c r="N15" s="400">
        <v>8</v>
      </c>
      <c r="O15" s="533">
        <v>8</v>
      </c>
      <c r="P15" s="400">
        <v>5</v>
      </c>
      <c r="Q15" s="400">
        <v>15</v>
      </c>
      <c r="R15" s="400">
        <v>16</v>
      </c>
      <c r="S15" s="534">
        <v>17</v>
      </c>
      <c r="T15" s="400">
        <v>27</v>
      </c>
      <c r="U15" s="533">
        <v>26</v>
      </c>
      <c r="V15" s="534">
        <v>9</v>
      </c>
      <c r="W15" s="400">
        <v>14</v>
      </c>
      <c r="X15" s="533">
        <v>11</v>
      </c>
      <c r="Y15" s="534">
        <v>22</v>
      </c>
      <c r="Z15" s="400">
        <v>16</v>
      </c>
      <c r="AA15" s="533">
        <v>16</v>
      </c>
    </row>
    <row r="16" spans="2:27" s="212" customFormat="1" ht="24" x14ac:dyDescent="0.2">
      <c r="B16" s="5496"/>
      <c r="C16" s="230" t="s">
        <v>247</v>
      </c>
      <c r="D16" s="530">
        <v>20</v>
      </c>
      <c r="E16" s="532">
        <v>20</v>
      </c>
      <c r="F16" s="532" t="s">
        <v>227</v>
      </c>
      <c r="G16" s="533" t="s">
        <v>227</v>
      </c>
      <c r="H16" s="400">
        <v>7</v>
      </c>
      <c r="I16" s="400">
        <v>7</v>
      </c>
      <c r="J16" s="400">
        <v>7</v>
      </c>
      <c r="K16" s="533">
        <v>7</v>
      </c>
      <c r="L16" s="400">
        <v>7</v>
      </c>
      <c r="M16" s="400" t="s">
        <v>227</v>
      </c>
      <c r="N16" s="400">
        <v>15</v>
      </c>
      <c r="O16" s="533">
        <v>15</v>
      </c>
      <c r="P16" s="400">
        <v>16</v>
      </c>
      <c r="Q16" s="400">
        <v>15</v>
      </c>
      <c r="R16" s="400">
        <v>15</v>
      </c>
      <c r="S16" s="534"/>
      <c r="T16" s="400">
        <v>16</v>
      </c>
      <c r="U16" s="533">
        <v>15</v>
      </c>
      <c r="V16" s="534">
        <v>15</v>
      </c>
      <c r="W16" s="400">
        <v>13</v>
      </c>
      <c r="X16" s="533">
        <v>13</v>
      </c>
      <c r="Y16" s="534">
        <v>18</v>
      </c>
      <c r="Z16" s="400">
        <v>16</v>
      </c>
      <c r="AA16" s="533">
        <v>16</v>
      </c>
    </row>
    <row r="17" spans="2:27" s="212" customFormat="1" x14ac:dyDescent="0.2">
      <c r="B17" s="5496"/>
      <c r="C17" s="230" t="s">
        <v>241</v>
      </c>
      <c r="D17" s="530">
        <v>13</v>
      </c>
      <c r="E17" s="532">
        <v>16</v>
      </c>
      <c r="F17" s="532">
        <v>14</v>
      </c>
      <c r="G17" s="533">
        <v>13</v>
      </c>
      <c r="H17" s="400">
        <v>13</v>
      </c>
      <c r="I17" s="400">
        <v>2</v>
      </c>
      <c r="J17" s="400">
        <v>21</v>
      </c>
      <c r="K17" s="533">
        <v>20</v>
      </c>
      <c r="L17" s="400">
        <v>17</v>
      </c>
      <c r="M17" s="400">
        <v>17</v>
      </c>
      <c r="N17" s="400">
        <v>17</v>
      </c>
      <c r="O17" s="533" t="s">
        <v>227</v>
      </c>
      <c r="P17" s="400" t="s">
        <v>227</v>
      </c>
      <c r="Q17" s="400" t="s">
        <v>227</v>
      </c>
      <c r="R17" s="400" t="s">
        <v>227</v>
      </c>
      <c r="S17" s="534">
        <v>23</v>
      </c>
      <c r="T17" s="400">
        <v>23</v>
      </c>
      <c r="U17" s="533">
        <v>21</v>
      </c>
      <c r="V17" s="534">
        <v>8</v>
      </c>
      <c r="W17" s="400">
        <v>8</v>
      </c>
      <c r="X17" s="533">
        <v>8</v>
      </c>
      <c r="Y17" s="534">
        <v>1</v>
      </c>
      <c r="Z17" s="400"/>
      <c r="AA17" s="533">
        <v>1</v>
      </c>
    </row>
    <row r="18" spans="2:27" s="212" customFormat="1" x14ac:dyDescent="0.2">
      <c r="B18" s="5496"/>
      <c r="C18" s="230" t="s">
        <v>346</v>
      </c>
      <c r="D18" s="530"/>
      <c r="E18" s="532"/>
      <c r="F18" s="532"/>
      <c r="G18" s="533"/>
      <c r="H18" s="400"/>
      <c r="I18" s="400"/>
      <c r="J18" s="400"/>
      <c r="K18" s="533"/>
      <c r="L18" s="400"/>
      <c r="M18" s="400"/>
      <c r="N18" s="400"/>
      <c r="O18" s="533"/>
      <c r="P18" s="400"/>
      <c r="Q18" s="400"/>
      <c r="R18" s="400"/>
      <c r="S18" s="534"/>
      <c r="T18" s="400"/>
      <c r="U18" s="533"/>
      <c r="V18" s="534"/>
      <c r="W18" s="400"/>
      <c r="X18" s="533"/>
      <c r="Y18" s="534">
        <v>21</v>
      </c>
      <c r="Z18" s="400">
        <v>19</v>
      </c>
      <c r="AA18" s="533">
        <v>16</v>
      </c>
    </row>
    <row r="19" spans="2:27" s="212" customFormat="1" x14ac:dyDescent="0.2">
      <c r="B19" s="5496"/>
      <c r="C19" s="230" t="s">
        <v>307</v>
      </c>
      <c r="D19" s="530" t="s">
        <v>227</v>
      </c>
      <c r="E19" s="532" t="s">
        <v>227</v>
      </c>
      <c r="F19" s="532" t="s">
        <v>227</v>
      </c>
      <c r="G19" s="533" t="s">
        <v>227</v>
      </c>
      <c r="H19" s="400" t="s">
        <v>227</v>
      </c>
      <c r="I19" s="400" t="s">
        <v>227</v>
      </c>
      <c r="J19" s="400" t="s">
        <v>227</v>
      </c>
      <c r="K19" s="533" t="s">
        <v>227</v>
      </c>
      <c r="L19" s="400">
        <v>1</v>
      </c>
      <c r="M19" s="400" t="s">
        <v>227</v>
      </c>
      <c r="N19" s="400" t="s">
        <v>227</v>
      </c>
      <c r="O19" s="533">
        <v>1</v>
      </c>
      <c r="P19" s="400">
        <v>1</v>
      </c>
      <c r="Q19" s="400" t="s">
        <v>227</v>
      </c>
      <c r="R19" s="400">
        <v>11</v>
      </c>
      <c r="S19" s="534"/>
      <c r="T19" s="400"/>
      <c r="U19" s="533">
        <v>14</v>
      </c>
      <c r="V19" s="534"/>
      <c r="W19" s="400"/>
      <c r="X19" s="533">
        <v>19</v>
      </c>
      <c r="Y19" s="534"/>
      <c r="Z19" s="400"/>
      <c r="AA19" s="533">
        <v>25</v>
      </c>
    </row>
    <row r="20" spans="2:27" s="212" customFormat="1" x14ac:dyDescent="0.2">
      <c r="B20" s="5496"/>
      <c r="C20" s="230" t="s">
        <v>308</v>
      </c>
      <c r="D20" s="530" t="s">
        <v>227</v>
      </c>
      <c r="E20" s="532" t="s">
        <v>227</v>
      </c>
      <c r="F20" s="532" t="s">
        <v>227</v>
      </c>
      <c r="G20" s="533" t="s">
        <v>227</v>
      </c>
      <c r="H20" s="400" t="s">
        <v>227</v>
      </c>
      <c r="I20" s="400" t="s">
        <v>227</v>
      </c>
      <c r="J20" s="400" t="s">
        <v>227</v>
      </c>
      <c r="K20" s="533" t="s">
        <v>227</v>
      </c>
      <c r="L20" s="400" t="s">
        <v>227</v>
      </c>
      <c r="M20" s="400">
        <v>19</v>
      </c>
      <c r="N20" s="400">
        <v>19</v>
      </c>
      <c r="O20" s="533">
        <v>19</v>
      </c>
      <c r="P20" s="400">
        <v>19</v>
      </c>
      <c r="Q20" s="400">
        <v>19</v>
      </c>
      <c r="R20" s="400">
        <v>3</v>
      </c>
      <c r="S20" s="534">
        <v>24</v>
      </c>
      <c r="T20" s="400">
        <v>22</v>
      </c>
      <c r="U20" s="533">
        <v>22</v>
      </c>
      <c r="V20" s="534">
        <v>22</v>
      </c>
      <c r="W20" s="400">
        <v>21</v>
      </c>
      <c r="X20" s="533">
        <v>2</v>
      </c>
      <c r="Y20" s="534">
        <v>13</v>
      </c>
      <c r="Z20" s="400">
        <v>14</v>
      </c>
      <c r="AA20" s="533">
        <v>15</v>
      </c>
    </row>
    <row r="21" spans="2:27" s="212" customFormat="1" x14ac:dyDescent="0.2">
      <c r="B21" s="5496"/>
      <c r="C21" s="231" t="s">
        <v>309</v>
      </c>
      <c r="D21" s="530">
        <v>6</v>
      </c>
      <c r="E21" s="532" t="s">
        <v>227</v>
      </c>
      <c r="F21" s="532" t="s">
        <v>227</v>
      </c>
      <c r="G21" s="533" t="s">
        <v>227</v>
      </c>
      <c r="H21" s="400">
        <v>5</v>
      </c>
      <c r="I21" s="400">
        <v>4</v>
      </c>
      <c r="J21" s="400">
        <v>1</v>
      </c>
      <c r="K21" s="533" t="s">
        <v>227</v>
      </c>
      <c r="L21" s="400">
        <v>5</v>
      </c>
      <c r="M21" s="400" t="s">
        <v>227</v>
      </c>
      <c r="N21" s="400">
        <v>1</v>
      </c>
      <c r="O21" s="533">
        <v>4</v>
      </c>
      <c r="P21" s="400">
        <v>8</v>
      </c>
      <c r="Q21" s="400" t="s">
        <v>227</v>
      </c>
      <c r="R21" s="400">
        <v>23</v>
      </c>
      <c r="S21" s="534"/>
      <c r="T21" s="400"/>
      <c r="U21" s="533">
        <v>18</v>
      </c>
      <c r="V21" s="534"/>
      <c r="W21" s="400"/>
      <c r="X21" s="533">
        <v>30</v>
      </c>
      <c r="Y21" s="534"/>
      <c r="Z21" s="400"/>
      <c r="AA21" s="533">
        <v>40</v>
      </c>
    </row>
    <row r="22" spans="2:27" s="212" customFormat="1" x14ac:dyDescent="0.2">
      <c r="B22" s="5496"/>
      <c r="C22" s="231" t="s">
        <v>310</v>
      </c>
      <c r="D22" s="535" t="s">
        <v>227</v>
      </c>
      <c r="E22" s="532" t="s">
        <v>227</v>
      </c>
      <c r="F22" s="532" t="s">
        <v>227</v>
      </c>
      <c r="G22" s="533" t="s">
        <v>227</v>
      </c>
      <c r="H22" s="400" t="s">
        <v>227</v>
      </c>
      <c r="I22" s="400" t="s">
        <v>227</v>
      </c>
      <c r="J22" s="400" t="s">
        <v>227</v>
      </c>
      <c r="K22" s="533" t="s">
        <v>227</v>
      </c>
      <c r="L22" s="400" t="s">
        <v>227</v>
      </c>
      <c r="M22" s="400">
        <v>12</v>
      </c>
      <c r="N22" s="400">
        <v>11</v>
      </c>
      <c r="O22" s="533">
        <v>10</v>
      </c>
      <c r="P22" s="400">
        <v>9</v>
      </c>
      <c r="Q22" s="400">
        <v>8</v>
      </c>
      <c r="R22" s="400">
        <v>8</v>
      </c>
      <c r="S22" s="534">
        <v>21</v>
      </c>
      <c r="T22" s="400">
        <v>21</v>
      </c>
      <c r="U22" s="533">
        <v>13</v>
      </c>
      <c r="V22" s="534">
        <v>13</v>
      </c>
      <c r="W22" s="400">
        <v>14</v>
      </c>
      <c r="X22" s="533">
        <v>13</v>
      </c>
      <c r="Y22" s="534">
        <v>11</v>
      </c>
      <c r="Z22" s="400">
        <v>17</v>
      </c>
      <c r="AA22" s="533">
        <v>23</v>
      </c>
    </row>
    <row r="23" spans="2:27" s="212" customFormat="1" x14ac:dyDescent="0.2">
      <c r="B23" s="5497"/>
      <c r="C23" s="394" t="s">
        <v>331</v>
      </c>
      <c r="D23" s="536"/>
      <c r="E23" s="537"/>
      <c r="F23" s="537"/>
      <c r="G23" s="538"/>
      <c r="H23" s="401"/>
      <c r="I23" s="401"/>
      <c r="J23" s="401"/>
      <c r="K23" s="538"/>
      <c r="L23" s="401"/>
      <c r="M23" s="401"/>
      <c r="N23" s="401"/>
      <c r="O23" s="538"/>
      <c r="P23" s="401"/>
      <c r="Q23" s="401"/>
      <c r="R23" s="401"/>
      <c r="S23" s="539"/>
      <c r="T23" s="401"/>
      <c r="U23" s="538"/>
      <c r="V23" s="539">
        <v>12</v>
      </c>
      <c r="W23" s="401">
        <v>12</v>
      </c>
      <c r="X23" s="538">
        <v>11</v>
      </c>
      <c r="Y23" s="539">
        <v>18</v>
      </c>
      <c r="Z23" s="401">
        <v>16</v>
      </c>
      <c r="AA23" s="538">
        <v>6</v>
      </c>
    </row>
    <row r="24" spans="2:27" s="212" customFormat="1" x14ac:dyDescent="0.2">
      <c r="B24" s="5496" t="s">
        <v>7</v>
      </c>
      <c r="C24" s="540" t="s">
        <v>248</v>
      </c>
      <c r="D24" s="535">
        <v>29</v>
      </c>
      <c r="E24" s="532">
        <v>28</v>
      </c>
      <c r="F24" s="532">
        <v>9</v>
      </c>
      <c r="G24" s="533">
        <v>16</v>
      </c>
      <c r="H24" s="400">
        <v>13</v>
      </c>
      <c r="I24" s="400">
        <v>4</v>
      </c>
      <c r="J24" s="400">
        <v>16</v>
      </c>
      <c r="K24" s="533">
        <v>14</v>
      </c>
      <c r="L24" s="400">
        <v>2</v>
      </c>
      <c r="M24" s="400">
        <v>8</v>
      </c>
      <c r="N24" s="400">
        <v>7</v>
      </c>
      <c r="O24" s="533">
        <v>2</v>
      </c>
      <c r="P24" s="400">
        <v>36</v>
      </c>
      <c r="Q24" s="400">
        <v>17</v>
      </c>
      <c r="R24" s="400" t="s">
        <v>227</v>
      </c>
      <c r="S24" s="534">
        <v>16</v>
      </c>
      <c r="T24" s="400">
        <v>11</v>
      </c>
      <c r="U24" s="533">
        <v>1</v>
      </c>
      <c r="V24" s="534">
        <v>9</v>
      </c>
      <c r="W24" s="400">
        <v>10</v>
      </c>
      <c r="X24" s="533">
        <v>1</v>
      </c>
      <c r="Y24" s="534">
        <v>17</v>
      </c>
      <c r="Z24" s="400">
        <v>12</v>
      </c>
      <c r="AA24" s="533">
        <v>5</v>
      </c>
    </row>
    <row r="25" spans="2:27" s="212" customFormat="1" x14ac:dyDescent="0.2">
      <c r="B25" s="5496"/>
      <c r="C25" s="540" t="s">
        <v>249</v>
      </c>
      <c r="D25" s="535">
        <v>26</v>
      </c>
      <c r="E25" s="532">
        <v>21</v>
      </c>
      <c r="F25" s="532">
        <v>8</v>
      </c>
      <c r="G25" s="533">
        <v>26</v>
      </c>
      <c r="H25" s="400">
        <v>21</v>
      </c>
      <c r="I25" s="400">
        <v>20</v>
      </c>
      <c r="J25" s="400">
        <v>25</v>
      </c>
      <c r="K25" s="533">
        <v>22</v>
      </c>
      <c r="L25" s="400">
        <v>7</v>
      </c>
      <c r="M25" s="400">
        <v>34</v>
      </c>
      <c r="N25" s="400">
        <v>22</v>
      </c>
      <c r="O25" s="533">
        <v>18</v>
      </c>
      <c r="P25" s="400">
        <v>23</v>
      </c>
      <c r="Q25" s="400">
        <v>37</v>
      </c>
      <c r="R25" s="400">
        <v>23</v>
      </c>
      <c r="S25" s="534">
        <v>46</v>
      </c>
      <c r="T25" s="400">
        <v>42</v>
      </c>
      <c r="U25" s="533">
        <v>28</v>
      </c>
      <c r="V25" s="534">
        <v>72</v>
      </c>
      <c r="W25" s="400">
        <v>72</v>
      </c>
      <c r="X25" s="533">
        <v>55</v>
      </c>
      <c r="Y25" s="534">
        <v>80</v>
      </c>
      <c r="Z25" s="400">
        <v>75</v>
      </c>
      <c r="AA25" s="533">
        <v>46</v>
      </c>
    </row>
    <row r="26" spans="2:27" s="212" customFormat="1" x14ac:dyDescent="0.2">
      <c r="B26" s="5496"/>
      <c r="C26" s="540" t="s">
        <v>250</v>
      </c>
      <c r="D26" s="535">
        <v>17</v>
      </c>
      <c r="E26" s="532">
        <v>17</v>
      </c>
      <c r="F26" s="532">
        <v>7</v>
      </c>
      <c r="G26" s="533">
        <v>4</v>
      </c>
      <c r="H26" s="400">
        <v>4</v>
      </c>
      <c r="I26" s="400">
        <v>1</v>
      </c>
      <c r="J26" s="400">
        <v>1</v>
      </c>
      <c r="K26" s="533">
        <v>1</v>
      </c>
      <c r="L26" s="400">
        <v>2</v>
      </c>
      <c r="M26" s="400">
        <v>6</v>
      </c>
      <c r="N26" s="400">
        <v>6</v>
      </c>
      <c r="O26" s="533">
        <v>8</v>
      </c>
      <c r="P26" s="400">
        <v>9</v>
      </c>
      <c r="Q26" s="400">
        <v>11</v>
      </c>
      <c r="R26" s="400">
        <v>8</v>
      </c>
      <c r="S26" s="534">
        <v>13</v>
      </c>
      <c r="T26" s="400">
        <v>11</v>
      </c>
      <c r="U26" s="533">
        <v>13</v>
      </c>
      <c r="V26" s="534">
        <v>20</v>
      </c>
      <c r="W26" s="400">
        <v>19</v>
      </c>
      <c r="X26" s="533">
        <v>19</v>
      </c>
      <c r="Y26" s="534">
        <v>32</v>
      </c>
      <c r="Z26" s="400">
        <v>34</v>
      </c>
      <c r="AA26" s="533">
        <v>36</v>
      </c>
    </row>
    <row r="27" spans="2:27" s="212" customFormat="1" x14ac:dyDescent="0.2">
      <c r="B27" s="5502" t="s">
        <v>333</v>
      </c>
      <c r="C27" s="5503"/>
      <c r="D27" s="658">
        <f>SUM(D7:D26)</f>
        <v>250</v>
      </c>
      <c r="E27" s="659">
        <f t="shared" ref="E27:AA27" si="0">SUM(E7:E26)</f>
        <v>230</v>
      </c>
      <c r="F27" s="659">
        <f t="shared" si="0"/>
        <v>145</v>
      </c>
      <c r="G27" s="659">
        <f t="shared" si="0"/>
        <v>201</v>
      </c>
      <c r="H27" s="658">
        <f t="shared" si="0"/>
        <v>195</v>
      </c>
      <c r="I27" s="659">
        <f t="shared" si="0"/>
        <v>149</v>
      </c>
      <c r="J27" s="659">
        <f t="shared" si="0"/>
        <v>222</v>
      </c>
      <c r="K27" s="660">
        <f t="shared" si="0"/>
        <v>227</v>
      </c>
      <c r="L27" s="659">
        <f t="shared" si="0"/>
        <v>145</v>
      </c>
      <c r="M27" s="659">
        <f t="shared" si="0"/>
        <v>239</v>
      </c>
      <c r="N27" s="659">
        <f t="shared" si="0"/>
        <v>250</v>
      </c>
      <c r="O27" s="659">
        <f t="shared" si="0"/>
        <v>188</v>
      </c>
      <c r="P27" s="658">
        <f t="shared" si="0"/>
        <v>268</v>
      </c>
      <c r="Q27" s="659">
        <f t="shared" si="0"/>
        <v>260</v>
      </c>
      <c r="R27" s="660">
        <f t="shared" si="0"/>
        <v>198</v>
      </c>
      <c r="S27" s="659">
        <f t="shared" si="0"/>
        <v>267</v>
      </c>
      <c r="T27" s="659">
        <f t="shared" si="0"/>
        <v>279</v>
      </c>
      <c r="U27" s="659">
        <f t="shared" si="0"/>
        <v>239</v>
      </c>
      <c r="V27" s="658">
        <f t="shared" si="0"/>
        <v>303</v>
      </c>
      <c r="W27" s="659">
        <f t="shared" si="0"/>
        <v>302</v>
      </c>
      <c r="X27" s="660">
        <f t="shared" si="0"/>
        <v>274</v>
      </c>
      <c r="Y27" s="659">
        <f t="shared" si="0"/>
        <v>367</v>
      </c>
      <c r="Z27" s="659">
        <f t="shared" si="0"/>
        <v>361</v>
      </c>
      <c r="AA27" s="660">
        <f t="shared" si="0"/>
        <v>360</v>
      </c>
    </row>
    <row r="28" spans="2:27" s="212" customFormat="1" x14ac:dyDescent="0.2">
      <c r="B28" s="5495" t="s">
        <v>5</v>
      </c>
      <c r="C28" s="393" t="s">
        <v>251</v>
      </c>
      <c r="D28" s="535">
        <v>6</v>
      </c>
      <c r="E28" s="532">
        <v>3</v>
      </c>
      <c r="F28" s="532">
        <v>3</v>
      </c>
      <c r="G28" s="533">
        <v>2</v>
      </c>
      <c r="H28" s="400">
        <v>3</v>
      </c>
      <c r="I28" s="400">
        <v>2</v>
      </c>
      <c r="J28" s="400">
        <v>2</v>
      </c>
      <c r="K28" s="533">
        <v>3</v>
      </c>
      <c r="L28" s="400">
        <v>2</v>
      </c>
      <c r="M28" s="400">
        <v>3</v>
      </c>
      <c r="N28" s="400">
        <v>2</v>
      </c>
      <c r="O28" s="533">
        <v>3</v>
      </c>
      <c r="P28" s="400">
        <v>15</v>
      </c>
      <c r="Q28" s="400">
        <v>9</v>
      </c>
      <c r="R28" s="400">
        <v>10</v>
      </c>
      <c r="S28" s="534">
        <v>9</v>
      </c>
      <c r="T28" s="400">
        <v>9</v>
      </c>
      <c r="U28" s="533">
        <v>11</v>
      </c>
      <c r="V28" s="534">
        <v>9</v>
      </c>
      <c r="W28" s="400">
        <v>9</v>
      </c>
      <c r="X28" s="533">
        <v>7</v>
      </c>
      <c r="Y28" s="534">
        <v>9</v>
      </c>
      <c r="Z28" s="400">
        <v>9</v>
      </c>
      <c r="AA28" s="533">
        <v>10</v>
      </c>
    </row>
    <row r="29" spans="2:27" s="212" customFormat="1" x14ac:dyDescent="0.2">
      <c r="B29" s="5496"/>
      <c r="C29" s="230" t="s">
        <v>303</v>
      </c>
      <c r="D29" s="535">
        <v>9</v>
      </c>
      <c r="E29" s="532">
        <v>10</v>
      </c>
      <c r="F29" s="532">
        <v>10</v>
      </c>
      <c r="G29" s="533">
        <v>10</v>
      </c>
      <c r="H29" s="400">
        <v>9</v>
      </c>
      <c r="I29" s="400">
        <v>11</v>
      </c>
      <c r="J29" s="400">
        <v>21</v>
      </c>
      <c r="K29" s="533">
        <v>24</v>
      </c>
      <c r="L29" s="400">
        <v>32</v>
      </c>
      <c r="M29" s="400">
        <v>42</v>
      </c>
      <c r="N29" s="400">
        <v>42</v>
      </c>
      <c r="O29" s="533">
        <v>43</v>
      </c>
      <c r="P29" s="400">
        <v>59</v>
      </c>
      <c r="Q29" s="400">
        <v>49</v>
      </c>
      <c r="R29" s="400">
        <v>41</v>
      </c>
      <c r="S29" s="534">
        <v>43</v>
      </c>
      <c r="T29" s="400">
        <v>43</v>
      </c>
      <c r="U29" s="533">
        <v>40</v>
      </c>
      <c r="V29" s="534">
        <v>46</v>
      </c>
      <c r="W29" s="400">
        <v>39</v>
      </c>
      <c r="X29" s="533">
        <v>33</v>
      </c>
      <c r="Y29" s="534">
        <v>38</v>
      </c>
      <c r="Z29" s="400">
        <v>34</v>
      </c>
      <c r="AA29" s="533">
        <v>32</v>
      </c>
    </row>
    <row r="30" spans="2:27" s="212" customFormat="1" x14ac:dyDescent="0.2">
      <c r="B30" s="5496"/>
      <c r="C30" s="230" t="s">
        <v>254</v>
      </c>
      <c r="D30" s="535">
        <v>8</v>
      </c>
      <c r="E30" s="532">
        <v>7</v>
      </c>
      <c r="F30" s="532">
        <v>7</v>
      </c>
      <c r="G30" s="533">
        <v>9</v>
      </c>
      <c r="H30" s="400">
        <v>10</v>
      </c>
      <c r="I30" s="400">
        <v>10</v>
      </c>
      <c r="J30" s="400">
        <v>13</v>
      </c>
      <c r="K30" s="533">
        <v>10</v>
      </c>
      <c r="L30" s="400">
        <v>8</v>
      </c>
      <c r="M30" s="400">
        <v>10</v>
      </c>
      <c r="N30" s="400">
        <v>9</v>
      </c>
      <c r="O30" s="533">
        <v>10</v>
      </c>
      <c r="P30" s="400">
        <v>37</v>
      </c>
      <c r="Q30" s="400">
        <v>11</v>
      </c>
      <c r="R30" s="400">
        <v>9</v>
      </c>
      <c r="S30" s="534">
        <v>9</v>
      </c>
      <c r="T30" s="400">
        <v>9</v>
      </c>
      <c r="U30" s="533">
        <v>10</v>
      </c>
      <c r="V30" s="534">
        <v>11</v>
      </c>
      <c r="W30" s="400">
        <v>9</v>
      </c>
      <c r="X30" s="533">
        <v>6</v>
      </c>
      <c r="Y30" s="534">
        <v>9</v>
      </c>
      <c r="Z30" s="400">
        <v>11</v>
      </c>
      <c r="AA30" s="533">
        <v>8</v>
      </c>
    </row>
    <row r="31" spans="2:27" s="212" customFormat="1" x14ac:dyDescent="0.2">
      <c r="B31" s="5496"/>
      <c r="C31" s="230" t="s">
        <v>256</v>
      </c>
      <c r="D31" s="535">
        <v>20</v>
      </c>
      <c r="E31" s="532">
        <v>18</v>
      </c>
      <c r="F31" s="532">
        <v>17</v>
      </c>
      <c r="G31" s="533">
        <v>20</v>
      </c>
      <c r="H31" s="400">
        <v>17</v>
      </c>
      <c r="I31" s="400">
        <v>16</v>
      </c>
      <c r="J31" s="400">
        <v>18</v>
      </c>
      <c r="K31" s="533">
        <v>15</v>
      </c>
      <c r="L31" s="400">
        <v>11</v>
      </c>
      <c r="M31" s="400">
        <v>15</v>
      </c>
      <c r="N31" s="400">
        <v>13</v>
      </c>
      <c r="O31" s="533">
        <v>11</v>
      </c>
      <c r="P31" s="400">
        <v>22</v>
      </c>
      <c r="Q31" s="400">
        <v>15</v>
      </c>
      <c r="R31" s="400">
        <v>13</v>
      </c>
      <c r="S31" s="534">
        <v>15</v>
      </c>
      <c r="T31" s="400">
        <v>14</v>
      </c>
      <c r="U31" s="533">
        <v>11</v>
      </c>
      <c r="V31" s="534">
        <v>17</v>
      </c>
      <c r="W31" s="400">
        <v>17</v>
      </c>
      <c r="X31" s="533">
        <v>16</v>
      </c>
      <c r="Y31" s="534">
        <v>28</v>
      </c>
      <c r="Z31" s="400">
        <v>28</v>
      </c>
      <c r="AA31" s="533">
        <v>21</v>
      </c>
    </row>
    <row r="32" spans="2:27" s="212" customFormat="1" x14ac:dyDescent="0.2">
      <c r="B32" s="5496"/>
      <c r="C32" s="231" t="s">
        <v>258</v>
      </c>
      <c r="D32" s="535">
        <v>7</v>
      </c>
      <c r="E32" s="532">
        <v>8</v>
      </c>
      <c r="F32" s="532">
        <v>12</v>
      </c>
      <c r="G32" s="533">
        <v>20</v>
      </c>
      <c r="H32" s="400">
        <v>21</v>
      </c>
      <c r="I32" s="400">
        <v>26</v>
      </c>
      <c r="J32" s="400">
        <v>26</v>
      </c>
      <c r="K32" s="533">
        <v>32</v>
      </c>
      <c r="L32" s="400">
        <v>33</v>
      </c>
      <c r="M32" s="400">
        <v>36</v>
      </c>
      <c r="N32" s="400">
        <v>41</v>
      </c>
      <c r="O32" s="533">
        <v>44</v>
      </c>
      <c r="P32" s="400">
        <v>44</v>
      </c>
      <c r="Q32" s="400">
        <v>43</v>
      </c>
      <c r="R32" s="400">
        <v>44</v>
      </c>
      <c r="S32" s="534">
        <v>45</v>
      </c>
      <c r="T32" s="400">
        <v>41</v>
      </c>
      <c r="U32" s="533">
        <v>33</v>
      </c>
      <c r="V32" s="534">
        <v>32</v>
      </c>
      <c r="W32" s="400">
        <v>35</v>
      </c>
      <c r="X32" s="533">
        <v>30</v>
      </c>
      <c r="Y32" s="534">
        <v>32</v>
      </c>
      <c r="Z32" s="400">
        <v>35</v>
      </c>
      <c r="AA32" s="533">
        <v>35</v>
      </c>
    </row>
    <row r="33" spans="2:27" s="212" customFormat="1" x14ac:dyDescent="0.2">
      <c r="B33" s="5496"/>
      <c r="C33" s="231" t="s">
        <v>260</v>
      </c>
      <c r="D33" s="535" t="s">
        <v>227</v>
      </c>
      <c r="E33" s="532" t="s">
        <v>227</v>
      </c>
      <c r="F33" s="532" t="s">
        <v>227</v>
      </c>
      <c r="G33" s="533" t="s">
        <v>227</v>
      </c>
      <c r="H33" s="400" t="s">
        <v>227</v>
      </c>
      <c r="I33" s="400" t="s">
        <v>227</v>
      </c>
      <c r="J33" s="400" t="s">
        <v>227</v>
      </c>
      <c r="K33" s="533" t="s">
        <v>227</v>
      </c>
      <c r="L33" s="400" t="s">
        <v>227</v>
      </c>
      <c r="M33" s="400">
        <v>9</v>
      </c>
      <c r="N33" s="400">
        <v>9</v>
      </c>
      <c r="O33" s="533">
        <v>8</v>
      </c>
      <c r="P33" s="400">
        <v>17</v>
      </c>
      <c r="Q33" s="400">
        <v>16</v>
      </c>
      <c r="R33" s="400">
        <v>10</v>
      </c>
      <c r="S33" s="534">
        <v>14</v>
      </c>
      <c r="T33" s="400">
        <v>14</v>
      </c>
      <c r="U33" s="533">
        <v>13</v>
      </c>
      <c r="V33" s="534">
        <v>21</v>
      </c>
      <c r="W33" s="400">
        <v>21</v>
      </c>
      <c r="X33" s="533">
        <v>16</v>
      </c>
      <c r="Y33" s="534">
        <v>30</v>
      </c>
      <c r="Z33" s="400">
        <v>30</v>
      </c>
      <c r="AA33" s="533">
        <v>28</v>
      </c>
    </row>
    <row r="34" spans="2:27" s="212" customFormat="1" x14ac:dyDescent="0.2">
      <c r="B34" s="5496"/>
      <c r="C34" s="231" t="s">
        <v>261</v>
      </c>
      <c r="D34" s="535">
        <v>43</v>
      </c>
      <c r="E34" s="532">
        <v>33</v>
      </c>
      <c r="F34" s="532">
        <v>30</v>
      </c>
      <c r="G34" s="533">
        <v>23</v>
      </c>
      <c r="H34" s="400">
        <v>11</v>
      </c>
      <c r="I34" s="400">
        <v>4</v>
      </c>
      <c r="J34" s="400">
        <v>3</v>
      </c>
      <c r="K34" s="533">
        <v>1</v>
      </c>
      <c r="L34" s="400">
        <v>1</v>
      </c>
      <c r="M34" s="400">
        <v>1</v>
      </c>
      <c r="N34" s="400">
        <v>1</v>
      </c>
      <c r="O34" s="533" t="s">
        <v>227</v>
      </c>
      <c r="P34" s="400" t="s">
        <v>227</v>
      </c>
      <c r="Q34" s="400" t="s">
        <v>227</v>
      </c>
      <c r="R34" s="400" t="s">
        <v>227</v>
      </c>
      <c r="S34" s="534"/>
      <c r="T34" s="400"/>
      <c r="U34" s="533">
        <v>2</v>
      </c>
      <c r="V34" s="534">
        <v>2</v>
      </c>
      <c r="W34" s="400">
        <v>4</v>
      </c>
      <c r="X34" s="533">
        <v>7</v>
      </c>
      <c r="Y34" s="534">
        <v>7</v>
      </c>
      <c r="Z34" s="400">
        <v>6</v>
      </c>
      <c r="AA34" s="533">
        <v>1</v>
      </c>
    </row>
    <row r="35" spans="2:27" s="212" customFormat="1" x14ac:dyDescent="0.2">
      <c r="B35" s="5496"/>
      <c r="C35" s="231" t="s">
        <v>252</v>
      </c>
      <c r="D35" s="535">
        <v>28</v>
      </c>
      <c r="E35" s="532">
        <v>32</v>
      </c>
      <c r="F35" s="532">
        <v>30</v>
      </c>
      <c r="G35" s="533">
        <v>30</v>
      </c>
      <c r="H35" s="400">
        <v>27</v>
      </c>
      <c r="I35" s="400">
        <v>27</v>
      </c>
      <c r="J35" s="400">
        <v>29</v>
      </c>
      <c r="K35" s="533">
        <v>29</v>
      </c>
      <c r="L35" s="400">
        <v>29</v>
      </c>
      <c r="M35" s="400">
        <v>32</v>
      </c>
      <c r="N35" s="400">
        <v>32</v>
      </c>
      <c r="O35" s="533">
        <v>33</v>
      </c>
      <c r="P35" s="400">
        <v>25</v>
      </c>
      <c r="Q35" s="400">
        <v>30</v>
      </c>
      <c r="R35" s="400">
        <v>30</v>
      </c>
      <c r="S35" s="534">
        <v>33</v>
      </c>
      <c r="T35" s="400">
        <v>31</v>
      </c>
      <c r="U35" s="533">
        <v>29</v>
      </c>
      <c r="V35" s="534">
        <v>34</v>
      </c>
      <c r="W35" s="400">
        <v>31</v>
      </c>
      <c r="X35" s="533">
        <v>28</v>
      </c>
      <c r="Y35" s="534">
        <v>26</v>
      </c>
      <c r="Z35" s="400">
        <v>20</v>
      </c>
      <c r="AA35" s="533">
        <v>25</v>
      </c>
    </row>
    <row r="36" spans="2:27" s="212" customFormat="1" x14ac:dyDescent="0.2">
      <c r="B36" s="5496"/>
      <c r="C36" s="231" t="s">
        <v>253</v>
      </c>
      <c r="D36" s="535">
        <v>16</v>
      </c>
      <c r="E36" s="532">
        <v>16</v>
      </c>
      <c r="F36" s="532">
        <v>17</v>
      </c>
      <c r="G36" s="533">
        <v>20</v>
      </c>
      <c r="H36" s="400">
        <v>23</v>
      </c>
      <c r="I36" s="400">
        <v>24</v>
      </c>
      <c r="J36" s="400">
        <v>23</v>
      </c>
      <c r="K36" s="533">
        <v>25</v>
      </c>
      <c r="L36" s="400">
        <v>26</v>
      </c>
      <c r="M36" s="400">
        <v>27</v>
      </c>
      <c r="N36" s="400">
        <v>29</v>
      </c>
      <c r="O36" s="533">
        <v>28</v>
      </c>
      <c r="P36" s="400">
        <v>22</v>
      </c>
      <c r="Q36" s="400">
        <v>30</v>
      </c>
      <c r="R36" s="400">
        <v>30</v>
      </c>
      <c r="S36" s="534">
        <v>33</v>
      </c>
      <c r="T36" s="400">
        <v>34</v>
      </c>
      <c r="U36" s="533">
        <v>34</v>
      </c>
      <c r="V36" s="534">
        <v>36</v>
      </c>
      <c r="W36" s="400">
        <v>33</v>
      </c>
      <c r="X36" s="533">
        <v>38</v>
      </c>
      <c r="Y36" s="534">
        <v>43</v>
      </c>
      <c r="Z36" s="400">
        <v>45</v>
      </c>
      <c r="AA36" s="533">
        <v>42</v>
      </c>
    </row>
    <row r="37" spans="2:27" s="212" customFormat="1" x14ac:dyDescent="0.2">
      <c r="B37" s="5496"/>
      <c r="C37" s="231" t="s">
        <v>255</v>
      </c>
      <c r="D37" s="535">
        <v>67</v>
      </c>
      <c r="E37" s="532">
        <v>70</v>
      </c>
      <c r="F37" s="532">
        <v>67</v>
      </c>
      <c r="G37" s="533">
        <v>69</v>
      </c>
      <c r="H37" s="400">
        <v>77</v>
      </c>
      <c r="I37" s="400">
        <v>79</v>
      </c>
      <c r="J37" s="400">
        <v>78</v>
      </c>
      <c r="K37" s="533">
        <v>86</v>
      </c>
      <c r="L37" s="400">
        <v>89</v>
      </c>
      <c r="M37" s="400">
        <v>92</v>
      </c>
      <c r="N37" s="400">
        <v>89</v>
      </c>
      <c r="O37" s="533">
        <v>86</v>
      </c>
      <c r="P37" s="400">
        <v>64</v>
      </c>
      <c r="Q37" s="400">
        <v>85</v>
      </c>
      <c r="R37" s="400">
        <v>78</v>
      </c>
      <c r="S37" s="534">
        <v>74</v>
      </c>
      <c r="T37" s="400">
        <v>69</v>
      </c>
      <c r="U37" s="533">
        <v>66</v>
      </c>
      <c r="V37" s="534">
        <v>69</v>
      </c>
      <c r="W37" s="400">
        <v>72</v>
      </c>
      <c r="X37" s="533">
        <v>66</v>
      </c>
      <c r="Y37" s="534">
        <v>71</v>
      </c>
      <c r="Z37" s="400">
        <v>83</v>
      </c>
      <c r="AA37" s="533">
        <v>82</v>
      </c>
    </row>
    <row r="38" spans="2:27" s="212" customFormat="1" x14ac:dyDescent="0.2">
      <c r="B38" s="5496"/>
      <c r="C38" s="231" t="s">
        <v>257</v>
      </c>
      <c r="D38" s="535">
        <v>48</v>
      </c>
      <c r="E38" s="532">
        <v>46</v>
      </c>
      <c r="F38" s="532">
        <v>45</v>
      </c>
      <c r="G38" s="533">
        <v>49</v>
      </c>
      <c r="H38" s="400">
        <v>50</v>
      </c>
      <c r="I38" s="400">
        <v>50</v>
      </c>
      <c r="J38" s="400">
        <v>53</v>
      </c>
      <c r="K38" s="533">
        <v>53</v>
      </c>
      <c r="L38" s="400">
        <v>48</v>
      </c>
      <c r="M38" s="400">
        <v>50</v>
      </c>
      <c r="N38" s="400">
        <v>50</v>
      </c>
      <c r="O38" s="533">
        <v>49</v>
      </c>
      <c r="P38" s="400">
        <v>48</v>
      </c>
      <c r="Q38" s="400">
        <v>50</v>
      </c>
      <c r="R38" s="400">
        <v>44</v>
      </c>
      <c r="S38" s="534">
        <v>41</v>
      </c>
      <c r="T38" s="400">
        <v>40</v>
      </c>
      <c r="U38" s="533">
        <v>36</v>
      </c>
      <c r="V38" s="534">
        <v>34</v>
      </c>
      <c r="W38" s="400">
        <v>33</v>
      </c>
      <c r="X38" s="533">
        <v>33</v>
      </c>
      <c r="Y38" s="534">
        <v>30</v>
      </c>
      <c r="Z38" s="400">
        <v>27</v>
      </c>
      <c r="AA38" s="533">
        <v>27</v>
      </c>
    </row>
    <row r="39" spans="2:27" s="212" customFormat="1" x14ac:dyDescent="0.2">
      <c r="B39" s="5497"/>
      <c r="C39" s="396" t="s">
        <v>259</v>
      </c>
      <c r="D39" s="536">
        <v>14</v>
      </c>
      <c r="E39" s="537">
        <v>16</v>
      </c>
      <c r="F39" s="537">
        <v>12</v>
      </c>
      <c r="G39" s="538">
        <v>10</v>
      </c>
      <c r="H39" s="401">
        <v>11</v>
      </c>
      <c r="I39" s="401">
        <v>10</v>
      </c>
      <c r="J39" s="401">
        <v>9</v>
      </c>
      <c r="K39" s="538">
        <v>11</v>
      </c>
      <c r="L39" s="401">
        <v>12</v>
      </c>
      <c r="M39" s="401">
        <v>14</v>
      </c>
      <c r="N39" s="401">
        <v>11</v>
      </c>
      <c r="O39" s="538">
        <v>15</v>
      </c>
      <c r="P39" s="401">
        <v>11</v>
      </c>
      <c r="Q39" s="401">
        <v>11</v>
      </c>
      <c r="R39" s="401">
        <v>12</v>
      </c>
      <c r="S39" s="539">
        <v>15</v>
      </c>
      <c r="T39" s="401">
        <v>12</v>
      </c>
      <c r="U39" s="538">
        <v>13</v>
      </c>
      <c r="V39" s="539">
        <v>13</v>
      </c>
      <c r="W39" s="401">
        <v>14</v>
      </c>
      <c r="X39" s="538">
        <v>15</v>
      </c>
      <c r="Y39" s="539">
        <v>17</v>
      </c>
      <c r="Z39" s="401">
        <v>16</v>
      </c>
      <c r="AA39" s="538">
        <v>16</v>
      </c>
    </row>
    <row r="40" spans="2:27" s="212" customFormat="1" x14ac:dyDescent="0.2">
      <c r="B40" s="5496" t="s">
        <v>6</v>
      </c>
      <c r="C40" s="231" t="s">
        <v>262</v>
      </c>
      <c r="D40" s="535">
        <v>6</v>
      </c>
      <c r="E40" s="532">
        <v>5</v>
      </c>
      <c r="F40" s="532">
        <v>3</v>
      </c>
      <c r="G40" s="533">
        <v>41</v>
      </c>
      <c r="H40" s="400">
        <v>32</v>
      </c>
      <c r="I40" s="400">
        <v>3</v>
      </c>
      <c r="J40" s="400">
        <v>73</v>
      </c>
      <c r="K40" s="533">
        <v>65</v>
      </c>
      <c r="L40" s="400">
        <v>1</v>
      </c>
      <c r="M40" s="400" t="s">
        <v>227</v>
      </c>
      <c r="N40" s="400">
        <v>82</v>
      </c>
      <c r="O40" s="533">
        <v>68</v>
      </c>
      <c r="P40" s="400" t="s">
        <v>227</v>
      </c>
      <c r="Q40" s="400">
        <v>81</v>
      </c>
      <c r="R40" s="400">
        <v>81</v>
      </c>
      <c r="S40" s="534">
        <v>1</v>
      </c>
      <c r="T40" s="400">
        <v>89</v>
      </c>
      <c r="U40" s="533">
        <v>85</v>
      </c>
      <c r="V40" s="534"/>
      <c r="W40" s="400"/>
      <c r="X40" s="533">
        <v>100</v>
      </c>
      <c r="Y40" s="534">
        <v>67</v>
      </c>
      <c r="Z40" s="400"/>
      <c r="AA40" s="533"/>
    </row>
    <row r="41" spans="2:27" s="212" customFormat="1" x14ac:dyDescent="0.2">
      <c r="B41" s="5496"/>
      <c r="C41" s="231" t="s">
        <v>320</v>
      </c>
      <c r="D41" s="535"/>
      <c r="E41" s="532"/>
      <c r="F41" s="532"/>
      <c r="G41" s="533"/>
      <c r="H41" s="400"/>
      <c r="I41" s="400"/>
      <c r="J41" s="400"/>
      <c r="K41" s="533"/>
      <c r="L41" s="400"/>
      <c r="M41" s="400"/>
      <c r="N41" s="400"/>
      <c r="O41" s="533"/>
      <c r="P41" s="400"/>
      <c r="Q41" s="400"/>
      <c r="R41" s="400"/>
      <c r="S41" s="534"/>
      <c r="T41" s="400"/>
      <c r="U41" s="533"/>
      <c r="V41" s="534"/>
      <c r="W41" s="400"/>
      <c r="X41" s="533">
        <v>1</v>
      </c>
      <c r="Y41" s="534">
        <v>1</v>
      </c>
      <c r="Z41" s="400">
        <v>1</v>
      </c>
      <c r="AA41" s="533">
        <v>1</v>
      </c>
    </row>
    <row r="42" spans="2:27" s="212" customFormat="1" x14ac:dyDescent="0.2">
      <c r="B42" s="5496"/>
      <c r="C42" s="231" t="s">
        <v>321</v>
      </c>
      <c r="D42" s="535"/>
      <c r="E42" s="532"/>
      <c r="F42" s="532"/>
      <c r="G42" s="533"/>
      <c r="H42" s="400"/>
      <c r="I42" s="400"/>
      <c r="J42" s="400"/>
      <c r="K42" s="533"/>
      <c r="L42" s="400"/>
      <c r="M42" s="400"/>
      <c r="N42" s="400"/>
      <c r="O42" s="533"/>
      <c r="P42" s="400"/>
      <c r="Q42" s="400"/>
      <c r="R42" s="400"/>
      <c r="S42" s="534"/>
      <c r="T42" s="400"/>
      <c r="U42" s="533"/>
      <c r="V42" s="534"/>
      <c r="W42" s="400"/>
      <c r="X42" s="533">
        <v>1</v>
      </c>
      <c r="Y42" s="534"/>
      <c r="Z42" s="400"/>
      <c r="AA42" s="533"/>
    </row>
    <row r="43" spans="2:27" s="212" customFormat="1" x14ac:dyDescent="0.2">
      <c r="B43" s="5496"/>
      <c r="C43" s="231" t="s">
        <v>263</v>
      </c>
      <c r="D43" s="535">
        <v>7</v>
      </c>
      <c r="E43" s="532">
        <v>8</v>
      </c>
      <c r="F43" s="532">
        <v>6</v>
      </c>
      <c r="G43" s="533">
        <v>6</v>
      </c>
      <c r="H43" s="400">
        <v>5</v>
      </c>
      <c r="I43" s="400">
        <v>4</v>
      </c>
      <c r="J43" s="400">
        <v>6</v>
      </c>
      <c r="K43" s="533">
        <v>4</v>
      </c>
      <c r="L43" s="400">
        <v>2</v>
      </c>
      <c r="M43" s="400">
        <v>6</v>
      </c>
      <c r="N43" s="400">
        <v>7</v>
      </c>
      <c r="O43" s="533">
        <v>5</v>
      </c>
      <c r="P43" s="400">
        <v>20</v>
      </c>
      <c r="Q43" s="400">
        <v>11</v>
      </c>
      <c r="R43" s="400">
        <v>7</v>
      </c>
      <c r="S43" s="534">
        <v>20</v>
      </c>
      <c r="T43" s="400">
        <v>21</v>
      </c>
      <c r="U43" s="533">
        <v>20</v>
      </c>
      <c r="V43" s="534">
        <v>5</v>
      </c>
      <c r="W43" s="400">
        <v>5</v>
      </c>
      <c r="X43" s="533">
        <v>2</v>
      </c>
      <c r="Y43" s="534">
        <v>16</v>
      </c>
      <c r="Z43" s="400">
        <v>16</v>
      </c>
      <c r="AA43" s="533">
        <v>15</v>
      </c>
    </row>
    <row r="44" spans="2:27" s="212" customFormat="1" x14ac:dyDescent="0.2">
      <c r="B44" s="5496"/>
      <c r="C44" s="231" t="s">
        <v>265</v>
      </c>
      <c r="D44" s="535">
        <v>13</v>
      </c>
      <c r="E44" s="532">
        <v>10</v>
      </c>
      <c r="F44" s="532">
        <v>8</v>
      </c>
      <c r="G44" s="533">
        <v>18</v>
      </c>
      <c r="H44" s="400">
        <v>17</v>
      </c>
      <c r="I44" s="400">
        <v>18</v>
      </c>
      <c r="J44" s="400">
        <v>17</v>
      </c>
      <c r="K44" s="533">
        <v>17</v>
      </c>
      <c r="L44" s="400">
        <v>10</v>
      </c>
      <c r="M44" s="400">
        <v>18</v>
      </c>
      <c r="N44" s="400">
        <v>14</v>
      </c>
      <c r="O44" s="533">
        <v>12</v>
      </c>
      <c r="P44" s="400">
        <v>14</v>
      </c>
      <c r="Q44" s="400">
        <v>11</v>
      </c>
      <c r="R44" s="400">
        <v>10</v>
      </c>
      <c r="S44" s="534">
        <v>20</v>
      </c>
      <c r="T44" s="400">
        <v>18</v>
      </c>
      <c r="U44" s="533">
        <v>16</v>
      </c>
      <c r="V44" s="534">
        <v>36</v>
      </c>
      <c r="W44" s="400">
        <v>35</v>
      </c>
      <c r="X44" s="533">
        <v>20</v>
      </c>
      <c r="Y44" s="534">
        <v>32</v>
      </c>
      <c r="Z44" s="400">
        <v>32</v>
      </c>
      <c r="AA44" s="533">
        <v>23</v>
      </c>
    </row>
    <row r="45" spans="2:27" s="212" customFormat="1" x14ac:dyDescent="0.2">
      <c r="B45" s="5496"/>
      <c r="C45" s="231" t="s">
        <v>267</v>
      </c>
      <c r="D45" s="535">
        <v>63</v>
      </c>
      <c r="E45" s="532">
        <v>45</v>
      </c>
      <c r="F45" s="532">
        <v>48</v>
      </c>
      <c r="G45" s="533">
        <v>47</v>
      </c>
      <c r="H45" s="400">
        <v>39</v>
      </c>
      <c r="I45" s="400">
        <v>29</v>
      </c>
      <c r="J45" s="400">
        <v>23</v>
      </c>
      <c r="K45" s="533">
        <v>72</v>
      </c>
      <c r="L45" s="400">
        <v>66</v>
      </c>
      <c r="M45" s="400">
        <v>60</v>
      </c>
      <c r="N45" s="400">
        <v>60</v>
      </c>
      <c r="O45" s="533">
        <v>49</v>
      </c>
      <c r="P45" s="400">
        <v>40</v>
      </c>
      <c r="Q45" s="400">
        <v>89</v>
      </c>
      <c r="R45" s="400">
        <v>75</v>
      </c>
      <c r="S45" s="534">
        <v>71</v>
      </c>
      <c r="T45" s="400">
        <v>68</v>
      </c>
      <c r="U45" s="533">
        <v>66</v>
      </c>
      <c r="V45" s="534">
        <v>132</v>
      </c>
      <c r="W45" s="400">
        <v>134</v>
      </c>
      <c r="X45" s="533">
        <v>124</v>
      </c>
      <c r="Y45" s="534">
        <v>120</v>
      </c>
      <c r="Z45" s="400">
        <v>111</v>
      </c>
      <c r="AA45" s="533">
        <v>98</v>
      </c>
    </row>
    <row r="46" spans="2:27" s="212" customFormat="1" x14ac:dyDescent="0.2">
      <c r="B46" s="5496"/>
      <c r="C46" s="231" t="s">
        <v>269</v>
      </c>
      <c r="D46" s="535">
        <v>32</v>
      </c>
      <c r="E46" s="532">
        <v>27</v>
      </c>
      <c r="F46" s="532">
        <v>24</v>
      </c>
      <c r="G46" s="533">
        <v>30</v>
      </c>
      <c r="H46" s="400">
        <v>26</v>
      </c>
      <c r="I46" s="400">
        <v>21</v>
      </c>
      <c r="J46" s="400">
        <v>29</v>
      </c>
      <c r="K46" s="533">
        <v>22</v>
      </c>
      <c r="L46" s="400">
        <v>19</v>
      </c>
      <c r="M46" s="400">
        <v>26</v>
      </c>
      <c r="N46" s="400">
        <v>25</v>
      </c>
      <c r="O46" s="533">
        <v>18</v>
      </c>
      <c r="P46" s="400">
        <v>45</v>
      </c>
      <c r="Q46" s="400">
        <v>40</v>
      </c>
      <c r="R46" s="400">
        <v>33</v>
      </c>
      <c r="S46" s="534">
        <v>37</v>
      </c>
      <c r="T46" s="400">
        <v>37</v>
      </c>
      <c r="U46" s="533">
        <v>27</v>
      </c>
      <c r="V46" s="534">
        <v>42</v>
      </c>
      <c r="W46" s="400">
        <v>38</v>
      </c>
      <c r="X46" s="533">
        <v>33</v>
      </c>
      <c r="Y46" s="534">
        <v>21</v>
      </c>
      <c r="Z46" s="400">
        <v>20</v>
      </c>
      <c r="AA46" s="533">
        <v>9</v>
      </c>
    </row>
    <row r="47" spans="2:27" s="212" customFormat="1" x14ac:dyDescent="0.2">
      <c r="B47" s="5496"/>
      <c r="C47" s="231" t="s">
        <v>242</v>
      </c>
      <c r="D47" s="535" t="s">
        <v>227</v>
      </c>
      <c r="E47" s="532" t="s">
        <v>227</v>
      </c>
      <c r="F47" s="532" t="s">
        <v>227</v>
      </c>
      <c r="G47" s="533" t="s">
        <v>227</v>
      </c>
      <c r="H47" s="400" t="s">
        <v>227</v>
      </c>
      <c r="I47" s="400">
        <v>1</v>
      </c>
      <c r="J47" s="400">
        <v>3</v>
      </c>
      <c r="K47" s="533" t="s">
        <v>227</v>
      </c>
      <c r="L47" s="400" t="s">
        <v>227</v>
      </c>
      <c r="M47" s="400">
        <v>2</v>
      </c>
      <c r="N47" s="400" t="s">
        <v>227</v>
      </c>
      <c r="O47" s="533">
        <v>1</v>
      </c>
      <c r="P47" s="400">
        <v>2</v>
      </c>
      <c r="Q47" s="400" t="s">
        <v>227</v>
      </c>
      <c r="R47" s="400" t="s">
        <v>227</v>
      </c>
      <c r="S47" s="534">
        <v>7</v>
      </c>
      <c r="T47" s="400"/>
      <c r="U47" s="533"/>
      <c r="V47" s="534">
        <v>9</v>
      </c>
      <c r="W47" s="400"/>
      <c r="X47" s="533"/>
      <c r="Y47" s="534">
        <v>11</v>
      </c>
      <c r="Z47" s="400"/>
      <c r="AA47" s="533"/>
    </row>
    <row r="48" spans="2:27" s="212" customFormat="1" ht="24" x14ac:dyDescent="0.2">
      <c r="B48" s="5496"/>
      <c r="C48" s="231" t="s">
        <v>311</v>
      </c>
      <c r="D48" s="535">
        <v>62</v>
      </c>
      <c r="E48" s="532">
        <v>60</v>
      </c>
      <c r="F48" s="532">
        <v>49</v>
      </c>
      <c r="G48" s="533">
        <v>53</v>
      </c>
      <c r="H48" s="400">
        <v>50</v>
      </c>
      <c r="I48" s="400">
        <v>43</v>
      </c>
      <c r="J48" s="400">
        <v>54</v>
      </c>
      <c r="K48" s="533">
        <v>52</v>
      </c>
      <c r="L48" s="400">
        <v>40</v>
      </c>
      <c r="M48" s="400">
        <v>50</v>
      </c>
      <c r="N48" s="400">
        <v>48</v>
      </c>
      <c r="O48" s="533">
        <v>37</v>
      </c>
      <c r="P48" s="400">
        <v>33</v>
      </c>
      <c r="Q48" s="400">
        <v>43</v>
      </c>
      <c r="R48" s="400">
        <v>42</v>
      </c>
      <c r="S48" s="534">
        <v>49</v>
      </c>
      <c r="T48" s="400">
        <v>47</v>
      </c>
      <c r="U48" s="533">
        <v>43</v>
      </c>
      <c r="V48" s="534">
        <v>63</v>
      </c>
      <c r="W48" s="400">
        <v>62</v>
      </c>
      <c r="X48" s="533">
        <v>52</v>
      </c>
      <c r="Y48" s="534">
        <v>67</v>
      </c>
      <c r="Z48" s="400">
        <v>66</v>
      </c>
      <c r="AA48" s="533">
        <v>61</v>
      </c>
    </row>
    <row r="49" spans="2:27" s="212" customFormat="1" x14ac:dyDescent="0.2">
      <c r="B49" s="5496"/>
      <c r="C49" s="231" t="s">
        <v>266</v>
      </c>
      <c r="D49" s="535">
        <v>71</v>
      </c>
      <c r="E49" s="532">
        <v>70</v>
      </c>
      <c r="F49" s="532">
        <v>63</v>
      </c>
      <c r="G49" s="533">
        <v>71</v>
      </c>
      <c r="H49" s="400">
        <v>64</v>
      </c>
      <c r="I49" s="400">
        <v>81</v>
      </c>
      <c r="J49" s="400">
        <v>83</v>
      </c>
      <c r="K49" s="533">
        <v>83</v>
      </c>
      <c r="L49" s="400">
        <v>78</v>
      </c>
      <c r="M49" s="400">
        <v>81</v>
      </c>
      <c r="N49" s="400">
        <v>77</v>
      </c>
      <c r="O49" s="533">
        <v>71</v>
      </c>
      <c r="P49" s="400">
        <v>62</v>
      </c>
      <c r="Q49" s="400">
        <v>60</v>
      </c>
      <c r="R49" s="400">
        <v>41</v>
      </c>
      <c r="S49" s="534">
        <v>47</v>
      </c>
      <c r="T49" s="400">
        <v>39</v>
      </c>
      <c r="U49" s="533">
        <v>30</v>
      </c>
      <c r="V49" s="534">
        <v>41</v>
      </c>
      <c r="W49" s="400">
        <v>42</v>
      </c>
      <c r="X49" s="533">
        <v>52</v>
      </c>
      <c r="Y49" s="534">
        <v>54</v>
      </c>
      <c r="Z49" s="400">
        <v>53</v>
      </c>
      <c r="AA49" s="533">
        <v>48</v>
      </c>
    </row>
    <row r="50" spans="2:27" s="212" customFormat="1" x14ac:dyDescent="0.2">
      <c r="B50" s="5496"/>
      <c r="C50" s="231" t="s">
        <v>268</v>
      </c>
      <c r="D50" s="535">
        <v>43</v>
      </c>
      <c r="E50" s="532">
        <v>40</v>
      </c>
      <c r="F50" s="532">
        <v>34</v>
      </c>
      <c r="G50" s="533">
        <v>32</v>
      </c>
      <c r="H50" s="400">
        <v>27</v>
      </c>
      <c r="I50" s="400">
        <v>10</v>
      </c>
      <c r="J50" s="400">
        <v>9</v>
      </c>
      <c r="K50" s="533">
        <v>15</v>
      </c>
      <c r="L50" s="400">
        <v>13</v>
      </c>
      <c r="M50" s="400">
        <v>13</v>
      </c>
      <c r="N50" s="400">
        <v>23</v>
      </c>
      <c r="O50" s="533">
        <v>19</v>
      </c>
      <c r="P50" s="400">
        <v>19</v>
      </c>
      <c r="Q50" s="400">
        <v>37</v>
      </c>
      <c r="R50" s="400">
        <v>36</v>
      </c>
      <c r="S50" s="534">
        <v>35</v>
      </c>
      <c r="T50" s="400">
        <v>28</v>
      </c>
      <c r="U50" s="533">
        <v>29</v>
      </c>
      <c r="V50" s="534">
        <v>60</v>
      </c>
      <c r="W50" s="400">
        <v>67</v>
      </c>
      <c r="X50" s="533">
        <v>67</v>
      </c>
      <c r="Y50" s="534">
        <v>81</v>
      </c>
      <c r="Z50" s="400">
        <v>77</v>
      </c>
      <c r="AA50" s="533">
        <v>73</v>
      </c>
    </row>
    <row r="51" spans="2:27" s="212" customFormat="1" x14ac:dyDescent="0.2">
      <c r="B51" s="5496"/>
      <c r="C51" s="231" t="s">
        <v>270</v>
      </c>
      <c r="D51" s="535">
        <v>47</v>
      </c>
      <c r="E51" s="532">
        <v>44</v>
      </c>
      <c r="F51" s="532">
        <v>38</v>
      </c>
      <c r="G51" s="533">
        <v>40</v>
      </c>
      <c r="H51" s="400">
        <v>40</v>
      </c>
      <c r="I51" s="400">
        <v>27</v>
      </c>
      <c r="J51" s="400">
        <v>37</v>
      </c>
      <c r="K51" s="533">
        <v>39</v>
      </c>
      <c r="L51" s="400">
        <v>34</v>
      </c>
      <c r="M51" s="400">
        <v>34</v>
      </c>
      <c r="N51" s="400">
        <v>34</v>
      </c>
      <c r="O51" s="533">
        <v>27</v>
      </c>
      <c r="P51" s="400">
        <v>36</v>
      </c>
      <c r="Q51" s="400">
        <v>35</v>
      </c>
      <c r="R51" s="400">
        <v>31</v>
      </c>
      <c r="S51" s="534">
        <v>37</v>
      </c>
      <c r="T51" s="400">
        <v>34</v>
      </c>
      <c r="U51" s="533">
        <v>29</v>
      </c>
      <c r="V51" s="534">
        <v>51</v>
      </c>
      <c r="W51" s="400">
        <v>49</v>
      </c>
      <c r="X51" s="533">
        <v>46</v>
      </c>
      <c r="Y51" s="534">
        <v>50</v>
      </c>
      <c r="Z51" s="400">
        <v>49</v>
      </c>
      <c r="AA51" s="533">
        <v>38</v>
      </c>
    </row>
    <row r="52" spans="2:27" s="212" customFormat="1" x14ac:dyDescent="0.2">
      <c r="B52" s="5496"/>
      <c r="C52" s="231" t="s">
        <v>243</v>
      </c>
      <c r="D52" s="535">
        <v>1</v>
      </c>
      <c r="E52" s="532">
        <v>7</v>
      </c>
      <c r="F52" s="532">
        <v>2</v>
      </c>
      <c r="G52" s="533">
        <v>2</v>
      </c>
      <c r="H52" s="400">
        <v>1</v>
      </c>
      <c r="I52" s="400">
        <v>16</v>
      </c>
      <c r="J52" s="400">
        <v>18</v>
      </c>
      <c r="K52" s="533">
        <v>5</v>
      </c>
      <c r="L52" s="400">
        <v>4</v>
      </c>
      <c r="M52" s="400">
        <v>6</v>
      </c>
      <c r="N52" s="400">
        <v>3</v>
      </c>
      <c r="O52" s="533">
        <v>1</v>
      </c>
      <c r="P52" s="400">
        <v>5</v>
      </c>
      <c r="Q52" s="400" t="s">
        <v>227</v>
      </c>
      <c r="R52" s="400" t="s">
        <v>227</v>
      </c>
      <c r="S52" s="534">
        <v>17</v>
      </c>
      <c r="T52" s="400"/>
      <c r="U52" s="533"/>
      <c r="V52" s="534">
        <v>25</v>
      </c>
      <c r="W52" s="400">
        <v>1</v>
      </c>
      <c r="X52" s="533"/>
      <c r="Y52" s="534">
        <v>35</v>
      </c>
      <c r="Z52" s="400"/>
      <c r="AA52" s="533"/>
    </row>
    <row r="53" spans="2:27" s="212" customFormat="1" x14ac:dyDescent="0.2">
      <c r="B53" s="5495" t="s">
        <v>11</v>
      </c>
      <c r="C53" s="395" t="s">
        <v>271</v>
      </c>
      <c r="D53" s="541">
        <v>6</v>
      </c>
      <c r="E53" s="542">
        <v>7</v>
      </c>
      <c r="F53" s="542">
        <v>3</v>
      </c>
      <c r="G53" s="543">
        <v>5</v>
      </c>
      <c r="H53" s="399">
        <v>4</v>
      </c>
      <c r="I53" s="399">
        <v>1</v>
      </c>
      <c r="J53" s="399">
        <v>5</v>
      </c>
      <c r="K53" s="543">
        <v>5</v>
      </c>
      <c r="L53" s="399">
        <v>6</v>
      </c>
      <c r="M53" s="399">
        <v>11</v>
      </c>
      <c r="N53" s="399">
        <v>17</v>
      </c>
      <c r="O53" s="543">
        <v>18</v>
      </c>
      <c r="P53" s="399">
        <v>14</v>
      </c>
      <c r="Q53" s="399">
        <v>16</v>
      </c>
      <c r="R53" s="399">
        <v>11</v>
      </c>
      <c r="S53" s="544">
        <v>21</v>
      </c>
      <c r="T53" s="399">
        <v>17</v>
      </c>
      <c r="U53" s="543">
        <v>16</v>
      </c>
      <c r="V53" s="544">
        <v>16</v>
      </c>
      <c r="W53" s="399">
        <v>14</v>
      </c>
      <c r="X53" s="543">
        <v>10</v>
      </c>
      <c r="Y53" s="544">
        <v>18</v>
      </c>
      <c r="Z53" s="399">
        <v>18</v>
      </c>
      <c r="AA53" s="543">
        <v>17</v>
      </c>
    </row>
    <row r="54" spans="2:27" s="212" customFormat="1" x14ac:dyDescent="0.2">
      <c r="B54" s="5496"/>
      <c r="C54" s="231" t="s">
        <v>274</v>
      </c>
      <c r="D54" s="535">
        <v>22</v>
      </c>
      <c r="E54" s="532">
        <v>20</v>
      </c>
      <c r="F54" s="532">
        <v>8</v>
      </c>
      <c r="G54" s="533">
        <v>22</v>
      </c>
      <c r="H54" s="400">
        <v>23</v>
      </c>
      <c r="I54" s="400">
        <v>19</v>
      </c>
      <c r="J54" s="400">
        <v>26</v>
      </c>
      <c r="K54" s="533">
        <v>24</v>
      </c>
      <c r="L54" s="400">
        <v>14</v>
      </c>
      <c r="M54" s="400">
        <v>19</v>
      </c>
      <c r="N54" s="400">
        <v>18</v>
      </c>
      <c r="O54" s="533">
        <v>13</v>
      </c>
      <c r="P54" s="400">
        <v>14</v>
      </c>
      <c r="Q54" s="400">
        <v>10</v>
      </c>
      <c r="R54" s="400">
        <v>22</v>
      </c>
      <c r="S54" s="534">
        <v>18</v>
      </c>
      <c r="T54" s="400">
        <v>14</v>
      </c>
      <c r="U54" s="533">
        <v>14</v>
      </c>
      <c r="V54" s="534">
        <v>23</v>
      </c>
      <c r="W54" s="400">
        <v>19</v>
      </c>
      <c r="X54" s="533">
        <v>14</v>
      </c>
      <c r="Y54" s="534">
        <v>18</v>
      </c>
      <c r="Z54" s="400">
        <v>17</v>
      </c>
      <c r="AA54" s="533">
        <v>12</v>
      </c>
    </row>
    <row r="55" spans="2:27" s="212" customFormat="1" x14ac:dyDescent="0.2">
      <c r="B55" s="5496"/>
      <c r="C55" s="230" t="s">
        <v>275</v>
      </c>
      <c r="D55" s="535">
        <v>5</v>
      </c>
      <c r="E55" s="532">
        <v>5</v>
      </c>
      <c r="F55" s="532">
        <v>5</v>
      </c>
      <c r="G55" s="533">
        <v>1</v>
      </c>
      <c r="H55" s="400">
        <v>1</v>
      </c>
      <c r="I55" s="400">
        <v>1</v>
      </c>
      <c r="J55" s="400" t="s">
        <v>227</v>
      </c>
      <c r="K55" s="533" t="s">
        <v>227</v>
      </c>
      <c r="L55" s="400" t="s">
        <v>227</v>
      </c>
      <c r="M55" s="400" t="s">
        <v>227</v>
      </c>
      <c r="N55" s="400" t="s">
        <v>227</v>
      </c>
      <c r="O55" s="533" t="s">
        <v>227</v>
      </c>
      <c r="P55" s="400" t="s">
        <v>227</v>
      </c>
      <c r="Q55" s="400" t="s">
        <v>227</v>
      </c>
      <c r="R55" s="400" t="s">
        <v>227</v>
      </c>
      <c r="S55" s="534"/>
      <c r="T55" s="400"/>
      <c r="U55" s="533"/>
      <c r="V55" s="534">
        <v>0</v>
      </c>
      <c r="W55" s="400">
        <v>1</v>
      </c>
      <c r="X55" s="533">
        <v>1</v>
      </c>
      <c r="Y55" s="534">
        <v>1</v>
      </c>
      <c r="Z55" s="400"/>
      <c r="AA55" s="533"/>
    </row>
    <row r="56" spans="2:27" s="212" customFormat="1" x14ac:dyDescent="0.2">
      <c r="B56" s="5496"/>
      <c r="C56" s="230" t="s">
        <v>272</v>
      </c>
      <c r="D56" s="535">
        <v>38</v>
      </c>
      <c r="E56" s="532">
        <v>38</v>
      </c>
      <c r="F56" s="532">
        <v>31</v>
      </c>
      <c r="G56" s="533">
        <v>47</v>
      </c>
      <c r="H56" s="400">
        <v>47</v>
      </c>
      <c r="I56" s="400">
        <v>32</v>
      </c>
      <c r="J56" s="400">
        <v>30</v>
      </c>
      <c r="K56" s="533">
        <v>28</v>
      </c>
      <c r="L56" s="400">
        <v>25</v>
      </c>
      <c r="M56" s="400">
        <v>30</v>
      </c>
      <c r="N56" s="400">
        <v>30</v>
      </c>
      <c r="O56" s="533">
        <v>24</v>
      </c>
      <c r="P56" s="400">
        <v>46</v>
      </c>
      <c r="Q56" s="400">
        <v>38</v>
      </c>
      <c r="R56" s="400">
        <v>34</v>
      </c>
      <c r="S56" s="534">
        <v>43</v>
      </c>
      <c r="T56" s="400">
        <v>40</v>
      </c>
      <c r="U56" s="533">
        <v>41</v>
      </c>
      <c r="V56" s="534">
        <v>49</v>
      </c>
      <c r="W56" s="400">
        <v>47</v>
      </c>
      <c r="X56" s="533">
        <v>43</v>
      </c>
      <c r="Y56" s="534">
        <v>43</v>
      </c>
      <c r="Z56" s="400">
        <v>33</v>
      </c>
      <c r="AA56" s="533">
        <v>32</v>
      </c>
    </row>
    <row r="57" spans="2:27" s="212" customFormat="1" x14ac:dyDescent="0.2">
      <c r="B57" s="5496"/>
      <c r="C57" s="230" t="s">
        <v>276</v>
      </c>
      <c r="D57" s="535">
        <v>18</v>
      </c>
      <c r="E57" s="532">
        <v>24</v>
      </c>
      <c r="F57" s="532">
        <v>22</v>
      </c>
      <c r="G57" s="533">
        <v>18</v>
      </c>
      <c r="H57" s="400">
        <v>22</v>
      </c>
      <c r="I57" s="400">
        <v>20</v>
      </c>
      <c r="J57" s="400">
        <v>16</v>
      </c>
      <c r="K57" s="533">
        <v>18</v>
      </c>
      <c r="L57" s="400">
        <v>16</v>
      </c>
      <c r="M57" s="400">
        <v>17</v>
      </c>
      <c r="N57" s="400">
        <v>15</v>
      </c>
      <c r="O57" s="533">
        <v>15</v>
      </c>
      <c r="P57" s="400">
        <v>20</v>
      </c>
      <c r="Q57" s="400">
        <v>18</v>
      </c>
      <c r="R57" s="400">
        <v>17</v>
      </c>
      <c r="S57" s="534">
        <v>30</v>
      </c>
      <c r="T57" s="400">
        <v>27</v>
      </c>
      <c r="U57" s="533">
        <v>26</v>
      </c>
      <c r="V57" s="534">
        <v>30</v>
      </c>
      <c r="W57" s="400">
        <v>29</v>
      </c>
      <c r="X57" s="533">
        <v>27</v>
      </c>
      <c r="Y57" s="534">
        <v>44</v>
      </c>
      <c r="Z57" s="400">
        <v>39</v>
      </c>
      <c r="AA57" s="533">
        <v>38</v>
      </c>
    </row>
    <row r="58" spans="2:27" s="212" customFormat="1" x14ac:dyDescent="0.2">
      <c r="B58" s="5496"/>
      <c r="C58" s="231" t="s">
        <v>278</v>
      </c>
      <c r="D58" s="535">
        <v>33</v>
      </c>
      <c r="E58" s="532">
        <v>33</v>
      </c>
      <c r="F58" s="532">
        <v>31</v>
      </c>
      <c r="G58" s="533">
        <v>33</v>
      </c>
      <c r="H58" s="400">
        <v>27</v>
      </c>
      <c r="I58" s="400">
        <v>24</v>
      </c>
      <c r="J58" s="400">
        <v>23</v>
      </c>
      <c r="K58" s="533">
        <v>20</v>
      </c>
      <c r="L58" s="400">
        <v>16</v>
      </c>
      <c r="M58" s="400">
        <v>19</v>
      </c>
      <c r="N58" s="400">
        <v>17</v>
      </c>
      <c r="O58" s="533">
        <v>16</v>
      </c>
      <c r="P58" s="400">
        <v>22</v>
      </c>
      <c r="Q58" s="400">
        <v>22</v>
      </c>
      <c r="R58" s="400">
        <v>19</v>
      </c>
      <c r="S58" s="534">
        <v>32</v>
      </c>
      <c r="T58" s="400">
        <v>27</v>
      </c>
      <c r="U58" s="533">
        <v>25</v>
      </c>
      <c r="V58" s="534">
        <v>44</v>
      </c>
      <c r="W58" s="400">
        <v>45</v>
      </c>
      <c r="X58" s="533">
        <v>38</v>
      </c>
      <c r="Y58" s="534">
        <v>46</v>
      </c>
      <c r="Z58" s="400">
        <v>42</v>
      </c>
      <c r="AA58" s="533">
        <v>37</v>
      </c>
    </row>
    <row r="59" spans="2:27" s="212" customFormat="1" x14ac:dyDescent="0.2">
      <c r="B59" s="5496"/>
      <c r="C59" s="231" t="s">
        <v>273</v>
      </c>
      <c r="D59" s="535">
        <v>53</v>
      </c>
      <c r="E59" s="532">
        <v>50</v>
      </c>
      <c r="F59" s="532">
        <v>46</v>
      </c>
      <c r="G59" s="533">
        <v>44</v>
      </c>
      <c r="H59" s="400">
        <v>45</v>
      </c>
      <c r="I59" s="400">
        <v>38</v>
      </c>
      <c r="J59" s="400">
        <v>51</v>
      </c>
      <c r="K59" s="533">
        <v>61</v>
      </c>
      <c r="L59" s="400">
        <v>59</v>
      </c>
      <c r="M59" s="400">
        <v>60</v>
      </c>
      <c r="N59" s="400">
        <v>68</v>
      </c>
      <c r="O59" s="533">
        <v>63</v>
      </c>
      <c r="P59" s="400">
        <v>64</v>
      </c>
      <c r="Q59" s="400">
        <v>71</v>
      </c>
      <c r="R59" s="400">
        <v>64</v>
      </c>
      <c r="S59" s="534">
        <v>70</v>
      </c>
      <c r="T59" s="400">
        <v>68</v>
      </c>
      <c r="U59" s="533">
        <v>70</v>
      </c>
      <c r="V59" s="534">
        <v>76</v>
      </c>
      <c r="W59" s="400">
        <v>77</v>
      </c>
      <c r="X59" s="533">
        <v>71</v>
      </c>
      <c r="Y59" s="534">
        <v>80</v>
      </c>
      <c r="Z59" s="400">
        <v>86</v>
      </c>
      <c r="AA59" s="533">
        <v>82</v>
      </c>
    </row>
    <row r="60" spans="2:27" s="212" customFormat="1" x14ac:dyDescent="0.2">
      <c r="B60" s="5496"/>
      <c r="C60" s="230" t="s">
        <v>279</v>
      </c>
      <c r="D60" s="535">
        <v>71</v>
      </c>
      <c r="E60" s="532">
        <v>77</v>
      </c>
      <c r="F60" s="532">
        <v>65</v>
      </c>
      <c r="G60" s="533">
        <v>69</v>
      </c>
      <c r="H60" s="400">
        <v>72</v>
      </c>
      <c r="I60" s="400">
        <v>53</v>
      </c>
      <c r="J60" s="400">
        <v>51</v>
      </c>
      <c r="K60" s="533">
        <v>63</v>
      </c>
      <c r="L60" s="400">
        <v>52</v>
      </c>
      <c r="M60" s="400">
        <v>51</v>
      </c>
      <c r="N60" s="400">
        <v>47</v>
      </c>
      <c r="O60" s="533">
        <v>49</v>
      </c>
      <c r="P60" s="400">
        <v>49</v>
      </c>
      <c r="Q60" s="400">
        <v>44</v>
      </c>
      <c r="R60" s="400">
        <v>36</v>
      </c>
      <c r="S60" s="534">
        <v>36</v>
      </c>
      <c r="T60" s="400">
        <v>33</v>
      </c>
      <c r="U60" s="533">
        <v>31</v>
      </c>
      <c r="V60" s="534">
        <v>41</v>
      </c>
      <c r="W60" s="400">
        <v>47</v>
      </c>
      <c r="X60" s="533">
        <v>41</v>
      </c>
      <c r="Y60" s="534">
        <v>42</v>
      </c>
      <c r="Z60" s="400">
        <v>51</v>
      </c>
      <c r="AA60" s="533">
        <v>48</v>
      </c>
    </row>
    <row r="61" spans="2:27" s="212" customFormat="1" x14ac:dyDescent="0.2">
      <c r="B61" s="5497"/>
      <c r="C61" s="394" t="s">
        <v>277</v>
      </c>
      <c r="D61" s="536">
        <v>10</v>
      </c>
      <c r="E61" s="537">
        <v>21</v>
      </c>
      <c r="F61" s="537">
        <v>21</v>
      </c>
      <c r="G61" s="538">
        <v>21</v>
      </c>
      <c r="H61" s="401">
        <v>26</v>
      </c>
      <c r="I61" s="401">
        <v>24</v>
      </c>
      <c r="J61" s="401">
        <v>23</v>
      </c>
      <c r="K61" s="538">
        <v>31</v>
      </c>
      <c r="L61" s="401">
        <v>30</v>
      </c>
      <c r="M61" s="401">
        <v>32</v>
      </c>
      <c r="N61" s="401">
        <v>32</v>
      </c>
      <c r="O61" s="538">
        <v>30</v>
      </c>
      <c r="P61" s="401">
        <v>29</v>
      </c>
      <c r="Q61" s="401">
        <v>36</v>
      </c>
      <c r="R61" s="401">
        <v>36</v>
      </c>
      <c r="S61" s="539">
        <v>33</v>
      </c>
      <c r="T61" s="401">
        <v>33</v>
      </c>
      <c r="U61" s="538">
        <v>31</v>
      </c>
      <c r="V61" s="539">
        <v>35</v>
      </c>
      <c r="W61" s="401">
        <v>37</v>
      </c>
      <c r="X61" s="538">
        <v>35</v>
      </c>
      <c r="Y61" s="539">
        <v>39</v>
      </c>
      <c r="Z61" s="401">
        <v>41</v>
      </c>
      <c r="AA61" s="538">
        <v>39</v>
      </c>
    </row>
    <row r="62" spans="2:27" s="212" customFormat="1" x14ac:dyDescent="0.2">
      <c r="B62" s="5504" t="s">
        <v>134</v>
      </c>
      <c r="C62" s="5505"/>
      <c r="D62" s="658">
        <f>SUM(D28:D61)</f>
        <v>867</v>
      </c>
      <c r="E62" s="659">
        <f t="shared" ref="E62:AA62" si="1">SUM(E28:E61)</f>
        <v>850</v>
      </c>
      <c r="F62" s="659">
        <f t="shared" si="1"/>
        <v>757</v>
      </c>
      <c r="G62" s="659">
        <f t="shared" si="1"/>
        <v>862</v>
      </c>
      <c r="H62" s="658">
        <f t="shared" si="1"/>
        <v>827</v>
      </c>
      <c r="I62" s="659">
        <f t="shared" si="1"/>
        <v>724</v>
      </c>
      <c r="J62" s="659">
        <f t="shared" si="1"/>
        <v>852</v>
      </c>
      <c r="K62" s="660">
        <f t="shared" si="1"/>
        <v>913</v>
      </c>
      <c r="L62" s="659">
        <f t="shared" si="1"/>
        <v>776</v>
      </c>
      <c r="M62" s="659">
        <f t="shared" si="1"/>
        <v>866</v>
      </c>
      <c r="N62" s="659">
        <f t="shared" si="1"/>
        <v>945</v>
      </c>
      <c r="O62" s="659">
        <f t="shared" si="1"/>
        <v>866</v>
      </c>
      <c r="P62" s="658">
        <f t="shared" si="1"/>
        <v>898</v>
      </c>
      <c r="Q62" s="659">
        <f t="shared" si="1"/>
        <v>1011</v>
      </c>
      <c r="R62" s="660">
        <f t="shared" si="1"/>
        <v>916</v>
      </c>
      <c r="S62" s="659">
        <f t="shared" si="1"/>
        <v>955</v>
      </c>
      <c r="T62" s="659">
        <f t="shared" si="1"/>
        <v>956</v>
      </c>
      <c r="U62" s="659">
        <f t="shared" si="1"/>
        <v>897</v>
      </c>
      <c r="V62" s="658">
        <f t="shared" si="1"/>
        <v>1102</v>
      </c>
      <c r="W62" s="659">
        <f t="shared" si="1"/>
        <v>1066</v>
      </c>
      <c r="X62" s="660">
        <f t="shared" si="1"/>
        <v>1073</v>
      </c>
      <c r="Y62" s="659">
        <f t="shared" si="1"/>
        <v>1226</v>
      </c>
      <c r="Z62" s="659">
        <f t="shared" si="1"/>
        <v>1096</v>
      </c>
      <c r="AA62" s="660">
        <f t="shared" si="1"/>
        <v>998</v>
      </c>
    </row>
    <row r="63" spans="2:27" s="212" customFormat="1" x14ac:dyDescent="0.2">
      <c r="B63" s="5496" t="s">
        <v>6</v>
      </c>
      <c r="C63" s="231" t="s">
        <v>280</v>
      </c>
      <c r="D63" s="535">
        <v>7</v>
      </c>
      <c r="E63" s="532">
        <v>6</v>
      </c>
      <c r="F63" s="532" t="s">
        <v>227</v>
      </c>
      <c r="G63" s="533" t="s">
        <v>227</v>
      </c>
      <c r="H63" s="400" t="s">
        <v>227</v>
      </c>
      <c r="I63" s="400" t="s">
        <v>227</v>
      </c>
      <c r="J63" s="400">
        <v>3</v>
      </c>
      <c r="K63" s="533">
        <v>3</v>
      </c>
      <c r="L63" s="400" t="s">
        <v>227</v>
      </c>
      <c r="M63" s="400" t="s">
        <v>227</v>
      </c>
      <c r="N63" s="400" t="s">
        <v>227</v>
      </c>
      <c r="O63" s="533" t="s">
        <v>227</v>
      </c>
      <c r="P63" s="400">
        <v>16</v>
      </c>
      <c r="Q63" s="400">
        <v>2</v>
      </c>
      <c r="R63" s="400" t="s">
        <v>227</v>
      </c>
      <c r="S63" s="534">
        <v>4</v>
      </c>
      <c r="T63" s="400">
        <v>4</v>
      </c>
      <c r="U63" s="533">
        <v>1</v>
      </c>
      <c r="V63" s="534">
        <v>2</v>
      </c>
      <c r="W63" s="400">
        <v>2</v>
      </c>
      <c r="X63" s="533"/>
      <c r="Y63" s="534"/>
      <c r="Z63" s="400"/>
      <c r="AA63" s="533"/>
    </row>
    <row r="64" spans="2:27" s="212" customFormat="1" x14ac:dyDescent="0.2">
      <c r="B64" s="5496"/>
      <c r="C64" s="231" t="s">
        <v>282</v>
      </c>
      <c r="D64" s="535">
        <v>17</v>
      </c>
      <c r="E64" s="532">
        <v>16</v>
      </c>
      <c r="F64" s="532">
        <v>16</v>
      </c>
      <c r="G64" s="533" t="s">
        <v>227</v>
      </c>
      <c r="H64" s="400" t="s">
        <v>227</v>
      </c>
      <c r="I64" s="400">
        <v>1</v>
      </c>
      <c r="J64" s="400">
        <v>1</v>
      </c>
      <c r="K64" s="533">
        <v>1</v>
      </c>
      <c r="L64" s="400" t="s">
        <v>227</v>
      </c>
      <c r="M64" s="400" t="s">
        <v>227</v>
      </c>
      <c r="N64" s="400" t="s">
        <v>227</v>
      </c>
      <c r="O64" s="533" t="s">
        <v>227</v>
      </c>
      <c r="P64" s="400" t="s">
        <v>227</v>
      </c>
      <c r="Q64" s="400" t="s">
        <v>227</v>
      </c>
      <c r="R64" s="400" t="s">
        <v>227</v>
      </c>
      <c r="S64" s="534"/>
      <c r="T64" s="400"/>
      <c r="U64" s="533"/>
      <c r="V64" s="534"/>
      <c r="W64" s="400"/>
      <c r="X64" s="533"/>
      <c r="Y64" s="534"/>
      <c r="Z64" s="400"/>
      <c r="AA64" s="533"/>
    </row>
    <row r="65" spans="2:27" s="212" customFormat="1" x14ac:dyDescent="0.2">
      <c r="B65" s="5496"/>
      <c r="C65" s="230" t="s">
        <v>285</v>
      </c>
      <c r="D65" s="535">
        <v>4</v>
      </c>
      <c r="E65" s="532" t="s">
        <v>227</v>
      </c>
      <c r="F65" s="532">
        <v>13</v>
      </c>
      <c r="G65" s="533">
        <v>15</v>
      </c>
      <c r="H65" s="400">
        <v>11</v>
      </c>
      <c r="I65" s="400">
        <v>11</v>
      </c>
      <c r="J65" s="400">
        <v>26</v>
      </c>
      <c r="K65" s="533">
        <v>14</v>
      </c>
      <c r="L65" s="400">
        <v>18</v>
      </c>
      <c r="M65" s="400">
        <v>15</v>
      </c>
      <c r="N65" s="400">
        <v>15</v>
      </c>
      <c r="O65" s="533">
        <v>2</v>
      </c>
      <c r="P65" s="400">
        <v>24</v>
      </c>
      <c r="Q65" s="400">
        <v>23</v>
      </c>
      <c r="R65" s="400">
        <v>23</v>
      </c>
      <c r="S65" s="534">
        <v>22</v>
      </c>
      <c r="T65" s="400">
        <v>23</v>
      </c>
      <c r="U65" s="533">
        <v>5</v>
      </c>
      <c r="V65" s="534">
        <v>30</v>
      </c>
      <c r="W65" s="400">
        <v>33</v>
      </c>
      <c r="X65" s="533">
        <v>34</v>
      </c>
      <c r="Y65" s="534">
        <v>32</v>
      </c>
      <c r="Z65" s="400">
        <v>31</v>
      </c>
      <c r="AA65" s="533">
        <v>11</v>
      </c>
    </row>
    <row r="66" spans="2:27" s="212" customFormat="1" ht="12" customHeight="1" x14ac:dyDescent="0.2">
      <c r="B66" s="5496"/>
      <c r="C66" s="230" t="s">
        <v>286</v>
      </c>
      <c r="D66" s="535">
        <v>23</v>
      </c>
      <c r="E66" s="532">
        <v>20</v>
      </c>
      <c r="F66" s="532">
        <v>19</v>
      </c>
      <c r="G66" s="533">
        <v>20</v>
      </c>
      <c r="H66" s="400">
        <v>23</v>
      </c>
      <c r="I66" s="400">
        <v>1</v>
      </c>
      <c r="J66" s="400">
        <v>18</v>
      </c>
      <c r="K66" s="533">
        <v>17</v>
      </c>
      <c r="L66" s="400">
        <v>17</v>
      </c>
      <c r="M66" s="400">
        <v>17</v>
      </c>
      <c r="N66" s="400">
        <v>17</v>
      </c>
      <c r="O66" s="533" t="s">
        <v>227</v>
      </c>
      <c r="P66" s="400">
        <v>12</v>
      </c>
      <c r="Q66" s="400">
        <v>10</v>
      </c>
      <c r="R66" s="400">
        <v>10</v>
      </c>
      <c r="S66" s="534">
        <v>10</v>
      </c>
      <c r="T66" s="400">
        <v>11</v>
      </c>
      <c r="U66" s="533">
        <v>7</v>
      </c>
      <c r="V66" s="534">
        <v>24</v>
      </c>
      <c r="W66" s="400">
        <v>23</v>
      </c>
      <c r="X66" s="533">
        <v>25</v>
      </c>
      <c r="Y66" s="534">
        <v>21</v>
      </c>
      <c r="Z66" s="400">
        <v>28</v>
      </c>
      <c r="AA66" s="533">
        <v>5</v>
      </c>
    </row>
    <row r="67" spans="2:27" s="212" customFormat="1" x14ac:dyDescent="0.2">
      <c r="B67" s="5496"/>
      <c r="C67" s="231" t="s">
        <v>281</v>
      </c>
      <c r="D67" s="535">
        <v>14</v>
      </c>
      <c r="E67" s="532">
        <v>14</v>
      </c>
      <c r="F67" s="532">
        <v>14</v>
      </c>
      <c r="G67" s="533">
        <v>14</v>
      </c>
      <c r="H67" s="400">
        <v>14</v>
      </c>
      <c r="I67" s="400" t="s">
        <v>227</v>
      </c>
      <c r="J67" s="400">
        <v>20</v>
      </c>
      <c r="K67" s="533">
        <v>20</v>
      </c>
      <c r="L67" s="400">
        <v>20</v>
      </c>
      <c r="M67" s="400">
        <v>20</v>
      </c>
      <c r="N67" s="400">
        <v>20</v>
      </c>
      <c r="O67" s="533" t="s">
        <v>227</v>
      </c>
      <c r="P67" s="400" t="s">
        <v>227</v>
      </c>
      <c r="Q67" s="400">
        <v>12</v>
      </c>
      <c r="R67" s="400">
        <v>12</v>
      </c>
      <c r="S67" s="534">
        <v>21</v>
      </c>
      <c r="T67" s="400">
        <v>21</v>
      </c>
      <c r="U67" s="533">
        <v>9</v>
      </c>
      <c r="V67" s="534">
        <v>27</v>
      </c>
      <c r="W67" s="400">
        <v>26</v>
      </c>
      <c r="X67" s="533">
        <v>18</v>
      </c>
      <c r="Y67" s="534">
        <v>17</v>
      </c>
      <c r="Z67" s="400">
        <v>18</v>
      </c>
      <c r="AA67" s="533">
        <v>3</v>
      </c>
    </row>
    <row r="68" spans="2:27" s="212" customFormat="1" ht="12" customHeight="1" x14ac:dyDescent="0.2">
      <c r="B68" s="5496"/>
      <c r="C68" s="231" t="s">
        <v>287</v>
      </c>
      <c r="D68" s="535">
        <v>26</v>
      </c>
      <c r="E68" s="532">
        <v>26</v>
      </c>
      <c r="F68" s="532">
        <v>25</v>
      </c>
      <c r="G68" s="533">
        <v>26</v>
      </c>
      <c r="H68" s="400">
        <v>25</v>
      </c>
      <c r="I68" s="400">
        <v>4</v>
      </c>
      <c r="J68" s="400">
        <v>20</v>
      </c>
      <c r="K68" s="533">
        <v>18</v>
      </c>
      <c r="L68" s="400">
        <v>17</v>
      </c>
      <c r="M68" s="400">
        <v>14</v>
      </c>
      <c r="N68" s="400">
        <v>14</v>
      </c>
      <c r="O68" s="533">
        <v>2</v>
      </c>
      <c r="P68" s="400">
        <v>25</v>
      </c>
      <c r="Q68" s="400">
        <v>23</v>
      </c>
      <c r="R68" s="400">
        <v>23</v>
      </c>
      <c r="S68" s="534">
        <v>22</v>
      </c>
      <c r="T68" s="400">
        <v>21</v>
      </c>
      <c r="U68" s="533">
        <v>4</v>
      </c>
      <c r="V68" s="534">
        <v>32</v>
      </c>
      <c r="W68" s="400">
        <v>29</v>
      </c>
      <c r="X68" s="533">
        <v>30</v>
      </c>
      <c r="Y68" s="534">
        <v>27</v>
      </c>
      <c r="Z68" s="400">
        <v>26</v>
      </c>
      <c r="AA68" s="533">
        <v>2</v>
      </c>
    </row>
    <row r="69" spans="2:27" s="212" customFormat="1" x14ac:dyDescent="0.2">
      <c r="B69" s="5496"/>
      <c r="C69" s="231" t="s">
        <v>288</v>
      </c>
      <c r="D69" s="535">
        <v>23</v>
      </c>
      <c r="E69" s="532">
        <v>23</v>
      </c>
      <c r="F69" s="532">
        <v>23</v>
      </c>
      <c r="G69" s="533">
        <v>24</v>
      </c>
      <c r="H69" s="400">
        <v>24</v>
      </c>
      <c r="I69" s="400" t="s">
        <v>227</v>
      </c>
      <c r="J69" s="400">
        <v>12</v>
      </c>
      <c r="K69" s="533">
        <v>16</v>
      </c>
      <c r="L69" s="400">
        <v>15</v>
      </c>
      <c r="M69" s="400">
        <v>12</v>
      </c>
      <c r="N69" s="400">
        <v>12</v>
      </c>
      <c r="O69" s="533">
        <v>2</v>
      </c>
      <c r="P69" s="400">
        <v>23</v>
      </c>
      <c r="Q69" s="400">
        <v>17</v>
      </c>
      <c r="R69" s="400">
        <v>16</v>
      </c>
      <c r="S69" s="534">
        <v>17</v>
      </c>
      <c r="T69" s="400">
        <v>18</v>
      </c>
      <c r="U69" s="533">
        <v>3</v>
      </c>
      <c r="V69" s="534">
        <v>21</v>
      </c>
      <c r="W69" s="400">
        <v>22</v>
      </c>
      <c r="X69" s="533">
        <v>23</v>
      </c>
      <c r="Y69" s="534">
        <v>21</v>
      </c>
      <c r="Z69" s="400">
        <v>22</v>
      </c>
      <c r="AA69" s="533">
        <v>1</v>
      </c>
    </row>
    <row r="70" spans="2:27" s="212" customFormat="1" x14ac:dyDescent="0.2">
      <c r="B70" s="5496"/>
      <c r="C70" s="231" t="s">
        <v>289</v>
      </c>
      <c r="D70" s="535">
        <v>26</v>
      </c>
      <c r="E70" s="532">
        <v>30</v>
      </c>
      <c r="F70" s="532">
        <v>23</v>
      </c>
      <c r="G70" s="533">
        <v>18</v>
      </c>
      <c r="H70" s="400">
        <v>7</v>
      </c>
      <c r="I70" s="400">
        <v>2</v>
      </c>
      <c r="J70" s="400">
        <v>27</v>
      </c>
      <c r="K70" s="533">
        <v>25</v>
      </c>
      <c r="L70" s="400">
        <v>28</v>
      </c>
      <c r="M70" s="400">
        <v>27</v>
      </c>
      <c r="N70" s="400">
        <v>24</v>
      </c>
      <c r="O70" s="533">
        <v>18</v>
      </c>
      <c r="P70" s="400">
        <v>29</v>
      </c>
      <c r="Q70" s="400">
        <v>17</v>
      </c>
      <c r="R70" s="400">
        <v>14</v>
      </c>
      <c r="S70" s="534">
        <v>14</v>
      </c>
      <c r="T70" s="400">
        <v>12</v>
      </c>
      <c r="U70" s="533">
        <v>9</v>
      </c>
      <c r="V70" s="534">
        <v>23</v>
      </c>
      <c r="W70" s="400">
        <v>21</v>
      </c>
      <c r="X70" s="533">
        <v>20</v>
      </c>
      <c r="Y70" s="534">
        <v>18</v>
      </c>
      <c r="Z70" s="400">
        <v>18</v>
      </c>
      <c r="AA70" s="533">
        <v>4</v>
      </c>
    </row>
    <row r="71" spans="2:27" s="212" customFormat="1" x14ac:dyDescent="0.2">
      <c r="B71" s="5496"/>
      <c r="C71" s="231" t="s">
        <v>312</v>
      </c>
      <c r="D71" s="535">
        <v>2</v>
      </c>
      <c r="E71" s="532">
        <v>2</v>
      </c>
      <c r="F71" s="532">
        <v>2</v>
      </c>
      <c r="G71" s="533" t="s">
        <v>227</v>
      </c>
      <c r="H71" s="400">
        <v>2</v>
      </c>
      <c r="I71" s="400">
        <v>1</v>
      </c>
      <c r="J71" s="400" t="s">
        <v>227</v>
      </c>
      <c r="K71" s="533">
        <v>6</v>
      </c>
      <c r="L71" s="400">
        <v>5</v>
      </c>
      <c r="M71" s="400">
        <v>1</v>
      </c>
      <c r="N71" s="400">
        <v>8</v>
      </c>
      <c r="O71" s="533">
        <v>3</v>
      </c>
      <c r="P71" s="400">
        <v>2</v>
      </c>
      <c r="Q71" s="400">
        <v>10</v>
      </c>
      <c r="R71" s="400" t="s">
        <v>227</v>
      </c>
      <c r="S71" s="534"/>
      <c r="T71" s="400">
        <v>15</v>
      </c>
      <c r="U71" s="533"/>
      <c r="V71" s="534"/>
      <c r="W71" s="400">
        <v>19</v>
      </c>
      <c r="X71" s="533"/>
      <c r="Y71" s="534"/>
      <c r="Z71" s="400">
        <v>25</v>
      </c>
      <c r="AA71" s="533"/>
    </row>
    <row r="72" spans="2:27" s="212" customFormat="1" x14ac:dyDescent="0.2">
      <c r="B72" s="5496"/>
      <c r="C72" s="230" t="s">
        <v>283</v>
      </c>
      <c r="D72" s="535">
        <v>13</v>
      </c>
      <c r="E72" s="532">
        <v>16</v>
      </c>
      <c r="F72" s="532">
        <v>15</v>
      </c>
      <c r="G72" s="533">
        <v>29</v>
      </c>
      <c r="H72" s="400">
        <v>28</v>
      </c>
      <c r="I72" s="400">
        <v>25</v>
      </c>
      <c r="J72" s="400">
        <v>25</v>
      </c>
      <c r="K72" s="533">
        <v>25</v>
      </c>
      <c r="L72" s="400" t="s">
        <v>227</v>
      </c>
      <c r="M72" s="400">
        <v>30</v>
      </c>
      <c r="N72" s="400">
        <v>30</v>
      </c>
      <c r="O72" s="533">
        <v>31</v>
      </c>
      <c r="P72" s="400">
        <v>35</v>
      </c>
      <c r="Q72" s="400">
        <v>31</v>
      </c>
      <c r="R72" s="400" t="s">
        <v>227</v>
      </c>
      <c r="S72" s="534">
        <v>36</v>
      </c>
      <c r="T72" s="400">
        <v>36</v>
      </c>
      <c r="U72" s="533">
        <v>37</v>
      </c>
      <c r="V72" s="534">
        <v>34</v>
      </c>
      <c r="W72" s="400">
        <v>32</v>
      </c>
      <c r="X72" s="533"/>
      <c r="Y72" s="534">
        <v>40</v>
      </c>
      <c r="Z72" s="400">
        <v>40</v>
      </c>
      <c r="AA72" s="533">
        <v>40</v>
      </c>
    </row>
    <row r="73" spans="2:27" s="212" customFormat="1" x14ac:dyDescent="0.2">
      <c r="B73" s="5496"/>
      <c r="C73" s="230" t="s">
        <v>290</v>
      </c>
      <c r="D73" s="535">
        <v>40</v>
      </c>
      <c r="E73" s="532">
        <v>76</v>
      </c>
      <c r="F73" s="532">
        <v>75</v>
      </c>
      <c r="G73" s="533">
        <v>57</v>
      </c>
      <c r="H73" s="400">
        <v>51</v>
      </c>
      <c r="I73" s="400">
        <v>52</v>
      </c>
      <c r="J73" s="400">
        <v>50</v>
      </c>
      <c r="K73" s="533">
        <v>87</v>
      </c>
      <c r="L73" s="400">
        <v>89</v>
      </c>
      <c r="M73" s="400">
        <v>64</v>
      </c>
      <c r="N73" s="400">
        <v>58</v>
      </c>
      <c r="O73" s="533">
        <v>58</v>
      </c>
      <c r="P73" s="400">
        <v>62</v>
      </c>
      <c r="Q73" s="400">
        <v>111</v>
      </c>
      <c r="R73" s="400">
        <v>120</v>
      </c>
      <c r="S73" s="534">
        <v>106</v>
      </c>
      <c r="T73" s="400">
        <v>114</v>
      </c>
      <c r="U73" s="533">
        <v>108</v>
      </c>
      <c r="V73" s="534">
        <v>99</v>
      </c>
      <c r="W73" s="400">
        <v>154</v>
      </c>
      <c r="X73" s="533">
        <v>152</v>
      </c>
      <c r="Y73" s="534">
        <v>121</v>
      </c>
      <c r="Z73" s="400">
        <v>120</v>
      </c>
      <c r="AA73" s="533">
        <v>111</v>
      </c>
    </row>
    <row r="74" spans="2:27" s="212" customFormat="1" x14ac:dyDescent="0.2">
      <c r="B74" s="5496"/>
      <c r="C74" s="230" t="s">
        <v>243</v>
      </c>
      <c r="D74" s="535">
        <v>19</v>
      </c>
      <c r="E74" s="532">
        <v>22</v>
      </c>
      <c r="F74" s="532">
        <v>25</v>
      </c>
      <c r="G74" s="533">
        <v>21</v>
      </c>
      <c r="H74" s="400">
        <v>24</v>
      </c>
      <c r="I74" s="400">
        <v>12</v>
      </c>
      <c r="J74" s="400">
        <v>4</v>
      </c>
      <c r="K74" s="533">
        <v>29</v>
      </c>
      <c r="L74" s="400">
        <v>23</v>
      </c>
      <c r="M74" s="400">
        <v>16</v>
      </c>
      <c r="N74" s="400">
        <v>24</v>
      </c>
      <c r="O74" s="533">
        <v>20</v>
      </c>
      <c r="P74" s="400">
        <v>10</v>
      </c>
      <c r="Q74" s="400">
        <v>23</v>
      </c>
      <c r="R74" s="400" t="s">
        <v>227</v>
      </c>
      <c r="S74" s="534"/>
      <c r="T74" s="400">
        <v>19</v>
      </c>
      <c r="U74" s="533"/>
      <c r="V74" s="534"/>
      <c r="W74" s="400">
        <v>32</v>
      </c>
      <c r="X74" s="533"/>
      <c r="Y74" s="534"/>
      <c r="Z74" s="400">
        <v>39</v>
      </c>
      <c r="AA74" s="533"/>
    </row>
    <row r="75" spans="2:27" s="212" customFormat="1" x14ac:dyDescent="0.2">
      <c r="B75" s="5496"/>
      <c r="C75" s="230" t="s">
        <v>284</v>
      </c>
      <c r="D75" s="535">
        <v>15</v>
      </c>
      <c r="E75" s="532">
        <v>15</v>
      </c>
      <c r="F75" s="532">
        <v>15</v>
      </c>
      <c r="G75" s="533">
        <v>28</v>
      </c>
      <c r="H75" s="400">
        <v>28</v>
      </c>
      <c r="I75" s="400">
        <v>27</v>
      </c>
      <c r="J75" s="400">
        <v>20</v>
      </c>
      <c r="K75" s="533">
        <v>19</v>
      </c>
      <c r="L75" s="400">
        <v>19</v>
      </c>
      <c r="M75" s="400">
        <v>28</v>
      </c>
      <c r="N75" s="400">
        <v>26</v>
      </c>
      <c r="O75" s="533">
        <v>22</v>
      </c>
      <c r="P75" s="400">
        <v>24</v>
      </c>
      <c r="Q75" s="400">
        <v>20</v>
      </c>
      <c r="R75" s="400">
        <v>15</v>
      </c>
      <c r="S75" s="534">
        <v>25</v>
      </c>
      <c r="T75" s="400">
        <v>25</v>
      </c>
      <c r="U75" s="533">
        <v>19</v>
      </c>
      <c r="V75" s="534">
        <v>20</v>
      </c>
      <c r="W75" s="400">
        <v>20</v>
      </c>
      <c r="X75" s="533">
        <v>23</v>
      </c>
      <c r="Y75" s="534">
        <v>32</v>
      </c>
      <c r="Z75" s="400">
        <v>32</v>
      </c>
      <c r="AA75" s="533">
        <v>30</v>
      </c>
    </row>
    <row r="76" spans="2:27" s="212" customFormat="1" x14ac:dyDescent="0.2">
      <c r="B76" s="5495" t="s">
        <v>11</v>
      </c>
      <c r="C76" s="393" t="s">
        <v>332</v>
      </c>
      <c r="D76" s="541" t="s">
        <v>227</v>
      </c>
      <c r="E76" s="542">
        <v>8</v>
      </c>
      <c r="F76" s="542">
        <v>6</v>
      </c>
      <c r="G76" s="543" t="s">
        <v>227</v>
      </c>
      <c r="H76" s="399">
        <v>10</v>
      </c>
      <c r="I76" s="399">
        <v>10</v>
      </c>
      <c r="J76" s="399" t="s">
        <v>227</v>
      </c>
      <c r="K76" s="543" t="s">
        <v>227</v>
      </c>
      <c r="L76" s="399" t="s">
        <v>227</v>
      </c>
      <c r="M76" s="399" t="s">
        <v>227</v>
      </c>
      <c r="N76" s="399">
        <v>11</v>
      </c>
      <c r="O76" s="543">
        <v>11</v>
      </c>
      <c r="P76" s="399" t="s">
        <v>227</v>
      </c>
      <c r="Q76" s="399">
        <v>8</v>
      </c>
      <c r="R76" s="399">
        <v>8</v>
      </c>
      <c r="S76" s="544"/>
      <c r="T76" s="399">
        <v>12</v>
      </c>
      <c r="U76" s="543">
        <v>12</v>
      </c>
      <c r="V76" s="544"/>
      <c r="W76" s="399">
        <v>8</v>
      </c>
      <c r="X76" s="543">
        <v>7</v>
      </c>
      <c r="Y76" s="544">
        <v>1</v>
      </c>
      <c r="Z76" s="399"/>
      <c r="AA76" s="543"/>
    </row>
    <row r="77" spans="2:27" s="212" customFormat="1" x14ac:dyDescent="0.2">
      <c r="B77" s="5496"/>
      <c r="C77" s="231" t="s">
        <v>347</v>
      </c>
      <c r="D77" s="535"/>
      <c r="E77" s="532"/>
      <c r="F77" s="532"/>
      <c r="G77" s="533"/>
      <c r="H77" s="400"/>
      <c r="I77" s="400"/>
      <c r="J77" s="400"/>
      <c r="K77" s="533"/>
      <c r="L77" s="400"/>
      <c r="M77" s="400"/>
      <c r="N77" s="400"/>
      <c r="O77" s="533"/>
      <c r="P77" s="400"/>
      <c r="Q77" s="400"/>
      <c r="R77" s="400"/>
      <c r="S77" s="534"/>
      <c r="T77" s="400"/>
      <c r="U77" s="533"/>
      <c r="V77" s="534"/>
      <c r="W77" s="400"/>
      <c r="X77" s="533"/>
      <c r="Y77" s="534">
        <v>1</v>
      </c>
      <c r="Z77" s="400">
        <v>6</v>
      </c>
      <c r="AA77" s="533">
        <v>6</v>
      </c>
    </row>
    <row r="78" spans="2:27" s="212" customFormat="1" x14ac:dyDescent="0.2">
      <c r="B78" s="5496"/>
      <c r="C78" s="231" t="s">
        <v>294</v>
      </c>
      <c r="D78" s="535">
        <v>16</v>
      </c>
      <c r="E78" s="532">
        <v>16</v>
      </c>
      <c r="F78" s="532">
        <v>1</v>
      </c>
      <c r="G78" s="533">
        <v>14</v>
      </c>
      <c r="H78" s="400">
        <v>14</v>
      </c>
      <c r="I78" s="400">
        <v>13</v>
      </c>
      <c r="J78" s="400">
        <v>13</v>
      </c>
      <c r="K78" s="533">
        <v>13</v>
      </c>
      <c r="L78" s="400" t="s">
        <v>227</v>
      </c>
      <c r="M78" s="400">
        <v>12</v>
      </c>
      <c r="N78" s="400">
        <v>11</v>
      </c>
      <c r="O78" s="533">
        <v>11</v>
      </c>
      <c r="P78" s="400">
        <v>11</v>
      </c>
      <c r="Q78" s="400">
        <v>11</v>
      </c>
      <c r="R78" s="400">
        <v>1</v>
      </c>
      <c r="S78" s="534">
        <v>15</v>
      </c>
      <c r="T78" s="400">
        <v>15</v>
      </c>
      <c r="U78" s="533">
        <v>14</v>
      </c>
      <c r="V78" s="534">
        <v>15</v>
      </c>
      <c r="W78" s="400">
        <v>17</v>
      </c>
      <c r="X78" s="533">
        <v>3</v>
      </c>
      <c r="Y78" s="534">
        <v>15</v>
      </c>
      <c r="Z78" s="400">
        <v>14</v>
      </c>
      <c r="AA78" s="533">
        <v>14</v>
      </c>
    </row>
    <row r="79" spans="2:27" s="212" customFormat="1" x14ac:dyDescent="0.2">
      <c r="B79" s="5496"/>
      <c r="C79" s="231" t="s">
        <v>295</v>
      </c>
      <c r="D79" s="535">
        <v>14</v>
      </c>
      <c r="E79" s="532">
        <v>18</v>
      </c>
      <c r="F79" s="532">
        <v>7</v>
      </c>
      <c r="G79" s="533">
        <v>7</v>
      </c>
      <c r="H79" s="400">
        <v>19</v>
      </c>
      <c r="I79" s="400">
        <v>13</v>
      </c>
      <c r="J79" s="400">
        <v>13</v>
      </c>
      <c r="K79" s="533">
        <v>13</v>
      </c>
      <c r="L79" s="400">
        <v>12</v>
      </c>
      <c r="M79" s="400">
        <v>25</v>
      </c>
      <c r="N79" s="400">
        <v>24</v>
      </c>
      <c r="O79" s="533">
        <v>12</v>
      </c>
      <c r="P79" s="400">
        <v>22</v>
      </c>
      <c r="Q79" s="400">
        <v>20</v>
      </c>
      <c r="R79" s="400">
        <v>20</v>
      </c>
      <c r="S79" s="534">
        <v>20</v>
      </c>
      <c r="T79" s="400">
        <v>19</v>
      </c>
      <c r="U79" s="533">
        <v>20</v>
      </c>
      <c r="V79" s="534">
        <v>26</v>
      </c>
      <c r="W79" s="400">
        <v>26</v>
      </c>
      <c r="X79" s="533">
        <v>13</v>
      </c>
      <c r="Y79" s="534">
        <v>30</v>
      </c>
      <c r="Z79" s="400">
        <v>30</v>
      </c>
      <c r="AA79" s="533">
        <v>17</v>
      </c>
    </row>
    <row r="80" spans="2:27" s="212" customFormat="1" x14ac:dyDescent="0.2">
      <c r="B80" s="5496"/>
      <c r="C80" s="231" t="s">
        <v>296</v>
      </c>
      <c r="D80" s="535">
        <v>8</v>
      </c>
      <c r="E80" s="532" t="s">
        <v>227</v>
      </c>
      <c r="F80" s="532">
        <v>14</v>
      </c>
      <c r="G80" s="533">
        <v>6</v>
      </c>
      <c r="H80" s="400">
        <v>6</v>
      </c>
      <c r="I80" s="400">
        <v>6</v>
      </c>
      <c r="J80" s="400" t="s">
        <v>227</v>
      </c>
      <c r="K80" s="533">
        <v>10</v>
      </c>
      <c r="L80" s="400">
        <v>10</v>
      </c>
      <c r="M80" s="400">
        <v>10</v>
      </c>
      <c r="N80" s="400">
        <v>10</v>
      </c>
      <c r="O80" s="533">
        <v>4</v>
      </c>
      <c r="P80" s="400">
        <v>15</v>
      </c>
      <c r="Q80" s="400">
        <v>8</v>
      </c>
      <c r="R80" s="400">
        <v>8</v>
      </c>
      <c r="S80" s="534">
        <v>9</v>
      </c>
      <c r="T80" s="400">
        <v>1</v>
      </c>
      <c r="U80" s="533">
        <v>14</v>
      </c>
      <c r="V80" s="534">
        <v>9</v>
      </c>
      <c r="W80" s="400">
        <v>9</v>
      </c>
      <c r="X80" s="533">
        <v>9</v>
      </c>
      <c r="Y80" s="534">
        <v>1</v>
      </c>
      <c r="Z80" s="400">
        <v>16</v>
      </c>
      <c r="AA80" s="533">
        <v>11</v>
      </c>
    </row>
    <row r="81" spans="1:27" s="212" customFormat="1" ht="24" x14ac:dyDescent="0.2">
      <c r="B81" s="5496"/>
      <c r="C81" s="230" t="s">
        <v>297</v>
      </c>
      <c r="D81" s="535">
        <v>7</v>
      </c>
      <c r="E81" s="532">
        <v>7</v>
      </c>
      <c r="F81" s="532">
        <v>1</v>
      </c>
      <c r="G81" s="533">
        <v>10</v>
      </c>
      <c r="H81" s="400">
        <v>10</v>
      </c>
      <c r="I81" s="400">
        <v>10</v>
      </c>
      <c r="J81" s="400">
        <v>9</v>
      </c>
      <c r="K81" s="533">
        <v>9</v>
      </c>
      <c r="L81" s="400" t="s">
        <v>227</v>
      </c>
      <c r="M81" s="400">
        <v>5</v>
      </c>
      <c r="N81" s="400">
        <v>4</v>
      </c>
      <c r="O81" s="533">
        <v>4</v>
      </c>
      <c r="P81" s="400">
        <v>5</v>
      </c>
      <c r="Q81" s="400">
        <v>4</v>
      </c>
      <c r="R81" s="400">
        <v>5</v>
      </c>
      <c r="S81" s="534">
        <v>9</v>
      </c>
      <c r="T81" s="400">
        <v>9</v>
      </c>
      <c r="U81" s="533">
        <v>8</v>
      </c>
      <c r="V81" s="534">
        <v>7</v>
      </c>
      <c r="W81" s="400">
        <v>8</v>
      </c>
      <c r="X81" s="533">
        <v>6</v>
      </c>
      <c r="Y81" s="534">
        <v>1</v>
      </c>
      <c r="Z81" s="400"/>
      <c r="AA81" s="533"/>
    </row>
    <row r="82" spans="1:27" s="212" customFormat="1" x14ac:dyDescent="0.2">
      <c r="B82" s="5496"/>
      <c r="C82" s="230" t="s">
        <v>298</v>
      </c>
      <c r="D82" s="535">
        <v>14</v>
      </c>
      <c r="E82" s="532">
        <v>16</v>
      </c>
      <c r="F82" s="532">
        <v>17</v>
      </c>
      <c r="G82" s="533">
        <v>13</v>
      </c>
      <c r="H82" s="400">
        <v>15</v>
      </c>
      <c r="I82" s="400">
        <v>13</v>
      </c>
      <c r="J82" s="400">
        <v>17</v>
      </c>
      <c r="K82" s="533">
        <v>16</v>
      </c>
      <c r="L82" s="400">
        <v>21</v>
      </c>
      <c r="M82" s="400">
        <v>20</v>
      </c>
      <c r="N82" s="400">
        <v>23</v>
      </c>
      <c r="O82" s="533">
        <v>22</v>
      </c>
      <c r="P82" s="400">
        <v>17</v>
      </c>
      <c r="Q82" s="400">
        <v>19</v>
      </c>
      <c r="R82" s="400">
        <v>21</v>
      </c>
      <c r="S82" s="534">
        <v>20</v>
      </c>
      <c r="T82" s="400">
        <v>21</v>
      </c>
      <c r="U82" s="533">
        <v>23</v>
      </c>
      <c r="V82" s="534">
        <v>34</v>
      </c>
      <c r="W82" s="400">
        <v>38</v>
      </c>
      <c r="X82" s="533">
        <v>39</v>
      </c>
      <c r="Y82" s="534">
        <v>40</v>
      </c>
      <c r="Z82" s="400">
        <v>41</v>
      </c>
      <c r="AA82" s="533">
        <v>37</v>
      </c>
    </row>
    <row r="83" spans="1:27" s="212" customFormat="1" ht="18" customHeight="1" x14ac:dyDescent="0.2">
      <c r="B83" s="5496"/>
      <c r="C83" s="230" t="s">
        <v>299</v>
      </c>
      <c r="D83" s="535">
        <v>14</v>
      </c>
      <c r="E83" s="532">
        <v>12</v>
      </c>
      <c r="F83" s="532">
        <v>12</v>
      </c>
      <c r="G83" s="533">
        <v>16</v>
      </c>
      <c r="H83" s="400">
        <v>15</v>
      </c>
      <c r="I83" s="400">
        <v>11</v>
      </c>
      <c r="J83" s="400">
        <v>16</v>
      </c>
      <c r="K83" s="533">
        <v>16</v>
      </c>
      <c r="L83" s="400">
        <v>8</v>
      </c>
      <c r="M83" s="400">
        <v>30</v>
      </c>
      <c r="N83" s="400">
        <v>29</v>
      </c>
      <c r="O83" s="533">
        <v>22</v>
      </c>
      <c r="P83" s="400">
        <v>42</v>
      </c>
      <c r="Q83" s="400">
        <v>40</v>
      </c>
      <c r="R83" s="400">
        <v>21</v>
      </c>
      <c r="S83" s="534">
        <v>30</v>
      </c>
      <c r="T83" s="400">
        <v>31</v>
      </c>
      <c r="U83" s="533">
        <v>15</v>
      </c>
      <c r="V83" s="534">
        <v>32</v>
      </c>
      <c r="W83" s="400">
        <v>32</v>
      </c>
      <c r="X83" s="533">
        <v>24</v>
      </c>
      <c r="Y83" s="534">
        <v>39</v>
      </c>
      <c r="Z83" s="400">
        <v>36</v>
      </c>
      <c r="AA83" s="533">
        <v>21</v>
      </c>
    </row>
    <row r="84" spans="1:27" s="222" customFormat="1" x14ac:dyDescent="0.2">
      <c r="A84" s="212"/>
      <c r="B84" s="5496"/>
      <c r="C84" s="230" t="s">
        <v>279</v>
      </c>
      <c r="D84" s="535">
        <v>55</v>
      </c>
      <c r="E84" s="532">
        <v>56</v>
      </c>
      <c r="F84" s="532">
        <v>48</v>
      </c>
      <c r="G84" s="533">
        <v>45</v>
      </c>
      <c r="H84" s="400">
        <v>46</v>
      </c>
      <c r="I84" s="400">
        <v>43</v>
      </c>
      <c r="J84" s="400">
        <v>39</v>
      </c>
      <c r="K84" s="533">
        <v>41</v>
      </c>
      <c r="L84" s="400">
        <v>36</v>
      </c>
      <c r="M84" s="400">
        <v>32</v>
      </c>
      <c r="N84" s="400">
        <v>28</v>
      </c>
      <c r="O84" s="533">
        <v>29</v>
      </c>
      <c r="P84" s="400">
        <v>42</v>
      </c>
      <c r="Q84" s="400">
        <v>41</v>
      </c>
      <c r="R84" s="400">
        <v>34</v>
      </c>
      <c r="S84" s="534">
        <v>38</v>
      </c>
      <c r="T84" s="400">
        <v>35</v>
      </c>
      <c r="U84" s="533">
        <v>33</v>
      </c>
      <c r="V84" s="534">
        <v>36</v>
      </c>
      <c r="W84" s="400">
        <v>43</v>
      </c>
      <c r="X84" s="533">
        <v>41</v>
      </c>
      <c r="Y84" s="534">
        <v>55</v>
      </c>
      <c r="Z84" s="400">
        <v>54</v>
      </c>
      <c r="AA84" s="533">
        <v>51</v>
      </c>
    </row>
    <row r="85" spans="1:27" x14ac:dyDescent="0.2">
      <c r="A85" s="212"/>
      <c r="B85" s="5497"/>
      <c r="C85" s="394" t="s">
        <v>300</v>
      </c>
      <c r="D85" s="536" t="s">
        <v>227</v>
      </c>
      <c r="E85" s="537" t="s">
        <v>227</v>
      </c>
      <c r="F85" s="537" t="s">
        <v>227</v>
      </c>
      <c r="G85" s="538">
        <v>10</v>
      </c>
      <c r="H85" s="401">
        <v>10</v>
      </c>
      <c r="I85" s="401">
        <v>10</v>
      </c>
      <c r="J85" s="401">
        <v>14</v>
      </c>
      <c r="K85" s="538">
        <v>14</v>
      </c>
      <c r="L85" s="401">
        <v>14</v>
      </c>
      <c r="M85" s="401">
        <v>18</v>
      </c>
      <c r="N85" s="401">
        <v>20</v>
      </c>
      <c r="O85" s="538">
        <v>22</v>
      </c>
      <c r="P85" s="401">
        <v>30</v>
      </c>
      <c r="Q85" s="401">
        <v>23</v>
      </c>
      <c r="R85" s="401">
        <v>24</v>
      </c>
      <c r="S85" s="539">
        <v>32</v>
      </c>
      <c r="T85" s="401">
        <v>31</v>
      </c>
      <c r="U85" s="538">
        <v>32</v>
      </c>
      <c r="V85" s="539">
        <v>29</v>
      </c>
      <c r="W85" s="401">
        <v>35</v>
      </c>
      <c r="X85" s="538">
        <v>31</v>
      </c>
      <c r="Y85" s="539">
        <v>26</v>
      </c>
      <c r="Z85" s="401">
        <v>19</v>
      </c>
      <c r="AA85" s="538">
        <v>16</v>
      </c>
    </row>
    <row r="86" spans="1:27" x14ac:dyDescent="0.2">
      <c r="A86" s="222"/>
      <c r="B86" s="5496" t="s">
        <v>7</v>
      </c>
      <c r="C86" s="230" t="s">
        <v>301</v>
      </c>
      <c r="D86" s="535">
        <v>20</v>
      </c>
      <c r="E86" s="532">
        <v>19</v>
      </c>
      <c r="F86" s="532">
        <v>19</v>
      </c>
      <c r="G86" s="533">
        <v>37</v>
      </c>
      <c r="H86" s="400">
        <v>37</v>
      </c>
      <c r="I86" s="400">
        <v>23</v>
      </c>
      <c r="J86" s="400">
        <v>47</v>
      </c>
      <c r="K86" s="533">
        <v>44</v>
      </c>
      <c r="L86" s="400">
        <v>27</v>
      </c>
      <c r="M86" s="400">
        <v>47</v>
      </c>
      <c r="N86" s="400">
        <v>44</v>
      </c>
      <c r="O86" s="533">
        <v>20</v>
      </c>
      <c r="P86" s="400">
        <v>44</v>
      </c>
      <c r="Q86" s="400">
        <v>42</v>
      </c>
      <c r="R86" s="400">
        <v>21</v>
      </c>
      <c r="S86" s="534">
        <v>42</v>
      </c>
      <c r="T86" s="400">
        <v>42</v>
      </c>
      <c r="U86" s="533">
        <v>21</v>
      </c>
      <c r="V86" s="534">
        <v>39</v>
      </c>
      <c r="W86" s="400">
        <v>36</v>
      </c>
      <c r="X86" s="533">
        <v>24</v>
      </c>
      <c r="Y86" s="534">
        <v>41</v>
      </c>
      <c r="Z86" s="400">
        <v>44</v>
      </c>
      <c r="AA86" s="533">
        <v>21</v>
      </c>
    </row>
    <row r="87" spans="1:27" x14ac:dyDescent="0.2">
      <c r="A87" s="222"/>
      <c r="B87" s="5496"/>
      <c r="C87" s="230" t="s">
        <v>328</v>
      </c>
      <c r="D87" s="535"/>
      <c r="E87" s="532"/>
      <c r="F87" s="532"/>
      <c r="G87" s="533"/>
      <c r="H87" s="400"/>
      <c r="I87" s="400"/>
      <c r="J87" s="400"/>
      <c r="K87" s="533"/>
      <c r="L87" s="400"/>
      <c r="M87" s="400"/>
      <c r="N87" s="400"/>
      <c r="O87" s="533"/>
      <c r="P87" s="400"/>
      <c r="Q87" s="400"/>
      <c r="R87" s="400"/>
      <c r="S87" s="534"/>
      <c r="T87" s="400"/>
      <c r="U87" s="533"/>
      <c r="V87" s="534"/>
      <c r="W87" s="400"/>
      <c r="X87" s="533">
        <v>17</v>
      </c>
      <c r="Y87" s="534">
        <v>17</v>
      </c>
      <c r="Z87" s="400">
        <v>17</v>
      </c>
      <c r="AA87" s="533">
        <v>17</v>
      </c>
    </row>
    <row r="88" spans="1:27" x14ac:dyDescent="0.2">
      <c r="A88" s="222"/>
      <c r="B88" s="5496"/>
      <c r="C88" s="230" t="s">
        <v>329</v>
      </c>
      <c r="D88" s="535"/>
      <c r="E88" s="532"/>
      <c r="F88" s="532"/>
      <c r="G88" s="533"/>
      <c r="H88" s="400"/>
      <c r="I88" s="400"/>
      <c r="J88" s="400"/>
      <c r="K88" s="533"/>
      <c r="L88" s="400"/>
      <c r="M88" s="400"/>
      <c r="N88" s="400"/>
      <c r="O88" s="533"/>
      <c r="P88" s="400"/>
      <c r="Q88" s="400"/>
      <c r="R88" s="400"/>
      <c r="S88" s="534"/>
      <c r="T88" s="400"/>
      <c r="U88" s="533"/>
      <c r="V88" s="534"/>
      <c r="W88" s="400"/>
      <c r="X88" s="533"/>
      <c r="Y88" s="534">
        <v>33</v>
      </c>
      <c r="Z88" s="400">
        <v>33</v>
      </c>
      <c r="AA88" s="533">
        <v>33</v>
      </c>
    </row>
    <row r="89" spans="1:27" x14ac:dyDescent="0.2">
      <c r="B89" s="5497"/>
      <c r="C89" s="230" t="s">
        <v>302</v>
      </c>
      <c r="D89" s="535">
        <v>11</v>
      </c>
      <c r="E89" s="532">
        <v>11</v>
      </c>
      <c r="F89" s="532">
        <v>10</v>
      </c>
      <c r="G89" s="533">
        <v>10</v>
      </c>
      <c r="H89" s="400">
        <v>10</v>
      </c>
      <c r="I89" s="400">
        <v>9</v>
      </c>
      <c r="J89" s="400">
        <v>19</v>
      </c>
      <c r="K89" s="533">
        <v>19</v>
      </c>
      <c r="L89" s="400">
        <v>15</v>
      </c>
      <c r="M89" s="400">
        <v>12</v>
      </c>
      <c r="N89" s="400">
        <v>26</v>
      </c>
      <c r="O89" s="533">
        <v>27</v>
      </c>
      <c r="P89" s="400">
        <v>27</v>
      </c>
      <c r="Q89" s="400">
        <v>31</v>
      </c>
      <c r="R89" s="400">
        <v>29</v>
      </c>
      <c r="S89" s="534">
        <v>26</v>
      </c>
      <c r="T89" s="400">
        <v>34</v>
      </c>
      <c r="U89" s="533">
        <v>32</v>
      </c>
      <c r="V89" s="534">
        <v>32</v>
      </c>
      <c r="W89" s="400">
        <v>39</v>
      </c>
      <c r="X89" s="533">
        <v>38</v>
      </c>
      <c r="Y89" s="534">
        <v>28</v>
      </c>
      <c r="Z89" s="400">
        <v>35</v>
      </c>
      <c r="AA89" s="533">
        <v>33</v>
      </c>
    </row>
    <row r="90" spans="1:27" x14ac:dyDescent="0.2">
      <c r="B90" s="5506" t="s">
        <v>67</v>
      </c>
      <c r="C90" s="5507"/>
      <c r="D90" s="658">
        <f>SUM(D63:D89)</f>
        <v>388</v>
      </c>
      <c r="E90" s="659">
        <f t="shared" ref="E90:AA90" si="2">SUM(E63:E89)</f>
        <v>429</v>
      </c>
      <c r="F90" s="659">
        <f t="shared" si="2"/>
        <v>400</v>
      </c>
      <c r="G90" s="659">
        <f t="shared" si="2"/>
        <v>420</v>
      </c>
      <c r="H90" s="658">
        <f t="shared" si="2"/>
        <v>429</v>
      </c>
      <c r="I90" s="659">
        <f t="shared" si="2"/>
        <v>297</v>
      </c>
      <c r="J90" s="659">
        <f t="shared" si="2"/>
        <v>413</v>
      </c>
      <c r="K90" s="660">
        <f t="shared" si="2"/>
        <v>475</v>
      </c>
      <c r="L90" s="659">
        <f t="shared" si="2"/>
        <v>394</v>
      </c>
      <c r="M90" s="659">
        <f t="shared" si="2"/>
        <v>455</v>
      </c>
      <c r="N90" s="659">
        <f t="shared" si="2"/>
        <v>478</v>
      </c>
      <c r="O90" s="659">
        <f t="shared" si="2"/>
        <v>342</v>
      </c>
      <c r="P90" s="658">
        <f t="shared" si="2"/>
        <v>517</v>
      </c>
      <c r="Q90" s="659">
        <f t="shared" si="2"/>
        <v>546</v>
      </c>
      <c r="R90" s="660">
        <f t="shared" si="2"/>
        <v>425</v>
      </c>
      <c r="S90" s="659">
        <f t="shared" si="2"/>
        <v>518</v>
      </c>
      <c r="T90" s="659">
        <f t="shared" si="2"/>
        <v>569</v>
      </c>
      <c r="U90" s="659">
        <f t="shared" si="2"/>
        <v>426</v>
      </c>
      <c r="V90" s="658">
        <f t="shared" si="2"/>
        <v>571</v>
      </c>
      <c r="W90" s="659">
        <f t="shared" si="2"/>
        <v>704</v>
      </c>
      <c r="X90" s="660">
        <f t="shared" si="2"/>
        <v>577</v>
      </c>
      <c r="Y90" s="659">
        <f t="shared" si="2"/>
        <v>657</v>
      </c>
      <c r="Z90" s="659">
        <f t="shared" si="2"/>
        <v>744</v>
      </c>
      <c r="AA90" s="660">
        <f t="shared" si="2"/>
        <v>484</v>
      </c>
    </row>
    <row r="91" spans="1:27" x14ac:dyDescent="0.2">
      <c r="C91" s="209"/>
      <c r="D91" s="209"/>
      <c r="E91" s="209"/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</row>
    <row r="92" spans="1:27" ht="15" x14ac:dyDescent="0.2">
      <c r="B92" s="5500" t="s">
        <v>76</v>
      </c>
      <c r="C92" s="5501"/>
      <c r="D92" s="642">
        <f>SUM(D90,D62,D27)</f>
        <v>1505</v>
      </c>
      <c r="E92" s="643">
        <f t="shared" ref="E92:AA92" si="3">SUM(E90,E62,E27)</f>
        <v>1509</v>
      </c>
      <c r="F92" s="643">
        <f t="shared" si="3"/>
        <v>1302</v>
      </c>
      <c r="G92" s="643">
        <f t="shared" si="3"/>
        <v>1483</v>
      </c>
      <c r="H92" s="642">
        <f t="shared" si="3"/>
        <v>1451</v>
      </c>
      <c r="I92" s="643">
        <f t="shared" si="3"/>
        <v>1170</v>
      </c>
      <c r="J92" s="643">
        <f t="shared" si="3"/>
        <v>1487</v>
      </c>
      <c r="K92" s="644">
        <f t="shared" si="3"/>
        <v>1615</v>
      </c>
      <c r="L92" s="643">
        <f t="shared" si="3"/>
        <v>1315</v>
      </c>
      <c r="M92" s="643">
        <f t="shared" si="3"/>
        <v>1560</v>
      </c>
      <c r="N92" s="643">
        <f t="shared" si="3"/>
        <v>1673</v>
      </c>
      <c r="O92" s="643">
        <f t="shared" si="3"/>
        <v>1396</v>
      </c>
      <c r="P92" s="642">
        <f t="shared" si="3"/>
        <v>1683</v>
      </c>
      <c r="Q92" s="643">
        <f t="shared" si="3"/>
        <v>1817</v>
      </c>
      <c r="R92" s="644">
        <f t="shared" si="3"/>
        <v>1539</v>
      </c>
      <c r="S92" s="643">
        <f t="shared" si="3"/>
        <v>1740</v>
      </c>
      <c r="T92" s="643">
        <f t="shared" si="3"/>
        <v>1804</v>
      </c>
      <c r="U92" s="643">
        <f t="shared" si="3"/>
        <v>1562</v>
      </c>
      <c r="V92" s="642">
        <f t="shared" si="3"/>
        <v>1976</v>
      </c>
      <c r="W92" s="643">
        <f t="shared" si="3"/>
        <v>2072</v>
      </c>
      <c r="X92" s="644">
        <f t="shared" si="3"/>
        <v>1924</v>
      </c>
      <c r="Y92" s="643">
        <f t="shared" si="3"/>
        <v>2250</v>
      </c>
      <c r="Z92" s="643">
        <f t="shared" si="3"/>
        <v>2201</v>
      </c>
      <c r="AA92" s="644">
        <f t="shared" si="3"/>
        <v>1842</v>
      </c>
    </row>
    <row r="93" spans="1:27" x14ac:dyDescent="0.2">
      <c r="C93" s="240"/>
      <c r="G93" s="236"/>
      <c r="K93" s="236"/>
      <c r="O93" s="236"/>
    </row>
    <row r="94" spans="1:27" x14ac:dyDescent="0.2">
      <c r="B94" s="240" t="s">
        <v>0</v>
      </c>
    </row>
    <row r="97" spans="2:3" x14ac:dyDescent="0.2">
      <c r="B97" s="212"/>
      <c r="C97" s="213"/>
    </row>
    <row r="98" spans="2:3" x14ac:dyDescent="0.2">
      <c r="B98" s="212"/>
      <c r="C98" s="213"/>
    </row>
    <row r="99" spans="2:3" x14ac:dyDescent="0.2">
      <c r="B99" s="212"/>
      <c r="C99" s="213"/>
    </row>
    <row r="100" spans="2:3" x14ac:dyDescent="0.2">
      <c r="B100" s="212"/>
      <c r="C100" s="213"/>
    </row>
  </sheetData>
  <mergeCells count="39">
    <mergeCell ref="Z5:Z6"/>
    <mergeCell ref="B5:B6"/>
    <mergeCell ref="C5:C6"/>
    <mergeCell ref="D5:D6"/>
    <mergeCell ref="E5:E6"/>
    <mergeCell ref="F5:F6"/>
    <mergeCell ref="P5:P6"/>
    <mergeCell ref="Q5:Q6"/>
    <mergeCell ref="R5:R6"/>
    <mergeCell ref="G5:G6"/>
    <mergeCell ref="L5:L6"/>
    <mergeCell ref="AA5:AA6"/>
    <mergeCell ref="B7:B11"/>
    <mergeCell ref="B12:B23"/>
    <mergeCell ref="B24:B26"/>
    <mergeCell ref="S5:S6"/>
    <mergeCell ref="T5:T6"/>
    <mergeCell ref="U5:U6"/>
    <mergeCell ref="V5:V6"/>
    <mergeCell ref="W5:W6"/>
    <mergeCell ref="X5:X6"/>
    <mergeCell ref="M5:M6"/>
    <mergeCell ref="N5:N6"/>
    <mergeCell ref="O5:O6"/>
    <mergeCell ref="J5:J6"/>
    <mergeCell ref="Y5:Y6"/>
    <mergeCell ref="K5:K6"/>
    <mergeCell ref="B76:B85"/>
    <mergeCell ref="B86:B89"/>
    <mergeCell ref="I5:I6"/>
    <mergeCell ref="H5:H6"/>
    <mergeCell ref="B92:C92"/>
    <mergeCell ref="B27:C27"/>
    <mergeCell ref="B62:C62"/>
    <mergeCell ref="B90:C90"/>
    <mergeCell ref="B28:B39"/>
    <mergeCell ref="B40:B52"/>
    <mergeCell ref="B53:B61"/>
    <mergeCell ref="B63:B75"/>
  </mergeCells>
  <printOptions horizontalCentered="1" verticalCentered="1"/>
  <pageMargins left="0.31496062992125984" right="0.27559055118110237" top="0.51181102362204722" bottom="0.59055118110236227" header="0.43307086614173229" footer="0.31496062992125984"/>
  <pageSetup scale="40" orientation="portrait" horizontalDpi="1200" verticalDpi="1200" r:id="rId1"/>
  <headerFooter alignWithMargins="0">
    <oddHeader>&amp;LANEXO ESTADÍSTICO 2008&amp;CCOBERTURA EDUCATIVA&amp;R&amp;G</oddHeader>
    <oddFooter>&amp;R31</oddFooter>
  </headerFooter>
  <ignoredErrors>
    <ignoredError sqref="D27 E27:AA27 D90:AA90 D62:AA62" unlockedFormula="1"/>
  </ignoredErrors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B1:AA123"/>
  <sheetViews>
    <sheetView showGridLines="0" zoomScale="90" zoomScaleNormal="90" zoomScaleSheetLayoutView="70" workbookViewId="0">
      <selection activeCell="H23" sqref="H23"/>
    </sheetView>
  </sheetViews>
  <sheetFormatPr baseColWidth="10" defaultRowHeight="12.75" x14ac:dyDescent="0.2"/>
  <cols>
    <col min="1" max="1" width="1.7109375" style="209" customWidth="1"/>
    <col min="2" max="2" width="15.7109375" style="209" customWidth="1"/>
    <col min="3" max="3" width="24.85546875" style="210" customWidth="1"/>
    <col min="4" max="6" width="9.7109375" style="210" customWidth="1"/>
    <col min="7" max="27" width="9.7109375" style="209" customWidth="1"/>
    <col min="28" max="256" width="11.42578125" style="209"/>
    <col min="257" max="257" width="20.5703125" style="209" customWidth="1"/>
    <col min="258" max="258" width="11.28515625" style="209" bestFit="1" customWidth="1"/>
    <col min="259" max="259" width="24.85546875" style="209" customWidth="1"/>
    <col min="260" max="283" width="9.7109375" style="209" customWidth="1"/>
    <col min="284" max="512" width="11.42578125" style="209"/>
    <col min="513" max="513" width="20.5703125" style="209" customWidth="1"/>
    <col min="514" max="514" width="11.28515625" style="209" bestFit="1" customWidth="1"/>
    <col min="515" max="515" width="24.85546875" style="209" customWidth="1"/>
    <col min="516" max="539" width="9.7109375" style="209" customWidth="1"/>
    <col min="540" max="768" width="11.42578125" style="209"/>
    <col min="769" max="769" width="20.5703125" style="209" customWidth="1"/>
    <col min="770" max="770" width="11.28515625" style="209" bestFit="1" customWidth="1"/>
    <col min="771" max="771" width="24.85546875" style="209" customWidth="1"/>
    <col min="772" max="795" width="9.7109375" style="209" customWidth="1"/>
    <col min="796" max="1024" width="11.42578125" style="209"/>
    <col min="1025" max="1025" width="20.5703125" style="209" customWidth="1"/>
    <col min="1026" max="1026" width="11.28515625" style="209" bestFit="1" customWidth="1"/>
    <col min="1027" max="1027" width="24.85546875" style="209" customWidth="1"/>
    <col min="1028" max="1051" width="9.7109375" style="209" customWidth="1"/>
    <col min="1052" max="1280" width="11.42578125" style="209"/>
    <col min="1281" max="1281" width="20.5703125" style="209" customWidth="1"/>
    <col min="1282" max="1282" width="11.28515625" style="209" bestFit="1" customWidth="1"/>
    <col min="1283" max="1283" width="24.85546875" style="209" customWidth="1"/>
    <col min="1284" max="1307" width="9.7109375" style="209" customWidth="1"/>
    <col min="1308" max="1536" width="11.42578125" style="209"/>
    <col min="1537" max="1537" width="20.5703125" style="209" customWidth="1"/>
    <col min="1538" max="1538" width="11.28515625" style="209" bestFit="1" customWidth="1"/>
    <col min="1539" max="1539" width="24.85546875" style="209" customWidth="1"/>
    <col min="1540" max="1563" width="9.7109375" style="209" customWidth="1"/>
    <col min="1564" max="1792" width="11.42578125" style="209"/>
    <col min="1793" max="1793" width="20.5703125" style="209" customWidth="1"/>
    <col min="1794" max="1794" width="11.28515625" style="209" bestFit="1" customWidth="1"/>
    <col min="1795" max="1795" width="24.85546875" style="209" customWidth="1"/>
    <col min="1796" max="1819" width="9.7109375" style="209" customWidth="1"/>
    <col min="1820" max="2048" width="11.42578125" style="209"/>
    <col min="2049" max="2049" width="20.5703125" style="209" customWidth="1"/>
    <col min="2050" max="2050" width="11.28515625" style="209" bestFit="1" customWidth="1"/>
    <col min="2051" max="2051" width="24.85546875" style="209" customWidth="1"/>
    <col min="2052" max="2075" width="9.7109375" style="209" customWidth="1"/>
    <col min="2076" max="2304" width="11.42578125" style="209"/>
    <col min="2305" max="2305" width="20.5703125" style="209" customWidth="1"/>
    <col min="2306" max="2306" width="11.28515625" style="209" bestFit="1" customWidth="1"/>
    <col min="2307" max="2307" width="24.85546875" style="209" customWidth="1"/>
    <col min="2308" max="2331" width="9.7109375" style="209" customWidth="1"/>
    <col min="2332" max="2560" width="11.42578125" style="209"/>
    <col min="2561" max="2561" width="20.5703125" style="209" customWidth="1"/>
    <col min="2562" max="2562" width="11.28515625" style="209" bestFit="1" customWidth="1"/>
    <col min="2563" max="2563" width="24.85546875" style="209" customWidth="1"/>
    <col min="2564" max="2587" width="9.7109375" style="209" customWidth="1"/>
    <col min="2588" max="2816" width="11.42578125" style="209"/>
    <col min="2817" max="2817" width="20.5703125" style="209" customWidth="1"/>
    <col min="2818" max="2818" width="11.28515625" style="209" bestFit="1" customWidth="1"/>
    <col min="2819" max="2819" width="24.85546875" style="209" customWidth="1"/>
    <col min="2820" max="2843" width="9.7109375" style="209" customWidth="1"/>
    <col min="2844" max="3072" width="11.42578125" style="209"/>
    <col min="3073" max="3073" width="20.5703125" style="209" customWidth="1"/>
    <col min="3074" max="3074" width="11.28515625" style="209" bestFit="1" customWidth="1"/>
    <col min="3075" max="3075" width="24.85546875" style="209" customWidth="1"/>
    <col min="3076" max="3099" width="9.7109375" style="209" customWidth="1"/>
    <col min="3100" max="3328" width="11.42578125" style="209"/>
    <col min="3329" max="3329" width="20.5703125" style="209" customWidth="1"/>
    <col min="3330" max="3330" width="11.28515625" style="209" bestFit="1" customWidth="1"/>
    <col min="3331" max="3331" width="24.85546875" style="209" customWidth="1"/>
    <col min="3332" max="3355" width="9.7109375" style="209" customWidth="1"/>
    <col min="3356" max="3584" width="11.42578125" style="209"/>
    <col min="3585" max="3585" width="20.5703125" style="209" customWidth="1"/>
    <col min="3586" max="3586" width="11.28515625" style="209" bestFit="1" customWidth="1"/>
    <col min="3587" max="3587" width="24.85546875" style="209" customWidth="1"/>
    <col min="3588" max="3611" width="9.7109375" style="209" customWidth="1"/>
    <col min="3612" max="3840" width="11.42578125" style="209"/>
    <col min="3841" max="3841" width="20.5703125" style="209" customWidth="1"/>
    <col min="3842" max="3842" width="11.28515625" style="209" bestFit="1" customWidth="1"/>
    <col min="3843" max="3843" width="24.85546875" style="209" customWidth="1"/>
    <col min="3844" max="3867" width="9.7109375" style="209" customWidth="1"/>
    <col min="3868" max="4096" width="11.42578125" style="209"/>
    <col min="4097" max="4097" width="20.5703125" style="209" customWidth="1"/>
    <col min="4098" max="4098" width="11.28515625" style="209" bestFit="1" customWidth="1"/>
    <col min="4099" max="4099" width="24.85546875" style="209" customWidth="1"/>
    <col min="4100" max="4123" width="9.7109375" style="209" customWidth="1"/>
    <col min="4124" max="4352" width="11.42578125" style="209"/>
    <col min="4353" max="4353" width="20.5703125" style="209" customWidth="1"/>
    <col min="4354" max="4354" width="11.28515625" style="209" bestFit="1" customWidth="1"/>
    <col min="4355" max="4355" width="24.85546875" style="209" customWidth="1"/>
    <col min="4356" max="4379" width="9.7109375" style="209" customWidth="1"/>
    <col min="4380" max="4608" width="11.42578125" style="209"/>
    <col min="4609" max="4609" width="20.5703125" style="209" customWidth="1"/>
    <col min="4610" max="4610" width="11.28515625" style="209" bestFit="1" customWidth="1"/>
    <col min="4611" max="4611" width="24.85546875" style="209" customWidth="1"/>
    <col min="4612" max="4635" width="9.7109375" style="209" customWidth="1"/>
    <col min="4636" max="4864" width="11.42578125" style="209"/>
    <col min="4865" max="4865" width="20.5703125" style="209" customWidth="1"/>
    <col min="4866" max="4866" width="11.28515625" style="209" bestFit="1" customWidth="1"/>
    <col min="4867" max="4867" width="24.85546875" style="209" customWidth="1"/>
    <col min="4868" max="4891" width="9.7109375" style="209" customWidth="1"/>
    <col min="4892" max="5120" width="11.42578125" style="209"/>
    <col min="5121" max="5121" width="20.5703125" style="209" customWidth="1"/>
    <col min="5122" max="5122" width="11.28515625" style="209" bestFit="1" customWidth="1"/>
    <col min="5123" max="5123" width="24.85546875" style="209" customWidth="1"/>
    <col min="5124" max="5147" width="9.7109375" style="209" customWidth="1"/>
    <col min="5148" max="5376" width="11.42578125" style="209"/>
    <col min="5377" max="5377" width="20.5703125" style="209" customWidth="1"/>
    <col min="5378" max="5378" width="11.28515625" style="209" bestFit="1" customWidth="1"/>
    <col min="5379" max="5379" width="24.85546875" style="209" customWidth="1"/>
    <col min="5380" max="5403" width="9.7109375" style="209" customWidth="1"/>
    <col min="5404" max="5632" width="11.42578125" style="209"/>
    <col min="5633" max="5633" width="20.5703125" style="209" customWidth="1"/>
    <col min="5634" max="5634" width="11.28515625" style="209" bestFit="1" customWidth="1"/>
    <col min="5635" max="5635" width="24.85546875" style="209" customWidth="1"/>
    <col min="5636" max="5659" width="9.7109375" style="209" customWidth="1"/>
    <col min="5660" max="5888" width="11.42578125" style="209"/>
    <col min="5889" max="5889" width="20.5703125" style="209" customWidth="1"/>
    <col min="5890" max="5890" width="11.28515625" style="209" bestFit="1" customWidth="1"/>
    <col min="5891" max="5891" width="24.85546875" style="209" customWidth="1"/>
    <col min="5892" max="5915" width="9.7109375" style="209" customWidth="1"/>
    <col min="5916" max="6144" width="11.42578125" style="209"/>
    <col min="6145" max="6145" width="20.5703125" style="209" customWidth="1"/>
    <col min="6146" max="6146" width="11.28515625" style="209" bestFit="1" customWidth="1"/>
    <col min="6147" max="6147" width="24.85546875" style="209" customWidth="1"/>
    <col min="6148" max="6171" width="9.7109375" style="209" customWidth="1"/>
    <col min="6172" max="6400" width="11.42578125" style="209"/>
    <col min="6401" max="6401" width="20.5703125" style="209" customWidth="1"/>
    <col min="6402" max="6402" width="11.28515625" style="209" bestFit="1" customWidth="1"/>
    <col min="6403" max="6403" width="24.85546875" style="209" customWidth="1"/>
    <col min="6404" max="6427" width="9.7109375" style="209" customWidth="1"/>
    <col min="6428" max="6656" width="11.42578125" style="209"/>
    <col min="6657" max="6657" width="20.5703125" style="209" customWidth="1"/>
    <col min="6658" max="6658" width="11.28515625" style="209" bestFit="1" customWidth="1"/>
    <col min="6659" max="6659" width="24.85546875" style="209" customWidth="1"/>
    <col min="6660" max="6683" width="9.7109375" style="209" customWidth="1"/>
    <col min="6684" max="6912" width="11.42578125" style="209"/>
    <col min="6913" max="6913" width="20.5703125" style="209" customWidth="1"/>
    <col min="6914" max="6914" width="11.28515625" style="209" bestFit="1" customWidth="1"/>
    <col min="6915" max="6915" width="24.85546875" style="209" customWidth="1"/>
    <col min="6916" max="6939" width="9.7109375" style="209" customWidth="1"/>
    <col min="6940" max="7168" width="11.42578125" style="209"/>
    <col min="7169" max="7169" width="20.5703125" style="209" customWidth="1"/>
    <col min="7170" max="7170" width="11.28515625" style="209" bestFit="1" customWidth="1"/>
    <col min="7171" max="7171" width="24.85546875" style="209" customWidth="1"/>
    <col min="7172" max="7195" width="9.7109375" style="209" customWidth="1"/>
    <col min="7196" max="7424" width="11.42578125" style="209"/>
    <col min="7425" max="7425" width="20.5703125" style="209" customWidth="1"/>
    <col min="7426" max="7426" width="11.28515625" style="209" bestFit="1" customWidth="1"/>
    <col min="7427" max="7427" width="24.85546875" style="209" customWidth="1"/>
    <col min="7428" max="7451" width="9.7109375" style="209" customWidth="1"/>
    <col min="7452" max="7680" width="11.42578125" style="209"/>
    <col min="7681" max="7681" width="20.5703125" style="209" customWidth="1"/>
    <col min="7682" max="7682" width="11.28515625" style="209" bestFit="1" customWidth="1"/>
    <col min="7683" max="7683" width="24.85546875" style="209" customWidth="1"/>
    <col min="7684" max="7707" width="9.7109375" style="209" customWidth="1"/>
    <col min="7708" max="7936" width="11.42578125" style="209"/>
    <col min="7937" max="7937" width="20.5703125" style="209" customWidth="1"/>
    <col min="7938" max="7938" width="11.28515625" style="209" bestFit="1" customWidth="1"/>
    <col min="7939" max="7939" width="24.85546875" style="209" customWidth="1"/>
    <col min="7940" max="7963" width="9.7109375" style="209" customWidth="1"/>
    <col min="7964" max="8192" width="11.42578125" style="209"/>
    <col min="8193" max="8193" width="20.5703125" style="209" customWidth="1"/>
    <col min="8194" max="8194" width="11.28515625" style="209" bestFit="1" customWidth="1"/>
    <col min="8195" max="8195" width="24.85546875" style="209" customWidth="1"/>
    <col min="8196" max="8219" width="9.7109375" style="209" customWidth="1"/>
    <col min="8220" max="8448" width="11.42578125" style="209"/>
    <col min="8449" max="8449" width="20.5703125" style="209" customWidth="1"/>
    <col min="8450" max="8450" width="11.28515625" style="209" bestFit="1" customWidth="1"/>
    <col min="8451" max="8451" width="24.85546875" style="209" customWidth="1"/>
    <col min="8452" max="8475" width="9.7109375" style="209" customWidth="1"/>
    <col min="8476" max="8704" width="11.42578125" style="209"/>
    <col min="8705" max="8705" width="20.5703125" style="209" customWidth="1"/>
    <col min="8706" max="8706" width="11.28515625" style="209" bestFit="1" customWidth="1"/>
    <col min="8707" max="8707" width="24.85546875" style="209" customWidth="1"/>
    <col min="8708" max="8731" width="9.7109375" style="209" customWidth="1"/>
    <col min="8732" max="8960" width="11.42578125" style="209"/>
    <col min="8961" max="8961" width="20.5703125" style="209" customWidth="1"/>
    <col min="8962" max="8962" width="11.28515625" style="209" bestFit="1" customWidth="1"/>
    <col min="8963" max="8963" width="24.85546875" style="209" customWidth="1"/>
    <col min="8964" max="8987" width="9.7109375" style="209" customWidth="1"/>
    <col min="8988" max="9216" width="11.42578125" style="209"/>
    <col min="9217" max="9217" width="20.5703125" style="209" customWidth="1"/>
    <col min="9218" max="9218" width="11.28515625" style="209" bestFit="1" customWidth="1"/>
    <col min="9219" max="9219" width="24.85546875" style="209" customWidth="1"/>
    <col min="9220" max="9243" width="9.7109375" style="209" customWidth="1"/>
    <col min="9244" max="9472" width="11.42578125" style="209"/>
    <col min="9473" max="9473" width="20.5703125" style="209" customWidth="1"/>
    <col min="9474" max="9474" width="11.28515625" style="209" bestFit="1" customWidth="1"/>
    <col min="9475" max="9475" width="24.85546875" style="209" customWidth="1"/>
    <col min="9476" max="9499" width="9.7109375" style="209" customWidth="1"/>
    <col min="9500" max="9728" width="11.42578125" style="209"/>
    <col min="9729" max="9729" width="20.5703125" style="209" customWidth="1"/>
    <col min="9730" max="9730" width="11.28515625" style="209" bestFit="1" customWidth="1"/>
    <col min="9731" max="9731" width="24.85546875" style="209" customWidth="1"/>
    <col min="9732" max="9755" width="9.7109375" style="209" customWidth="1"/>
    <col min="9756" max="9984" width="11.42578125" style="209"/>
    <col min="9985" max="9985" width="20.5703125" style="209" customWidth="1"/>
    <col min="9986" max="9986" width="11.28515625" style="209" bestFit="1" customWidth="1"/>
    <col min="9987" max="9987" width="24.85546875" style="209" customWidth="1"/>
    <col min="9988" max="10011" width="9.7109375" style="209" customWidth="1"/>
    <col min="10012" max="10240" width="11.42578125" style="209"/>
    <col min="10241" max="10241" width="20.5703125" style="209" customWidth="1"/>
    <col min="10242" max="10242" width="11.28515625" style="209" bestFit="1" customWidth="1"/>
    <col min="10243" max="10243" width="24.85546875" style="209" customWidth="1"/>
    <col min="10244" max="10267" width="9.7109375" style="209" customWidth="1"/>
    <col min="10268" max="10496" width="11.42578125" style="209"/>
    <col min="10497" max="10497" width="20.5703125" style="209" customWidth="1"/>
    <col min="10498" max="10498" width="11.28515625" style="209" bestFit="1" customWidth="1"/>
    <col min="10499" max="10499" width="24.85546875" style="209" customWidth="1"/>
    <col min="10500" max="10523" width="9.7109375" style="209" customWidth="1"/>
    <col min="10524" max="10752" width="11.42578125" style="209"/>
    <col min="10753" max="10753" width="20.5703125" style="209" customWidth="1"/>
    <col min="10754" max="10754" width="11.28515625" style="209" bestFit="1" customWidth="1"/>
    <col min="10755" max="10755" width="24.85546875" style="209" customWidth="1"/>
    <col min="10756" max="10779" width="9.7109375" style="209" customWidth="1"/>
    <col min="10780" max="11008" width="11.42578125" style="209"/>
    <col min="11009" max="11009" width="20.5703125" style="209" customWidth="1"/>
    <col min="11010" max="11010" width="11.28515625" style="209" bestFit="1" customWidth="1"/>
    <col min="11011" max="11011" width="24.85546875" style="209" customWidth="1"/>
    <col min="11012" max="11035" width="9.7109375" style="209" customWidth="1"/>
    <col min="11036" max="11264" width="11.42578125" style="209"/>
    <col min="11265" max="11265" width="20.5703125" style="209" customWidth="1"/>
    <col min="11266" max="11266" width="11.28515625" style="209" bestFit="1" customWidth="1"/>
    <col min="11267" max="11267" width="24.85546875" style="209" customWidth="1"/>
    <col min="11268" max="11291" width="9.7109375" style="209" customWidth="1"/>
    <col min="11292" max="11520" width="11.42578125" style="209"/>
    <col min="11521" max="11521" width="20.5703125" style="209" customWidth="1"/>
    <col min="11522" max="11522" width="11.28515625" style="209" bestFit="1" customWidth="1"/>
    <col min="11523" max="11523" width="24.85546875" style="209" customWidth="1"/>
    <col min="11524" max="11547" width="9.7109375" style="209" customWidth="1"/>
    <col min="11548" max="11776" width="11.42578125" style="209"/>
    <col min="11777" max="11777" width="20.5703125" style="209" customWidth="1"/>
    <col min="11778" max="11778" width="11.28515625" style="209" bestFit="1" customWidth="1"/>
    <col min="11779" max="11779" width="24.85546875" style="209" customWidth="1"/>
    <col min="11780" max="11803" width="9.7109375" style="209" customWidth="1"/>
    <col min="11804" max="12032" width="11.42578125" style="209"/>
    <col min="12033" max="12033" width="20.5703125" style="209" customWidth="1"/>
    <col min="12034" max="12034" width="11.28515625" style="209" bestFit="1" customWidth="1"/>
    <col min="12035" max="12035" width="24.85546875" style="209" customWidth="1"/>
    <col min="12036" max="12059" width="9.7109375" style="209" customWidth="1"/>
    <col min="12060" max="12288" width="11.42578125" style="209"/>
    <col min="12289" max="12289" width="20.5703125" style="209" customWidth="1"/>
    <col min="12290" max="12290" width="11.28515625" style="209" bestFit="1" customWidth="1"/>
    <col min="12291" max="12291" width="24.85546875" style="209" customWidth="1"/>
    <col min="12292" max="12315" width="9.7109375" style="209" customWidth="1"/>
    <col min="12316" max="12544" width="11.42578125" style="209"/>
    <col min="12545" max="12545" width="20.5703125" style="209" customWidth="1"/>
    <col min="12546" max="12546" width="11.28515625" style="209" bestFit="1" customWidth="1"/>
    <col min="12547" max="12547" width="24.85546875" style="209" customWidth="1"/>
    <col min="12548" max="12571" width="9.7109375" style="209" customWidth="1"/>
    <col min="12572" max="12800" width="11.42578125" style="209"/>
    <col min="12801" max="12801" width="20.5703125" style="209" customWidth="1"/>
    <col min="12802" max="12802" width="11.28515625" style="209" bestFit="1" customWidth="1"/>
    <col min="12803" max="12803" width="24.85546875" style="209" customWidth="1"/>
    <col min="12804" max="12827" width="9.7109375" style="209" customWidth="1"/>
    <col min="12828" max="13056" width="11.42578125" style="209"/>
    <col min="13057" max="13057" width="20.5703125" style="209" customWidth="1"/>
    <col min="13058" max="13058" width="11.28515625" style="209" bestFit="1" customWidth="1"/>
    <col min="13059" max="13059" width="24.85546875" style="209" customWidth="1"/>
    <col min="13060" max="13083" width="9.7109375" style="209" customWidth="1"/>
    <col min="13084" max="13312" width="11.42578125" style="209"/>
    <col min="13313" max="13313" width="20.5703125" style="209" customWidth="1"/>
    <col min="13314" max="13314" width="11.28515625" style="209" bestFit="1" customWidth="1"/>
    <col min="13315" max="13315" width="24.85546875" style="209" customWidth="1"/>
    <col min="13316" max="13339" width="9.7109375" style="209" customWidth="1"/>
    <col min="13340" max="13568" width="11.42578125" style="209"/>
    <col min="13569" max="13569" width="20.5703125" style="209" customWidth="1"/>
    <col min="13570" max="13570" width="11.28515625" style="209" bestFit="1" customWidth="1"/>
    <col min="13571" max="13571" width="24.85546875" style="209" customWidth="1"/>
    <col min="13572" max="13595" width="9.7109375" style="209" customWidth="1"/>
    <col min="13596" max="13824" width="11.42578125" style="209"/>
    <col min="13825" max="13825" width="20.5703125" style="209" customWidth="1"/>
    <col min="13826" max="13826" width="11.28515625" style="209" bestFit="1" customWidth="1"/>
    <col min="13827" max="13827" width="24.85546875" style="209" customWidth="1"/>
    <col min="13828" max="13851" width="9.7109375" style="209" customWidth="1"/>
    <col min="13852" max="14080" width="11.42578125" style="209"/>
    <col min="14081" max="14081" width="20.5703125" style="209" customWidth="1"/>
    <col min="14082" max="14082" width="11.28515625" style="209" bestFit="1" customWidth="1"/>
    <col min="14083" max="14083" width="24.85546875" style="209" customWidth="1"/>
    <col min="14084" max="14107" width="9.7109375" style="209" customWidth="1"/>
    <col min="14108" max="14336" width="11.42578125" style="209"/>
    <col min="14337" max="14337" width="20.5703125" style="209" customWidth="1"/>
    <col min="14338" max="14338" width="11.28515625" style="209" bestFit="1" customWidth="1"/>
    <col min="14339" max="14339" width="24.85546875" style="209" customWidth="1"/>
    <col min="14340" max="14363" width="9.7109375" style="209" customWidth="1"/>
    <col min="14364" max="14592" width="11.42578125" style="209"/>
    <col min="14593" max="14593" width="20.5703125" style="209" customWidth="1"/>
    <col min="14594" max="14594" width="11.28515625" style="209" bestFit="1" customWidth="1"/>
    <col min="14595" max="14595" width="24.85546875" style="209" customWidth="1"/>
    <col min="14596" max="14619" width="9.7109375" style="209" customWidth="1"/>
    <col min="14620" max="14848" width="11.42578125" style="209"/>
    <col min="14849" max="14849" width="20.5703125" style="209" customWidth="1"/>
    <col min="14850" max="14850" width="11.28515625" style="209" bestFit="1" customWidth="1"/>
    <col min="14851" max="14851" width="24.85546875" style="209" customWidth="1"/>
    <col min="14852" max="14875" width="9.7109375" style="209" customWidth="1"/>
    <col min="14876" max="15104" width="11.42578125" style="209"/>
    <col min="15105" max="15105" width="20.5703125" style="209" customWidth="1"/>
    <col min="15106" max="15106" width="11.28515625" style="209" bestFit="1" customWidth="1"/>
    <col min="15107" max="15107" width="24.85546875" style="209" customWidth="1"/>
    <col min="15108" max="15131" width="9.7109375" style="209" customWidth="1"/>
    <col min="15132" max="15360" width="11.42578125" style="209"/>
    <col min="15361" max="15361" width="20.5703125" style="209" customWidth="1"/>
    <col min="15362" max="15362" width="11.28515625" style="209" bestFit="1" customWidth="1"/>
    <col min="15363" max="15363" width="24.85546875" style="209" customWidth="1"/>
    <col min="15364" max="15387" width="9.7109375" style="209" customWidth="1"/>
    <col min="15388" max="15616" width="11.42578125" style="209"/>
    <col min="15617" max="15617" width="20.5703125" style="209" customWidth="1"/>
    <col min="15618" max="15618" width="11.28515625" style="209" bestFit="1" customWidth="1"/>
    <col min="15619" max="15619" width="24.85546875" style="209" customWidth="1"/>
    <col min="15620" max="15643" width="9.7109375" style="209" customWidth="1"/>
    <col min="15644" max="15872" width="11.42578125" style="209"/>
    <col min="15873" max="15873" width="20.5703125" style="209" customWidth="1"/>
    <col min="15874" max="15874" width="11.28515625" style="209" bestFit="1" customWidth="1"/>
    <col min="15875" max="15875" width="24.85546875" style="209" customWidth="1"/>
    <col min="15876" max="15899" width="9.7109375" style="209" customWidth="1"/>
    <col min="15900" max="16128" width="11.42578125" style="209"/>
    <col min="16129" max="16129" width="20.5703125" style="209" customWidth="1"/>
    <col min="16130" max="16130" width="11.28515625" style="209" bestFit="1" customWidth="1"/>
    <col min="16131" max="16131" width="24.85546875" style="209" customWidth="1"/>
    <col min="16132" max="16155" width="9.7109375" style="209" customWidth="1"/>
    <col min="16156" max="16384" width="11.42578125" style="209"/>
  </cols>
  <sheetData>
    <row r="1" spans="2:27" ht="15.75" x14ac:dyDescent="0.2">
      <c r="B1" s="588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2:27" ht="18" x14ac:dyDescent="0.2">
      <c r="B2" s="191" t="s">
        <v>352</v>
      </c>
      <c r="C2" s="215"/>
      <c r="D2" s="215"/>
      <c r="E2" s="215"/>
      <c r="F2" s="215"/>
      <c r="G2" s="636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</row>
    <row r="3" spans="2:27" ht="18" x14ac:dyDescent="0.2">
      <c r="B3" s="191" t="s">
        <v>337</v>
      </c>
      <c r="C3" s="657"/>
      <c r="D3" s="657"/>
      <c r="E3" s="657"/>
      <c r="F3" s="657"/>
      <c r="G3" s="657"/>
      <c r="H3" s="657"/>
      <c r="I3" s="657"/>
      <c r="J3" s="657"/>
      <c r="K3" s="657"/>
      <c r="L3" s="657"/>
      <c r="M3" s="657"/>
      <c r="N3" s="657"/>
      <c r="O3" s="657"/>
      <c r="P3" s="657"/>
      <c r="Q3" s="657"/>
      <c r="R3" s="657"/>
      <c r="S3" s="657"/>
      <c r="T3" s="657"/>
      <c r="U3" s="657"/>
      <c r="V3" s="657"/>
      <c r="W3" s="657"/>
      <c r="X3" s="657"/>
    </row>
    <row r="4" spans="2:27" ht="18" customHeight="1" x14ac:dyDescent="0.2"/>
    <row r="5" spans="2:27" ht="13.5" customHeight="1" x14ac:dyDescent="0.2">
      <c r="B5" s="5528" t="s">
        <v>164</v>
      </c>
      <c r="C5" s="5510" t="s">
        <v>25</v>
      </c>
      <c r="D5" s="5498" t="s">
        <v>156</v>
      </c>
      <c r="E5" s="5498" t="s">
        <v>154</v>
      </c>
      <c r="F5" s="5498" t="s">
        <v>155</v>
      </c>
      <c r="G5" s="5498" t="s">
        <v>73</v>
      </c>
      <c r="H5" s="5498" t="s">
        <v>71</v>
      </c>
      <c r="I5" s="5511" t="s">
        <v>70</v>
      </c>
      <c r="J5" s="5498" t="s">
        <v>72</v>
      </c>
      <c r="K5" s="5498" t="s">
        <v>24</v>
      </c>
      <c r="L5" s="5498" t="s">
        <v>23</v>
      </c>
      <c r="M5" s="5498" t="s">
        <v>69</v>
      </c>
      <c r="N5" s="5498" t="s">
        <v>59</v>
      </c>
      <c r="O5" s="5511" t="s">
        <v>21</v>
      </c>
      <c r="P5" s="5498" t="s">
        <v>22</v>
      </c>
      <c r="Q5" s="5498" t="s">
        <v>17</v>
      </c>
      <c r="R5" s="5498" t="s">
        <v>18</v>
      </c>
      <c r="S5" s="5498" t="s">
        <v>150</v>
      </c>
      <c r="T5" s="5498" t="s">
        <v>148</v>
      </c>
      <c r="U5" s="5498" t="s">
        <v>149</v>
      </c>
      <c r="V5" s="5498" t="s">
        <v>325</v>
      </c>
      <c r="W5" s="5499" t="s">
        <v>324</v>
      </c>
      <c r="X5" s="5499" t="s">
        <v>323</v>
      </c>
      <c r="Y5" s="5498" t="s">
        <v>338</v>
      </c>
      <c r="Z5" s="5499" t="s">
        <v>335</v>
      </c>
      <c r="AA5" s="5499" t="s">
        <v>336</v>
      </c>
    </row>
    <row r="6" spans="2:27" x14ac:dyDescent="0.2">
      <c r="B6" s="5529"/>
      <c r="C6" s="5510"/>
      <c r="D6" s="5498"/>
      <c r="E6" s="5498"/>
      <c r="F6" s="5498"/>
      <c r="G6" s="5498"/>
      <c r="H6" s="5498"/>
      <c r="I6" s="5511"/>
      <c r="J6" s="5498"/>
      <c r="K6" s="5498"/>
      <c r="L6" s="5498"/>
      <c r="M6" s="5498"/>
      <c r="N6" s="5498"/>
      <c r="O6" s="5511"/>
      <c r="P6" s="5498"/>
      <c r="Q6" s="5498"/>
      <c r="R6" s="5498"/>
      <c r="S6" s="5498"/>
      <c r="T6" s="5498"/>
      <c r="U6" s="5498"/>
      <c r="V6" s="5498"/>
      <c r="W6" s="5525"/>
      <c r="X6" s="5525"/>
      <c r="Y6" s="5498"/>
      <c r="Z6" s="5525"/>
      <c r="AA6" s="5525"/>
    </row>
    <row r="7" spans="2:27" ht="12.75" customHeight="1" x14ac:dyDescent="0.2">
      <c r="C7" s="209"/>
      <c r="D7" s="209"/>
      <c r="E7" s="209"/>
      <c r="F7" s="209"/>
    </row>
    <row r="8" spans="2:27" ht="12.75" customHeight="1" x14ac:dyDescent="0.2">
      <c r="B8" s="5516" t="s">
        <v>5</v>
      </c>
      <c r="C8" s="402" t="s">
        <v>26</v>
      </c>
      <c r="D8" s="403"/>
      <c r="E8" s="404"/>
      <c r="F8" s="404"/>
      <c r="G8" s="403"/>
      <c r="H8" s="404"/>
      <c r="I8" s="404"/>
      <c r="J8" s="403"/>
      <c r="K8" s="404"/>
      <c r="L8" s="405"/>
      <c r="M8" s="403"/>
      <c r="N8" s="404"/>
      <c r="O8" s="404"/>
      <c r="P8" s="403"/>
      <c r="Q8" s="404"/>
      <c r="R8" s="405"/>
      <c r="S8" s="403"/>
      <c r="T8" s="404"/>
      <c r="U8" s="405"/>
      <c r="V8" s="403"/>
      <c r="W8" s="404"/>
      <c r="X8" s="405"/>
      <c r="Y8" s="403"/>
      <c r="Z8" s="404"/>
      <c r="AA8" s="405"/>
    </row>
    <row r="9" spans="2:27" ht="12.75" customHeight="1" x14ac:dyDescent="0.2">
      <c r="B9" s="5517"/>
      <c r="C9" s="218" t="s">
        <v>27</v>
      </c>
      <c r="D9" s="219">
        <v>87</v>
      </c>
      <c r="E9" s="220">
        <v>85</v>
      </c>
      <c r="F9" s="220">
        <v>71</v>
      </c>
      <c r="G9" s="219">
        <v>85</v>
      </c>
      <c r="H9" s="220">
        <v>76</v>
      </c>
      <c r="I9" s="220">
        <v>72</v>
      </c>
      <c r="J9" s="219">
        <v>80</v>
      </c>
      <c r="K9" s="220">
        <v>88</v>
      </c>
      <c r="L9" s="221">
        <v>69</v>
      </c>
      <c r="M9" s="219">
        <v>90</v>
      </c>
      <c r="N9" s="220">
        <v>96</v>
      </c>
      <c r="O9" s="220">
        <v>83</v>
      </c>
      <c r="P9" s="219">
        <v>91</v>
      </c>
      <c r="Q9" s="220">
        <v>79</v>
      </c>
      <c r="R9" s="221">
        <v>60</v>
      </c>
      <c r="S9" s="219">
        <v>47</v>
      </c>
      <c r="T9" s="220">
        <v>45</v>
      </c>
      <c r="U9" s="221">
        <v>27</v>
      </c>
      <c r="V9" s="219">
        <v>56</v>
      </c>
      <c r="W9" s="220">
        <v>55</v>
      </c>
      <c r="X9" s="221">
        <v>55</v>
      </c>
      <c r="Y9" s="219">
        <v>84</v>
      </c>
      <c r="Z9" s="220">
        <v>94</v>
      </c>
      <c r="AA9" s="221">
        <v>83</v>
      </c>
    </row>
    <row r="10" spans="2:27" s="222" customFormat="1" ht="12.75" customHeight="1" x14ac:dyDescent="0.2">
      <c r="B10" s="5517"/>
      <c r="C10" s="218" t="s">
        <v>28</v>
      </c>
      <c r="D10" s="219">
        <v>20</v>
      </c>
      <c r="E10" s="220">
        <v>18</v>
      </c>
      <c r="F10" s="220">
        <v>20</v>
      </c>
      <c r="G10" s="219">
        <v>24</v>
      </c>
      <c r="H10" s="220">
        <v>23</v>
      </c>
      <c r="I10" s="220">
        <v>27</v>
      </c>
      <c r="J10" s="219">
        <v>27</v>
      </c>
      <c r="K10" s="220">
        <v>27</v>
      </c>
      <c r="L10" s="221">
        <v>19</v>
      </c>
      <c r="M10" s="219">
        <v>21</v>
      </c>
      <c r="N10" s="220">
        <v>20</v>
      </c>
      <c r="O10" s="220">
        <v>20</v>
      </c>
      <c r="P10" s="219">
        <v>22</v>
      </c>
      <c r="Q10" s="220">
        <v>27</v>
      </c>
      <c r="R10" s="221">
        <v>31</v>
      </c>
      <c r="S10" s="219">
        <v>34</v>
      </c>
      <c r="T10" s="220">
        <v>35</v>
      </c>
      <c r="U10" s="221">
        <v>38</v>
      </c>
      <c r="V10" s="219">
        <v>36</v>
      </c>
      <c r="W10" s="220">
        <v>37</v>
      </c>
      <c r="X10" s="221">
        <v>36</v>
      </c>
      <c r="Y10" s="219">
        <v>36</v>
      </c>
      <c r="Z10" s="220">
        <v>33</v>
      </c>
      <c r="AA10" s="221">
        <v>31</v>
      </c>
    </row>
    <row r="11" spans="2:27" s="222" customFormat="1" ht="12.75" customHeight="1" x14ac:dyDescent="0.2">
      <c r="B11" s="5518"/>
      <c r="C11" s="667" t="s">
        <v>13</v>
      </c>
      <c r="D11" s="647">
        <f>SUM(D8:D10)</f>
        <v>107</v>
      </c>
      <c r="E11" s="648">
        <f>SUM(E8:E10)</f>
        <v>103</v>
      </c>
      <c r="F11" s="648">
        <f>SUM(F8:F10)</f>
        <v>91</v>
      </c>
      <c r="G11" s="647">
        <f t="shared" ref="G11:R11" si="0">SUM(G8:G10)</f>
        <v>109</v>
      </c>
      <c r="H11" s="648">
        <f t="shared" si="0"/>
        <v>99</v>
      </c>
      <c r="I11" s="648">
        <f t="shared" si="0"/>
        <v>99</v>
      </c>
      <c r="J11" s="647">
        <f t="shared" si="0"/>
        <v>107</v>
      </c>
      <c r="K11" s="648">
        <f t="shared" si="0"/>
        <v>115</v>
      </c>
      <c r="L11" s="649">
        <f t="shared" si="0"/>
        <v>88</v>
      </c>
      <c r="M11" s="647">
        <f t="shared" si="0"/>
        <v>111</v>
      </c>
      <c r="N11" s="648">
        <f t="shared" si="0"/>
        <v>116</v>
      </c>
      <c r="O11" s="648">
        <f t="shared" si="0"/>
        <v>103</v>
      </c>
      <c r="P11" s="647">
        <f t="shared" si="0"/>
        <v>113</v>
      </c>
      <c r="Q11" s="648">
        <f t="shared" si="0"/>
        <v>106</v>
      </c>
      <c r="R11" s="649">
        <f t="shared" si="0"/>
        <v>91</v>
      </c>
      <c r="S11" s="647">
        <v>81</v>
      </c>
      <c r="T11" s="648">
        <v>80</v>
      </c>
      <c r="U11" s="649">
        <v>65</v>
      </c>
      <c r="V11" s="647">
        <f t="shared" ref="V11:AA11" si="1">SUM(V8:V10)</f>
        <v>92</v>
      </c>
      <c r="W11" s="648">
        <f t="shared" si="1"/>
        <v>92</v>
      </c>
      <c r="X11" s="649">
        <f t="shared" si="1"/>
        <v>91</v>
      </c>
      <c r="Y11" s="647">
        <f t="shared" si="1"/>
        <v>120</v>
      </c>
      <c r="Z11" s="648">
        <f t="shared" si="1"/>
        <v>127</v>
      </c>
      <c r="AA11" s="649">
        <f t="shared" si="1"/>
        <v>114</v>
      </c>
    </row>
    <row r="12" spans="2:27" ht="12.75" customHeight="1" x14ac:dyDescent="0.2">
      <c r="B12" s="5517" t="s">
        <v>6</v>
      </c>
      <c r="C12" s="218" t="s">
        <v>26</v>
      </c>
      <c r="D12" s="219">
        <v>14</v>
      </c>
      <c r="E12" s="220">
        <v>13</v>
      </c>
      <c r="F12" s="220">
        <v>4</v>
      </c>
      <c r="G12" s="219">
        <v>26</v>
      </c>
      <c r="H12" s="220">
        <v>24</v>
      </c>
      <c r="I12" s="220">
        <v>2</v>
      </c>
      <c r="J12" s="219">
        <v>35</v>
      </c>
      <c r="K12" s="220">
        <v>32</v>
      </c>
      <c r="L12" s="221">
        <v>0</v>
      </c>
      <c r="M12" s="219">
        <v>25</v>
      </c>
      <c r="N12" s="220">
        <v>28</v>
      </c>
      <c r="O12" s="220">
        <v>0</v>
      </c>
      <c r="P12" s="219">
        <v>29</v>
      </c>
      <c r="Q12" s="220">
        <v>32</v>
      </c>
      <c r="R12" s="221"/>
      <c r="S12" s="219">
        <v>26</v>
      </c>
      <c r="T12" s="220">
        <v>26</v>
      </c>
      <c r="U12" s="221">
        <v>3</v>
      </c>
      <c r="V12" s="219">
        <v>31</v>
      </c>
      <c r="W12" s="220">
        <v>27</v>
      </c>
      <c r="X12" s="221">
        <v>1</v>
      </c>
      <c r="Y12" s="219">
        <v>14</v>
      </c>
      <c r="Z12" s="220">
        <v>15</v>
      </c>
      <c r="AA12" s="221">
        <v>1</v>
      </c>
    </row>
    <row r="13" spans="2:27" ht="12.75" customHeight="1" x14ac:dyDescent="0.2">
      <c r="B13" s="5517"/>
      <c r="C13" s="218" t="s">
        <v>27</v>
      </c>
      <c r="D13" s="219">
        <v>51</v>
      </c>
      <c r="E13" s="220">
        <v>48</v>
      </c>
      <c r="F13" s="220">
        <v>26</v>
      </c>
      <c r="G13" s="219">
        <v>20</v>
      </c>
      <c r="H13" s="220">
        <v>29</v>
      </c>
      <c r="I13" s="220">
        <v>19</v>
      </c>
      <c r="J13" s="219">
        <v>37</v>
      </c>
      <c r="K13" s="220">
        <v>43</v>
      </c>
      <c r="L13" s="221">
        <v>41</v>
      </c>
      <c r="M13" s="219">
        <v>43</v>
      </c>
      <c r="N13" s="220">
        <v>59</v>
      </c>
      <c r="O13" s="220">
        <v>43</v>
      </c>
      <c r="P13" s="219">
        <v>41</v>
      </c>
      <c r="Q13" s="220">
        <v>49</v>
      </c>
      <c r="R13" s="221">
        <v>45</v>
      </c>
      <c r="S13" s="219">
        <v>64</v>
      </c>
      <c r="T13" s="220">
        <v>88</v>
      </c>
      <c r="U13" s="221">
        <v>98</v>
      </c>
      <c r="V13" s="219">
        <v>54</v>
      </c>
      <c r="W13" s="220">
        <v>56</v>
      </c>
      <c r="X13" s="221">
        <v>53</v>
      </c>
      <c r="Y13" s="219">
        <v>75</v>
      </c>
      <c r="Z13" s="220">
        <v>65</v>
      </c>
      <c r="AA13" s="221">
        <v>89</v>
      </c>
    </row>
    <row r="14" spans="2:27" ht="12.75" customHeight="1" x14ac:dyDescent="0.2">
      <c r="B14" s="5517"/>
      <c r="C14" s="218" t="s">
        <v>28</v>
      </c>
      <c r="D14" s="219">
        <v>6</v>
      </c>
      <c r="E14" s="220">
        <v>0</v>
      </c>
      <c r="F14" s="220">
        <v>0</v>
      </c>
      <c r="G14" s="219">
        <v>0</v>
      </c>
      <c r="H14" s="220">
        <v>5</v>
      </c>
      <c r="I14" s="220">
        <v>4</v>
      </c>
      <c r="J14" s="219">
        <v>1</v>
      </c>
      <c r="K14" s="220">
        <v>0</v>
      </c>
      <c r="L14" s="221">
        <v>5</v>
      </c>
      <c r="M14" s="219">
        <v>12</v>
      </c>
      <c r="N14" s="220">
        <v>12</v>
      </c>
      <c r="O14" s="220">
        <v>14</v>
      </c>
      <c r="P14" s="219">
        <v>17</v>
      </c>
      <c r="Q14" s="220">
        <v>8</v>
      </c>
      <c r="R14" s="221">
        <v>31</v>
      </c>
      <c r="S14" s="219">
        <v>21</v>
      </c>
      <c r="T14" s="220">
        <v>21</v>
      </c>
      <c r="U14" s="221">
        <v>31</v>
      </c>
      <c r="V14" s="219">
        <v>25</v>
      </c>
      <c r="W14" s="220">
        <v>26</v>
      </c>
      <c r="X14" s="221">
        <v>54</v>
      </c>
      <c r="Y14" s="219">
        <v>29</v>
      </c>
      <c r="Z14" s="220">
        <v>33</v>
      </c>
      <c r="AA14" s="221">
        <v>69</v>
      </c>
    </row>
    <row r="15" spans="2:27" s="222" customFormat="1" ht="12.75" customHeight="1" x14ac:dyDescent="0.2">
      <c r="B15" s="5518"/>
      <c r="C15" s="667" t="s">
        <v>14</v>
      </c>
      <c r="D15" s="647">
        <f>SUM(D12:D14)</f>
        <v>71</v>
      </c>
      <c r="E15" s="648">
        <f>SUM(E12:E14)</f>
        <v>61</v>
      </c>
      <c r="F15" s="648">
        <f>SUM(F12:F14)</f>
        <v>30</v>
      </c>
      <c r="G15" s="647">
        <f t="shared" ref="G15:R15" si="2">SUM(G12:G14)</f>
        <v>46</v>
      </c>
      <c r="H15" s="648">
        <f t="shared" si="2"/>
        <v>58</v>
      </c>
      <c r="I15" s="648">
        <f t="shared" si="2"/>
        <v>25</v>
      </c>
      <c r="J15" s="647">
        <f t="shared" si="2"/>
        <v>73</v>
      </c>
      <c r="K15" s="648">
        <f t="shared" si="2"/>
        <v>75</v>
      </c>
      <c r="L15" s="649">
        <f t="shared" si="2"/>
        <v>46</v>
      </c>
      <c r="M15" s="647">
        <f t="shared" si="2"/>
        <v>80</v>
      </c>
      <c r="N15" s="648">
        <f t="shared" si="2"/>
        <v>99</v>
      </c>
      <c r="O15" s="648">
        <f t="shared" si="2"/>
        <v>57</v>
      </c>
      <c r="P15" s="647">
        <f t="shared" si="2"/>
        <v>87</v>
      </c>
      <c r="Q15" s="648">
        <f t="shared" si="2"/>
        <v>89</v>
      </c>
      <c r="R15" s="649">
        <f t="shared" si="2"/>
        <v>76</v>
      </c>
      <c r="S15" s="647">
        <v>111</v>
      </c>
      <c r="T15" s="648">
        <v>135</v>
      </c>
      <c r="U15" s="649">
        <v>132</v>
      </c>
      <c r="V15" s="647">
        <f t="shared" ref="V15:AA15" si="3">SUM(V12:V14)</f>
        <v>110</v>
      </c>
      <c r="W15" s="648">
        <f t="shared" si="3"/>
        <v>109</v>
      </c>
      <c r="X15" s="649">
        <f t="shared" si="3"/>
        <v>108</v>
      </c>
      <c r="Y15" s="647">
        <f t="shared" si="3"/>
        <v>118</v>
      </c>
      <c r="Z15" s="648">
        <f t="shared" si="3"/>
        <v>113</v>
      </c>
      <c r="AA15" s="649">
        <f t="shared" si="3"/>
        <v>159</v>
      </c>
    </row>
    <row r="16" spans="2:27" ht="12.75" customHeight="1" x14ac:dyDescent="0.2">
      <c r="B16" s="5517" t="s">
        <v>7</v>
      </c>
      <c r="C16" s="218" t="s">
        <v>26</v>
      </c>
      <c r="D16" s="219">
        <v>29</v>
      </c>
      <c r="E16" s="220">
        <v>28</v>
      </c>
      <c r="F16" s="220">
        <v>9</v>
      </c>
      <c r="G16" s="219">
        <v>16</v>
      </c>
      <c r="H16" s="220">
        <v>13</v>
      </c>
      <c r="I16" s="220">
        <v>4</v>
      </c>
      <c r="J16" s="219">
        <v>16</v>
      </c>
      <c r="K16" s="220">
        <v>14</v>
      </c>
      <c r="L16" s="221">
        <v>2</v>
      </c>
      <c r="M16" s="219">
        <v>8</v>
      </c>
      <c r="N16" s="220">
        <v>7</v>
      </c>
      <c r="O16" s="220">
        <v>2</v>
      </c>
      <c r="P16" s="219">
        <v>36</v>
      </c>
      <c r="Q16" s="220">
        <v>17</v>
      </c>
      <c r="R16" s="221"/>
      <c r="S16" s="219">
        <v>16</v>
      </c>
      <c r="T16" s="220">
        <v>11</v>
      </c>
      <c r="U16" s="221">
        <v>1</v>
      </c>
      <c r="V16" s="219">
        <v>9</v>
      </c>
      <c r="W16" s="220">
        <v>10</v>
      </c>
      <c r="X16" s="221">
        <v>1</v>
      </c>
      <c r="Y16" s="219">
        <v>17</v>
      </c>
      <c r="Z16" s="220">
        <v>12</v>
      </c>
      <c r="AA16" s="221">
        <v>5</v>
      </c>
    </row>
    <row r="17" spans="2:27" ht="12.75" customHeight="1" x14ac:dyDescent="0.2">
      <c r="B17" s="5517"/>
      <c r="C17" s="218" t="s">
        <v>27</v>
      </c>
      <c r="D17" s="219">
        <v>26</v>
      </c>
      <c r="E17" s="220">
        <v>21</v>
      </c>
      <c r="F17" s="220">
        <v>8</v>
      </c>
      <c r="G17" s="219">
        <v>26</v>
      </c>
      <c r="H17" s="220">
        <v>21</v>
      </c>
      <c r="I17" s="220">
        <v>20</v>
      </c>
      <c r="J17" s="219">
        <v>25</v>
      </c>
      <c r="K17" s="220">
        <v>22</v>
      </c>
      <c r="L17" s="221">
        <v>7</v>
      </c>
      <c r="M17" s="219">
        <v>34</v>
      </c>
      <c r="N17" s="220">
        <v>22</v>
      </c>
      <c r="O17" s="220">
        <v>18</v>
      </c>
      <c r="P17" s="219">
        <v>23</v>
      </c>
      <c r="Q17" s="220">
        <v>37</v>
      </c>
      <c r="R17" s="221">
        <v>23</v>
      </c>
      <c r="S17" s="219">
        <v>46</v>
      </c>
      <c r="T17" s="220">
        <v>42</v>
      </c>
      <c r="U17" s="221">
        <v>28</v>
      </c>
      <c r="V17" s="219">
        <v>72</v>
      </c>
      <c r="W17" s="220">
        <v>72</v>
      </c>
      <c r="X17" s="221">
        <v>55</v>
      </c>
      <c r="Y17" s="219">
        <v>80</v>
      </c>
      <c r="Z17" s="220">
        <v>75</v>
      </c>
      <c r="AA17" s="221">
        <v>46</v>
      </c>
    </row>
    <row r="18" spans="2:27" ht="12.75" customHeight="1" x14ac:dyDescent="0.2">
      <c r="B18" s="5517"/>
      <c r="C18" s="218" t="s">
        <v>28</v>
      </c>
      <c r="D18" s="219">
        <v>17</v>
      </c>
      <c r="E18" s="220">
        <v>17</v>
      </c>
      <c r="F18" s="220">
        <v>7</v>
      </c>
      <c r="G18" s="219">
        <v>4</v>
      </c>
      <c r="H18" s="220">
        <v>4</v>
      </c>
      <c r="I18" s="220">
        <v>1</v>
      </c>
      <c r="J18" s="219">
        <v>1</v>
      </c>
      <c r="K18" s="220">
        <v>1</v>
      </c>
      <c r="L18" s="221">
        <v>2</v>
      </c>
      <c r="M18" s="219">
        <v>6</v>
      </c>
      <c r="N18" s="220">
        <v>6</v>
      </c>
      <c r="O18" s="220">
        <v>8</v>
      </c>
      <c r="P18" s="219">
        <v>9</v>
      </c>
      <c r="Q18" s="220">
        <v>11</v>
      </c>
      <c r="R18" s="221">
        <v>8</v>
      </c>
      <c r="S18" s="219">
        <v>13</v>
      </c>
      <c r="T18" s="220">
        <v>11</v>
      </c>
      <c r="U18" s="221">
        <v>13</v>
      </c>
      <c r="V18" s="219">
        <v>20</v>
      </c>
      <c r="W18" s="220">
        <v>19</v>
      </c>
      <c r="X18" s="221">
        <v>19</v>
      </c>
      <c r="Y18" s="219">
        <v>32</v>
      </c>
      <c r="Z18" s="220">
        <v>34</v>
      </c>
      <c r="AA18" s="221">
        <v>36</v>
      </c>
    </row>
    <row r="19" spans="2:27" s="222" customFormat="1" ht="12.75" customHeight="1" x14ac:dyDescent="0.2">
      <c r="B19" s="5518"/>
      <c r="C19" s="667" t="s">
        <v>15</v>
      </c>
      <c r="D19" s="647">
        <f>SUM(D16:D18)</f>
        <v>72</v>
      </c>
      <c r="E19" s="648">
        <f>SUM(E16:E18)</f>
        <v>66</v>
      </c>
      <c r="F19" s="648">
        <f>SUM(F16:F18)</f>
        <v>24</v>
      </c>
      <c r="G19" s="647">
        <f t="shared" ref="G19:R19" si="4">SUM(G16:G18)</f>
        <v>46</v>
      </c>
      <c r="H19" s="648">
        <f t="shared" si="4"/>
        <v>38</v>
      </c>
      <c r="I19" s="648">
        <f t="shared" si="4"/>
        <v>25</v>
      </c>
      <c r="J19" s="647">
        <f t="shared" si="4"/>
        <v>42</v>
      </c>
      <c r="K19" s="648">
        <f t="shared" si="4"/>
        <v>37</v>
      </c>
      <c r="L19" s="649">
        <f t="shared" si="4"/>
        <v>11</v>
      </c>
      <c r="M19" s="647">
        <f t="shared" si="4"/>
        <v>48</v>
      </c>
      <c r="N19" s="648">
        <f t="shared" si="4"/>
        <v>35</v>
      </c>
      <c r="O19" s="648">
        <f t="shared" si="4"/>
        <v>28</v>
      </c>
      <c r="P19" s="647">
        <f t="shared" si="4"/>
        <v>68</v>
      </c>
      <c r="Q19" s="648">
        <f t="shared" si="4"/>
        <v>65</v>
      </c>
      <c r="R19" s="649">
        <f t="shared" si="4"/>
        <v>31</v>
      </c>
      <c r="S19" s="647">
        <v>75</v>
      </c>
      <c r="T19" s="648">
        <v>64</v>
      </c>
      <c r="U19" s="649">
        <v>42</v>
      </c>
      <c r="V19" s="647">
        <f t="shared" ref="V19:AA19" si="5">SUM(V16:V18)</f>
        <v>101</v>
      </c>
      <c r="W19" s="648">
        <f t="shared" si="5"/>
        <v>101</v>
      </c>
      <c r="X19" s="649">
        <f t="shared" si="5"/>
        <v>75</v>
      </c>
      <c r="Y19" s="647">
        <f t="shared" si="5"/>
        <v>129</v>
      </c>
      <c r="Z19" s="648">
        <f t="shared" si="5"/>
        <v>121</v>
      </c>
      <c r="AA19" s="649">
        <f t="shared" si="5"/>
        <v>87</v>
      </c>
    </row>
    <row r="20" spans="2:27" ht="12.75" customHeight="1" x14ac:dyDescent="0.2">
      <c r="B20" s="5526" t="s">
        <v>333</v>
      </c>
      <c r="C20" s="218" t="s">
        <v>26</v>
      </c>
      <c r="D20" s="219">
        <f t="shared" ref="D20:R20" si="6">D8+D12+D16</f>
        <v>43</v>
      </c>
      <c r="E20" s="220">
        <f t="shared" si="6"/>
        <v>41</v>
      </c>
      <c r="F20" s="220">
        <f t="shared" si="6"/>
        <v>13</v>
      </c>
      <c r="G20" s="219">
        <f t="shared" si="6"/>
        <v>42</v>
      </c>
      <c r="H20" s="220">
        <f t="shared" si="6"/>
        <v>37</v>
      </c>
      <c r="I20" s="220">
        <f t="shared" si="6"/>
        <v>6</v>
      </c>
      <c r="J20" s="219">
        <f t="shared" si="6"/>
        <v>51</v>
      </c>
      <c r="K20" s="220">
        <f t="shared" si="6"/>
        <v>46</v>
      </c>
      <c r="L20" s="221">
        <f t="shared" si="6"/>
        <v>2</v>
      </c>
      <c r="M20" s="219">
        <f t="shared" si="6"/>
        <v>33</v>
      </c>
      <c r="N20" s="220">
        <f t="shared" si="6"/>
        <v>35</v>
      </c>
      <c r="O20" s="220">
        <f t="shared" si="6"/>
        <v>2</v>
      </c>
      <c r="P20" s="219">
        <f t="shared" si="6"/>
        <v>65</v>
      </c>
      <c r="Q20" s="220">
        <f t="shared" si="6"/>
        <v>49</v>
      </c>
      <c r="R20" s="221">
        <f t="shared" si="6"/>
        <v>0</v>
      </c>
      <c r="S20" s="219">
        <v>42</v>
      </c>
      <c r="T20" s="220">
        <v>37</v>
      </c>
      <c r="U20" s="221">
        <v>4</v>
      </c>
      <c r="V20" s="219">
        <f t="shared" ref="V20:AA23" si="7">V8+V12+V16</f>
        <v>40</v>
      </c>
      <c r="W20" s="220">
        <f t="shared" si="7"/>
        <v>37</v>
      </c>
      <c r="X20" s="221">
        <f t="shared" si="7"/>
        <v>2</v>
      </c>
      <c r="Y20" s="219">
        <f t="shared" si="7"/>
        <v>31</v>
      </c>
      <c r="Z20" s="220">
        <f t="shared" si="7"/>
        <v>27</v>
      </c>
      <c r="AA20" s="221">
        <f t="shared" si="7"/>
        <v>6</v>
      </c>
    </row>
    <row r="21" spans="2:27" ht="12.75" customHeight="1" x14ac:dyDescent="0.2">
      <c r="B21" s="5526"/>
      <c r="C21" s="218" t="s">
        <v>27</v>
      </c>
      <c r="D21" s="219">
        <f t="shared" ref="D21:R21" si="8">D9+D13+D17</f>
        <v>164</v>
      </c>
      <c r="E21" s="220">
        <f t="shared" si="8"/>
        <v>154</v>
      </c>
      <c r="F21" s="220">
        <f t="shared" si="8"/>
        <v>105</v>
      </c>
      <c r="G21" s="219">
        <f t="shared" si="8"/>
        <v>131</v>
      </c>
      <c r="H21" s="220">
        <f t="shared" si="8"/>
        <v>126</v>
      </c>
      <c r="I21" s="220">
        <f t="shared" si="8"/>
        <v>111</v>
      </c>
      <c r="J21" s="219">
        <f t="shared" si="8"/>
        <v>142</v>
      </c>
      <c r="K21" s="220">
        <f t="shared" si="8"/>
        <v>153</v>
      </c>
      <c r="L21" s="221">
        <f t="shared" si="8"/>
        <v>117</v>
      </c>
      <c r="M21" s="219">
        <f t="shared" si="8"/>
        <v>167</v>
      </c>
      <c r="N21" s="220">
        <f t="shared" si="8"/>
        <v>177</v>
      </c>
      <c r="O21" s="220">
        <f t="shared" si="8"/>
        <v>144</v>
      </c>
      <c r="P21" s="219">
        <f t="shared" si="8"/>
        <v>155</v>
      </c>
      <c r="Q21" s="220">
        <f t="shared" si="8"/>
        <v>165</v>
      </c>
      <c r="R21" s="221">
        <f t="shared" si="8"/>
        <v>128</v>
      </c>
      <c r="S21" s="219">
        <v>157</v>
      </c>
      <c r="T21" s="220">
        <v>175</v>
      </c>
      <c r="U21" s="221">
        <v>153</v>
      </c>
      <c r="V21" s="219">
        <f t="shared" si="7"/>
        <v>182</v>
      </c>
      <c r="W21" s="220">
        <f t="shared" si="7"/>
        <v>183</v>
      </c>
      <c r="X21" s="221">
        <f t="shared" si="7"/>
        <v>163</v>
      </c>
      <c r="Y21" s="219">
        <f t="shared" si="7"/>
        <v>239</v>
      </c>
      <c r="Z21" s="220">
        <f t="shared" si="7"/>
        <v>234</v>
      </c>
      <c r="AA21" s="221">
        <f t="shared" si="7"/>
        <v>218</v>
      </c>
    </row>
    <row r="22" spans="2:27" ht="12.75" customHeight="1" x14ac:dyDescent="0.2">
      <c r="B22" s="5526"/>
      <c r="C22" s="218" t="s">
        <v>28</v>
      </c>
      <c r="D22" s="219">
        <f t="shared" ref="D22:R22" si="9">D10+D14+D18</f>
        <v>43</v>
      </c>
      <c r="E22" s="220">
        <f t="shared" si="9"/>
        <v>35</v>
      </c>
      <c r="F22" s="220">
        <f t="shared" si="9"/>
        <v>27</v>
      </c>
      <c r="G22" s="219">
        <f t="shared" si="9"/>
        <v>28</v>
      </c>
      <c r="H22" s="220">
        <f t="shared" si="9"/>
        <v>32</v>
      </c>
      <c r="I22" s="220">
        <f t="shared" si="9"/>
        <v>32</v>
      </c>
      <c r="J22" s="219">
        <f t="shared" si="9"/>
        <v>29</v>
      </c>
      <c r="K22" s="220">
        <f t="shared" si="9"/>
        <v>28</v>
      </c>
      <c r="L22" s="221">
        <f t="shared" si="9"/>
        <v>26</v>
      </c>
      <c r="M22" s="219">
        <f t="shared" si="9"/>
        <v>39</v>
      </c>
      <c r="N22" s="220">
        <f t="shared" si="9"/>
        <v>38</v>
      </c>
      <c r="O22" s="220">
        <f t="shared" si="9"/>
        <v>42</v>
      </c>
      <c r="P22" s="219">
        <f t="shared" si="9"/>
        <v>48</v>
      </c>
      <c r="Q22" s="220">
        <f t="shared" si="9"/>
        <v>46</v>
      </c>
      <c r="R22" s="221">
        <f t="shared" si="9"/>
        <v>70</v>
      </c>
      <c r="S22" s="219">
        <v>68</v>
      </c>
      <c r="T22" s="220">
        <v>67</v>
      </c>
      <c r="U22" s="221">
        <v>82</v>
      </c>
      <c r="V22" s="219">
        <f t="shared" si="7"/>
        <v>81</v>
      </c>
      <c r="W22" s="220">
        <f t="shared" si="7"/>
        <v>82</v>
      </c>
      <c r="X22" s="221">
        <f t="shared" si="7"/>
        <v>109</v>
      </c>
      <c r="Y22" s="219">
        <f t="shared" si="7"/>
        <v>97</v>
      </c>
      <c r="Z22" s="220">
        <f t="shared" si="7"/>
        <v>100</v>
      </c>
      <c r="AA22" s="221">
        <f t="shared" si="7"/>
        <v>136</v>
      </c>
    </row>
    <row r="23" spans="2:27" s="224" customFormat="1" ht="12.75" customHeight="1" x14ac:dyDescent="0.2">
      <c r="B23" s="5527"/>
      <c r="C23" s="637" t="s">
        <v>12</v>
      </c>
      <c r="D23" s="662">
        <f>D20+D21+D22</f>
        <v>250</v>
      </c>
      <c r="E23" s="663">
        <f>E20+E21+E22</f>
        <v>230</v>
      </c>
      <c r="F23" s="663">
        <f>F20+F21+F22</f>
        <v>145</v>
      </c>
      <c r="G23" s="662">
        <f t="shared" ref="G23:R23" si="10">G20+G21+G22</f>
        <v>201</v>
      </c>
      <c r="H23" s="663">
        <f t="shared" si="10"/>
        <v>195</v>
      </c>
      <c r="I23" s="663">
        <f t="shared" si="10"/>
        <v>149</v>
      </c>
      <c r="J23" s="662">
        <f t="shared" si="10"/>
        <v>222</v>
      </c>
      <c r="K23" s="663">
        <f t="shared" si="10"/>
        <v>227</v>
      </c>
      <c r="L23" s="664">
        <f t="shared" si="10"/>
        <v>145</v>
      </c>
      <c r="M23" s="662">
        <f t="shared" si="10"/>
        <v>239</v>
      </c>
      <c r="N23" s="663">
        <f t="shared" si="10"/>
        <v>250</v>
      </c>
      <c r="O23" s="663">
        <f t="shared" si="10"/>
        <v>188</v>
      </c>
      <c r="P23" s="662">
        <f t="shared" si="10"/>
        <v>268</v>
      </c>
      <c r="Q23" s="663">
        <f t="shared" si="10"/>
        <v>260</v>
      </c>
      <c r="R23" s="664">
        <f t="shared" si="10"/>
        <v>198</v>
      </c>
      <c r="S23" s="662">
        <v>267</v>
      </c>
      <c r="T23" s="663">
        <v>279</v>
      </c>
      <c r="U23" s="664">
        <v>239</v>
      </c>
      <c r="V23" s="642">
        <f t="shared" si="7"/>
        <v>303</v>
      </c>
      <c r="W23" s="643">
        <f t="shared" si="7"/>
        <v>302</v>
      </c>
      <c r="X23" s="644">
        <f t="shared" si="7"/>
        <v>274</v>
      </c>
      <c r="Y23" s="642">
        <f t="shared" si="7"/>
        <v>367</v>
      </c>
      <c r="Z23" s="643">
        <f t="shared" si="7"/>
        <v>361</v>
      </c>
      <c r="AA23" s="644">
        <f t="shared" si="7"/>
        <v>360</v>
      </c>
    </row>
    <row r="24" spans="2:27" x14ac:dyDescent="0.2">
      <c r="C24" s="209"/>
      <c r="D24" s="209"/>
      <c r="E24" s="209"/>
      <c r="F24" s="209"/>
    </row>
    <row r="25" spans="2:27" x14ac:dyDescent="0.2">
      <c r="B25" s="5516" t="s">
        <v>5</v>
      </c>
      <c r="C25" s="402" t="s">
        <v>26</v>
      </c>
      <c r="D25" s="403"/>
      <c r="E25" s="404"/>
      <c r="F25" s="404"/>
      <c r="G25" s="403"/>
      <c r="H25" s="404"/>
      <c r="I25" s="404"/>
      <c r="J25" s="403"/>
      <c r="K25" s="404"/>
      <c r="L25" s="405"/>
      <c r="M25" s="403"/>
      <c r="N25" s="404"/>
      <c r="O25" s="404"/>
      <c r="P25" s="403"/>
      <c r="Q25" s="404"/>
      <c r="R25" s="405"/>
      <c r="S25" s="403"/>
      <c r="T25" s="404"/>
      <c r="U25" s="405"/>
      <c r="V25" s="403"/>
      <c r="W25" s="404"/>
      <c r="X25" s="405"/>
      <c r="Y25" s="403"/>
      <c r="Z25" s="404"/>
      <c r="AA25" s="405"/>
    </row>
    <row r="26" spans="2:27" x14ac:dyDescent="0.2">
      <c r="B26" s="5517"/>
      <c r="C26" s="218" t="s">
        <v>27</v>
      </c>
      <c r="D26" s="219">
        <v>50</v>
      </c>
      <c r="E26" s="220">
        <v>46</v>
      </c>
      <c r="F26" s="220">
        <v>49</v>
      </c>
      <c r="G26" s="219">
        <v>61</v>
      </c>
      <c r="H26" s="220">
        <v>60</v>
      </c>
      <c r="I26" s="220">
        <v>65</v>
      </c>
      <c r="J26" s="219">
        <v>80</v>
      </c>
      <c r="K26" s="220">
        <v>84</v>
      </c>
      <c r="L26" s="221">
        <v>86</v>
      </c>
      <c r="M26" s="219">
        <v>115</v>
      </c>
      <c r="N26" s="220">
        <v>116</v>
      </c>
      <c r="O26" s="220">
        <v>119</v>
      </c>
      <c r="P26" s="219">
        <v>194</v>
      </c>
      <c r="Q26" s="220">
        <v>143</v>
      </c>
      <c r="R26" s="221">
        <v>127</v>
      </c>
      <c r="S26" s="219">
        <v>135</v>
      </c>
      <c r="T26" s="220">
        <v>130</v>
      </c>
      <c r="U26" s="221">
        <v>118</v>
      </c>
      <c r="V26" s="219">
        <v>136</v>
      </c>
      <c r="W26" s="220">
        <v>130</v>
      </c>
      <c r="X26" s="221">
        <v>108</v>
      </c>
      <c r="Y26" s="219">
        <v>146</v>
      </c>
      <c r="Z26" s="220">
        <v>147</v>
      </c>
      <c r="AA26" s="221">
        <v>134</v>
      </c>
    </row>
    <row r="27" spans="2:27" x14ac:dyDescent="0.2">
      <c r="B27" s="5517"/>
      <c r="C27" s="218" t="s">
        <v>28</v>
      </c>
      <c r="D27" s="219">
        <v>216</v>
      </c>
      <c r="E27" s="220">
        <v>213</v>
      </c>
      <c r="F27" s="220">
        <v>201</v>
      </c>
      <c r="G27" s="219">
        <v>201</v>
      </c>
      <c r="H27" s="220">
        <v>199</v>
      </c>
      <c r="I27" s="220">
        <v>194</v>
      </c>
      <c r="J27" s="219">
        <v>195</v>
      </c>
      <c r="K27" s="220">
        <v>205</v>
      </c>
      <c r="L27" s="221">
        <v>205</v>
      </c>
      <c r="M27" s="219">
        <v>216</v>
      </c>
      <c r="N27" s="220">
        <v>212</v>
      </c>
      <c r="O27" s="220">
        <v>211</v>
      </c>
      <c r="P27" s="219">
        <v>170</v>
      </c>
      <c r="Q27" s="220">
        <v>206</v>
      </c>
      <c r="R27" s="221">
        <v>194</v>
      </c>
      <c r="S27" s="219">
        <v>196</v>
      </c>
      <c r="T27" s="220">
        <v>186</v>
      </c>
      <c r="U27" s="221">
        <v>180</v>
      </c>
      <c r="V27" s="219">
        <v>188</v>
      </c>
      <c r="W27" s="220">
        <v>187</v>
      </c>
      <c r="X27" s="221">
        <v>187</v>
      </c>
      <c r="Y27" s="219">
        <v>194</v>
      </c>
      <c r="Z27" s="220">
        <v>197</v>
      </c>
      <c r="AA27" s="221">
        <v>193</v>
      </c>
    </row>
    <row r="28" spans="2:27" s="222" customFormat="1" x14ac:dyDescent="0.2">
      <c r="B28" s="5518"/>
      <c r="C28" s="667" t="s">
        <v>13</v>
      </c>
      <c r="D28" s="647">
        <f>SUM(D25:D27)</f>
        <v>266</v>
      </c>
      <c r="E28" s="648">
        <f>SUM(E25:E27)</f>
        <v>259</v>
      </c>
      <c r="F28" s="648">
        <f>SUM(F25:F27)</f>
        <v>250</v>
      </c>
      <c r="G28" s="647">
        <f t="shared" ref="G28:R28" si="11">SUM(G25:G27)</f>
        <v>262</v>
      </c>
      <c r="H28" s="648">
        <f t="shared" si="11"/>
        <v>259</v>
      </c>
      <c r="I28" s="648">
        <f t="shared" si="11"/>
        <v>259</v>
      </c>
      <c r="J28" s="647">
        <f t="shared" si="11"/>
        <v>275</v>
      </c>
      <c r="K28" s="648">
        <f t="shared" si="11"/>
        <v>289</v>
      </c>
      <c r="L28" s="649">
        <f t="shared" si="11"/>
        <v>291</v>
      </c>
      <c r="M28" s="647">
        <f t="shared" si="11"/>
        <v>331</v>
      </c>
      <c r="N28" s="648">
        <f t="shared" si="11"/>
        <v>328</v>
      </c>
      <c r="O28" s="648">
        <f t="shared" si="11"/>
        <v>330</v>
      </c>
      <c r="P28" s="647">
        <f t="shared" si="11"/>
        <v>364</v>
      </c>
      <c r="Q28" s="648">
        <f t="shared" si="11"/>
        <v>349</v>
      </c>
      <c r="R28" s="649">
        <f t="shared" si="11"/>
        <v>321</v>
      </c>
      <c r="S28" s="647">
        <v>331</v>
      </c>
      <c r="T28" s="648">
        <v>316</v>
      </c>
      <c r="U28" s="649">
        <v>298</v>
      </c>
      <c r="V28" s="647">
        <f t="shared" ref="V28:AA28" si="12">SUM(V25:V27)</f>
        <v>324</v>
      </c>
      <c r="W28" s="648">
        <f t="shared" si="12"/>
        <v>317</v>
      </c>
      <c r="X28" s="649">
        <f t="shared" si="12"/>
        <v>295</v>
      </c>
      <c r="Y28" s="647">
        <f t="shared" si="12"/>
        <v>340</v>
      </c>
      <c r="Z28" s="648">
        <f t="shared" si="12"/>
        <v>344</v>
      </c>
      <c r="AA28" s="649">
        <f t="shared" si="12"/>
        <v>327</v>
      </c>
    </row>
    <row r="29" spans="2:27" x14ac:dyDescent="0.2">
      <c r="B29" s="5517" t="s">
        <v>6</v>
      </c>
      <c r="C29" s="218" t="s">
        <v>26</v>
      </c>
      <c r="D29" s="219">
        <v>6</v>
      </c>
      <c r="E29" s="220">
        <v>5</v>
      </c>
      <c r="F29" s="220">
        <v>3</v>
      </c>
      <c r="G29" s="219">
        <v>41</v>
      </c>
      <c r="H29" s="220">
        <v>32</v>
      </c>
      <c r="I29" s="220">
        <v>3</v>
      </c>
      <c r="J29" s="219">
        <v>73</v>
      </c>
      <c r="K29" s="220">
        <v>65</v>
      </c>
      <c r="L29" s="221">
        <v>1</v>
      </c>
      <c r="M29" s="219"/>
      <c r="N29" s="220">
        <v>82</v>
      </c>
      <c r="O29" s="220">
        <v>68</v>
      </c>
      <c r="P29" s="219"/>
      <c r="Q29" s="220">
        <v>81</v>
      </c>
      <c r="R29" s="221">
        <v>81</v>
      </c>
      <c r="S29" s="219">
        <v>1</v>
      </c>
      <c r="T29" s="220">
        <v>89</v>
      </c>
      <c r="U29" s="221">
        <v>85</v>
      </c>
      <c r="V29" s="219"/>
      <c r="W29" s="220"/>
      <c r="X29" s="221">
        <v>100</v>
      </c>
      <c r="Y29" s="219">
        <v>67</v>
      </c>
      <c r="Z29" s="220"/>
      <c r="AA29" s="221"/>
    </row>
    <row r="30" spans="2:27" x14ac:dyDescent="0.2">
      <c r="B30" s="5517"/>
      <c r="C30" s="218" t="s">
        <v>27</v>
      </c>
      <c r="D30" s="219">
        <v>115</v>
      </c>
      <c r="E30" s="220">
        <v>90</v>
      </c>
      <c r="F30" s="220">
        <v>86</v>
      </c>
      <c r="G30" s="219">
        <v>101</v>
      </c>
      <c r="H30" s="220">
        <v>87</v>
      </c>
      <c r="I30" s="220">
        <v>73</v>
      </c>
      <c r="J30" s="219">
        <v>78</v>
      </c>
      <c r="K30" s="220">
        <v>115</v>
      </c>
      <c r="L30" s="221">
        <v>97</v>
      </c>
      <c r="M30" s="219">
        <v>112</v>
      </c>
      <c r="N30" s="220">
        <v>106</v>
      </c>
      <c r="O30" s="220">
        <v>85</v>
      </c>
      <c r="P30" s="219">
        <v>121</v>
      </c>
      <c r="Q30" s="220">
        <v>151</v>
      </c>
      <c r="R30" s="221">
        <v>125</v>
      </c>
      <c r="S30" s="219">
        <v>155</v>
      </c>
      <c r="T30" s="220">
        <v>144</v>
      </c>
      <c r="U30" s="221">
        <v>129</v>
      </c>
      <c r="V30" s="219">
        <v>224</v>
      </c>
      <c r="W30" s="220">
        <v>212</v>
      </c>
      <c r="X30" s="221">
        <v>181</v>
      </c>
      <c r="Y30" s="219">
        <v>201</v>
      </c>
      <c r="Z30" s="220">
        <v>180</v>
      </c>
      <c r="AA30" s="221">
        <v>146</v>
      </c>
    </row>
    <row r="31" spans="2:27" x14ac:dyDescent="0.2">
      <c r="B31" s="5517"/>
      <c r="C31" s="218" t="s">
        <v>28</v>
      </c>
      <c r="D31" s="219">
        <v>224</v>
      </c>
      <c r="E31" s="220">
        <v>221</v>
      </c>
      <c r="F31" s="220">
        <v>186</v>
      </c>
      <c r="G31" s="219">
        <v>198</v>
      </c>
      <c r="H31" s="220">
        <v>182</v>
      </c>
      <c r="I31" s="220">
        <v>177</v>
      </c>
      <c r="J31" s="219">
        <v>201</v>
      </c>
      <c r="K31" s="220">
        <v>194</v>
      </c>
      <c r="L31" s="221">
        <v>169</v>
      </c>
      <c r="M31" s="219">
        <v>184</v>
      </c>
      <c r="N31" s="220">
        <v>185</v>
      </c>
      <c r="O31" s="220">
        <v>155</v>
      </c>
      <c r="P31" s="219">
        <v>155</v>
      </c>
      <c r="Q31" s="220">
        <v>175</v>
      </c>
      <c r="R31" s="221">
        <v>150</v>
      </c>
      <c r="S31" s="219">
        <v>185</v>
      </c>
      <c r="T31" s="220">
        <v>148</v>
      </c>
      <c r="U31" s="221">
        <v>131</v>
      </c>
      <c r="V31" s="219">
        <v>240</v>
      </c>
      <c r="W31" s="220">
        <v>221</v>
      </c>
      <c r="X31" s="221">
        <v>217</v>
      </c>
      <c r="Y31" s="219">
        <v>287</v>
      </c>
      <c r="Z31" s="220">
        <v>245</v>
      </c>
      <c r="AA31" s="221">
        <v>220</v>
      </c>
    </row>
    <row r="32" spans="2:27" s="222" customFormat="1" x14ac:dyDescent="0.2">
      <c r="B32" s="5518"/>
      <c r="C32" s="667" t="s">
        <v>14</v>
      </c>
      <c r="D32" s="647">
        <f>SUM(D29:D31)</f>
        <v>345</v>
      </c>
      <c r="E32" s="648">
        <f>SUM(E29:E31)</f>
        <v>316</v>
      </c>
      <c r="F32" s="648">
        <f>SUM(F29:F31)</f>
        <v>275</v>
      </c>
      <c r="G32" s="647">
        <f t="shared" ref="G32:R32" si="13">SUM(G29:G31)</f>
        <v>340</v>
      </c>
      <c r="H32" s="648">
        <f t="shared" si="13"/>
        <v>301</v>
      </c>
      <c r="I32" s="648">
        <f t="shared" si="13"/>
        <v>253</v>
      </c>
      <c r="J32" s="647">
        <f t="shared" si="13"/>
        <v>352</v>
      </c>
      <c r="K32" s="648">
        <f t="shared" si="13"/>
        <v>374</v>
      </c>
      <c r="L32" s="649">
        <f t="shared" si="13"/>
        <v>267</v>
      </c>
      <c r="M32" s="647">
        <f t="shared" si="13"/>
        <v>296</v>
      </c>
      <c r="N32" s="648">
        <f t="shared" si="13"/>
        <v>373</v>
      </c>
      <c r="O32" s="648">
        <f t="shared" si="13"/>
        <v>308</v>
      </c>
      <c r="P32" s="647">
        <f t="shared" si="13"/>
        <v>276</v>
      </c>
      <c r="Q32" s="648">
        <f t="shared" si="13"/>
        <v>407</v>
      </c>
      <c r="R32" s="649">
        <f t="shared" si="13"/>
        <v>356</v>
      </c>
      <c r="S32" s="647">
        <v>341</v>
      </c>
      <c r="T32" s="648">
        <v>381</v>
      </c>
      <c r="U32" s="649">
        <v>345</v>
      </c>
      <c r="V32" s="647">
        <f t="shared" ref="V32:AA32" si="14">SUM(V29:V31)</f>
        <v>464</v>
      </c>
      <c r="W32" s="648">
        <f t="shared" si="14"/>
        <v>433</v>
      </c>
      <c r="X32" s="649">
        <f t="shared" si="14"/>
        <v>498</v>
      </c>
      <c r="Y32" s="647">
        <f t="shared" si="14"/>
        <v>555</v>
      </c>
      <c r="Z32" s="648">
        <f t="shared" si="14"/>
        <v>425</v>
      </c>
      <c r="AA32" s="649">
        <f t="shared" si="14"/>
        <v>366</v>
      </c>
    </row>
    <row r="33" spans="2:27" x14ac:dyDescent="0.2">
      <c r="B33" s="5517" t="s">
        <v>11</v>
      </c>
      <c r="C33" s="218" t="s">
        <v>26</v>
      </c>
      <c r="D33" s="219">
        <v>28</v>
      </c>
      <c r="E33" s="220">
        <v>27</v>
      </c>
      <c r="F33" s="220">
        <v>11</v>
      </c>
      <c r="G33" s="219">
        <v>27</v>
      </c>
      <c r="H33" s="220">
        <v>27</v>
      </c>
      <c r="I33" s="220">
        <v>20</v>
      </c>
      <c r="J33" s="219">
        <v>31</v>
      </c>
      <c r="K33" s="220">
        <v>29</v>
      </c>
      <c r="L33" s="221">
        <v>20</v>
      </c>
      <c r="M33" s="219">
        <v>30</v>
      </c>
      <c r="N33" s="220">
        <v>35</v>
      </c>
      <c r="O33" s="220">
        <v>31</v>
      </c>
      <c r="P33" s="219">
        <v>28</v>
      </c>
      <c r="Q33" s="220">
        <v>26</v>
      </c>
      <c r="R33" s="221">
        <v>33</v>
      </c>
      <c r="S33" s="219">
        <v>39</v>
      </c>
      <c r="T33" s="220">
        <v>31</v>
      </c>
      <c r="U33" s="221">
        <v>30</v>
      </c>
      <c r="V33" s="219">
        <v>39</v>
      </c>
      <c r="W33" s="220">
        <v>33</v>
      </c>
      <c r="X33" s="221">
        <v>24</v>
      </c>
      <c r="Y33" s="219">
        <v>36</v>
      </c>
      <c r="Z33" s="220">
        <v>35</v>
      </c>
      <c r="AA33" s="221">
        <v>29</v>
      </c>
    </row>
    <row r="34" spans="2:27" x14ac:dyDescent="0.2">
      <c r="B34" s="5517"/>
      <c r="C34" s="218" t="s">
        <v>27</v>
      </c>
      <c r="D34" s="219">
        <v>94</v>
      </c>
      <c r="E34" s="220">
        <v>100</v>
      </c>
      <c r="F34" s="220">
        <v>89</v>
      </c>
      <c r="G34" s="219">
        <v>99</v>
      </c>
      <c r="H34" s="220">
        <v>97</v>
      </c>
      <c r="I34" s="220">
        <v>77</v>
      </c>
      <c r="J34" s="219">
        <v>69</v>
      </c>
      <c r="K34" s="220">
        <v>66</v>
      </c>
      <c r="L34" s="221">
        <v>57</v>
      </c>
      <c r="M34" s="219">
        <v>66</v>
      </c>
      <c r="N34" s="220">
        <v>62</v>
      </c>
      <c r="O34" s="220">
        <v>55</v>
      </c>
      <c r="P34" s="219">
        <v>88</v>
      </c>
      <c r="Q34" s="220">
        <v>78</v>
      </c>
      <c r="R34" s="221">
        <v>70</v>
      </c>
      <c r="S34" s="219">
        <v>105</v>
      </c>
      <c r="T34" s="220">
        <v>94</v>
      </c>
      <c r="U34" s="221">
        <v>92</v>
      </c>
      <c r="V34" s="219">
        <v>123</v>
      </c>
      <c r="W34" s="220">
        <v>122</v>
      </c>
      <c r="X34" s="221">
        <v>109</v>
      </c>
      <c r="Y34" s="219">
        <v>134</v>
      </c>
      <c r="Z34" s="220">
        <v>114</v>
      </c>
      <c r="AA34" s="221">
        <v>107</v>
      </c>
    </row>
    <row r="35" spans="2:27" x14ac:dyDescent="0.2">
      <c r="B35" s="5517"/>
      <c r="C35" s="218" t="s">
        <v>28</v>
      </c>
      <c r="D35" s="219">
        <v>134</v>
      </c>
      <c r="E35" s="220">
        <v>148</v>
      </c>
      <c r="F35" s="220">
        <v>132</v>
      </c>
      <c r="G35" s="219">
        <v>134</v>
      </c>
      <c r="H35" s="220">
        <v>143</v>
      </c>
      <c r="I35" s="220">
        <v>115</v>
      </c>
      <c r="J35" s="219">
        <v>125</v>
      </c>
      <c r="K35" s="220">
        <v>155</v>
      </c>
      <c r="L35" s="221">
        <v>141</v>
      </c>
      <c r="M35" s="219">
        <v>143</v>
      </c>
      <c r="N35" s="220">
        <v>147</v>
      </c>
      <c r="O35" s="220">
        <v>142</v>
      </c>
      <c r="P35" s="219">
        <v>142</v>
      </c>
      <c r="Q35" s="220">
        <v>151</v>
      </c>
      <c r="R35" s="221">
        <v>136</v>
      </c>
      <c r="S35" s="219">
        <v>139</v>
      </c>
      <c r="T35" s="220">
        <v>134</v>
      </c>
      <c r="U35" s="221">
        <v>132</v>
      </c>
      <c r="V35" s="219">
        <v>152</v>
      </c>
      <c r="W35" s="220">
        <v>161</v>
      </c>
      <c r="X35" s="221">
        <v>147</v>
      </c>
      <c r="Y35" s="219">
        <v>161</v>
      </c>
      <c r="Z35" s="220">
        <v>178</v>
      </c>
      <c r="AA35" s="221">
        <v>169</v>
      </c>
    </row>
    <row r="36" spans="2:27" s="222" customFormat="1" x14ac:dyDescent="0.2">
      <c r="B36" s="5518"/>
      <c r="C36" s="667" t="s">
        <v>30</v>
      </c>
      <c r="D36" s="647">
        <f>SUM(D33:D35)</f>
        <v>256</v>
      </c>
      <c r="E36" s="648">
        <f>SUM(E33:E35)</f>
        <v>275</v>
      </c>
      <c r="F36" s="648">
        <f>SUM(F33:F35)</f>
        <v>232</v>
      </c>
      <c r="G36" s="647">
        <f t="shared" ref="G36:R36" si="15">SUM(G33:G35)</f>
        <v>260</v>
      </c>
      <c r="H36" s="648">
        <f t="shared" si="15"/>
        <v>267</v>
      </c>
      <c r="I36" s="648">
        <f t="shared" si="15"/>
        <v>212</v>
      </c>
      <c r="J36" s="647">
        <f t="shared" si="15"/>
        <v>225</v>
      </c>
      <c r="K36" s="648">
        <f t="shared" si="15"/>
        <v>250</v>
      </c>
      <c r="L36" s="649">
        <f t="shared" si="15"/>
        <v>218</v>
      </c>
      <c r="M36" s="647">
        <f t="shared" si="15"/>
        <v>239</v>
      </c>
      <c r="N36" s="648">
        <f t="shared" si="15"/>
        <v>244</v>
      </c>
      <c r="O36" s="648">
        <f t="shared" si="15"/>
        <v>228</v>
      </c>
      <c r="P36" s="647">
        <f t="shared" si="15"/>
        <v>258</v>
      </c>
      <c r="Q36" s="648">
        <f t="shared" si="15"/>
        <v>255</v>
      </c>
      <c r="R36" s="649">
        <f t="shared" si="15"/>
        <v>239</v>
      </c>
      <c r="S36" s="647">
        <v>283</v>
      </c>
      <c r="T36" s="648">
        <v>259</v>
      </c>
      <c r="U36" s="649">
        <v>254</v>
      </c>
      <c r="V36" s="647">
        <f t="shared" ref="V36:AA36" si="16">SUM(V33:V35)</f>
        <v>314</v>
      </c>
      <c r="W36" s="648">
        <f t="shared" si="16"/>
        <v>316</v>
      </c>
      <c r="X36" s="649">
        <f t="shared" si="16"/>
        <v>280</v>
      </c>
      <c r="Y36" s="647">
        <f t="shared" si="16"/>
        <v>331</v>
      </c>
      <c r="Z36" s="648">
        <f t="shared" si="16"/>
        <v>327</v>
      </c>
      <c r="AA36" s="649">
        <f t="shared" si="16"/>
        <v>305</v>
      </c>
    </row>
    <row r="37" spans="2:27" x14ac:dyDescent="0.2">
      <c r="B37" s="5522" t="s">
        <v>134</v>
      </c>
      <c r="C37" s="218" t="s">
        <v>26</v>
      </c>
      <c r="D37" s="219">
        <f t="shared" ref="D37:R37" si="17">D25+D29+D33</f>
        <v>34</v>
      </c>
      <c r="E37" s="220">
        <f t="shared" si="17"/>
        <v>32</v>
      </c>
      <c r="F37" s="220">
        <f t="shared" si="17"/>
        <v>14</v>
      </c>
      <c r="G37" s="219">
        <f t="shared" si="17"/>
        <v>68</v>
      </c>
      <c r="H37" s="220">
        <f t="shared" si="17"/>
        <v>59</v>
      </c>
      <c r="I37" s="220">
        <f t="shared" si="17"/>
        <v>23</v>
      </c>
      <c r="J37" s="219">
        <f t="shared" si="17"/>
        <v>104</v>
      </c>
      <c r="K37" s="220">
        <f t="shared" si="17"/>
        <v>94</v>
      </c>
      <c r="L37" s="221">
        <f t="shared" si="17"/>
        <v>21</v>
      </c>
      <c r="M37" s="219">
        <f t="shared" si="17"/>
        <v>30</v>
      </c>
      <c r="N37" s="220">
        <f t="shared" si="17"/>
        <v>117</v>
      </c>
      <c r="O37" s="220">
        <f t="shared" si="17"/>
        <v>99</v>
      </c>
      <c r="P37" s="219">
        <f t="shared" si="17"/>
        <v>28</v>
      </c>
      <c r="Q37" s="220">
        <f t="shared" si="17"/>
        <v>107</v>
      </c>
      <c r="R37" s="221">
        <f t="shared" si="17"/>
        <v>114</v>
      </c>
      <c r="S37" s="219">
        <v>40</v>
      </c>
      <c r="T37" s="220">
        <v>120</v>
      </c>
      <c r="U37" s="221">
        <v>115</v>
      </c>
      <c r="V37" s="219">
        <f t="shared" ref="V37:AA40" si="18">V25+V29+V33</f>
        <v>39</v>
      </c>
      <c r="W37" s="220">
        <f t="shared" si="18"/>
        <v>33</v>
      </c>
      <c r="X37" s="221">
        <f t="shared" si="18"/>
        <v>124</v>
      </c>
      <c r="Y37" s="219">
        <f t="shared" si="18"/>
        <v>103</v>
      </c>
      <c r="Z37" s="220">
        <f t="shared" si="18"/>
        <v>35</v>
      </c>
      <c r="AA37" s="221">
        <f t="shared" si="18"/>
        <v>29</v>
      </c>
    </row>
    <row r="38" spans="2:27" x14ac:dyDescent="0.2">
      <c r="B38" s="5523"/>
      <c r="C38" s="218" t="s">
        <v>27</v>
      </c>
      <c r="D38" s="219">
        <f t="shared" ref="D38:R38" si="19">D26+D30+D34</f>
        <v>259</v>
      </c>
      <c r="E38" s="220">
        <f t="shared" si="19"/>
        <v>236</v>
      </c>
      <c r="F38" s="220">
        <f t="shared" si="19"/>
        <v>224</v>
      </c>
      <c r="G38" s="219">
        <f t="shared" si="19"/>
        <v>261</v>
      </c>
      <c r="H38" s="220">
        <f t="shared" si="19"/>
        <v>244</v>
      </c>
      <c r="I38" s="220">
        <f t="shared" si="19"/>
        <v>215</v>
      </c>
      <c r="J38" s="219">
        <f t="shared" si="19"/>
        <v>227</v>
      </c>
      <c r="K38" s="220">
        <f t="shared" si="19"/>
        <v>265</v>
      </c>
      <c r="L38" s="221">
        <f t="shared" si="19"/>
        <v>240</v>
      </c>
      <c r="M38" s="219">
        <f t="shared" si="19"/>
        <v>293</v>
      </c>
      <c r="N38" s="220">
        <f t="shared" si="19"/>
        <v>284</v>
      </c>
      <c r="O38" s="220">
        <f t="shared" si="19"/>
        <v>259</v>
      </c>
      <c r="P38" s="219">
        <f t="shared" si="19"/>
        <v>403</v>
      </c>
      <c r="Q38" s="220">
        <f t="shared" si="19"/>
        <v>372</v>
      </c>
      <c r="R38" s="221">
        <f t="shared" si="19"/>
        <v>322</v>
      </c>
      <c r="S38" s="219">
        <v>395</v>
      </c>
      <c r="T38" s="220">
        <v>368</v>
      </c>
      <c r="U38" s="221">
        <v>339</v>
      </c>
      <c r="V38" s="219">
        <f t="shared" si="18"/>
        <v>483</v>
      </c>
      <c r="W38" s="220">
        <f t="shared" si="18"/>
        <v>464</v>
      </c>
      <c r="X38" s="221">
        <f t="shared" si="18"/>
        <v>398</v>
      </c>
      <c r="Y38" s="219">
        <f t="shared" si="18"/>
        <v>481</v>
      </c>
      <c r="Z38" s="220">
        <f t="shared" si="18"/>
        <v>441</v>
      </c>
      <c r="AA38" s="221">
        <f t="shared" si="18"/>
        <v>387</v>
      </c>
    </row>
    <row r="39" spans="2:27" x14ac:dyDescent="0.2">
      <c r="B39" s="5523"/>
      <c r="C39" s="665" t="s">
        <v>28</v>
      </c>
      <c r="D39" s="526">
        <f t="shared" ref="D39:R39" si="20">D27+D31+D35</f>
        <v>574</v>
      </c>
      <c r="E39" s="645">
        <f t="shared" si="20"/>
        <v>582</v>
      </c>
      <c r="F39" s="645">
        <f t="shared" si="20"/>
        <v>519</v>
      </c>
      <c r="G39" s="526">
        <f t="shared" si="20"/>
        <v>533</v>
      </c>
      <c r="H39" s="645">
        <f t="shared" si="20"/>
        <v>524</v>
      </c>
      <c r="I39" s="645">
        <f t="shared" si="20"/>
        <v>486</v>
      </c>
      <c r="J39" s="526">
        <f t="shared" si="20"/>
        <v>521</v>
      </c>
      <c r="K39" s="645">
        <f t="shared" si="20"/>
        <v>554</v>
      </c>
      <c r="L39" s="646">
        <f t="shared" si="20"/>
        <v>515</v>
      </c>
      <c r="M39" s="526">
        <f t="shared" si="20"/>
        <v>543</v>
      </c>
      <c r="N39" s="645">
        <f t="shared" si="20"/>
        <v>544</v>
      </c>
      <c r="O39" s="645">
        <f t="shared" si="20"/>
        <v>508</v>
      </c>
      <c r="P39" s="526">
        <f t="shared" si="20"/>
        <v>467</v>
      </c>
      <c r="Q39" s="645">
        <f t="shared" si="20"/>
        <v>532</v>
      </c>
      <c r="R39" s="646">
        <f t="shared" si="20"/>
        <v>480</v>
      </c>
      <c r="S39" s="526">
        <v>520</v>
      </c>
      <c r="T39" s="645">
        <v>468</v>
      </c>
      <c r="U39" s="646">
        <v>443</v>
      </c>
      <c r="V39" s="526">
        <f t="shared" si="18"/>
        <v>580</v>
      </c>
      <c r="W39" s="645">
        <f t="shared" si="18"/>
        <v>569</v>
      </c>
      <c r="X39" s="646">
        <f t="shared" si="18"/>
        <v>551</v>
      </c>
      <c r="Y39" s="526">
        <f t="shared" si="18"/>
        <v>642</v>
      </c>
      <c r="Z39" s="645">
        <f t="shared" si="18"/>
        <v>620</v>
      </c>
      <c r="AA39" s="646">
        <f t="shared" si="18"/>
        <v>582</v>
      </c>
    </row>
    <row r="40" spans="2:27" s="222" customFormat="1" ht="15" x14ac:dyDescent="0.2">
      <c r="B40" s="5524"/>
      <c r="C40" s="637" t="s">
        <v>12</v>
      </c>
      <c r="D40" s="662">
        <f>D37+D38+D39</f>
        <v>867</v>
      </c>
      <c r="E40" s="663">
        <f>E37+E38+E39</f>
        <v>850</v>
      </c>
      <c r="F40" s="663">
        <f>F37+F38+F39</f>
        <v>757</v>
      </c>
      <c r="G40" s="662">
        <f t="shared" ref="G40:R40" si="21">G37+G38+G39</f>
        <v>862</v>
      </c>
      <c r="H40" s="663">
        <f t="shared" si="21"/>
        <v>827</v>
      </c>
      <c r="I40" s="663">
        <f t="shared" si="21"/>
        <v>724</v>
      </c>
      <c r="J40" s="662">
        <f t="shared" si="21"/>
        <v>852</v>
      </c>
      <c r="K40" s="663">
        <f t="shared" si="21"/>
        <v>913</v>
      </c>
      <c r="L40" s="664">
        <f t="shared" si="21"/>
        <v>776</v>
      </c>
      <c r="M40" s="662">
        <f t="shared" si="21"/>
        <v>866</v>
      </c>
      <c r="N40" s="663">
        <f t="shared" si="21"/>
        <v>945</v>
      </c>
      <c r="O40" s="663">
        <f t="shared" si="21"/>
        <v>866</v>
      </c>
      <c r="P40" s="662">
        <f t="shared" si="21"/>
        <v>898</v>
      </c>
      <c r="Q40" s="663">
        <f t="shared" si="21"/>
        <v>1011</v>
      </c>
      <c r="R40" s="664">
        <f t="shared" si="21"/>
        <v>916</v>
      </c>
      <c r="S40" s="662">
        <v>955</v>
      </c>
      <c r="T40" s="663">
        <v>956</v>
      </c>
      <c r="U40" s="664">
        <v>897</v>
      </c>
      <c r="V40" s="642">
        <f t="shared" si="18"/>
        <v>1102</v>
      </c>
      <c r="W40" s="643">
        <f t="shared" si="18"/>
        <v>1066</v>
      </c>
      <c r="X40" s="644">
        <f t="shared" si="18"/>
        <v>1073</v>
      </c>
      <c r="Y40" s="642">
        <f t="shared" si="18"/>
        <v>1226</v>
      </c>
      <c r="Z40" s="643">
        <f t="shared" si="18"/>
        <v>1096</v>
      </c>
      <c r="AA40" s="644">
        <f t="shared" si="18"/>
        <v>998</v>
      </c>
    </row>
    <row r="41" spans="2:27" x14ac:dyDescent="0.2">
      <c r="C41" s="209"/>
      <c r="D41" s="209"/>
      <c r="E41" s="209"/>
      <c r="F41" s="209"/>
    </row>
    <row r="42" spans="2:27" x14ac:dyDescent="0.2">
      <c r="B42" s="5516" t="s">
        <v>6</v>
      </c>
      <c r="C42" s="402" t="s">
        <v>26</v>
      </c>
      <c r="D42" s="403">
        <v>24</v>
      </c>
      <c r="E42" s="404">
        <v>22</v>
      </c>
      <c r="F42" s="404">
        <v>16</v>
      </c>
      <c r="G42" s="403">
        <v>0</v>
      </c>
      <c r="H42" s="404">
        <v>0</v>
      </c>
      <c r="I42" s="404">
        <v>1</v>
      </c>
      <c r="J42" s="403">
        <v>4</v>
      </c>
      <c r="K42" s="404">
        <v>4</v>
      </c>
      <c r="L42" s="405">
        <v>0</v>
      </c>
      <c r="M42" s="403">
        <v>0</v>
      </c>
      <c r="N42" s="404">
        <v>0</v>
      </c>
      <c r="O42" s="404">
        <v>0</v>
      </c>
      <c r="P42" s="403">
        <v>16</v>
      </c>
      <c r="Q42" s="404">
        <v>2</v>
      </c>
      <c r="R42" s="405">
        <v>0</v>
      </c>
      <c r="S42" s="403">
        <v>4</v>
      </c>
      <c r="T42" s="404">
        <v>4</v>
      </c>
      <c r="U42" s="405">
        <v>1</v>
      </c>
      <c r="V42" s="403">
        <v>2</v>
      </c>
      <c r="W42" s="404">
        <v>2</v>
      </c>
      <c r="X42" s="405">
        <v>0</v>
      </c>
      <c r="Y42" s="403"/>
      <c r="Z42" s="404"/>
      <c r="AA42" s="405"/>
    </row>
    <row r="43" spans="2:27" x14ac:dyDescent="0.2">
      <c r="B43" s="5517"/>
      <c r="C43" s="218" t="s">
        <v>27</v>
      </c>
      <c r="D43" s="219">
        <v>131</v>
      </c>
      <c r="E43" s="220">
        <v>131</v>
      </c>
      <c r="F43" s="220">
        <v>134</v>
      </c>
      <c r="G43" s="219">
        <v>146</v>
      </c>
      <c r="H43" s="220">
        <v>134</v>
      </c>
      <c r="I43" s="220">
        <v>44</v>
      </c>
      <c r="J43" s="219">
        <v>148</v>
      </c>
      <c r="K43" s="220">
        <v>141</v>
      </c>
      <c r="L43" s="221">
        <v>120</v>
      </c>
      <c r="M43" s="219">
        <v>136</v>
      </c>
      <c r="N43" s="220">
        <v>140</v>
      </c>
      <c r="O43" s="220">
        <v>58</v>
      </c>
      <c r="P43" s="219">
        <v>150</v>
      </c>
      <c r="Q43" s="220">
        <v>143</v>
      </c>
      <c r="R43" s="221">
        <v>98</v>
      </c>
      <c r="S43" s="219">
        <v>142</v>
      </c>
      <c r="T43" s="220">
        <v>157</v>
      </c>
      <c r="U43" s="221">
        <v>74</v>
      </c>
      <c r="V43" s="219">
        <v>191</v>
      </c>
      <c r="W43" s="220">
        <v>205</v>
      </c>
      <c r="X43" s="221">
        <v>150</v>
      </c>
      <c r="Y43" s="219">
        <v>176</v>
      </c>
      <c r="Z43" s="220">
        <v>208</v>
      </c>
      <c r="AA43" s="221">
        <v>66</v>
      </c>
    </row>
    <row r="44" spans="2:27" x14ac:dyDescent="0.2">
      <c r="B44" s="5517"/>
      <c r="C44" s="218" t="s">
        <v>28</v>
      </c>
      <c r="D44" s="219">
        <v>74</v>
      </c>
      <c r="E44" s="220">
        <v>113</v>
      </c>
      <c r="F44" s="220">
        <v>115</v>
      </c>
      <c r="G44" s="219">
        <v>106</v>
      </c>
      <c r="H44" s="220">
        <v>103</v>
      </c>
      <c r="I44" s="220">
        <v>91</v>
      </c>
      <c r="J44" s="219">
        <v>74</v>
      </c>
      <c r="K44" s="220">
        <v>135</v>
      </c>
      <c r="L44" s="221">
        <v>131</v>
      </c>
      <c r="M44" s="219">
        <v>108</v>
      </c>
      <c r="N44" s="220">
        <v>108</v>
      </c>
      <c r="O44" s="220">
        <v>100</v>
      </c>
      <c r="P44" s="219">
        <v>96</v>
      </c>
      <c r="Q44" s="220">
        <v>154</v>
      </c>
      <c r="R44" s="221">
        <v>135</v>
      </c>
      <c r="S44" s="219">
        <v>131</v>
      </c>
      <c r="T44" s="220">
        <v>158</v>
      </c>
      <c r="U44" s="221">
        <v>127</v>
      </c>
      <c r="V44" s="219">
        <v>119</v>
      </c>
      <c r="W44" s="220">
        <v>206</v>
      </c>
      <c r="X44" s="221">
        <v>175</v>
      </c>
      <c r="Y44" s="219">
        <v>153</v>
      </c>
      <c r="Z44" s="220">
        <v>191</v>
      </c>
      <c r="AA44" s="221">
        <v>141</v>
      </c>
    </row>
    <row r="45" spans="2:27" s="222" customFormat="1" x14ac:dyDescent="0.2">
      <c r="B45" s="5518"/>
      <c r="C45" s="667" t="s">
        <v>14</v>
      </c>
      <c r="D45" s="647">
        <f>SUM(D42:D44)</f>
        <v>229</v>
      </c>
      <c r="E45" s="648">
        <f>SUM(E42:E44)</f>
        <v>266</v>
      </c>
      <c r="F45" s="648">
        <f>SUM(F42:F44)</f>
        <v>265</v>
      </c>
      <c r="G45" s="647">
        <f t="shared" ref="G45:R45" si="22">SUM(G42:G44)</f>
        <v>252</v>
      </c>
      <c r="H45" s="648">
        <f t="shared" si="22"/>
        <v>237</v>
      </c>
      <c r="I45" s="648">
        <f t="shared" si="22"/>
        <v>136</v>
      </c>
      <c r="J45" s="647">
        <f t="shared" si="22"/>
        <v>226</v>
      </c>
      <c r="K45" s="648">
        <f t="shared" si="22"/>
        <v>280</v>
      </c>
      <c r="L45" s="649">
        <f t="shared" si="22"/>
        <v>251</v>
      </c>
      <c r="M45" s="647">
        <f t="shared" si="22"/>
        <v>244</v>
      </c>
      <c r="N45" s="648">
        <f t="shared" si="22"/>
        <v>248</v>
      </c>
      <c r="O45" s="648">
        <f t="shared" si="22"/>
        <v>158</v>
      </c>
      <c r="P45" s="647">
        <f t="shared" si="22"/>
        <v>262</v>
      </c>
      <c r="Q45" s="648">
        <f t="shared" si="22"/>
        <v>299</v>
      </c>
      <c r="R45" s="649">
        <f t="shared" si="22"/>
        <v>233</v>
      </c>
      <c r="S45" s="647">
        <v>277</v>
      </c>
      <c r="T45" s="648">
        <v>319</v>
      </c>
      <c r="U45" s="649">
        <v>202</v>
      </c>
      <c r="V45" s="647">
        <f t="shared" ref="V45:AA45" si="23">SUM(V42:V44)</f>
        <v>312</v>
      </c>
      <c r="W45" s="648">
        <f t="shared" si="23"/>
        <v>413</v>
      </c>
      <c r="X45" s="649">
        <f t="shared" si="23"/>
        <v>325</v>
      </c>
      <c r="Y45" s="647">
        <f t="shared" si="23"/>
        <v>329</v>
      </c>
      <c r="Z45" s="648">
        <f t="shared" si="23"/>
        <v>399</v>
      </c>
      <c r="AA45" s="649">
        <f t="shared" si="23"/>
        <v>207</v>
      </c>
    </row>
    <row r="46" spans="2:27" x14ac:dyDescent="0.2">
      <c r="B46" s="5517" t="s">
        <v>11</v>
      </c>
      <c r="C46" s="218" t="s">
        <v>26</v>
      </c>
      <c r="D46" s="219"/>
      <c r="E46" s="220">
        <v>8</v>
      </c>
      <c r="F46" s="220">
        <v>6</v>
      </c>
      <c r="G46" s="219"/>
      <c r="H46" s="220">
        <v>10</v>
      </c>
      <c r="I46" s="220">
        <v>10</v>
      </c>
      <c r="J46" s="219"/>
      <c r="K46" s="220"/>
      <c r="L46" s="221"/>
      <c r="M46" s="219"/>
      <c r="N46" s="220">
        <v>11</v>
      </c>
      <c r="O46" s="220">
        <v>11</v>
      </c>
      <c r="P46" s="219"/>
      <c r="Q46" s="220">
        <v>8</v>
      </c>
      <c r="R46" s="221">
        <v>8</v>
      </c>
      <c r="S46" s="219">
        <v>0</v>
      </c>
      <c r="T46" s="220">
        <v>12</v>
      </c>
      <c r="U46" s="221">
        <v>12</v>
      </c>
      <c r="V46" s="219">
        <v>0</v>
      </c>
      <c r="W46" s="220">
        <v>8</v>
      </c>
      <c r="X46" s="221">
        <v>7</v>
      </c>
      <c r="Y46" s="219">
        <v>1</v>
      </c>
      <c r="Z46" s="220"/>
      <c r="AA46" s="221"/>
    </row>
    <row r="47" spans="2:27" x14ac:dyDescent="0.2">
      <c r="B47" s="5517"/>
      <c r="C47" s="218" t="s">
        <v>27</v>
      </c>
      <c r="D47" s="219">
        <v>73</v>
      </c>
      <c r="E47" s="220">
        <v>69</v>
      </c>
      <c r="F47" s="220">
        <v>52</v>
      </c>
      <c r="G47" s="219">
        <v>66</v>
      </c>
      <c r="H47" s="220">
        <v>79</v>
      </c>
      <c r="I47" s="220">
        <v>66</v>
      </c>
      <c r="J47" s="219">
        <v>68</v>
      </c>
      <c r="K47" s="220">
        <v>77</v>
      </c>
      <c r="L47" s="221">
        <v>51</v>
      </c>
      <c r="M47" s="219">
        <v>102</v>
      </c>
      <c r="N47" s="220">
        <v>101</v>
      </c>
      <c r="O47" s="220">
        <v>75</v>
      </c>
      <c r="P47" s="219">
        <v>112</v>
      </c>
      <c r="Q47" s="220">
        <v>102</v>
      </c>
      <c r="R47" s="221">
        <v>76</v>
      </c>
      <c r="S47" s="219">
        <v>103</v>
      </c>
      <c r="T47" s="220">
        <v>96</v>
      </c>
      <c r="U47" s="221">
        <v>94</v>
      </c>
      <c r="V47" s="219">
        <v>123</v>
      </c>
      <c r="W47" s="220">
        <v>130</v>
      </c>
      <c r="X47" s="221">
        <v>94</v>
      </c>
      <c r="Y47" s="219">
        <v>127</v>
      </c>
      <c r="Z47" s="220">
        <v>143</v>
      </c>
      <c r="AA47" s="221">
        <v>106</v>
      </c>
    </row>
    <row r="48" spans="2:27" x14ac:dyDescent="0.2">
      <c r="B48" s="5517"/>
      <c r="C48" s="218" t="s">
        <v>28</v>
      </c>
      <c r="D48" s="219">
        <v>55</v>
      </c>
      <c r="E48" s="220">
        <v>56</v>
      </c>
      <c r="F48" s="220">
        <v>48</v>
      </c>
      <c r="G48" s="219">
        <v>55</v>
      </c>
      <c r="H48" s="220">
        <v>56</v>
      </c>
      <c r="I48" s="220">
        <v>53</v>
      </c>
      <c r="J48" s="219">
        <v>53</v>
      </c>
      <c r="K48" s="220">
        <v>55</v>
      </c>
      <c r="L48" s="221">
        <v>50</v>
      </c>
      <c r="M48" s="219">
        <v>50</v>
      </c>
      <c r="N48" s="220">
        <v>48</v>
      </c>
      <c r="O48" s="220">
        <v>51</v>
      </c>
      <c r="P48" s="219">
        <v>72</v>
      </c>
      <c r="Q48" s="220">
        <v>64</v>
      </c>
      <c r="R48" s="221">
        <v>58</v>
      </c>
      <c r="S48" s="219">
        <v>70</v>
      </c>
      <c r="T48" s="220">
        <v>66</v>
      </c>
      <c r="U48" s="221">
        <v>65</v>
      </c>
      <c r="V48" s="219">
        <v>65</v>
      </c>
      <c r="W48" s="220">
        <v>78</v>
      </c>
      <c r="X48" s="221">
        <v>72</v>
      </c>
      <c r="Y48" s="219">
        <v>81</v>
      </c>
      <c r="Z48" s="220">
        <v>73</v>
      </c>
      <c r="AA48" s="221">
        <v>67</v>
      </c>
    </row>
    <row r="49" spans="2:27" s="222" customFormat="1" x14ac:dyDescent="0.2">
      <c r="B49" s="5518"/>
      <c r="C49" s="667" t="s">
        <v>30</v>
      </c>
      <c r="D49" s="647">
        <f>SUM(D46:D48)</f>
        <v>128</v>
      </c>
      <c r="E49" s="648">
        <f>SUM(E46:E48)</f>
        <v>133</v>
      </c>
      <c r="F49" s="648">
        <f>SUM(F46:F48)</f>
        <v>106</v>
      </c>
      <c r="G49" s="647">
        <f t="shared" ref="G49:R49" si="24">SUM(G46:G48)</f>
        <v>121</v>
      </c>
      <c r="H49" s="648">
        <f t="shared" si="24"/>
        <v>145</v>
      </c>
      <c r="I49" s="648">
        <f t="shared" si="24"/>
        <v>129</v>
      </c>
      <c r="J49" s="647">
        <f t="shared" si="24"/>
        <v>121</v>
      </c>
      <c r="K49" s="648">
        <f t="shared" si="24"/>
        <v>132</v>
      </c>
      <c r="L49" s="649">
        <f t="shared" si="24"/>
        <v>101</v>
      </c>
      <c r="M49" s="647">
        <f t="shared" si="24"/>
        <v>152</v>
      </c>
      <c r="N49" s="648">
        <f t="shared" si="24"/>
        <v>160</v>
      </c>
      <c r="O49" s="648">
        <f t="shared" si="24"/>
        <v>137</v>
      </c>
      <c r="P49" s="647">
        <f t="shared" si="24"/>
        <v>184</v>
      </c>
      <c r="Q49" s="648">
        <f t="shared" si="24"/>
        <v>174</v>
      </c>
      <c r="R49" s="649">
        <f t="shared" si="24"/>
        <v>142</v>
      </c>
      <c r="S49" s="647">
        <v>173</v>
      </c>
      <c r="T49" s="648">
        <v>174</v>
      </c>
      <c r="U49" s="649">
        <v>171</v>
      </c>
      <c r="V49" s="647">
        <f t="shared" ref="V49:AA49" si="25">SUM(V46:V48)</f>
        <v>188</v>
      </c>
      <c r="W49" s="648">
        <f t="shared" si="25"/>
        <v>216</v>
      </c>
      <c r="X49" s="649">
        <f t="shared" si="25"/>
        <v>173</v>
      </c>
      <c r="Y49" s="647">
        <f t="shared" si="25"/>
        <v>209</v>
      </c>
      <c r="Z49" s="648">
        <f t="shared" si="25"/>
        <v>216</v>
      </c>
      <c r="AA49" s="649">
        <f t="shared" si="25"/>
        <v>173</v>
      </c>
    </row>
    <row r="50" spans="2:27" x14ac:dyDescent="0.2">
      <c r="B50" s="5517" t="s">
        <v>7</v>
      </c>
      <c r="C50" s="218" t="s">
        <v>26</v>
      </c>
      <c r="D50" s="219"/>
      <c r="E50" s="220"/>
      <c r="F50" s="220"/>
      <c r="G50" s="219"/>
      <c r="H50" s="220"/>
      <c r="I50" s="220"/>
      <c r="J50" s="219"/>
      <c r="K50" s="220"/>
      <c r="L50" s="221"/>
      <c r="M50" s="219"/>
      <c r="N50" s="220"/>
      <c r="O50" s="220"/>
      <c r="P50" s="219"/>
      <c r="Q50" s="220"/>
      <c r="R50" s="221"/>
      <c r="S50" s="219"/>
      <c r="T50" s="220"/>
      <c r="U50" s="221"/>
      <c r="V50" s="219"/>
      <c r="W50" s="220"/>
      <c r="X50" s="221"/>
      <c r="Y50" s="219"/>
      <c r="Z50" s="220"/>
      <c r="AA50" s="221"/>
    </row>
    <row r="51" spans="2:27" x14ac:dyDescent="0.2">
      <c r="B51" s="5517"/>
      <c r="C51" s="218" t="s">
        <v>27</v>
      </c>
      <c r="D51" s="219">
        <v>20</v>
      </c>
      <c r="E51" s="220">
        <v>19</v>
      </c>
      <c r="F51" s="220">
        <v>19</v>
      </c>
      <c r="G51" s="219">
        <v>37</v>
      </c>
      <c r="H51" s="220">
        <v>37</v>
      </c>
      <c r="I51" s="220">
        <v>23</v>
      </c>
      <c r="J51" s="219">
        <v>47</v>
      </c>
      <c r="K51" s="220">
        <v>44</v>
      </c>
      <c r="L51" s="221">
        <v>27</v>
      </c>
      <c r="M51" s="219">
        <v>47</v>
      </c>
      <c r="N51" s="220">
        <v>44</v>
      </c>
      <c r="O51" s="220">
        <v>20</v>
      </c>
      <c r="P51" s="219">
        <v>44</v>
      </c>
      <c r="Q51" s="220">
        <v>42</v>
      </c>
      <c r="R51" s="221">
        <v>21</v>
      </c>
      <c r="S51" s="219">
        <v>42</v>
      </c>
      <c r="T51" s="220">
        <v>42</v>
      </c>
      <c r="U51" s="221">
        <v>21</v>
      </c>
      <c r="V51" s="219">
        <v>39</v>
      </c>
      <c r="W51" s="220">
        <v>36</v>
      </c>
      <c r="X51" s="221">
        <v>41</v>
      </c>
      <c r="Y51" s="219">
        <v>91</v>
      </c>
      <c r="Z51" s="220">
        <v>94</v>
      </c>
      <c r="AA51" s="221">
        <v>71</v>
      </c>
    </row>
    <row r="52" spans="2:27" x14ac:dyDescent="0.2">
      <c r="B52" s="5517"/>
      <c r="C52" s="218" t="s">
        <v>28</v>
      </c>
      <c r="D52" s="219">
        <v>11</v>
      </c>
      <c r="E52" s="220">
        <v>11</v>
      </c>
      <c r="F52" s="220">
        <v>10</v>
      </c>
      <c r="G52" s="219">
        <v>10</v>
      </c>
      <c r="H52" s="220">
        <v>10</v>
      </c>
      <c r="I52" s="220">
        <v>9</v>
      </c>
      <c r="J52" s="219">
        <v>19</v>
      </c>
      <c r="K52" s="220">
        <v>19</v>
      </c>
      <c r="L52" s="221">
        <v>15</v>
      </c>
      <c r="M52" s="219">
        <v>12</v>
      </c>
      <c r="N52" s="220">
        <v>26</v>
      </c>
      <c r="O52" s="220">
        <v>27</v>
      </c>
      <c r="P52" s="219">
        <v>27</v>
      </c>
      <c r="Q52" s="220">
        <v>31</v>
      </c>
      <c r="R52" s="221">
        <v>29</v>
      </c>
      <c r="S52" s="219">
        <v>26</v>
      </c>
      <c r="T52" s="220">
        <v>34</v>
      </c>
      <c r="U52" s="221">
        <v>32</v>
      </c>
      <c r="V52" s="219">
        <v>32</v>
      </c>
      <c r="W52" s="220">
        <v>39</v>
      </c>
      <c r="X52" s="221">
        <v>38</v>
      </c>
      <c r="Y52" s="219">
        <v>28</v>
      </c>
      <c r="Z52" s="220">
        <v>35</v>
      </c>
      <c r="AA52" s="221">
        <v>33</v>
      </c>
    </row>
    <row r="53" spans="2:27" s="222" customFormat="1" x14ac:dyDescent="0.2">
      <c r="B53" s="5518"/>
      <c r="C53" s="667" t="s">
        <v>15</v>
      </c>
      <c r="D53" s="647">
        <f>SUM(D50:D52)</f>
        <v>31</v>
      </c>
      <c r="E53" s="648">
        <f>SUM(E50:E52)</f>
        <v>30</v>
      </c>
      <c r="F53" s="648">
        <f>SUM(F50:F52)</f>
        <v>29</v>
      </c>
      <c r="G53" s="647">
        <f t="shared" ref="G53:R53" si="26">SUM(G50:G52)</f>
        <v>47</v>
      </c>
      <c r="H53" s="648">
        <f t="shared" si="26"/>
        <v>47</v>
      </c>
      <c r="I53" s="648">
        <f t="shared" si="26"/>
        <v>32</v>
      </c>
      <c r="J53" s="647">
        <f t="shared" si="26"/>
        <v>66</v>
      </c>
      <c r="K53" s="648">
        <f t="shared" si="26"/>
        <v>63</v>
      </c>
      <c r="L53" s="649">
        <f t="shared" si="26"/>
        <v>42</v>
      </c>
      <c r="M53" s="647">
        <f t="shared" si="26"/>
        <v>59</v>
      </c>
      <c r="N53" s="648">
        <f t="shared" si="26"/>
        <v>70</v>
      </c>
      <c r="O53" s="648">
        <f t="shared" si="26"/>
        <v>47</v>
      </c>
      <c r="P53" s="647">
        <f t="shared" si="26"/>
        <v>71</v>
      </c>
      <c r="Q53" s="648">
        <f t="shared" si="26"/>
        <v>73</v>
      </c>
      <c r="R53" s="649">
        <f t="shared" si="26"/>
        <v>50</v>
      </c>
      <c r="S53" s="647"/>
      <c r="T53" s="648"/>
      <c r="U53" s="649"/>
      <c r="V53" s="647">
        <f t="shared" ref="V53:AA53" si="27">SUM(V50:V52)</f>
        <v>71</v>
      </c>
      <c r="W53" s="648">
        <f t="shared" si="27"/>
        <v>75</v>
      </c>
      <c r="X53" s="649">
        <f t="shared" si="27"/>
        <v>79</v>
      </c>
      <c r="Y53" s="647">
        <f t="shared" si="27"/>
        <v>119</v>
      </c>
      <c r="Z53" s="648">
        <f t="shared" si="27"/>
        <v>129</v>
      </c>
      <c r="AA53" s="649">
        <f t="shared" si="27"/>
        <v>104</v>
      </c>
    </row>
    <row r="54" spans="2:27" x14ac:dyDescent="0.2">
      <c r="B54" s="5513" t="s">
        <v>67</v>
      </c>
      <c r="C54" s="218" t="s">
        <v>26</v>
      </c>
      <c r="D54" s="219">
        <f t="shared" ref="D54:R54" si="28">D42+D46+D50</f>
        <v>24</v>
      </c>
      <c r="E54" s="220">
        <f t="shared" si="28"/>
        <v>30</v>
      </c>
      <c r="F54" s="220">
        <f t="shared" si="28"/>
        <v>22</v>
      </c>
      <c r="G54" s="219">
        <f t="shared" si="28"/>
        <v>0</v>
      </c>
      <c r="H54" s="220">
        <f t="shared" si="28"/>
        <v>10</v>
      </c>
      <c r="I54" s="220">
        <f t="shared" si="28"/>
        <v>11</v>
      </c>
      <c r="J54" s="219">
        <f t="shared" si="28"/>
        <v>4</v>
      </c>
      <c r="K54" s="220">
        <f t="shared" si="28"/>
        <v>4</v>
      </c>
      <c r="L54" s="221">
        <f t="shared" si="28"/>
        <v>0</v>
      </c>
      <c r="M54" s="219">
        <f t="shared" si="28"/>
        <v>0</v>
      </c>
      <c r="N54" s="220">
        <f t="shared" si="28"/>
        <v>11</v>
      </c>
      <c r="O54" s="220">
        <f t="shared" si="28"/>
        <v>11</v>
      </c>
      <c r="P54" s="219">
        <f t="shared" si="28"/>
        <v>16</v>
      </c>
      <c r="Q54" s="220">
        <f t="shared" si="28"/>
        <v>10</v>
      </c>
      <c r="R54" s="221">
        <f t="shared" si="28"/>
        <v>8</v>
      </c>
      <c r="S54" s="219">
        <v>4</v>
      </c>
      <c r="T54" s="220">
        <v>16</v>
      </c>
      <c r="U54" s="221">
        <v>13</v>
      </c>
      <c r="V54" s="219">
        <f t="shared" ref="V54:AA57" si="29">V42+V46+V50</f>
        <v>2</v>
      </c>
      <c r="W54" s="220">
        <f t="shared" si="29"/>
        <v>10</v>
      </c>
      <c r="X54" s="221">
        <f t="shared" si="29"/>
        <v>7</v>
      </c>
      <c r="Y54" s="219">
        <f t="shared" si="29"/>
        <v>1</v>
      </c>
      <c r="Z54" s="220">
        <f t="shared" si="29"/>
        <v>0</v>
      </c>
      <c r="AA54" s="221">
        <f t="shared" si="29"/>
        <v>0</v>
      </c>
    </row>
    <row r="55" spans="2:27" x14ac:dyDescent="0.2">
      <c r="B55" s="5514"/>
      <c r="C55" s="218" t="s">
        <v>27</v>
      </c>
      <c r="D55" s="219">
        <f t="shared" ref="D55:R55" si="30">D43+D47+D51</f>
        <v>224</v>
      </c>
      <c r="E55" s="220">
        <f t="shared" si="30"/>
        <v>219</v>
      </c>
      <c r="F55" s="220">
        <f t="shared" si="30"/>
        <v>205</v>
      </c>
      <c r="G55" s="219">
        <f t="shared" si="30"/>
        <v>249</v>
      </c>
      <c r="H55" s="220">
        <f t="shared" si="30"/>
        <v>250</v>
      </c>
      <c r="I55" s="220">
        <f t="shared" si="30"/>
        <v>133</v>
      </c>
      <c r="J55" s="219">
        <f t="shared" si="30"/>
        <v>263</v>
      </c>
      <c r="K55" s="220">
        <f t="shared" si="30"/>
        <v>262</v>
      </c>
      <c r="L55" s="221">
        <f t="shared" si="30"/>
        <v>198</v>
      </c>
      <c r="M55" s="219">
        <f t="shared" si="30"/>
        <v>285</v>
      </c>
      <c r="N55" s="220">
        <f t="shared" si="30"/>
        <v>285</v>
      </c>
      <c r="O55" s="220">
        <f t="shared" si="30"/>
        <v>153</v>
      </c>
      <c r="P55" s="219">
        <f t="shared" si="30"/>
        <v>306</v>
      </c>
      <c r="Q55" s="220">
        <f t="shared" si="30"/>
        <v>287</v>
      </c>
      <c r="R55" s="221">
        <f t="shared" si="30"/>
        <v>195</v>
      </c>
      <c r="S55" s="219">
        <v>287</v>
      </c>
      <c r="T55" s="220">
        <v>295</v>
      </c>
      <c r="U55" s="221">
        <v>189</v>
      </c>
      <c r="V55" s="219">
        <f t="shared" si="29"/>
        <v>353</v>
      </c>
      <c r="W55" s="220">
        <f t="shared" si="29"/>
        <v>371</v>
      </c>
      <c r="X55" s="221">
        <f t="shared" si="29"/>
        <v>285</v>
      </c>
      <c r="Y55" s="219">
        <f t="shared" si="29"/>
        <v>394</v>
      </c>
      <c r="Z55" s="220">
        <f t="shared" si="29"/>
        <v>445</v>
      </c>
      <c r="AA55" s="221">
        <f t="shared" si="29"/>
        <v>243</v>
      </c>
    </row>
    <row r="56" spans="2:27" x14ac:dyDescent="0.2">
      <c r="B56" s="5514"/>
      <c r="C56" s="665" t="s">
        <v>28</v>
      </c>
      <c r="D56" s="526">
        <f t="shared" ref="D56:R56" si="31">D44+D48+D52</f>
        <v>140</v>
      </c>
      <c r="E56" s="645">
        <f t="shared" si="31"/>
        <v>180</v>
      </c>
      <c r="F56" s="645">
        <f t="shared" si="31"/>
        <v>173</v>
      </c>
      <c r="G56" s="526">
        <f t="shared" si="31"/>
        <v>171</v>
      </c>
      <c r="H56" s="645">
        <f t="shared" si="31"/>
        <v>169</v>
      </c>
      <c r="I56" s="645">
        <f t="shared" si="31"/>
        <v>153</v>
      </c>
      <c r="J56" s="526">
        <f t="shared" si="31"/>
        <v>146</v>
      </c>
      <c r="K56" s="645">
        <f t="shared" si="31"/>
        <v>209</v>
      </c>
      <c r="L56" s="646">
        <f t="shared" si="31"/>
        <v>196</v>
      </c>
      <c r="M56" s="526">
        <f t="shared" si="31"/>
        <v>170</v>
      </c>
      <c r="N56" s="645">
        <f t="shared" si="31"/>
        <v>182</v>
      </c>
      <c r="O56" s="645">
        <f t="shared" si="31"/>
        <v>178</v>
      </c>
      <c r="P56" s="526">
        <f t="shared" si="31"/>
        <v>195</v>
      </c>
      <c r="Q56" s="645">
        <f t="shared" si="31"/>
        <v>249</v>
      </c>
      <c r="R56" s="646">
        <f t="shared" si="31"/>
        <v>222</v>
      </c>
      <c r="S56" s="526">
        <v>227</v>
      </c>
      <c r="T56" s="645">
        <v>258</v>
      </c>
      <c r="U56" s="646">
        <v>224</v>
      </c>
      <c r="V56" s="526">
        <f t="shared" si="29"/>
        <v>216</v>
      </c>
      <c r="W56" s="645">
        <f t="shared" si="29"/>
        <v>323</v>
      </c>
      <c r="X56" s="646">
        <f t="shared" si="29"/>
        <v>285</v>
      </c>
      <c r="Y56" s="526">
        <f t="shared" si="29"/>
        <v>262</v>
      </c>
      <c r="Z56" s="645">
        <f t="shared" si="29"/>
        <v>299</v>
      </c>
      <c r="AA56" s="646">
        <f t="shared" si="29"/>
        <v>241</v>
      </c>
    </row>
    <row r="57" spans="2:27" s="222" customFormat="1" ht="15" x14ac:dyDescent="0.2">
      <c r="B57" s="5515"/>
      <c r="C57" s="637" t="s">
        <v>12</v>
      </c>
      <c r="D57" s="662">
        <f>D54+D55+D56</f>
        <v>388</v>
      </c>
      <c r="E57" s="663">
        <f>E54+E55+E56</f>
        <v>429</v>
      </c>
      <c r="F57" s="663">
        <f>F54+F55+F56</f>
        <v>400</v>
      </c>
      <c r="G57" s="662">
        <f t="shared" ref="G57:R57" si="32">G54+G55+G56</f>
        <v>420</v>
      </c>
      <c r="H57" s="663">
        <f t="shared" si="32"/>
        <v>429</v>
      </c>
      <c r="I57" s="663">
        <f t="shared" si="32"/>
        <v>297</v>
      </c>
      <c r="J57" s="662">
        <f t="shared" si="32"/>
        <v>413</v>
      </c>
      <c r="K57" s="663">
        <f t="shared" si="32"/>
        <v>475</v>
      </c>
      <c r="L57" s="664">
        <f t="shared" si="32"/>
        <v>394</v>
      </c>
      <c r="M57" s="662">
        <f t="shared" si="32"/>
        <v>455</v>
      </c>
      <c r="N57" s="663">
        <f t="shared" si="32"/>
        <v>478</v>
      </c>
      <c r="O57" s="663">
        <f t="shared" si="32"/>
        <v>342</v>
      </c>
      <c r="P57" s="662">
        <f t="shared" si="32"/>
        <v>517</v>
      </c>
      <c r="Q57" s="663">
        <f t="shared" si="32"/>
        <v>546</v>
      </c>
      <c r="R57" s="664">
        <f t="shared" si="32"/>
        <v>425</v>
      </c>
      <c r="S57" s="662">
        <v>518</v>
      </c>
      <c r="T57" s="663">
        <v>569</v>
      </c>
      <c r="U57" s="664">
        <v>426</v>
      </c>
      <c r="V57" s="642">
        <f t="shared" si="29"/>
        <v>571</v>
      </c>
      <c r="W57" s="643">
        <f t="shared" si="29"/>
        <v>704</v>
      </c>
      <c r="X57" s="644">
        <f t="shared" si="29"/>
        <v>577</v>
      </c>
      <c r="Y57" s="642">
        <f t="shared" si="29"/>
        <v>657</v>
      </c>
      <c r="Z57" s="643">
        <f t="shared" si="29"/>
        <v>744</v>
      </c>
      <c r="AA57" s="644">
        <f t="shared" si="29"/>
        <v>484</v>
      </c>
    </row>
    <row r="58" spans="2:27" x14ac:dyDescent="0.2">
      <c r="C58" s="218"/>
      <c r="D58" s="219"/>
      <c r="E58" s="220"/>
      <c r="F58" s="220"/>
      <c r="G58" s="219"/>
      <c r="H58" s="220"/>
      <c r="I58" s="220"/>
      <c r="J58" s="219"/>
      <c r="K58" s="220"/>
      <c r="L58" s="221"/>
      <c r="M58" s="219"/>
      <c r="N58" s="220"/>
      <c r="O58" s="220"/>
      <c r="P58" s="219"/>
      <c r="Q58" s="220"/>
      <c r="R58" s="221"/>
      <c r="S58" s="219"/>
      <c r="T58" s="220"/>
      <c r="U58" s="221"/>
      <c r="V58" s="219"/>
      <c r="W58" s="220"/>
      <c r="X58" s="221"/>
      <c r="Y58" s="219"/>
      <c r="Z58" s="220"/>
      <c r="AA58" s="221"/>
    </row>
    <row r="59" spans="2:27" x14ac:dyDescent="0.2">
      <c r="B59" s="5519" t="s">
        <v>76</v>
      </c>
      <c r="C59" s="402" t="s">
        <v>26</v>
      </c>
      <c r="D59" s="403">
        <f t="shared" ref="D59:AA59" si="33">D20+D37+D54</f>
        <v>101</v>
      </c>
      <c r="E59" s="404">
        <f t="shared" si="33"/>
        <v>103</v>
      </c>
      <c r="F59" s="404">
        <f t="shared" si="33"/>
        <v>49</v>
      </c>
      <c r="G59" s="403">
        <f t="shared" si="33"/>
        <v>110</v>
      </c>
      <c r="H59" s="404">
        <f t="shared" si="33"/>
        <v>106</v>
      </c>
      <c r="I59" s="404">
        <f t="shared" si="33"/>
        <v>40</v>
      </c>
      <c r="J59" s="403">
        <f t="shared" si="33"/>
        <v>159</v>
      </c>
      <c r="K59" s="404">
        <f t="shared" si="33"/>
        <v>144</v>
      </c>
      <c r="L59" s="405">
        <f t="shared" si="33"/>
        <v>23</v>
      </c>
      <c r="M59" s="403">
        <f t="shared" si="33"/>
        <v>63</v>
      </c>
      <c r="N59" s="404">
        <f t="shared" si="33"/>
        <v>163</v>
      </c>
      <c r="O59" s="404">
        <f t="shared" si="33"/>
        <v>112</v>
      </c>
      <c r="P59" s="403">
        <f t="shared" si="33"/>
        <v>109</v>
      </c>
      <c r="Q59" s="404">
        <f t="shared" si="33"/>
        <v>166</v>
      </c>
      <c r="R59" s="405">
        <f t="shared" si="33"/>
        <v>122</v>
      </c>
      <c r="S59" s="403">
        <f t="shared" si="33"/>
        <v>86</v>
      </c>
      <c r="T59" s="404">
        <f t="shared" si="33"/>
        <v>173</v>
      </c>
      <c r="U59" s="405">
        <f t="shared" si="33"/>
        <v>132</v>
      </c>
      <c r="V59" s="403">
        <f t="shared" si="33"/>
        <v>81</v>
      </c>
      <c r="W59" s="404">
        <f t="shared" si="33"/>
        <v>80</v>
      </c>
      <c r="X59" s="405">
        <f t="shared" si="33"/>
        <v>133</v>
      </c>
      <c r="Y59" s="403">
        <f t="shared" si="33"/>
        <v>135</v>
      </c>
      <c r="Z59" s="404">
        <f t="shared" si="33"/>
        <v>62</v>
      </c>
      <c r="AA59" s="405">
        <f t="shared" si="33"/>
        <v>35</v>
      </c>
    </row>
    <row r="60" spans="2:27" x14ac:dyDescent="0.2">
      <c r="B60" s="5520"/>
      <c r="C60" s="218" t="s">
        <v>27</v>
      </c>
      <c r="D60" s="219">
        <f t="shared" ref="D60:AA60" si="34">D21+D38+D55</f>
        <v>647</v>
      </c>
      <c r="E60" s="220">
        <f t="shared" si="34"/>
        <v>609</v>
      </c>
      <c r="F60" s="220">
        <f t="shared" si="34"/>
        <v>534</v>
      </c>
      <c r="G60" s="219">
        <f t="shared" si="34"/>
        <v>641</v>
      </c>
      <c r="H60" s="220">
        <f t="shared" si="34"/>
        <v>620</v>
      </c>
      <c r="I60" s="220">
        <f t="shared" si="34"/>
        <v>459</v>
      </c>
      <c r="J60" s="219">
        <f t="shared" si="34"/>
        <v>632</v>
      </c>
      <c r="K60" s="220">
        <f t="shared" si="34"/>
        <v>680</v>
      </c>
      <c r="L60" s="221">
        <f t="shared" si="34"/>
        <v>555</v>
      </c>
      <c r="M60" s="219">
        <f t="shared" si="34"/>
        <v>745</v>
      </c>
      <c r="N60" s="220">
        <f t="shared" si="34"/>
        <v>746</v>
      </c>
      <c r="O60" s="220">
        <f t="shared" si="34"/>
        <v>556</v>
      </c>
      <c r="P60" s="219">
        <f t="shared" si="34"/>
        <v>864</v>
      </c>
      <c r="Q60" s="220">
        <f t="shared" si="34"/>
        <v>824</v>
      </c>
      <c r="R60" s="221">
        <f t="shared" si="34"/>
        <v>645</v>
      </c>
      <c r="S60" s="219">
        <f t="shared" si="34"/>
        <v>839</v>
      </c>
      <c r="T60" s="220">
        <f t="shared" si="34"/>
        <v>838</v>
      </c>
      <c r="U60" s="221">
        <f t="shared" si="34"/>
        <v>681</v>
      </c>
      <c r="V60" s="219">
        <f t="shared" si="34"/>
        <v>1018</v>
      </c>
      <c r="W60" s="220">
        <f t="shared" si="34"/>
        <v>1018</v>
      </c>
      <c r="X60" s="221">
        <f t="shared" si="34"/>
        <v>846</v>
      </c>
      <c r="Y60" s="219">
        <f t="shared" si="34"/>
        <v>1114</v>
      </c>
      <c r="Z60" s="220">
        <f t="shared" si="34"/>
        <v>1120</v>
      </c>
      <c r="AA60" s="221">
        <f t="shared" si="34"/>
        <v>848</v>
      </c>
    </row>
    <row r="61" spans="2:27" x14ac:dyDescent="0.2">
      <c r="B61" s="5520"/>
      <c r="C61" s="665" t="s">
        <v>28</v>
      </c>
      <c r="D61" s="526">
        <f t="shared" ref="D61:AA61" si="35">D22+D39+D56</f>
        <v>757</v>
      </c>
      <c r="E61" s="645">
        <f t="shared" si="35"/>
        <v>797</v>
      </c>
      <c r="F61" s="645">
        <f t="shared" si="35"/>
        <v>719</v>
      </c>
      <c r="G61" s="526">
        <f t="shared" si="35"/>
        <v>732</v>
      </c>
      <c r="H61" s="645">
        <f t="shared" si="35"/>
        <v>725</v>
      </c>
      <c r="I61" s="645">
        <f t="shared" si="35"/>
        <v>671</v>
      </c>
      <c r="J61" s="526">
        <f t="shared" si="35"/>
        <v>696</v>
      </c>
      <c r="K61" s="645">
        <f t="shared" si="35"/>
        <v>791</v>
      </c>
      <c r="L61" s="646">
        <f t="shared" si="35"/>
        <v>737</v>
      </c>
      <c r="M61" s="526">
        <f t="shared" si="35"/>
        <v>752</v>
      </c>
      <c r="N61" s="645">
        <f t="shared" si="35"/>
        <v>764</v>
      </c>
      <c r="O61" s="645">
        <f t="shared" si="35"/>
        <v>728</v>
      </c>
      <c r="P61" s="526">
        <f t="shared" si="35"/>
        <v>710</v>
      </c>
      <c r="Q61" s="645">
        <f t="shared" si="35"/>
        <v>827</v>
      </c>
      <c r="R61" s="646">
        <f t="shared" si="35"/>
        <v>772</v>
      </c>
      <c r="S61" s="526">
        <f t="shared" si="35"/>
        <v>815</v>
      </c>
      <c r="T61" s="645">
        <f t="shared" si="35"/>
        <v>793</v>
      </c>
      <c r="U61" s="646">
        <f t="shared" si="35"/>
        <v>749</v>
      </c>
      <c r="V61" s="526">
        <f t="shared" si="35"/>
        <v>877</v>
      </c>
      <c r="W61" s="645">
        <f t="shared" si="35"/>
        <v>974</v>
      </c>
      <c r="X61" s="646">
        <f t="shared" si="35"/>
        <v>945</v>
      </c>
      <c r="Y61" s="526">
        <f t="shared" si="35"/>
        <v>1001</v>
      </c>
      <c r="Z61" s="645">
        <f t="shared" si="35"/>
        <v>1019</v>
      </c>
      <c r="AA61" s="646">
        <f t="shared" si="35"/>
        <v>959</v>
      </c>
    </row>
    <row r="62" spans="2:27" s="224" customFormat="1" ht="15" x14ac:dyDescent="0.2">
      <c r="B62" s="5521"/>
      <c r="C62" s="637" t="s">
        <v>12</v>
      </c>
      <c r="D62" s="662">
        <f t="shared" ref="D62:R62" si="36">D23+D40+D57</f>
        <v>1505</v>
      </c>
      <c r="E62" s="663">
        <f t="shared" si="36"/>
        <v>1509</v>
      </c>
      <c r="F62" s="663">
        <f t="shared" si="36"/>
        <v>1302</v>
      </c>
      <c r="G62" s="662">
        <f t="shared" si="36"/>
        <v>1483</v>
      </c>
      <c r="H62" s="663">
        <f t="shared" si="36"/>
        <v>1451</v>
      </c>
      <c r="I62" s="663">
        <f t="shared" si="36"/>
        <v>1170</v>
      </c>
      <c r="J62" s="662">
        <f t="shared" si="36"/>
        <v>1487</v>
      </c>
      <c r="K62" s="663">
        <f t="shared" si="36"/>
        <v>1615</v>
      </c>
      <c r="L62" s="664">
        <f t="shared" si="36"/>
        <v>1315</v>
      </c>
      <c r="M62" s="662">
        <f t="shared" si="36"/>
        <v>1560</v>
      </c>
      <c r="N62" s="663">
        <f t="shared" si="36"/>
        <v>1673</v>
      </c>
      <c r="O62" s="663">
        <f t="shared" si="36"/>
        <v>1396</v>
      </c>
      <c r="P62" s="662">
        <f t="shared" si="36"/>
        <v>1683</v>
      </c>
      <c r="Q62" s="663">
        <f t="shared" si="36"/>
        <v>1817</v>
      </c>
      <c r="R62" s="664">
        <f t="shared" si="36"/>
        <v>1539</v>
      </c>
      <c r="S62" s="662">
        <v>1740</v>
      </c>
      <c r="T62" s="663">
        <v>1804</v>
      </c>
      <c r="U62" s="664">
        <v>1562</v>
      </c>
      <c r="V62" s="642">
        <f t="shared" ref="V62:AA62" si="37">V23+V40+V57</f>
        <v>1976</v>
      </c>
      <c r="W62" s="643">
        <f t="shared" si="37"/>
        <v>2072</v>
      </c>
      <c r="X62" s="644">
        <f t="shared" si="37"/>
        <v>1924</v>
      </c>
      <c r="Y62" s="642">
        <f t="shared" si="37"/>
        <v>2250</v>
      </c>
      <c r="Z62" s="643">
        <f t="shared" si="37"/>
        <v>2201</v>
      </c>
      <c r="AA62" s="644">
        <f t="shared" si="37"/>
        <v>1842</v>
      </c>
    </row>
    <row r="63" spans="2:27" ht="13.5" x14ac:dyDescent="0.2">
      <c r="D63" s="525"/>
      <c r="E63" s="525"/>
      <c r="F63" s="525"/>
      <c r="G63" s="216"/>
      <c r="H63" s="216"/>
      <c r="I63" s="216"/>
      <c r="J63" s="216"/>
      <c r="K63" s="216"/>
      <c r="L63" s="216"/>
      <c r="M63" s="223"/>
      <c r="N63" s="216"/>
      <c r="O63" s="216"/>
      <c r="P63" s="216"/>
      <c r="Q63" s="223"/>
      <c r="R63" s="223"/>
      <c r="S63" s="216"/>
      <c r="T63" s="216"/>
      <c r="U63" s="223"/>
      <c r="V63" s="216"/>
      <c r="W63" s="216"/>
      <c r="X63" s="223"/>
    </row>
    <row r="64" spans="2:27" s="212" customFormat="1" ht="13.5" x14ac:dyDescent="0.2">
      <c r="B64" s="232" t="s">
        <v>0</v>
      </c>
      <c r="C64" s="232"/>
      <c r="D64" s="232"/>
      <c r="E64" s="666"/>
      <c r="F64" s="213"/>
      <c r="G64" s="225"/>
      <c r="H64" s="225"/>
      <c r="I64" s="225"/>
      <c r="J64" s="225"/>
      <c r="K64" s="225"/>
      <c r="L64" s="225"/>
      <c r="M64" s="226"/>
      <c r="N64" s="225"/>
      <c r="O64" s="225"/>
      <c r="P64" s="225"/>
      <c r="Q64" s="226"/>
      <c r="R64" s="226"/>
      <c r="S64" s="225"/>
      <c r="T64" s="225"/>
      <c r="U64" s="226"/>
      <c r="V64" s="225"/>
      <c r="W64" s="225"/>
      <c r="X64" s="226"/>
    </row>
    <row r="65" spans="2:22" x14ac:dyDescent="0.2">
      <c r="B65" s="210"/>
      <c r="G65" s="211"/>
      <c r="H65" s="211"/>
      <c r="I65" s="211"/>
      <c r="J65" s="211"/>
      <c r="K65" s="211"/>
      <c r="L65" s="211"/>
      <c r="M65" s="211"/>
      <c r="N65" s="211"/>
      <c r="O65" s="211"/>
      <c r="P65" s="211"/>
      <c r="Q65" s="211"/>
      <c r="R65" s="211"/>
      <c r="S65" s="211"/>
      <c r="V65" s="211"/>
    </row>
    <row r="66" spans="2:22" x14ac:dyDescent="0.2">
      <c r="G66" s="227"/>
      <c r="H66" s="227"/>
      <c r="I66" s="227"/>
      <c r="J66" s="227"/>
      <c r="K66" s="227"/>
      <c r="L66" s="227"/>
      <c r="M66" s="227"/>
      <c r="N66" s="227"/>
      <c r="O66" s="227"/>
      <c r="P66" s="227"/>
      <c r="Q66" s="227"/>
      <c r="R66" s="227"/>
      <c r="S66" s="227"/>
      <c r="V66" s="227"/>
    </row>
    <row r="69" spans="2:22" ht="12.75" customHeight="1" x14ac:dyDescent="0.2"/>
    <row r="99" ht="12.75" customHeight="1" x14ac:dyDescent="0.2"/>
    <row r="100" ht="12.75" customHeight="1" x14ac:dyDescent="0.2"/>
    <row r="101" ht="12.75" customHeight="1" x14ac:dyDescent="0.2"/>
    <row r="120" ht="12.75" customHeight="1" x14ac:dyDescent="0.2"/>
    <row r="123" ht="15" customHeight="1" x14ac:dyDescent="0.2"/>
  </sheetData>
  <mergeCells count="39">
    <mergeCell ref="G5:G6"/>
    <mergeCell ref="H5:H6"/>
    <mergeCell ref="B5:B6"/>
    <mergeCell ref="C5:C6"/>
    <mergeCell ref="D5:D6"/>
    <mergeCell ref="E5:E6"/>
    <mergeCell ref="F5:F6"/>
    <mergeCell ref="J5:J6"/>
    <mergeCell ref="K5:K6"/>
    <mergeCell ref="L5:L6"/>
    <mergeCell ref="Y5:Y6"/>
    <mergeCell ref="O5:O6"/>
    <mergeCell ref="P5:P6"/>
    <mergeCell ref="R5:R6"/>
    <mergeCell ref="AA5:AA6"/>
    <mergeCell ref="B8:B11"/>
    <mergeCell ref="B12:B15"/>
    <mergeCell ref="B16:B19"/>
    <mergeCell ref="B20:B23"/>
    <mergeCell ref="S5:S6"/>
    <mergeCell ref="T5:T6"/>
    <mergeCell ref="U5:U6"/>
    <mergeCell ref="V5:V6"/>
    <mergeCell ref="W5:W6"/>
    <mergeCell ref="X5:X6"/>
    <mergeCell ref="M5:M6"/>
    <mergeCell ref="N5:N6"/>
    <mergeCell ref="I5:I6"/>
    <mergeCell ref="Q5:Q6"/>
    <mergeCell ref="Z5:Z6"/>
    <mergeCell ref="B54:B57"/>
    <mergeCell ref="B25:B28"/>
    <mergeCell ref="B42:B45"/>
    <mergeCell ref="B59:B62"/>
    <mergeCell ref="B29:B32"/>
    <mergeCell ref="B33:B36"/>
    <mergeCell ref="B37:B40"/>
    <mergeCell ref="B46:B49"/>
    <mergeCell ref="B50:B53"/>
  </mergeCells>
  <printOptions horizontalCentered="1" verticalCentered="1"/>
  <pageMargins left="0.511811023622047" right="0.27559055118110198" top="0.511811023622047" bottom="0.59055118110236204" header="0.43307086614173201" footer="0.31496062992126"/>
  <pageSetup scale="45" orientation="landscape" horizontalDpi="1200" verticalDpi="1200" r:id="rId1"/>
  <headerFooter alignWithMargins="0">
    <oddHeader>&amp;LANEXO ESTADÍSTICO 2008&amp;CCOBERTURA EDUCATIVA&amp;R&amp;G</oddHeader>
    <oddFooter>&amp;R32</oddFooter>
  </headerFooter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AQ139"/>
  <sheetViews>
    <sheetView showGridLines="0" zoomScaleNormal="100" zoomScaleSheetLayoutView="50" workbookViewId="0">
      <pane xSplit="4" ySplit="4" topLeftCell="AG89" activePane="bottomRight" state="frozen"/>
      <selection pane="topRight" activeCell="E1" sqref="E1"/>
      <selection pane="bottomLeft" activeCell="A6" sqref="A6"/>
      <selection pane="bottomRight" activeCell="D109" sqref="D109:D111"/>
    </sheetView>
  </sheetViews>
  <sheetFormatPr baseColWidth="10" defaultRowHeight="12.75" x14ac:dyDescent="0.2"/>
  <cols>
    <col min="1" max="1" width="9.28515625" style="209" customWidth="1"/>
    <col min="2" max="2" width="9.28515625" style="228" bestFit="1" customWidth="1"/>
    <col min="3" max="3" width="9.28515625" style="228" customWidth="1"/>
    <col min="4" max="4" width="65.7109375" style="210" customWidth="1"/>
    <col min="5" max="18" width="7.7109375" style="228" customWidth="1"/>
    <col min="19" max="19" width="9.42578125" style="228" customWidth="1"/>
    <col min="20" max="21" width="7.7109375" style="228" customWidth="1"/>
    <col min="22" max="22" width="9.42578125" style="228" customWidth="1"/>
    <col min="23" max="24" width="7.7109375" style="228" customWidth="1"/>
    <col min="25" max="25" width="9.42578125" style="228" customWidth="1"/>
    <col min="26" max="34" width="7.7109375" style="228" customWidth="1"/>
    <col min="35" max="43" width="7.7109375" style="209" customWidth="1"/>
    <col min="44" max="256" width="11.42578125" style="209"/>
    <col min="257" max="257" width="2.28515625" style="209" customWidth="1"/>
    <col min="258" max="258" width="17.7109375" style="209" bestFit="1" customWidth="1"/>
    <col min="259" max="259" width="8.140625" style="209" bestFit="1" customWidth="1"/>
    <col min="260" max="260" width="52.85546875" style="209" customWidth="1"/>
    <col min="261" max="274" width="7.7109375" style="209" customWidth="1"/>
    <col min="275" max="275" width="9.42578125" style="209" customWidth="1"/>
    <col min="276" max="277" width="7.7109375" style="209" customWidth="1"/>
    <col min="278" max="278" width="9.42578125" style="209" customWidth="1"/>
    <col min="279" max="280" width="7.7109375" style="209" customWidth="1"/>
    <col min="281" max="281" width="9.42578125" style="209" customWidth="1"/>
    <col min="282" max="284" width="7.7109375" style="209" customWidth="1"/>
    <col min="285" max="512" width="11.42578125" style="209"/>
    <col min="513" max="513" width="2.28515625" style="209" customWidth="1"/>
    <col min="514" max="514" width="17.7109375" style="209" bestFit="1" customWidth="1"/>
    <col min="515" max="515" width="8.140625" style="209" bestFit="1" customWidth="1"/>
    <col min="516" max="516" width="52.85546875" style="209" customWidth="1"/>
    <col min="517" max="530" width="7.7109375" style="209" customWidth="1"/>
    <col min="531" max="531" width="9.42578125" style="209" customWidth="1"/>
    <col min="532" max="533" width="7.7109375" style="209" customWidth="1"/>
    <col min="534" max="534" width="9.42578125" style="209" customWidth="1"/>
    <col min="535" max="536" width="7.7109375" style="209" customWidth="1"/>
    <col min="537" max="537" width="9.42578125" style="209" customWidth="1"/>
    <col min="538" max="540" width="7.7109375" style="209" customWidth="1"/>
    <col min="541" max="768" width="11.42578125" style="209"/>
    <col min="769" max="769" width="2.28515625" style="209" customWidth="1"/>
    <col min="770" max="770" width="17.7109375" style="209" bestFit="1" customWidth="1"/>
    <col min="771" max="771" width="8.140625" style="209" bestFit="1" customWidth="1"/>
    <col min="772" max="772" width="52.85546875" style="209" customWidth="1"/>
    <col min="773" max="786" width="7.7109375" style="209" customWidth="1"/>
    <col min="787" max="787" width="9.42578125" style="209" customWidth="1"/>
    <col min="788" max="789" width="7.7109375" style="209" customWidth="1"/>
    <col min="790" max="790" width="9.42578125" style="209" customWidth="1"/>
    <col min="791" max="792" width="7.7109375" style="209" customWidth="1"/>
    <col min="793" max="793" width="9.42578125" style="209" customWidth="1"/>
    <col min="794" max="796" width="7.7109375" style="209" customWidth="1"/>
    <col min="797" max="1024" width="11.42578125" style="209"/>
    <col min="1025" max="1025" width="2.28515625" style="209" customWidth="1"/>
    <col min="1026" max="1026" width="17.7109375" style="209" bestFit="1" customWidth="1"/>
    <col min="1027" max="1027" width="8.140625" style="209" bestFit="1" customWidth="1"/>
    <col min="1028" max="1028" width="52.85546875" style="209" customWidth="1"/>
    <col min="1029" max="1042" width="7.7109375" style="209" customWidth="1"/>
    <col min="1043" max="1043" width="9.42578125" style="209" customWidth="1"/>
    <col min="1044" max="1045" width="7.7109375" style="209" customWidth="1"/>
    <col min="1046" max="1046" width="9.42578125" style="209" customWidth="1"/>
    <col min="1047" max="1048" width="7.7109375" style="209" customWidth="1"/>
    <col min="1049" max="1049" width="9.42578125" style="209" customWidth="1"/>
    <col min="1050" max="1052" width="7.7109375" style="209" customWidth="1"/>
    <col min="1053" max="1280" width="11.42578125" style="209"/>
    <col min="1281" max="1281" width="2.28515625" style="209" customWidth="1"/>
    <col min="1282" max="1282" width="17.7109375" style="209" bestFit="1" customWidth="1"/>
    <col min="1283" max="1283" width="8.140625" style="209" bestFit="1" customWidth="1"/>
    <col min="1284" max="1284" width="52.85546875" style="209" customWidth="1"/>
    <col min="1285" max="1298" width="7.7109375" style="209" customWidth="1"/>
    <col min="1299" max="1299" width="9.42578125" style="209" customWidth="1"/>
    <col min="1300" max="1301" width="7.7109375" style="209" customWidth="1"/>
    <col min="1302" max="1302" width="9.42578125" style="209" customWidth="1"/>
    <col min="1303" max="1304" width="7.7109375" style="209" customWidth="1"/>
    <col min="1305" max="1305" width="9.42578125" style="209" customWidth="1"/>
    <col min="1306" max="1308" width="7.7109375" style="209" customWidth="1"/>
    <col min="1309" max="1536" width="11.42578125" style="209"/>
    <col min="1537" max="1537" width="2.28515625" style="209" customWidth="1"/>
    <col min="1538" max="1538" width="17.7109375" style="209" bestFit="1" customWidth="1"/>
    <col min="1539" max="1539" width="8.140625" style="209" bestFit="1" customWidth="1"/>
    <col min="1540" max="1540" width="52.85546875" style="209" customWidth="1"/>
    <col min="1541" max="1554" width="7.7109375" style="209" customWidth="1"/>
    <col min="1555" max="1555" width="9.42578125" style="209" customWidth="1"/>
    <col min="1556" max="1557" width="7.7109375" style="209" customWidth="1"/>
    <col min="1558" max="1558" width="9.42578125" style="209" customWidth="1"/>
    <col min="1559" max="1560" width="7.7109375" style="209" customWidth="1"/>
    <col min="1561" max="1561" width="9.42578125" style="209" customWidth="1"/>
    <col min="1562" max="1564" width="7.7109375" style="209" customWidth="1"/>
    <col min="1565" max="1792" width="11.42578125" style="209"/>
    <col min="1793" max="1793" width="2.28515625" style="209" customWidth="1"/>
    <col min="1794" max="1794" width="17.7109375" style="209" bestFit="1" customWidth="1"/>
    <col min="1795" max="1795" width="8.140625" style="209" bestFit="1" customWidth="1"/>
    <col min="1796" max="1796" width="52.85546875" style="209" customWidth="1"/>
    <col min="1797" max="1810" width="7.7109375" style="209" customWidth="1"/>
    <col min="1811" max="1811" width="9.42578125" style="209" customWidth="1"/>
    <col min="1812" max="1813" width="7.7109375" style="209" customWidth="1"/>
    <col min="1814" max="1814" width="9.42578125" style="209" customWidth="1"/>
    <col min="1815" max="1816" width="7.7109375" style="209" customWidth="1"/>
    <col min="1817" max="1817" width="9.42578125" style="209" customWidth="1"/>
    <col min="1818" max="1820" width="7.7109375" style="209" customWidth="1"/>
    <col min="1821" max="2048" width="11.42578125" style="209"/>
    <col min="2049" max="2049" width="2.28515625" style="209" customWidth="1"/>
    <col min="2050" max="2050" width="17.7109375" style="209" bestFit="1" customWidth="1"/>
    <col min="2051" max="2051" width="8.140625" style="209" bestFit="1" customWidth="1"/>
    <col min="2052" max="2052" width="52.85546875" style="209" customWidth="1"/>
    <col min="2053" max="2066" width="7.7109375" style="209" customWidth="1"/>
    <col min="2067" max="2067" width="9.42578125" style="209" customWidth="1"/>
    <col min="2068" max="2069" width="7.7109375" style="209" customWidth="1"/>
    <col min="2070" max="2070" width="9.42578125" style="209" customWidth="1"/>
    <col min="2071" max="2072" width="7.7109375" style="209" customWidth="1"/>
    <col min="2073" max="2073" width="9.42578125" style="209" customWidth="1"/>
    <col min="2074" max="2076" width="7.7109375" style="209" customWidth="1"/>
    <col min="2077" max="2304" width="11.42578125" style="209"/>
    <col min="2305" max="2305" width="2.28515625" style="209" customWidth="1"/>
    <col min="2306" max="2306" width="17.7109375" style="209" bestFit="1" customWidth="1"/>
    <col min="2307" max="2307" width="8.140625" style="209" bestFit="1" customWidth="1"/>
    <col min="2308" max="2308" width="52.85546875" style="209" customWidth="1"/>
    <col min="2309" max="2322" width="7.7109375" style="209" customWidth="1"/>
    <col min="2323" max="2323" width="9.42578125" style="209" customWidth="1"/>
    <col min="2324" max="2325" width="7.7109375" style="209" customWidth="1"/>
    <col min="2326" max="2326" width="9.42578125" style="209" customWidth="1"/>
    <col min="2327" max="2328" width="7.7109375" style="209" customWidth="1"/>
    <col min="2329" max="2329" width="9.42578125" style="209" customWidth="1"/>
    <col min="2330" max="2332" width="7.7109375" style="209" customWidth="1"/>
    <col min="2333" max="2560" width="11.42578125" style="209"/>
    <col min="2561" max="2561" width="2.28515625" style="209" customWidth="1"/>
    <col min="2562" max="2562" width="17.7109375" style="209" bestFit="1" customWidth="1"/>
    <col min="2563" max="2563" width="8.140625" style="209" bestFit="1" customWidth="1"/>
    <col min="2564" max="2564" width="52.85546875" style="209" customWidth="1"/>
    <col min="2565" max="2578" width="7.7109375" style="209" customWidth="1"/>
    <col min="2579" max="2579" width="9.42578125" style="209" customWidth="1"/>
    <col min="2580" max="2581" width="7.7109375" style="209" customWidth="1"/>
    <col min="2582" max="2582" width="9.42578125" style="209" customWidth="1"/>
    <col min="2583" max="2584" width="7.7109375" style="209" customWidth="1"/>
    <col min="2585" max="2585" width="9.42578125" style="209" customWidth="1"/>
    <col min="2586" max="2588" width="7.7109375" style="209" customWidth="1"/>
    <col min="2589" max="2816" width="11.42578125" style="209"/>
    <col min="2817" max="2817" width="2.28515625" style="209" customWidth="1"/>
    <col min="2818" max="2818" width="17.7109375" style="209" bestFit="1" customWidth="1"/>
    <col min="2819" max="2819" width="8.140625" style="209" bestFit="1" customWidth="1"/>
    <col min="2820" max="2820" width="52.85546875" style="209" customWidth="1"/>
    <col min="2821" max="2834" width="7.7109375" style="209" customWidth="1"/>
    <col min="2835" max="2835" width="9.42578125" style="209" customWidth="1"/>
    <col min="2836" max="2837" width="7.7109375" style="209" customWidth="1"/>
    <col min="2838" max="2838" width="9.42578125" style="209" customWidth="1"/>
    <col min="2839" max="2840" width="7.7109375" style="209" customWidth="1"/>
    <col min="2841" max="2841" width="9.42578125" style="209" customWidth="1"/>
    <col min="2842" max="2844" width="7.7109375" style="209" customWidth="1"/>
    <col min="2845" max="3072" width="11.42578125" style="209"/>
    <col min="3073" max="3073" width="2.28515625" style="209" customWidth="1"/>
    <col min="3074" max="3074" width="17.7109375" style="209" bestFit="1" customWidth="1"/>
    <col min="3075" max="3075" width="8.140625" style="209" bestFit="1" customWidth="1"/>
    <col min="3076" max="3076" width="52.85546875" style="209" customWidth="1"/>
    <col min="3077" max="3090" width="7.7109375" style="209" customWidth="1"/>
    <col min="3091" max="3091" width="9.42578125" style="209" customWidth="1"/>
    <col min="3092" max="3093" width="7.7109375" style="209" customWidth="1"/>
    <col min="3094" max="3094" width="9.42578125" style="209" customWidth="1"/>
    <col min="3095" max="3096" width="7.7109375" style="209" customWidth="1"/>
    <col min="3097" max="3097" width="9.42578125" style="209" customWidth="1"/>
    <col min="3098" max="3100" width="7.7109375" style="209" customWidth="1"/>
    <col min="3101" max="3328" width="11.42578125" style="209"/>
    <col min="3329" max="3329" width="2.28515625" style="209" customWidth="1"/>
    <col min="3330" max="3330" width="17.7109375" style="209" bestFit="1" customWidth="1"/>
    <col min="3331" max="3331" width="8.140625" style="209" bestFit="1" customWidth="1"/>
    <col min="3332" max="3332" width="52.85546875" style="209" customWidth="1"/>
    <col min="3333" max="3346" width="7.7109375" style="209" customWidth="1"/>
    <col min="3347" max="3347" width="9.42578125" style="209" customWidth="1"/>
    <col min="3348" max="3349" width="7.7109375" style="209" customWidth="1"/>
    <col min="3350" max="3350" width="9.42578125" style="209" customWidth="1"/>
    <col min="3351" max="3352" width="7.7109375" style="209" customWidth="1"/>
    <col min="3353" max="3353" width="9.42578125" style="209" customWidth="1"/>
    <col min="3354" max="3356" width="7.7109375" style="209" customWidth="1"/>
    <col min="3357" max="3584" width="11.42578125" style="209"/>
    <col min="3585" max="3585" width="2.28515625" style="209" customWidth="1"/>
    <col min="3586" max="3586" width="17.7109375" style="209" bestFit="1" customWidth="1"/>
    <col min="3587" max="3587" width="8.140625" style="209" bestFit="1" customWidth="1"/>
    <col min="3588" max="3588" width="52.85546875" style="209" customWidth="1"/>
    <col min="3589" max="3602" width="7.7109375" style="209" customWidth="1"/>
    <col min="3603" max="3603" width="9.42578125" style="209" customWidth="1"/>
    <col min="3604" max="3605" width="7.7109375" style="209" customWidth="1"/>
    <col min="3606" max="3606" width="9.42578125" style="209" customWidth="1"/>
    <col min="3607" max="3608" width="7.7109375" style="209" customWidth="1"/>
    <col min="3609" max="3609" width="9.42578125" style="209" customWidth="1"/>
    <col min="3610" max="3612" width="7.7109375" style="209" customWidth="1"/>
    <col min="3613" max="3840" width="11.42578125" style="209"/>
    <col min="3841" max="3841" width="2.28515625" style="209" customWidth="1"/>
    <col min="3842" max="3842" width="17.7109375" style="209" bestFit="1" customWidth="1"/>
    <col min="3843" max="3843" width="8.140625" style="209" bestFit="1" customWidth="1"/>
    <col min="3844" max="3844" width="52.85546875" style="209" customWidth="1"/>
    <col min="3845" max="3858" width="7.7109375" style="209" customWidth="1"/>
    <col min="3859" max="3859" width="9.42578125" style="209" customWidth="1"/>
    <col min="3860" max="3861" width="7.7109375" style="209" customWidth="1"/>
    <col min="3862" max="3862" width="9.42578125" style="209" customWidth="1"/>
    <col min="3863" max="3864" width="7.7109375" style="209" customWidth="1"/>
    <col min="3865" max="3865" width="9.42578125" style="209" customWidth="1"/>
    <col min="3866" max="3868" width="7.7109375" style="209" customWidth="1"/>
    <col min="3869" max="4096" width="11.42578125" style="209"/>
    <col min="4097" max="4097" width="2.28515625" style="209" customWidth="1"/>
    <col min="4098" max="4098" width="17.7109375" style="209" bestFit="1" customWidth="1"/>
    <col min="4099" max="4099" width="8.140625" style="209" bestFit="1" customWidth="1"/>
    <col min="4100" max="4100" width="52.85546875" style="209" customWidth="1"/>
    <col min="4101" max="4114" width="7.7109375" style="209" customWidth="1"/>
    <col min="4115" max="4115" width="9.42578125" style="209" customWidth="1"/>
    <col min="4116" max="4117" width="7.7109375" style="209" customWidth="1"/>
    <col min="4118" max="4118" width="9.42578125" style="209" customWidth="1"/>
    <col min="4119" max="4120" width="7.7109375" style="209" customWidth="1"/>
    <col min="4121" max="4121" width="9.42578125" style="209" customWidth="1"/>
    <col min="4122" max="4124" width="7.7109375" style="209" customWidth="1"/>
    <col min="4125" max="4352" width="11.42578125" style="209"/>
    <col min="4353" max="4353" width="2.28515625" style="209" customWidth="1"/>
    <col min="4354" max="4354" width="17.7109375" style="209" bestFit="1" customWidth="1"/>
    <col min="4355" max="4355" width="8.140625" style="209" bestFit="1" customWidth="1"/>
    <col min="4356" max="4356" width="52.85546875" style="209" customWidth="1"/>
    <col min="4357" max="4370" width="7.7109375" style="209" customWidth="1"/>
    <col min="4371" max="4371" width="9.42578125" style="209" customWidth="1"/>
    <col min="4372" max="4373" width="7.7109375" style="209" customWidth="1"/>
    <col min="4374" max="4374" width="9.42578125" style="209" customWidth="1"/>
    <col min="4375" max="4376" width="7.7109375" style="209" customWidth="1"/>
    <col min="4377" max="4377" width="9.42578125" style="209" customWidth="1"/>
    <col min="4378" max="4380" width="7.7109375" style="209" customWidth="1"/>
    <col min="4381" max="4608" width="11.42578125" style="209"/>
    <col min="4609" max="4609" width="2.28515625" style="209" customWidth="1"/>
    <col min="4610" max="4610" width="17.7109375" style="209" bestFit="1" customWidth="1"/>
    <col min="4611" max="4611" width="8.140625" style="209" bestFit="1" customWidth="1"/>
    <col min="4612" max="4612" width="52.85546875" style="209" customWidth="1"/>
    <col min="4613" max="4626" width="7.7109375" style="209" customWidth="1"/>
    <col min="4627" max="4627" width="9.42578125" style="209" customWidth="1"/>
    <col min="4628" max="4629" width="7.7109375" style="209" customWidth="1"/>
    <col min="4630" max="4630" width="9.42578125" style="209" customWidth="1"/>
    <col min="4631" max="4632" width="7.7109375" style="209" customWidth="1"/>
    <col min="4633" max="4633" width="9.42578125" style="209" customWidth="1"/>
    <col min="4634" max="4636" width="7.7109375" style="209" customWidth="1"/>
    <col min="4637" max="4864" width="11.42578125" style="209"/>
    <col min="4865" max="4865" width="2.28515625" style="209" customWidth="1"/>
    <col min="4866" max="4866" width="17.7109375" style="209" bestFit="1" customWidth="1"/>
    <col min="4867" max="4867" width="8.140625" style="209" bestFit="1" customWidth="1"/>
    <col min="4868" max="4868" width="52.85546875" style="209" customWidth="1"/>
    <col min="4869" max="4882" width="7.7109375" style="209" customWidth="1"/>
    <col min="4883" max="4883" width="9.42578125" style="209" customWidth="1"/>
    <col min="4884" max="4885" width="7.7109375" style="209" customWidth="1"/>
    <col min="4886" max="4886" width="9.42578125" style="209" customWidth="1"/>
    <col min="4887" max="4888" width="7.7109375" style="209" customWidth="1"/>
    <col min="4889" max="4889" width="9.42578125" style="209" customWidth="1"/>
    <col min="4890" max="4892" width="7.7109375" style="209" customWidth="1"/>
    <col min="4893" max="5120" width="11.42578125" style="209"/>
    <col min="5121" max="5121" width="2.28515625" style="209" customWidth="1"/>
    <col min="5122" max="5122" width="17.7109375" style="209" bestFit="1" customWidth="1"/>
    <col min="5123" max="5123" width="8.140625" style="209" bestFit="1" customWidth="1"/>
    <col min="5124" max="5124" width="52.85546875" style="209" customWidth="1"/>
    <col min="5125" max="5138" width="7.7109375" style="209" customWidth="1"/>
    <col min="5139" max="5139" width="9.42578125" style="209" customWidth="1"/>
    <col min="5140" max="5141" width="7.7109375" style="209" customWidth="1"/>
    <col min="5142" max="5142" width="9.42578125" style="209" customWidth="1"/>
    <col min="5143" max="5144" width="7.7109375" style="209" customWidth="1"/>
    <col min="5145" max="5145" width="9.42578125" style="209" customWidth="1"/>
    <col min="5146" max="5148" width="7.7109375" style="209" customWidth="1"/>
    <col min="5149" max="5376" width="11.42578125" style="209"/>
    <col min="5377" max="5377" width="2.28515625" style="209" customWidth="1"/>
    <col min="5378" max="5378" width="17.7109375" style="209" bestFit="1" customWidth="1"/>
    <col min="5379" max="5379" width="8.140625" style="209" bestFit="1" customWidth="1"/>
    <col min="5380" max="5380" width="52.85546875" style="209" customWidth="1"/>
    <col min="5381" max="5394" width="7.7109375" style="209" customWidth="1"/>
    <col min="5395" max="5395" width="9.42578125" style="209" customWidth="1"/>
    <col min="5396" max="5397" width="7.7109375" style="209" customWidth="1"/>
    <col min="5398" max="5398" width="9.42578125" style="209" customWidth="1"/>
    <col min="5399" max="5400" width="7.7109375" style="209" customWidth="1"/>
    <col min="5401" max="5401" width="9.42578125" style="209" customWidth="1"/>
    <col min="5402" max="5404" width="7.7109375" style="209" customWidth="1"/>
    <col min="5405" max="5632" width="11.42578125" style="209"/>
    <col min="5633" max="5633" width="2.28515625" style="209" customWidth="1"/>
    <col min="5634" max="5634" width="17.7109375" style="209" bestFit="1" customWidth="1"/>
    <col min="5635" max="5635" width="8.140625" style="209" bestFit="1" customWidth="1"/>
    <col min="5636" max="5636" width="52.85546875" style="209" customWidth="1"/>
    <col min="5637" max="5650" width="7.7109375" style="209" customWidth="1"/>
    <col min="5651" max="5651" width="9.42578125" style="209" customWidth="1"/>
    <col min="5652" max="5653" width="7.7109375" style="209" customWidth="1"/>
    <col min="5654" max="5654" width="9.42578125" style="209" customWidth="1"/>
    <col min="5655" max="5656" width="7.7109375" style="209" customWidth="1"/>
    <col min="5657" max="5657" width="9.42578125" style="209" customWidth="1"/>
    <col min="5658" max="5660" width="7.7109375" style="209" customWidth="1"/>
    <col min="5661" max="5888" width="11.42578125" style="209"/>
    <col min="5889" max="5889" width="2.28515625" style="209" customWidth="1"/>
    <col min="5890" max="5890" width="17.7109375" style="209" bestFit="1" customWidth="1"/>
    <col min="5891" max="5891" width="8.140625" style="209" bestFit="1" customWidth="1"/>
    <col min="5892" max="5892" width="52.85546875" style="209" customWidth="1"/>
    <col min="5893" max="5906" width="7.7109375" style="209" customWidth="1"/>
    <col min="5907" max="5907" width="9.42578125" style="209" customWidth="1"/>
    <col min="5908" max="5909" width="7.7109375" style="209" customWidth="1"/>
    <col min="5910" max="5910" width="9.42578125" style="209" customWidth="1"/>
    <col min="5911" max="5912" width="7.7109375" style="209" customWidth="1"/>
    <col min="5913" max="5913" width="9.42578125" style="209" customWidth="1"/>
    <col min="5914" max="5916" width="7.7109375" style="209" customWidth="1"/>
    <col min="5917" max="6144" width="11.42578125" style="209"/>
    <col min="6145" max="6145" width="2.28515625" style="209" customWidth="1"/>
    <col min="6146" max="6146" width="17.7109375" style="209" bestFit="1" customWidth="1"/>
    <col min="6147" max="6147" width="8.140625" style="209" bestFit="1" customWidth="1"/>
    <col min="6148" max="6148" width="52.85546875" style="209" customWidth="1"/>
    <col min="6149" max="6162" width="7.7109375" style="209" customWidth="1"/>
    <col min="6163" max="6163" width="9.42578125" style="209" customWidth="1"/>
    <col min="6164" max="6165" width="7.7109375" style="209" customWidth="1"/>
    <col min="6166" max="6166" width="9.42578125" style="209" customWidth="1"/>
    <col min="6167" max="6168" width="7.7109375" style="209" customWidth="1"/>
    <col min="6169" max="6169" width="9.42578125" style="209" customWidth="1"/>
    <col min="6170" max="6172" width="7.7109375" style="209" customWidth="1"/>
    <col min="6173" max="6400" width="11.42578125" style="209"/>
    <col min="6401" max="6401" width="2.28515625" style="209" customWidth="1"/>
    <col min="6402" max="6402" width="17.7109375" style="209" bestFit="1" customWidth="1"/>
    <col min="6403" max="6403" width="8.140625" style="209" bestFit="1" customWidth="1"/>
    <col min="6404" max="6404" width="52.85546875" style="209" customWidth="1"/>
    <col min="6405" max="6418" width="7.7109375" style="209" customWidth="1"/>
    <col min="6419" max="6419" width="9.42578125" style="209" customWidth="1"/>
    <col min="6420" max="6421" width="7.7109375" style="209" customWidth="1"/>
    <col min="6422" max="6422" width="9.42578125" style="209" customWidth="1"/>
    <col min="6423" max="6424" width="7.7109375" style="209" customWidth="1"/>
    <col min="6425" max="6425" width="9.42578125" style="209" customWidth="1"/>
    <col min="6426" max="6428" width="7.7109375" style="209" customWidth="1"/>
    <col min="6429" max="6656" width="11.42578125" style="209"/>
    <col min="6657" max="6657" width="2.28515625" style="209" customWidth="1"/>
    <col min="6658" max="6658" width="17.7109375" style="209" bestFit="1" customWidth="1"/>
    <col min="6659" max="6659" width="8.140625" style="209" bestFit="1" customWidth="1"/>
    <col min="6660" max="6660" width="52.85546875" style="209" customWidth="1"/>
    <col min="6661" max="6674" width="7.7109375" style="209" customWidth="1"/>
    <col min="6675" max="6675" width="9.42578125" style="209" customWidth="1"/>
    <col min="6676" max="6677" width="7.7109375" style="209" customWidth="1"/>
    <col min="6678" max="6678" width="9.42578125" style="209" customWidth="1"/>
    <col min="6679" max="6680" width="7.7109375" style="209" customWidth="1"/>
    <col min="6681" max="6681" width="9.42578125" style="209" customWidth="1"/>
    <col min="6682" max="6684" width="7.7109375" style="209" customWidth="1"/>
    <col min="6685" max="6912" width="11.42578125" style="209"/>
    <col min="6913" max="6913" width="2.28515625" style="209" customWidth="1"/>
    <col min="6914" max="6914" width="17.7109375" style="209" bestFit="1" customWidth="1"/>
    <col min="6915" max="6915" width="8.140625" style="209" bestFit="1" customWidth="1"/>
    <col min="6916" max="6916" width="52.85546875" style="209" customWidth="1"/>
    <col min="6917" max="6930" width="7.7109375" style="209" customWidth="1"/>
    <col min="6931" max="6931" width="9.42578125" style="209" customWidth="1"/>
    <col min="6932" max="6933" width="7.7109375" style="209" customWidth="1"/>
    <col min="6934" max="6934" width="9.42578125" style="209" customWidth="1"/>
    <col min="6935" max="6936" width="7.7109375" style="209" customWidth="1"/>
    <col min="6937" max="6937" width="9.42578125" style="209" customWidth="1"/>
    <col min="6938" max="6940" width="7.7109375" style="209" customWidth="1"/>
    <col min="6941" max="7168" width="11.42578125" style="209"/>
    <col min="7169" max="7169" width="2.28515625" style="209" customWidth="1"/>
    <col min="7170" max="7170" width="17.7109375" style="209" bestFit="1" customWidth="1"/>
    <col min="7171" max="7171" width="8.140625" style="209" bestFit="1" customWidth="1"/>
    <col min="7172" max="7172" width="52.85546875" style="209" customWidth="1"/>
    <col min="7173" max="7186" width="7.7109375" style="209" customWidth="1"/>
    <col min="7187" max="7187" width="9.42578125" style="209" customWidth="1"/>
    <col min="7188" max="7189" width="7.7109375" style="209" customWidth="1"/>
    <col min="7190" max="7190" width="9.42578125" style="209" customWidth="1"/>
    <col min="7191" max="7192" width="7.7109375" style="209" customWidth="1"/>
    <col min="7193" max="7193" width="9.42578125" style="209" customWidth="1"/>
    <col min="7194" max="7196" width="7.7109375" style="209" customWidth="1"/>
    <col min="7197" max="7424" width="11.42578125" style="209"/>
    <col min="7425" max="7425" width="2.28515625" style="209" customWidth="1"/>
    <col min="7426" max="7426" width="17.7109375" style="209" bestFit="1" customWidth="1"/>
    <col min="7427" max="7427" width="8.140625" style="209" bestFit="1" customWidth="1"/>
    <col min="7428" max="7428" width="52.85546875" style="209" customWidth="1"/>
    <col min="7429" max="7442" width="7.7109375" style="209" customWidth="1"/>
    <col min="7443" max="7443" width="9.42578125" style="209" customWidth="1"/>
    <col min="7444" max="7445" width="7.7109375" style="209" customWidth="1"/>
    <col min="7446" max="7446" width="9.42578125" style="209" customWidth="1"/>
    <col min="7447" max="7448" width="7.7109375" style="209" customWidth="1"/>
    <col min="7449" max="7449" width="9.42578125" style="209" customWidth="1"/>
    <col min="7450" max="7452" width="7.7109375" style="209" customWidth="1"/>
    <col min="7453" max="7680" width="11.42578125" style="209"/>
    <col min="7681" max="7681" width="2.28515625" style="209" customWidth="1"/>
    <col min="7682" max="7682" width="17.7109375" style="209" bestFit="1" customWidth="1"/>
    <col min="7683" max="7683" width="8.140625" style="209" bestFit="1" customWidth="1"/>
    <col min="7684" max="7684" width="52.85546875" style="209" customWidth="1"/>
    <col min="7685" max="7698" width="7.7109375" style="209" customWidth="1"/>
    <col min="7699" max="7699" width="9.42578125" style="209" customWidth="1"/>
    <col min="7700" max="7701" width="7.7109375" style="209" customWidth="1"/>
    <col min="7702" max="7702" width="9.42578125" style="209" customWidth="1"/>
    <col min="7703" max="7704" width="7.7109375" style="209" customWidth="1"/>
    <col min="7705" max="7705" width="9.42578125" style="209" customWidth="1"/>
    <col min="7706" max="7708" width="7.7109375" style="209" customWidth="1"/>
    <col min="7709" max="7936" width="11.42578125" style="209"/>
    <col min="7937" max="7937" width="2.28515625" style="209" customWidth="1"/>
    <col min="7938" max="7938" width="17.7109375" style="209" bestFit="1" customWidth="1"/>
    <col min="7939" max="7939" width="8.140625" style="209" bestFit="1" customWidth="1"/>
    <col min="7940" max="7940" width="52.85546875" style="209" customWidth="1"/>
    <col min="7941" max="7954" width="7.7109375" style="209" customWidth="1"/>
    <col min="7955" max="7955" width="9.42578125" style="209" customWidth="1"/>
    <col min="7956" max="7957" width="7.7109375" style="209" customWidth="1"/>
    <col min="7958" max="7958" width="9.42578125" style="209" customWidth="1"/>
    <col min="7959" max="7960" width="7.7109375" style="209" customWidth="1"/>
    <col min="7961" max="7961" width="9.42578125" style="209" customWidth="1"/>
    <col min="7962" max="7964" width="7.7109375" style="209" customWidth="1"/>
    <col min="7965" max="8192" width="11.42578125" style="209"/>
    <col min="8193" max="8193" width="2.28515625" style="209" customWidth="1"/>
    <col min="8194" max="8194" width="17.7109375" style="209" bestFit="1" customWidth="1"/>
    <col min="8195" max="8195" width="8.140625" style="209" bestFit="1" customWidth="1"/>
    <col min="8196" max="8196" width="52.85546875" style="209" customWidth="1"/>
    <col min="8197" max="8210" width="7.7109375" style="209" customWidth="1"/>
    <col min="8211" max="8211" width="9.42578125" style="209" customWidth="1"/>
    <col min="8212" max="8213" width="7.7109375" style="209" customWidth="1"/>
    <col min="8214" max="8214" width="9.42578125" style="209" customWidth="1"/>
    <col min="8215" max="8216" width="7.7109375" style="209" customWidth="1"/>
    <col min="8217" max="8217" width="9.42578125" style="209" customWidth="1"/>
    <col min="8218" max="8220" width="7.7109375" style="209" customWidth="1"/>
    <col min="8221" max="8448" width="11.42578125" style="209"/>
    <col min="8449" max="8449" width="2.28515625" style="209" customWidth="1"/>
    <col min="8450" max="8450" width="17.7109375" style="209" bestFit="1" customWidth="1"/>
    <col min="8451" max="8451" width="8.140625" style="209" bestFit="1" customWidth="1"/>
    <col min="8452" max="8452" width="52.85546875" style="209" customWidth="1"/>
    <col min="8453" max="8466" width="7.7109375" style="209" customWidth="1"/>
    <col min="8467" max="8467" width="9.42578125" style="209" customWidth="1"/>
    <col min="8468" max="8469" width="7.7109375" style="209" customWidth="1"/>
    <col min="8470" max="8470" width="9.42578125" style="209" customWidth="1"/>
    <col min="8471" max="8472" width="7.7109375" style="209" customWidth="1"/>
    <col min="8473" max="8473" width="9.42578125" style="209" customWidth="1"/>
    <col min="8474" max="8476" width="7.7109375" style="209" customWidth="1"/>
    <col min="8477" max="8704" width="11.42578125" style="209"/>
    <col min="8705" max="8705" width="2.28515625" style="209" customWidth="1"/>
    <col min="8706" max="8706" width="17.7109375" style="209" bestFit="1" customWidth="1"/>
    <col min="8707" max="8707" width="8.140625" style="209" bestFit="1" customWidth="1"/>
    <col min="8708" max="8708" width="52.85546875" style="209" customWidth="1"/>
    <col min="8709" max="8722" width="7.7109375" style="209" customWidth="1"/>
    <col min="8723" max="8723" width="9.42578125" style="209" customWidth="1"/>
    <col min="8724" max="8725" width="7.7109375" style="209" customWidth="1"/>
    <col min="8726" max="8726" width="9.42578125" style="209" customWidth="1"/>
    <col min="8727" max="8728" width="7.7109375" style="209" customWidth="1"/>
    <col min="8729" max="8729" width="9.42578125" style="209" customWidth="1"/>
    <col min="8730" max="8732" width="7.7109375" style="209" customWidth="1"/>
    <col min="8733" max="8960" width="11.42578125" style="209"/>
    <col min="8961" max="8961" width="2.28515625" style="209" customWidth="1"/>
    <col min="8962" max="8962" width="17.7109375" style="209" bestFit="1" customWidth="1"/>
    <col min="8963" max="8963" width="8.140625" style="209" bestFit="1" customWidth="1"/>
    <col min="8964" max="8964" width="52.85546875" style="209" customWidth="1"/>
    <col min="8965" max="8978" width="7.7109375" style="209" customWidth="1"/>
    <col min="8979" max="8979" width="9.42578125" style="209" customWidth="1"/>
    <col min="8980" max="8981" width="7.7109375" style="209" customWidth="1"/>
    <col min="8982" max="8982" width="9.42578125" style="209" customWidth="1"/>
    <col min="8983" max="8984" width="7.7109375" style="209" customWidth="1"/>
    <col min="8985" max="8985" width="9.42578125" style="209" customWidth="1"/>
    <col min="8986" max="8988" width="7.7109375" style="209" customWidth="1"/>
    <col min="8989" max="9216" width="11.42578125" style="209"/>
    <col min="9217" max="9217" width="2.28515625" style="209" customWidth="1"/>
    <col min="9218" max="9218" width="17.7109375" style="209" bestFit="1" customWidth="1"/>
    <col min="9219" max="9219" width="8.140625" style="209" bestFit="1" customWidth="1"/>
    <col min="9220" max="9220" width="52.85546875" style="209" customWidth="1"/>
    <col min="9221" max="9234" width="7.7109375" style="209" customWidth="1"/>
    <col min="9235" max="9235" width="9.42578125" style="209" customWidth="1"/>
    <col min="9236" max="9237" width="7.7109375" style="209" customWidth="1"/>
    <col min="9238" max="9238" width="9.42578125" style="209" customWidth="1"/>
    <col min="9239" max="9240" width="7.7109375" style="209" customWidth="1"/>
    <col min="9241" max="9241" width="9.42578125" style="209" customWidth="1"/>
    <col min="9242" max="9244" width="7.7109375" style="209" customWidth="1"/>
    <col min="9245" max="9472" width="11.42578125" style="209"/>
    <col min="9473" max="9473" width="2.28515625" style="209" customWidth="1"/>
    <col min="9474" max="9474" width="17.7109375" style="209" bestFit="1" customWidth="1"/>
    <col min="9475" max="9475" width="8.140625" style="209" bestFit="1" customWidth="1"/>
    <col min="9476" max="9476" width="52.85546875" style="209" customWidth="1"/>
    <col min="9477" max="9490" width="7.7109375" style="209" customWidth="1"/>
    <col min="9491" max="9491" width="9.42578125" style="209" customWidth="1"/>
    <col min="9492" max="9493" width="7.7109375" style="209" customWidth="1"/>
    <col min="9494" max="9494" width="9.42578125" style="209" customWidth="1"/>
    <col min="9495" max="9496" width="7.7109375" style="209" customWidth="1"/>
    <col min="9497" max="9497" width="9.42578125" style="209" customWidth="1"/>
    <col min="9498" max="9500" width="7.7109375" style="209" customWidth="1"/>
    <col min="9501" max="9728" width="11.42578125" style="209"/>
    <col min="9729" max="9729" width="2.28515625" style="209" customWidth="1"/>
    <col min="9730" max="9730" width="17.7109375" style="209" bestFit="1" customWidth="1"/>
    <col min="9731" max="9731" width="8.140625" style="209" bestFit="1" customWidth="1"/>
    <col min="9732" max="9732" width="52.85546875" style="209" customWidth="1"/>
    <col min="9733" max="9746" width="7.7109375" style="209" customWidth="1"/>
    <col min="9747" max="9747" width="9.42578125" style="209" customWidth="1"/>
    <col min="9748" max="9749" width="7.7109375" style="209" customWidth="1"/>
    <col min="9750" max="9750" width="9.42578125" style="209" customWidth="1"/>
    <col min="9751" max="9752" width="7.7109375" style="209" customWidth="1"/>
    <col min="9753" max="9753" width="9.42578125" style="209" customWidth="1"/>
    <col min="9754" max="9756" width="7.7109375" style="209" customWidth="1"/>
    <col min="9757" max="9984" width="11.42578125" style="209"/>
    <col min="9985" max="9985" width="2.28515625" style="209" customWidth="1"/>
    <col min="9986" max="9986" width="17.7109375" style="209" bestFit="1" customWidth="1"/>
    <col min="9987" max="9987" width="8.140625" style="209" bestFit="1" customWidth="1"/>
    <col min="9988" max="9988" width="52.85546875" style="209" customWidth="1"/>
    <col min="9989" max="10002" width="7.7109375" style="209" customWidth="1"/>
    <col min="10003" max="10003" width="9.42578125" style="209" customWidth="1"/>
    <col min="10004" max="10005" width="7.7109375" style="209" customWidth="1"/>
    <col min="10006" max="10006" width="9.42578125" style="209" customWidth="1"/>
    <col min="10007" max="10008" width="7.7109375" style="209" customWidth="1"/>
    <col min="10009" max="10009" width="9.42578125" style="209" customWidth="1"/>
    <col min="10010" max="10012" width="7.7109375" style="209" customWidth="1"/>
    <col min="10013" max="10240" width="11.42578125" style="209"/>
    <col min="10241" max="10241" width="2.28515625" style="209" customWidth="1"/>
    <col min="10242" max="10242" width="17.7109375" style="209" bestFit="1" customWidth="1"/>
    <col min="10243" max="10243" width="8.140625" style="209" bestFit="1" customWidth="1"/>
    <col min="10244" max="10244" width="52.85546875" style="209" customWidth="1"/>
    <col min="10245" max="10258" width="7.7109375" style="209" customWidth="1"/>
    <col min="10259" max="10259" width="9.42578125" style="209" customWidth="1"/>
    <col min="10260" max="10261" width="7.7109375" style="209" customWidth="1"/>
    <col min="10262" max="10262" width="9.42578125" style="209" customWidth="1"/>
    <col min="10263" max="10264" width="7.7109375" style="209" customWidth="1"/>
    <col min="10265" max="10265" width="9.42578125" style="209" customWidth="1"/>
    <col min="10266" max="10268" width="7.7109375" style="209" customWidth="1"/>
    <col min="10269" max="10496" width="11.42578125" style="209"/>
    <col min="10497" max="10497" width="2.28515625" style="209" customWidth="1"/>
    <col min="10498" max="10498" width="17.7109375" style="209" bestFit="1" customWidth="1"/>
    <col min="10499" max="10499" width="8.140625" style="209" bestFit="1" customWidth="1"/>
    <col min="10500" max="10500" width="52.85546875" style="209" customWidth="1"/>
    <col min="10501" max="10514" width="7.7109375" style="209" customWidth="1"/>
    <col min="10515" max="10515" width="9.42578125" style="209" customWidth="1"/>
    <col min="10516" max="10517" width="7.7109375" style="209" customWidth="1"/>
    <col min="10518" max="10518" width="9.42578125" style="209" customWidth="1"/>
    <col min="10519" max="10520" width="7.7109375" style="209" customWidth="1"/>
    <col min="10521" max="10521" width="9.42578125" style="209" customWidth="1"/>
    <col min="10522" max="10524" width="7.7109375" style="209" customWidth="1"/>
    <col min="10525" max="10752" width="11.42578125" style="209"/>
    <col min="10753" max="10753" width="2.28515625" style="209" customWidth="1"/>
    <col min="10754" max="10754" width="17.7109375" style="209" bestFit="1" customWidth="1"/>
    <col min="10755" max="10755" width="8.140625" style="209" bestFit="1" customWidth="1"/>
    <col min="10756" max="10756" width="52.85546875" style="209" customWidth="1"/>
    <col min="10757" max="10770" width="7.7109375" style="209" customWidth="1"/>
    <col min="10771" max="10771" width="9.42578125" style="209" customWidth="1"/>
    <col min="10772" max="10773" width="7.7109375" style="209" customWidth="1"/>
    <col min="10774" max="10774" width="9.42578125" style="209" customWidth="1"/>
    <col min="10775" max="10776" width="7.7109375" style="209" customWidth="1"/>
    <col min="10777" max="10777" width="9.42578125" style="209" customWidth="1"/>
    <col min="10778" max="10780" width="7.7109375" style="209" customWidth="1"/>
    <col min="10781" max="11008" width="11.42578125" style="209"/>
    <col min="11009" max="11009" width="2.28515625" style="209" customWidth="1"/>
    <col min="11010" max="11010" width="17.7109375" style="209" bestFit="1" customWidth="1"/>
    <col min="11011" max="11011" width="8.140625" style="209" bestFit="1" customWidth="1"/>
    <col min="11012" max="11012" width="52.85546875" style="209" customWidth="1"/>
    <col min="11013" max="11026" width="7.7109375" style="209" customWidth="1"/>
    <col min="11027" max="11027" width="9.42578125" style="209" customWidth="1"/>
    <col min="11028" max="11029" width="7.7109375" style="209" customWidth="1"/>
    <col min="11030" max="11030" width="9.42578125" style="209" customWidth="1"/>
    <col min="11031" max="11032" width="7.7109375" style="209" customWidth="1"/>
    <col min="11033" max="11033" width="9.42578125" style="209" customWidth="1"/>
    <col min="11034" max="11036" width="7.7109375" style="209" customWidth="1"/>
    <col min="11037" max="11264" width="11.42578125" style="209"/>
    <col min="11265" max="11265" width="2.28515625" style="209" customWidth="1"/>
    <col min="11266" max="11266" width="17.7109375" style="209" bestFit="1" customWidth="1"/>
    <col min="11267" max="11267" width="8.140625" style="209" bestFit="1" customWidth="1"/>
    <col min="11268" max="11268" width="52.85546875" style="209" customWidth="1"/>
    <col min="11269" max="11282" width="7.7109375" style="209" customWidth="1"/>
    <col min="11283" max="11283" width="9.42578125" style="209" customWidth="1"/>
    <col min="11284" max="11285" width="7.7109375" style="209" customWidth="1"/>
    <col min="11286" max="11286" width="9.42578125" style="209" customWidth="1"/>
    <col min="11287" max="11288" width="7.7109375" style="209" customWidth="1"/>
    <col min="11289" max="11289" width="9.42578125" style="209" customWidth="1"/>
    <col min="11290" max="11292" width="7.7109375" style="209" customWidth="1"/>
    <col min="11293" max="11520" width="11.42578125" style="209"/>
    <col min="11521" max="11521" width="2.28515625" style="209" customWidth="1"/>
    <col min="11522" max="11522" width="17.7109375" style="209" bestFit="1" customWidth="1"/>
    <col min="11523" max="11523" width="8.140625" style="209" bestFit="1" customWidth="1"/>
    <col min="11524" max="11524" width="52.85546875" style="209" customWidth="1"/>
    <col min="11525" max="11538" width="7.7109375" style="209" customWidth="1"/>
    <col min="11539" max="11539" width="9.42578125" style="209" customWidth="1"/>
    <col min="11540" max="11541" width="7.7109375" style="209" customWidth="1"/>
    <col min="11542" max="11542" width="9.42578125" style="209" customWidth="1"/>
    <col min="11543" max="11544" width="7.7109375" style="209" customWidth="1"/>
    <col min="11545" max="11545" width="9.42578125" style="209" customWidth="1"/>
    <col min="11546" max="11548" width="7.7109375" style="209" customWidth="1"/>
    <col min="11549" max="11776" width="11.42578125" style="209"/>
    <col min="11777" max="11777" width="2.28515625" style="209" customWidth="1"/>
    <col min="11778" max="11778" width="17.7109375" style="209" bestFit="1" customWidth="1"/>
    <col min="11779" max="11779" width="8.140625" style="209" bestFit="1" customWidth="1"/>
    <col min="11780" max="11780" width="52.85546875" style="209" customWidth="1"/>
    <col min="11781" max="11794" width="7.7109375" style="209" customWidth="1"/>
    <col min="11795" max="11795" width="9.42578125" style="209" customWidth="1"/>
    <col min="11796" max="11797" width="7.7109375" style="209" customWidth="1"/>
    <col min="11798" max="11798" width="9.42578125" style="209" customWidth="1"/>
    <col min="11799" max="11800" width="7.7109375" style="209" customWidth="1"/>
    <col min="11801" max="11801" width="9.42578125" style="209" customWidth="1"/>
    <col min="11802" max="11804" width="7.7109375" style="209" customWidth="1"/>
    <col min="11805" max="12032" width="11.42578125" style="209"/>
    <col min="12033" max="12033" width="2.28515625" style="209" customWidth="1"/>
    <col min="12034" max="12034" width="17.7109375" style="209" bestFit="1" customWidth="1"/>
    <col min="12035" max="12035" width="8.140625" style="209" bestFit="1" customWidth="1"/>
    <col min="12036" max="12036" width="52.85546875" style="209" customWidth="1"/>
    <col min="12037" max="12050" width="7.7109375" style="209" customWidth="1"/>
    <col min="12051" max="12051" width="9.42578125" style="209" customWidth="1"/>
    <col min="12052" max="12053" width="7.7109375" style="209" customWidth="1"/>
    <col min="12054" max="12054" width="9.42578125" style="209" customWidth="1"/>
    <col min="12055" max="12056" width="7.7109375" style="209" customWidth="1"/>
    <col min="12057" max="12057" width="9.42578125" style="209" customWidth="1"/>
    <col min="12058" max="12060" width="7.7109375" style="209" customWidth="1"/>
    <col min="12061" max="12288" width="11.42578125" style="209"/>
    <col min="12289" max="12289" width="2.28515625" style="209" customWidth="1"/>
    <col min="12290" max="12290" width="17.7109375" style="209" bestFit="1" customWidth="1"/>
    <col min="12291" max="12291" width="8.140625" style="209" bestFit="1" customWidth="1"/>
    <col min="12292" max="12292" width="52.85546875" style="209" customWidth="1"/>
    <col min="12293" max="12306" width="7.7109375" style="209" customWidth="1"/>
    <col min="12307" max="12307" width="9.42578125" style="209" customWidth="1"/>
    <col min="12308" max="12309" width="7.7109375" style="209" customWidth="1"/>
    <col min="12310" max="12310" width="9.42578125" style="209" customWidth="1"/>
    <col min="12311" max="12312" width="7.7109375" style="209" customWidth="1"/>
    <col min="12313" max="12313" width="9.42578125" style="209" customWidth="1"/>
    <col min="12314" max="12316" width="7.7109375" style="209" customWidth="1"/>
    <col min="12317" max="12544" width="11.42578125" style="209"/>
    <col min="12545" max="12545" width="2.28515625" style="209" customWidth="1"/>
    <col min="12546" max="12546" width="17.7109375" style="209" bestFit="1" customWidth="1"/>
    <col min="12547" max="12547" width="8.140625" style="209" bestFit="1" customWidth="1"/>
    <col min="12548" max="12548" width="52.85546875" style="209" customWidth="1"/>
    <col min="12549" max="12562" width="7.7109375" style="209" customWidth="1"/>
    <col min="12563" max="12563" width="9.42578125" style="209" customWidth="1"/>
    <col min="12564" max="12565" width="7.7109375" style="209" customWidth="1"/>
    <col min="12566" max="12566" width="9.42578125" style="209" customWidth="1"/>
    <col min="12567" max="12568" width="7.7109375" style="209" customWidth="1"/>
    <col min="12569" max="12569" width="9.42578125" style="209" customWidth="1"/>
    <col min="12570" max="12572" width="7.7109375" style="209" customWidth="1"/>
    <col min="12573" max="12800" width="11.42578125" style="209"/>
    <col min="12801" max="12801" width="2.28515625" style="209" customWidth="1"/>
    <col min="12802" max="12802" width="17.7109375" style="209" bestFit="1" customWidth="1"/>
    <col min="12803" max="12803" width="8.140625" style="209" bestFit="1" customWidth="1"/>
    <col min="12804" max="12804" width="52.85546875" style="209" customWidth="1"/>
    <col min="12805" max="12818" width="7.7109375" style="209" customWidth="1"/>
    <col min="12819" max="12819" width="9.42578125" style="209" customWidth="1"/>
    <col min="12820" max="12821" width="7.7109375" style="209" customWidth="1"/>
    <col min="12822" max="12822" width="9.42578125" style="209" customWidth="1"/>
    <col min="12823" max="12824" width="7.7109375" style="209" customWidth="1"/>
    <col min="12825" max="12825" width="9.42578125" style="209" customWidth="1"/>
    <col min="12826" max="12828" width="7.7109375" style="209" customWidth="1"/>
    <col min="12829" max="13056" width="11.42578125" style="209"/>
    <col min="13057" max="13057" width="2.28515625" style="209" customWidth="1"/>
    <col min="13058" max="13058" width="17.7109375" style="209" bestFit="1" customWidth="1"/>
    <col min="13059" max="13059" width="8.140625" style="209" bestFit="1" customWidth="1"/>
    <col min="13060" max="13060" width="52.85546875" style="209" customWidth="1"/>
    <col min="13061" max="13074" width="7.7109375" style="209" customWidth="1"/>
    <col min="13075" max="13075" width="9.42578125" style="209" customWidth="1"/>
    <col min="13076" max="13077" width="7.7109375" style="209" customWidth="1"/>
    <col min="13078" max="13078" width="9.42578125" style="209" customWidth="1"/>
    <col min="13079" max="13080" width="7.7109375" style="209" customWidth="1"/>
    <col min="13081" max="13081" width="9.42578125" style="209" customWidth="1"/>
    <col min="13082" max="13084" width="7.7109375" style="209" customWidth="1"/>
    <col min="13085" max="13312" width="11.42578125" style="209"/>
    <col min="13313" max="13313" width="2.28515625" style="209" customWidth="1"/>
    <col min="13314" max="13314" width="17.7109375" style="209" bestFit="1" customWidth="1"/>
    <col min="13315" max="13315" width="8.140625" style="209" bestFit="1" customWidth="1"/>
    <col min="13316" max="13316" width="52.85546875" style="209" customWidth="1"/>
    <col min="13317" max="13330" width="7.7109375" style="209" customWidth="1"/>
    <col min="13331" max="13331" width="9.42578125" style="209" customWidth="1"/>
    <col min="13332" max="13333" width="7.7109375" style="209" customWidth="1"/>
    <col min="13334" max="13334" width="9.42578125" style="209" customWidth="1"/>
    <col min="13335" max="13336" width="7.7109375" style="209" customWidth="1"/>
    <col min="13337" max="13337" width="9.42578125" style="209" customWidth="1"/>
    <col min="13338" max="13340" width="7.7109375" style="209" customWidth="1"/>
    <col min="13341" max="13568" width="11.42578125" style="209"/>
    <col min="13569" max="13569" width="2.28515625" style="209" customWidth="1"/>
    <col min="13570" max="13570" width="17.7109375" style="209" bestFit="1" customWidth="1"/>
    <col min="13571" max="13571" width="8.140625" style="209" bestFit="1" customWidth="1"/>
    <col min="13572" max="13572" width="52.85546875" style="209" customWidth="1"/>
    <col min="13573" max="13586" width="7.7109375" style="209" customWidth="1"/>
    <col min="13587" max="13587" width="9.42578125" style="209" customWidth="1"/>
    <col min="13588" max="13589" width="7.7109375" style="209" customWidth="1"/>
    <col min="13590" max="13590" width="9.42578125" style="209" customWidth="1"/>
    <col min="13591" max="13592" width="7.7109375" style="209" customWidth="1"/>
    <col min="13593" max="13593" width="9.42578125" style="209" customWidth="1"/>
    <col min="13594" max="13596" width="7.7109375" style="209" customWidth="1"/>
    <col min="13597" max="13824" width="11.42578125" style="209"/>
    <col min="13825" max="13825" width="2.28515625" style="209" customWidth="1"/>
    <col min="13826" max="13826" width="17.7109375" style="209" bestFit="1" customWidth="1"/>
    <col min="13827" max="13827" width="8.140625" style="209" bestFit="1" customWidth="1"/>
    <col min="13828" max="13828" width="52.85546875" style="209" customWidth="1"/>
    <col min="13829" max="13842" width="7.7109375" style="209" customWidth="1"/>
    <col min="13843" max="13843" width="9.42578125" style="209" customWidth="1"/>
    <col min="13844" max="13845" width="7.7109375" style="209" customWidth="1"/>
    <col min="13846" max="13846" width="9.42578125" style="209" customWidth="1"/>
    <col min="13847" max="13848" width="7.7109375" style="209" customWidth="1"/>
    <col min="13849" max="13849" width="9.42578125" style="209" customWidth="1"/>
    <col min="13850" max="13852" width="7.7109375" style="209" customWidth="1"/>
    <col min="13853" max="14080" width="11.42578125" style="209"/>
    <col min="14081" max="14081" width="2.28515625" style="209" customWidth="1"/>
    <col min="14082" max="14082" width="17.7109375" style="209" bestFit="1" customWidth="1"/>
    <col min="14083" max="14083" width="8.140625" style="209" bestFit="1" customWidth="1"/>
    <col min="14084" max="14084" width="52.85546875" style="209" customWidth="1"/>
    <col min="14085" max="14098" width="7.7109375" style="209" customWidth="1"/>
    <col min="14099" max="14099" width="9.42578125" style="209" customWidth="1"/>
    <col min="14100" max="14101" width="7.7109375" style="209" customWidth="1"/>
    <col min="14102" max="14102" width="9.42578125" style="209" customWidth="1"/>
    <col min="14103" max="14104" width="7.7109375" style="209" customWidth="1"/>
    <col min="14105" max="14105" width="9.42578125" style="209" customWidth="1"/>
    <col min="14106" max="14108" width="7.7109375" style="209" customWidth="1"/>
    <col min="14109" max="14336" width="11.42578125" style="209"/>
    <col min="14337" max="14337" width="2.28515625" style="209" customWidth="1"/>
    <col min="14338" max="14338" width="17.7109375" style="209" bestFit="1" customWidth="1"/>
    <col min="14339" max="14339" width="8.140625" style="209" bestFit="1" customWidth="1"/>
    <col min="14340" max="14340" width="52.85546875" style="209" customWidth="1"/>
    <col min="14341" max="14354" width="7.7109375" style="209" customWidth="1"/>
    <col min="14355" max="14355" width="9.42578125" style="209" customWidth="1"/>
    <col min="14356" max="14357" width="7.7109375" style="209" customWidth="1"/>
    <col min="14358" max="14358" width="9.42578125" style="209" customWidth="1"/>
    <col min="14359" max="14360" width="7.7109375" style="209" customWidth="1"/>
    <col min="14361" max="14361" width="9.42578125" style="209" customWidth="1"/>
    <col min="14362" max="14364" width="7.7109375" style="209" customWidth="1"/>
    <col min="14365" max="14592" width="11.42578125" style="209"/>
    <col min="14593" max="14593" width="2.28515625" style="209" customWidth="1"/>
    <col min="14594" max="14594" width="17.7109375" style="209" bestFit="1" customWidth="1"/>
    <col min="14595" max="14595" width="8.140625" style="209" bestFit="1" customWidth="1"/>
    <col min="14596" max="14596" width="52.85546875" style="209" customWidth="1"/>
    <col min="14597" max="14610" width="7.7109375" style="209" customWidth="1"/>
    <col min="14611" max="14611" width="9.42578125" style="209" customWidth="1"/>
    <col min="14612" max="14613" width="7.7109375" style="209" customWidth="1"/>
    <col min="14614" max="14614" width="9.42578125" style="209" customWidth="1"/>
    <col min="14615" max="14616" width="7.7109375" style="209" customWidth="1"/>
    <col min="14617" max="14617" width="9.42578125" style="209" customWidth="1"/>
    <col min="14618" max="14620" width="7.7109375" style="209" customWidth="1"/>
    <col min="14621" max="14848" width="11.42578125" style="209"/>
    <col min="14849" max="14849" width="2.28515625" style="209" customWidth="1"/>
    <col min="14850" max="14850" width="17.7109375" style="209" bestFit="1" customWidth="1"/>
    <col min="14851" max="14851" width="8.140625" style="209" bestFit="1" customWidth="1"/>
    <col min="14852" max="14852" width="52.85546875" style="209" customWidth="1"/>
    <col min="14853" max="14866" width="7.7109375" style="209" customWidth="1"/>
    <col min="14867" max="14867" width="9.42578125" style="209" customWidth="1"/>
    <col min="14868" max="14869" width="7.7109375" style="209" customWidth="1"/>
    <col min="14870" max="14870" width="9.42578125" style="209" customWidth="1"/>
    <col min="14871" max="14872" width="7.7109375" style="209" customWidth="1"/>
    <col min="14873" max="14873" width="9.42578125" style="209" customWidth="1"/>
    <col min="14874" max="14876" width="7.7109375" style="209" customWidth="1"/>
    <col min="14877" max="15104" width="11.42578125" style="209"/>
    <col min="15105" max="15105" width="2.28515625" style="209" customWidth="1"/>
    <col min="15106" max="15106" width="17.7109375" style="209" bestFit="1" customWidth="1"/>
    <col min="15107" max="15107" width="8.140625" style="209" bestFit="1" customWidth="1"/>
    <col min="15108" max="15108" width="52.85546875" style="209" customWidth="1"/>
    <col min="15109" max="15122" width="7.7109375" style="209" customWidth="1"/>
    <col min="15123" max="15123" width="9.42578125" style="209" customWidth="1"/>
    <col min="15124" max="15125" width="7.7109375" style="209" customWidth="1"/>
    <col min="15126" max="15126" width="9.42578125" style="209" customWidth="1"/>
    <col min="15127" max="15128" width="7.7109375" style="209" customWidth="1"/>
    <col min="15129" max="15129" width="9.42578125" style="209" customWidth="1"/>
    <col min="15130" max="15132" width="7.7109375" style="209" customWidth="1"/>
    <col min="15133" max="15360" width="11.42578125" style="209"/>
    <col min="15361" max="15361" width="2.28515625" style="209" customWidth="1"/>
    <col min="15362" max="15362" width="17.7109375" style="209" bestFit="1" customWidth="1"/>
    <col min="15363" max="15363" width="8.140625" style="209" bestFit="1" customWidth="1"/>
    <col min="15364" max="15364" width="52.85546875" style="209" customWidth="1"/>
    <col min="15365" max="15378" width="7.7109375" style="209" customWidth="1"/>
    <col min="15379" max="15379" width="9.42578125" style="209" customWidth="1"/>
    <col min="15380" max="15381" width="7.7109375" style="209" customWidth="1"/>
    <col min="15382" max="15382" width="9.42578125" style="209" customWidth="1"/>
    <col min="15383" max="15384" width="7.7109375" style="209" customWidth="1"/>
    <col min="15385" max="15385" width="9.42578125" style="209" customWidth="1"/>
    <col min="15386" max="15388" width="7.7109375" style="209" customWidth="1"/>
    <col min="15389" max="15616" width="11.42578125" style="209"/>
    <col min="15617" max="15617" width="2.28515625" style="209" customWidth="1"/>
    <col min="15618" max="15618" width="17.7109375" style="209" bestFit="1" customWidth="1"/>
    <col min="15619" max="15619" width="8.140625" style="209" bestFit="1" customWidth="1"/>
    <col min="15620" max="15620" width="52.85546875" style="209" customWidth="1"/>
    <col min="15621" max="15634" width="7.7109375" style="209" customWidth="1"/>
    <col min="15635" max="15635" width="9.42578125" style="209" customWidth="1"/>
    <col min="15636" max="15637" width="7.7109375" style="209" customWidth="1"/>
    <col min="15638" max="15638" width="9.42578125" style="209" customWidth="1"/>
    <col min="15639" max="15640" width="7.7109375" style="209" customWidth="1"/>
    <col min="15641" max="15641" width="9.42578125" style="209" customWidth="1"/>
    <col min="15642" max="15644" width="7.7109375" style="209" customWidth="1"/>
    <col min="15645" max="15872" width="11.42578125" style="209"/>
    <col min="15873" max="15873" width="2.28515625" style="209" customWidth="1"/>
    <col min="15874" max="15874" width="17.7109375" style="209" bestFit="1" customWidth="1"/>
    <col min="15875" max="15875" width="8.140625" style="209" bestFit="1" customWidth="1"/>
    <col min="15876" max="15876" width="52.85546875" style="209" customWidth="1"/>
    <col min="15877" max="15890" width="7.7109375" style="209" customWidth="1"/>
    <col min="15891" max="15891" width="9.42578125" style="209" customWidth="1"/>
    <col min="15892" max="15893" width="7.7109375" style="209" customWidth="1"/>
    <col min="15894" max="15894" width="9.42578125" style="209" customWidth="1"/>
    <col min="15895" max="15896" width="7.7109375" style="209" customWidth="1"/>
    <col min="15897" max="15897" width="9.42578125" style="209" customWidth="1"/>
    <col min="15898" max="15900" width="7.7109375" style="209" customWidth="1"/>
    <col min="15901" max="16128" width="11.42578125" style="209"/>
    <col min="16129" max="16129" width="2.28515625" style="209" customWidth="1"/>
    <col min="16130" max="16130" width="17.7109375" style="209" bestFit="1" customWidth="1"/>
    <col min="16131" max="16131" width="8.140625" style="209" bestFit="1" customWidth="1"/>
    <col min="16132" max="16132" width="52.85546875" style="209" customWidth="1"/>
    <col min="16133" max="16146" width="7.7109375" style="209" customWidth="1"/>
    <col min="16147" max="16147" width="9.42578125" style="209" customWidth="1"/>
    <col min="16148" max="16149" width="7.7109375" style="209" customWidth="1"/>
    <col min="16150" max="16150" width="9.42578125" style="209" customWidth="1"/>
    <col min="16151" max="16152" width="7.7109375" style="209" customWidth="1"/>
    <col min="16153" max="16153" width="9.42578125" style="209" customWidth="1"/>
    <col min="16154" max="16156" width="7.7109375" style="209" customWidth="1"/>
    <col min="16157" max="16384" width="11.42578125" style="209"/>
  </cols>
  <sheetData>
    <row r="1" spans="1:43" ht="15.75" x14ac:dyDescent="0.2">
      <c r="A1" s="191" t="s">
        <v>1366</v>
      </c>
      <c r="D1" s="191"/>
      <c r="E1" s="1444"/>
      <c r="F1" s="1444"/>
      <c r="G1" s="1444"/>
      <c r="H1" s="1444"/>
      <c r="I1" s="1444"/>
      <c r="J1" s="1444"/>
      <c r="K1" s="1444"/>
      <c r="L1" s="1444"/>
      <c r="M1" s="1444"/>
      <c r="N1" s="1444"/>
      <c r="O1" s="1444"/>
      <c r="P1" s="1444"/>
      <c r="Q1" s="1444"/>
      <c r="R1" s="1444"/>
      <c r="S1" s="1444"/>
      <c r="T1" s="1444"/>
      <c r="U1" s="1444"/>
      <c r="V1" s="1444"/>
      <c r="W1" s="1444"/>
      <c r="X1" s="1444"/>
      <c r="Y1" s="1444"/>
    </row>
    <row r="2" spans="1:43" ht="15.75" x14ac:dyDescent="0.2">
      <c r="A2" s="191"/>
      <c r="D2" s="191"/>
      <c r="E2" s="1444"/>
      <c r="F2" s="1444"/>
      <c r="G2" s="1444"/>
      <c r="H2" s="1444"/>
      <c r="I2" s="1444"/>
      <c r="J2" s="1444"/>
      <c r="K2" s="1444"/>
      <c r="L2" s="1444"/>
      <c r="M2" s="1444"/>
      <c r="N2" s="1444"/>
      <c r="O2" s="1444"/>
      <c r="P2" s="1444"/>
      <c r="Q2" s="1444"/>
      <c r="R2" s="1444"/>
      <c r="S2" s="1444"/>
      <c r="T2" s="1444"/>
      <c r="U2" s="1444"/>
      <c r="V2" s="1444"/>
      <c r="W2" s="1444"/>
      <c r="X2" s="1444"/>
      <c r="Y2" s="1444"/>
    </row>
    <row r="3" spans="1:43" ht="15" customHeight="1" x14ac:dyDescent="0.2">
      <c r="A3" s="5224" t="s">
        <v>16</v>
      </c>
      <c r="B3" s="5224" t="s">
        <v>4</v>
      </c>
      <c r="C3" s="5531" t="s">
        <v>144</v>
      </c>
      <c r="D3" s="5224" t="s">
        <v>351</v>
      </c>
      <c r="E3" s="5530">
        <v>2003</v>
      </c>
      <c r="F3" s="5530"/>
      <c r="G3" s="5530"/>
      <c r="H3" s="5530">
        <v>2004</v>
      </c>
      <c r="I3" s="5530"/>
      <c r="J3" s="5530"/>
      <c r="K3" s="5530">
        <v>2005</v>
      </c>
      <c r="L3" s="5530"/>
      <c r="M3" s="5530"/>
      <c r="N3" s="5530">
        <v>2006</v>
      </c>
      <c r="O3" s="5530"/>
      <c r="P3" s="5530"/>
      <c r="Q3" s="5530">
        <v>2007</v>
      </c>
      <c r="R3" s="5530"/>
      <c r="S3" s="5530"/>
      <c r="T3" s="5530">
        <v>2008</v>
      </c>
      <c r="U3" s="5530"/>
      <c r="V3" s="5530"/>
      <c r="W3" s="5530">
        <v>2009</v>
      </c>
      <c r="X3" s="5530"/>
      <c r="Y3" s="5530"/>
      <c r="Z3" s="5530">
        <v>2010</v>
      </c>
      <c r="AA3" s="5530"/>
      <c r="AB3" s="5530"/>
      <c r="AC3" s="5530">
        <v>2011</v>
      </c>
      <c r="AD3" s="5530"/>
      <c r="AE3" s="5530"/>
      <c r="AF3" s="5530">
        <v>2012</v>
      </c>
      <c r="AG3" s="5530"/>
      <c r="AH3" s="5530"/>
      <c r="AI3" s="5530">
        <v>2013</v>
      </c>
      <c r="AJ3" s="5530"/>
      <c r="AK3" s="5530"/>
      <c r="AL3" s="5530">
        <v>2014</v>
      </c>
      <c r="AM3" s="5530"/>
      <c r="AN3" s="5530"/>
      <c r="AO3" s="5530">
        <v>2015</v>
      </c>
      <c r="AP3" s="5530"/>
      <c r="AQ3" s="5530"/>
    </row>
    <row r="4" spans="1:43" ht="15" customHeight="1" x14ac:dyDescent="0.2">
      <c r="A4" s="5224"/>
      <c r="B4" s="5224"/>
      <c r="C4" s="5532"/>
      <c r="D4" s="5224"/>
      <c r="E4" s="1199" t="s">
        <v>523</v>
      </c>
      <c r="F4" s="1200" t="s">
        <v>524</v>
      </c>
      <c r="G4" s="1200" t="s">
        <v>525</v>
      </c>
      <c r="H4" s="1199" t="s">
        <v>523</v>
      </c>
      <c r="I4" s="1200" t="s">
        <v>524</v>
      </c>
      <c r="J4" s="1200" t="s">
        <v>525</v>
      </c>
      <c r="K4" s="1199" t="s">
        <v>523</v>
      </c>
      <c r="L4" s="1200" t="s">
        <v>524</v>
      </c>
      <c r="M4" s="1200" t="s">
        <v>525</v>
      </c>
      <c r="N4" s="1199" t="s">
        <v>523</v>
      </c>
      <c r="O4" s="1200" t="s">
        <v>524</v>
      </c>
      <c r="P4" s="1200" t="s">
        <v>525</v>
      </c>
      <c r="Q4" s="1199" t="s">
        <v>523</v>
      </c>
      <c r="R4" s="1200" t="s">
        <v>524</v>
      </c>
      <c r="S4" s="1200" t="s">
        <v>525</v>
      </c>
      <c r="T4" s="1199" t="s">
        <v>523</v>
      </c>
      <c r="U4" s="1200" t="s">
        <v>524</v>
      </c>
      <c r="V4" s="1200" t="s">
        <v>525</v>
      </c>
      <c r="W4" s="1199" t="s">
        <v>523</v>
      </c>
      <c r="X4" s="1200" t="s">
        <v>524</v>
      </c>
      <c r="Y4" s="1200" t="s">
        <v>525</v>
      </c>
      <c r="Z4" s="1199" t="s">
        <v>523</v>
      </c>
      <c r="AA4" s="1200" t="s">
        <v>524</v>
      </c>
      <c r="AB4" s="1200" t="s">
        <v>525</v>
      </c>
      <c r="AC4" s="1199" t="s">
        <v>523</v>
      </c>
      <c r="AD4" s="1200" t="s">
        <v>524</v>
      </c>
      <c r="AE4" s="1200" t="s">
        <v>525</v>
      </c>
      <c r="AF4" s="1438" t="s">
        <v>523</v>
      </c>
      <c r="AG4" s="1439" t="s">
        <v>524</v>
      </c>
      <c r="AH4" s="1440" t="s">
        <v>525</v>
      </c>
      <c r="AI4" s="1438" t="s">
        <v>523</v>
      </c>
      <c r="AJ4" s="1439" t="s">
        <v>524</v>
      </c>
      <c r="AK4" s="1440" t="s">
        <v>525</v>
      </c>
      <c r="AL4" s="2168" t="s">
        <v>523</v>
      </c>
      <c r="AM4" s="2169" t="s">
        <v>524</v>
      </c>
      <c r="AN4" s="2170" t="s">
        <v>525</v>
      </c>
      <c r="AO4" s="4367" t="s">
        <v>523</v>
      </c>
      <c r="AP4" s="4368" t="s">
        <v>524</v>
      </c>
      <c r="AQ4" s="4369" t="s">
        <v>525</v>
      </c>
    </row>
    <row r="5" spans="1:43" ht="15" customHeight="1" x14ac:dyDescent="0.25">
      <c r="A5" s="5533" t="s">
        <v>446</v>
      </c>
      <c r="B5" s="5457" t="s">
        <v>5</v>
      </c>
      <c r="C5" s="5455" t="s">
        <v>527</v>
      </c>
      <c r="D5" s="1445" t="s">
        <v>573</v>
      </c>
      <c r="E5" s="1207">
        <v>66</v>
      </c>
      <c r="F5" s="1208">
        <v>56</v>
      </c>
      <c r="G5" s="1208">
        <v>50</v>
      </c>
      <c r="H5" s="1207">
        <v>56</v>
      </c>
      <c r="I5" s="1208">
        <v>49</v>
      </c>
      <c r="J5" s="1208">
        <v>58</v>
      </c>
      <c r="K5" s="1207">
        <v>58</v>
      </c>
      <c r="L5" s="1208">
        <v>58</v>
      </c>
      <c r="M5" s="1209">
        <v>61</v>
      </c>
      <c r="N5" s="1208">
        <v>74</v>
      </c>
      <c r="O5" s="1208">
        <v>66</v>
      </c>
      <c r="P5" s="1209">
        <v>75</v>
      </c>
      <c r="Q5" s="1208">
        <v>68</v>
      </c>
      <c r="R5" s="1208">
        <v>62</v>
      </c>
      <c r="S5" s="1209">
        <v>47</v>
      </c>
      <c r="T5" s="1208">
        <v>32</v>
      </c>
      <c r="U5" s="1208">
        <v>27</v>
      </c>
      <c r="V5" s="1209">
        <v>34</v>
      </c>
      <c r="W5" s="1208">
        <v>44</v>
      </c>
      <c r="X5" s="1208">
        <v>36</v>
      </c>
      <c r="Y5" s="1209">
        <v>54</v>
      </c>
      <c r="Z5" s="1208">
        <v>63</v>
      </c>
      <c r="AA5" s="1208">
        <v>63</v>
      </c>
      <c r="AB5" s="1209">
        <v>63</v>
      </c>
      <c r="AC5" s="1208">
        <v>64</v>
      </c>
      <c r="AD5" s="1208">
        <v>53</v>
      </c>
      <c r="AE5" s="1209">
        <v>55</v>
      </c>
      <c r="AF5" s="1208">
        <v>50</v>
      </c>
      <c r="AG5" s="1208">
        <v>40</v>
      </c>
      <c r="AH5" s="1209">
        <v>43</v>
      </c>
      <c r="AI5" s="1208">
        <v>46</v>
      </c>
      <c r="AJ5" s="1208">
        <v>44</v>
      </c>
      <c r="AK5" s="1209">
        <v>60</v>
      </c>
      <c r="AL5" s="1208">
        <v>64</v>
      </c>
      <c r="AM5" s="1208">
        <v>61</v>
      </c>
      <c r="AN5" s="1209">
        <v>88</v>
      </c>
      <c r="AO5" s="1208">
        <v>77</v>
      </c>
      <c r="AP5" s="1208">
        <v>74</v>
      </c>
      <c r="AQ5" s="1209">
        <v>80</v>
      </c>
    </row>
    <row r="6" spans="1:43" ht="15" customHeight="1" x14ac:dyDescent="0.25">
      <c r="A6" s="5534"/>
      <c r="B6" s="5458"/>
      <c r="C6" s="5456"/>
      <c r="D6" s="1446" t="s">
        <v>136</v>
      </c>
      <c r="E6" s="1210">
        <v>9</v>
      </c>
      <c r="F6" s="1211">
        <v>8</v>
      </c>
      <c r="G6" s="1211">
        <v>10</v>
      </c>
      <c r="H6" s="1210">
        <v>8</v>
      </c>
      <c r="I6" s="1211">
        <v>8</v>
      </c>
      <c r="J6" s="1211">
        <v>17</v>
      </c>
      <c r="K6" s="1210">
        <v>13</v>
      </c>
      <c r="L6" s="1211">
        <v>12</v>
      </c>
      <c r="M6" s="1212">
        <v>20</v>
      </c>
      <c r="N6" s="1211">
        <v>18</v>
      </c>
      <c r="O6" s="1211">
        <v>14</v>
      </c>
      <c r="P6" s="1212">
        <v>11</v>
      </c>
      <c r="Q6" s="1211">
        <v>15</v>
      </c>
      <c r="R6" s="1211">
        <v>14</v>
      </c>
      <c r="S6" s="1212">
        <v>20</v>
      </c>
      <c r="T6" s="1211">
        <v>14</v>
      </c>
      <c r="U6" s="1211">
        <v>15</v>
      </c>
      <c r="V6" s="1212">
        <v>17</v>
      </c>
      <c r="W6" s="1211">
        <v>13</v>
      </c>
      <c r="X6" s="1211">
        <v>12</v>
      </c>
      <c r="Y6" s="1212">
        <v>12</v>
      </c>
      <c r="Z6" s="1211">
        <v>14</v>
      </c>
      <c r="AA6" s="1211">
        <v>11</v>
      </c>
      <c r="AB6" s="1212">
        <v>23</v>
      </c>
      <c r="AC6" s="1211">
        <v>22</v>
      </c>
      <c r="AD6" s="1211">
        <v>20</v>
      </c>
      <c r="AE6" s="1212">
        <v>30</v>
      </c>
      <c r="AF6" s="1211">
        <v>28</v>
      </c>
      <c r="AG6" s="1211">
        <v>27</v>
      </c>
      <c r="AH6" s="1212">
        <v>28</v>
      </c>
      <c r="AI6" s="1211">
        <v>28</v>
      </c>
      <c r="AJ6" s="1211">
        <v>22</v>
      </c>
      <c r="AK6" s="1212">
        <v>32</v>
      </c>
      <c r="AL6" s="1211">
        <v>25</v>
      </c>
      <c r="AM6" s="1211">
        <v>24</v>
      </c>
      <c r="AN6" s="1212">
        <v>38</v>
      </c>
      <c r="AO6" s="1211">
        <v>32</v>
      </c>
      <c r="AP6" s="1211">
        <v>22</v>
      </c>
      <c r="AQ6" s="1212">
        <v>37</v>
      </c>
    </row>
    <row r="7" spans="1:43" ht="15" customHeight="1" x14ac:dyDescent="0.25">
      <c r="A7" s="5534"/>
      <c r="B7" s="5458"/>
      <c r="C7" s="5456"/>
      <c r="D7" s="1446" t="s">
        <v>438</v>
      </c>
      <c r="E7" s="1213"/>
      <c r="F7" s="1214"/>
      <c r="G7" s="1214"/>
      <c r="H7" s="1213"/>
      <c r="I7" s="1214"/>
      <c r="J7" s="1214"/>
      <c r="K7" s="1213"/>
      <c r="L7" s="1214"/>
      <c r="M7" s="1215"/>
      <c r="N7" s="1214"/>
      <c r="O7" s="1214"/>
      <c r="P7" s="1215"/>
      <c r="Q7" s="1214"/>
      <c r="R7" s="1214"/>
      <c r="S7" s="1215"/>
      <c r="T7" s="1214"/>
      <c r="U7" s="1214"/>
      <c r="V7" s="1215"/>
      <c r="W7" s="1214"/>
      <c r="X7" s="1214"/>
      <c r="Y7" s="1215"/>
      <c r="Z7" s="1214"/>
      <c r="AA7" s="1214"/>
      <c r="AB7" s="1215"/>
      <c r="AC7" s="1214"/>
      <c r="AD7" s="1214"/>
      <c r="AE7" s="1215"/>
      <c r="AF7" s="1214"/>
      <c r="AG7" s="1214">
        <v>7</v>
      </c>
      <c r="AH7" s="1215">
        <v>10</v>
      </c>
      <c r="AI7" s="1214">
        <v>15</v>
      </c>
      <c r="AJ7" s="1214">
        <v>15</v>
      </c>
      <c r="AK7" s="1215">
        <v>21</v>
      </c>
      <c r="AL7" s="1214">
        <v>29</v>
      </c>
      <c r="AM7" s="1214">
        <v>29</v>
      </c>
      <c r="AN7" s="1215">
        <v>34</v>
      </c>
      <c r="AO7" s="1214">
        <v>34</v>
      </c>
      <c r="AP7" s="1214">
        <v>31</v>
      </c>
      <c r="AQ7" s="1215">
        <v>34</v>
      </c>
    </row>
    <row r="8" spans="1:43" ht="15" customHeight="1" x14ac:dyDescent="0.25">
      <c r="A8" s="5534"/>
      <c r="B8" s="5458"/>
      <c r="C8" s="5456"/>
      <c r="D8" s="1446" t="s">
        <v>439</v>
      </c>
      <c r="E8" s="1213"/>
      <c r="F8" s="1214"/>
      <c r="G8" s="1214"/>
      <c r="H8" s="1213"/>
      <c r="I8" s="1214"/>
      <c r="J8" s="1214"/>
      <c r="K8" s="1213"/>
      <c r="L8" s="1214"/>
      <c r="M8" s="1215"/>
      <c r="N8" s="1214"/>
      <c r="O8" s="1214"/>
      <c r="P8" s="1215"/>
      <c r="Q8" s="1214"/>
      <c r="R8" s="1214"/>
      <c r="S8" s="1215"/>
      <c r="T8" s="1214"/>
      <c r="U8" s="1214"/>
      <c r="V8" s="1215"/>
      <c r="W8" s="1214"/>
      <c r="X8" s="1214"/>
      <c r="Y8" s="1215"/>
      <c r="Z8" s="1214"/>
      <c r="AA8" s="1214"/>
      <c r="AB8" s="1215"/>
      <c r="AC8" s="1214"/>
      <c r="AD8" s="1214"/>
      <c r="AE8" s="1215"/>
      <c r="AF8" s="1214"/>
      <c r="AG8" s="1214">
        <v>1</v>
      </c>
      <c r="AH8" s="1215">
        <v>4</v>
      </c>
      <c r="AI8" s="1214">
        <v>4</v>
      </c>
      <c r="AJ8" s="1214">
        <v>4</v>
      </c>
      <c r="AK8" s="1215">
        <v>8</v>
      </c>
      <c r="AL8" s="1214">
        <v>8</v>
      </c>
      <c r="AM8" s="1214">
        <v>8</v>
      </c>
      <c r="AN8" s="1215">
        <v>10</v>
      </c>
      <c r="AO8" s="1214">
        <v>11</v>
      </c>
      <c r="AP8" s="1214">
        <v>9</v>
      </c>
      <c r="AQ8" s="1215">
        <v>11</v>
      </c>
    </row>
    <row r="9" spans="1:43" ht="15" customHeight="1" x14ac:dyDescent="0.25">
      <c r="A9" s="5534"/>
      <c r="B9" s="5458"/>
      <c r="C9" s="5465"/>
      <c r="D9" s="1447" t="s">
        <v>135</v>
      </c>
      <c r="E9" s="1213">
        <v>27</v>
      </c>
      <c r="F9" s="1214">
        <v>25</v>
      </c>
      <c r="G9" s="1214">
        <v>28</v>
      </c>
      <c r="H9" s="1213">
        <v>28</v>
      </c>
      <c r="I9" s="1214">
        <v>24</v>
      </c>
      <c r="J9" s="1214">
        <v>21</v>
      </c>
      <c r="K9" s="1213">
        <v>18</v>
      </c>
      <c r="L9" s="1214">
        <v>18</v>
      </c>
      <c r="M9" s="1215">
        <v>17</v>
      </c>
      <c r="N9" s="1214">
        <v>15</v>
      </c>
      <c r="O9" s="1214">
        <v>16</v>
      </c>
      <c r="P9" s="1215">
        <v>12</v>
      </c>
      <c r="Q9" s="1214">
        <v>12</v>
      </c>
      <c r="R9" s="1214">
        <v>9</v>
      </c>
      <c r="S9" s="1215">
        <v>3</v>
      </c>
      <c r="T9" s="1214">
        <v>3</v>
      </c>
      <c r="U9" s="1214">
        <v>3</v>
      </c>
      <c r="V9" s="1215">
        <v>8</v>
      </c>
      <c r="W9" s="1214">
        <v>11</v>
      </c>
      <c r="X9" s="1214">
        <v>7</v>
      </c>
      <c r="Y9" s="1215">
        <v>21</v>
      </c>
      <c r="Z9" s="1214">
        <v>25</v>
      </c>
      <c r="AA9" s="1214">
        <v>20</v>
      </c>
      <c r="AB9" s="1215">
        <v>22</v>
      </c>
      <c r="AC9" s="1214">
        <v>24</v>
      </c>
      <c r="AD9" s="1214">
        <v>17</v>
      </c>
      <c r="AE9" s="1215">
        <v>14</v>
      </c>
      <c r="AF9" s="1214">
        <v>10</v>
      </c>
      <c r="AG9" s="1214">
        <v>9</v>
      </c>
      <c r="AH9" s="1215">
        <v>8</v>
      </c>
      <c r="AI9" s="1214">
        <v>9</v>
      </c>
      <c r="AJ9" s="1214">
        <v>7</v>
      </c>
      <c r="AK9" s="1215">
        <v>5</v>
      </c>
      <c r="AL9" s="1214">
        <v>3</v>
      </c>
      <c r="AM9" s="1214">
        <v>3</v>
      </c>
      <c r="AN9" s="1215">
        <v>1</v>
      </c>
      <c r="AO9" s="1214">
        <v>3</v>
      </c>
      <c r="AP9" s="1214">
        <v>1</v>
      </c>
      <c r="AQ9" s="1215">
        <v>5</v>
      </c>
    </row>
    <row r="10" spans="1:43" ht="15" customHeight="1" x14ac:dyDescent="0.25">
      <c r="A10" s="5534"/>
      <c r="B10" s="5458"/>
      <c r="C10" s="5455" t="s">
        <v>526</v>
      </c>
      <c r="D10" s="1448" t="s">
        <v>572</v>
      </c>
      <c r="E10" s="1210">
        <v>21</v>
      </c>
      <c r="F10" s="1211">
        <v>18</v>
      </c>
      <c r="G10" s="1211">
        <v>22</v>
      </c>
      <c r="H10" s="1210">
        <v>19</v>
      </c>
      <c r="I10" s="1211">
        <v>19</v>
      </c>
      <c r="J10" s="1211">
        <v>22</v>
      </c>
      <c r="K10" s="1210">
        <v>21</v>
      </c>
      <c r="L10" s="1211">
        <v>20</v>
      </c>
      <c r="M10" s="1212">
        <v>15</v>
      </c>
      <c r="N10" s="1211">
        <v>12</v>
      </c>
      <c r="O10" s="1211">
        <v>12</v>
      </c>
      <c r="P10" s="1212">
        <v>14</v>
      </c>
      <c r="Q10" s="1211">
        <v>17</v>
      </c>
      <c r="R10" s="1211">
        <v>22</v>
      </c>
      <c r="S10" s="1212">
        <v>23</v>
      </c>
      <c r="T10" s="1211">
        <v>26</v>
      </c>
      <c r="U10" s="1211">
        <v>28</v>
      </c>
      <c r="V10" s="1212">
        <v>30</v>
      </c>
      <c r="W10" s="1211">
        <v>29</v>
      </c>
      <c r="X10" s="1211">
        <v>29</v>
      </c>
      <c r="Y10" s="1212">
        <v>28</v>
      </c>
      <c r="Z10" s="1211">
        <v>29</v>
      </c>
      <c r="AA10" s="1211">
        <v>25</v>
      </c>
      <c r="AB10" s="1212">
        <v>23</v>
      </c>
      <c r="AC10" s="1211">
        <v>21</v>
      </c>
      <c r="AD10" s="1211">
        <v>30</v>
      </c>
      <c r="AE10" s="1212">
        <v>24</v>
      </c>
      <c r="AF10" s="1211">
        <v>22</v>
      </c>
      <c r="AG10" s="1211">
        <v>18</v>
      </c>
      <c r="AH10" s="1212">
        <v>21</v>
      </c>
      <c r="AI10" s="1211">
        <v>16</v>
      </c>
      <c r="AJ10" s="1211">
        <v>20</v>
      </c>
      <c r="AK10" s="1212">
        <v>18</v>
      </c>
      <c r="AL10" s="1211">
        <v>14</v>
      </c>
      <c r="AM10" s="1211">
        <v>16</v>
      </c>
      <c r="AN10" s="1212">
        <v>21</v>
      </c>
      <c r="AO10" s="1211">
        <v>24</v>
      </c>
      <c r="AP10" s="1211">
        <v>20</v>
      </c>
      <c r="AQ10" s="1212">
        <v>18</v>
      </c>
    </row>
    <row r="11" spans="1:43" s="212" customFormat="1" ht="15" customHeight="1" x14ac:dyDescent="0.25">
      <c r="A11" s="5534"/>
      <c r="B11" s="5458"/>
      <c r="C11" s="5456"/>
      <c r="D11" s="1446" t="s">
        <v>137</v>
      </c>
      <c r="E11" s="1216">
        <v>1</v>
      </c>
      <c r="F11" s="1115">
        <v>1</v>
      </c>
      <c r="G11" s="1115">
        <v>6</v>
      </c>
      <c r="H11" s="1216">
        <v>6</v>
      </c>
      <c r="I11" s="1115">
        <v>6</v>
      </c>
      <c r="J11" s="1115">
        <v>7</v>
      </c>
      <c r="K11" s="1216">
        <v>7</v>
      </c>
      <c r="L11" s="1115">
        <v>7</v>
      </c>
      <c r="M11" s="1217">
        <v>9</v>
      </c>
      <c r="N11" s="1115">
        <v>9</v>
      </c>
      <c r="O11" s="1115">
        <v>9</v>
      </c>
      <c r="P11" s="1217">
        <v>10</v>
      </c>
      <c r="Q11" s="1115">
        <v>10</v>
      </c>
      <c r="R11" s="1115">
        <v>9</v>
      </c>
      <c r="S11" s="1217">
        <v>10</v>
      </c>
      <c r="T11" s="1115">
        <v>9</v>
      </c>
      <c r="U11" s="1115">
        <v>9</v>
      </c>
      <c r="V11" s="1217">
        <v>10</v>
      </c>
      <c r="W11" s="1115">
        <v>9</v>
      </c>
      <c r="X11" s="1115">
        <v>9</v>
      </c>
      <c r="Y11" s="1217">
        <v>10</v>
      </c>
      <c r="Z11" s="1115">
        <v>9</v>
      </c>
      <c r="AA11" s="1115">
        <v>9</v>
      </c>
      <c r="AB11" s="1217">
        <v>8</v>
      </c>
      <c r="AC11" s="1115">
        <v>7</v>
      </c>
      <c r="AD11" s="1115">
        <v>6</v>
      </c>
      <c r="AE11" s="1217">
        <v>4</v>
      </c>
      <c r="AF11" s="1115">
        <v>4</v>
      </c>
      <c r="AG11" s="1115">
        <v>5</v>
      </c>
      <c r="AH11" s="1217">
        <v>5</v>
      </c>
      <c r="AI11" s="1115">
        <v>5</v>
      </c>
      <c r="AJ11" s="1115">
        <v>5</v>
      </c>
      <c r="AK11" s="1217">
        <v>5</v>
      </c>
      <c r="AL11" s="1115">
        <v>4</v>
      </c>
      <c r="AM11" s="1115">
        <v>4</v>
      </c>
      <c r="AN11" s="1217">
        <v>4</v>
      </c>
      <c r="AO11" s="1115">
        <v>4</v>
      </c>
      <c r="AP11" s="1115">
        <v>4</v>
      </c>
      <c r="AQ11" s="1217">
        <v>4</v>
      </c>
    </row>
    <row r="12" spans="1:43" s="212" customFormat="1" ht="15" customHeight="1" x14ac:dyDescent="0.25">
      <c r="A12" s="5534"/>
      <c r="B12" s="5458"/>
      <c r="C12" s="1203"/>
      <c r="D12" s="1448" t="s">
        <v>634</v>
      </c>
      <c r="E12" s="1210"/>
      <c r="F12" s="1211"/>
      <c r="G12" s="1211"/>
      <c r="H12" s="1210"/>
      <c r="I12" s="1211"/>
      <c r="J12" s="1211"/>
      <c r="K12" s="1210"/>
      <c r="L12" s="1211"/>
      <c r="M12" s="1212"/>
      <c r="N12" s="1211"/>
      <c r="O12" s="1211"/>
      <c r="P12" s="1212"/>
      <c r="Q12" s="1211"/>
      <c r="R12" s="1211"/>
      <c r="S12" s="1212"/>
      <c r="T12" s="1211"/>
      <c r="U12" s="1211"/>
      <c r="V12" s="1212"/>
      <c r="W12" s="1211"/>
      <c r="X12" s="1211"/>
      <c r="Y12" s="1212"/>
      <c r="Z12" s="1211"/>
      <c r="AA12" s="1211"/>
      <c r="AB12" s="1212"/>
      <c r="AC12" s="1211"/>
      <c r="AD12" s="1211"/>
      <c r="AE12" s="1212"/>
      <c r="AF12" s="1211"/>
      <c r="AG12" s="1211"/>
      <c r="AH12" s="1212"/>
      <c r="AI12" s="1211"/>
      <c r="AJ12" s="1211"/>
      <c r="AK12" s="1212">
        <v>3</v>
      </c>
      <c r="AL12" s="1211">
        <v>3</v>
      </c>
      <c r="AM12" s="1211">
        <v>3</v>
      </c>
      <c r="AN12" s="1212">
        <v>3</v>
      </c>
      <c r="AO12" s="1211">
        <v>5</v>
      </c>
      <c r="AP12" s="1211">
        <v>5</v>
      </c>
      <c r="AQ12" s="1212">
        <v>8</v>
      </c>
    </row>
    <row r="13" spans="1:43" s="212" customFormat="1" ht="15" customHeight="1" x14ac:dyDescent="0.25">
      <c r="A13" s="5534"/>
      <c r="B13" s="5458"/>
      <c r="C13" s="1203"/>
      <c r="D13" s="1446" t="s">
        <v>635</v>
      </c>
      <c r="E13" s="1216"/>
      <c r="F13" s="1115"/>
      <c r="G13" s="1115"/>
      <c r="H13" s="1216"/>
      <c r="I13" s="1115"/>
      <c r="J13" s="1115"/>
      <c r="K13" s="1216"/>
      <c r="L13" s="1115"/>
      <c r="M13" s="1217"/>
      <c r="N13" s="1115"/>
      <c r="O13" s="1115"/>
      <c r="P13" s="1217"/>
      <c r="Q13" s="1115"/>
      <c r="R13" s="1115"/>
      <c r="S13" s="1217"/>
      <c r="T13" s="1115"/>
      <c r="U13" s="1115"/>
      <c r="V13" s="1217"/>
      <c r="W13" s="1115"/>
      <c r="X13" s="1115"/>
      <c r="Y13" s="1217"/>
      <c r="Z13" s="1115"/>
      <c r="AA13" s="1115"/>
      <c r="AB13" s="1217"/>
      <c r="AC13" s="1115"/>
      <c r="AD13" s="1115"/>
      <c r="AE13" s="1217"/>
      <c r="AF13" s="1115"/>
      <c r="AG13" s="1115"/>
      <c r="AH13" s="1217"/>
      <c r="AI13" s="1115"/>
      <c r="AJ13" s="1115"/>
      <c r="AK13" s="1217">
        <v>2</v>
      </c>
      <c r="AL13" s="1115">
        <v>2</v>
      </c>
      <c r="AM13" s="1115">
        <v>2</v>
      </c>
      <c r="AN13" s="1217">
        <v>2</v>
      </c>
      <c r="AO13" s="1115">
        <v>3</v>
      </c>
      <c r="AP13" s="1115">
        <v>3</v>
      </c>
      <c r="AQ13" s="1217">
        <v>3</v>
      </c>
    </row>
    <row r="14" spans="1:43" s="212" customFormat="1" ht="15" customHeight="1" x14ac:dyDescent="0.2">
      <c r="A14" s="5534"/>
      <c r="B14" s="5460"/>
      <c r="C14" s="1202"/>
      <c r="D14" s="1449" t="s">
        <v>160</v>
      </c>
      <c r="E14" s="1218">
        <f t="shared" ref="E14:AH14" si="0">SUM(E5:E11)</f>
        <v>124</v>
      </c>
      <c r="F14" s="1219">
        <f t="shared" si="0"/>
        <v>108</v>
      </c>
      <c r="G14" s="1219">
        <f t="shared" si="0"/>
        <v>116</v>
      </c>
      <c r="H14" s="1218">
        <f t="shared" si="0"/>
        <v>117</v>
      </c>
      <c r="I14" s="1219">
        <f t="shared" si="0"/>
        <v>106</v>
      </c>
      <c r="J14" s="1219">
        <f t="shared" si="0"/>
        <v>125</v>
      </c>
      <c r="K14" s="1218">
        <f t="shared" si="0"/>
        <v>117</v>
      </c>
      <c r="L14" s="1219">
        <f t="shared" si="0"/>
        <v>115</v>
      </c>
      <c r="M14" s="1220">
        <f t="shared" si="0"/>
        <v>122</v>
      </c>
      <c r="N14" s="1219">
        <f t="shared" si="0"/>
        <v>128</v>
      </c>
      <c r="O14" s="1219">
        <f t="shared" si="0"/>
        <v>117</v>
      </c>
      <c r="P14" s="1220">
        <f t="shared" si="0"/>
        <v>122</v>
      </c>
      <c r="Q14" s="1219">
        <f t="shared" si="0"/>
        <v>122</v>
      </c>
      <c r="R14" s="1219">
        <f t="shared" si="0"/>
        <v>116</v>
      </c>
      <c r="S14" s="1220">
        <f t="shared" si="0"/>
        <v>103</v>
      </c>
      <c r="T14" s="1219">
        <f t="shared" si="0"/>
        <v>84</v>
      </c>
      <c r="U14" s="1219">
        <f t="shared" si="0"/>
        <v>82</v>
      </c>
      <c r="V14" s="1220">
        <f t="shared" si="0"/>
        <v>99</v>
      </c>
      <c r="W14" s="1219">
        <f t="shared" si="0"/>
        <v>106</v>
      </c>
      <c r="X14" s="1219">
        <f t="shared" si="0"/>
        <v>93</v>
      </c>
      <c r="Y14" s="1220">
        <f t="shared" si="0"/>
        <v>125</v>
      </c>
      <c r="Z14" s="1219">
        <f t="shared" si="0"/>
        <v>140</v>
      </c>
      <c r="AA14" s="1219">
        <f t="shared" si="0"/>
        <v>128</v>
      </c>
      <c r="AB14" s="1220">
        <f t="shared" si="0"/>
        <v>139</v>
      </c>
      <c r="AC14" s="1219">
        <f t="shared" si="0"/>
        <v>138</v>
      </c>
      <c r="AD14" s="1219">
        <f t="shared" si="0"/>
        <v>126</v>
      </c>
      <c r="AE14" s="1220">
        <f t="shared" si="0"/>
        <v>127</v>
      </c>
      <c r="AF14" s="1219">
        <f t="shared" si="0"/>
        <v>114</v>
      </c>
      <c r="AG14" s="1219">
        <f t="shared" si="0"/>
        <v>107</v>
      </c>
      <c r="AH14" s="1220">
        <f t="shared" si="0"/>
        <v>119</v>
      </c>
      <c r="AI14" s="1219">
        <f>SUM(AI5:AI11)</f>
        <v>123</v>
      </c>
      <c r="AJ14" s="1219">
        <f>SUM(AJ5:AJ11)</f>
        <v>117</v>
      </c>
      <c r="AK14" s="1220">
        <f t="shared" ref="AK14:AQ14" si="1">SUM(AK5:AK13)</f>
        <v>154</v>
      </c>
      <c r="AL14" s="1219">
        <f t="shared" si="1"/>
        <v>152</v>
      </c>
      <c r="AM14" s="1219">
        <f t="shared" si="1"/>
        <v>150</v>
      </c>
      <c r="AN14" s="1220">
        <f t="shared" si="1"/>
        <v>201</v>
      </c>
      <c r="AO14" s="1219">
        <f t="shared" si="1"/>
        <v>193</v>
      </c>
      <c r="AP14" s="1219">
        <f t="shared" si="1"/>
        <v>169</v>
      </c>
      <c r="AQ14" s="1220">
        <f t="shared" si="1"/>
        <v>200</v>
      </c>
    </row>
    <row r="15" spans="1:43" s="212" customFormat="1" ht="15" customHeight="1" x14ac:dyDescent="0.25">
      <c r="A15" s="5534"/>
      <c r="B15" s="5457" t="s">
        <v>6</v>
      </c>
      <c r="C15" s="5455" t="s">
        <v>528</v>
      </c>
      <c r="D15" s="1450" t="s">
        <v>138</v>
      </c>
      <c r="E15" s="1221">
        <v>14</v>
      </c>
      <c r="F15" s="1222">
        <v>13</v>
      </c>
      <c r="G15" s="1222">
        <v>31</v>
      </c>
      <c r="H15" s="1221">
        <v>26</v>
      </c>
      <c r="I15" s="1222">
        <v>24</v>
      </c>
      <c r="J15" s="1222">
        <v>20</v>
      </c>
      <c r="K15" s="1221">
        <v>18</v>
      </c>
      <c r="L15" s="1222">
        <v>17</v>
      </c>
      <c r="M15" s="1223">
        <v>23</v>
      </c>
      <c r="N15" s="1222">
        <v>18</v>
      </c>
      <c r="O15" s="1222">
        <v>21</v>
      </c>
      <c r="P15" s="1223">
        <v>13</v>
      </c>
      <c r="Q15" s="1222">
        <v>12</v>
      </c>
      <c r="R15" s="1222">
        <v>15</v>
      </c>
      <c r="S15" s="1223">
        <v>21</v>
      </c>
      <c r="T15" s="1222">
        <v>17</v>
      </c>
      <c r="U15" s="1222">
        <v>16</v>
      </c>
      <c r="V15" s="1223">
        <v>18</v>
      </c>
      <c r="W15" s="1222">
        <v>18</v>
      </c>
      <c r="X15" s="1222">
        <v>17</v>
      </c>
      <c r="Y15" s="1223">
        <v>18</v>
      </c>
      <c r="Z15" s="1222">
        <v>14</v>
      </c>
      <c r="AA15" s="1222">
        <v>15</v>
      </c>
      <c r="AB15" s="1223">
        <v>15</v>
      </c>
      <c r="AC15" s="1222">
        <v>14</v>
      </c>
      <c r="AD15" s="1222">
        <v>13</v>
      </c>
      <c r="AE15" s="1223">
        <v>17</v>
      </c>
      <c r="AF15" s="1222">
        <v>16</v>
      </c>
      <c r="AG15" s="1222">
        <v>17</v>
      </c>
      <c r="AH15" s="1223">
        <v>18</v>
      </c>
      <c r="AI15" s="1222">
        <v>17</v>
      </c>
      <c r="AJ15" s="1222">
        <v>16</v>
      </c>
      <c r="AK15" s="1223">
        <v>19</v>
      </c>
      <c r="AL15" s="1222">
        <v>18</v>
      </c>
      <c r="AM15" s="1222">
        <v>19</v>
      </c>
      <c r="AN15" s="1223">
        <v>18</v>
      </c>
      <c r="AO15" s="1222">
        <v>17</v>
      </c>
      <c r="AP15" s="1222">
        <v>19</v>
      </c>
      <c r="AQ15" s="1223">
        <v>21</v>
      </c>
    </row>
    <row r="16" spans="1:43" s="212" customFormat="1" ht="15" customHeight="1" x14ac:dyDescent="0.25">
      <c r="A16" s="5534"/>
      <c r="B16" s="5458"/>
      <c r="C16" s="5456"/>
      <c r="D16" s="1451" t="s">
        <v>360</v>
      </c>
      <c r="E16" s="1216"/>
      <c r="F16" s="1115"/>
      <c r="G16" s="1115"/>
      <c r="H16" s="1216"/>
      <c r="I16" s="1115"/>
      <c r="J16" s="1115">
        <v>18</v>
      </c>
      <c r="K16" s="1216">
        <v>17</v>
      </c>
      <c r="L16" s="1115">
        <v>15</v>
      </c>
      <c r="M16" s="1217">
        <v>9</v>
      </c>
      <c r="N16" s="1115">
        <v>7</v>
      </c>
      <c r="O16" s="1115">
        <v>7</v>
      </c>
      <c r="P16" s="1217">
        <v>20</v>
      </c>
      <c r="Q16" s="1115">
        <v>17</v>
      </c>
      <c r="R16" s="1115">
        <v>17</v>
      </c>
      <c r="S16" s="1217">
        <v>13</v>
      </c>
      <c r="T16" s="1115">
        <v>9</v>
      </c>
      <c r="U16" s="1115">
        <v>10</v>
      </c>
      <c r="V16" s="1217">
        <v>13</v>
      </c>
      <c r="W16" s="1115">
        <v>12</v>
      </c>
      <c r="X16" s="1115">
        <v>9</v>
      </c>
      <c r="Y16" s="1217"/>
      <c r="Z16" s="1115" t="s">
        <v>227</v>
      </c>
      <c r="AA16" s="1115" t="s">
        <v>227</v>
      </c>
      <c r="AB16" s="1217">
        <v>12</v>
      </c>
      <c r="AC16" s="1115">
        <v>11</v>
      </c>
      <c r="AD16" s="1115">
        <v>9</v>
      </c>
      <c r="AE16" s="1217">
        <v>10</v>
      </c>
      <c r="AF16" s="1115">
        <v>9</v>
      </c>
      <c r="AG16" s="1115">
        <v>10</v>
      </c>
      <c r="AH16" s="1217"/>
      <c r="AI16" s="1115"/>
      <c r="AJ16" s="1115">
        <v>1</v>
      </c>
      <c r="AK16" s="1217">
        <v>10</v>
      </c>
      <c r="AL16" s="1115">
        <v>9</v>
      </c>
      <c r="AM16" s="1115">
        <v>7</v>
      </c>
      <c r="AN16" s="1217"/>
      <c r="AO16" s="1115"/>
      <c r="AP16" s="1115"/>
      <c r="AQ16" s="1217">
        <v>9</v>
      </c>
    </row>
    <row r="17" spans="1:43" s="212" customFormat="1" ht="15" customHeight="1" x14ac:dyDescent="0.25">
      <c r="A17" s="5534"/>
      <c r="B17" s="5458"/>
      <c r="C17" s="5465"/>
      <c r="D17" s="1451" t="s">
        <v>406</v>
      </c>
      <c r="E17" s="1216"/>
      <c r="F17" s="1115"/>
      <c r="G17" s="1115"/>
      <c r="H17" s="1216"/>
      <c r="I17" s="1115"/>
      <c r="J17" s="1115"/>
      <c r="K17" s="1216"/>
      <c r="L17" s="1115"/>
      <c r="M17" s="1217"/>
      <c r="N17" s="1115"/>
      <c r="O17" s="1115"/>
      <c r="P17" s="1217"/>
      <c r="Q17" s="1115"/>
      <c r="R17" s="1115"/>
      <c r="S17" s="1217">
        <v>5</v>
      </c>
      <c r="T17" s="1115">
        <v>1</v>
      </c>
      <c r="U17" s="1115">
        <v>1</v>
      </c>
      <c r="V17" s="1217"/>
      <c r="W17" s="1115">
        <v>1</v>
      </c>
      <c r="X17" s="1115">
        <v>1</v>
      </c>
      <c r="Y17" s="1217">
        <v>1</v>
      </c>
      <c r="Z17" s="1115"/>
      <c r="AA17" s="1115"/>
      <c r="AB17" s="1217"/>
      <c r="AC17" s="1115">
        <v>1</v>
      </c>
      <c r="AD17" s="1115">
        <v>1</v>
      </c>
      <c r="AE17" s="1217"/>
      <c r="AF17" s="1115"/>
      <c r="AG17" s="1115">
        <v>1</v>
      </c>
      <c r="AH17" s="1217">
        <v>1</v>
      </c>
      <c r="AI17" s="1115">
        <v>1</v>
      </c>
      <c r="AJ17" s="1115">
        <v>1</v>
      </c>
      <c r="AK17" s="1217">
        <v>1</v>
      </c>
      <c r="AL17" s="1115"/>
      <c r="AM17" s="1115"/>
      <c r="AN17" s="1217"/>
      <c r="AO17" s="1115"/>
      <c r="AP17" s="1115"/>
      <c r="AQ17" s="1217"/>
    </row>
    <row r="18" spans="1:43" s="212" customFormat="1" ht="15" customHeight="1" x14ac:dyDescent="0.25">
      <c r="A18" s="5534"/>
      <c r="B18" s="5458"/>
      <c r="C18" s="5455" t="s">
        <v>527</v>
      </c>
      <c r="D18" s="1451" t="s">
        <v>370</v>
      </c>
      <c r="E18" s="1216"/>
      <c r="F18" s="1115"/>
      <c r="G18" s="1115"/>
      <c r="H18" s="1216"/>
      <c r="I18" s="1115"/>
      <c r="J18" s="1115"/>
      <c r="K18" s="1216"/>
      <c r="L18" s="1115"/>
      <c r="M18" s="1217"/>
      <c r="N18" s="1115"/>
      <c r="O18" s="1115"/>
      <c r="P18" s="1217"/>
      <c r="Q18" s="1115"/>
      <c r="R18" s="1115"/>
      <c r="S18" s="1217">
        <v>10</v>
      </c>
      <c r="T18" s="1115">
        <v>10</v>
      </c>
      <c r="U18" s="1115">
        <v>9</v>
      </c>
      <c r="V18" s="1217">
        <v>9</v>
      </c>
      <c r="W18" s="1115">
        <v>8</v>
      </c>
      <c r="X18" s="1115">
        <v>8</v>
      </c>
      <c r="Y18" s="1217">
        <v>22</v>
      </c>
      <c r="Z18" s="1115">
        <v>21</v>
      </c>
      <c r="AA18" s="1115">
        <v>19</v>
      </c>
      <c r="AB18" s="1217">
        <v>16</v>
      </c>
      <c r="AC18" s="1115">
        <v>15</v>
      </c>
      <c r="AD18" s="1115">
        <v>13</v>
      </c>
      <c r="AE18" s="1217">
        <v>15</v>
      </c>
      <c r="AF18" s="1115">
        <v>8</v>
      </c>
      <c r="AG18" s="1115">
        <v>9</v>
      </c>
      <c r="AH18" s="1217">
        <v>8</v>
      </c>
      <c r="AI18" s="1115">
        <v>8</v>
      </c>
      <c r="AJ18" s="1115">
        <v>8</v>
      </c>
      <c r="AK18" s="1217">
        <v>20</v>
      </c>
      <c r="AL18" s="1115">
        <v>18</v>
      </c>
      <c r="AM18" s="1115">
        <v>12</v>
      </c>
      <c r="AN18" s="1217">
        <v>12</v>
      </c>
      <c r="AO18" s="1115">
        <v>12</v>
      </c>
      <c r="AP18" s="1115">
        <v>10</v>
      </c>
      <c r="AQ18" s="1217">
        <v>14</v>
      </c>
    </row>
    <row r="19" spans="1:43" s="212" customFormat="1" ht="15" customHeight="1" x14ac:dyDescent="0.25">
      <c r="A19" s="5534"/>
      <c r="B19" s="5458"/>
      <c r="C19" s="5456"/>
      <c r="D19" s="1451" t="s">
        <v>368</v>
      </c>
      <c r="E19" s="1216">
        <v>13</v>
      </c>
      <c r="F19" s="1115">
        <v>16</v>
      </c>
      <c r="G19" s="1115">
        <v>14</v>
      </c>
      <c r="H19" s="1216">
        <v>13</v>
      </c>
      <c r="I19" s="1115">
        <v>13</v>
      </c>
      <c r="J19" s="1115">
        <v>28</v>
      </c>
      <c r="K19" s="1216">
        <v>21</v>
      </c>
      <c r="L19" s="1115">
        <v>20</v>
      </c>
      <c r="M19" s="1217">
        <v>17</v>
      </c>
      <c r="N19" s="1115">
        <v>17</v>
      </c>
      <c r="O19" s="1115">
        <v>17</v>
      </c>
      <c r="P19" s="1217"/>
      <c r="Q19" s="1115"/>
      <c r="R19" s="1115"/>
      <c r="S19" s="1217"/>
      <c r="T19" s="1115"/>
      <c r="U19" s="1115">
        <v>1</v>
      </c>
      <c r="V19" s="1217"/>
      <c r="W19" s="1115"/>
      <c r="X19" s="1115"/>
      <c r="Y19" s="1217"/>
      <c r="Z19" s="1115">
        <v>18</v>
      </c>
      <c r="AA19" s="1115">
        <v>16</v>
      </c>
      <c r="AB19" s="1217">
        <v>16</v>
      </c>
      <c r="AC19" s="1115">
        <v>1</v>
      </c>
      <c r="AD19" s="1115">
        <v>2</v>
      </c>
      <c r="AE19" s="1217"/>
      <c r="AF19" s="1115"/>
      <c r="AG19" s="1115"/>
      <c r="AH19" s="1217"/>
      <c r="AI19" s="1115"/>
      <c r="AJ19" s="1115"/>
      <c r="AK19" s="1217"/>
      <c r="AL19" s="1115"/>
      <c r="AM19" s="1115"/>
      <c r="AN19" s="1217"/>
      <c r="AO19" s="1115"/>
      <c r="AP19" s="1115"/>
      <c r="AQ19" s="1217"/>
    </row>
    <row r="20" spans="1:43" s="212" customFormat="1" ht="15" customHeight="1" x14ac:dyDescent="0.25">
      <c r="A20" s="5534"/>
      <c r="B20" s="5458"/>
      <c r="C20" s="5456"/>
      <c r="D20" s="1451" t="s">
        <v>139</v>
      </c>
      <c r="E20" s="1216"/>
      <c r="F20" s="1115"/>
      <c r="G20" s="1115"/>
      <c r="H20" s="1216"/>
      <c r="I20" s="1115"/>
      <c r="J20" s="1115"/>
      <c r="K20" s="1216"/>
      <c r="L20" s="1115"/>
      <c r="M20" s="1217">
        <v>1</v>
      </c>
      <c r="N20" s="1115">
        <v>2</v>
      </c>
      <c r="O20" s="1115"/>
      <c r="P20" s="1217">
        <v>1</v>
      </c>
      <c r="Q20" s="1115">
        <v>1</v>
      </c>
      <c r="R20" s="1115"/>
      <c r="S20" s="1217">
        <v>11</v>
      </c>
      <c r="T20" s="1115"/>
      <c r="U20" s="1115"/>
      <c r="V20" s="1217">
        <v>14</v>
      </c>
      <c r="W20" s="1115"/>
      <c r="X20" s="1115"/>
      <c r="Y20" s="1217">
        <v>19</v>
      </c>
      <c r="Z20" s="1115" t="s">
        <v>227</v>
      </c>
      <c r="AA20" s="1115" t="s">
        <v>227</v>
      </c>
      <c r="AB20" s="1217">
        <v>25</v>
      </c>
      <c r="AC20" s="1115">
        <v>1</v>
      </c>
      <c r="AD20" s="1115">
        <v>1</v>
      </c>
      <c r="AE20" s="1217"/>
      <c r="AF20" s="1115">
        <v>1</v>
      </c>
      <c r="AG20" s="1115"/>
      <c r="AH20" s="1217"/>
      <c r="AI20" s="1115"/>
      <c r="AJ20" s="1115"/>
      <c r="AK20" s="1217"/>
      <c r="AL20" s="1115"/>
      <c r="AM20" s="1115"/>
      <c r="AN20" s="1217"/>
      <c r="AO20" s="1115"/>
      <c r="AP20" s="1115"/>
      <c r="AQ20" s="1217"/>
    </row>
    <row r="21" spans="1:43" s="212" customFormat="1" ht="15" customHeight="1" x14ac:dyDescent="0.25">
      <c r="A21" s="5534"/>
      <c r="B21" s="5458"/>
      <c r="C21" s="5456"/>
      <c r="D21" s="1451" t="s">
        <v>369</v>
      </c>
      <c r="E21" s="1216"/>
      <c r="F21" s="1115"/>
      <c r="G21" s="1115"/>
      <c r="H21" s="1216"/>
      <c r="I21" s="1115"/>
      <c r="J21" s="1115"/>
      <c r="K21" s="1216"/>
      <c r="L21" s="1115"/>
      <c r="M21" s="1217">
        <v>20</v>
      </c>
      <c r="N21" s="1115">
        <v>19</v>
      </c>
      <c r="O21" s="1115">
        <v>19</v>
      </c>
      <c r="P21" s="1217">
        <v>19</v>
      </c>
      <c r="Q21" s="1115">
        <v>19</v>
      </c>
      <c r="R21" s="1115">
        <v>19</v>
      </c>
      <c r="S21" s="1217">
        <v>25</v>
      </c>
      <c r="T21" s="1115">
        <v>24</v>
      </c>
      <c r="U21" s="1115">
        <v>22</v>
      </c>
      <c r="V21" s="1217">
        <v>22</v>
      </c>
      <c r="W21" s="1115">
        <v>22</v>
      </c>
      <c r="X21" s="1115">
        <v>21</v>
      </c>
      <c r="Y21" s="1217">
        <v>17</v>
      </c>
      <c r="Z21" s="1115">
        <v>13</v>
      </c>
      <c r="AA21" s="1115">
        <v>14</v>
      </c>
      <c r="AB21" s="1217">
        <v>15</v>
      </c>
      <c r="AC21" s="1115">
        <v>13</v>
      </c>
      <c r="AD21" s="1115">
        <v>13</v>
      </c>
      <c r="AE21" s="1217">
        <v>3</v>
      </c>
      <c r="AF21" s="1115">
        <v>15</v>
      </c>
      <c r="AG21" s="1115">
        <v>14</v>
      </c>
      <c r="AH21" s="1217">
        <v>15</v>
      </c>
      <c r="AI21" s="1115">
        <v>14</v>
      </c>
      <c r="AJ21" s="1115">
        <v>14</v>
      </c>
      <c r="AK21" s="1217">
        <v>14</v>
      </c>
      <c r="AL21" s="1115">
        <v>33</v>
      </c>
      <c r="AM21" s="1115">
        <v>25</v>
      </c>
      <c r="AN21" s="1217">
        <v>24</v>
      </c>
      <c r="AO21" s="1115">
        <v>22</v>
      </c>
      <c r="AP21" s="1115">
        <v>24</v>
      </c>
      <c r="AQ21" s="1217">
        <v>42</v>
      </c>
    </row>
    <row r="22" spans="1:43" s="212" customFormat="1" ht="15" customHeight="1" x14ac:dyDescent="0.25">
      <c r="A22" s="5534"/>
      <c r="B22" s="5458"/>
      <c r="C22" s="5456"/>
      <c r="D22" s="1451" t="s">
        <v>444</v>
      </c>
      <c r="E22" s="1216"/>
      <c r="F22" s="1115"/>
      <c r="G22" s="1115"/>
      <c r="H22" s="1216"/>
      <c r="I22" s="1115"/>
      <c r="J22" s="1115"/>
      <c r="K22" s="1216"/>
      <c r="L22" s="1115"/>
      <c r="M22" s="1217"/>
      <c r="N22" s="1115"/>
      <c r="O22" s="1115"/>
      <c r="P22" s="1217"/>
      <c r="Q22" s="1115"/>
      <c r="R22" s="1115"/>
      <c r="S22" s="1217"/>
      <c r="T22" s="1115"/>
      <c r="U22" s="1115"/>
      <c r="V22" s="1217"/>
      <c r="W22" s="1115"/>
      <c r="X22" s="1115"/>
      <c r="Y22" s="1217"/>
      <c r="Z22" s="1115"/>
      <c r="AA22" s="1115"/>
      <c r="AB22" s="1217"/>
      <c r="AC22" s="1115"/>
      <c r="AD22" s="1115"/>
      <c r="AE22" s="1217"/>
      <c r="AF22" s="1115"/>
      <c r="AG22" s="1115"/>
      <c r="AH22" s="1217">
        <v>8</v>
      </c>
      <c r="AI22" s="1115">
        <v>12</v>
      </c>
      <c r="AJ22" s="1115">
        <v>12</v>
      </c>
      <c r="AK22" s="1217">
        <v>12</v>
      </c>
      <c r="AL22" s="1115">
        <v>12</v>
      </c>
      <c r="AM22" s="1115">
        <v>12</v>
      </c>
      <c r="AN22" s="1217">
        <v>22</v>
      </c>
      <c r="AO22" s="1115">
        <v>19</v>
      </c>
      <c r="AP22" s="1115">
        <v>18</v>
      </c>
      <c r="AQ22" s="1217">
        <v>18</v>
      </c>
    </row>
    <row r="23" spans="1:43" s="212" customFormat="1" ht="15" customHeight="1" x14ac:dyDescent="0.25">
      <c r="A23" s="5534"/>
      <c r="B23" s="5458"/>
      <c r="C23" s="5456"/>
      <c r="D23" s="1451" t="s">
        <v>141</v>
      </c>
      <c r="E23" s="1216">
        <v>18</v>
      </c>
      <c r="F23" s="1115">
        <v>12</v>
      </c>
      <c r="G23" s="1115">
        <v>12</v>
      </c>
      <c r="H23" s="1216">
        <v>16</v>
      </c>
      <c r="I23" s="1115">
        <v>9</v>
      </c>
      <c r="J23" s="1115">
        <v>10</v>
      </c>
      <c r="K23" s="1216">
        <v>17</v>
      </c>
      <c r="L23" s="1115">
        <v>16</v>
      </c>
      <c r="M23" s="1217">
        <v>16</v>
      </c>
      <c r="N23" s="1115">
        <v>7</v>
      </c>
      <c r="O23" s="1115">
        <v>8</v>
      </c>
      <c r="P23" s="1217">
        <v>8</v>
      </c>
      <c r="Q23" s="1115">
        <v>20</v>
      </c>
      <c r="R23" s="1115">
        <v>15</v>
      </c>
      <c r="S23" s="1217">
        <v>16</v>
      </c>
      <c r="T23" s="1115">
        <v>26</v>
      </c>
      <c r="U23" s="1115">
        <v>27</v>
      </c>
      <c r="V23" s="1217">
        <v>26</v>
      </c>
      <c r="W23" s="1115">
        <v>9</v>
      </c>
      <c r="X23" s="1115">
        <v>14</v>
      </c>
      <c r="Y23" s="1217">
        <v>29</v>
      </c>
      <c r="Z23" s="1115">
        <v>22</v>
      </c>
      <c r="AA23" s="1115">
        <v>16</v>
      </c>
      <c r="AB23" s="1217">
        <v>24</v>
      </c>
      <c r="AC23" s="1115">
        <v>24</v>
      </c>
      <c r="AD23" s="1115">
        <v>23</v>
      </c>
      <c r="AE23" s="1217">
        <v>34</v>
      </c>
      <c r="AF23" s="1115">
        <v>25</v>
      </c>
      <c r="AG23" s="1115">
        <v>21</v>
      </c>
      <c r="AH23" s="1217">
        <v>30</v>
      </c>
      <c r="AI23" s="1115">
        <v>25</v>
      </c>
      <c r="AJ23" s="1115">
        <v>25</v>
      </c>
      <c r="AK23" s="1217">
        <v>30</v>
      </c>
      <c r="AL23" s="1115">
        <v>30</v>
      </c>
      <c r="AM23" s="1115">
        <v>32</v>
      </c>
      <c r="AN23" s="1217">
        <v>28</v>
      </c>
      <c r="AO23" s="1115">
        <v>32</v>
      </c>
      <c r="AP23" s="1115">
        <v>30</v>
      </c>
      <c r="AQ23" s="1217">
        <v>22</v>
      </c>
    </row>
    <row r="24" spans="1:43" s="212" customFormat="1" ht="15" customHeight="1" x14ac:dyDescent="0.25">
      <c r="A24" s="5534"/>
      <c r="B24" s="5458"/>
      <c r="C24" s="5465"/>
      <c r="D24" s="1447" t="s">
        <v>140</v>
      </c>
      <c r="E24" s="1213">
        <v>20</v>
      </c>
      <c r="F24" s="1214">
        <v>20</v>
      </c>
      <c r="G24" s="1214"/>
      <c r="H24" s="1213">
        <v>11</v>
      </c>
      <c r="I24" s="1214">
        <v>7</v>
      </c>
      <c r="J24" s="1214">
        <v>7</v>
      </c>
      <c r="K24" s="1213">
        <v>7</v>
      </c>
      <c r="L24" s="1214">
        <v>7</v>
      </c>
      <c r="M24" s="1215">
        <v>7</v>
      </c>
      <c r="N24" s="1214">
        <v>15</v>
      </c>
      <c r="O24" s="1214">
        <v>15</v>
      </c>
      <c r="P24" s="1215">
        <v>15</v>
      </c>
      <c r="Q24" s="1214">
        <v>16</v>
      </c>
      <c r="R24" s="1214">
        <v>15</v>
      </c>
      <c r="S24" s="1215">
        <v>15</v>
      </c>
      <c r="T24" s="1214">
        <v>18</v>
      </c>
      <c r="U24" s="1214">
        <v>16</v>
      </c>
      <c r="V24" s="1215">
        <v>15</v>
      </c>
      <c r="W24" s="1214">
        <v>15</v>
      </c>
      <c r="X24" s="1214">
        <v>13</v>
      </c>
      <c r="Y24" s="1215">
        <v>31</v>
      </c>
      <c r="Z24" s="1214">
        <v>1</v>
      </c>
      <c r="AA24" s="1214"/>
      <c r="AB24" s="1215">
        <v>1</v>
      </c>
      <c r="AC24" s="1214">
        <v>15</v>
      </c>
      <c r="AD24" s="1214">
        <v>15</v>
      </c>
      <c r="AE24" s="1215">
        <v>25</v>
      </c>
      <c r="AF24" s="1214">
        <v>25</v>
      </c>
      <c r="AG24" s="1214">
        <v>24</v>
      </c>
      <c r="AH24" s="1215">
        <v>25</v>
      </c>
      <c r="AI24" s="1214">
        <v>24</v>
      </c>
      <c r="AJ24" s="1214">
        <v>24</v>
      </c>
      <c r="AK24" s="1215">
        <v>25</v>
      </c>
      <c r="AL24" s="1214">
        <v>26</v>
      </c>
      <c r="AM24" s="1214">
        <v>26</v>
      </c>
      <c r="AN24" s="1215">
        <v>23</v>
      </c>
      <c r="AO24" s="1214">
        <v>21</v>
      </c>
      <c r="AP24" s="1214">
        <v>17</v>
      </c>
      <c r="AQ24" s="1215">
        <v>11</v>
      </c>
    </row>
    <row r="25" spans="1:43" s="212" customFormat="1" ht="15" customHeight="1" x14ac:dyDescent="0.25">
      <c r="A25" s="5534"/>
      <c r="B25" s="5458"/>
      <c r="C25" s="5455" t="s">
        <v>526</v>
      </c>
      <c r="D25" s="1451" t="s">
        <v>371</v>
      </c>
      <c r="E25" s="1216"/>
      <c r="F25" s="1115"/>
      <c r="G25" s="1115"/>
      <c r="H25" s="1216"/>
      <c r="I25" s="1115"/>
      <c r="J25" s="1115"/>
      <c r="K25" s="1216"/>
      <c r="L25" s="1115"/>
      <c r="M25" s="1217"/>
      <c r="N25" s="1115"/>
      <c r="O25" s="1115"/>
      <c r="P25" s="1217"/>
      <c r="Q25" s="1115"/>
      <c r="R25" s="1115"/>
      <c r="S25" s="1217">
        <v>16</v>
      </c>
      <c r="T25" s="1115">
        <v>12</v>
      </c>
      <c r="U25" s="1115">
        <v>12</v>
      </c>
      <c r="V25" s="1217">
        <v>12</v>
      </c>
      <c r="W25" s="1115">
        <v>12</v>
      </c>
      <c r="X25" s="1115">
        <v>12</v>
      </c>
      <c r="Y25" s="1217">
        <v>17</v>
      </c>
      <c r="Z25" s="1115">
        <v>18</v>
      </c>
      <c r="AA25" s="1115">
        <v>16</v>
      </c>
      <c r="AB25" s="1217">
        <v>6</v>
      </c>
      <c r="AC25" s="1115">
        <v>6</v>
      </c>
      <c r="AD25" s="1115">
        <v>6</v>
      </c>
      <c r="AE25" s="1217">
        <v>16</v>
      </c>
      <c r="AF25" s="1115">
        <v>16</v>
      </c>
      <c r="AG25" s="1115">
        <v>15</v>
      </c>
      <c r="AH25" s="1217">
        <v>10</v>
      </c>
      <c r="AI25" s="1115">
        <v>15</v>
      </c>
      <c r="AJ25" s="1115">
        <v>15</v>
      </c>
      <c r="AK25" s="1217">
        <v>24</v>
      </c>
      <c r="AL25" s="1115">
        <v>24</v>
      </c>
      <c r="AM25" s="1115">
        <v>20</v>
      </c>
      <c r="AN25" s="1217">
        <v>20</v>
      </c>
      <c r="AO25" s="1115">
        <v>20</v>
      </c>
      <c r="AP25" s="1115">
        <v>20</v>
      </c>
      <c r="AQ25" s="1217">
        <v>17</v>
      </c>
    </row>
    <row r="26" spans="1:43" s="212" customFormat="1" ht="15" customHeight="1" x14ac:dyDescent="0.25">
      <c r="A26" s="5534"/>
      <c r="B26" s="5458"/>
      <c r="C26" s="5456"/>
      <c r="D26" s="1451" t="s">
        <v>143</v>
      </c>
      <c r="E26" s="1216">
        <v>7</v>
      </c>
      <c r="F26" s="1115"/>
      <c r="G26" s="1115"/>
      <c r="H26" s="1216">
        <v>3</v>
      </c>
      <c r="I26" s="1115">
        <v>5</v>
      </c>
      <c r="J26" s="1115">
        <v>4</v>
      </c>
      <c r="K26" s="1216">
        <v>1</v>
      </c>
      <c r="L26" s="1115"/>
      <c r="M26" s="1217">
        <v>5</v>
      </c>
      <c r="N26" s="1115">
        <v>1</v>
      </c>
      <c r="O26" s="1115">
        <v>1</v>
      </c>
      <c r="P26" s="1217">
        <v>4</v>
      </c>
      <c r="Q26" s="1115">
        <v>8</v>
      </c>
      <c r="R26" s="1115"/>
      <c r="S26" s="1217">
        <v>23</v>
      </c>
      <c r="T26" s="1115"/>
      <c r="U26" s="1115"/>
      <c r="V26" s="1217">
        <v>18</v>
      </c>
      <c r="W26" s="1115"/>
      <c r="X26" s="1115"/>
      <c r="Y26" s="1217">
        <v>30</v>
      </c>
      <c r="Z26" s="1115" t="s">
        <v>227</v>
      </c>
      <c r="AA26" s="1115" t="s">
        <v>227</v>
      </c>
      <c r="AB26" s="1217">
        <v>40</v>
      </c>
      <c r="AC26" s="1115">
        <v>3</v>
      </c>
      <c r="AD26" s="1115">
        <v>2</v>
      </c>
      <c r="AE26" s="1217">
        <v>2</v>
      </c>
      <c r="AF26" s="1115">
        <v>2</v>
      </c>
      <c r="AG26" s="1115">
        <v>1</v>
      </c>
      <c r="AH26" s="1217">
        <v>1</v>
      </c>
      <c r="AI26" s="1115">
        <v>1</v>
      </c>
      <c r="AJ26" s="1115">
        <v>1</v>
      </c>
      <c r="AK26" s="1217">
        <v>1</v>
      </c>
      <c r="AL26" s="1115">
        <v>1</v>
      </c>
      <c r="AM26" s="1115">
        <v>1</v>
      </c>
      <c r="AN26" s="1217">
        <v>1</v>
      </c>
      <c r="AO26" s="1115"/>
      <c r="AP26" s="1115"/>
      <c r="AQ26" s="1217"/>
    </row>
    <row r="27" spans="1:43" s="212" customFormat="1" ht="15" customHeight="1" x14ac:dyDescent="0.25">
      <c r="A27" s="5534"/>
      <c r="B27" s="5458"/>
      <c r="C27" s="5456"/>
      <c r="D27" s="1451" t="s">
        <v>142</v>
      </c>
      <c r="E27" s="1216"/>
      <c r="F27" s="1115"/>
      <c r="G27" s="1115"/>
      <c r="H27" s="1216"/>
      <c r="I27" s="1115"/>
      <c r="J27" s="1115"/>
      <c r="K27" s="1216"/>
      <c r="L27" s="1115"/>
      <c r="M27" s="1217">
        <v>12</v>
      </c>
      <c r="N27" s="1115">
        <v>12</v>
      </c>
      <c r="O27" s="1115">
        <v>11</v>
      </c>
      <c r="P27" s="1217">
        <v>10</v>
      </c>
      <c r="Q27" s="1115">
        <v>9</v>
      </c>
      <c r="R27" s="1115">
        <v>8</v>
      </c>
      <c r="S27" s="1217">
        <v>21</v>
      </c>
      <c r="T27" s="1115">
        <v>21</v>
      </c>
      <c r="U27" s="1115">
        <v>21</v>
      </c>
      <c r="V27" s="1217">
        <v>13</v>
      </c>
      <c r="W27" s="1115">
        <v>13</v>
      </c>
      <c r="X27" s="1115">
        <v>14</v>
      </c>
      <c r="Y27" s="1217">
        <v>13</v>
      </c>
      <c r="Z27" s="1115">
        <v>11</v>
      </c>
      <c r="AA27" s="1115">
        <v>33</v>
      </c>
      <c r="AB27" s="1217">
        <v>23</v>
      </c>
      <c r="AC27" s="1115">
        <v>24</v>
      </c>
      <c r="AD27" s="1115">
        <v>18</v>
      </c>
      <c r="AE27" s="1217">
        <v>19</v>
      </c>
      <c r="AF27" s="1115">
        <v>18</v>
      </c>
      <c r="AG27" s="1115">
        <v>17</v>
      </c>
      <c r="AH27" s="1217">
        <v>28</v>
      </c>
      <c r="AI27" s="1115">
        <v>28</v>
      </c>
      <c r="AJ27" s="1115">
        <v>17</v>
      </c>
      <c r="AK27" s="1217">
        <v>16</v>
      </c>
      <c r="AL27" s="1115">
        <v>14</v>
      </c>
      <c r="AM27" s="1115">
        <v>12</v>
      </c>
      <c r="AN27" s="1217">
        <v>24</v>
      </c>
      <c r="AO27" s="1115">
        <v>22</v>
      </c>
      <c r="AP27" s="1115">
        <v>21</v>
      </c>
      <c r="AQ27" s="1217">
        <v>18</v>
      </c>
    </row>
    <row r="28" spans="1:43" s="212" customFormat="1" ht="15" customHeight="1" x14ac:dyDescent="0.2">
      <c r="A28" s="5534"/>
      <c r="B28" s="5460"/>
      <c r="C28" s="1202"/>
      <c r="D28" s="1449" t="s">
        <v>160</v>
      </c>
      <c r="E28" s="1218">
        <f t="shared" ref="E28:AK28" si="2">SUM(E15:E27)</f>
        <v>72</v>
      </c>
      <c r="F28" s="1219">
        <f t="shared" si="2"/>
        <v>61</v>
      </c>
      <c r="G28" s="1219">
        <f t="shared" si="2"/>
        <v>57</v>
      </c>
      <c r="H28" s="1218">
        <f t="shared" si="2"/>
        <v>69</v>
      </c>
      <c r="I28" s="1219">
        <f t="shared" si="2"/>
        <v>58</v>
      </c>
      <c r="J28" s="1219">
        <f t="shared" si="2"/>
        <v>87</v>
      </c>
      <c r="K28" s="1218">
        <f t="shared" si="2"/>
        <v>81</v>
      </c>
      <c r="L28" s="1219">
        <f t="shared" si="2"/>
        <v>75</v>
      </c>
      <c r="M28" s="1220">
        <f t="shared" si="2"/>
        <v>110</v>
      </c>
      <c r="N28" s="1219">
        <f t="shared" si="2"/>
        <v>98</v>
      </c>
      <c r="O28" s="1219">
        <f t="shared" si="2"/>
        <v>99</v>
      </c>
      <c r="P28" s="1220">
        <f t="shared" si="2"/>
        <v>90</v>
      </c>
      <c r="Q28" s="1219">
        <f t="shared" si="2"/>
        <v>102</v>
      </c>
      <c r="R28" s="1219">
        <f t="shared" si="2"/>
        <v>89</v>
      </c>
      <c r="S28" s="1220">
        <f t="shared" si="2"/>
        <v>176</v>
      </c>
      <c r="T28" s="1219">
        <f t="shared" si="2"/>
        <v>138</v>
      </c>
      <c r="U28" s="1219">
        <f t="shared" si="2"/>
        <v>135</v>
      </c>
      <c r="V28" s="1220">
        <f t="shared" si="2"/>
        <v>160</v>
      </c>
      <c r="W28" s="1219">
        <f t="shared" si="2"/>
        <v>110</v>
      </c>
      <c r="X28" s="1219">
        <f t="shared" si="2"/>
        <v>109</v>
      </c>
      <c r="Y28" s="1220">
        <f t="shared" si="2"/>
        <v>197</v>
      </c>
      <c r="Z28" s="1219">
        <f t="shared" si="2"/>
        <v>118</v>
      </c>
      <c r="AA28" s="1219">
        <f t="shared" si="2"/>
        <v>129</v>
      </c>
      <c r="AB28" s="1220">
        <f t="shared" si="2"/>
        <v>193</v>
      </c>
      <c r="AC28" s="1219">
        <f t="shared" si="2"/>
        <v>128</v>
      </c>
      <c r="AD28" s="1219">
        <f t="shared" si="2"/>
        <v>116</v>
      </c>
      <c r="AE28" s="1220">
        <f t="shared" si="2"/>
        <v>141</v>
      </c>
      <c r="AF28" s="1219">
        <f t="shared" si="2"/>
        <v>135</v>
      </c>
      <c r="AG28" s="1219">
        <f t="shared" si="2"/>
        <v>129</v>
      </c>
      <c r="AH28" s="1220">
        <f t="shared" si="2"/>
        <v>144</v>
      </c>
      <c r="AI28" s="1219">
        <f t="shared" si="2"/>
        <v>145</v>
      </c>
      <c r="AJ28" s="1219">
        <f t="shared" si="2"/>
        <v>134</v>
      </c>
      <c r="AK28" s="1220">
        <f t="shared" si="2"/>
        <v>172</v>
      </c>
      <c r="AL28" s="1219">
        <f t="shared" ref="AL28:AQ28" si="3">SUM(AL15:AL27)</f>
        <v>185</v>
      </c>
      <c r="AM28" s="1219">
        <f t="shared" si="3"/>
        <v>166</v>
      </c>
      <c r="AN28" s="1220">
        <f t="shared" si="3"/>
        <v>172</v>
      </c>
      <c r="AO28" s="1219">
        <f t="shared" si="3"/>
        <v>165</v>
      </c>
      <c r="AP28" s="1219">
        <f t="shared" si="3"/>
        <v>159</v>
      </c>
      <c r="AQ28" s="1220">
        <f t="shared" si="3"/>
        <v>172</v>
      </c>
    </row>
    <row r="29" spans="1:43" s="212" customFormat="1" ht="15" customHeight="1" x14ac:dyDescent="0.25">
      <c r="A29" s="5534"/>
      <c r="B29" s="5457" t="s">
        <v>7</v>
      </c>
      <c r="C29" s="5466" t="s">
        <v>528</v>
      </c>
      <c r="D29" s="1452" t="s">
        <v>403</v>
      </c>
      <c r="E29" s="1224">
        <v>29</v>
      </c>
      <c r="F29" s="1225">
        <v>28</v>
      </c>
      <c r="G29" s="1225">
        <v>19</v>
      </c>
      <c r="H29" s="1224">
        <v>16</v>
      </c>
      <c r="I29" s="1225">
        <v>13</v>
      </c>
      <c r="J29" s="1225">
        <v>25</v>
      </c>
      <c r="K29" s="1224">
        <v>16</v>
      </c>
      <c r="L29" s="1225">
        <v>14</v>
      </c>
      <c r="M29" s="1226">
        <v>14</v>
      </c>
      <c r="N29" s="1225">
        <v>8</v>
      </c>
      <c r="O29" s="1225">
        <v>7</v>
      </c>
      <c r="P29" s="1226">
        <v>25</v>
      </c>
      <c r="Q29" s="1225">
        <v>36</v>
      </c>
      <c r="R29" s="1225">
        <v>17</v>
      </c>
      <c r="S29" s="1226">
        <v>42</v>
      </c>
      <c r="T29" s="1225">
        <v>16</v>
      </c>
      <c r="U29" s="1225">
        <v>11</v>
      </c>
      <c r="V29" s="1226">
        <v>48</v>
      </c>
      <c r="W29" s="1225">
        <v>9</v>
      </c>
      <c r="X29" s="1225">
        <v>10</v>
      </c>
      <c r="Y29" s="1226">
        <v>54</v>
      </c>
      <c r="Z29" s="1225">
        <v>17</v>
      </c>
      <c r="AA29" s="1225">
        <v>12</v>
      </c>
      <c r="AB29" s="1226">
        <v>87</v>
      </c>
      <c r="AC29" s="1225">
        <v>87</v>
      </c>
      <c r="AD29" s="1225">
        <v>75</v>
      </c>
      <c r="AE29" s="1226">
        <v>32</v>
      </c>
      <c r="AF29" s="1225">
        <v>33</v>
      </c>
      <c r="AG29" s="1225">
        <v>31</v>
      </c>
      <c r="AH29" s="1226">
        <v>79</v>
      </c>
      <c r="AI29" s="1225">
        <v>69</v>
      </c>
      <c r="AJ29" s="1225">
        <v>69</v>
      </c>
      <c r="AK29" s="1226">
        <v>45</v>
      </c>
      <c r="AL29" s="1225">
        <v>29</v>
      </c>
      <c r="AM29" s="1225">
        <v>24</v>
      </c>
      <c r="AN29" s="1226">
        <v>95</v>
      </c>
      <c r="AO29" s="1225">
        <v>70</v>
      </c>
      <c r="AP29" s="1225">
        <v>70</v>
      </c>
      <c r="AQ29" s="1226">
        <v>2</v>
      </c>
    </row>
    <row r="30" spans="1:43" s="212" customFormat="1" ht="15" customHeight="1" x14ac:dyDescent="0.2">
      <c r="A30" s="5534"/>
      <c r="B30" s="5458"/>
      <c r="C30" s="5456"/>
      <c r="D30" s="4386" t="s">
        <v>1397</v>
      </c>
      <c r="E30" s="1221"/>
      <c r="F30" s="1222"/>
      <c r="G30" s="1222"/>
      <c r="H30" s="1221"/>
      <c r="I30" s="1222"/>
      <c r="J30" s="1222"/>
      <c r="K30" s="1221"/>
      <c r="L30" s="1222"/>
      <c r="M30" s="1223"/>
      <c r="N30" s="1222"/>
      <c r="O30" s="1222"/>
      <c r="P30" s="1223"/>
      <c r="Q30" s="1222"/>
      <c r="R30" s="1222"/>
      <c r="S30" s="1223"/>
      <c r="T30" s="1222"/>
      <c r="U30" s="1222"/>
      <c r="V30" s="1223"/>
      <c r="W30" s="1222"/>
      <c r="X30" s="1222"/>
      <c r="Y30" s="1223"/>
      <c r="Z30" s="1222"/>
      <c r="AA30" s="1222"/>
      <c r="AB30" s="1223"/>
      <c r="AC30" s="1222"/>
      <c r="AD30" s="1222"/>
      <c r="AE30" s="1223"/>
      <c r="AF30" s="1222"/>
      <c r="AG30" s="1222"/>
      <c r="AH30" s="1223"/>
      <c r="AI30" s="1222"/>
      <c r="AJ30" s="1222"/>
      <c r="AK30" s="1223"/>
      <c r="AL30" s="1222"/>
      <c r="AM30" s="1222"/>
      <c r="AN30" s="1223"/>
      <c r="AO30" s="1222"/>
      <c r="AP30" s="1222"/>
      <c r="AQ30" s="1223"/>
    </row>
    <row r="31" spans="1:43" ht="15" customHeight="1" x14ac:dyDescent="0.25">
      <c r="A31" s="5534"/>
      <c r="B31" s="5458"/>
      <c r="C31" s="5466" t="s">
        <v>527</v>
      </c>
      <c r="D31" s="4381" t="s">
        <v>404</v>
      </c>
      <c r="E31" s="1216">
        <v>26</v>
      </c>
      <c r="F31" s="1115">
        <v>21</v>
      </c>
      <c r="G31" s="1115">
        <v>27</v>
      </c>
      <c r="H31" s="1216">
        <v>26</v>
      </c>
      <c r="I31" s="1115">
        <v>21</v>
      </c>
      <c r="J31" s="1115">
        <v>31</v>
      </c>
      <c r="K31" s="1216">
        <v>25</v>
      </c>
      <c r="L31" s="1115">
        <v>22</v>
      </c>
      <c r="M31" s="1217">
        <v>27</v>
      </c>
      <c r="N31" s="1115">
        <v>34</v>
      </c>
      <c r="O31" s="1115">
        <v>22</v>
      </c>
      <c r="P31" s="1217">
        <v>39</v>
      </c>
      <c r="Q31" s="1115">
        <v>23</v>
      </c>
      <c r="R31" s="1115">
        <v>37</v>
      </c>
      <c r="S31" s="1217">
        <v>28</v>
      </c>
      <c r="T31" s="1115">
        <v>46</v>
      </c>
      <c r="U31" s="1115">
        <v>42</v>
      </c>
      <c r="V31" s="1217">
        <v>34</v>
      </c>
      <c r="W31" s="1115">
        <v>72</v>
      </c>
      <c r="X31" s="1115">
        <v>72</v>
      </c>
      <c r="Y31" s="1217">
        <v>62</v>
      </c>
      <c r="Z31" s="1115">
        <v>80</v>
      </c>
      <c r="AA31" s="1115">
        <v>75</v>
      </c>
      <c r="AB31" s="1217">
        <v>49</v>
      </c>
      <c r="AC31" s="1115">
        <v>53</v>
      </c>
      <c r="AD31" s="1115">
        <v>38</v>
      </c>
      <c r="AE31" s="1217">
        <v>78</v>
      </c>
      <c r="AF31" s="1115">
        <v>74</v>
      </c>
      <c r="AG31" s="1115">
        <v>76</v>
      </c>
      <c r="AH31" s="1217">
        <v>57</v>
      </c>
      <c r="AI31" s="1115">
        <v>43</v>
      </c>
      <c r="AJ31" s="1115">
        <v>49</v>
      </c>
      <c r="AK31" s="1217">
        <v>56</v>
      </c>
      <c r="AL31" s="1115">
        <v>56</v>
      </c>
      <c r="AM31" s="1115">
        <v>59</v>
      </c>
      <c r="AN31" s="1217">
        <v>63</v>
      </c>
      <c r="AO31" s="1115">
        <v>48</v>
      </c>
      <c r="AP31" s="1115">
        <v>40</v>
      </c>
      <c r="AQ31" s="1217"/>
    </row>
    <row r="32" spans="1:43" ht="15" customHeight="1" x14ac:dyDescent="0.2">
      <c r="A32" s="5534"/>
      <c r="B32" s="5458"/>
      <c r="C32" s="5456"/>
      <c r="D32" s="4385" t="s">
        <v>1400</v>
      </c>
      <c r="E32" s="1213"/>
      <c r="F32" s="1214"/>
      <c r="G32" s="1214"/>
      <c r="H32" s="1213"/>
      <c r="I32" s="1214"/>
      <c r="J32" s="1214"/>
      <c r="K32" s="1213"/>
      <c r="L32" s="1214"/>
      <c r="M32" s="1215"/>
      <c r="N32" s="1214"/>
      <c r="O32" s="1214"/>
      <c r="P32" s="1215"/>
      <c r="Q32" s="1214"/>
      <c r="R32" s="1214"/>
      <c r="S32" s="1215"/>
      <c r="T32" s="1214"/>
      <c r="U32" s="1214"/>
      <c r="V32" s="1215"/>
      <c r="W32" s="1214"/>
      <c r="X32" s="1214"/>
      <c r="Y32" s="1215"/>
      <c r="Z32" s="1214"/>
      <c r="AA32" s="1214"/>
      <c r="AB32" s="1215"/>
      <c r="AC32" s="1214"/>
      <c r="AD32" s="1214"/>
      <c r="AE32" s="1215"/>
      <c r="AF32" s="1214"/>
      <c r="AG32" s="1214"/>
      <c r="AH32" s="1215"/>
      <c r="AI32" s="1214"/>
      <c r="AJ32" s="1214"/>
      <c r="AK32" s="1215"/>
      <c r="AL32" s="1214"/>
      <c r="AM32" s="1214"/>
      <c r="AN32" s="1215"/>
      <c r="AO32" s="1214"/>
      <c r="AP32" s="1214"/>
      <c r="AQ32" s="1215">
        <v>16</v>
      </c>
    </row>
    <row r="33" spans="1:43" ht="15" customHeight="1" x14ac:dyDescent="0.2">
      <c r="A33" s="5534"/>
      <c r="B33" s="5458"/>
      <c r="C33" s="5456"/>
      <c r="D33" s="4386" t="s">
        <v>1396</v>
      </c>
      <c r="E33" s="1213"/>
      <c r="F33" s="1214"/>
      <c r="G33" s="1214"/>
      <c r="H33" s="1213"/>
      <c r="I33" s="1214"/>
      <c r="J33" s="1214"/>
      <c r="K33" s="1213"/>
      <c r="L33" s="1214"/>
      <c r="M33" s="1215"/>
      <c r="N33" s="1214"/>
      <c r="O33" s="1214"/>
      <c r="P33" s="1215"/>
      <c r="Q33" s="1214"/>
      <c r="R33" s="1214"/>
      <c r="S33" s="1215"/>
      <c r="T33" s="1214"/>
      <c r="U33" s="1214"/>
      <c r="V33" s="1215"/>
      <c r="W33" s="1214"/>
      <c r="X33" s="1214"/>
      <c r="Y33" s="1215"/>
      <c r="Z33" s="1214"/>
      <c r="AA33" s="1214"/>
      <c r="AB33" s="1215"/>
      <c r="AC33" s="1214"/>
      <c r="AD33" s="1214"/>
      <c r="AE33" s="1215"/>
      <c r="AF33" s="1214"/>
      <c r="AG33" s="1214"/>
      <c r="AH33" s="1215"/>
      <c r="AI33" s="1214"/>
      <c r="AJ33" s="1214"/>
      <c r="AK33" s="1215"/>
      <c r="AL33" s="1214"/>
      <c r="AM33" s="1214"/>
      <c r="AN33" s="1215"/>
      <c r="AO33" s="1214"/>
      <c r="AP33" s="1214"/>
      <c r="AQ33" s="1215">
        <v>21</v>
      </c>
    </row>
    <row r="34" spans="1:43" ht="15" customHeight="1" x14ac:dyDescent="0.2">
      <c r="A34" s="5534"/>
      <c r="B34" s="5458"/>
      <c r="C34" s="5456"/>
      <c r="D34" s="4386" t="s">
        <v>1395</v>
      </c>
      <c r="E34" s="1213"/>
      <c r="F34" s="1214"/>
      <c r="G34" s="1214"/>
      <c r="H34" s="1213"/>
      <c r="I34" s="1214"/>
      <c r="J34" s="1214"/>
      <c r="K34" s="1213"/>
      <c r="L34" s="1214"/>
      <c r="M34" s="1215"/>
      <c r="N34" s="1214"/>
      <c r="O34" s="1214"/>
      <c r="P34" s="1215"/>
      <c r="Q34" s="1214"/>
      <c r="R34" s="1214"/>
      <c r="S34" s="1215"/>
      <c r="T34" s="1214"/>
      <c r="U34" s="1214"/>
      <c r="V34" s="1215"/>
      <c r="W34" s="1214"/>
      <c r="X34" s="1214"/>
      <c r="Y34" s="1215"/>
      <c r="Z34" s="1214"/>
      <c r="AA34" s="1214"/>
      <c r="AB34" s="1215"/>
      <c r="AC34" s="1214"/>
      <c r="AD34" s="1214"/>
      <c r="AE34" s="1215"/>
      <c r="AF34" s="1214"/>
      <c r="AG34" s="1214"/>
      <c r="AH34" s="1215"/>
      <c r="AI34" s="1214"/>
      <c r="AJ34" s="1214"/>
      <c r="AK34" s="1215"/>
      <c r="AL34" s="1214"/>
      <c r="AM34" s="1214"/>
      <c r="AN34" s="1215"/>
      <c r="AO34" s="1214"/>
      <c r="AP34" s="1214"/>
      <c r="AQ34" s="1215">
        <v>14</v>
      </c>
    </row>
    <row r="35" spans="1:43" ht="15" customHeight="1" x14ac:dyDescent="0.2">
      <c r="A35" s="5534"/>
      <c r="B35" s="5458"/>
      <c r="C35" s="5456"/>
      <c r="D35" s="4386" t="s">
        <v>1397</v>
      </c>
      <c r="E35" s="1213"/>
      <c r="F35" s="1214"/>
      <c r="G35" s="1214"/>
      <c r="H35" s="1213"/>
      <c r="I35" s="1214"/>
      <c r="J35" s="1214"/>
      <c r="K35" s="1213"/>
      <c r="L35" s="1214"/>
      <c r="M35" s="1215"/>
      <c r="N35" s="1214"/>
      <c r="O35" s="1214"/>
      <c r="P35" s="1215"/>
      <c r="Q35" s="1214"/>
      <c r="R35" s="1214"/>
      <c r="S35" s="1215"/>
      <c r="T35" s="1214"/>
      <c r="U35" s="1214"/>
      <c r="V35" s="1215"/>
      <c r="W35" s="1214"/>
      <c r="X35" s="1214"/>
      <c r="Y35" s="1215"/>
      <c r="Z35" s="1214"/>
      <c r="AA35" s="1214"/>
      <c r="AB35" s="1215"/>
      <c r="AC35" s="1214"/>
      <c r="AD35" s="1214"/>
      <c r="AE35" s="1215"/>
      <c r="AF35" s="1214"/>
      <c r="AG35" s="1214"/>
      <c r="AH35" s="1215"/>
      <c r="AI35" s="1214"/>
      <c r="AJ35" s="1214"/>
      <c r="AK35" s="1215"/>
      <c r="AL35" s="1214"/>
      <c r="AM35" s="1214"/>
      <c r="AN35" s="1215"/>
      <c r="AO35" s="1214"/>
      <c r="AP35" s="1214"/>
      <c r="AQ35" s="1215">
        <v>9</v>
      </c>
    </row>
    <row r="36" spans="1:43" ht="15" customHeight="1" x14ac:dyDescent="0.25">
      <c r="A36" s="5534"/>
      <c r="B36" s="5458"/>
      <c r="C36" s="5456"/>
      <c r="D36" s="4381" t="s">
        <v>1398</v>
      </c>
      <c r="E36" s="1213"/>
      <c r="F36" s="1214"/>
      <c r="G36" s="1214"/>
      <c r="H36" s="1213"/>
      <c r="I36" s="1214"/>
      <c r="J36" s="1214"/>
      <c r="K36" s="1213"/>
      <c r="L36" s="1214"/>
      <c r="M36" s="1215"/>
      <c r="N36" s="1214"/>
      <c r="O36" s="1214"/>
      <c r="P36" s="1215"/>
      <c r="Q36" s="1214"/>
      <c r="R36" s="1214"/>
      <c r="S36" s="1215"/>
      <c r="T36" s="1214"/>
      <c r="U36" s="1214"/>
      <c r="V36" s="1215"/>
      <c r="W36" s="1214"/>
      <c r="X36" s="1214"/>
      <c r="Y36" s="1215"/>
      <c r="Z36" s="1214"/>
      <c r="AA36" s="1214"/>
      <c r="AB36" s="1215"/>
      <c r="AC36" s="1214"/>
      <c r="AD36" s="1214"/>
      <c r="AE36" s="1215"/>
      <c r="AF36" s="1214"/>
      <c r="AG36" s="1214"/>
      <c r="AH36" s="1215"/>
      <c r="AI36" s="1214"/>
      <c r="AJ36" s="1214"/>
      <c r="AK36" s="1215"/>
      <c r="AL36" s="1214"/>
      <c r="AM36" s="1214"/>
      <c r="AN36" s="1215"/>
      <c r="AO36" s="1214"/>
      <c r="AP36" s="1214"/>
      <c r="AQ36" s="1215">
        <v>12</v>
      </c>
    </row>
    <row r="37" spans="1:43" ht="15" customHeight="1" x14ac:dyDescent="0.2">
      <c r="A37" s="5534"/>
      <c r="B37" s="5458"/>
      <c r="C37" s="5465"/>
      <c r="D37" s="4386" t="s">
        <v>1399</v>
      </c>
      <c r="E37" s="1213"/>
      <c r="F37" s="1214"/>
      <c r="G37" s="1214"/>
      <c r="H37" s="1213"/>
      <c r="I37" s="1214"/>
      <c r="J37" s="1214"/>
      <c r="K37" s="1213"/>
      <c r="L37" s="1214"/>
      <c r="M37" s="1215"/>
      <c r="N37" s="1214"/>
      <c r="O37" s="1214"/>
      <c r="P37" s="1215"/>
      <c r="Q37" s="1214"/>
      <c r="R37" s="1214"/>
      <c r="S37" s="1215"/>
      <c r="T37" s="1214"/>
      <c r="U37" s="1214"/>
      <c r="V37" s="1215"/>
      <c r="W37" s="1214"/>
      <c r="X37" s="1214"/>
      <c r="Y37" s="1215"/>
      <c r="Z37" s="1214"/>
      <c r="AA37" s="1214"/>
      <c r="AB37" s="1215"/>
      <c r="AC37" s="1214"/>
      <c r="AD37" s="1214"/>
      <c r="AE37" s="1215"/>
      <c r="AF37" s="1214"/>
      <c r="AG37" s="1214"/>
      <c r="AH37" s="1215"/>
      <c r="AI37" s="1214"/>
      <c r="AJ37" s="1214"/>
      <c r="AK37" s="1215"/>
      <c r="AL37" s="1214"/>
      <c r="AM37" s="1214"/>
      <c r="AN37" s="1215"/>
      <c r="AO37" s="1214"/>
      <c r="AP37" s="1214"/>
      <c r="AQ37" s="1215">
        <v>7</v>
      </c>
    </row>
    <row r="38" spans="1:43" ht="15" customHeight="1" x14ac:dyDescent="0.25">
      <c r="A38" s="5534"/>
      <c r="B38" s="5458"/>
      <c r="C38" s="5466" t="s">
        <v>526</v>
      </c>
      <c r="D38" s="4381" t="s">
        <v>405</v>
      </c>
      <c r="E38" s="1216">
        <v>17</v>
      </c>
      <c r="F38" s="1115">
        <v>17</v>
      </c>
      <c r="G38" s="1115">
        <v>7</v>
      </c>
      <c r="H38" s="1216">
        <v>4</v>
      </c>
      <c r="I38" s="1115">
        <v>4</v>
      </c>
      <c r="J38" s="1115">
        <v>1</v>
      </c>
      <c r="K38" s="1216">
        <v>1</v>
      </c>
      <c r="L38" s="1115">
        <v>1</v>
      </c>
      <c r="M38" s="1217">
        <v>8</v>
      </c>
      <c r="N38" s="1115">
        <v>6</v>
      </c>
      <c r="O38" s="1115">
        <v>6</v>
      </c>
      <c r="P38" s="1217">
        <v>12</v>
      </c>
      <c r="Q38" s="1115">
        <v>9</v>
      </c>
      <c r="R38" s="1115">
        <v>11</v>
      </c>
      <c r="S38" s="1217">
        <v>16</v>
      </c>
      <c r="T38" s="1115">
        <v>13</v>
      </c>
      <c r="U38" s="1115">
        <v>11</v>
      </c>
      <c r="V38" s="1217">
        <v>24</v>
      </c>
      <c r="W38" s="1115">
        <v>20</v>
      </c>
      <c r="X38" s="1115">
        <v>19</v>
      </c>
      <c r="Y38" s="1217">
        <v>31</v>
      </c>
      <c r="Z38" s="1115">
        <v>32</v>
      </c>
      <c r="AA38" s="1115">
        <v>34</v>
      </c>
      <c r="AB38" s="1217">
        <v>51</v>
      </c>
      <c r="AC38" s="1115">
        <v>51</v>
      </c>
      <c r="AD38" s="1115">
        <v>44</v>
      </c>
      <c r="AE38" s="1217">
        <v>38</v>
      </c>
      <c r="AF38" s="1115">
        <v>35</v>
      </c>
      <c r="AG38" s="1115">
        <v>35</v>
      </c>
      <c r="AH38" s="1217">
        <v>51</v>
      </c>
      <c r="AI38" s="1115">
        <v>46</v>
      </c>
      <c r="AJ38" s="1115">
        <v>49</v>
      </c>
      <c r="AK38" s="1217">
        <v>42</v>
      </c>
      <c r="AL38" s="1115">
        <v>35</v>
      </c>
      <c r="AM38" s="1115">
        <v>34</v>
      </c>
      <c r="AN38" s="1217">
        <v>66</v>
      </c>
      <c r="AO38" s="1115">
        <v>69</v>
      </c>
      <c r="AP38" s="1115">
        <v>65</v>
      </c>
      <c r="AQ38" s="1217"/>
    </row>
    <row r="39" spans="1:43" ht="15" customHeight="1" x14ac:dyDescent="0.2">
      <c r="A39" s="5534"/>
      <c r="B39" s="5458"/>
      <c r="C39" s="5456"/>
      <c r="D39" s="4385" t="s">
        <v>1400</v>
      </c>
      <c r="E39" s="1213"/>
      <c r="F39" s="1214"/>
      <c r="G39" s="1214"/>
      <c r="H39" s="1213"/>
      <c r="I39" s="1214"/>
      <c r="J39" s="1214"/>
      <c r="K39" s="1213"/>
      <c r="L39" s="1214"/>
      <c r="M39" s="1215"/>
      <c r="N39" s="1214"/>
      <c r="O39" s="1214"/>
      <c r="P39" s="1215"/>
      <c r="Q39" s="1214"/>
      <c r="R39" s="1214"/>
      <c r="S39" s="1215"/>
      <c r="T39" s="1214"/>
      <c r="U39" s="1214"/>
      <c r="V39" s="1215"/>
      <c r="W39" s="1214"/>
      <c r="X39" s="1214"/>
      <c r="Y39" s="1215"/>
      <c r="Z39" s="1214"/>
      <c r="AA39" s="1214"/>
      <c r="AB39" s="1215"/>
      <c r="AC39" s="1214"/>
      <c r="AD39" s="1214"/>
      <c r="AE39" s="1215"/>
      <c r="AF39" s="1214"/>
      <c r="AG39" s="1214"/>
      <c r="AH39" s="1215"/>
      <c r="AI39" s="1214"/>
      <c r="AJ39" s="1214"/>
      <c r="AK39" s="1215"/>
      <c r="AL39" s="1214"/>
      <c r="AM39" s="1214"/>
      <c r="AN39" s="1215"/>
      <c r="AO39" s="1214"/>
      <c r="AP39" s="1214"/>
      <c r="AQ39" s="1215">
        <v>4</v>
      </c>
    </row>
    <row r="40" spans="1:43" ht="15" customHeight="1" x14ac:dyDescent="0.2">
      <c r="A40" s="5534"/>
      <c r="B40" s="5458"/>
      <c r="C40" s="5456"/>
      <c r="D40" s="4386" t="s">
        <v>1396</v>
      </c>
      <c r="E40" s="1213"/>
      <c r="F40" s="1214"/>
      <c r="G40" s="1214"/>
      <c r="H40" s="1213"/>
      <c r="I40" s="1214"/>
      <c r="J40" s="1214"/>
      <c r="K40" s="1213"/>
      <c r="L40" s="1214"/>
      <c r="M40" s="1215"/>
      <c r="N40" s="1214"/>
      <c r="O40" s="1214"/>
      <c r="P40" s="1215"/>
      <c r="Q40" s="1214"/>
      <c r="R40" s="1214"/>
      <c r="S40" s="1215"/>
      <c r="T40" s="1214"/>
      <c r="U40" s="1214"/>
      <c r="V40" s="1215"/>
      <c r="W40" s="1214"/>
      <c r="X40" s="1214"/>
      <c r="Y40" s="1215"/>
      <c r="Z40" s="1214"/>
      <c r="AA40" s="1214"/>
      <c r="AB40" s="1215"/>
      <c r="AC40" s="1214"/>
      <c r="AD40" s="1214"/>
      <c r="AE40" s="1215"/>
      <c r="AF40" s="1214"/>
      <c r="AG40" s="1214"/>
      <c r="AH40" s="1215"/>
      <c r="AI40" s="1214"/>
      <c r="AJ40" s="1214"/>
      <c r="AK40" s="1215"/>
      <c r="AL40" s="1214"/>
      <c r="AM40" s="1214"/>
      <c r="AN40" s="1215"/>
      <c r="AO40" s="1214"/>
      <c r="AP40" s="1214"/>
      <c r="AQ40" s="1215">
        <v>23</v>
      </c>
    </row>
    <row r="41" spans="1:43" ht="15" customHeight="1" x14ac:dyDescent="0.2">
      <c r="A41" s="5534"/>
      <c r="B41" s="5458"/>
      <c r="C41" s="5456"/>
      <c r="D41" s="4386" t="s">
        <v>1395</v>
      </c>
      <c r="E41" s="1213"/>
      <c r="F41" s="1214"/>
      <c r="G41" s="1214"/>
      <c r="H41" s="1213"/>
      <c r="I41" s="1214"/>
      <c r="J41" s="1214"/>
      <c r="K41" s="1213"/>
      <c r="L41" s="1214"/>
      <c r="M41" s="1215"/>
      <c r="N41" s="1214"/>
      <c r="O41" s="1214"/>
      <c r="P41" s="1215"/>
      <c r="Q41" s="1214"/>
      <c r="R41" s="1214"/>
      <c r="S41" s="1215"/>
      <c r="T41" s="1214"/>
      <c r="U41" s="1214"/>
      <c r="V41" s="1215"/>
      <c r="W41" s="1214"/>
      <c r="X41" s="1214"/>
      <c r="Y41" s="1215"/>
      <c r="Z41" s="1214"/>
      <c r="AA41" s="1214"/>
      <c r="AB41" s="1215"/>
      <c r="AC41" s="1214"/>
      <c r="AD41" s="1214"/>
      <c r="AE41" s="1215"/>
      <c r="AF41" s="1214"/>
      <c r="AG41" s="1214"/>
      <c r="AH41" s="1215"/>
      <c r="AI41" s="1214"/>
      <c r="AJ41" s="1214"/>
      <c r="AK41" s="1215"/>
      <c r="AL41" s="1214"/>
      <c r="AM41" s="1214"/>
      <c r="AN41" s="1215"/>
      <c r="AO41" s="1214"/>
      <c r="AP41" s="1214"/>
      <c r="AQ41" s="1215">
        <v>9</v>
      </c>
    </row>
    <row r="42" spans="1:43" ht="15" customHeight="1" x14ac:dyDescent="0.2">
      <c r="A42" s="5534"/>
      <c r="B42" s="5458"/>
      <c r="C42" s="5456"/>
      <c r="D42" s="4386" t="s">
        <v>1397</v>
      </c>
      <c r="E42" s="1213"/>
      <c r="F42" s="1214"/>
      <c r="G42" s="1214"/>
      <c r="H42" s="1213"/>
      <c r="I42" s="1214"/>
      <c r="J42" s="1214"/>
      <c r="K42" s="1213"/>
      <c r="L42" s="1214"/>
      <c r="M42" s="1215"/>
      <c r="N42" s="1214"/>
      <c r="O42" s="1214"/>
      <c r="P42" s="1215"/>
      <c r="Q42" s="1214"/>
      <c r="R42" s="1214"/>
      <c r="S42" s="1215"/>
      <c r="T42" s="1214"/>
      <c r="U42" s="1214"/>
      <c r="V42" s="1215"/>
      <c r="W42" s="1214"/>
      <c r="X42" s="1214"/>
      <c r="Y42" s="1215"/>
      <c r="Z42" s="1214"/>
      <c r="AA42" s="1214"/>
      <c r="AB42" s="1215"/>
      <c r="AC42" s="1214"/>
      <c r="AD42" s="1214"/>
      <c r="AE42" s="1215"/>
      <c r="AF42" s="1214"/>
      <c r="AG42" s="1214"/>
      <c r="AH42" s="1215"/>
      <c r="AI42" s="1214"/>
      <c r="AJ42" s="1214"/>
      <c r="AK42" s="1215"/>
      <c r="AL42" s="1214"/>
      <c r="AM42" s="1214"/>
      <c r="AN42" s="1215"/>
      <c r="AO42" s="1214"/>
      <c r="AP42" s="1214"/>
      <c r="AQ42" s="1215">
        <v>2</v>
      </c>
    </row>
    <row r="43" spans="1:43" ht="15" customHeight="1" x14ac:dyDescent="0.25">
      <c r="A43" s="5534"/>
      <c r="B43" s="5458"/>
      <c r="C43" s="5456"/>
      <c r="D43" s="4381" t="s">
        <v>1398</v>
      </c>
      <c r="E43" s="1213"/>
      <c r="F43" s="1214"/>
      <c r="G43" s="1214"/>
      <c r="H43" s="1213"/>
      <c r="I43" s="1214"/>
      <c r="J43" s="1214"/>
      <c r="K43" s="1213"/>
      <c r="L43" s="1214"/>
      <c r="M43" s="1215"/>
      <c r="N43" s="1214"/>
      <c r="O43" s="1214"/>
      <c r="P43" s="1215"/>
      <c r="Q43" s="1214"/>
      <c r="R43" s="1214"/>
      <c r="S43" s="1215"/>
      <c r="T43" s="1214"/>
      <c r="U43" s="1214"/>
      <c r="V43" s="1215"/>
      <c r="W43" s="1214"/>
      <c r="X43" s="1214"/>
      <c r="Y43" s="1215"/>
      <c r="Z43" s="1214"/>
      <c r="AA43" s="1214"/>
      <c r="AB43" s="1215"/>
      <c r="AC43" s="1214"/>
      <c r="AD43" s="1214"/>
      <c r="AE43" s="1215"/>
      <c r="AF43" s="1214"/>
      <c r="AG43" s="1214"/>
      <c r="AH43" s="1215"/>
      <c r="AI43" s="1214"/>
      <c r="AJ43" s="1214"/>
      <c r="AK43" s="1215"/>
      <c r="AL43" s="1214"/>
      <c r="AM43" s="1214"/>
      <c r="AN43" s="1215"/>
      <c r="AO43" s="1214"/>
      <c r="AP43" s="1214"/>
      <c r="AQ43" s="1215">
        <v>18</v>
      </c>
    </row>
    <row r="44" spans="1:43" ht="15" customHeight="1" x14ac:dyDescent="0.2">
      <c r="A44" s="5534"/>
      <c r="B44" s="5458"/>
      <c r="C44" s="5456"/>
      <c r="D44" s="4386" t="s">
        <v>1399</v>
      </c>
      <c r="E44" s="1213"/>
      <c r="F44" s="1214"/>
      <c r="G44" s="1214"/>
      <c r="H44" s="1213"/>
      <c r="I44" s="1214"/>
      <c r="J44" s="1214"/>
      <c r="K44" s="1213"/>
      <c r="L44" s="1214"/>
      <c r="M44" s="1215"/>
      <c r="N44" s="1214"/>
      <c r="O44" s="1214"/>
      <c r="P44" s="1215"/>
      <c r="Q44" s="1214"/>
      <c r="R44" s="1214"/>
      <c r="S44" s="1215"/>
      <c r="T44" s="1214"/>
      <c r="U44" s="1214"/>
      <c r="V44" s="1215"/>
      <c r="W44" s="1214"/>
      <c r="X44" s="1214"/>
      <c r="Y44" s="1215"/>
      <c r="Z44" s="1214"/>
      <c r="AA44" s="1214"/>
      <c r="AB44" s="1215"/>
      <c r="AC44" s="1214"/>
      <c r="AD44" s="1214"/>
      <c r="AE44" s="1215"/>
      <c r="AF44" s="1214"/>
      <c r="AG44" s="1115"/>
      <c r="AH44" s="1217"/>
      <c r="AI44" s="1115"/>
      <c r="AJ44" s="1115"/>
      <c r="AK44" s="1217"/>
      <c r="AL44" s="1115"/>
      <c r="AM44" s="1115"/>
      <c r="AN44" s="1217"/>
      <c r="AO44" s="1115"/>
      <c r="AP44" s="1115"/>
      <c r="AQ44" s="1217"/>
    </row>
    <row r="45" spans="1:43" ht="15" customHeight="1" x14ac:dyDescent="0.2">
      <c r="A45" s="5534"/>
      <c r="B45" s="5460"/>
      <c r="C45" s="1202"/>
      <c r="D45" s="1449" t="s">
        <v>160</v>
      </c>
      <c r="E45" s="4382">
        <f t="shared" ref="E45:AP45" si="4">SUM(E29:E38)</f>
        <v>72</v>
      </c>
      <c r="F45" s="4383">
        <f t="shared" si="4"/>
        <v>66</v>
      </c>
      <c r="G45" s="4383">
        <f t="shared" si="4"/>
        <v>53</v>
      </c>
      <c r="H45" s="4382">
        <f t="shared" si="4"/>
        <v>46</v>
      </c>
      <c r="I45" s="4383">
        <f t="shared" si="4"/>
        <v>38</v>
      </c>
      <c r="J45" s="4383">
        <f t="shared" si="4"/>
        <v>57</v>
      </c>
      <c r="K45" s="4382">
        <f t="shared" si="4"/>
        <v>42</v>
      </c>
      <c r="L45" s="4383">
        <f t="shared" si="4"/>
        <v>37</v>
      </c>
      <c r="M45" s="4384">
        <f t="shared" si="4"/>
        <v>49</v>
      </c>
      <c r="N45" s="4383">
        <f t="shared" si="4"/>
        <v>48</v>
      </c>
      <c r="O45" s="4383">
        <f t="shared" si="4"/>
        <v>35</v>
      </c>
      <c r="P45" s="4384">
        <f t="shared" si="4"/>
        <v>76</v>
      </c>
      <c r="Q45" s="4383">
        <f t="shared" si="4"/>
        <v>68</v>
      </c>
      <c r="R45" s="4383">
        <f t="shared" si="4"/>
        <v>65</v>
      </c>
      <c r="S45" s="4384">
        <f t="shared" si="4"/>
        <v>86</v>
      </c>
      <c r="T45" s="4383">
        <f t="shared" si="4"/>
        <v>75</v>
      </c>
      <c r="U45" s="4383">
        <f t="shared" si="4"/>
        <v>64</v>
      </c>
      <c r="V45" s="4384">
        <f t="shared" si="4"/>
        <v>106</v>
      </c>
      <c r="W45" s="4383">
        <f t="shared" si="4"/>
        <v>101</v>
      </c>
      <c r="X45" s="4383">
        <f t="shared" si="4"/>
        <v>101</v>
      </c>
      <c r="Y45" s="4384">
        <f t="shared" si="4"/>
        <v>147</v>
      </c>
      <c r="Z45" s="4383">
        <f t="shared" si="4"/>
        <v>129</v>
      </c>
      <c r="AA45" s="4383">
        <f t="shared" si="4"/>
        <v>121</v>
      </c>
      <c r="AB45" s="4384">
        <f t="shared" si="4"/>
        <v>187</v>
      </c>
      <c r="AC45" s="4383">
        <f t="shared" si="4"/>
        <v>191</v>
      </c>
      <c r="AD45" s="4383">
        <f t="shared" si="4"/>
        <v>157</v>
      </c>
      <c r="AE45" s="4384">
        <f t="shared" si="4"/>
        <v>148</v>
      </c>
      <c r="AF45" s="4383">
        <f t="shared" si="4"/>
        <v>142</v>
      </c>
      <c r="AG45" s="1763">
        <f t="shared" si="4"/>
        <v>142</v>
      </c>
      <c r="AH45" s="1765">
        <f t="shared" si="4"/>
        <v>187</v>
      </c>
      <c r="AI45" s="1763">
        <f t="shared" si="4"/>
        <v>158</v>
      </c>
      <c r="AJ45" s="1763">
        <f t="shared" si="4"/>
        <v>167</v>
      </c>
      <c r="AK45" s="1765">
        <f t="shared" si="4"/>
        <v>143</v>
      </c>
      <c r="AL45" s="1763">
        <f t="shared" si="4"/>
        <v>120</v>
      </c>
      <c r="AM45" s="1763">
        <f t="shared" si="4"/>
        <v>117</v>
      </c>
      <c r="AN45" s="1765">
        <f t="shared" si="4"/>
        <v>224</v>
      </c>
      <c r="AO45" s="1762">
        <f t="shared" si="4"/>
        <v>187</v>
      </c>
      <c r="AP45" s="1763">
        <f t="shared" si="4"/>
        <v>175</v>
      </c>
      <c r="AQ45" s="1765">
        <f>SUM(AQ29:AQ44)</f>
        <v>137</v>
      </c>
    </row>
    <row r="46" spans="1:43" ht="15" customHeight="1" x14ac:dyDescent="0.2">
      <c r="A46" s="5535"/>
      <c r="B46" s="2610"/>
      <c r="C46" s="2647"/>
      <c r="D46" s="2665" t="s">
        <v>450</v>
      </c>
      <c r="E46" s="2600">
        <f t="shared" ref="E46:AQ46" si="5">SUM(E45,E28,E14)</f>
        <v>268</v>
      </c>
      <c r="F46" s="2601">
        <f t="shared" si="5"/>
        <v>235</v>
      </c>
      <c r="G46" s="2601">
        <f t="shared" si="5"/>
        <v>226</v>
      </c>
      <c r="H46" s="2600">
        <f t="shared" si="5"/>
        <v>232</v>
      </c>
      <c r="I46" s="2601">
        <f t="shared" si="5"/>
        <v>202</v>
      </c>
      <c r="J46" s="2601">
        <f t="shared" si="5"/>
        <v>269</v>
      </c>
      <c r="K46" s="2600">
        <f t="shared" si="5"/>
        <v>240</v>
      </c>
      <c r="L46" s="2601">
        <f t="shared" si="5"/>
        <v>227</v>
      </c>
      <c r="M46" s="2602">
        <f t="shared" si="5"/>
        <v>281</v>
      </c>
      <c r="N46" s="2601">
        <f t="shared" si="5"/>
        <v>274</v>
      </c>
      <c r="O46" s="2601">
        <f t="shared" si="5"/>
        <v>251</v>
      </c>
      <c r="P46" s="2602">
        <f t="shared" si="5"/>
        <v>288</v>
      </c>
      <c r="Q46" s="2601">
        <f t="shared" si="5"/>
        <v>292</v>
      </c>
      <c r="R46" s="2601">
        <f t="shared" si="5"/>
        <v>270</v>
      </c>
      <c r="S46" s="2602">
        <f t="shared" si="5"/>
        <v>365</v>
      </c>
      <c r="T46" s="2601">
        <f t="shared" si="5"/>
        <v>297</v>
      </c>
      <c r="U46" s="2601">
        <f t="shared" si="5"/>
        <v>281</v>
      </c>
      <c r="V46" s="2602">
        <f t="shared" si="5"/>
        <v>365</v>
      </c>
      <c r="W46" s="2601">
        <f t="shared" si="5"/>
        <v>317</v>
      </c>
      <c r="X46" s="2601">
        <f t="shared" si="5"/>
        <v>303</v>
      </c>
      <c r="Y46" s="2602">
        <f t="shared" si="5"/>
        <v>469</v>
      </c>
      <c r="Z46" s="2601">
        <f t="shared" si="5"/>
        <v>387</v>
      </c>
      <c r="AA46" s="2601">
        <f t="shared" si="5"/>
        <v>378</v>
      </c>
      <c r="AB46" s="2602">
        <f t="shared" si="5"/>
        <v>519</v>
      </c>
      <c r="AC46" s="2601">
        <f t="shared" si="5"/>
        <v>457</v>
      </c>
      <c r="AD46" s="2601">
        <f t="shared" si="5"/>
        <v>399</v>
      </c>
      <c r="AE46" s="2602">
        <f t="shared" si="5"/>
        <v>416</v>
      </c>
      <c r="AF46" s="2601">
        <f t="shared" si="5"/>
        <v>391</v>
      </c>
      <c r="AG46" s="2601">
        <f t="shared" si="5"/>
        <v>378</v>
      </c>
      <c r="AH46" s="2602">
        <f t="shared" si="5"/>
        <v>450</v>
      </c>
      <c r="AI46" s="2601">
        <f t="shared" si="5"/>
        <v>426</v>
      </c>
      <c r="AJ46" s="2601">
        <f t="shared" si="5"/>
        <v>418</v>
      </c>
      <c r="AK46" s="2602">
        <f t="shared" si="5"/>
        <v>469</v>
      </c>
      <c r="AL46" s="2601">
        <f t="shared" si="5"/>
        <v>457</v>
      </c>
      <c r="AM46" s="2601">
        <f t="shared" si="5"/>
        <v>433</v>
      </c>
      <c r="AN46" s="2602">
        <f t="shared" si="5"/>
        <v>597</v>
      </c>
      <c r="AO46" s="2601">
        <f t="shared" si="5"/>
        <v>545</v>
      </c>
      <c r="AP46" s="2601">
        <f t="shared" si="5"/>
        <v>503</v>
      </c>
      <c r="AQ46" s="2602">
        <f t="shared" si="5"/>
        <v>509</v>
      </c>
    </row>
    <row r="47" spans="1:43" ht="15" customHeight="1" x14ac:dyDescent="0.25">
      <c r="A47" s="5536" t="s">
        <v>436</v>
      </c>
      <c r="B47" s="5483" t="s">
        <v>6</v>
      </c>
      <c r="C47" s="1206" t="s">
        <v>527</v>
      </c>
      <c r="D47" s="1452" t="s">
        <v>401</v>
      </c>
      <c r="E47" s="1207"/>
      <c r="F47" s="1208"/>
      <c r="G47" s="1208"/>
      <c r="H47" s="1207"/>
      <c r="I47" s="1208"/>
      <c r="J47" s="1209"/>
      <c r="K47" s="1208"/>
      <c r="L47" s="1208"/>
      <c r="M47" s="1208"/>
      <c r="N47" s="1207"/>
      <c r="O47" s="1208"/>
      <c r="P47" s="1209"/>
      <c r="Q47" s="1208"/>
      <c r="R47" s="1208"/>
      <c r="S47" s="1208"/>
      <c r="T47" s="1207"/>
      <c r="U47" s="1208"/>
      <c r="V47" s="1209"/>
      <c r="W47" s="1208"/>
      <c r="X47" s="1208"/>
      <c r="Y47" s="1208"/>
      <c r="Z47" s="1207"/>
      <c r="AA47" s="1208"/>
      <c r="AB47" s="1209"/>
      <c r="AC47" s="1225">
        <v>20</v>
      </c>
      <c r="AD47" s="1225">
        <v>19</v>
      </c>
      <c r="AE47" s="1226">
        <v>18</v>
      </c>
      <c r="AF47" s="1225">
        <v>31</v>
      </c>
      <c r="AG47" s="1225">
        <v>28</v>
      </c>
      <c r="AH47" s="1226">
        <v>28</v>
      </c>
      <c r="AI47" s="1225">
        <v>39</v>
      </c>
      <c r="AJ47" s="1225">
        <v>37</v>
      </c>
      <c r="AK47" s="1226">
        <v>31</v>
      </c>
      <c r="AL47" s="1225">
        <v>23</v>
      </c>
      <c r="AM47" s="1225">
        <v>21</v>
      </c>
      <c r="AN47" s="1226">
        <v>33</v>
      </c>
      <c r="AO47" s="1225">
        <v>15</v>
      </c>
      <c r="AP47" s="1225">
        <v>14</v>
      </c>
      <c r="AQ47" s="1226">
        <v>33</v>
      </c>
    </row>
    <row r="48" spans="1:43" ht="15" customHeight="1" x14ac:dyDescent="0.25">
      <c r="A48" s="5537"/>
      <c r="B48" s="5484"/>
      <c r="C48" s="1204" t="s">
        <v>526</v>
      </c>
      <c r="D48" s="1447" t="s">
        <v>402</v>
      </c>
      <c r="E48" s="1213"/>
      <c r="F48" s="1214"/>
      <c r="G48" s="1214"/>
      <c r="H48" s="1213"/>
      <c r="I48" s="1214"/>
      <c r="J48" s="1214"/>
      <c r="K48" s="1213"/>
      <c r="L48" s="1214"/>
      <c r="M48" s="1215"/>
      <c r="N48" s="1214"/>
      <c r="O48" s="1214"/>
      <c r="P48" s="1215"/>
      <c r="Q48" s="1214"/>
      <c r="R48" s="1214"/>
      <c r="S48" s="1215"/>
      <c r="T48" s="1214"/>
      <c r="U48" s="1214"/>
      <c r="V48" s="1215"/>
      <c r="W48" s="1214"/>
      <c r="X48" s="1214"/>
      <c r="Y48" s="1215"/>
      <c r="Z48" s="1214"/>
      <c r="AA48" s="1214"/>
      <c r="AB48" s="1215"/>
      <c r="AC48" s="1214">
        <v>12</v>
      </c>
      <c r="AD48" s="1214">
        <v>12</v>
      </c>
      <c r="AE48" s="1215">
        <v>12</v>
      </c>
      <c r="AF48" s="1214">
        <v>22</v>
      </c>
      <c r="AG48" s="1214">
        <v>21</v>
      </c>
      <c r="AH48" s="1215">
        <v>21</v>
      </c>
      <c r="AI48" s="1214">
        <v>19</v>
      </c>
      <c r="AJ48" s="1214">
        <v>18</v>
      </c>
      <c r="AK48" s="1215">
        <v>35</v>
      </c>
      <c r="AL48" s="1214">
        <v>24</v>
      </c>
      <c r="AM48" s="1214">
        <v>25</v>
      </c>
      <c r="AN48" s="1215">
        <v>41</v>
      </c>
      <c r="AO48" s="1214">
        <v>36</v>
      </c>
      <c r="AP48" s="1214">
        <v>36</v>
      </c>
      <c r="AQ48" s="1215">
        <v>54</v>
      </c>
    </row>
    <row r="49" spans="1:43" ht="15" customHeight="1" x14ac:dyDescent="0.2">
      <c r="A49" s="5537"/>
      <c r="B49" s="5485"/>
      <c r="C49" s="1202"/>
      <c r="D49" s="1449" t="s">
        <v>160</v>
      </c>
      <c r="E49" s="1218"/>
      <c r="F49" s="1219"/>
      <c r="G49" s="1219"/>
      <c r="H49" s="1218"/>
      <c r="I49" s="1219"/>
      <c r="J49" s="1219"/>
      <c r="K49" s="1218"/>
      <c r="L49" s="1219"/>
      <c r="M49" s="1220"/>
      <c r="N49" s="1219"/>
      <c r="O49" s="1219"/>
      <c r="P49" s="1220"/>
      <c r="Q49" s="1219"/>
      <c r="R49" s="1219"/>
      <c r="S49" s="1220"/>
      <c r="T49" s="1219"/>
      <c r="U49" s="1219"/>
      <c r="V49" s="1220"/>
      <c r="W49" s="1219"/>
      <c r="X49" s="1219"/>
      <c r="Y49" s="1220"/>
      <c r="Z49" s="1219"/>
      <c r="AA49" s="1219"/>
      <c r="AB49" s="1220"/>
      <c r="AC49" s="1219">
        <f>SUM(AC47:AC48)</f>
        <v>32</v>
      </c>
      <c r="AD49" s="1219">
        <f t="shared" ref="AD49:AK49" si="6">SUM(AD47:AD48)</f>
        <v>31</v>
      </c>
      <c r="AE49" s="1220">
        <f t="shared" si="6"/>
        <v>30</v>
      </c>
      <c r="AF49" s="1219">
        <f t="shared" si="6"/>
        <v>53</v>
      </c>
      <c r="AG49" s="1219">
        <f t="shared" si="6"/>
        <v>49</v>
      </c>
      <c r="AH49" s="1220">
        <f t="shared" si="6"/>
        <v>49</v>
      </c>
      <c r="AI49" s="1219">
        <f t="shared" si="6"/>
        <v>58</v>
      </c>
      <c r="AJ49" s="1219">
        <f t="shared" si="6"/>
        <v>55</v>
      </c>
      <c r="AK49" s="1220">
        <f t="shared" si="6"/>
        <v>66</v>
      </c>
      <c r="AL49" s="1219">
        <f t="shared" ref="AL49:AQ49" si="7">SUM(AL47:AL48)</f>
        <v>47</v>
      </c>
      <c r="AM49" s="1219">
        <f t="shared" si="7"/>
        <v>46</v>
      </c>
      <c r="AN49" s="1220">
        <f t="shared" si="7"/>
        <v>74</v>
      </c>
      <c r="AO49" s="1219">
        <f t="shared" si="7"/>
        <v>51</v>
      </c>
      <c r="AP49" s="1219">
        <f t="shared" si="7"/>
        <v>50</v>
      </c>
      <c r="AQ49" s="1220">
        <f t="shared" si="7"/>
        <v>87</v>
      </c>
    </row>
    <row r="50" spans="1:43" ht="15" customHeight="1" x14ac:dyDescent="0.25">
      <c r="A50" s="5537"/>
      <c r="B50" s="5483" t="s">
        <v>9</v>
      </c>
      <c r="C50" s="1204" t="s">
        <v>527</v>
      </c>
      <c r="D50" s="1447" t="s">
        <v>415</v>
      </c>
      <c r="E50" s="1227"/>
      <c r="F50" s="1228"/>
      <c r="G50" s="1228"/>
      <c r="H50" s="1227"/>
      <c r="I50" s="1228"/>
      <c r="J50" s="1228"/>
      <c r="K50" s="1227"/>
      <c r="L50" s="1228"/>
      <c r="M50" s="1229"/>
      <c r="N50" s="1228"/>
      <c r="O50" s="1228"/>
      <c r="P50" s="1229"/>
      <c r="Q50" s="1228"/>
      <c r="R50" s="1228"/>
      <c r="S50" s="1229"/>
      <c r="T50" s="1228"/>
      <c r="U50" s="1228"/>
      <c r="V50" s="1229"/>
      <c r="W50" s="1228"/>
      <c r="X50" s="1228"/>
      <c r="Y50" s="1229"/>
      <c r="Z50" s="1228"/>
      <c r="AA50" s="1228"/>
      <c r="AB50" s="1229"/>
      <c r="AC50" s="1228"/>
      <c r="AD50" s="1228"/>
      <c r="AE50" s="1229"/>
      <c r="AF50" s="1228"/>
      <c r="AG50" s="1228"/>
      <c r="AH50" s="1229">
        <v>12</v>
      </c>
      <c r="AI50" s="1228">
        <v>12</v>
      </c>
      <c r="AJ50" s="1228">
        <v>11</v>
      </c>
      <c r="AK50" s="1229">
        <v>22</v>
      </c>
      <c r="AL50" s="1228">
        <v>20</v>
      </c>
      <c r="AM50" s="1228">
        <v>21</v>
      </c>
      <c r="AN50" s="1229">
        <v>32</v>
      </c>
      <c r="AO50" s="1228">
        <v>32</v>
      </c>
      <c r="AP50" s="1228">
        <v>32</v>
      </c>
      <c r="AQ50" s="1229">
        <v>41</v>
      </c>
    </row>
    <row r="51" spans="1:43" ht="15" customHeight="1" x14ac:dyDescent="0.2">
      <c r="A51" s="5537"/>
      <c r="B51" s="5485"/>
      <c r="C51" s="1202"/>
      <c r="D51" s="1449" t="s">
        <v>160</v>
      </c>
      <c r="E51" s="1218"/>
      <c r="F51" s="1219"/>
      <c r="G51" s="1219"/>
      <c r="H51" s="1218"/>
      <c r="I51" s="1219"/>
      <c r="J51" s="1219"/>
      <c r="K51" s="1218"/>
      <c r="L51" s="1219"/>
      <c r="M51" s="1220"/>
      <c r="N51" s="1219"/>
      <c r="O51" s="1219"/>
      <c r="P51" s="1220"/>
      <c r="Q51" s="1219"/>
      <c r="R51" s="1219"/>
      <c r="S51" s="1220"/>
      <c r="T51" s="1219"/>
      <c r="U51" s="1219"/>
      <c r="V51" s="1220"/>
      <c r="W51" s="1219"/>
      <c r="X51" s="1219"/>
      <c r="Y51" s="1220"/>
      <c r="Z51" s="1219"/>
      <c r="AA51" s="1219"/>
      <c r="AB51" s="1220"/>
      <c r="AC51" s="1219"/>
      <c r="AD51" s="1219"/>
      <c r="AE51" s="1220"/>
      <c r="AF51" s="1219"/>
      <c r="AG51" s="1219"/>
      <c r="AH51" s="1220">
        <f>SUM(AH50)</f>
        <v>12</v>
      </c>
      <c r="AI51" s="1219">
        <f>+AI50</f>
        <v>12</v>
      </c>
      <c r="AJ51" s="1219">
        <f>+AJ50</f>
        <v>11</v>
      </c>
      <c r="AK51" s="1220">
        <f>SUM(AK50)</f>
        <v>22</v>
      </c>
      <c r="AL51" s="1219">
        <f>+AL50</f>
        <v>20</v>
      </c>
      <c r="AM51" s="1219">
        <f>+AM50</f>
        <v>21</v>
      </c>
      <c r="AN51" s="1220">
        <f>SUM(AN50)</f>
        <v>32</v>
      </c>
      <c r="AO51" s="1219">
        <f>+AO50</f>
        <v>32</v>
      </c>
      <c r="AP51" s="1219">
        <f>+AP50</f>
        <v>32</v>
      </c>
      <c r="AQ51" s="1220">
        <f>SUM(AQ50)</f>
        <v>41</v>
      </c>
    </row>
    <row r="52" spans="1:43" ht="15" customHeight="1" x14ac:dyDescent="0.25">
      <c r="A52" s="5537"/>
      <c r="B52" s="5483" t="s">
        <v>74</v>
      </c>
      <c r="C52" s="1206" t="s">
        <v>528</v>
      </c>
      <c r="D52" s="1453" t="s">
        <v>440</v>
      </c>
      <c r="E52" s="1224"/>
      <c r="F52" s="1225"/>
      <c r="G52" s="1225"/>
      <c r="H52" s="1224"/>
      <c r="I52" s="1225"/>
      <c r="J52" s="1225"/>
      <c r="K52" s="1224"/>
      <c r="L52" s="1225"/>
      <c r="M52" s="1226"/>
      <c r="N52" s="1225"/>
      <c r="O52" s="1225"/>
      <c r="P52" s="1226"/>
      <c r="Q52" s="1225"/>
      <c r="R52" s="1225"/>
      <c r="S52" s="1226"/>
      <c r="T52" s="1225"/>
      <c r="U52" s="1225"/>
      <c r="V52" s="1226"/>
      <c r="W52" s="1225"/>
      <c r="X52" s="1225"/>
      <c r="Y52" s="1226"/>
      <c r="Z52" s="1225"/>
      <c r="AA52" s="1225"/>
      <c r="AB52" s="1226"/>
      <c r="AC52" s="1225"/>
      <c r="AD52" s="1225"/>
      <c r="AE52" s="1226"/>
      <c r="AF52" s="1225"/>
      <c r="AG52" s="1225">
        <v>2</v>
      </c>
      <c r="AH52" s="1226">
        <v>3</v>
      </c>
      <c r="AI52" s="1225">
        <v>4</v>
      </c>
      <c r="AJ52" s="1225">
        <v>2</v>
      </c>
      <c r="AK52" s="1226">
        <v>1</v>
      </c>
      <c r="AL52" s="1225">
        <v>3</v>
      </c>
      <c r="AM52" s="1225">
        <v>3</v>
      </c>
      <c r="AN52" s="1226">
        <v>2</v>
      </c>
      <c r="AO52" s="1225">
        <v>3</v>
      </c>
      <c r="AP52" s="1225">
        <v>5</v>
      </c>
      <c r="AQ52" s="1226">
        <v>8</v>
      </c>
    </row>
    <row r="53" spans="1:43" ht="15" customHeight="1" x14ac:dyDescent="0.25">
      <c r="A53" s="5537"/>
      <c r="B53" s="5484"/>
      <c r="C53" s="1206" t="s">
        <v>527</v>
      </c>
      <c r="D53" s="1451" t="s">
        <v>441</v>
      </c>
      <c r="E53" s="1216"/>
      <c r="F53" s="1115"/>
      <c r="G53" s="1115"/>
      <c r="H53" s="1216"/>
      <c r="I53" s="1115"/>
      <c r="J53" s="1115"/>
      <c r="K53" s="1216"/>
      <c r="L53" s="1115"/>
      <c r="M53" s="1217"/>
      <c r="N53" s="1115"/>
      <c r="O53" s="1115"/>
      <c r="P53" s="1217"/>
      <c r="Q53" s="1115"/>
      <c r="R53" s="1115"/>
      <c r="S53" s="1217"/>
      <c r="T53" s="1115"/>
      <c r="U53" s="1115"/>
      <c r="V53" s="1217"/>
      <c r="W53" s="1115"/>
      <c r="X53" s="1115"/>
      <c r="Y53" s="1217"/>
      <c r="Z53" s="1115"/>
      <c r="AA53" s="1115"/>
      <c r="AB53" s="1217"/>
      <c r="AC53" s="1115"/>
      <c r="AD53" s="1115"/>
      <c r="AE53" s="1217"/>
      <c r="AF53" s="1115"/>
      <c r="AG53" s="1115"/>
      <c r="AH53" s="1217">
        <v>9</v>
      </c>
      <c r="AI53" s="1115">
        <v>9</v>
      </c>
      <c r="AJ53" s="1115">
        <v>8</v>
      </c>
      <c r="AK53" s="1217">
        <v>21</v>
      </c>
      <c r="AL53" s="1115">
        <v>22</v>
      </c>
      <c r="AM53" s="1115">
        <v>20</v>
      </c>
      <c r="AN53" s="1217">
        <v>31</v>
      </c>
      <c r="AO53" s="1115">
        <v>25</v>
      </c>
      <c r="AP53" s="1115">
        <v>25</v>
      </c>
      <c r="AQ53" s="1217">
        <v>34</v>
      </c>
    </row>
    <row r="54" spans="1:43" ht="15" customHeight="1" x14ac:dyDescent="0.25">
      <c r="A54" s="5537"/>
      <c r="B54" s="5484"/>
      <c r="C54" s="1204" t="s">
        <v>526</v>
      </c>
      <c r="D54" s="1447" t="s">
        <v>442</v>
      </c>
      <c r="E54" s="1213"/>
      <c r="F54" s="1214"/>
      <c r="G54" s="1214"/>
      <c r="H54" s="1213"/>
      <c r="I54" s="1214"/>
      <c r="J54" s="1214"/>
      <c r="K54" s="1213"/>
      <c r="L54" s="1214"/>
      <c r="M54" s="1215"/>
      <c r="N54" s="1214"/>
      <c r="O54" s="1214"/>
      <c r="P54" s="1215"/>
      <c r="Q54" s="1214"/>
      <c r="R54" s="1214"/>
      <c r="S54" s="1215"/>
      <c r="T54" s="1214"/>
      <c r="U54" s="1214"/>
      <c r="V54" s="1215"/>
      <c r="W54" s="1214"/>
      <c r="X54" s="1214"/>
      <c r="Y54" s="1215"/>
      <c r="Z54" s="1214"/>
      <c r="AA54" s="1214"/>
      <c r="AB54" s="1215"/>
      <c r="AC54" s="1214"/>
      <c r="AD54" s="1214"/>
      <c r="AE54" s="1215"/>
      <c r="AF54" s="1214"/>
      <c r="AG54" s="1214">
        <v>2</v>
      </c>
      <c r="AH54" s="1215">
        <v>7</v>
      </c>
      <c r="AI54" s="1214">
        <v>9</v>
      </c>
      <c r="AJ54" s="1214">
        <v>11</v>
      </c>
      <c r="AK54" s="1215">
        <v>13</v>
      </c>
      <c r="AL54" s="1214">
        <v>15</v>
      </c>
      <c r="AM54" s="1214">
        <v>19</v>
      </c>
      <c r="AN54" s="1215">
        <v>21</v>
      </c>
      <c r="AO54" s="1214">
        <v>24</v>
      </c>
      <c r="AP54" s="1214">
        <v>26</v>
      </c>
      <c r="AQ54" s="1215">
        <v>31</v>
      </c>
    </row>
    <row r="55" spans="1:43" ht="15" customHeight="1" x14ac:dyDescent="0.2">
      <c r="A55" s="5537"/>
      <c r="B55" s="5485"/>
      <c r="C55" s="1202"/>
      <c r="D55" s="1449" t="s">
        <v>160</v>
      </c>
      <c r="E55" s="1218"/>
      <c r="F55" s="1219"/>
      <c r="G55" s="1219"/>
      <c r="H55" s="1218"/>
      <c r="I55" s="1219"/>
      <c r="J55" s="1219"/>
      <c r="K55" s="1218"/>
      <c r="L55" s="1219"/>
      <c r="M55" s="1220"/>
      <c r="N55" s="1219"/>
      <c r="O55" s="1219"/>
      <c r="P55" s="1220"/>
      <c r="Q55" s="1219"/>
      <c r="R55" s="1219"/>
      <c r="S55" s="1220"/>
      <c r="T55" s="1219"/>
      <c r="U55" s="1219"/>
      <c r="V55" s="1220"/>
      <c r="W55" s="1219"/>
      <c r="X55" s="1219"/>
      <c r="Y55" s="1220"/>
      <c r="Z55" s="1219"/>
      <c r="AA55" s="1219"/>
      <c r="AB55" s="1220"/>
      <c r="AC55" s="1219"/>
      <c r="AD55" s="1219"/>
      <c r="AE55" s="1220"/>
      <c r="AF55" s="1219"/>
      <c r="AG55" s="1219">
        <f t="shared" ref="AG55:AN55" si="8">SUM(AG52:AG54)</f>
        <v>4</v>
      </c>
      <c r="AH55" s="1220">
        <f t="shared" si="8"/>
        <v>19</v>
      </c>
      <c r="AI55" s="1219">
        <f t="shared" si="8"/>
        <v>22</v>
      </c>
      <c r="AJ55" s="1219">
        <f t="shared" si="8"/>
        <v>21</v>
      </c>
      <c r="AK55" s="1220">
        <f t="shared" si="8"/>
        <v>35</v>
      </c>
      <c r="AL55" s="1219">
        <f t="shared" si="8"/>
        <v>40</v>
      </c>
      <c r="AM55" s="1219">
        <f t="shared" si="8"/>
        <v>42</v>
      </c>
      <c r="AN55" s="1220">
        <f t="shared" si="8"/>
        <v>54</v>
      </c>
      <c r="AO55" s="1219">
        <f>SUM(AO52:AO54)</f>
        <v>52</v>
      </c>
      <c r="AP55" s="1219">
        <f>SUM(AP52:AP54)</f>
        <v>56</v>
      </c>
      <c r="AQ55" s="1220">
        <f t="shared" ref="AQ55" si="9">SUM(AQ52:AQ54)</f>
        <v>73</v>
      </c>
    </row>
    <row r="56" spans="1:43" ht="15" customHeight="1" x14ac:dyDescent="0.2">
      <c r="A56" s="5538"/>
      <c r="B56" s="2609"/>
      <c r="C56" s="2645"/>
      <c r="D56" s="2664" t="s">
        <v>450</v>
      </c>
      <c r="E56" s="2658"/>
      <c r="F56" s="2659"/>
      <c r="G56" s="2659"/>
      <c r="H56" s="2658"/>
      <c r="I56" s="2659"/>
      <c r="J56" s="2659"/>
      <c r="K56" s="2658"/>
      <c r="L56" s="2659"/>
      <c r="M56" s="2660"/>
      <c r="N56" s="2659"/>
      <c r="O56" s="2659"/>
      <c r="P56" s="2660"/>
      <c r="Q56" s="2659"/>
      <c r="R56" s="2659"/>
      <c r="S56" s="2660"/>
      <c r="T56" s="2659"/>
      <c r="U56" s="2659"/>
      <c r="V56" s="2660"/>
      <c r="W56" s="2659"/>
      <c r="X56" s="2659"/>
      <c r="Y56" s="2660"/>
      <c r="Z56" s="2659"/>
      <c r="AA56" s="2659"/>
      <c r="AB56" s="2660"/>
      <c r="AC56" s="2598">
        <f>SUM(AC49,AC51,AC55)</f>
        <v>32</v>
      </c>
      <c r="AD56" s="2598">
        <f t="shared" ref="AD56:AK56" si="10">SUM(AD49,AD51,AD55)</f>
        <v>31</v>
      </c>
      <c r="AE56" s="2599">
        <f t="shared" si="10"/>
        <v>30</v>
      </c>
      <c r="AF56" s="2598">
        <f t="shared" si="10"/>
        <v>53</v>
      </c>
      <c r="AG56" s="2598">
        <f t="shared" si="10"/>
        <v>53</v>
      </c>
      <c r="AH56" s="2599">
        <f t="shared" si="10"/>
        <v>80</v>
      </c>
      <c r="AI56" s="2598">
        <f t="shared" si="10"/>
        <v>92</v>
      </c>
      <c r="AJ56" s="2598">
        <f t="shared" si="10"/>
        <v>87</v>
      </c>
      <c r="AK56" s="2599">
        <f t="shared" si="10"/>
        <v>123</v>
      </c>
      <c r="AL56" s="2598">
        <f t="shared" ref="AL56:AQ56" si="11">SUM(AL49,AL51,AL55)</f>
        <v>107</v>
      </c>
      <c r="AM56" s="2598">
        <f t="shared" si="11"/>
        <v>109</v>
      </c>
      <c r="AN56" s="2599">
        <f t="shared" si="11"/>
        <v>160</v>
      </c>
      <c r="AO56" s="2598">
        <f t="shared" si="11"/>
        <v>135</v>
      </c>
      <c r="AP56" s="2598">
        <f t="shared" si="11"/>
        <v>138</v>
      </c>
      <c r="AQ56" s="2599">
        <f t="shared" si="11"/>
        <v>201</v>
      </c>
    </row>
    <row r="57" spans="1:43" ht="15" customHeight="1" x14ac:dyDescent="0.25">
      <c r="A57" s="5543" t="s">
        <v>447</v>
      </c>
      <c r="B57" s="5462" t="s">
        <v>5</v>
      </c>
      <c r="C57" s="5455" t="s">
        <v>527</v>
      </c>
      <c r="D57" s="1450" t="s">
        <v>372</v>
      </c>
      <c r="E57" s="1230">
        <v>6</v>
      </c>
      <c r="F57" s="1231">
        <v>3</v>
      </c>
      <c r="G57" s="1231">
        <v>3</v>
      </c>
      <c r="H57" s="1230">
        <v>2</v>
      </c>
      <c r="I57" s="1231">
        <v>3</v>
      </c>
      <c r="J57" s="1231">
        <v>2</v>
      </c>
      <c r="K57" s="1230">
        <v>3</v>
      </c>
      <c r="L57" s="1231">
        <v>3</v>
      </c>
      <c r="M57" s="1232">
        <v>3</v>
      </c>
      <c r="N57" s="1231">
        <v>3</v>
      </c>
      <c r="O57" s="1231">
        <v>4</v>
      </c>
      <c r="P57" s="1232">
        <v>8</v>
      </c>
      <c r="Q57" s="1231">
        <v>16</v>
      </c>
      <c r="R57" s="1231">
        <v>10</v>
      </c>
      <c r="S57" s="1232">
        <v>13</v>
      </c>
      <c r="T57" s="1231">
        <v>9</v>
      </c>
      <c r="U57" s="1231">
        <v>12</v>
      </c>
      <c r="V57" s="1232">
        <v>11</v>
      </c>
      <c r="W57" s="1231">
        <v>9</v>
      </c>
      <c r="X57" s="1231">
        <v>9</v>
      </c>
      <c r="Y57" s="1232">
        <v>7</v>
      </c>
      <c r="Z57" s="1231">
        <v>9</v>
      </c>
      <c r="AA57" s="1231">
        <v>11</v>
      </c>
      <c r="AB57" s="1232">
        <v>13</v>
      </c>
      <c r="AC57" s="1231">
        <v>18</v>
      </c>
      <c r="AD57" s="1231">
        <v>18</v>
      </c>
      <c r="AE57" s="1232">
        <v>18</v>
      </c>
      <c r="AF57" s="1231">
        <v>23</v>
      </c>
      <c r="AG57" s="1231">
        <v>21</v>
      </c>
      <c r="AH57" s="1232">
        <v>26</v>
      </c>
      <c r="AI57" s="1231">
        <v>29</v>
      </c>
      <c r="AJ57" s="1231">
        <v>31</v>
      </c>
      <c r="AK57" s="1232">
        <v>29</v>
      </c>
      <c r="AL57" s="1231">
        <v>27</v>
      </c>
      <c r="AM57" s="1231">
        <v>28</v>
      </c>
      <c r="AN57" s="1232">
        <v>33</v>
      </c>
      <c r="AO57" s="1231">
        <v>31</v>
      </c>
      <c r="AP57" s="1231">
        <v>37</v>
      </c>
      <c r="AQ57" s="1232">
        <v>38</v>
      </c>
    </row>
    <row r="58" spans="1:43" ht="15" customHeight="1" x14ac:dyDescent="0.25">
      <c r="A58" s="5544"/>
      <c r="B58" s="5462"/>
      <c r="C58" s="5456"/>
      <c r="D58" s="1451" t="s">
        <v>382</v>
      </c>
      <c r="E58" s="1210">
        <v>10</v>
      </c>
      <c r="F58" s="1211">
        <v>10</v>
      </c>
      <c r="G58" s="1211">
        <v>12</v>
      </c>
      <c r="H58" s="1210">
        <v>10</v>
      </c>
      <c r="I58" s="1211">
        <v>12</v>
      </c>
      <c r="J58" s="1211">
        <v>22</v>
      </c>
      <c r="K58" s="1210">
        <v>27</v>
      </c>
      <c r="L58" s="1211">
        <v>34</v>
      </c>
      <c r="M58" s="1212">
        <v>44</v>
      </c>
      <c r="N58" s="1211">
        <v>42</v>
      </c>
      <c r="O58" s="1211">
        <v>47</v>
      </c>
      <c r="P58" s="1212">
        <v>53</v>
      </c>
      <c r="Q58" s="1211">
        <v>59</v>
      </c>
      <c r="R58" s="1211">
        <v>51</v>
      </c>
      <c r="S58" s="1212">
        <v>46</v>
      </c>
      <c r="T58" s="1211">
        <v>47</v>
      </c>
      <c r="U58" s="1211">
        <v>47</v>
      </c>
      <c r="V58" s="1212">
        <v>55</v>
      </c>
      <c r="W58" s="1211">
        <v>47</v>
      </c>
      <c r="X58" s="1211">
        <v>41</v>
      </c>
      <c r="Y58" s="1212">
        <v>46</v>
      </c>
      <c r="Z58" s="1211">
        <v>39</v>
      </c>
      <c r="AA58" s="1211">
        <v>36</v>
      </c>
      <c r="AB58" s="1212">
        <v>43</v>
      </c>
      <c r="AC58" s="1211">
        <v>64</v>
      </c>
      <c r="AD58" s="1211">
        <v>71</v>
      </c>
      <c r="AE58" s="1212">
        <v>90</v>
      </c>
      <c r="AF58" s="1211">
        <v>86</v>
      </c>
      <c r="AG58" s="1211">
        <v>74</v>
      </c>
      <c r="AH58" s="1212">
        <v>77</v>
      </c>
      <c r="AI58" s="1211">
        <v>75</v>
      </c>
      <c r="AJ58" s="1211">
        <v>80</v>
      </c>
      <c r="AK58" s="1212">
        <v>88</v>
      </c>
      <c r="AL58" s="1211">
        <v>79</v>
      </c>
      <c r="AM58" s="1211">
        <v>75</v>
      </c>
      <c r="AN58" s="1212">
        <v>89</v>
      </c>
      <c r="AO58" s="1211">
        <v>77</v>
      </c>
      <c r="AP58" s="1211">
        <v>78</v>
      </c>
      <c r="AQ58" s="1212">
        <v>82</v>
      </c>
    </row>
    <row r="59" spans="1:43" ht="15" customHeight="1" x14ac:dyDescent="0.25">
      <c r="A59" s="5544"/>
      <c r="B59" s="5462"/>
      <c r="C59" s="5456"/>
      <c r="D59" s="1451" t="s">
        <v>380</v>
      </c>
      <c r="E59" s="1210">
        <v>8</v>
      </c>
      <c r="F59" s="1211">
        <v>9</v>
      </c>
      <c r="G59" s="1211">
        <v>11</v>
      </c>
      <c r="H59" s="1210">
        <v>11</v>
      </c>
      <c r="I59" s="1211">
        <v>11</v>
      </c>
      <c r="J59" s="1211">
        <v>15</v>
      </c>
      <c r="K59" s="1210">
        <v>14</v>
      </c>
      <c r="L59" s="1211">
        <v>10</v>
      </c>
      <c r="M59" s="1212">
        <v>12</v>
      </c>
      <c r="N59" s="1211">
        <v>10</v>
      </c>
      <c r="O59" s="1211">
        <v>10</v>
      </c>
      <c r="P59" s="1212">
        <v>14</v>
      </c>
      <c r="Q59" s="1211">
        <v>44</v>
      </c>
      <c r="R59" s="1211">
        <v>11</v>
      </c>
      <c r="S59" s="1212">
        <v>11</v>
      </c>
      <c r="T59" s="1211">
        <v>11</v>
      </c>
      <c r="U59" s="1211">
        <v>9</v>
      </c>
      <c r="V59" s="1212">
        <v>14</v>
      </c>
      <c r="W59" s="1211">
        <v>13</v>
      </c>
      <c r="X59" s="1211">
        <v>9</v>
      </c>
      <c r="Y59" s="1212">
        <v>12</v>
      </c>
      <c r="Z59" s="1211">
        <v>12</v>
      </c>
      <c r="AA59" s="1211">
        <v>11</v>
      </c>
      <c r="AB59" s="1212">
        <v>13</v>
      </c>
      <c r="AC59" s="1211">
        <v>56</v>
      </c>
      <c r="AD59" s="1211">
        <v>47</v>
      </c>
      <c r="AE59" s="1212">
        <v>54</v>
      </c>
      <c r="AF59" s="1211">
        <v>58</v>
      </c>
      <c r="AG59" s="1211">
        <v>60</v>
      </c>
      <c r="AH59" s="1212">
        <v>62</v>
      </c>
      <c r="AI59" s="1211">
        <v>57</v>
      </c>
      <c r="AJ59" s="1211">
        <v>64</v>
      </c>
      <c r="AK59" s="1212">
        <v>59</v>
      </c>
      <c r="AL59" s="1211">
        <v>59</v>
      </c>
      <c r="AM59" s="1211">
        <v>52</v>
      </c>
      <c r="AN59" s="1212">
        <v>55</v>
      </c>
      <c r="AO59" s="1211">
        <v>48</v>
      </c>
      <c r="AP59" s="1211">
        <v>51</v>
      </c>
      <c r="AQ59" s="1212">
        <v>56</v>
      </c>
    </row>
    <row r="60" spans="1:43" ht="15" customHeight="1" x14ac:dyDescent="0.25">
      <c r="A60" s="5544"/>
      <c r="B60" s="5462"/>
      <c r="C60" s="5456"/>
      <c r="D60" s="1451" t="s">
        <v>378</v>
      </c>
      <c r="E60" s="1210">
        <v>20</v>
      </c>
      <c r="F60" s="1211">
        <v>18</v>
      </c>
      <c r="G60" s="1211">
        <v>25</v>
      </c>
      <c r="H60" s="1210">
        <v>20</v>
      </c>
      <c r="I60" s="1211">
        <v>17</v>
      </c>
      <c r="J60" s="1211">
        <v>20</v>
      </c>
      <c r="K60" s="1210">
        <v>18</v>
      </c>
      <c r="L60" s="1211">
        <v>15</v>
      </c>
      <c r="M60" s="1212">
        <v>17</v>
      </c>
      <c r="N60" s="1211">
        <v>15</v>
      </c>
      <c r="O60" s="1211">
        <v>13</v>
      </c>
      <c r="P60" s="1212">
        <v>20</v>
      </c>
      <c r="Q60" s="1211">
        <v>22</v>
      </c>
      <c r="R60" s="1211">
        <v>15</v>
      </c>
      <c r="S60" s="1212">
        <v>17</v>
      </c>
      <c r="T60" s="1211">
        <v>15</v>
      </c>
      <c r="U60" s="1211">
        <v>14</v>
      </c>
      <c r="V60" s="1212">
        <v>20</v>
      </c>
      <c r="W60" s="1211">
        <v>17</v>
      </c>
      <c r="X60" s="1211">
        <v>17</v>
      </c>
      <c r="Y60" s="1212">
        <v>29</v>
      </c>
      <c r="Z60" s="1211">
        <v>29</v>
      </c>
      <c r="AA60" s="1211">
        <v>28</v>
      </c>
      <c r="AB60" s="1212">
        <v>30</v>
      </c>
      <c r="AC60" s="1211">
        <v>33</v>
      </c>
      <c r="AD60" s="1211">
        <v>30</v>
      </c>
      <c r="AE60" s="1212">
        <v>33</v>
      </c>
      <c r="AF60" s="1211">
        <v>32</v>
      </c>
      <c r="AG60" s="1211">
        <v>27</v>
      </c>
      <c r="AH60" s="1212">
        <v>30</v>
      </c>
      <c r="AI60" s="1211">
        <v>29</v>
      </c>
      <c r="AJ60" s="1211">
        <v>23</v>
      </c>
      <c r="AK60" s="1212">
        <v>30</v>
      </c>
      <c r="AL60" s="1211">
        <v>26</v>
      </c>
      <c r="AM60" s="1211">
        <v>22</v>
      </c>
      <c r="AN60" s="1212">
        <v>30</v>
      </c>
      <c r="AO60" s="1211">
        <v>26</v>
      </c>
      <c r="AP60" s="1211">
        <v>27</v>
      </c>
      <c r="AQ60" s="1212">
        <v>34</v>
      </c>
    </row>
    <row r="61" spans="1:43" ht="15" customHeight="1" x14ac:dyDescent="0.25">
      <c r="A61" s="5544"/>
      <c r="B61" s="5462"/>
      <c r="C61" s="5456"/>
      <c r="D61" s="1451" t="s">
        <v>376</v>
      </c>
      <c r="E61" s="1210">
        <v>8</v>
      </c>
      <c r="F61" s="1211">
        <v>11</v>
      </c>
      <c r="G61" s="1211">
        <v>21</v>
      </c>
      <c r="H61" s="1210">
        <v>24</v>
      </c>
      <c r="I61" s="1211">
        <v>25</v>
      </c>
      <c r="J61" s="1211">
        <v>28</v>
      </c>
      <c r="K61" s="1210">
        <v>32</v>
      </c>
      <c r="L61" s="1211">
        <v>35</v>
      </c>
      <c r="M61" s="1212">
        <v>41</v>
      </c>
      <c r="N61" s="1211">
        <v>43</v>
      </c>
      <c r="O61" s="1211">
        <v>45</v>
      </c>
      <c r="P61" s="1212">
        <v>47</v>
      </c>
      <c r="Q61" s="1211">
        <v>50</v>
      </c>
      <c r="R61" s="1211">
        <v>48</v>
      </c>
      <c r="S61" s="1212">
        <v>50</v>
      </c>
      <c r="T61" s="1211">
        <v>55</v>
      </c>
      <c r="U61" s="1211">
        <v>42</v>
      </c>
      <c r="V61" s="1212">
        <v>37</v>
      </c>
      <c r="W61" s="1211">
        <v>36</v>
      </c>
      <c r="X61" s="1211">
        <v>37</v>
      </c>
      <c r="Y61" s="1212">
        <v>40</v>
      </c>
      <c r="Z61" s="1211">
        <v>39</v>
      </c>
      <c r="AA61" s="1211">
        <v>38</v>
      </c>
      <c r="AB61" s="1212">
        <v>39</v>
      </c>
      <c r="AC61" s="1211">
        <v>48</v>
      </c>
      <c r="AD61" s="1211">
        <v>46</v>
      </c>
      <c r="AE61" s="1212">
        <v>46</v>
      </c>
      <c r="AF61" s="1211">
        <v>44</v>
      </c>
      <c r="AG61" s="1211">
        <v>47</v>
      </c>
      <c r="AH61" s="1212">
        <v>46</v>
      </c>
      <c r="AI61" s="1211">
        <v>42</v>
      </c>
      <c r="AJ61" s="1211">
        <v>44</v>
      </c>
      <c r="AK61" s="1212">
        <v>39</v>
      </c>
      <c r="AL61" s="1211">
        <v>33</v>
      </c>
      <c r="AM61" s="1211">
        <v>27</v>
      </c>
      <c r="AN61" s="1212">
        <v>28</v>
      </c>
      <c r="AO61" s="1211">
        <v>26</v>
      </c>
      <c r="AP61" s="1211">
        <v>26</v>
      </c>
      <c r="AQ61" s="1212">
        <v>30</v>
      </c>
    </row>
    <row r="62" spans="1:43" ht="15" customHeight="1" x14ac:dyDescent="0.25">
      <c r="A62" s="5544"/>
      <c r="B62" s="5462"/>
      <c r="C62" s="5456"/>
      <c r="D62" s="1451" t="s">
        <v>68</v>
      </c>
      <c r="E62" s="1210"/>
      <c r="F62" s="1211"/>
      <c r="G62" s="1211"/>
      <c r="H62" s="1210"/>
      <c r="I62" s="1211"/>
      <c r="J62" s="1211"/>
      <c r="K62" s="1210"/>
      <c r="L62" s="1211"/>
      <c r="M62" s="1212">
        <v>11</v>
      </c>
      <c r="N62" s="1211">
        <v>9</v>
      </c>
      <c r="O62" s="1211">
        <v>9</v>
      </c>
      <c r="P62" s="1212">
        <v>20</v>
      </c>
      <c r="Q62" s="1211">
        <v>17</v>
      </c>
      <c r="R62" s="1211">
        <v>16</v>
      </c>
      <c r="S62" s="1212">
        <v>18</v>
      </c>
      <c r="T62" s="1211">
        <v>14</v>
      </c>
      <c r="U62" s="1211">
        <v>14</v>
      </c>
      <c r="V62" s="1212">
        <v>27</v>
      </c>
      <c r="W62" s="1211">
        <v>21</v>
      </c>
      <c r="X62" s="1211">
        <v>21</v>
      </c>
      <c r="Y62" s="1212">
        <v>32</v>
      </c>
      <c r="Z62" s="1211">
        <v>30</v>
      </c>
      <c r="AA62" s="1211">
        <v>30</v>
      </c>
      <c r="AB62" s="1212">
        <v>43</v>
      </c>
      <c r="AC62" s="1211">
        <v>41</v>
      </c>
      <c r="AD62" s="1211">
        <v>37</v>
      </c>
      <c r="AE62" s="1212">
        <v>46</v>
      </c>
      <c r="AF62" s="1211">
        <v>41</v>
      </c>
      <c r="AG62" s="1211">
        <v>41</v>
      </c>
      <c r="AH62" s="1212">
        <v>54</v>
      </c>
      <c r="AI62" s="1211">
        <v>52</v>
      </c>
      <c r="AJ62" s="1211">
        <v>52</v>
      </c>
      <c r="AK62" s="1212">
        <v>51</v>
      </c>
      <c r="AL62" s="1211">
        <v>45</v>
      </c>
      <c r="AM62" s="1211">
        <v>40</v>
      </c>
      <c r="AN62" s="1212">
        <v>51</v>
      </c>
      <c r="AO62" s="1211">
        <v>36</v>
      </c>
      <c r="AP62" s="1211">
        <v>36</v>
      </c>
      <c r="AQ62" s="1212">
        <v>47</v>
      </c>
    </row>
    <row r="63" spans="1:43" ht="15" customHeight="1" x14ac:dyDescent="0.25">
      <c r="A63" s="5544"/>
      <c r="B63" s="5462"/>
      <c r="C63" s="5465"/>
      <c r="D63" s="1451" t="s">
        <v>593</v>
      </c>
      <c r="E63" s="1210"/>
      <c r="F63" s="1211"/>
      <c r="G63" s="1211"/>
      <c r="H63" s="1210"/>
      <c r="I63" s="1211"/>
      <c r="J63" s="1211"/>
      <c r="K63" s="1210"/>
      <c r="L63" s="1211"/>
      <c r="M63" s="1212"/>
      <c r="N63" s="1211"/>
      <c r="O63" s="1211"/>
      <c r="P63" s="1212"/>
      <c r="Q63" s="1211"/>
      <c r="R63" s="1211"/>
      <c r="S63" s="1212"/>
      <c r="T63" s="1211"/>
      <c r="U63" s="1211"/>
      <c r="V63" s="1212"/>
      <c r="W63" s="1211"/>
      <c r="X63" s="1211"/>
      <c r="Y63" s="1212"/>
      <c r="Z63" s="1211"/>
      <c r="AA63" s="1211"/>
      <c r="AB63" s="1212"/>
      <c r="AC63" s="1211"/>
      <c r="AD63" s="1211"/>
      <c r="AE63" s="1212"/>
      <c r="AF63" s="1211"/>
      <c r="AG63" s="1211"/>
      <c r="AH63" s="1212"/>
      <c r="AI63" s="1211">
        <v>25</v>
      </c>
      <c r="AJ63" s="1211">
        <v>21</v>
      </c>
      <c r="AK63" s="1212">
        <v>21</v>
      </c>
      <c r="AL63" s="1211">
        <v>33</v>
      </c>
      <c r="AM63" s="1211">
        <v>31</v>
      </c>
      <c r="AN63" s="1212">
        <v>30</v>
      </c>
      <c r="AO63" s="1211">
        <v>45</v>
      </c>
      <c r="AP63" s="1211">
        <v>47</v>
      </c>
      <c r="AQ63" s="1212">
        <v>40</v>
      </c>
    </row>
    <row r="64" spans="1:43" ht="15" customHeight="1" x14ac:dyDescent="0.25">
      <c r="A64" s="5544"/>
      <c r="B64" s="5462"/>
      <c r="C64" s="5455" t="s">
        <v>526</v>
      </c>
      <c r="D64" s="1451" t="s">
        <v>373</v>
      </c>
      <c r="E64" s="1210">
        <v>32</v>
      </c>
      <c r="F64" s="1211">
        <v>32</v>
      </c>
      <c r="G64" s="1211">
        <v>31</v>
      </c>
      <c r="H64" s="1210">
        <v>30</v>
      </c>
      <c r="I64" s="1211">
        <v>27</v>
      </c>
      <c r="J64" s="1211">
        <v>31</v>
      </c>
      <c r="K64" s="1210">
        <v>31</v>
      </c>
      <c r="L64" s="1211">
        <v>31</v>
      </c>
      <c r="M64" s="1212">
        <v>32</v>
      </c>
      <c r="N64" s="1211">
        <v>34</v>
      </c>
      <c r="O64" s="1211">
        <v>33</v>
      </c>
      <c r="P64" s="1212">
        <v>33</v>
      </c>
      <c r="Q64" s="1211">
        <v>25</v>
      </c>
      <c r="R64" s="1211">
        <v>31</v>
      </c>
      <c r="S64" s="1212">
        <v>32</v>
      </c>
      <c r="T64" s="1211">
        <v>33</v>
      </c>
      <c r="U64" s="1211">
        <v>31</v>
      </c>
      <c r="V64" s="1212">
        <v>31</v>
      </c>
      <c r="W64" s="1211">
        <v>35</v>
      </c>
      <c r="X64" s="1211">
        <v>31</v>
      </c>
      <c r="Y64" s="1212">
        <v>30</v>
      </c>
      <c r="Z64" s="1211">
        <v>26</v>
      </c>
      <c r="AA64" s="1211">
        <v>21</v>
      </c>
      <c r="AB64" s="1212">
        <v>25</v>
      </c>
      <c r="AC64" s="1211">
        <v>26</v>
      </c>
      <c r="AD64" s="1211">
        <v>19</v>
      </c>
      <c r="AE64" s="1212">
        <v>21</v>
      </c>
      <c r="AF64" s="1211">
        <v>19</v>
      </c>
      <c r="AG64" s="1211">
        <v>20</v>
      </c>
      <c r="AH64" s="1212">
        <v>18</v>
      </c>
      <c r="AI64" s="1211">
        <v>19</v>
      </c>
      <c r="AJ64" s="1211">
        <v>20</v>
      </c>
      <c r="AK64" s="1212">
        <v>21</v>
      </c>
      <c r="AL64" s="1211">
        <v>19</v>
      </c>
      <c r="AM64" s="1211">
        <v>18</v>
      </c>
      <c r="AN64" s="1212">
        <v>20</v>
      </c>
      <c r="AO64" s="1211">
        <v>23</v>
      </c>
      <c r="AP64" s="1211">
        <v>24</v>
      </c>
      <c r="AQ64" s="1212">
        <v>24</v>
      </c>
    </row>
    <row r="65" spans="1:43" ht="15" customHeight="1" x14ac:dyDescent="0.25">
      <c r="A65" s="5544"/>
      <c r="B65" s="5462"/>
      <c r="C65" s="5456"/>
      <c r="D65" s="1451" t="s">
        <v>381</v>
      </c>
      <c r="E65" s="1210">
        <v>17</v>
      </c>
      <c r="F65" s="1211">
        <v>18</v>
      </c>
      <c r="G65" s="1211">
        <v>19</v>
      </c>
      <c r="H65" s="1210">
        <v>22</v>
      </c>
      <c r="I65" s="1211">
        <v>25</v>
      </c>
      <c r="J65" s="1211">
        <v>26</v>
      </c>
      <c r="K65" s="1210">
        <v>25</v>
      </c>
      <c r="L65" s="1211">
        <v>28</v>
      </c>
      <c r="M65" s="1212">
        <v>28</v>
      </c>
      <c r="N65" s="1211">
        <v>29</v>
      </c>
      <c r="O65" s="1211">
        <v>30</v>
      </c>
      <c r="P65" s="1212">
        <v>30</v>
      </c>
      <c r="Q65" s="1211">
        <v>22</v>
      </c>
      <c r="R65" s="1211">
        <v>31</v>
      </c>
      <c r="S65" s="1212">
        <v>32</v>
      </c>
      <c r="T65" s="1211">
        <v>34</v>
      </c>
      <c r="U65" s="1211">
        <v>36</v>
      </c>
      <c r="V65" s="1212">
        <v>36</v>
      </c>
      <c r="W65" s="1211">
        <v>36</v>
      </c>
      <c r="X65" s="1211">
        <v>37</v>
      </c>
      <c r="Y65" s="1212">
        <v>40</v>
      </c>
      <c r="Z65" s="1211">
        <v>46</v>
      </c>
      <c r="AA65" s="1211">
        <v>46</v>
      </c>
      <c r="AB65" s="1212">
        <v>45</v>
      </c>
      <c r="AC65" s="1211">
        <v>50</v>
      </c>
      <c r="AD65" s="1211">
        <v>38</v>
      </c>
      <c r="AE65" s="1212">
        <v>51</v>
      </c>
      <c r="AF65" s="1211">
        <v>52</v>
      </c>
      <c r="AG65" s="1211">
        <v>50</v>
      </c>
      <c r="AH65" s="1212">
        <v>38</v>
      </c>
      <c r="AI65" s="1211">
        <v>52</v>
      </c>
      <c r="AJ65" s="1211">
        <v>54</v>
      </c>
      <c r="AK65" s="1212">
        <v>54</v>
      </c>
      <c r="AL65" s="1211">
        <v>52</v>
      </c>
      <c r="AM65" s="1211">
        <v>52</v>
      </c>
      <c r="AN65" s="1212">
        <v>54</v>
      </c>
      <c r="AO65" s="1211">
        <v>51</v>
      </c>
      <c r="AP65" s="1211">
        <v>55</v>
      </c>
      <c r="AQ65" s="1212">
        <v>59</v>
      </c>
    </row>
    <row r="66" spans="1:43" ht="15" customHeight="1" x14ac:dyDescent="0.25">
      <c r="A66" s="5544"/>
      <c r="B66" s="5462"/>
      <c r="C66" s="5456"/>
      <c r="D66" s="1451" t="s">
        <v>379</v>
      </c>
      <c r="E66" s="1210">
        <v>71</v>
      </c>
      <c r="F66" s="1211">
        <v>76</v>
      </c>
      <c r="G66" s="1211">
        <v>73</v>
      </c>
      <c r="H66" s="1210">
        <v>78</v>
      </c>
      <c r="I66" s="1211">
        <v>84</v>
      </c>
      <c r="J66" s="1211">
        <v>84</v>
      </c>
      <c r="K66" s="1210">
        <v>88</v>
      </c>
      <c r="L66" s="1211">
        <v>92</v>
      </c>
      <c r="M66" s="1212">
        <v>93</v>
      </c>
      <c r="N66" s="1211">
        <v>95</v>
      </c>
      <c r="O66" s="1211">
        <v>89</v>
      </c>
      <c r="P66" s="1212">
        <v>88</v>
      </c>
      <c r="Q66" s="1211">
        <v>65</v>
      </c>
      <c r="R66" s="1211">
        <v>85</v>
      </c>
      <c r="S66" s="1212">
        <v>80</v>
      </c>
      <c r="T66" s="1211">
        <v>75</v>
      </c>
      <c r="U66" s="1211">
        <v>69</v>
      </c>
      <c r="V66" s="1212">
        <v>74</v>
      </c>
      <c r="W66" s="1211">
        <v>72</v>
      </c>
      <c r="X66" s="1211">
        <v>72</v>
      </c>
      <c r="Y66" s="1212">
        <v>72</v>
      </c>
      <c r="Z66" s="1211">
        <v>80</v>
      </c>
      <c r="AA66" s="1211">
        <v>83</v>
      </c>
      <c r="AB66" s="1212">
        <v>87</v>
      </c>
      <c r="AC66" s="1211">
        <v>86</v>
      </c>
      <c r="AD66" s="1211">
        <v>70</v>
      </c>
      <c r="AE66" s="1212">
        <v>79</v>
      </c>
      <c r="AF66" s="1211">
        <v>80</v>
      </c>
      <c r="AG66" s="1211">
        <v>76</v>
      </c>
      <c r="AH66" s="1212">
        <v>40</v>
      </c>
      <c r="AI66" s="1211">
        <v>88</v>
      </c>
      <c r="AJ66" s="1211">
        <v>91</v>
      </c>
      <c r="AK66" s="1212">
        <v>92</v>
      </c>
      <c r="AL66" s="1211">
        <v>92</v>
      </c>
      <c r="AM66" s="1211">
        <v>87</v>
      </c>
      <c r="AN66" s="1212">
        <v>88</v>
      </c>
      <c r="AO66" s="1211">
        <v>83</v>
      </c>
      <c r="AP66" s="1211">
        <v>78</v>
      </c>
      <c r="AQ66" s="1212">
        <v>78</v>
      </c>
    </row>
    <row r="67" spans="1:43" ht="15" customHeight="1" x14ac:dyDescent="0.25">
      <c r="A67" s="5544"/>
      <c r="B67" s="5462"/>
      <c r="C67" s="5456"/>
      <c r="D67" s="1451" t="s">
        <v>377</v>
      </c>
      <c r="E67" s="1210">
        <v>49</v>
      </c>
      <c r="F67" s="1211">
        <v>46</v>
      </c>
      <c r="G67" s="1211">
        <v>53</v>
      </c>
      <c r="H67" s="1210">
        <v>51</v>
      </c>
      <c r="I67" s="1211">
        <v>50</v>
      </c>
      <c r="J67" s="1211">
        <v>56</v>
      </c>
      <c r="K67" s="1210">
        <v>55</v>
      </c>
      <c r="L67" s="1211">
        <v>53</v>
      </c>
      <c r="M67" s="1212">
        <v>50</v>
      </c>
      <c r="N67" s="1211">
        <v>50</v>
      </c>
      <c r="O67" s="1211">
        <v>50</v>
      </c>
      <c r="P67" s="1212">
        <v>51</v>
      </c>
      <c r="Q67" s="1211">
        <v>48</v>
      </c>
      <c r="R67" s="1211">
        <v>50</v>
      </c>
      <c r="S67" s="1212">
        <v>44</v>
      </c>
      <c r="T67" s="1211">
        <v>43</v>
      </c>
      <c r="U67" s="1211">
        <v>40</v>
      </c>
      <c r="V67" s="1212">
        <v>37</v>
      </c>
      <c r="W67" s="1211">
        <v>34</v>
      </c>
      <c r="X67" s="1211">
        <v>33</v>
      </c>
      <c r="Y67" s="1212">
        <v>35</v>
      </c>
      <c r="Z67" s="1211">
        <v>30</v>
      </c>
      <c r="AA67" s="1211">
        <v>27</v>
      </c>
      <c r="AB67" s="1212">
        <v>28</v>
      </c>
      <c r="AC67" s="1211">
        <v>30</v>
      </c>
      <c r="AD67" s="1211">
        <v>28</v>
      </c>
      <c r="AE67" s="1212">
        <v>37</v>
      </c>
      <c r="AF67" s="1211">
        <v>36</v>
      </c>
      <c r="AG67" s="1211">
        <v>36</v>
      </c>
      <c r="AH67" s="1212">
        <v>37</v>
      </c>
      <c r="AI67" s="1211">
        <v>37</v>
      </c>
      <c r="AJ67" s="1211">
        <v>39</v>
      </c>
      <c r="AK67" s="1212">
        <v>37</v>
      </c>
      <c r="AL67" s="1211">
        <v>33</v>
      </c>
      <c r="AM67" s="1211">
        <v>33</v>
      </c>
      <c r="AN67" s="1212">
        <v>36</v>
      </c>
      <c r="AO67" s="1211">
        <v>32</v>
      </c>
      <c r="AP67" s="1211">
        <v>37</v>
      </c>
      <c r="AQ67" s="1212">
        <v>38</v>
      </c>
    </row>
    <row r="68" spans="1:43" ht="15" customHeight="1" x14ac:dyDescent="0.25">
      <c r="A68" s="5544"/>
      <c r="B68" s="5462"/>
      <c r="C68" s="5456"/>
      <c r="D68" s="1451" t="s">
        <v>375</v>
      </c>
      <c r="E68" s="1210">
        <v>15</v>
      </c>
      <c r="F68" s="1211">
        <v>16</v>
      </c>
      <c r="G68" s="1211">
        <v>12</v>
      </c>
      <c r="H68" s="1210">
        <v>10</v>
      </c>
      <c r="I68" s="1211">
        <v>11</v>
      </c>
      <c r="J68" s="1211">
        <v>11</v>
      </c>
      <c r="K68" s="1210">
        <v>10</v>
      </c>
      <c r="L68" s="1211">
        <v>12</v>
      </c>
      <c r="M68" s="1212">
        <v>13</v>
      </c>
      <c r="N68" s="1211">
        <v>14</v>
      </c>
      <c r="O68" s="1211">
        <v>13</v>
      </c>
      <c r="P68" s="1212">
        <v>15</v>
      </c>
      <c r="Q68" s="1211">
        <v>11</v>
      </c>
      <c r="R68" s="1211">
        <v>11</v>
      </c>
      <c r="S68" s="1212">
        <v>13</v>
      </c>
      <c r="T68" s="1211">
        <v>15</v>
      </c>
      <c r="U68" s="1211">
        <v>12</v>
      </c>
      <c r="V68" s="1212">
        <v>14</v>
      </c>
      <c r="W68" s="1211">
        <v>13</v>
      </c>
      <c r="X68" s="1211">
        <v>14</v>
      </c>
      <c r="Y68" s="1212">
        <v>15</v>
      </c>
      <c r="Z68" s="1211">
        <v>18</v>
      </c>
      <c r="AA68" s="1211">
        <v>16</v>
      </c>
      <c r="AB68" s="1212">
        <v>17</v>
      </c>
      <c r="AC68" s="1211">
        <v>17</v>
      </c>
      <c r="AD68" s="1211">
        <v>14</v>
      </c>
      <c r="AE68" s="1212">
        <v>17</v>
      </c>
      <c r="AF68" s="1211">
        <v>17</v>
      </c>
      <c r="AG68" s="1211">
        <v>18</v>
      </c>
      <c r="AH68" s="1212">
        <v>17</v>
      </c>
      <c r="AI68" s="1211">
        <v>22</v>
      </c>
      <c r="AJ68" s="1211">
        <v>24</v>
      </c>
      <c r="AK68" s="1212">
        <v>25</v>
      </c>
      <c r="AL68" s="1211">
        <v>25</v>
      </c>
      <c r="AM68" s="1211">
        <v>28</v>
      </c>
      <c r="AN68" s="1212">
        <v>27</v>
      </c>
      <c r="AO68" s="1211">
        <v>28</v>
      </c>
      <c r="AP68" s="1211">
        <v>29</v>
      </c>
      <c r="AQ68" s="1212">
        <v>30</v>
      </c>
    </row>
    <row r="69" spans="1:43" ht="15" customHeight="1" x14ac:dyDescent="0.25">
      <c r="A69" s="5544"/>
      <c r="B69" s="5462"/>
      <c r="C69" s="5456"/>
      <c r="D69" s="1451" t="s">
        <v>374</v>
      </c>
      <c r="E69" s="1210"/>
      <c r="F69" s="1211"/>
      <c r="G69" s="1211"/>
      <c r="H69" s="1210"/>
      <c r="I69" s="1211"/>
      <c r="J69" s="1211"/>
      <c r="K69" s="1210"/>
      <c r="L69" s="1211"/>
      <c r="M69" s="1212"/>
      <c r="N69" s="1211"/>
      <c r="O69" s="1211"/>
      <c r="P69" s="1212"/>
      <c r="Q69" s="1211"/>
      <c r="R69" s="1211"/>
      <c r="S69" s="1212"/>
      <c r="T69" s="1211"/>
      <c r="U69" s="1211"/>
      <c r="V69" s="1212"/>
      <c r="W69" s="1211"/>
      <c r="X69" s="1211"/>
      <c r="Y69" s="1212"/>
      <c r="Z69" s="1211"/>
      <c r="AA69" s="1211"/>
      <c r="AB69" s="1212"/>
      <c r="AC69" s="1211">
        <v>2</v>
      </c>
      <c r="AD69" s="1211">
        <v>3</v>
      </c>
      <c r="AE69" s="1212">
        <v>6</v>
      </c>
      <c r="AF69" s="1211">
        <v>12</v>
      </c>
      <c r="AG69" s="1211">
        <v>14</v>
      </c>
      <c r="AH69" s="1212">
        <v>6</v>
      </c>
      <c r="AI69" s="1211">
        <v>19</v>
      </c>
      <c r="AJ69" s="1211">
        <v>20</v>
      </c>
      <c r="AK69" s="1212">
        <v>24</v>
      </c>
      <c r="AL69" s="1211">
        <v>26</v>
      </c>
      <c r="AM69" s="1211">
        <v>24</v>
      </c>
      <c r="AN69" s="1212">
        <v>27</v>
      </c>
      <c r="AO69" s="1211">
        <v>26</v>
      </c>
      <c r="AP69" s="1211">
        <v>28</v>
      </c>
      <c r="AQ69" s="1212">
        <v>29</v>
      </c>
    </row>
    <row r="70" spans="1:43" ht="15" customHeight="1" x14ac:dyDescent="0.25">
      <c r="A70" s="5544"/>
      <c r="B70" s="5462"/>
      <c r="C70" s="5456"/>
      <c r="D70" s="1451" t="s">
        <v>666</v>
      </c>
      <c r="E70" s="1210"/>
      <c r="F70" s="1211"/>
      <c r="G70" s="1211"/>
      <c r="H70" s="1210"/>
      <c r="I70" s="1211"/>
      <c r="J70" s="1211"/>
      <c r="K70" s="1210"/>
      <c r="L70" s="1211"/>
      <c r="M70" s="1212"/>
      <c r="N70" s="1211"/>
      <c r="O70" s="1211"/>
      <c r="P70" s="1212"/>
      <c r="Q70" s="1211"/>
      <c r="R70" s="1211"/>
      <c r="S70" s="1212"/>
      <c r="T70" s="1211"/>
      <c r="U70" s="1211"/>
      <c r="V70" s="1212"/>
      <c r="W70" s="1211"/>
      <c r="X70" s="1211"/>
      <c r="Y70" s="1212"/>
      <c r="Z70" s="1211"/>
      <c r="AA70" s="1211"/>
      <c r="AB70" s="1212"/>
      <c r="AC70" s="1211"/>
      <c r="AD70" s="1211"/>
      <c r="AE70" s="1212"/>
      <c r="AF70" s="1211"/>
      <c r="AG70" s="1211"/>
      <c r="AH70" s="1212"/>
      <c r="AI70" s="1211">
        <v>5</v>
      </c>
      <c r="AJ70" s="1211">
        <v>5</v>
      </c>
      <c r="AK70" s="1212">
        <v>5</v>
      </c>
      <c r="AL70" s="1211">
        <v>8</v>
      </c>
      <c r="AM70" s="1211">
        <v>7</v>
      </c>
      <c r="AN70" s="1212">
        <v>7</v>
      </c>
      <c r="AO70" s="1211">
        <v>8</v>
      </c>
      <c r="AP70" s="1211">
        <v>8</v>
      </c>
      <c r="AQ70" s="1212">
        <v>10</v>
      </c>
    </row>
    <row r="71" spans="1:43" ht="15" customHeight="1" x14ac:dyDescent="0.25">
      <c r="A71" s="5544"/>
      <c r="B71" s="5462"/>
      <c r="C71" s="5456"/>
      <c r="D71" s="1447" t="s">
        <v>407</v>
      </c>
      <c r="E71" s="1213">
        <v>43</v>
      </c>
      <c r="F71" s="1214">
        <v>33</v>
      </c>
      <c r="G71" s="1214">
        <v>30</v>
      </c>
      <c r="H71" s="1213">
        <v>23</v>
      </c>
      <c r="I71" s="1214">
        <v>11</v>
      </c>
      <c r="J71" s="1214">
        <v>4</v>
      </c>
      <c r="K71" s="1213">
        <v>3</v>
      </c>
      <c r="L71" s="1214">
        <v>1</v>
      </c>
      <c r="M71" s="1215">
        <v>1</v>
      </c>
      <c r="N71" s="1214">
        <v>1</v>
      </c>
      <c r="O71" s="1214">
        <v>1</v>
      </c>
      <c r="P71" s="1215"/>
      <c r="Q71" s="1214"/>
      <c r="R71" s="1214"/>
      <c r="S71" s="1215"/>
      <c r="T71" s="1214"/>
      <c r="U71" s="1214"/>
      <c r="V71" s="1215">
        <v>2</v>
      </c>
      <c r="W71" s="1214">
        <v>2</v>
      </c>
      <c r="X71" s="1214">
        <v>4</v>
      </c>
      <c r="Y71" s="1215">
        <v>7</v>
      </c>
      <c r="Z71" s="1214">
        <v>7</v>
      </c>
      <c r="AA71" s="1214">
        <v>6</v>
      </c>
      <c r="AB71" s="1215">
        <v>1</v>
      </c>
      <c r="AC71" s="1214"/>
      <c r="AD71" s="1214"/>
      <c r="AE71" s="1215"/>
      <c r="AF71" s="1214"/>
      <c r="AG71" s="1214"/>
      <c r="AH71" s="1215"/>
      <c r="AI71" s="1214"/>
      <c r="AJ71" s="1214"/>
      <c r="AK71" s="1215"/>
      <c r="AL71" s="1214"/>
      <c r="AM71" s="1214"/>
      <c r="AN71" s="1215"/>
      <c r="AO71" s="1214"/>
      <c r="AP71" s="1214"/>
      <c r="AQ71" s="1215"/>
    </row>
    <row r="72" spans="1:43" ht="15" customHeight="1" x14ac:dyDescent="0.2">
      <c r="A72" s="5544"/>
      <c r="B72" s="5464"/>
      <c r="C72" s="1202"/>
      <c r="D72" s="1449" t="s">
        <v>160</v>
      </c>
      <c r="E72" s="1218">
        <f t="shared" ref="E72:AK72" si="12">SUM(E57:E71)</f>
        <v>279</v>
      </c>
      <c r="F72" s="1219">
        <f t="shared" si="12"/>
        <v>272</v>
      </c>
      <c r="G72" s="1219">
        <f t="shared" si="12"/>
        <v>290</v>
      </c>
      <c r="H72" s="1218">
        <f t="shared" si="12"/>
        <v>281</v>
      </c>
      <c r="I72" s="1219">
        <f t="shared" si="12"/>
        <v>276</v>
      </c>
      <c r="J72" s="1219">
        <f t="shared" si="12"/>
        <v>299</v>
      </c>
      <c r="K72" s="1218">
        <f t="shared" si="12"/>
        <v>306</v>
      </c>
      <c r="L72" s="1219">
        <f t="shared" si="12"/>
        <v>314</v>
      </c>
      <c r="M72" s="1220">
        <f t="shared" si="12"/>
        <v>345</v>
      </c>
      <c r="N72" s="1219">
        <f t="shared" si="12"/>
        <v>345</v>
      </c>
      <c r="O72" s="1219">
        <f t="shared" si="12"/>
        <v>344</v>
      </c>
      <c r="P72" s="1220">
        <f t="shared" si="12"/>
        <v>379</v>
      </c>
      <c r="Q72" s="1219">
        <f t="shared" si="12"/>
        <v>379</v>
      </c>
      <c r="R72" s="1219">
        <f t="shared" si="12"/>
        <v>359</v>
      </c>
      <c r="S72" s="1220">
        <f t="shared" si="12"/>
        <v>356</v>
      </c>
      <c r="T72" s="1219">
        <f t="shared" si="12"/>
        <v>351</v>
      </c>
      <c r="U72" s="1219">
        <f t="shared" si="12"/>
        <v>326</v>
      </c>
      <c r="V72" s="1220">
        <f t="shared" si="12"/>
        <v>358</v>
      </c>
      <c r="W72" s="1219">
        <f t="shared" si="12"/>
        <v>335</v>
      </c>
      <c r="X72" s="1219">
        <f t="shared" si="12"/>
        <v>325</v>
      </c>
      <c r="Y72" s="1220">
        <f t="shared" si="12"/>
        <v>365</v>
      </c>
      <c r="Z72" s="1219">
        <f t="shared" si="12"/>
        <v>365</v>
      </c>
      <c r="AA72" s="1219">
        <f t="shared" si="12"/>
        <v>353</v>
      </c>
      <c r="AB72" s="1220">
        <f t="shared" si="12"/>
        <v>384</v>
      </c>
      <c r="AC72" s="1219">
        <f t="shared" si="12"/>
        <v>471</v>
      </c>
      <c r="AD72" s="1219">
        <f t="shared" si="12"/>
        <v>421</v>
      </c>
      <c r="AE72" s="1220">
        <f t="shared" si="12"/>
        <v>498</v>
      </c>
      <c r="AF72" s="1219">
        <f t="shared" si="12"/>
        <v>500</v>
      </c>
      <c r="AG72" s="1219">
        <f t="shared" si="12"/>
        <v>484</v>
      </c>
      <c r="AH72" s="1220">
        <f t="shared" si="12"/>
        <v>451</v>
      </c>
      <c r="AI72" s="1219">
        <f t="shared" si="12"/>
        <v>551</v>
      </c>
      <c r="AJ72" s="1219">
        <f t="shared" si="12"/>
        <v>568</v>
      </c>
      <c r="AK72" s="1220">
        <f t="shared" si="12"/>
        <v>575</v>
      </c>
      <c r="AL72" s="1219">
        <f t="shared" ref="AL72:AQ72" si="13">SUM(AL57:AL71)</f>
        <v>557</v>
      </c>
      <c r="AM72" s="1219">
        <f t="shared" si="13"/>
        <v>524</v>
      </c>
      <c r="AN72" s="1220">
        <f t="shared" si="13"/>
        <v>575</v>
      </c>
      <c r="AO72" s="1219">
        <f t="shared" si="13"/>
        <v>540</v>
      </c>
      <c r="AP72" s="1219">
        <f t="shared" si="13"/>
        <v>561</v>
      </c>
      <c r="AQ72" s="1220">
        <f t="shared" si="13"/>
        <v>595</v>
      </c>
    </row>
    <row r="73" spans="1:43" ht="15" customHeight="1" x14ac:dyDescent="0.25">
      <c r="A73" s="5544"/>
      <c r="B73" s="5473" t="s">
        <v>6</v>
      </c>
      <c r="C73" s="1206" t="s">
        <v>528</v>
      </c>
      <c r="D73" s="1452" t="s">
        <v>78</v>
      </c>
      <c r="E73" s="1207">
        <v>6</v>
      </c>
      <c r="F73" s="1208">
        <v>5</v>
      </c>
      <c r="G73" s="1208">
        <v>44</v>
      </c>
      <c r="H73" s="1207">
        <v>41</v>
      </c>
      <c r="I73" s="1208">
        <v>32</v>
      </c>
      <c r="J73" s="1208">
        <v>76</v>
      </c>
      <c r="K73" s="1207">
        <v>73</v>
      </c>
      <c r="L73" s="1208">
        <v>65</v>
      </c>
      <c r="M73" s="1209">
        <v>1</v>
      </c>
      <c r="N73" s="1208">
        <v>86</v>
      </c>
      <c r="O73" s="1208">
        <v>82</v>
      </c>
      <c r="P73" s="1209">
        <v>68</v>
      </c>
      <c r="Q73" s="1208">
        <v>90</v>
      </c>
      <c r="R73" s="1208">
        <v>81</v>
      </c>
      <c r="S73" s="1209">
        <v>100</v>
      </c>
      <c r="T73" s="1208">
        <v>102</v>
      </c>
      <c r="U73" s="1208">
        <v>89</v>
      </c>
      <c r="V73" s="1209">
        <v>85</v>
      </c>
      <c r="W73" s="1208"/>
      <c r="X73" s="1208">
        <v>99</v>
      </c>
      <c r="Y73" s="1209">
        <v>116</v>
      </c>
      <c r="Z73" s="1208">
        <v>67</v>
      </c>
      <c r="AA73" s="1208" t="s">
        <v>227</v>
      </c>
      <c r="AB73" s="1209">
        <v>104</v>
      </c>
      <c r="AC73" s="1208">
        <v>65</v>
      </c>
      <c r="AD73" s="1208">
        <v>62</v>
      </c>
      <c r="AE73" s="1209">
        <v>92</v>
      </c>
      <c r="AF73" s="1208">
        <v>81</v>
      </c>
      <c r="AG73" s="1208">
        <v>65</v>
      </c>
      <c r="AH73" s="1209">
        <v>3</v>
      </c>
      <c r="AI73" s="1208"/>
      <c r="AJ73" s="1208">
        <v>1</v>
      </c>
      <c r="AK73" s="1209">
        <v>37</v>
      </c>
      <c r="AL73" s="1208">
        <v>29</v>
      </c>
      <c r="AM73" s="1208">
        <v>27</v>
      </c>
      <c r="AN73" s="1209">
        <v>15</v>
      </c>
      <c r="AO73" s="1208">
        <v>49</v>
      </c>
      <c r="AP73" s="1208">
        <v>48</v>
      </c>
      <c r="AQ73" s="1209">
        <v>55</v>
      </c>
    </row>
    <row r="74" spans="1:43" ht="15" customHeight="1" x14ac:dyDescent="0.25">
      <c r="A74" s="5544"/>
      <c r="B74" s="5474"/>
      <c r="C74" s="5539" t="s">
        <v>527</v>
      </c>
      <c r="D74" s="1446" t="s">
        <v>80</v>
      </c>
      <c r="E74" s="1210">
        <v>7</v>
      </c>
      <c r="F74" s="1211">
        <v>8</v>
      </c>
      <c r="G74" s="1211">
        <v>7</v>
      </c>
      <c r="H74" s="1210">
        <v>6</v>
      </c>
      <c r="I74" s="1211">
        <v>5</v>
      </c>
      <c r="J74" s="1211">
        <v>5</v>
      </c>
      <c r="K74" s="1210">
        <v>6</v>
      </c>
      <c r="L74" s="1211">
        <v>4</v>
      </c>
      <c r="M74" s="1212">
        <v>7</v>
      </c>
      <c r="N74" s="1211">
        <v>6</v>
      </c>
      <c r="O74" s="1211">
        <v>7</v>
      </c>
      <c r="P74" s="1212">
        <v>8</v>
      </c>
      <c r="Q74" s="1211">
        <v>23</v>
      </c>
      <c r="R74" s="1211">
        <v>11</v>
      </c>
      <c r="S74" s="1212">
        <v>7</v>
      </c>
      <c r="T74" s="1211">
        <v>20</v>
      </c>
      <c r="U74" s="1211">
        <v>21</v>
      </c>
      <c r="V74" s="1212">
        <v>20</v>
      </c>
      <c r="W74" s="1211">
        <v>5</v>
      </c>
      <c r="X74" s="1211">
        <v>5</v>
      </c>
      <c r="Y74" s="1212">
        <v>2</v>
      </c>
      <c r="Z74" s="1211">
        <v>16</v>
      </c>
      <c r="AA74" s="1211">
        <v>16</v>
      </c>
      <c r="AB74" s="1212">
        <v>15</v>
      </c>
      <c r="AC74" s="1211">
        <v>17</v>
      </c>
      <c r="AD74" s="1211">
        <v>15</v>
      </c>
      <c r="AE74" s="1212">
        <v>4</v>
      </c>
      <c r="AF74" s="1211">
        <v>1</v>
      </c>
      <c r="AG74" s="1211">
        <v>2</v>
      </c>
      <c r="AH74" s="1212">
        <v>14</v>
      </c>
      <c r="AI74" s="1211">
        <v>14</v>
      </c>
      <c r="AJ74" s="1211">
        <v>14</v>
      </c>
      <c r="AK74" s="1212">
        <v>16</v>
      </c>
      <c r="AL74" s="1211">
        <v>16</v>
      </c>
      <c r="AM74" s="1211">
        <v>15</v>
      </c>
      <c r="AN74" s="1212">
        <v>1</v>
      </c>
      <c r="AO74" s="1211"/>
      <c r="AP74" s="1211"/>
      <c r="AQ74" s="1212">
        <v>15</v>
      </c>
    </row>
    <row r="75" spans="1:43" ht="15" customHeight="1" x14ac:dyDescent="0.25">
      <c r="A75" s="5544"/>
      <c r="B75" s="5474"/>
      <c r="C75" s="5540"/>
      <c r="D75" s="1446" t="s">
        <v>383</v>
      </c>
      <c r="E75" s="1210"/>
      <c r="F75" s="1211"/>
      <c r="G75" s="1211"/>
      <c r="H75" s="1210"/>
      <c r="I75" s="1211"/>
      <c r="J75" s="1211"/>
      <c r="K75" s="1210"/>
      <c r="L75" s="1211"/>
      <c r="M75" s="1212"/>
      <c r="N75" s="1211"/>
      <c r="O75" s="1211"/>
      <c r="P75" s="1212"/>
      <c r="Q75" s="1211"/>
      <c r="R75" s="1211"/>
      <c r="S75" s="1212"/>
      <c r="T75" s="1211"/>
      <c r="U75" s="1211"/>
      <c r="V75" s="1212"/>
      <c r="W75" s="1211"/>
      <c r="X75" s="1211"/>
      <c r="Y75" s="1212">
        <v>1</v>
      </c>
      <c r="Z75" s="1211">
        <v>1</v>
      </c>
      <c r="AA75" s="1211">
        <v>1</v>
      </c>
      <c r="AB75" s="1212">
        <v>1</v>
      </c>
      <c r="AC75" s="1211">
        <v>1</v>
      </c>
      <c r="AD75" s="1211">
        <v>1</v>
      </c>
      <c r="AE75" s="1212"/>
      <c r="AF75" s="1211"/>
      <c r="AG75" s="1211"/>
      <c r="AH75" s="1212"/>
      <c r="AI75" s="1211"/>
      <c r="AJ75" s="1211"/>
      <c r="AK75" s="1212"/>
      <c r="AL75" s="1211"/>
      <c r="AM75" s="1211"/>
      <c r="AN75" s="1212"/>
      <c r="AO75" s="1211"/>
      <c r="AP75" s="1211"/>
      <c r="AQ75" s="1212"/>
    </row>
    <row r="76" spans="1:43" ht="15" customHeight="1" x14ac:dyDescent="0.25">
      <c r="A76" s="5544"/>
      <c r="B76" s="5474"/>
      <c r="C76" s="5540"/>
      <c r="D76" s="1446" t="s">
        <v>408</v>
      </c>
      <c r="E76" s="1210"/>
      <c r="F76" s="1211"/>
      <c r="G76" s="1211"/>
      <c r="H76" s="1210"/>
      <c r="I76" s="1211"/>
      <c r="J76" s="1211"/>
      <c r="K76" s="1210"/>
      <c r="L76" s="1211"/>
      <c r="M76" s="1212"/>
      <c r="N76" s="1211"/>
      <c r="O76" s="1211"/>
      <c r="P76" s="1212"/>
      <c r="Q76" s="1211"/>
      <c r="R76" s="1211"/>
      <c r="S76" s="1212"/>
      <c r="T76" s="1211"/>
      <c r="U76" s="1211"/>
      <c r="V76" s="1212"/>
      <c r="W76" s="1211"/>
      <c r="X76" s="1211"/>
      <c r="Y76" s="1212">
        <v>1</v>
      </c>
      <c r="Z76" s="1211"/>
      <c r="AA76" s="1211"/>
      <c r="AB76" s="1212"/>
      <c r="AC76" s="1211"/>
      <c r="AD76" s="1211"/>
      <c r="AE76" s="1212"/>
      <c r="AF76" s="1211"/>
      <c r="AG76" s="1211"/>
      <c r="AH76" s="1212"/>
      <c r="AI76" s="1211"/>
      <c r="AJ76" s="1211"/>
      <c r="AK76" s="1212"/>
      <c r="AL76" s="1211"/>
      <c r="AM76" s="1211"/>
      <c r="AN76" s="1212"/>
      <c r="AO76" s="1211"/>
      <c r="AP76" s="1211"/>
      <c r="AQ76" s="1212"/>
    </row>
    <row r="77" spans="1:43" ht="15" customHeight="1" x14ac:dyDescent="0.25">
      <c r="A77" s="5544"/>
      <c r="B77" s="5474"/>
      <c r="C77" s="5540"/>
      <c r="D77" s="1446" t="s">
        <v>81</v>
      </c>
      <c r="E77" s="1210">
        <v>13</v>
      </c>
      <c r="F77" s="1211">
        <v>10</v>
      </c>
      <c r="G77" s="1211">
        <v>21</v>
      </c>
      <c r="H77" s="1210">
        <v>18</v>
      </c>
      <c r="I77" s="1211">
        <v>17</v>
      </c>
      <c r="J77" s="1211">
        <v>19</v>
      </c>
      <c r="K77" s="1210">
        <v>17</v>
      </c>
      <c r="L77" s="1211">
        <v>17</v>
      </c>
      <c r="M77" s="1212">
        <v>21</v>
      </c>
      <c r="N77" s="1211">
        <v>18</v>
      </c>
      <c r="O77" s="1211">
        <v>14</v>
      </c>
      <c r="P77" s="1212">
        <v>12</v>
      </c>
      <c r="Q77" s="1211">
        <v>14</v>
      </c>
      <c r="R77" s="1211">
        <v>11</v>
      </c>
      <c r="S77" s="1212">
        <v>24</v>
      </c>
      <c r="T77" s="1211">
        <v>20</v>
      </c>
      <c r="U77" s="1211">
        <v>18</v>
      </c>
      <c r="V77" s="1212">
        <v>37</v>
      </c>
      <c r="W77" s="1211">
        <v>36</v>
      </c>
      <c r="X77" s="1211">
        <v>35</v>
      </c>
      <c r="Y77" s="1212">
        <v>34</v>
      </c>
      <c r="Z77" s="1211">
        <v>32</v>
      </c>
      <c r="AA77" s="1211">
        <v>32</v>
      </c>
      <c r="AB77" s="1212">
        <v>23</v>
      </c>
      <c r="AC77" s="1211">
        <v>24</v>
      </c>
      <c r="AD77" s="1211">
        <v>18</v>
      </c>
      <c r="AE77" s="1212">
        <v>36</v>
      </c>
      <c r="AF77" s="1211">
        <v>33</v>
      </c>
      <c r="AG77" s="1211">
        <v>32</v>
      </c>
      <c r="AH77" s="1212">
        <v>27</v>
      </c>
      <c r="AI77" s="1211">
        <v>25</v>
      </c>
      <c r="AJ77" s="1211">
        <v>25</v>
      </c>
      <c r="AK77" s="1212">
        <v>19</v>
      </c>
      <c r="AL77" s="1211">
        <v>16</v>
      </c>
      <c r="AM77" s="1211">
        <v>24</v>
      </c>
      <c r="AN77" s="1212">
        <v>20</v>
      </c>
      <c r="AO77" s="1211">
        <v>14</v>
      </c>
      <c r="AP77" s="1211">
        <v>14</v>
      </c>
      <c r="AQ77" s="1212">
        <v>45</v>
      </c>
    </row>
    <row r="78" spans="1:43" ht="15" customHeight="1" x14ac:dyDescent="0.25">
      <c r="A78" s="5544"/>
      <c r="B78" s="5474"/>
      <c r="C78" s="5540"/>
      <c r="D78" s="1446" t="s">
        <v>79</v>
      </c>
      <c r="E78" s="1210">
        <v>63</v>
      </c>
      <c r="F78" s="1211">
        <v>45</v>
      </c>
      <c r="G78" s="1211">
        <v>48</v>
      </c>
      <c r="H78" s="1210">
        <v>47</v>
      </c>
      <c r="I78" s="1211">
        <v>39</v>
      </c>
      <c r="J78" s="1211">
        <v>29</v>
      </c>
      <c r="K78" s="1210">
        <v>78</v>
      </c>
      <c r="L78" s="1211">
        <v>72</v>
      </c>
      <c r="M78" s="1212">
        <v>66</v>
      </c>
      <c r="N78" s="1211">
        <v>61</v>
      </c>
      <c r="O78" s="1211">
        <v>60</v>
      </c>
      <c r="P78" s="1212">
        <v>49</v>
      </c>
      <c r="Q78" s="1211">
        <v>96</v>
      </c>
      <c r="R78" s="1211">
        <v>89</v>
      </c>
      <c r="S78" s="1212">
        <v>75</v>
      </c>
      <c r="T78" s="1211">
        <v>71</v>
      </c>
      <c r="U78" s="1211">
        <v>68</v>
      </c>
      <c r="V78" s="1212">
        <v>151</v>
      </c>
      <c r="W78" s="1211">
        <v>132</v>
      </c>
      <c r="X78" s="1211">
        <v>134</v>
      </c>
      <c r="Y78" s="1212">
        <v>130</v>
      </c>
      <c r="Z78" s="1211">
        <v>120</v>
      </c>
      <c r="AA78" s="1211">
        <v>111</v>
      </c>
      <c r="AB78" s="1212">
        <v>164</v>
      </c>
      <c r="AC78" s="1211">
        <v>152</v>
      </c>
      <c r="AD78" s="1211">
        <v>104</v>
      </c>
      <c r="AE78" s="1212">
        <v>85</v>
      </c>
      <c r="AF78" s="1211">
        <v>78</v>
      </c>
      <c r="AG78" s="1211">
        <v>73</v>
      </c>
      <c r="AH78" s="1212">
        <v>122</v>
      </c>
      <c r="AI78" s="1211">
        <v>101</v>
      </c>
      <c r="AJ78" s="1211">
        <v>75</v>
      </c>
      <c r="AK78" s="1212">
        <v>71</v>
      </c>
      <c r="AL78" s="1211">
        <v>71</v>
      </c>
      <c r="AM78" s="1211">
        <v>70</v>
      </c>
      <c r="AN78" s="1212">
        <v>118</v>
      </c>
      <c r="AO78" s="1211">
        <v>82</v>
      </c>
      <c r="AP78" s="1211">
        <v>74</v>
      </c>
      <c r="AQ78" s="1212">
        <v>71</v>
      </c>
    </row>
    <row r="79" spans="1:43" ht="15" customHeight="1" x14ac:dyDescent="0.25">
      <c r="A79" s="5544"/>
      <c r="B79" s="5474"/>
      <c r="C79" s="5540"/>
      <c r="D79" s="1446" t="s">
        <v>82</v>
      </c>
      <c r="E79" s="1210">
        <v>32</v>
      </c>
      <c r="F79" s="1211">
        <v>27</v>
      </c>
      <c r="G79" s="1211">
        <v>30</v>
      </c>
      <c r="H79" s="1210">
        <v>30</v>
      </c>
      <c r="I79" s="1211">
        <v>26</v>
      </c>
      <c r="J79" s="1211">
        <v>41</v>
      </c>
      <c r="K79" s="1210">
        <v>29</v>
      </c>
      <c r="L79" s="1211">
        <v>22</v>
      </c>
      <c r="M79" s="1212">
        <v>27</v>
      </c>
      <c r="N79" s="1211">
        <v>26</v>
      </c>
      <c r="O79" s="1211">
        <v>25</v>
      </c>
      <c r="P79" s="1212">
        <v>48</v>
      </c>
      <c r="Q79" s="1211">
        <v>45</v>
      </c>
      <c r="R79" s="1211">
        <v>40</v>
      </c>
      <c r="S79" s="1212">
        <v>41</v>
      </c>
      <c r="T79" s="1211">
        <v>37</v>
      </c>
      <c r="U79" s="1211">
        <v>37</v>
      </c>
      <c r="V79" s="1212">
        <v>58</v>
      </c>
      <c r="W79" s="1211">
        <v>42</v>
      </c>
      <c r="X79" s="1211">
        <v>38</v>
      </c>
      <c r="Y79" s="1212">
        <v>33</v>
      </c>
      <c r="Z79" s="1211">
        <v>21</v>
      </c>
      <c r="AA79" s="1211">
        <v>20</v>
      </c>
      <c r="AB79" s="1212">
        <v>46</v>
      </c>
      <c r="AC79" s="1211">
        <v>43</v>
      </c>
      <c r="AD79" s="1211">
        <v>39</v>
      </c>
      <c r="AE79" s="1212">
        <v>37</v>
      </c>
      <c r="AF79" s="1211">
        <v>37</v>
      </c>
      <c r="AG79" s="1211">
        <v>36</v>
      </c>
      <c r="AH79" s="1212">
        <v>46</v>
      </c>
      <c r="AI79" s="1211">
        <v>28</v>
      </c>
      <c r="AJ79" s="1211">
        <v>26</v>
      </c>
      <c r="AK79" s="1212">
        <v>27</v>
      </c>
      <c r="AL79" s="1211">
        <v>25</v>
      </c>
      <c r="AM79" s="1211">
        <v>25</v>
      </c>
      <c r="AN79" s="1212">
        <v>33</v>
      </c>
      <c r="AO79" s="1211">
        <v>25</v>
      </c>
      <c r="AP79" s="1211">
        <v>25</v>
      </c>
      <c r="AQ79" s="1212">
        <v>23</v>
      </c>
    </row>
    <row r="80" spans="1:43" ht="15" customHeight="1" x14ac:dyDescent="0.25">
      <c r="A80" s="5544"/>
      <c r="B80" s="5474"/>
      <c r="C80" s="5541"/>
      <c r="D80" s="1448" t="s">
        <v>139</v>
      </c>
      <c r="E80" s="1210"/>
      <c r="F80" s="1211"/>
      <c r="G80" s="1211"/>
      <c r="H80" s="1210">
        <v>1</v>
      </c>
      <c r="I80" s="1211"/>
      <c r="J80" s="1211">
        <v>1</v>
      </c>
      <c r="K80" s="1210">
        <v>9</v>
      </c>
      <c r="L80" s="1211"/>
      <c r="M80" s="1212"/>
      <c r="N80" s="1211">
        <v>6</v>
      </c>
      <c r="O80" s="1211"/>
      <c r="P80" s="1212">
        <v>1</v>
      </c>
      <c r="Q80" s="1211">
        <v>9</v>
      </c>
      <c r="R80" s="1211"/>
      <c r="S80" s="1212"/>
      <c r="T80" s="1211">
        <v>17</v>
      </c>
      <c r="U80" s="1211"/>
      <c r="V80" s="1212"/>
      <c r="W80" s="1211">
        <v>22</v>
      </c>
      <c r="X80" s="1211"/>
      <c r="Y80" s="1212"/>
      <c r="Z80" s="1211">
        <v>25</v>
      </c>
      <c r="AA80" s="1211"/>
      <c r="AB80" s="1212" t="s">
        <v>227</v>
      </c>
      <c r="AC80" s="1211">
        <v>32</v>
      </c>
      <c r="AD80" s="1211">
        <v>30</v>
      </c>
      <c r="AE80" s="1212">
        <v>28</v>
      </c>
      <c r="AF80" s="1211">
        <v>32</v>
      </c>
      <c r="AG80" s="1211">
        <v>25</v>
      </c>
      <c r="AH80" s="1212">
        <v>24</v>
      </c>
      <c r="AI80" s="1211">
        <v>50</v>
      </c>
      <c r="AJ80" s="1211">
        <v>44</v>
      </c>
      <c r="AK80" s="1212">
        <v>36</v>
      </c>
      <c r="AL80" s="1211">
        <v>40</v>
      </c>
      <c r="AM80" s="1211">
        <v>32</v>
      </c>
      <c r="AN80" s="1212">
        <v>32</v>
      </c>
      <c r="AO80" s="1211">
        <v>22</v>
      </c>
      <c r="AP80" s="1211">
        <v>23</v>
      </c>
      <c r="AQ80" s="1212">
        <v>22</v>
      </c>
    </row>
    <row r="81" spans="1:43" ht="15" customHeight="1" x14ac:dyDescent="0.25">
      <c r="A81" s="5544"/>
      <c r="B81" s="5474"/>
      <c r="C81" s="5539" t="s">
        <v>526</v>
      </c>
      <c r="D81" s="1446" t="s">
        <v>84</v>
      </c>
      <c r="E81" s="1210">
        <v>62</v>
      </c>
      <c r="F81" s="1211">
        <v>60</v>
      </c>
      <c r="G81" s="1211">
        <v>56</v>
      </c>
      <c r="H81" s="1210">
        <v>53</v>
      </c>
      <c r="I81" s="1211">
        <v>50</v>
      </c>
      <c r="J81" s="1211">
        <v>54</v>
      </c>
      <c r="K81" s="1210">
        <v>54</v>
      </c>
      <c r="L81" s="1211">
        <v>52</v>
      </c>
      <c r="M81" s="1212">
        <v>52</v>
      </c>
      <c r="N81" s="1211">
        <v>50</v>
      </c>
      <c r="O81" s="1211">
        <v>48</v>
      </c>
      <c r="P81" s="1212">
        <v>40</v>
      </c>
      <c r="Q81" s="1211">
        <v>33</v>
      </c>
      <c r="R81" s="1211">
        <v>43</v>
      </c>
      <c r="S81" s="1212">
        <v>48</v>
      </c>
      <c r="T81" s="1211">
        <v>49</v>
      </c>
      <c r="U81" s="1211">
        <v>47</v>
      </c>
      <c r="V81" s="1212">
        <v>49</v>
      </c>
      <c r="W81" s="1211">
        <v>63</v>
      </c>
      <c r="X81" s="1211">
        <v>62</v>
      </c>
      <c r="Y81" s="1212">
        <v>65</v>
      </c>
      <c r="Z81" s="1211">
        <v>67</v>
      </c>
      <c r="AA81" s="1211">
        <v>66</v>
      </c>
      <c r="AB81" s="1212">
        <v>70</v>
      </c>
      <c r="AC81" s="1211">
        <v>65</v>
      </c>
      <c r="AD81" s="1211">
        <v>59</v>
      </c>
      <c r="AE81" s="1212">
        <v>66</v>
      </c>
      <c r="AF81" s="1211">
        <v>60</v>
      </c>
      <c r="AG81" s="1211">
        <v>54</v>
      </c>
      <c r="AH81" s="1212">
        <v>65</v>
      </c>
      <c r="AI81" s="1211">
        <v>68</v>
      </c>
      <c r="AJ81" s="1211">
        <v>65</v>
      </c>
      <c r="AK81" s="1212">
        <v>64</v>
      </c>
      <c r="AL81" s="1211">
        <v>55</v>
      </c>
      <c r="AM81" s="1211">
        <v>46</v>
      </c>
      <c r="AN81" s="1212">
        <v>67</v>
      </c>
      <c r="AO81" s="1211">
        <v>62</v>
      </c>
      <c r="AP81" s="1211">
        <v>57</v>
      </c>
      <c r="AQ81" s="1212">
        <v>53</v>
      </c>
    </row>
    <row r="82" spans="1:43" ht="15" customHeight="1" x14ac:dyDescent="0.25">
      <c r="A82" s="5544"/>
      <c r="B82" s="5474"/>
      <c r="C82" s="5540"/>
      <c r="D82" s="1446" t="s">
        <v>85</v>
      </c>
      <c r="E82" s="1210">
        <v>71</v>
      </c>
      <c r="F82" s="1211">
        <v>70</v>
      </c>
      <c r="G82" s="1211">
        <v>84</v>
      </c>
      <c r="H82" s="1210">
        <v>71</v>
      </c>
      <c r="I82" s="1211">
        <v>97</v>
      </c>
      <c r="J82" s="1211">
        <v>87</v>
      </c>
      <c r="K82" s="1210">
        <v>83</v>
      </c>
      <c r="L82" s="1211">
        <v>83</v>
      </c>
      <c r="M82" s="1212">
        <v>81</v>
      </c>
      <c r="N82" s="1211">
        <v>81</v>
      </c>
      <c r="O82" s="1211">
        <v>77</v>
      </c>
      <c r="P82" s="1212">
        <v>78</v>
      </c>
      <c r="Q82" s="1211">
        <v>62</v>
      </c>
      <c r="R82" s="1211">
        <v>60</v>
      </c>
      <c r="S82" s="1212">
        <v>53</v>
      </c>
      <c r="T82" s="1211">
        <v>47</v>
      </c>
      <c r="U82" s="1211">
        <v>39</v>
      </c>
      <c r="V82" s="1212">
        <v>41</v>
      </c>
      <c r="W82" s="1211">
        <v>41</v>
      </c>
      <c r="X82" s="1211">
        <v>57</v>
      </c>
      <c r="Y82" s="1212">
        <v>52</v>
      </c>
      <c r="Z82" s="1211">
        <v>54</v>
      </c>
      <c r="AA82" s="1211">
        <v>53</v>
      </c>
      <c r="AB82" s="1212">
        <v>69</v>
      </c>
      <c r="AC82" s="1211">
        <v>84</v>
      </c>
      <c r="AD82" s="1211">
        <v>76</v>
      </c>
      <c r="AE82" s="1212">
        <v>74</v>
      </c>
      <c r="AF82" s="1211">
        <v>71</v>
      </c>
      <c r="AG82" s="1211">
        <v>71</v>
      </c>
      <c r="AH82" s="1212">
        <v>77</v>
      </c>
      <c r="AI82" s="1211">
        <v>75</v>
      </c>
      <c r="AJ82" s="1211">
        <v>69</v>
      </c>
      <c r="AK82" s="1212">
        <v>56</v>
      </c>
      <c r="AL82" s="1211">
        <v>54</v>
      </c>
      <c r="AM82" s="1211">
        <v>44</v>
      </c>
      <c r="AN82" s="1212">
        <v>50</v>
      </c>
      <c r="AO82" s="1211">
        <v>40</v>
      </c>
      <c r="AP82" s="1211">
        <v>37</v>
      </c>
      <c r="AQ82" s="1212">
        <v>41</v>
      </c>
    </row>
    <row r="83" spans="1:43" ht="15" customHeight="1" x14ac:dyDescent="0.25">
      <c r="A83" s="5544"/>
      <c r="B83" s="5474"/>
      <c r="C83" s="5540"/>
      <c r="D83" s="1446" t="s">
        <v>83</v>
      </c>
      <c r="E83" s="1210">
        <v>43</v>
      </c>
      <c r="F83" s="1211">
        <v>40</v>
      </c>
      <c r="G83" s="1211">
        <v>35</v>
      </c>
      <c r="H83" s="1210">
        <v>32</v>
      </c>
      <c r="I83" s="1211">
        <v>27</v>
      </c>
      <c r="J83" s="1211">
        <v>11</v>
      </c>
      <c r="K83" s="1210">
        <v>18</v>
      </c>
      <c r="L83" s="1211">
        <v>15</v>
      </c>
      <c r="M83" s="1212">
        <v>13</v>
      </c>
      <c r="N83" s="1211">
        <v>25</v>
      </c>
      <c r="O83" s="1211">
        <v>23</v>
      </c>
      <c r="P83" s="1212">
        <v>19</v>
      </c>
      <c r="Q83" s="1211">
        <v>38</v>
      </c>
      <c r="R83" s="1211">
        <v>37</v>
      </c>
      <c r="S83" s="1212">
        <v>36</v>
      </c>
      <c r="T83" s="1211">
        <v>35</v>
      </c>
      <c r="U83" s="1211">
        <v>28</v>
      </c>
      <c r="V83" s="1212">
        <v>65</v>
      </c>
      <c r="W83" s="1211">
        <v>60</v>
      </c>
      <c r="X83" s="1211">
        <v>67</v>
      </c>
      <c r="Y83" s="1212">
        <v>90</v>
      </c>
      <c r="Z83" s="1211">
        <v>81</v>
      </c>
      <c r="AA83" s="1211">
        <v>77</v>
      </c>
      <c r="AB83" s="1212">
        <v>111</v>
      </c>
      <c r="AC83" s="1211">
        <v>97</v>
      </c>
      <c r="AD83" s="1211">
        <v>94</v>
      </c>
      <c r="AE83" s="1212">
        <v>120</v>
      </c>
      <c r="AF83" s="1211">
        <v>111</v>
      </c>
      <c r="AG83" s="1211">
        <v>106</v>
      </c>
      <c r="AH83" s="1212">
        <v>117</v>
      </c>
      <c r="AI83" s="1211">
        <v>117</v>
      </c>
      <c r="AJ83" s="1211">
        <v>106</v>
      </c>
      <c r="AK83" s="1212">
        <v>119</v>
      </c>
      <c r="AL83" s="1211">
        <v>112</v>
      </c>
      <c r="AM83" s="1211">
        <v>106</v>
      </c>
      <c r="AN83" s="1212">
        <v>130</v>
      </c>
      <c r="AO83" s="1211">
        <v>106</v>
      </c>
      <c r="AP83" s="1211">
        <v>102</v>
      </c>
      <c r="AQ83" s="1212">
        <v>118</v>
      </c>
    </row>
    <row r="84" spans="1:43" ht="15" customHeight="1" x14ac:dyDescent="0.25">
      <c r="A84" s="5544"/>
      <c r="B84" s="5474"/>
      <c r="C84" s="5540"/>
      <c r="D84" s="1446" t="s">
        <v>86</v>
      </c>
      <c r="E84" s="1210">
        <v>48</v>
      </c>
      <c r="F84" s="1211">
        <v>44</v>
      </c>
      <c r="G84" s="1211">
        <v>43</v>
      </c>
      <c r="H84" s="1210">
        <v>40</v>
      </c>
      <c r="I84" s="1211">
        <v>40</v>
      </c>
      <c r="J84" s="1211">
        <v>43</v>
      </c>
      <c r="K84" s="1210">
        <v>41</v>
      </c>
      <c r="L84" s="1211">
        <v>39</v>
      </c>
      <c r="M84" s="1212">
        <v>38</v>
      </c>
      <c r="N84" s="1211">
        <v>34</v>
      </c>
      <c r="O84" s="1211">
        <v>34</v>
      </c>
      <c r="P84" s="1212">
        <v>40</v>
      </c>
      <c r="Q84" s="1211">
        <v>36</v>
      </c>
      <c r="R84" s="1211">
        <v>35</v>
      </c>
      <c r="S84" s="1212">
        <v>35</v>
      </c>
      <c r="T84" s="1211">
        <v>37</v>
      </c>
      <c r="U84" s="1211">
        <v>34</v>
      </c>
      <c r="V84" s="1212">
        <v>48</v>
      </c>
      <c r="W84" s="1211">
        <v>51</v>
      </c>
      <c r="X84" s="1211">
        <v>49</v>
      </c>
      <c r="Y84" s="1212">
        <v>46</v>
      </c>
      <c r="Z84" s="1211">
        <v>50</v>
      </c>
      <c r="AA84" s="1211">
        <v>49</v>
      </c>
      <c r="AB84" s="1212">
        <v>52</v>
      </c>
      <c r="AC84" s="1211">
        <v>52</v>
      </c>
      <c r="AD84" s="1211">
        <v>48</v>
      </c>
      <c r="AE84" s="1212">
        <v>44</v>
      </c>
      <c r="AF84" s="1211">
        <v>39</v>
      </c>
      <c r="AG84" s="1211">
        <v>36</v>
      </c>
      <c r="AH84" s="1212">
        <v>53</v>
      </c>
      <c r="AI84" s="1211">
        <v>52</v>
      </c>
      <c r="AJ84" s="1211">
        <v>51</v>
      </c>
      <c r="AK84" s="1212">
        <v>46</v>
      </c>
      <c r="AL84" s="1211">
        <v>43</v>
      </c>
      <c r="AM84" s="1211">
        <v>43</v>
      </c>
      <c r="AN84" s="1212">
        <v>70</v>
      </c>
      <c r="AO84" s="1211">
        <v>60</v>
      </c>
      <c r="AP84" s="1211">
        <v>59</v>
      </c>
      <c r="AQ84" s="1212">
        <v>55</v>
      </c>
    </row>
    <row r="85" spans="1:43" ht="15" customHeight="1" x14ac:dyDescent="0.25">
      <c r="A85" s="5544"/>
      <c r="B85" s="5474"/>
      <c r="C85" s="5540"/>
      <c r="D85" s="1447" t="s">
        <v>143</v>
      </c>
      <c r="E85" s="1213">
        <v>3</v>
      </c>
      <c r="F85" s="1214">
        <v>7</v>
      </c>
      <c r="G85" s="1214">
        <v>2</v>
      </c>
      <c r="H85" s="1213">
        <v>2</v>
      </c>
      <c r="I85" s="1214">
        <v>1</v>
      </c>
      <c r="J85" s="1214">
        <v>16</v>
      </c>
      <c r="K85" s="1213">
        <v>27</v>
      </c>
      <c r="L85" s="1214">
        <v>5</v>
      </c>
      <c r="M85" s="1215">
        <v>4</v>
      </c>
      <c r="N85" s="1214">
        <v>8</v>
      </c>
      <c r="O85" s="1214">
        <v>3</v>
      </c>
      <c r="P85" s="1215">
        <v>1</v>
      </c>
      <c r="Q85" s="1214">
        <v>11</v>
      </c>
      <c r="R85" s="1214"/>
      <c r="S85" s="1215"/>
      <c r="T85" s="1214">
        <v>19</v>
      </c>
      <c r="U85" s="1214"/>
      <c r="V85" s="1215"/>
      <c r="W85" s="1214">
        <v>32</v>
      </c>
      <c r="X85" s="1214">
        <v>1</v>
      </c>
      <c r="Y85" s="1215"/>
      <c r="Z85" s="1214">
        <v>41</v>
      </c>
      <c r="AA85" s="1214"/>
      <c r="AB85" s="1215" t="s">
        <v>227</v>
      </c>
      <c r="AC85" s="1214">
        <v>47</v>
      </c>
      <c r="AD85" s="1214">
        <v>44</v>
      </c>
      <c r="AE85" s="1215">
        <v>44</v>
      </c>
      <c r="AF85" s="1214">
        <v>56</v>
      </c>
      <c r="AG85" s="1214">
        <v>58</v>
      </c>
      <c r="AH85" s="1215">
        <v>54</v>
      </c>
      <c r="AI85" s="1214">
        <v>65</v>
      </c>
      <c r="AJ85" s="1214">
        <v>66</v>
      </c>
      <c r="AK85" s="1215">
        <v>64</v>
      </c>
      <c r="AL85" s="1214">
        <v>73</v>
      </c>
      <c r="AM85" s="1214">
        <v>66</v>
      </c>
      <c r="AN85" s="1215">
        <v>68</v>
      </c>
      <c r="AO85" s="1214">
        <v>77</v>
      </c>
      <c r="AP85" s="1214">
        <v>77</v>
      </c>
      <c r="AQ85" s="1215">
        <v>73</v>
      </c>
    </row>
    <row r="86" spans="1:43" ht="15" customHeight="1" x14ac:dyDescent="0.2">
      <c r="A86" s="5544"/>
      <c r="B86" s="5475"/>
      <c r="C86" s="1202"/>
      <c r="D86" s="1449" t="s">
        <v>160</v>
      </c>
      <c r="E86" s="1218">
        <f t="shared" ref="E86:AK86" si="14">SUM(E73:E85)</f>
        <v>348</v>
      </c>
      <c r="F86" s="1219">
        <f t="shared" si="14"/>
        <v>316</v>
      </c>
      <c r="G86" s="1219">
        <f t="shared" si="14"/>
        <v>370</v>
      </c>
      <c r="H86" s="1218">
        <f t="shared" si="14"/>
        <v>341</v>
      </c>
      <c r="I86" s="1219">
        <f t="shared" si="14"/>
        <v>334</v>
      </c>
      <c r="J86" s="1219">
        <f t="shared" si="14"/>
        <v>382</v>
      </c>
      <c r="K86" s="1218">
        <f t="shared" si="14"/>
        <v>435</v>
      </c>
      <c r="L86" s="1219">
        <f t="shared" si="14"/>
        <v>374</v>
      </c>
      <c r="M86" s="1220">
        <f t="shared" si="14"/>
        <v>310</v>
      </c>
      <c r="N86" s="1219">
        <f t="shared" si="14"/>
        <v>401</v>
      </c>
      <c r="O86" s="1219">
        <f t="shared" si="14"/>
        <v>373</v>
      </c>
      <c r="P86" s="1220">
        <f t="shared" si="14"/>
        <v>364</v>
      </c>
      <c r="Q86" s="1219">
        <f t="shared" si="14"/>
        <v>457</v>
      </c>
      <c r="R86" s="1219">
        <f t="shared" si="14"/>
        <v>407</v>
      </c>
      <c r="S86" s="1220">
        <f t="shared" si="14"/>
        <v>419</v>
      </c>
      <c r="T86" s="1219">
        <f t="shared" si="14"/>
        <v>454</v>
      </c>
      <c r="U86" s="1219">
        <f t="shared" si="14"/>
        <v>381</v>
      </c>
      <c r="V86" s="1220">
        <f t="shared" si="14"/>
        <v>554</v>
      </c>
      <c r="W86" s="1219">
        <f t="shared" si="14"/>
        <v>484</v>
      </c>
      <c r="X86" s="1219">
        <f t="shared" si="14"/>
        <v>547</v>
      </c>
      <c r="Y86" s="1220">
        <f t="shared" si="14"/>
        <v>570</v>
      </c>
      <c r="Z86" s="1219">
        <f t="shared" si="14"/>
        <v>575</v>
      </c>
      <c r="AA86" s="1219">
        <f t="shared" si="14"/>
        <v>425</v>
      </c>
      <c r="AB86" s="1220">
        <f t="shared" si="14"/>
        <v>655</v>
      </c>
      <c r="AC86" s="1219">
        <f t="shared" si="14"/>
        <v>679</v>
      </c>
      <c r="AD86" s="1219">
        <f t="shared" si="14"/>
        <v>590</v>
      </c>
      <c r="AE86" s="1220">
        <f t="shared" si="14"/>
        <v>630</v>
      </c>
      <c r="AF86" s="1219">
        <f t="shared" si="14"/>
        <v>599</v>
      </c>
      <c r="AG86" s="1219">
        <f t="shared" si="14"/>
        <v>558</v>
      </c>
      <c r="AH86" s="1220">
        <f t="shared" si="14"/>
        <v>602</v>
      </c>
      <c r="AI86" s="1219">
        <f t="shared" si="14"/>
        <v>595</v>
      </c>
      <c r="AJ86" s="1219">
        <f t="shared" si="14"/>
        <v>542</v>
      </c>
      <c r="AK86" s="1220">
        <f t="shared" si="14"/>
        <v>555</v>
      </c>
      <c r="AL86" s="1219">
        <f t="shared" ref="AL86:AQ86" si="15">SUM(AL73:AL85)</f>
        <v>534</v>
      </c>
      <c r="AM86" s="1219">
        <f t="shared" si="15"/>
        <v>498</v>
      </c>
      <c r="AN86" s="1220">
        <f t="shared" si="15"/>
        <v>604</v>
      </c>
      <c r="AO86" s="1219">
        <f t="shared" si="15"/>
        <v>537</v>
      </c>
      <c r="AP86" s="1219">
        <f t="shared" si="15"/>
        <v>516</v>
      </c>
      <c r="AQ86" s="1220">
        <f t="shared" si="15"/>
        <v>571</v>
      </c>
    </row>
    <row r="87" spans="1:43" ht="15" customHeight="1" x14ac:dyDescent="0.25">
      <c r="A87" s="5544"/>
      <c r="B87" s="5473" t="s">
        <v>11</v>
      </c>
      <c r="C87" s="5539" t="s">
        <v>528</v>
      </c>
      <c r="D87" s="1454" t="s">
        <v>56</v>
      </c>
      <c r="E87" s="1230">
        <v>7</v>
      </c>
      <c r="F87" s="1231">
        <v>9</v>
      </c>
      <c r="G87" s="1231">
        <v>6</v>
      </c>
      <c r="H87" s="1230">
        <v>5</v>
      </c>
      <c r="I87" s="1231">
        <v>6</v>
      </c>
      <c r="J87" s="1231">
        <v>6</v>
      </c>
      <c r="K87" s="1230">
        <v>6</v>
      </c>
      <c r="L87" s="1231">
        <v>9</v>
      </c>
      <c r="M87" s="1232">
        <v>13</v>
      </c>
      <c r="N87" s="1231">
        <v>21</v>
      </c>
      <c r="O87" s="1231">
        <v>24</v>
      </c>
      <c r="P87" s="1232">
        <v>25</v>
      </c>
      <c r="Q87" s="1231">
        <v>20</v>
      </c>
      <c r="R87" s="1231">
        <v>18</v>
      </c>
      <c r="S87" s="1232">
        <v>25</v>
      </c>
      <c r="T87" s="1231">
        <v>22</v>
      </c>
      <c r="U87" s="1231">
        <v>24</v>
      </c>
      <c r="V87" s="1232">
        <v>20</v>
      </c>
      <c r="W87" s="1231">
        <v>18</v>
      </c>
      <c r="X87" s="1231">
        <v>20</v>
      </c>
      <c r="Y87" s="1232">
        <v>19</v>
      </c>
      <c r="Z87" s="1231">
        <v>24</v>
      </c>
      <c r="AA87" s="1231">
        <v>24</v>
      </c>
      <c r="AB87" s="1232">
        <v>27</v>
      </c>
      <c r="AC87" s="1231">
        <v>26</v>
      </c>
      <c r="AD87" s="1231">
        <v>24</v>
      </c>
      <c r="AE87" s="1232">
        <v>26</v>
      </c>
      <c r="AF87" s="1231">
        <v>26</v>
      </c>
      <c r="AG87" s="1231">
        <v>35</v>
      </c>
      <c r="AH87" s="1232">
        <v>31</v>
      </c>
      <c r="AI87" s="1231">
        <v>26</v>
      </c>
      <c r="AJ87" s="1231">
        <v>22</v>
      </c>
      <c r="AK87" s="1232">
        <v>16</v>
      </c>
      <c r="AL87" s="1231">
        <v>15</v>
      </c>
      <c r="AM87" s="1231">
        <v>15</v>
      </c>
      <c r="AN87" s="1232">
        <v>20</v>
      </c>
      <c r="AO87" s="1231">
        <v>17</v>
      </c>
      <c r="AP87" s="1231">
        <v>25</v>
      </c>
      <c r="AQ87" s="1232">
        <v>10</v>
      </c>
    </row>
    <row r="88" spans="1:43" ht="15" customHeight="1" x14ac:dyDescent="0.25">
      <c r="A88" s="5544"/>
      <c r="B88" s="5474"/>
      <c r="C88" s="5541"/>
      <c r="D88" s="1455" t="s">
        <v>57</v>
      </c>
      <c r="E88" s="1210">
        <v>22</v>
      </c>
      <c r="F88" s="1211">
        <v>20</v>
      </c>
      <c r="G88" s="1211">
        <v>25</v>
      </c>
      <c r="H88" s="1210">
        <v>22</v>
      </c>
      <c r="I88" s="1211">
        <v>23</v>
      </c>
      <c r="J88" s="1211">
        <v>34</v>
      </c>
      <c r="K88" s="1210">
        <v>26</v>
      </c>
      <c r="L88" s="1211">
        <v>24</v>
      </c>
      <c r="M88" s="1212">
        <v>22</v>
      </c>
      <c r="N88" s="1211">
        <v>19</v>
      </c>
      <c r="O88" s="1211">
        <v>18</v>
      </c>
      <c r="P88" s="1212">
        <v>13</v>
      </c>
      <c r="Q88" s="1211">
        <v>14</v>
      </c>
      <c r="R88" s="1211">
        <v>27</v>
      </c>
      <c r="S88" s="1212">
        <v>22</v>
      </c>
      <c r="T88" s="1211">
        <v>18</v>
      </c>
      <c r="U88" s="1211">
        <v>14</v>
      </c>
      <c r="V88" s="1212">
        <v>24</v>
      </c>
      <c r="W88" s="1211">
        <v>23</v>
      </c>
      <c r="X88" s="1211">
        <v>19</v>
      </c>
      <c r="Y88" s="1212">
        <v>20</v>
      </c>
      <c r="Z88" s="1211">
        <v>18</v>
      </c>
      <c r="AA88" s="1211">
        <v>17</v>
      </c>
      <c r="AB88" s="1212">
        <v>19</v>
      </c>
      <c r="AC88" s="1211">
        <v>12</v>
      </c>
      <c r="AD88" s="1211">
        <v>7</v>
      </c>
      <c r="AE88" s="1212">
        <v>15</v>
      </c>
      <c r="AF88" s="1211">
        <v>12</v>
      </c>
      <c r="AG88" s="1211">
        <v>12</v>
      </c>
      <c r="AH88" s="1212">
        <v>22</v>
      </c>
      <c r="AI88" s="1211">
        <v>20</v>
      </c>
      <c r="AJ88" s="1211">
        <v>17</v>
      </c>
      <c r="AK88" s="1212">
        <v>25</v>
      </c>
      <c r="AL88" s="1211">
        <v>24</v>
      </c>
      <c r="AM88" s="1211">
        <v>20</v>
      </c>
      <c r="AN88" s="1212">
        <v>21</v>
      </c>
      <c r="AO88" s="1211">
        <v>22</v>
      </c>
      <c r="AP88" s="1211">
        <v>16</v>
      </c>
      <c r="AQ88" s="1212">
        <v>25</v>
      </c>
    </row>
    <row r="89" spans="1:43" ht="15" customHeight="1" x14ac:dyDescent="0.25">
      <c r="A89" s="5544"/>
      <c r="B89" s="5474"/>
      <c r="C89" s="5539" t="s">
        <v>527</v>
      </c>
      <c r="D89" s="1451" t="s">
        <v>384</v>
      </c>
      <c r="E89" s="1210">
        <v>38</v>
      </c>
      <c r="F89" s="1211">
        <v>38</v>
      </c>
      <c r="G89" s="1211">
        <v>54</v>
      </c>
      <c r="H89" s="1210">
        <v>47</v>
      </c>
      <c r="I89" s="1211">
        <v>47</v>
      </c>
      <c r="J89" s="1211">
        <v>35</v>
      </c>
      <c r="K89" s="1210">
        <v>30</v>
      </c>
      <c r="L89" s="1211">
        <v>28</v>
      </c>
      <c r="M89" s="1212">
        <v>39</v>
      </c>
      <c r="N89" s="1211">
        <v>30</v>
      </c>
      <c r="O89" s="1211">
        <v>30</v>
      </c>
      <c r="P89" s="1212">
        <v>44</v>
      </c>
      <c r="Q89" s="1211">
        <v>46</v>
      </c>
      <c r="R89" s="1211">
        <v>38</v>
      </c>
      <c r="S89" s="1212">
        <v>61</v>
      </c>
      <c r="T89" s="1211">
        <v>43</v>
      </c>
      <c r="U89" s="1211">
        <v>40</v>
      </c>
      <c r="V89" s="1212">
        <v>57</v>
      </c>
      <c r="W89" s="1211">
        <v>49</v>
      </c>
      <c r="X89" s="1211">
        <v>47</v>
      </c>
      <c r="Y89" s="1212">
        <v>65</v>
      </c>
      <c r="Z89" s="1211">
        <v>43</v>
      </c>
      <c r="AA89" s="1211">
        <v>33</v>
      </c>
      <c r="AB89" s="1212">
        <v>47</v>
      </c>
      <c r="AC89" s="1211">
        <v>47</v>
      </c>
      <c r="AD89" s="1211">
        <v>56</v>
      </c>
      <c r="AE89" s="1212">
        <v>48</v>
      </c>
      <c r="AF89" s="1211">
        <v>48</v>
      </c>
      <c r="AG89" s="1211">
        <v>43</v>
      </c>
      <c r="AH89" s="1212">
        <v>46</v>
      </c>
      <c r="AI89" s="1211">
        <v>40</v>
      </c>
      <c r="AJ89" s="1211">
        <v>40</v>
      </c>
      <c r="AK89" s="1212">
        <v>54</v>
      </c>
      <c r="AL89" s="1211">
        <v>50</v>
      </c>
      <c r="AM89" s="1211">
        <v>46</v>
      </c>
      <c r="AN89" s="1212">
        <v>57</v>
      </c>
      <c r="AO89" s="1211">
        <v>51</v>
      </c>
      <c r="AP89" s="1211">
        <v>49</v>
      </c>
      <c r="AQ89" s="1212">
        <v>48</v>
      </c>
    </row>
    <row r="90" spans="1:43" ht="15" customHeight="1" x14ac:dyDescent="0.25">
      <c r="A90" s="5544"/>
      <c r="B90" s="5474"/>
      <c r="C90" s="5540"/>
      <c r="D90" s="1455" t="s">
        <v>386</v>
      </c>
      <c r="E90" s="1210">
        <v>5</v>
      </c>
      <c r="F90" s="1211">
        <v>5</v>
      </c>
      <c r="G90" s="1211">
        <v>5</v>
      </c>
      <c r="H90" s="1210">
        <v>1</v>
      </c>
      <c r="I90" s="1211">
        <v>1</v>
      </c>
      <c r="J90" s="1211">
        <v>1</v>
      </c>
      <c r="K90" s="1210"/>
      <c r="L90" s="1211"/>
      <c r="M90" s="1212"/>
      <c r="N90" s="1211"/>
      <c r="O90" s="1211"/>
      <c r="P90" s="1212"/>
      <c r="Q90" s="1211"/>
      <c r="R90" s="1211"/>
      <c r="S90" s="1212"/>
      <c r="T90" s="1211"/>
      <c r="U90" s="1211"/>
      <c r="V90" s="1212"/>
      <c r="W90" s="1211"/>
      <c r="X90" s="1211">
        <v>1</v>
      </c>
      <c r="Y90" s="1212">
        <v>1</v>
      </c>
      <c r="Z90" s="1211">
        <v>1</v>
      </c>
      <c r="AA90" s="1211" t="s">
        <v>227</v>
      </c>
      <c r="AB90" s="1212" t="s">
        <v>227</v>
      </c>
      <c r="AC90" s="1211"/>
      <c r="AD90" s="1211"/>
      <c r="AE90" s="1212"/>
      <c r="AF90" s="1211">
        <v>8</v>
      </c>
      <c r="AG90" s="1211">
        <v>8</v>
      </c>
      <c r="AH90" s="1212">
        <v>16</v>
      </c>
      <c r="AI90" s="1211">
        <v>16</v>
      </c>
      <c r="AJ90" s="1211">
        <v>16</v>
      </c>
      <c r="AK90" s="1212">
        <v>26</v>
      </c>
      <c r="AL90" s="1211">
        <v>26</v>
      </c>
      <c r="AM90" s="1211">
        <v>24</v>
      </c>
      <c r="AN90" s="1212">
        <v>35</v>
      </c>
      <c r="AO90" s="1211">
        <v>27</v>
      </c>
      <c r="AP90" s="1211">
        <v>26</v>
      </c>
      <c r="AQ90" s="1212">
        <v>39</v>
      </c>
    </row>
    <row r="91" spans="1:43" ht="15" customHeight="1" x14ac:dyDescent="0.25">
      <c r="A91" s="5544"/>
      <c r="B91" s="5474"/>
      <c r="C91" s="5540"/>
      <c r="D91" s="1451" t="s">
        <v>387</v>
      </c>
      <c r="E91" s="1210">
        <v>24</v>
      </c>
      <c r="F91" s="1211">
        <v>24</v>
      </c>
      <c r="G91" s="1211">
        <v>22</v>
      </c>
      <c r="H91" s="1210">
        <v>24</v>
      </c>
      <c r="I91" s="1211">
        <v>22</v>
      </c>
      <c r="J91" s="1211">
        <v>20</v>
      </c>
      <c r="K91" s="1210">
        <v>20</v>
      </c>
      <c r="L91" s="1211">
        <v>18</v>
      </c>
      <c r="M91" s="1212">
        <v>22</v>
      </c>
      <c r="N91" s="1211">
        <v>17</v>
      </c>
      <c r="O91" s="1211">
        <v>15</v>
      </c>
      <c r="P91" s="1212">
        <v>22</v>
      </c>
      <c r="Q91" s="1211">
        <v>20</v>
      </c>
      <c r="R91" s="1211">
        <v>18</v>
      </c>
      <c r="S91" s="1212">
        <v>34</v>
      </c>
      <c r="T91" s="1211">
        <v>30</v>
      </c>
      <c r="U91" s="1211">
        <v>27</v>
      </c>
      <c r="V91" s="1212">
        <v>40</v>
      </c>
      <c r="W91" s="1211">
        <v>30</v>
      </c>
      <c r="X91" s="1211">
        <v>29</v>
      </c>
      <c r="Y91" s="1212">
        <v>50</v>
      </c>
      <c r="Z91" s="1211">
        <v>44</v>
      </c>
      <c r="AA91" s="1211">
        <v>39</v>
      </c>
      <c r="AB91" s="1212">
        <v>57</v>
      </c>
      <c r="AC91" s="1211">
        <v>58</v>
      </c>
      <c r="AD91" s="1211">
        <v>43</v>
      </c>
      <c r="AE91" s="1212">
        <v>66</v>
      </c>
      <c r="AF91" s="1211">
        <v>54</v>
      </c>
      <c r="AG91" s="1211">
        <v>48</v>
      </c>
      <c r="AH91" s="1212">
        <v>59</v>
      </c>
      <c r="AI91" s="1211">
        <v>47</v>
      </c>
      <c r="AJ91" s="1211">
        <v>45</v>
      </c>
      <c r="AK91" s="1212">
        <v>52</v>
      </c>
      <c r="AL91" s="1211">
        <v>41</v>
      </c>
      <c r="AM91" s="1211">
        <v>36</v>
      </c>
      <c r="AN91" s="1212">
        <v>47</v>
      </c>
      <c r="AO91" s="1211">
        <v>38</v>
      </c>
      <c r="AP91" s="1211">
        <v>35</v>
      </c>
      <c r="AQ91" s="1212">
        <v>39</v>
      </c>
    </row>
    <row r="92" spans="1:43" ht="15" customHeight="1" x14ac:dyDescent="0.25">
      <c r="A92" s="5544"/>
      <c r="B92" s="5474"/>
      <c r="C92" s="5541"/>
      <c r="D92" s="1455" t="s">
        <v>87</v>
      </c>
      <c r="E92" s="1210">
        <v>33</v>
      </c>
      <c r="F92" s="1211">
        <v>33</v>
      </c>
      <c r="G92" s="1211">
        <v>39</v>
      </c>
      <c r="H92" s="1210">
        <v>33</v>
      </c>
      <c r="I92" s="1211">
        <v>27</v>
      </c>
      <c r="J92" s="1211">
        <v>33</v>
      </c>
      <c r="K92" s="1210">
        <v>23</v>
      </c>
      <c r="L92" s="1211">
        <v>20</v>
      </c>
      <c r="M92" s="1212">
        <v>25</v>
      </c>
      <c r="N92" s="1211">
        <v>19</v>
      </c>
      <c r="O92" s="1211">
        <v>17</v>
      </c>
      <c r="P92" s="1212">
        <v>25</v>
      </c>
      <c r="Q92" s="1211">
        <v>22</v>
      </c>
      <c r="R92" s="1211">
        <v>22</v>
      </c>
      <c r="S92" s="1212">
        <v>31</v>
      </c>
      <c r="T92" s="1211">
        <v>32</v>
      </c>
      <c r="U92" s="1211">
        <v>27</v>
      </c>
      <c r="V92" s="1212">
        <v>47</v>
      </c>
      <c r="W92" s="1211">
        <v>44</v>
      </c>
      <c r="X92" s="1211">
        <v>45</v>
      </c>
      <c r="Y92" s="1212">
        <v>50</v>
      </c>
      <c r="Z92" s="1211">
        <v>46</v>
      </c>
      <c r="AA92" s="1211">
        <v>42</v>
      </c>
      <c r="AB92" s="1212">
        <v>49</v>
      </c>
      <c r="AC92" s="1211">
        <v>46</v>
      </c>
      <c r="AD92" s="1211">
        <v>40</v>
      </c>
      <c r="AE92" s="1212">
        <v>60</v>
      </c>
      <c r="AF92" s="1211">
        <v>55</v>
      </c>
      <c r="AG92" s="1211">
        <v>52</v>
      </c>
      <c r="AH92" s="1212">
        <v>56</v>
      </c>
      <c r="AI92" s="1211">
        <v>56</v>
      </c>
      <c r="AJ92" s="1211">
        <v>55</v>
      </c>
      <c r="AK92" s="1212">
        <v>69</v>
      </c>
      <c r="AL92" s="1211">
        <v>62</v>
      </c>
      <c r="AM92" s="1211">
        <v>52</v>
      </c>
      <c r="AN92" s="1212">
        <v>59</v>
      </c>
      <c r="AO92" s="1211">
        <v>56</v>
      </c>
      <c r="AP92" s="1211">
        <v>58</v>
      </c>
      <c r="AQ92" s="1212">
        <v>66</v>
      </c>
    </row>
    <row r="93" spans="1:43" ht="15" customHeight="1" x14ac:dyDescent="0.25">
      <c r="A93" s="5544"/>
      <c r="B93" s="5474"/>
      <c r="C93" s="5539" t="s">
        <v>526</v>
      </c>
      <c r="D93" s="1451" t="s">
        <v>385</v>
      </c>
      <c r="E93" s="1210">
        <v>54</v>
      </c>
      <c r="F93" s="1211">
        <v>50</v>
      </c>
      <c r="G93" s="1211">
        <v>49</v>
      </c>
      <c r="H93" s="1210">
        <v>48</v>
      </c>
      <c r="I93" s="1211">
        <v>45</v>
      </c>
      <c r="J93" s="1211">
        <v>55</v>
      </c>
      <c r="K93" s="1210">
        <v>62</v>
      </c>
      <c r="L93" s="1211">
        <v>61</v>
      </c>
      <c r="M93" s="1212">
        <v>67</v>
      </c>
      <c r="N93" s="1211">
        <v>69</v>
      </c>
      <c r="O93" s="1211">
        <v>68</v>
      </c>
      <c r="P93" s="1212">
        <v>69</v>
      </c>
      <c r="Q93" s="1211">
        <v>67</v>
      </c>
      <c r="R93" s="1211">
        <v>71</v>
      </c>
      <c r="S93" s="1212">
        <v>65</v>
      </c>
      <c r="T93" s="1211">
        <v>72</v>
      </c>
      <c r="U93" s="1211">
        <v>68</v>
      </c>
      <c r="V93" s="1212">
        <v>77</v>
      </c>
      <c r="W93" s="1211">
        <v>82</v>
      </c>
      <c r="X93" s="1211">
        <v>77</v>
      </c>
      <c r="Y93" s="1212">
        <v>73</v>
      </c>
      <c r="Z93" s="1211">
        <v>97</v>
      </c>
      <c r="AA93" s="1211">
        <v>86</v>
      </c>
      <c r="AB93" s="1212">
        <v>91</v>
      </c>
      <c r="AC93" s="1211">
        <v>90</v>
      </c>
      <c r="AD93" s="1211">
        <v>81</v>
      </c>
      <c r="AE93" s="1212">
        <v>97</v>
      </c>
      <c r="AF93" s="1211">
        <v>98</v>
      </c>
      <c r="AG93" s="1211">
        <v>94</v>
      </c>
      <c r="AH93" s="1212">
        <v>103</v>
      </c>
      <c r="AI93" s="1211">
        <v>103</v>
      </c>
      <c r="AJ93" s="1211">
        <v>96</v>
      </c>
      <c r="AK93" s="1212">
        <v>101</v>
      </c>
      <c r="AL93" s="1211">
        <v>105</v>
      </c>
      <c r="AM93" s="1211">
        <v>100</v>
      </c>
      <c r="AN93" s="1212">
        <v>100</v>
      </c>
      <c r="AO93" s="1211">
        <v>96</v>
      </c>
      <c r="AP93" s="1211">
        <v>93</v>
      </c>
      <c r="AQ93" s="1212">
        <v>105</v>
      </c>
    </row>
    <row r="94" spans="1:43" ht="15" customHeight="1" x14ac:dyDescent="0.25">
      <c r="A94" s="5544"/>
      <c r="B94" s="5474"/>
      <c r="C94" s="5540"/>
      <c r="D94" s="1451" t="s">
        <v>388</v>
      </c>
      <c r="E94" s="1210">
        <v>21</v>
      </c>
      <c r="F94" s="1211">
        <v>21</v>
      </c>
      <c r="G94" s="1211">
        <v>21</v>
      </c>
      <c r="H94" s="1210">
        <v>26</v>
      </c>
      <c r="I94" s="1211">
        <v>26</v>
      </c>
      <c r="J94" s="1211">
        <v>24</v>
      </c>
      <c r="K94" s="1210">
        <v>32</v>
      </c>
      <c r="L94" s="1211">
        <v>31</v>
      </c>
      <c r="M94" s="1212">
        <v>33</v>
      </c>
      <c r="N94" s="1211">
        <v>32</v>
      </c>
      <c r="O94" s="1211">
        <v>32</v>
      </c>
      <c r="P94" s="1212">
        <v>31</v>
      </c>
      <c r="Q94" s="1211">
        <v>34</v>
      </c>
      <c r="R94" s="1211">
        <v>36</v>
      </c>
      <c r="S94" s="1212">
        <v>37</v>
      </c>
      <c r="T94" s="1211">
        <v>36</v>
      </c>
      <c r="U94" s="1211">
        <v>33</v>
      </c>
      <c r="V94" s="1212">
        <v>34</v>
      </c>
      <c r="W94" s="1211">
        <v>40</v>
      </c>
      <c r="X94" s="1211">
        <v>37</v>
      </c>
      <c r="Y94" s="1212">
        <v>38</v>
      </c>
      <c r="Z94" s="1211">
        <v>41</v>
      </c>
      <c r="AA94" s="1211">
        <v>41</v>
      </c>
      <c r="AB94" s="1212">
        <v>45</v>
      </c>
      <c r="AC94" s="1211">
        <v>47</v>
      </c>
      <c r="AD94" s="1211">
        <v>46</v>
      </c>
      <c r="AE94" s="1212">
        <v>54</v>
      </c>
      <c r="AF94" s="1211">
        <v>63</v>
      </c>
      <c r="AG94" s="1211">
        <v>60</v>
      </c>
      <c r="AH94" s="1212">
        <v>61</v>
      </c>
      <c r="AI94" s="1211">
        <v>66</v>
      </c>
      <c r="AJ94" s="1211">
        <v>65</v>
      </c>
      <c r="AK94" s="1212">
        <v>64</v>
      </c>
      <c r="AL94" s="1211">
        <v>67</v>
      </c>
      <c r="AM94" s="1211">
        <v>64</v>
      </c>
      <c r="AN94" s="1212">
        <v>66</v>
      </c>
      <c r="AO94" s="1211">
        <v>68</v>
      </c>
      <c r="AP94" s="1211">
        <v>62</v>
      </c>
      <c r="AQ94" s="1212">
        <v>60</v>
      </c>
    </row>
    <row r="95" spans="1:43" ht="15" customHeight="1" x14ac:dyDescent="0.25">
      <c r="A95" s="5544"/>
      <c r="B95" s="5474"/>
      <c r="C95" s="5540"/>
      <c r="D95" s="1447" t="s">
        <v>361</v>
      </c>
      <c r="E95" s="1213">
        <v>75</v>
      </c>
      <c r="F95" s="1214">
        <v>77</v>
      </c>
      <c r="G95" s="1214">
        <v>69</v>
      </c>
      <c r="H95" s="1213">
        <v>76</v>
      </c>
      <c r="I95" s="1214">
        <v>72</v>
      </c>
      <c r="J95" s="1214">
        <v>58</v>
      </c>
      <c r="K95" s="1213">
        <v>62</v>
      </c>
      <c r="L95" s="1214">
        <v>63</v>
      </c>
      <c r="M95" s="1215">
        <v>54</v>
      </c>
      <c r="N95" s="1214">
        <v>54</v>
      </c>
      <c r="O95" s="1214">
        <v>47</v>
      </c>
      <c r="P95" s="1215">
        <v>50</v>
      </c>
      <c r="Q95" s="1214">
        <v>51</v>
      </c>
      <c r="R95" s="1214">
        <v>44</v>
      </c>
      <c r="S95" s="1215">
        <v>41</v>
      </c>
      <c r="T95" s="1214">
        <v>39</v>
      </c>
      <c r="U95" s="1214">
        <v>33</v>
      </c>
      <c r="V95" s="1215">
        <v>41</v>
      </c>
      <c r="W95" s="1214">
        <v>41</v>
      </c>
      <c r="X95" s="1214">
        <v>47</v>
      </c>
      <c r="Y95" s="1215">
        <v>52</v>
      </c>
      <c r="Z95" s="1214">
        <v>50</v>
      </c>
      <c r="AA95" s="1214">
        <v>51</v>
      </c>
      <c r="AB95" s="1215">
        <v>60</v>
      </c>
      <c r="AC95" s="1214">
        <v>61</v>
      </c>
      <c r="AD95" s="1214">
        <v>54</v>
      </c>
      <c r="AE95" s="1215">
        <v>58</v>
      </c>
      <c r="AF95" s="1214">
        <v>68</v>
      </c>
      <c r="AG95" s="1214">
        <v>64</v>
      </c>
      <c r="AH95" s="1215">
        <v>75</v>
      </c>
      <c r="AI95" s="1214">
        <v>77</v>
      </c>
      <c r="AJ95" s="1214">
        <v>77</v>
      </c>
      <c r="AK95" s="1215">
        <v>79</v>
      </c>
      <c r="AL95" s="1214">
        <v>86</v>
      </c>
      <c r="AM95" s="1214">
        <v>85</v>
      </c>
      <c r="AN95" s="1215">
        <v>95</v>
      </c>
      <c r="AO95" s="1214">
        <v>102</v>
      </c>
      <c r="AP95" s="1214">
        <v>93</v>
      </c>
      <c r="AQ95" s="1215">
        <v>99</v>
      </c>
    </row>
    <row r="96" spans="1:43" ht="15" customHeight="1" x14ac:dyDescent="0.2">
      <c r="A96" s="5544"/>
      <c r="B96" s="5475"/>
      <c r="C96" s="1202"/>
      <c r="D96" s="1449" t="s">
        <v>160</v>
      </c>
      <c r="E96" s="1218">
        <f t="shared" ref="E96:AK96" si="16">SUM(E87:E95)</f>
        <v>279</v>
      </c>
      <c r="F96" s="1219">
        <f t="shared" si="16"/>
        <v>277</v>
      </c>
      <c r="G96" s="1219">
        <f t="shared" si="16"/>
        <v>290</v>
      </c>
      <c r="H96" s="1218">
        <f t="shared" si="16"/>
        <v>282</v>
      </c>
      <c r="I96" s="1219">
        <f t="shared" si="16"/>
        <v>269</v>
      </c>
      <c r="J96" s="1219">
        <f t="shared" si="16"/>
        <v>266</v>
      </c>
      <c r="K96" s="1218">
        <f t="shared" si="16"/>
        <v>261</v>
      </c>
      <c r="L96" s="1219">
        <f t="shared" si="16"/>
        <v>254</v>
      </c>
      <c r="M96" s="1220">
        <f t="shared" si="16"/>
        <v>275</v>
      </c>
      <c r="N96" s="1219">
        <f t="shared" si="16"/>
        <v>261</v>
      </c>
      <c r="O96" s="1219">
        <f t="shared" si="16"/>
        <v>251</v>
      </c>
      <c r="P96" s="1220">
        <f t="shared" si="16"/>
        <v>279</v>
      </c>
      <c r="Q96" s="1219">
        <f t="shared" si="16"/>
        <v>274</v>
      </c>
      <c r="R96" s="1219">
        <f t="shared" si="16"/>
        <v>274</v>
      </c>
      <c r="S96" s="1220">
        <f t="shared" si="16"/>
        <v>316</v>
      </c>
      <c r="T96" s="1219">
        <f t="shared" si="16"/>
        <v>292</v>
      </c>
      <c r="U96" s="1219">
        <f t="shared" si="16"/>
        <v>266</v>
      </c>
      <c r="V96" s="1220">
        <f t="shared" si="16"/>
        <v>340</v>
      </c>
      <c r="W96" s="1219">
        <f t="shared" si="16"/>
        <v>327</v>
      </c>
      <c r="X96" s="1219">
        <f t="shared" si="16"/>
        <v>322</v>
      </c>
      <c r="Y96" s="1220">
        <f t="shared" si="16"/>
        <v>368</v>
      </c>
      <c r="Z96" s="1219">
        <f t="shared" si="16"/>
        <v>364</v>
      </c>
      <c r="AA96" s="1219">
        <f t="shared" si="16"/>
        <v>333</v>
      </c>
      <c r="AB96" s="1220">
        <f t="shared" si="16"/>
        <v>395</v>
      </c>
      <c r="AC96" s="1219">
        <f t="shared" si="16"/>
        <v>387</v>
      </c>
      <c r="AD96" s="1219">
        <f t="shared" si="16"/>
        <v>351</v>
      </c>
      <c r="AE96" s="1220">
        <f t="shared" si="16"/>
        <v>424</v>
      </c>
      <c r="AF96" s="1219">
        <f t="shared" si="16"/>
        <v>432</v>
      </c>
      <c r="AG96" s="1219">
        <f t="shared" si="16"/>
        <v>416</v>
      </c>
      <c r="AH96" s="1220">
        <f t="shared" si="16"/>
        <v>469</v>
      </c>
      <c r="AI96" s="1219">
        <f t="shared" si="16"/>
        <v>451</v>
      </c>
      <c r="AJ96" s="1219">
        <f t="shared" si="16"/>
        <v>433</v>
      </c>
      <c r="AK96" s="1220">
        <f t="shared" si="16"/>
        <v>486</v>
      </c>
      <c r="AL96" s="1219">
        <f t="shared" ref="AL96:AQ96" si="17">SUM(AL87:AL95)</f>
        <v>476</v>
      </c>
      <c r="AM96" s="1219">
        <f t="shared" si="17"/>
        <v>442</v>
      </c>
      <c r="AN96" s="1220">
        <f t="shared" si="17"/>
        <v>500</v>
      </c>
      <c r="AO96" s="1219">
        <f t="shared" si="17"/>
        <v>477</v>
      </c>
      <c r="AP96" s="1219">
        <f t="shared" si="17"/>
        <v>457</v>
      </c>
      <c r="AQ96" s="1220">
        <f t="shared" si="17"/>
        <v>491</v>
      </c>
    </row>
    <row r="97" spans="1:43" ht="15" customHeight="1" x14ac:dyDescent="0.2">
      <c r="A97" s="5545"/>
      <c r="B97" s="2642"/>
      <c r="C97" s="2643"/>
      <c r="D97" s="2663" t="s">
        <v>450</v>
      </c>
      <c r="E97" s="2603">
        <f t="shared" ref="E97:AK97" si="18">SUM(E96,E86,E72)</f>
        <v>906</v>
      </c>
      <c r="F97" s="2604">
        <f t="shared" si="18"/>
        <v>865</v>
      </c>
      <c r="G97" s="2604">
        <f t="shared" si="18"/>
        <v>950</v>
      </c>
      <c r="H97" s="2603">
        <f t="shared" si="18"/>
        <v>904</v>
      </c>
      <c r="I97" s="2604">
        <f t="shared" si="18"/>
        <v>879</v>
      </c>
      <c r="J97" s="2604">
        <f t="shared" si="18"/>
        <v>947</v>
      </c>
      <c r="K97" s="2603">
        <f t="shared" si="18"/>
        <v>1002</v>
      </c>
      <c r="L97" s="2604">
        <f t="shared" si="18"/>
        <v>942</v>
      </c>
      <c r="M97" s="2605">
        <f t="shared" si="18"/>
        <v>930</v>
      </c>
      <c r="N97" s="2604">
        <f t="shared" si="18"/>
        <v>1007</v>
      </c>
      <c r="O97" s="2604">
        <f t="shared" si="18"/>
        <v>968</v>
      </c>
      <c r="P97" s="2605">
        <f t="shared" si="18"/>
        <v>1022</v>
      </c>
      <c r="Q97" s="2604">
        <f t="shared" si="18"/>
        <v>1110</v>
      </c>
      <c r="R97" s="2604">
        <f t="shared" si="18"/>
        <v>1040</v>
      </c>
      <c r="S97" s="2605">
        <f t="shared" si="18"/>
        <v>1091</v>
      </c>
      <c r="T97" s="2604">
        <f t="shared" si="18"/>
        <v>1097</v>
      </c>
      <c r="U97" s="2604">
        <f t="shared" si="18"/>
        <v>973</v>
      </c>
      <c r="V97" s="2605">
        <f t="shared" si="18"/>
        <v>1252</v>
      </c>
      <c r="W97" s="2604">
        <f t="shared" si="18"/>
        <v>1146</v>
      </c>
      <c r="X97" s="2604">
        <f t="shared" si="18"/>
        <v>1194</v>
      </c>
      <c r="Y97" s="2605">
        <f t="shared" si="18"/>
        <v>1303</v>
      </c>
      <c r="Z97" s="2604">
        <f t="shared" si="18"/>
        <v>1304</v>
      </c>
      <c r="AA97" s="2604">
        <f t="shared" si="18"/>
        <v>1111</v>
      </c>
      <c r="AB97" s="2605">
        <f t="shared" si="18"/>
        <v>1434</v>
      </c>
      <c r="AC97" s="2604">
        <f t="shared" si="18"/>
        <v>1537</v>
      </c>
      <c r="AD97" s="2604">
        <f t="shared" si="18"/>
        <v>1362</v>
      </c>
      <c r="AE97" s="2605">
        <f t="shared" si="18"/>
        <v>1552</v>
      </c>
      <c r="AF97" s="2604">
        <f t="shared" si="18"/>
        <v>1531</v>
      </c>
      <c r="AG97" s="2604">
        <f t="shared" si="18"/>
        <v>1458</v>
      </c>
      <c r="AH97" s="2605">
        <f t="shared" si="18"/>
        <v>1522</v>
      </c>
      <c r="AI97" s="2604">
        <f t="shared" si="18"/>
        <v>1597</v>
      </c>
      <c r="AJ97" s="2604">
        <f t="shared" si="18"/>
        <v>1543</v>
      </c>
      <c r="AK97" s="2605">
        <f t="shared" si="18"/>
        <v>1616</v>
      </c>
      <c r="AL97" s="2604">
        <f t="shared" ref="AL97:AQ97" si="19">SUM(AL96,AL86,AL72)</f>
        <v>1567</v>
      </c>
      <c r="AM97" s="2604">
        <f t="shared" si="19"/>
        <v>1464</v>
      </c>
      <c r="AN97" s="2605">
        <f t="shared" si="19"/>
        <v>1679</v>
      </c>
      <c r="AO97" s="2604">
        <f t="shared" si="19"/>
        <v>1554</v>
      </c>
      <c r="AP97" s="2604">
        <f t="shared" si="19"/>
        <v>1534</v>
      </c>
      <c r="AQ97" s="2605">
        <f t="shared" si="19"/>
        <v>1657</v>
      </c>
    </row>
    <row r="98" spans="1:43" ht="15" customHeight="1" x14ac:dyDescent="0.25">
      <c r="A98" s="5072" t="s">
        <v>448</v>
      </c>
      <c r="B98" s="5478" t="s">
        <v>6</v>
      </c>
      <c r="C98" s="5539" t="s">
        <v>528</v>
      </c>
      <c r="D98" s="1452" t="s">
        <v>58</v>
      </c>
      <c r="E98" s="1207">
        <v>7</v>
      </c>
      <c r="F98" s="1208">
        <v>6</v>
      </c>
      <c r="G98" s="1208"/>
      <c r="H98" s="1207"/>
      <c r="I98" s="1208"/>
      <c r="J98" s="1208">
        <v>5</v>
      </c>
      <c r="K98" s="1207">
        <v>3</v>
      </c>
      <c r="L98" s="1208">
        <v>3</v>
      </c>
      <c r="M98" s="1209"/>
      <c r="N98" s="1208"/>
      <c r="O98" s="1208"/>
      <c r="P98" s="1209">
        <v>5</v>
      </c>
      <c r="Q98" s="1208">
        <v>16</v>
      </c>
      <c r="R98" s="1208">
        <v>2</v>
      </c>
      <c r="S98" s="1209">
        <v>16</v>
      </c>
      <c r="T98" s="1208">
        <v>4</v>
      </c>
      <c r="U98" s="1208">
        <v>4</v>
      </c>
      <c r="V98" s="1209">
        <v>22</v>
      </c>
      <c r="W98" s="1208">
        <v>2</v>
      </c>
      <c r="X98" s="1208">
        <v>2</v>
      </c>
      <c r="Y98" s="1209"/>
      <c r="Z98" s="1208" t="s">
        <v>227</v>
      </c>
      <c r="AA98" s="1208" t="s">
        <v>227</v>
      </c>
      <c r="AB98" s="1209">
        <v>19</v>
      </c>
      <c r="AC98" s="1208">
        <v>19</v>
      </c>
      <c r="AD98" s="1208">
        <v>19</v>
      </c>
      <c r="AE98" s="1209">
        <v>16</v>
      </c>
      <c r="AF98" s="1208"/>
      <c r="AG98" s="1208"/>
      <c r="AH98" s="1209"/>
      <c r="AI98" s="1208"/>
      <c r="AJ98" s="1208"/>
      <c r="AK98" s="1209"/>
      <c r="AL98" s="1208"/>
      <c r="AM98" s="1208"/>
      <c r="AN98" s="1209"/>
      <c r="AO98" s="1208"/>
      <c r="AP98" s="1208">
        <v>9</v>
      </c>
      <c r="AQ98" s="1209"/>
    </row>
    <row r="99" spans="1:43" ht="15" customHeight="1" x14ac:dyDescent="0.25">
      <c r="A99" s="5073"/>
      <c r="B99" s="5479"/>
      <c r="C99" s="5541"/>
      <c r="D99" s="1446" t="s">
        <v>390</v>
      </c>
      <c r="E99" s="1210">
        <v>17</v>
      </c>
      <c r="F99" s="1211">
        <v>16</v>
      </c>
      <c r="G99" s="1211">
        <v>16</v>
      </c>
      <c r="H99" s="1210"/>
      <c r="I99" s="1211"/>
      <c r="J99" s="1211">
        <v>1</v>
      </c>
      <c r="K99" s="1210">
        <v>1</v>
      </c>
      <c r="L99" s="1211">
        <v>1</v>
      </c>
      <c r="M99" s="1212"/>
      <c r="N99" s="1211"/>
      <c r="O99" s="1211"/>
      <c r="P99" s="1212"/>
      <c r="Q99" s="1211"/>
      <c r="R99" s="1211"/>
      <c r="S99" s="1212">
        <v>1</v>
      </c>
      <c r="T99" s="1211"/>
      <c r="U99" s="1211"/>
      <c r="V99" s="1212"/>
      <c r="W99" s="1211"/>
      <c r="X99" s="1211"/>
      <c r="Y99" s="1212">
        <v>2</v>
      </c>
      <c r="Z99" s="1233"/>
      <c r="AA99" s="1233"/>
      <c r="AB99" s="1085"/>
      <c r="AC99" s="1233">
        <v>3</v>
      </c>
      <c r="AD99" s="1233">
        <v>3</v>
      </c>
      <c r="AE99" s="1085">
        <v>41</v>
      </c>
      <c r="AF99" s="1233">
        <v>39</v>
      </c>
      <c r="AG99" s="1233">
        <v>40</v>
      </c>
      <c r="AH99" s="1085">
        <v>37</v>
      </c>
      <c r="AI99" s="1233">
        <v>28</v>
      </c>
      <c r="AJ99" s="1233">
        <v>4</v>
      </c>
      <c r="AK99" s="1085">
        <v>36</v>
      </c>
      <c r="AL99" s="1233">
        <v>37</v>
      </c>
      <c r="AM99" s="1233">
        <v>37</v>
      </c>
      <c r="AN99" s="1085">
        <v>33</v>
      </c>
      <c r="AO99" s="1233">
        <v>9</v>
      </c>
      <c r="AP99" s="1233"/>
      <c r="AQ99" s="1085">
        <v>9</v>
      </c>
    </row>
    <row r="100" spans="1:43" ht="15" customHeight="1" x14ac:dyDescent="0.25">
      <c r="A100" s="5073"/>
      <c r="B100" s="5479"/>
      <c r="C100" s="5539" t="s">
        <v>527</v>
      </c>
      <c r="D100" s="1446" t="s">
        <v>89</v>
      </c>
      <c r="E100" s="1210">
        <v>14</v>
      </c>
      <c r="F100" s="1211">
        <v>14</v>
      </c>
      <c r="G100" s="1211">
        <v>14</v>
      </c>
      <c r="H100" s="1210">
        <v>14</v>
      </c>
      <c r="I100" s="1211">
        <v>14</v>
      </c>
      <c r="J100" s="1211">
        <v>20</v>
      </c>
      <c r="K100" s="1210">
        <v>20</v>
      </c>
      <c r="L100" s="1211">
        <v>20</v>
      </c>
      <c r="M100" s="1212">
        <v>20</v>
      </c>
      <c r="N100" s="1211">
        <v>20</v>
      </c>
      <c r="O100" s="1211">
        <v>20</v>
      </c>
      <c r="P100" s="1212">
        <v>12</v>
      </c>
      <c r="Q100" s="1211"/>
      <c r="R100" s="1211">
        <v>12</v>
      </c>
      <c r="S100" s="1212">
        <v>12</v>
      </c>
      <c r="T100" s="1211">
        <v>21</v>
      </c>
      <c r="U100" s="1211">
        <v>21</v>
      </c>
      <c r="V100" s="1212">
        <v>9</v>
      </c>
      <c r="W100" s="1211">
        <v>27</v>
      </c>
      <c r="X100" s="1211">
        <v>26</v>
      </c>
      <c r="Y100" s="1212">
        <v>18</v>
      </c>
      <c r="Z100" s="1211">
        <v>17</v>
      </c>
      <c r="AA100" s="1211">
        <v>18</v>
      </c>
      <c r="AB100" s="1212">
        <v>3</v>
      </c>
      <c r="AC100" s="1211">
        <v>2</v>
      </c>
      <c r="AD100" s="1211"/>
      <c r="AE100" s="1212">
        <v>18</v>
      </c>
      <c r="AF100" s="1211">
        <v>17</v>
      </c>
      <c r="AG100" s="1211">
        <v>17</v>
      </c>
      <c r="AH100" s="1212">
        <v>23</v>
      </c>
      <c r="AI100" s="1211">
        <v>23</v>
      </c>
      <c r="AJ100" s="1211">
        <v>23</v>
      </c>
      <c r="AK100" s="1212">
        <v>23</v>
      </c>
      <c r="AL100" s="1211">
        <v>23</v>
      </c>
      <c r="AM100" s="1211">
        <v>23</v>
      </c>
      <c r="AN100" s="1212">
        <v>22</v>
      </c>
      <c r="AO100" s="1211">
        <v>22</v>
      </c>
      <c r="AP100" s="1211">
        <v>20</v>
      </c>
      <c r="AQ100" s="1212">
        <v>20</v>
      </c>
    </row>
    <row r="101" spans="1:43" ht="15" customHeight="1" x14ac:dyDescent="0.25">
      <c r="A101" s="5073"/>
      <c r="B101" s="5479"/>
      <c r="C101" s="5540"/>
      <c r="D101" s="1446" t="s">
        <v>391</v>
      </c>
      <c r="E101" s="1210">
        <v>13</v>
      </c>
      <c r="F101" s="1211">
        <v>16</v>
      </c>
      <c r="G101" s="1211">
        <v>44</v>
      </c>
      <c r="H101" s="1210">
        <v>29</v>
      </c>
      <c r="I101" s="1211">
        <v>28</v>
      </c>
      <c r="J101" s="1211">
        <v>25</v>
      </c>
      <c r="K101" s="1210">
        <v>25</v>
      </c>
      <c r="L101" s="1211">
        <v>25</v>
      </c>
      <c r="M101" s="1212">
        <v>30</v>
      </c>
      <c r="N101" s="1211">
        <v>30</v>
      </c>
      <c r="O101" s="1211">
        <v>30</v>
      </c>
      <c r="P101" s="1212">
        <v>31</v>
      </c>
      <c r="Q101" s="1211">
        <v>35</v>
      </c>
      <c r="R101" s="1211">
        <v>31</v>
      </c>
      <c r="S101" s="1212">
        <v>38</v>
      </c>
      <c r="T101" s="1211">
        <v>36</v>
      </c>
      <c r="U101" s="1211">
        <v>36</v>
      </c>
      <c r="V101" s="1212">
        <v>37</v>
      </c>
      <c r="W101" s="1211">
        <v>34</v>
      </c>
      <c r="X101" s="1211">
        <v>32</v>
      </c>
      <c r="Y101" s="1212">
        <v>38</v>
      </c>
      <c r="Z101" s="1211">
        <v>40</v>
      </c>
      <c r="AA101" s="1211">
        <v>40</v>
      </c>
      <c r="AB101" s="1212">
        <v>40</v>
      </c>
      <c r="AC101" s="1211">
        <v>41</v>
      </c>
      <c r="AD101" s="1211">
        <v>40</v>
      </c>
      <c r="AE101" s="1212">
        <v>6</v>
      </c>
      <c r="AF101" s="1211">
        <v>2</v>
      </c>
      <c r="AG101" s="1211">
        <v>2</v>
      </c>
      <c r="AH101" s="1212">
        <v>1</v>
      </c>
      <c r="AI101" s="1211">
        <v>36</v>
      </c>
      <c r="AJ101" s="1211">
        <v>41</v>
      </c>
      <c r="AK101" s="1212">
        <v>2</v>
      </c>
      <c r="AL101" s="1211"/>
      <c r="AM101" s="1211"/>
      <c r="AN101" s="1212">
        <v>33</v>
      </c>
      <c r="AO101" s="1211">
        <v>34</v>
      </c>
      <c r="AP101" s="1211">
        <v>36</v>
      </c>
      <c r="AQ101" s="1212">
        <v>40</v>
      </c>
    </row>
    <row r="102" spans="1:43" ht="15" customHeight="1" x14ac:dyDescent="0.25">
      <c r="A102" s="5073"/>
      <c r="B102" s="5479"/>
      <c r="C102" s="5540"/>
      <c r="D102" s="1448" t="s">
        <v>392</v>
      </c>
      <c r="E102" s="1210">
        <v>4</v>
      </c>
      <c r="F102" s="1211">
        <v>13</v>
      </c>
      <c r="G102" s="1211">
        <v>13</v>
      </c>
      <c r="H102" s="1210">
        <v>15</v>
      </c>
      <c r="I102" s="1211">
        <v>11</v>
      </c>
      <c r="J102" s="1211">
        <v>32</v>
      </c>
      <c r="K102" s="1210">
        <v>26</v>
      </c>
      <c r="L102" s="1211">
        <v>14</v>
      </c>
      <c r="M102" s="1212">
        <v>18</v>
      </c>
      <c r="N102" s="1211">
        <v>15</v>
      </c>
      <c r="O102" s="1211">
        <v>15</v>
      </c>
      <c r="P102" s="1212">
        <v>25</v>
      </c>
      <c r="Q102" s="1211">
        <v>24</v>
      </c>
      <c r="R102" s="1211">
        <v>23</v>
      </c>
      <c r="S102" s="1212">
        <v>23</v>
      </c>
      <c r="T102" s="1211">
        <v>22</v>
      </c>
      <c r="U102" s="1211">
        <v>23</v>
      </c>
      <c r="V102" s="1212">
        <v>34</v>
      </c>
      <c r="W102" s="1211">
        <v>30</v>
      </c>
      <c r="X102" s="1211">
        <v>33</v>
      </c>
      <c r="Y102" s="1212">
        <v>34</v>
      </c>
      <c r="Z102" s="1211">
        <v>32</v>
      </c>
      <c r="AA102" s="1211">
        <v>31</v>
      </c>
      <c r="AB102" s="1212">
        <v>38</v>
      </c>
      <c r="AC102" s="1211">
        <v>37</v>
      </c>
      <c r="AD102" s="1211">
        <v>32</v>
      </c>
      <c r="AE102" s="1212">
        <v>29</v>
      </c>
      <c r="AF102" s="1211">
        <v>32</v>
      </c>
      <c r="AG102" s="1211">
        <v>30</v>
      </c>
      <c r="AH102" s="1212">
        <v>50</v>
      </c>
      <c r="AI102" s="1211">
        <v>45</v>
      </c>
      <c r="AJ102" s="1211">
        <v>42</v>
      </c>
      <c r="AK102" s="1212">
        <v>41</v>
      </c>
      <c r="AL102" s="1211">
        <v>37</v>
      </c>
      <c r="AM102" s="1211">
        <v>34</v>
      </c>
      <c r="AN102" s="1212">
        <v>36</v>
      </c>
      <c r="AO102" s="1211">
        <v>32</v>
      </c>
      <c r="AP102" s="1211">
        <v>31</v>
      </c>
      <c r="AQ102" s="1212">
        <v>29</v>
      </c>
    </row>
    <row r="103" spans="1:43" ht="15" customHeight="1" x14ac:dyDescent="0.25">
      <c r="A103" s="5073"/>
      <c r="B103" s="5479"/>
      <c r="C103" s="5540"/>
      <c r="D103" s="1448" t="s">
        <v>349</v>
      </c>
      <c r="E103" s="1210">
        <v>23</v>
      </c>
      <c r="F103" s="1211">
        <v>20</v>
      </c>
      <c r="G103" s="1211">
        <v>19</v>
      </c>
      <c r="H103" s="1210">
        <v>20</v>
      </c>
      <c r="I103" s="1211">
        <v>23</v>
      </c>
      <c r="J103" s="1211">
        <v>18</v>
      </c>
      <c r="K103" s="1210">
        <v>18</v>
      </c>
      <c r="L103" s="1211">
        <v>17</v>
      </c>
      <c r="M103" s="1212">
        <v>17</v>
      </c>
      <c r="N103" s="1211">
        <v>17</v>
      </c>
      <c r="O103" s="1211">
        <v>17</v>
      </c>
      <c r="P103" s="1212">
        <v>12</v>
      </c>
      <c r="Q103" s="1211">
        <v>12</v>
      </c>
      <c r="R103" s="1211">
        <v>10</v>
      </c>
      <c r="S103" s="1212">
        <v>10</v>
      </c>
      <c r="T103" s="1211">
        <v>10</v>
      </c>
      <c r="U103" s="1211">
        <v>11</v>
      </c>
      <c r="V103" s="1212">
        <v>31</v>
      </c>
      <c r="W103" s="1211">
        <v>24</v>
      </c>
      <c r="X103" s="1211">
        <v>23</v>
      </c>
      <c r="Y103" s="1212">
        <v>25</v>
      </c>
      <c r="Z103" s="1211">
        <v>21</v>
      </c>
      <c r="AA103" s="1211">
        <v>28</v>
      </c>
      <c r="AB103" s="1212">
        <v>31</v>
      </c>
      <c r="AC103" s="1211">
        <v>27</v>
      </c>
      <c r="AD103" s="1211">
        <v>26</v>
      </c>
      <c r="AE103" s="1212">
        <v>25</v>
      </c>
      <c r="AF103" s="1211">
        <v>23</v>
      </c>
      <c r="AG103" s="1211">
        <v>24</v>
      </c>
      <c r="AH103" s="1212">
        <v>28</v>
      </c>
      <c r="AI103" s="1211">
        <v>24</v>
      </c>
      <c r="AJ103" s="1211">
        <v>24</v>
      </c>
      <c r="AK103" s="1212">
        <v>22</v>
      </c>
      <c r="AL103" s="1211">
        <v>21</v>
      </c>
      <c r="AM103" s="1211">
        <v>21</v>
      </c>
      <c r="AN103" s="1212">
        <v>21</v>
      </c>
      <c r="AO103" s="1211">
        <v>14</v>
      </c>
      <c r="AP103" s="1211">
        <v>13</v>
      </c>
      <c r="AQ103" s="1212">
        <v>13</v>
      </c>
    </row>
    <row r="104" spans="1:43" ht="15" customHeight="1" x14ac:dyDescent="0.25">
      <c r="A104" s="5073"/>
      <c r="B104" s="5479"/>
      <c r="C104" s="5540"/>
      <c r="D104" s="1448" t="s">
        <v>19</v>
      </c>
      <c r="E104" s="1210">
        <v>26</v>
      </c>
      <c r="F104" s="1211">
        <v>26</v>
      </c>
      <c r="G104" s="1211">
        <v>25</v>
      </c>
      <c r="H104" s="1210">
        <v>26</v>
      </c>
      <c r="I104" s="1211">
        <v>25</v>
      </c>
      <c r="J104" s="1211">
        <v>24</v>
      </c>
      <c r="K104" s="1210">
        <v>20</v>
      </c>
      <c r="L104" s="1211">
        <v>18</v>
      </c>
      <c r="M104" s="1212">
        <v>17</v>
      </c>
      <c r="N104" s="1211">
        <v>14</v>
      </c>
      <c r="O104" s="1211">
        <v>14</v>
      </c>
      <c r="P104" s="1212">
        <v>27</v>
      </c>
      <c r="Q104" s="1211">
        <v>25</v>
      </c>
      <c r="R104" s="1211">
        <v>23</v>
      </c>
      <c r="S104" s="1212">
        <v>23</v>
      </c>
      <c r="T104" s="1211">
        <v>22</v>
      </c>
      <c r="U104" s="1211">
        <v>21</v>
      </c>
      <c r="V104" s="1212">
        <v>30</v>
      </c>
      <c r="W104" s="1211">
        <v>32</v>
      </c>
      <c r="X104" s="1211">
        <v>29</v>
      </c>
      <c r="Y104" s="1212">
        <v>30</v>
      </c>
      <c r="Z104" s="1211">
        <v>27</v>
      </c>
      <c r="AA104" s="1211">
        <v>26</v>
      </c>
      <c r="AB104" s="1212">
        <v>20</v>
      </c>
      <c r="AC104" s="1211">
        <v>19</v>
      </c>
      <c r="AD104" s="1211">
        <v>23</v>
      </c>
      <c r="AE104" s="1212">
        <v>17</v>
      </c>
      <c r="AF104" s="1211">
        <v>17</v>
      </c>
      <c r="AG104" s="1211">
        <v>18</v>
      </c>
      <c r="AH104" s="1212">
        <v>32</v>
      </c>
      <c r="AI104" s="1211">
        <v>27</v>
      </c>
      <c r="AJ104" s="1211">
        <v>23</v>
      </c>
      <c r="AK104" s="1212">
        <v>22</v>
      </c>
      <c r="AL104" s="1211">
        <v>20</v>
      </c>
      <c r="AM104" s="1211">
        <v>21</v>
      </c>
      <c r="AN104" s="1212">
        <v>22</v>
      </c>
      <c r="AO104" s="1211">
        <v>20</v>
      </c>
      <c r="AP104" s="1211">
        <v>20</v>
      </c>
      <c r="AQ104" s="1212">
        <v>20</v>
      </c>
    </row>
    <row r="105" spans="1:43" ht="15" customHeight="1" x14ac:dyDescent="0.25">
      <c r="A105" s="5073"/>
      <c r="B105" s="5479"/>
      <c r="C105" s="5540"/>
      <c r="D105" s="1448" t="s">
        <v>88</v>
      </c>
      <c r="E105" s="1210">
        <v>23</v>
      </c>
      <c r="F105" s="1211">
        <v>23</v>
      </c>
      <c r="G105" s="1211">
        <v>23</v>
      </c>
      <c r="H105" s="1210">
        <v>24</v>
      </c>
      <c r="I105" s="1211">
        <v>24</v>
      </c>
      <c r="J105" s="1211">
        <v>18</v>
      </c>
      <c r="K105" s="1210">
        <v>12</v>
      </c>
      <c r="L105" s="1211">
        <v>16</v>
      </c>
      <c r="M105" s="1212">
        <v>15</v>
      </c>
      <c r="N105" s="1211">
        <v>12</v>
      </c>
      <c r="O105" s="1211">
        <v>12</v>
      </c>
      <c r="P105" s="1212">
        <v>26</v>
      </c>
      <c r="Q105" s="1211">
        <v>23</v>
      </c>
      <c r="R105" s="1211">
        <v>17</v>
      </c>
      <c r="S105" s="1212">
        <v>16</v>
      </c>
      <c r="T105" s="1211">
        <v>17</v>
      </c>
      <c r="U105" s="1211">
        <v>18</v>
      </c>
      <c r="V105" s="1212">
        <v>21</v>
      </c>
      <c r="W105" s="1211">
        <v>21</v>
      </c>
      <c r="X105" s="1211">
        <v>22</v>
      </c>
      <c r="Y105" s="1212">
        <v>23</v>
      </c>
      <c r="Z105" s="1211">
        <v>21</v>
      </c>
      <c r="AA105" s="1211">
        <v>22</v>
      </c>
      <c r="AB105" s="1212">
        <v>21</v>
      </c>
      <c r="AC105" s="1211">
        <v>20</v>
      </c>
      <c r="AD105" s="1211">
        <v>20</v>
      </c>
      <c r="AE105" s="1212">
        <v>20</v>
      </c>
      <c r="AF105" s="1211">
        <v>20</v>
      </c>
      <c r="AG105" s="1211">
        <v>19</v>
      </c>
      <c r="AH105" s="1212">
        <v>18</v>
      </c>
      <c r="AI105" s="1211">
        <v>15</v>
      </c>
      <c r="AJ105" s="1211">
        <v>12</v>
      </c>
      <c r="AK105" s="1212">
        <v>11</v>
      </c>
      <c r="AL105" s="1211">
        <v>10</v>
      </c>
      <c r="AM105" s="1211">
        <v>11</v>
      </c>
      <c r="AN105" s="1212">
        <v>19</v>
      </c>
      <c r="AO105" s="1211">
        <v>17</v>
      </c>
      <c r="AP105" s="1211">
        <v>18</v>
      </c>
      <c r="AQ105" s="1212">
        <v>18</v>
      </c>
    </row>
    <row r="106" spans="1:43" ht="15" customHeight="1" x14ac:dyDescent="0.25">
      <c r="A106" s="5073"/>
      <c r="B106" s="5479"/>
      <c r="C106" s="5540"/>
      <c r="D106" s="1448" t="s">
        <v>394</v>
      </c>
      <c r="E106" s="1210">
        <v>26</v>
      </c>
      <c r="F106" s="1211">
        <v>30</v>
      </c>
      <c r="G106" s="1211">
        <v>23</v>
      </c>
      <c r="H106" s="1210">
        <v>18</v>
      </c>
      <c r="I106" s="1211">
        <v>7</v>
      </c>
      <c r="J106" s="1211">
        <v>27</v>
      </c>
      <c r="K106" s="1210">
        <v>27</v>
      </c>
      <c r="L106" s="1211">
        <v>25</v>
      </c>
      <c r="M106" s="1212">
        <v>28</v>
      </c>
      <c r="N106" s="1211">
        <v>27</v>
      </c>
      <c r="O106" s="1211">
        <v>24</v>
      </c>
      <c r="P106" s="1212">
        <v>37</v>
      </c>
      <c r="Q106" s="1211">
        <v>29</v>
      </c>
      <c r="R106" s="1211">
        <v>17</v>
      </c>
      <c r="S106" s="1212">
        <v>14</v>
      </c>
      <c r="T106" s="1211">
        <v>14</v>
      </c>
      <c r="U106" s="1211">
        <v>12</v>
      </c>
      <c r="V106" s="1212">
        <v>27</v>
      </c>
      <c r="W106" s="1211">
        <v>23</v>
      </c>
      <c r="X106" s="1211">
        <v>21</v>
      </c>
      <c r="Y106" s="1212">
        <v>20</v>
      </c>
      <c r="Z106" s="1211">
        <v>18</v>
      </c>
      <c r="AA106" s="1211">
        <v>18</v>
      </c>
      <c r="AB106" s="1212">
        <v>19</v>
      </c>
      <c r="AC106" s="1211">
        <v>16</v>
      </c>
      <c r="AD106" s="1211">
        <v>15</v>
      </c>
      <c r="AE106" s="1212">
        <v>15</v>
      </c>
      <c r="AF106" s="1211">
        <v>13</v>
      </c>
      <c r="AG106" s="1211">
        <v>13</v>
      </c>
      <c r="AH106" s="1212">
        <v>26</v>
      </c>
      <c r="AI106" s="1211">
        <v>20</v>
      </c>
      <c r="AJ106" s="1211">
        <v>15</v>
      </c>
      <c r="AK106" s="1212">
        <v>14</v>
      </c>
      <c r="AL106" s="1211">
        <v>14</v>
      </c>
      <c r="AM106" s="1211">
        <v>14</v>
      </c>
      <c r="AN106" s="1212">
        <v>28</v>
      </c>
      <c r="AO106" s="1211">
        <v>25</v>
      </c>
      <c r="AP106" s="1211">
        <v>20</v>
      </c>
      <c r="AQ106" s="1212">
        <v>19</v>
      </c>
    </row>
    <row r="107" spans="1:43" ht="15" customHeight="1" x14ac:dyDescent="0.25">
      <c r="A107" s="5073"/>
      <c r="B107" s="5479"/>
      <c r="C107" s="5540"/>
      <c r="D107" s="1446" t="s">
        <v>139</v>
      </c>
      <c r="E107" s="1210">
        <v>2</v>
      </c>
      <c r="F107" s="1211">
        <v>2</v>
      </c>
      <c r="G107" s="1211">
        <v>2</v>
      </c>
      <c r="H107" s="1210">
        <v>4</v>
      </c>
      <c r="I107" s="1211">
        <v>2</v>
      </c>
      <c r="J107" s="1211">
        <v>1</v>
      </c>
      <c r="K107" s="1210">
        <v>2</v>
      </c>
      <c r="L107" s="1211">
        <v>6</v>
      </c>
      <c r="M107" s="1212">
        <v>5</v>
      </c>
      <c r="N107" s="1211">
        <v>11</v>
      </c>
      <c r="O107" s="1211">
        <v>8</v>
      </c>
      <c r="P107" s="1212">
        <v>3</v>
      </c>
      <c r="Q107" s="1211">
        <v>2</v>
      </c>
      <c r="R107" s="1211">
        <v>10</v>
      </c>
      <c r="S107" s="1212"/>
      <c r="T107" s="1211"/>
      <c r="U107" s="1211">
        <v>15</v>
      </c>
      <c r="V107" s="1212"/>
      <c r="W107" s="1211"/>
      <c r="X107" s="1211">
        <v>19</v>
      </c>
      <c r="Y107" s="1212"/>
      <c r="Z107" s="1211" t="s">
        <v>227</v>
      </c>
      <c r="AA107" s="1211">
        <v>25</v>
      </c>
      <c r="AB107" s="1212" t="s">
        <v>227</v>
      </c>
      <c r="AC107" s="1211"/>
      <c r="AD107" s="1211"/>
      <c r="AE107" s="1212"/>
      <c r="AF107" s="1211"/>
      <c r="AG107" s="1211"/>
      <c r="AH107" s="1212"/>
      <c r="AI107" s="1211"/>
      <c r="AJ107" s="1211"/>
      <c r="AK107" s="1212"/>
      <c r="AL107" s="1211"/>
      <c r="AM107" s="1211"/>
      <c r="AN107" s="1212"/>
      <c r="AO107" s="1211"/>
      <c r="AP107" s="1211"/>
      <c r="AQ107" s="1212"/>
    </row>
    <row r="108" spans="1:43" ht="15" customHeight="1" x14ac:dyDescent="0.25">
      <c r="A108" s="5073"/>
      <c r="B108" s="5479"/>
      <c r="C108" s="5541"/>
      <c r="D108" s="1446" t="s">
        <v>419</v>
      </c>
      <c r="E108" s="1210"/>
      <c r="F108" s="1211"/>
      <c r="G108" s="1211"/>
      <c r="H108" s="1210"/>
      <c r="I108" s="1211"/>
      <c r="J108" s="1211"/>
      <c r="K108" s="1210"/>
      <c r="L108" s="1211"/>
      <c r="M108" s="1212"/>
      <c r="N108" s="1211"/>
      <c r="O108" s="1211"/>
      <c r="P108" s="1212"/>
      <c r="Q108" s="1211"/>
      <c r="R108" s="1211"/>
      <c r="S108" s="1212"/>
      <c r="T108" s="1211"/>
      <c r="U108" s="1211"/>
      <c r="V108" s="1212"/>
      <c r="W108" s="1211"/>
      <c r="X108" s="1211"/>
      <c r="Y108" s="1212"/>
      <c r="Z108" s="1211"/>
      <c r="AA108" s="1211"/>
      <c r="AB108" s="1212"/>
      <c r="AC108" s="1211"/>
      <c r="AD108" s="1211"/>
      <c r="AE108" s="1212"/>
      <c r="AF108" s="1211">
        <v>19</v>
      </c>
      <c r="AG108" s="1211">
        <v>16</v>
      </c>
      <c r="AH108" s="1212">
        <v>16</v>
      </c>
      <c r="AI108" s="1211">
        <v>16</v>
      </c>
      <c r="AJ108" s="1211">
        <v>16</v>
      </c>
      <c r="AK108" s="1212">
        <v>16</v>
      </c>
      <c r="AL108" s="1211">
        <v>21</v>
      </c>
      <c r="AM108" s="1211">
        <v>21</v>
      </c>
      <c r="AN108" s="1212">
        <v>21</v>
      </c>
      <c r="AO108" s="1211">
        <v>20</v>
      </c>
      <c r="AP108" s="1211">
        <v>20</v>
      </c>
      <c r="AQ108" s="1212">
        <v>20</v>
      </c>
    </row>
    <row r="109" spans="1:43" ht="15" customHeight="1" x14ac:dyDescent="0.25">
      <c r="A109" s="5073"/>
      <c r="B109" s="5479"/>
      <c r="C109" s="5539" t="s">
        <v>526</v>
      </c>
      <c r="D109" s="1446" t="s">
        <v>90</v>
      </c>
      <c r="E109" s="1210">
        <v>15</v>
      </c>
      <c r="F109" s="1211">
        <v>15</v>
      </c>
      <c r="G109" s="1211">
        <v>29</v>
      </c>
      <c r="H109" s="1210">
        <v>28</v>
      </c>
      <c r="I109" s="1211">
        <v>28</v>
      </c>
      <c r="J109" s="1211">
        <v>27</v>
      </c>
      <c r="K109" s="1210">
        <v>20</v>
      </c>
      <c r="L109" s="1211">
        <v>19</v>
      </c>
      <c r="M109" s="1212">
        <v>29</v>
      </c>
      <c r="N109" s="1211">
        <v>28</v>
      </c>
      <c r="O109" s="1211">
        <v>26</v>
      </c>
      <c r="P109" s="1212">
        <v>22</v>
      </c>
      <c r="Q109" s="1211">
        <v>24</v>
      </c>
      <c r="R109" s="1211">
        <v>20</v>
      </c>
      <c r="S109" s="1212">
        <v>26</v>
      </c>
      <c r="T109" s="1211">
        <v>25</v>
      </c>
      <c r="U109" s="1211">
        <v>25</v>
      </c>
      <c r="V109" s="1212">
        <v>19</v>
      </c>
      <c r="W109" s="1211">
        <v>20</v>
      </c>
      <c r="X109" s="1211">
        <v>20</v>
      </c>
      <c r="Y109" s="1212">
        <v>32</v>
      </c>
      <c r="Z109" s="1211">
        <v>32</v>
      </c>
      <c r="AA109" s="1211">
        <v>32</v>
      </c>
      <c r="AB109" s="1212">
        <v>30</v>
      </c>
      <c r="AC109" s="1211">
        <v>31</v>
      </c>
      <c r="AD109" s="1211">
        <v>31</v>
      </c>
      <c r="AE109" s="1212">
        <v>36</v>
      </c>
      <c r="AF109" s="1211">
        <v>33</v>
      </c>
      <c r="AG109" s="1211">
        <v>32</v>
      </c>
      <c r="AH109" s="1212">
        <v>31</v>
      </c>
      <c r="AI109" s="1211">
        <v>32</v>
      </c>
      <c r="AJ109" s="1211">
        <v>32</v>
      </c>
      <c r="AK109" s="1212">
        <v>40</v>
      </c>
      <c r="AL109" s="1211">
        <v>40</v>
      </c>
      <c r="AM109" s="1211">
        <v>40</v>
      </c>
      <c r="AN109" s="1212">
        <v>40</v>
      </c>
      <c r="AO109" s="1211">
        <v>39</v>
      </c>
      <c r="AP109" s="1211">
        <v>32</v>
      </c>
      <c r="AQ109" s="1212">
        <v>45</v>
      </c>
    </row>
    <row r="110" spans="1:43" ht="15" customHeight="1" x14ac:dyDescent="0.25">
      <c r="A110" s="5073"/>
      <c r="B110" s="5479"/>
      <c r="C110" s="5540"/>
      <c r="D110" s="1446" t="s">
        <v>143</v>
      </c>
      <c r="E110" s="1210">
        <v>22</v>
      </c>
      <c r="F110" s="1211">
        <v>22</v>
      </c>
      <c r="G110" s="1211">
        <v>25</v>
      </c>
      <c r="H110" s="1210">
        <v>28</v>
      </c>
      <c r="I110" s="1211">
        <v>24</v>
      </c>
      <c r="J110" s="1211">
        <v>12</v>
      </c>
      <c r="K110" s="1210">
        <v>7</v>
      </c>
      <c r="L110" s="1211">
        <v>29</v>
      </c>
      <c r="M110" s="1212">
        <v>23</v>
      </c>
      <c r="N110" s="1211">
        <v>18</v>
      </c>
      <c r="O110" s="1211">
        <v>24</v>
      </c>
      <c r="P110" s="1212">
        <v>20</v>
      </c>
      <c r="Q110" s="1211">
        <v>10</v>
      </c>
      <c r="R110" s="1211">
        <v>23</v>
      </c>
      <c r="S110" s="1212"/>
      <c r="T110" s="1211"/>
      <c r="U110" s="1211">
        <v>19</v>
      </c>
      <c r="V110" s="1212"/>
      <c r="W110" s="1211"/>
      <c r="X110" s="1211">
        <v>32</v>
      </c>
      <c r="Y110" s="1212"/>
      <c r="Z110" s="1211" t="s">
        <v>227</v>
      </c>
      <c r="AA110" s="1211">
        <v>39</v>
      </c>
      <c r="AB110" s="1212" t="s">
        <v>227</v>
      </c>
      <c r="AC110" s="1211">
        <v>4</v>
      </c>
      <c r="AD110" s="1211">
        <v>4</v>
      </c>
      <c r="AE110" s="1212">
        <v>4</v>
      </c>
      <c r="AF110" s="1211">
        <v>3</v>
      </c>
      <c r="AG110" s="1211">
        <v>3</v>
      </c>
      <c r="AH110" s="1212">
        <v>4</v>
      </c>
      <c r="AI110" s="1211">
        <v>4</v>
      </c>
      <c r="AJ110" s="1211">
        <v>3</v>
      </c>
      <c r="AK110" s="1212">
        <v>2</v>
      </c>
      <c r="AL110" s="1211">
        <v>1</v>
      </c>
      <c r="AM110" s="1211">
        <v>2</v>
      </c>
      <c r="AN110" s="1212">
        <v>1</v>
      </c>
      <c r="AO110" s="1211"/>
      <c r="AP110" s="1211"/>
      <c r="AQ110" s="1212"/>
    </row>
    <row r="111" spans="1:43" ht="15" customHeight="1" x14ac:dyDescent="0.25">
      <c r="A111" s="5073"/>
      <c r="B111" s="5479"/>
      <c r="C111" s="5540"/>
      <c r="D111" s="1447" t="s">
        <v>20</v>
      </c>
      <c r="E111" s="1213">
        <v>88</v>
      </c>
      <c r="F111" s="1214">
        <v>76</v>
      </c>
      <c r="G111" s="1214">
        <v>75</v>
      </c>
      <c r="H111" s="1213">
        <v>57</v>
      </c>
      <c r="I111" s="1214">
        <v>51</v>
      </c>
      <c r="J111" s="1214">
        <v>52</v>
      </c>
      <c r="K111" s="1213">
        <v>94</v>
      </c>
      <c r="L111" s="1214">
        <v>87</v>
      </c>
      <c r="M111" s="1215">
        <v>89</v>
      </c>
      <c r="N111" s="1214">
        <v>64</v>
      </c>
      <c r="O111" s="1214">
        <v>58</v>
      </c>
      <c r="P111" s="1215">
        <v>58</v>
      </c>
      <c r="Q111" s="1214">
        <v>133</v>
      </c>
      <c r="R111" s="1214">
        <v>122</v>
      </c>
      <c r="S111" s="1215">
        <v>120</v>
      </c>
      <c r="T111" s="1214">
        <v>120</v>
      </c>
      <c r="U111" s="1214">
        <v>114</v>
      </c>
      <c r="V111" s="1215">
        <v>108</v>
      </c>
      <c r="W111" s="1214">
        <v>145</v>
      </c>
      <c r="X111" s="1214">
        <v>154</v>
      </c>
      <c r="Y111" s="1215">
        <v>152</v>
      </c>
      <c r="Z111" s="1214">
        <v>121</v>
      </c>
      <c r="AA111" s="1214">
        <v>120</v>
      </c>
      <c r="AB111" s="1215">
        <v>111</v>
      </c>
      <c r="AC111" s="1214">
        <v>145</v>
      </c>
      <c r="AD111" s="1214">
        <v>115</v>
      </c>
      <c r="AE111" s="1215">
        <v>108</v>
      </c>
      <c r="AF111" s="1214">
        <v>106</v>
      </c>
      <c r="AG111" s="1214">
        <v>95</v>
      </c>
      <c r="AH111" s="1215">
        <v>93</v>
      </c>
      <c r="AI111" s="1214">
        <v>120</v>
      </c>
      <c r="AJ111" s="1214">
        <v>118</v>
      </c>
      <c r="AK111" s="1215">
        <v>108</v>
      </c>
      <c r="AL111" s="1214">
        <v>96</v>
      </c>
      <c r="AM111" s="1214">
        <v>101</v>
      </c>
      <c r="AN111" s="1215">
        <v>100</v>
      </c>
      <c r="AO111" s="1214">
        <v>114</v>
      </c>
      <c r="AP111" s="1214">
        <v>108</v>
      </c>
      <c r="AQ111" s="1215">
        <v>107</v>
      </c>
    </row>
    <row r="112" spans="1:43" ht="15" customHeight="1" x14ac:dyDescent="0.2">
      <c r="A112" s="5073"/>
      <c r="B112" s="5480"/>
      <c r="C112" s="1202"/>
      <c r="D112" s="1449" t="s">
        <v>160</v>
      </c>
      <c r="E112" s="1218">
        <f t="shared" ref="E112:AH112" si="20">SUM(E98:E111)</f>
        <v>280</v>
      </c>
      <c r="F112" s="1219">
        <f t="shared" si="20"/>
        <v>279</v>
      </c>
      <c r="G112" s="1219">
        <f t="shared" si="20"/>
        <v>308</v>
      </c>
      <c r="H112" s="1218">
        <f t="shared" si="20"/>
        <v>263</v>
      </c>
      <c r="I112" s="1219">
        <f t="shared" si="20"/>
        <v>237</v>
      </c>
      <c r="J112" s="1219">
        <f t="shared" si="20"/>
        <v>262</v>
      </c>
      <c r="K112" s="1218">
        <f t="shared" si="20"/>
        <v>275</v>
      </c>
      <c r="L112" s="1219">
        <f t="shared" si="20"/>
        <v>280</v>
      </c>
      <c r="M112" s="1220">
        <f t="shared" si="20"/>
        <v>291</v>
      </c>
      <c r="N112" s="1219">
        <f t="shared" si="20"/>
        <v>256</v>
      </c>
      <c r="O112" s="1219">
        <f t="shared" si="20"/>
        <v>248</v>
      </c>
      <c r="P112" s="1220">
        <f t="shared" si="20"/>
        <v>278</v>
      </c>
      <c r="Q112" s="1219">
        <f t="shared" si="20"/>
        <v>333</v>
      </c>
      <c r="R112" s="1219">
        <f t="shared" si="20"/>
        <v>310</v>
      </c>
      <c r="S112" s="1220">
        <f t="shared" si="20"/>
        <v>299</v>
      </c>
      <c r="T112" s="1219">
        <f t="shared" si="20"/>
        <v>291</v>
      </c>
      <c r="U112" s="1219">
        <f t="shared" si="20"/>
        <v>319</v>
      </c>
      <c r="V112" s="1220">
        <f t="shared" si="20"/>
        <v>338</v>
      </c>
      <c r="W112" s="1219">
        <f t="shared" si="20"/>
        <v>358</v>
      </c>
      <c r="X112" s="1219">
        <f t="shared" si="20"/>
        <v>413</v>
      </c>
      <c r="Y112" s="1220">
        <f t="shared" si="20"/>
        <v>374</v>
      </c>
      <c r="Z112" s="1219">
        <f t="shared" si="20"/>
        <v>329</v>
      </c>
      <c r="AA112" s="1219">
        <f t="shared" si="20"/>
        <v>399</v>
      </c>
      <c r="AB112" s="1220">
        <f t="shared" si="20"/>
        <v>332</v>
      </c>
      <c r="AC112" s="1219">
        <f t="shared" si="20"/>
        <v>364</v>
      </c>
      <c r="AD112" s="1219">
        <f t="shared" si="20"/>
        <v>328</v>
      </c>
      <c r="AE112" s="1220">
        <f t="shared" si="20"/>
        <v>335</v>
      </c>
      <c r="AF112" s="1219">
        <f t="shared" si="20"/>
        <v>324</v>
      </c>
      <c r="AG112" s="1219">
        <f t="shared" si="20"/>
        <v>309</v>
      </c>
      <c r="AH112" s="1220">
        <f t="shared" si="20"/>
        <v>359</v>
      </c>
      <c r="AI112" s="1219">
        <f t="shared" ref="AI112:AN112" si="21">SUM(AI98:AI111)</f>
        <v>390</v>
      </c>
      <c r="AJ112" s="1219">
        <f t="shared" si="21"/>
        <v>353</v>
      </c>
      <c r="AK112" s="1220">
        <f t="shared" si="21"/>
        <v>337</v>
      </c>
      <c r="AL112" s="1219">
        <f t="shared" si="21"/>
        <v>320</v>
      </c>
      <c r="AM112" s="1219">
        <f t="shared" si="21"/>
        <v>325</v>
      </c>
      <c r="AN112" s="1220">
        <f t="shared" si="21"/>
        <v>376</v>
      </c>
      <c r="AO112" s="1219">
        <f t="shared" ref="AO112:AQ112" si="22">SUM(AO98:AO111)</f>
        <v>346</v>
      </c>
      <c r="AP112" s="1219">
        <f t="shared" si="22"/>
        <v>327</v>
      </c>
      <c r="AQ112" s="1220">
        <f t="shared" si="22"/>
        <v>340</v>
      </c>
    </row>
    <row r="113" spans="1:43" ht="15" customHeight="1" x14ac:dyDescent="0.25">
      <c r="A113" s="5073"/>
      <c r="B113" s="5542" t="s">
        <v>11</v>
      </c>
      <c r="C113" s="5539" t="s">
        <v>528</v>
      </c>
      <c r="D113" s="1454" t="s">
        <v>395</v>
      </c>
      <c r="E113" s="1230">
        <v>8</v>
      </c>
      <c r="F113" s="1231">
        <v>8</v>
      </c>
      <c r="G113" s="1231">
        <v>6</v>
      </c>
      <c r="H113" s="1230">
        <v>10</v>
      </c>
      <c r="I113" s="1231">
        <v>10</v>
      </c>
      <c r="J113" s="1231">
        <v>10</v>
      </c>
      <c r="K113" s="1230"/>
      <c r="L113" s="1231"/>
      <c r="M113" s="1232"/>
      <c r="N113" s="1231">
        <v>13</v>
      </c>
      <c r="O113" s="1231">
        <v>11</v>
      </c>
      <c r="P113" s="1232">
        <v>11</v>
      </c>
      <c r="Q113" s="1231">
        <v>8</v>
      </c>
      <c r="R113" s="1231">
        <v>8</v>
      </c>
      <c r="S113" s="1232">
        <v>8</v>
      </c>
      <c r="T113" s="1231">
        <v>12</v>
      </c>
      <c r="U113" s="1231">
        <v>12</v>
      </c>
      <c r="V113" s="1232">
        <v>12</v>
      </c>
      <c r="W113" s="1231">
        <v>10</v>
      </c>
      <c r="X113" s="1231">
        <v>8</v>
      </c>
      <c r="Y113" s="1232">
        <v>7</v>
      </c>
      <c r="Z113" s="1231"/>
      <c r="AA113" s="1231" t="s">
        <v>227</v>
      </c>
      <c r="AB113" s="1232" t="s">
        <v>227</v>
      </c>
      <c r="AC113" s="1231">
        <v>17</v>
      </c>
      <c r="AD113" s="1231">
        <v>9</v>
      </c>
      <c r="AE113" s="1232">
        <v>9</v>
      </c>
      <c r="AF113" s="1231">
        <v>9</v>
      </c>
      <c r="AG113" s="1231"/>
      <c r="AH113" s="1232"/>
      <c r="AI113" s="1231">
        <v>12</v>
      </c>
      <c r="AJ113" s="1231">
        <v>9</v>
      </c>
      <c r="AK113" s="1232">
        <v>1</v>
      </c>
      <c r="AL113" s="1231">
        <v>8</v>
      </c>
      <c r="AM113" s="1231"/>
      <c r="AN113" s="1232"/>
      <c r="AO113" s="1231"/>
      <c r="AP113" s="1231"/>
      <c r="AQ113" s="1232"/>
    </row>
    <row r="114" spans="1:43" ht="15" customHeight="1" x14ac:dyDescent="0.25">
      <c r="A114" s="5073"/>
      <c r="B114" s="5542"/>
      <c r="C114" s="5540"/>
      <c r="D114" s="1455" t="s">
        <v>397</v>
      </c>
      <c r="E114" s="1210">
        <v>4</v>
      </c>
      <c r="F114" s="1211"/>
      <c r="G114" s="1211"/>
      <c r="H114" s="1210"/>
      <c r="I114" s="1211"/>
      <c r="J114" s="1211"/>
      <c r="K114" s="1210"/>
      <c r="L114" s="1211"/>
      <c r="M114" s="1212"/>
      <c r="N114" s="1211"/>
      <c r="O114" s="1211"/>
      <c r="P114" s="1212"/>
      <c r="Q114" s="1211"/>
      <c r="R114" s="1211"/>
      <c r="S114" s="1212"/>
      <c r="T114" s="1211"/>
      <c r="U114" s="1211"/>
      <c r="V114" s="1212"/>
      <c r="W114" s="1211"/>
      <c r="X114" s="1211"/>
      <c r="Y114" s="1212"/>
      <c r="Z114" s="1211"/>
      <c r="AA114" s="1211"/>
      <c r="AB114" s="1212"/>
      <c r="AC114" s="1211"/>
      <c r="AD114" s="1211"/>
      <c r="AE114" s="1212"/>
      <c r="AF114" s="1211"/>
      <c r="AG114" s="1211"/>
      <c r="AH114" s="1212"/>
      <c r="AI114" s="1211"/>
      <c r="AJ114" s="1211"/>
      <c r="AK114" s="1212"/>
      <c r="AL114" s="1211"/>
      <c r="AM114" s="1211"/>
      <c r="AN114" s="1212"/>
      <c r="AO114" s="1211"/>
      <c r="AP114" s="1211"/>
      <c r="AQ114" s="1212"/>
    </row>
    <row r="115" spans="1:43" ht="15" customHeight="1" x14ac:dyDescent="0.25">
      <c r="A115" s="5073"/>
      <c r="B115" s="5542"/>
      <c r="C115" s="5541"/>
      <c r="D115" s="1455" t="s">
        <v>91</v>
      </c>
      <c r="E115" s="1210"/>
      <c r="F115" s="1211"/>
      <c r="G115" s="1211"/>
      <c r="H115" s="1210"/>
      <c r="I115" s="1211"/>
      <c r="J115" s="1211"/>
      <c r="K115" s="1210"/>
      <c r="L115" s="1211"/>
      <c r="M115" s="1212"/>
      <c r="N115" s="1211"/>
      <c r="O115" s="1211"/>
      <c r="P115" s="1212"/>
      <c r="Q115" s="1211"/>
      <c r="R115" s="1211"/>
      <c r="S115" s="1212"/>
      <c r="T115" s="1211"/>
      <c r="U115" s="1211"/>
      <c r="V115" s="1212"/>
      <c r="W115" s="1211"/>
      <c r="X115" s="1211"/>
      <c r="Y115" s="1212"/>
      <c r="Z115" s="1211">
        <v>1</v>
      </c>
      <c r="AA115" s="1211"/>
      <c r="AB115" s="1212"/>
      <c r="AC115" s="1211">
        <v>14</v>
      </c>
      <c r="AD115" s="1211">
        <v>11</v>
      </c>
      <c r="AE115" s="1212">
        <v>19</v>
      </c>
      <c r="AF115" s="1211">
        <v>20</v>
      </c>
      <c r="AG115" s="1211">
        <v>20</v>
      </c>
      <c r="AH115" s="1212">
        <v>16</v>
      </c>
      <c r="AI115" s="1211">
        <v>18</v>
      </c>
      <c r="AJ115" s="1211">
        <v>20</v>
      </c>
      <c r="AK115" s="1212">
        <v>9</v>
      </c>
      <c r="AL115" s="1211">
        <v>9</v>
      </c>
      <c r="AM115" s="1211">
        <v>10</v>
      </c>
      <c r="AN115" s="1212">
        <v>10</v>
      </c>
      <c r="AO115" s="1211">
        <v>11</v>
      </c>
      <c r="AP115" s="1211">
        <v>6</v>
      </c>
      <c r="AQ115" s="1212">
        <v>6</v>
      </c>
    </row>
    <row r="116" spans="1:43" ht="15" customHeight="1" x14ac:dyDescent="0.25">
      <c r="A116" s="5073"/>
      <c r="B116" s="5542"/>
      <c r="C116" s="5539" t="s">
        <v>527</v>
      </c>
      <c r="D116" s="1455" t="s">
        <v>396</v>
      </c>
      <c r="E116" s="1210"/>
      <c r="F116" s="1211"/>
      <c r="G116" s="1211"/>
      <c r="H116" s="1210"/>
      <c r="I116" s="1211"/>
      <c r="J116" s="1211"/>
      <c r="K116" s="1210"/>
      <c r="L116" s="1211"/>
      <c r="M116" s="1212"/>
      <c r="N116" s="1211"/>
      <c r="O116" s="1211"/>
      <c r="P116" s="1212"/>
      <c r="Q116" s="1211"/>
      <c r="R116" s="1211"/>
      <c r="S116" s="1212"/>
      <c r="T116" s="1211"/>
      <c r="U116" s="1211"/>
      <c r="V116" s="1212"/>
      <c r="W116" s="1211"/>
      <c r="X116" s="1211"/>
      <c r="Y116" s="1212"/>
      <c r="Z116" s="1211">
        <v>6</v>
      </c>
      <c r="AA116" s="1211">
        <v>6</v>
      </c>
      <c r="AB116" s="1212">
        <v>6</v>
      </c>
      <c r="AC116" s="1211"/>
      <c r="AD116" s="1211">
        <v>1</v>
      </c>
      <c r="AE116" s="1212">
        <v>1</v>
      </c>
      <c r="AF116" s="1211">
        <v>10</v>
      </c>
      <c r="AG116" s="1211">
        <v>9</v>
      </c>
      <c r="AH116" s="1212">
        <v>9</v>
      </c>
      <c r="AI116" s="1211">
        <v>7</v>
      </c>
      <c r="AJ116" s="1211">
        <v>7</v>
      </c>
      <c r="AK116" s="1212"/>
      <c r="AL116" s="1211">
        <v>8</v>
      </c>
      <c r="AM116" s="1211">
        <v>7</v>
      </c>
      <c r="AN116" s="1212">
        <v>7</v>
      </c>
      <c r="AO116" s="1211">
        <v>12</v>
      </c>
      <c r="AP116" s="1211">
        <v>11</v>
      </c>
      <c r="AQ116" s="1212">
        <v>11</v>
      </c>
    </row>
    <row r="117" spans="1:43" ht="15" customHeight="1" x14ac:dyDescent="0.25">
      <c r="A117" s="5073"/>
      <c r="B117" s="5542"/>
      <c r="C117" s="5540"/>
      <c r="D117" s="1455" t="s">
        <v>94</v>
      </c>
      <c r="E117" s="1210">
        <v>16</v>
      </c>
      <c r="F117" s="1211">
        <v>16</v>
      </c>
      <c r="G117" s="1211">
        <v>16</v>
      </c>
      <c r="H117" s="1210">
        <v>14</v>
      </c>
      <c r="I117" s="1211">
        <v>14</v>
      </c>
      <c r="J117" s="1211">
        <v>13</v>
      </c>
      <c r="K117" s="1210">
        <v>13</v>
      </c>
      <c r="L117" s="1211">
        <v>13</v>
      </c>
      <c r="M117" s="1212">
        <v>13</v>
      </c>
      <c r="N117" s="1211">
        <v>12</v>
      </c>
      <c r="O117" s="1211">
        <v>11</v>
      </c>
      <c r="P117" s="1212">
        <v>11</v>
      </c>
      <c r="Q117" s="1211">
        <v>11</v>
      </c>
      <c r="R117" s="1211">
        <v>11</v>
      </c>
      <c r="S117" s="1212">
        <v>16</v>
      </c>
      <c r="T117" s="1211">
        <v>15</v>
      </c>
      <c r="U117" s="1211">
        <v>15</v>
      </c>
      <c r="V117" s="1212">
        <v>14</v>
      </c>
      <c r="W117" s="1211">
        <v>15</v>
      </c>
      <c r="X117" s="1211">
        <v>17</v>
      </c>
      <c r="Y117" s="1212">
        <v>17</v>
      </c>
      <c r="Z117" s="1211">
        <v>15</v>
      </c>
      <c r="AA117" s="1211">
        <v>14</v>
      </c>
      <c r="AB117" s="1212">
        <v>14</v>
      </c>
      <c r="AC117" s="1211">
        <v>13</v>
      </c>
      <c r="AD117" s="1211">
        <v>14</v>
      </c>
      <c r="AE117" s="1212">
        <v>3</v>
      </c>
      <c r="AF117" s="1211">
        <v>2</v>
      </c>
      <c r="AG117" s="1211"/>
      <c r="AH117" s="1212">
        <v>5</v>
      </c>
      <c r="AI117" s="1211">
        <v>20</v>
      </c>
      <c r="AJ117" s="1211">
        <v>21</v>
      </c>
      <c r="AK117" s="1212">
        <v>12</v>
      </c>
      <c r="AL117" s="1211">
        <v>10</v>
      </c>
      <c r="AM117" s="1211">
        <v>10</v>
      </c>
      <c r="AN117" s="1212">
        <v>11</v>
      </c>
      <c r="AO117" s="1211">
        <v>13</v>
      </c>
      <c r="AP117" s="1211">
        <v>12</v>
      </c>
      <c r="AQ117" s="1212">
        <v>20</v>
      </c>
    </row>
    <row r="118" spans="1:43" ht="15" customHeight="1" x14ac:dyDescent="0.25">
      <c r="A118" s="5073"/>
      <c r="B118" s="5542"/>
      <c r="C118" s="5540"/>
      <c r="D118" s="1455" t="s">
        <v>93</v>
      </c>
      <c r="E118" s="1210">
        <v>24</v>
      </c>
      <c r="F118" s="1211">
        <v>18</v>
      </c>
      <c r="G118" s="1211">
        <v>7</v>
      </c>
      <c r="H118" s="1210">
        <v>19</v>
      </c>
      <c r="I118" s="1211">
        <v>19</v>
      </c>
      <c r="J118" s="1211">
        <v>13</v>
      </c>
      <c r="K118" s="1210">
        <v>13</v>
      </c>
      <c r="L118" s="1211">
        <v>13</v>
      </c>
      <c r="M118" s="1212">
        <v>26</v>
      </c>
      <c r="N118" s="1211">
        <v>25</v>
      </c>
      <c r="O118" s="1211">
        <v>24</v>
      </c>
      <c r="P118" s="1212">
        <v>25</v>
      </c>
      <c r="Q118" s="1211">
        <v>22</v>
      </c>
      <c r="R118" s="1211">
        <v>20</v>
      </c>
      <c r="S118" s="1212">
        <v>32</v>
      </c>
      <c r="T118" s="1211">
        <v>20</v>
      </c>
      <c r="U118" s="1211">
        <v>19</v>
      </c>
      <c r="V118" s="1212">
        <v>34</v>
      </c>
      <c r="W118" s="1211">
        <v>26</v>
      </c>
      <c r="X118" s="1211">
        <v>26</v>
      </c>
      <c r="Y118" s="1212">
        <v>29</v>
      </c>
      <c r="Z118" s="1211">
        <v>30</v>
      </c>
      <c r="AA118" s="1211">
        <v>30</v>
      </c>
      <c r="AB118" s="1212">
        <v>32</v>
      </c>
      <c r="AC118" s="1211">
        <v>28</v>
      </c>
      <c r="AD118" s="1211">
        <v>28</v>
      </c>
      <c r="AE118" s="1212">
        <v>29</v>
      </c>
      <c r="AF118" s="1211">
        <v>27</v>
      </c>
      <c r="AG118" s="1211">
        <v>25</v>
      </c>
      <c r="AH118" s="1212">
        <v>38</v>
      </c>
      <c r="AI118" s="1211">
        <v>32</v>
      </c>
      <c r="AJ118" s="1211">
        <v>31</v>
      </c>
      <c r="AK118" s="1212">
        <v>37</v>
      </c>
      <c r="AL118" s="1211">
        <v>29</v>
      </c>
      <c r="AM118" s="1211">
        <v>29</v>
      </c>
      <c r="AN118" s="1212">
        <v>41</v>
      </c>
      <c r="AO118" s="1211">
        <v>32</v>
      </c>
      <c r="AP118" s="1211">
        <v>32</v>
      </c>
      <c r="AQ118" s="1212">
        <v>30</v>
      </c>
    </row>
    <row r="119" spans="1:43" ht="15" customHeight="1" x14ac:dyDescent="0.25">
      <c r="A119" s="5073"/>
      <c r="B119" s="5542"/>
      <c r="C119" s="5540"/>
      <c r="D119" s="1455" t="s">
        <v>398</v>
      </c>
      <c r="E119" s="1210">
        <v>8</v>
      </c>
      <c r="F119" s="1211">
        <v>9</v>
      </c>
      <c r="G119" s="1211">
        <v>14</v>
      </c>
      <c r="H119" s="1210">
        <v>6</v>
      </c>
      <c r="I119" s="1211">
        <v>6</v>
      </c>
      <c r="J119" s="1211">
        <v>6</v>
      </c>
      <c r="K119" s="1210">
        <v>12</v>
      </c>
      <c r="L119" s="1211">
        <v>10</v>
      </c>
      <c r="M119" s="1212">
        <v>10</v>
      </c>
      <c r="N119" s="1211">
        <v>10</v>
      </c>
      <c r="O119" s="1211">
        <v>10</v>
      </c>
      <c r="P119" s="1212">
        <v>14</v>
      </c>
      <c r="Q119" s="1211">
        <v>15</v>
      </c>
      <c r="R119" s="1211">
        <v>8</v>
      </c>
      <c r="S119" s="1212">
        <v>8</v>
      </c>
      <c r="T119" s="1211">
        <v>9</v>
      </c>
      <c r="U119" s="1211">
        <v>11</v>
      </c>
      <c r="V119" s="1212">
        <v>14</v>
      </c>
      <c r="W119" s="1211">
        <v>9</v>
      </c>
      <c r="X119" s="1211">
        <v>9</v>
      </c>
      <c r="Y119" s="1212">
        <v>9</v>
      </c>
      <c r="Z119" s="1211">
        <v>11</v>
      </c>
      <c r="AA119" s="1211">
        <v>16</v>
      </c>
      <c r="AB119" s="1212">
        <v>11</v>
      </c>
      <c r="AC119" s="1211">
        <v>11</v>
      </c>
      <c r="AD119" s="1211">
        <v>10</v>
      </c>
      <c r="AE119" s="1212">
        <v>13</v>
      </c>
      <c r="AF119" s="1211">
        <v>18</v>
      </c>
      <c r="AG119" s="1211">
        <v>13</v>
      </c>
      <c r="AH119" s="1212">
        <v>12</v>
      </c>
      <c r="AI119" s="1211">
        <v>12</v>
      </c>
      <c r="AJ119" s="1211">
        <v>14</v>
      </c>
      <c r="AK119" s="1212">
        <v>17</v>
      </c>
      <c r="AL119" s="1211">
        <v>10</v>
      </c>
      <c r="AM119" s="1211">
        <v>9</v>
      </c>
      <c r="AN119" s="1212">
        <v>9</v>
      </c>
      <c r="AO119" s="1211">
        <v>19</v>
      </c>
      <c r="AP119" s="1211">
        <v>14</v>
      </c>
      <c r="AQ119" s="1212">
        <v>15</v>
      </c>
    </row>
    <row r="120" spans="1:43" ht="15" customHeight="1" x14ac:dyDescent="0.25">
      <c r="A120" s="5073"/>
      <c r="B120" s="5542"/>
      <c r="C120" s="5540"/>
      <c r="D120" s="1455" t="s">
        <v>443</v>
      </c>
      <c r="E120" s="1210">
        <v>7</v>
      </c>
      <c r="F120" s="1211">
        <v>7</v>
      </c>
      <c r="G120" s="1211">
        <v>10</v>
      </c>
      <c r="H120" s="1210">
        <v>10</v>
      </c>
      <c r="I120" s="1211">
        <v>10</v>
      </c>
      <c r="J120" s="1211">
        <v>10</v>
      </c>
      <c r="K120" s="1210">
        <v>9</v>
      </c>
      <c r="L120" s="1211">
        <v>9</v>
      </c>
      <c r="M120" s="1212">
        <v>5</v>
      </c>
      <c r="N120" s="1211">
        <v>5</v>
      </c>
      <c r="O120" s="1211">
        <v>4</v>
      </c>
      <c r="P120" s="1212">
        <v>4</v>
      </c>
      <c r="Q120" s="1211">
        <v>5</v>
      </c>
      <c r="R120" s="1211">
        <v>4</v>
      </c>
      <c r="S120" s="1212">
        <v>15</v>
      </c>
      <c r="T120" s="1211">
        <v>9</v>
      </c>
      <c r="U120" s="1211">
        <v>9</v>
      </c>
      <c r="V120" s="1212">
        <v>8</v>
      </c>
      <c r="W120" s="1211">
        <v>7</v>
      </c>
      <c r="X120" s="1211">
        <v>8</v>
      </c>
      <c r="Y120" s="1212">
        <v>6</v>
      </c>
      <c r="Z120" s="1211">
        <v>1</v>
      </c>
      <c r="AA120" s="1211">
        <v>0</v>
      </c>
      <c r="AB120" s="1212">
        <v>6</v>
      </c>
      <c r="AC120" s="1211">
        <v>6</v>
      </c>
      <c r="AD120" s="1211">
        <v>6</v>
      </c>
      <c r="AE120" s="1212">
        <v>5</v>
      </c>
      <c r="AF120" s="1211">
        <v>5</v>
      </c>
      <c r="AG120" s="1211">
        <v>5</v>
      </c>
      <c r="AH120" s="1212">
        <v>6</v>
      </c>
      <c r="AI120" s="1211">
        <v>6</v>
      </c>
      <c r="AJ120" s="1211">
        <v>5</v>
      </c>
      <c r="AK120" s="1212">
        <v>4</v>
      </c>
      <c r="AL120" s="1211">
        <v>4</v>
      </c>
      <c r="AM120" s="1211">
        <v>4</v>
      </c>
      <c r="AN120" s="1212">
        <v>1</v>
      </c>
      <c r="AO120" s="1211"/>
      <c r="AP120" s="1211"/>
      <c r="AQ120" s="1212">
        <v>7</v>
      </c>
    </row>
    <row r="121" spans="1:43" ht="15" customHeight="1" x14ac:dyDescent="0.25">
      <c r="A121" s="5073"/>
      <c r="B121" s="5542"/>
      <c r="C121" s="5540"/>
      <c r="D121" s="1455" t="s">
        <v>95</v>
      </c>
      <c r="E121" s="1210">
        <v>24</v>
      </c>
      <c r="F121" s="1211">
        <v>18</v>
      </c>
      <c r="G121" s="1211">
        <v>17</v>
      </c>
      <c r="H121" s="1210">
        <v>18</v>
      </c>
      <c r="I121" s="1211">
        <v>15</v>
      </c>
      <c r="J121" s="1211">
        <v>18</v>
      </c>
      <c r="K121" s="1210">
        <v>21</v>
      </c>
      <c r="L121" s="1211">
        <v>20</v>
      </c>
      <c r="M121" s="1212">
        <v>29</v>
      </c>
      <c r="N121" s="1211">
        <v>23</v>
      </c>
      <c r="O121" s="1211">
        <v>27</v>
      </c>
      <c r="P121" s="1212">
        <v>24</v>
      </c>
      <c r="Q121" s="1211">
        <v>20</v>
      </c>
      <c r="R121" s="1211">
        <v>27</v>
      </c>
      <c r="S121" s="1212">
        <v>25</v>
      </c>
      <c r="T121" s="1211">
        <v>26</v>
      </c>
      <c r="U121" s="1211">
        <v>25</v>
      </c>
      <c r="V121" s="1212">
        <v>34</v>
      </c>
      <c r="W121" s="1211">
        <v>42</v>
      </c>
      <c r="X121" s="1211">
        <v>44</v>
      </c>
      <c r="Y121" s="1212">
        <v>44</v>
      </c>
      <c r="Z121" s="1211">
        <v>43</v>
      </c>
      <c r="AA121" s="1211">
        <v>46</v>
      </c>
      <c r="AB121" s="1212">
        <v>38</v>
      </c>
      <c r="AC121" s="1211">
        <v>34</v>
      </c>
      <c r="AD121" s="1211">
        <v>25</v>
      </c>
      <c r="AE121" s="1212">
        <v>23</v>
      </c>
      <c r="AF121" s="1211">
        <v>27</v>
      </c>
      <c r="AG121" s="1211">
        <v>28</v>
      </c>
      <c r="AH121" s="1212">
        <v>28</v>
      </c>
      <c r="AI121" s="1211">
        <v>29</v>
      </c>
      <c r="AJ121" s="1211">
        <v>36</v>
      </c>
      <c r="AK121" s="1212">
        <v>36</v>
      </c>
      <c r="AL121" s="1211">
        <v>35</v>
      </c>
      <c r="AM121" s="1211">
        <v>39</v>
      </c>
      <c r="AN121" s="1212">
        <v>42</v>
      </c>
      <c r="AO121" s="1211">
        <v>40</v>
      </c>
      <c r="AP121" s="1211">
        <v>42</v>
      </c>
      <c r="AQ121" s="1212">
        <v>39</v>
      </c>
    </row>
    <row r="122" spans="1:43" ht="15" customHeight="1" x14ac:dyDescent="0.25">
      <c r="A122" s="5073"/>
      <c r="B122" s="5542"/>
      <c r="C122" s="5540"/>
      <c r="D122" s="1455" t="s">
        <v>781</v>
      </c>
      <c r="E122" s="1210"/>
      <c r="F122" s="1211"/>
      <c r="G122" s="1211"/>
      <c r="H122" s="1210"/>
      <c r="I122" s="1211"/>
      <c r="J122" s="1211"/>
      <c r="K122" s="1210"/>
      <c r="L122" s="1211"/>
      <c r="M122" s="1212"/>
      <c r="N122" s="1211"/>
      <c r="O122" s="1211"/>
      <c r="P122" s="1212"/>
      <c r="Q122" s="1211"/>
      <c r="R122" s="1211"/>
      <c r="S122" s="1212"/>
      <c r="T122" s="1211"/>
      <c r="U122" s="1211"/>
      <c r="V122" s="1212"/>
      <c r="W122" s="1211"/>
      <c r="X122" s="1211"/>
      <c r="Y122" s="1212"/>
      <c r="Z122" s="1211"/>
      <c r="AA122" s="1211"/>
      <c r="AB122" s="1212"/>
      <c r="AC122" s="1211"/>
      <c r="AD122" s="1211"/>
      <c r="AE122" s="1212"/>
      <c r="AF122" s="1211"/>
      <c r="AG122" s="1211"/>
      <c r="AH122" s="1212"/>
      <c r="AI122" s="1211"/>
      <c r="AJ122" s="1211"/>
      <c r="AK122" s="1212"/>
      <c r="AL122" s="1211"/>
      <c r="AM122" s="1211">
        <v>10</v>
      </c>
      <c r="AN122" s="1212">
        <v>9</v>
      </c>
      <c r="AO122" s="1211">
        <v>9</v>
      </c>
      <c r="AP122" s="1211">
        <v>20</v>
      </c>
      <c r="AQ122" s="1212">
        <v>20</v>
      </c>
    </row>
    <row r="123" spans="1:43" ht="15" customHeight="1" x14ac:dyDescent="0.25">
      <c r="A123" s="5073"/>
      <c r="B123" s="5542"/>
      <c r="C123" s="5541"/>
      <c r="D123" s="1455" t="s">
        <v>92</v>
      </c>
      <c r="E123" s="1210">
        <v>14</v>
      </c>
      <c r="F123" s="1211">
        <v>12</v>
      </c>
      <c r="G123" s="1211">
        <v>24</v>
      </c>
      <c r="H123" s="1210">
        <v>16</v>
      </c>
      <c r="I123" s="1211">
        <v>15</v>
      </c>
      <c r="J123" s="1211">
        <v>17</v>
      </c>
      <c r="K123" s="1210">
        <v>16</v>
      </c>
      <c r="L123" s="1211">
        <v>16</v>
      </c>
      <c r="M123" s="1212">
        <v>31</v>
      </c>
      <c r="N123" s="1211">
        <v>30</v>
      </c>
      <c r="O123" s="1211">
        <v>29</v>
      </c>
      <c r="P123" s="1212">
        <v>40</v>
      </c>
      <c r="Q123" s="1211">
        <v>42</v>
      </c>
      <c r="R123" s="1211">
        <v>40</v>
      </c>
      <c r="S123" s="1212">
        <v>36</v>
      </c>
      <c r="T123" s="1211">
        <v>30</v>
      </c>
      <c r="U123" s="1211">
        <v>31</v>
      </c>
      <c r="V123" s="1212">
        <v>33</v>
      </c>
      <c r="W123" s="1211">
        <v>32</v>
      </c>
      <c r="X123" s="1211">
        <v>32</v>
      </c>
      <c r="Y123" s="1212">
        <v>41</v>
      </c>
      <c r="Z123" s="1211">
        <v>39</v>
      </c>
      <c r="AA123" s="1211">
        <v>36</v>
      </c>
      <c r="AB123" s="1212">
        <v>41</v>
      </c>
      <c r="AC123" s="1211">
        <v>40</v>
      </c>
      <c r="AD123" s="1211">
        <v>48</v>
      </c>
      <c r="AE123" s="1212">
        <v>48</v>
      </c>
      <c r="AF123" s="1211">
        <v>45</v>
      </c>
      <c r="AG123" s="1211">
        <v>56</v>
      </c>
      <c r="AH123" s="1212">
        <v>59</v>
      </c>
      <c r="AI123" s="1211">
        <v>55</v>
      </c>
      <c r="AJ123" s="1211">
        <v>55</v>
      </c>
      <c r="AK123" s="1212">
        <v>54</v>
      </c>
      <c r="AL123" s="1211">
        <v>52</v>
      </c>
      <c r="AM123" s="1211">
        <v>60</v>
      </c>
      <c r="AN123" s="1212">
        <v>65</v>
      </c>
      <c r="AO123" s="1211">
        <v>56</v>
      </c>
      <c r="AP123" s="1211">
        <v>58</v>
      </c>
      <c r="AQ123" s="1212">
        <v>52</v>
      </c>
    </row>
    <row r="124" spans="1:43" ht="15" customHeight="1" x14ac:dyDescent="0.25">
      <c r="A124" s="5073"/>
      <c r="B124" s="5542"/>
      <c r="C124" s="5539" t="s">
        <v>526</v>
      </c>
      <c r="D124" s="1451" t="s">
        <v>361</v>
      </c>
      <c r="E124" s="1210">
        <v>62</v>
      </c>
      <c r="F124" s="1211">
        <v>56</v>
      </c>
      <c r="G124" s="1211">
        <v>55</v>
      </c>
      <c r="H124" s="1210">
        <v>47</v>
      </c>
      <c r="I124" s="1211">
        <v>46</v>
      </c>
      <c r="J124" s="1211">
        <v>44</v>
      </c>
      <c r="K124" s="1210">
        <v>43</v>
      </c>
      <c r="L124" s="1211">
        <v>41</v>
      </c>
      <c r="M124" s="1212">
        <v>38</v>
      </c>
      <c r="N124" s="1211">
        <v>38</v>
      </c>
      <c r="O124" s="1211">
        <v>28</v>
      </c>
      <c r="P124" s="1212">
        <v>38</v>
      </c>
      <c r="Q124" s="1211">
        <v>49</v>
      </c>
      <c r="R124" s="1211">
        <v>41</v>
      </c>
      <c r="S124" s="1212">
        <v>42</v>
      </c>
      <c r="T124" s="1211">
        <v>44</v>
      </c>
      <c r="U124" s="1211">
        <v>35</v>
      </c>
      <c r="V124" s="1212">
        <v>40</v>
      </c>
      <c r="W124" s="1211">
        <v>36</v>
      </c>
      <c r="X124" s="1211">
        <v>43</v>
      </c>
      <c r="Y124" s="1212">
        <v>54</v>
      </c>
      <c r="Z124" s="1211">
        <v>61</v>
      </c>
      <c r="AA124" s="1211">
        <v>54</v>
      </c>
      <c r="AB124" s="1212">
        <v>57</v>
      </c>
      <c r="AC124" s="1211">
        <v>65</v>
      </c>
      <c r="AD124" s="1211">
        <v>55</v>
      </c>
      <c r="AE124" s="1212">
        <v>65</v>
      </c>
      <c r="AF124" s="1211">
        <v>65</v>
      </c>
      <c r="AG124" s="1211">
        <v>62</v>
      </c>
      <c r="AH124" s="1212">
        <v>63</v>
      </c>
      <c r="AI124" s="1211">
        <v>61</v>
      </c>
      <c r="AJ124" s="1211">
        <v>61</v>
      </c>
      <c r="AK124" s="1212">
        <v>59</v>
      </c>
      <c r="AL124" s="1211">
        <v>57</v>
      </c>
      <c r="AM124" s="1211">
        <v>61</v>
      </c>
      <c r="AN124" s="1212">
        <v>64</v>
      </c>
      <c r="AO124" s="1211">
        <v>70</v>
      </c>
      <c r="AP124" s="1211">
        <v>63</v>
      </c>
      <c r="AQ124" s="1212">
        <v>70</v>
      </c>
    </row>
    <row r="125" spans="1:43" ht="15" customHeight="1" x14ac:dyDescent="0.25">
      <c r="A125" s="5073"/>
      <c r="B125" s="5542"/>
      <c r="C125" s="5540"/>
      <c r="D125" s="1447" t="s">
        <v>594</v>
      </c>
      <c r="E125" s="1456"/>
      <c r="F125" s="1457"/>
      <c r="G125" s="1457"/>
      <c r="H125" s="1456"/>
      <c r="I125" s="1457"/>
      <c r="J125" s="1457"/>
      <c r="K125" s="1456"/>
      <c r="L125" s="1457"/>
      <c r="M125" s="1262"/>
      <c r="N125" s="1457"/>
      <c r="O125" s="1457"/>
      <c r="P125" s="1262"/>
      <c r="Q125" s="1457"/>
      <c r="R125" s="1457"/>
      <c r="S125" s="1262"/>
      <c r="T125" s="1457"/>
      <c r="U125" s="1457"/>
      <c r="V125" s="1262"/>
      <c r="W125" s="1457"/>
      <c r="X125" s="1457"/>
      <c r="Y125" s="1262"/>
      <c r="Z125" s="1457"/>
      <c r="AA125" s="1457"/>
      <c r="AB125" s="1262"/>
      <c r="AC125" s="1457"/>
      <c r="AD125" s="1457"/>
      <c r="AE125" s="1262"/>
      <c r="AF125" s="1457"/>
      <c r="AG125" s="1457"/>
      <c r="AH125" s="1262"/>
      <c r="AI125" s="1457">
        <v>9</v>
      </c>
      <c r="AJ125" s="1457">
        <v>9</v>
      </c>
      <c r="AK125" s="1262">
        <v>9</v>
      </c>
      <c r="AL125" s="1457">
        <v>12</v>
      </c>
      <c r="AM125" s="1457">
        <v>12</v>
      </c>
      <c r="AN125" s="1262">
        <v>16</v>
      </c>
      <c r="AO125" s="1457">
        <v>21</v>
      </c>
      <c r="AP125" s="1457">
        <v>21</v>
      </c>
      <c r="AQ125" s="1262">
        <v>21</v>
      </c>
    </row>
    <row r="126" spans="1:43" ht="15" customHeight="1" x14ac:dyDescent="0.25">
      <c r="A126" s="5073"/>
      <c r="B126" s="5542"/>
      <c r="C126" s="5540"/>
      <c r="D126" s="1447" t="s">
        <v>96</v>
      </c>
      <c r="E126" s="1213"/>
      <c r="F126" s="1214"/>
      <c r="G126" s="1214">
        <v>11</v>
      </c>
      <c r="H126" s="1213">
        <v>10</v>
      </c>
      <c r="I126" s="1214">
        <v>10</v>
      </c>
      <c r="J126" s="1214">
        <v>14</v>
      </c>
      <c r="K126" s="1213">
        <v>14</v>
      </c>
      <c r="L126" s="1214">
        <v>14</v>
      </c>
      <c r="M126" s="1215">
        <v>25</v>
      </c>
      <c r="N126" s="1214">
        <v>18</v>
      </c>
      <c r="O126" s="1214">
        <v>20</v>
      </c>
      <c r="P126" s="1215">
        <v>33</v>
      </c>
      <c r="Q126" s="1214">
        <v>30</v>
      </c>
      <c r="R126" s="1214">
        <v>23</v>
      </c>
      <c r="S126" s="1215">
        <v>37</v>
      </c>
      <c r="T126" s="1214">
        <v>32</v>
      </c>
      <c r="U126" s="1214">
        <v>31</v>
      </c>
      <c r="V126" s="1215">
        <v>32</v>
      </c>
      <c r="W126" s="1214">
        <v>42</v>
      </c>
      <c r="X126" s="1214">
        <v>35</v>
      </c>
      <c r="Y126" s="1215">
        <v>31</v>
      </c>
      <c r="Z126" s="1214">
        <v>26</v>
      </c>
      <c r="AA126" s="1214">
        <v>19</v>
      </c>
      <c r="AB126" s="1215">
        <v>29</v>
      </c>
      <c r="AC126" s="1214">
        <v>27</v>
      </c>
      <c r="AD126" s="1214">
        <v>23</v>
      </c>
      <c r="AE126" s="1215">
        <v>23</v>
      </c>
      <c r="AF126" s="1214">
        <v>22</v>
      </c>
      <c r="AG126" s="1214">
        <v>18</v>
      </c>
      <c r="AH126" s="1215">
        <v>34</v>
      </c>
      <c r="AI126" s="1214">
        <v>31</v>
      </c>
      <c r="AJ126" s="1214">
        <v>27</v>
      </c>
      <c r="AK126" s="1215">
        <v>32</v>
      </c>
      <c r="AL126" s="1214">
        <v>20</v>
      </c>
      <c r="AM126" s="1214">
        <v>18</v>
      </c>
      <c r="AN126" s="1215">
        <v>34</v>
      </c>
      <c r="AO126" s="1214">
        <v>26</v>
      </c>
      <c r="AP126" s="1214">
        <v>27</v>
      </c>
      <c r="AQ126" s="1215">
        <v>19</v>
      </c>
    </row>
    <row r="127" spans="1:43" ht="15" customHeight="1" x14ac:dyDescent="0.2">
      <c r="A127" s="5073"/>
      <c r="B127" s="1443"/>
      <c r="C127" s="1240"/>
      <c r="D127" s="1449" t="s">
        <v>160</v>
      </c>
      <c r="E127" s="1218">
        <f t="shared" ref="E127:AK127" si="23">SUM(E113:E126)</f>
        <v>167</v>
      </c>
      <c r="F127" s="1219">
        <f t="shared" si="23"/>
        <v>144</v>
      </c>
      <c r="G127" s="1219">
        <f t="shared" si="23"/>
        <v>160</v>
      </c>
      <c r="H127" s="1218">
        <f t="shared" si="23"/>
        <v>150</v>
      </c>
      <c r="I127" s="1219">
        <f t="shared" si="23"/>
        <v>145</v>
      </c>
      <c r="J127" s="1219">
        <f t="shared" si="23"/>
        <v>145</v>
      </c>
      <c r="K127" s="1218">
        <f t="shared" si="23"/>
        <v>141</v>
      </c>
      <c r="L127" s="1219">
        <f t="shared" si="23"/>
        <v>136</v>
      </c>
      <c r="M127" s="1220">
        <f t="shared" si="23"/>
        <v>177</v>
      </c>
      <c r="N127" s="1219">
        <f t="shared" si="23"/>
        <v>174</v>
      </c>
      <c r="O127" s="1219">
        <f t="shared" si="23"/>
        <v>164</v>
      </c>
      <c r="P127" s="1220">
        <f t="shared" si="23"/>
        <v>200</v>
      </c>
      <c r="Q127" s="1219">
        <f t="shared" si="23"/>
        <v>202</v>
      </c>
      <c r="R127" s="1219">
        <f t="shared" si="23"/>
        <v>182</v>
      </c>
      <c r="S127" s="1220">
        <f t="shared" si="23"/>
        <v>219</v>
      </c>
      <c r="T127" s="1219">
        <f t="shared" si="23"/>
        <v>197</v>
      </c>
      <c r="U127" s="1219">
        <f t="shared" si="23"/>
        <v>188</v>
      </c>
      <c r="V127" s="1220">
        <f t="shared" si="23"/>
        <v>221</v>
      </c>
      <c r="W127" s="1219">
        <f t="shared" si="23"/>
        <v>219</v>
      </c>
      <c r="X127" s="1219">
        <f t="shared" si="23"/>
        <v>222</v>
      </c>
      <c r="Y127" s="1220">
        <f t="shared" si="23"/>
        <v>238</v>
      </c>
      <c r="Z127" s="1219">
        <f t="shared" si="23"/>
        <v>233</v>
      </c>
      <c r="AA127" s="1219">
        <f t="shared" si="23"/>
        <v>221</v>
      </c>
      <c r="AB127" s="1220">
        <f t="shared" si="23"/>
        <v>234</v>
      </c>
      <c r="AC127" s="1219">
        <f t="shared" si="23"/>
        <v>255</v>
      </c>
      <c r="AD127" s="1219">
        <f t="shared" si="23"/>
        <v>230</v>
      </c>
      <c r="AE127" s="1220">
        <f t="shared" si="23"/>
        <v>238</v>
      </c>
      <c r="AF127" s="1219">
        <f t="shared" si="23"/>
        <v>250</v>
      </c>
      <c r="AG127" s="1219">
        <f t="shared" si="23"/>
        <v>236</v>
      </c>
      <c r="AH127" s="1220">
        <f t="shared" si="23"/>
        <v>270</v>
      </c>
      <c r="AI127" s="1219">
        <f t="shared" si="23"/>
        <v>292</v>
      </c>
      <c r="AJ127" s="1219">
        <f t="shared" si="23"/>
        <v>295</v>
      </c>
      <c r="AK127" s="1220">
        <f t="shared" si="23"/>
        <v>270</v>
      </c>
      <c r="AL127" s="1219">
        <f t="shared" ref="AL127:AQ127" si="24">SUM(AL113:AL126)</f>
        <v>254</v>
      </c>
      <c r="AM127" s="1219">
        <f t="shared" si="24"/>
        <v>269</v>
      </c>
      <c r="AN127" s="1220">
        <f t="shared" si="24"/>
        <v>309</v>
      </c>
      <c r="AO127" s="1219">
        <f t="shared" si="24"/>
        <v>309</v>
      </c>
      <c r="AP127" s="1219">
        <f t="shared" si="24"/>
        <v>306</v>
      </c>
      <c r="AQ127" s="1220">
        <f t="shared" si="24"/>
        <v>310</v>
      </c>
    </row>
    <row r="128" spans="1:43" ht="15" customHeight="1" x14ac:dyDescent="0.25">
      <c r="A128" s="5073"/>
      <c r="B128" s="5478" t="s">
        <v>7</v>
      </c>
      <c r="C128" s="5539" t="s">
        <v>527</v>
      </c>
      <c r="D128" s="1458" t="s">
        <v>1</v>
      </c>
      <c r="E128" s="1207">
        <v>20</v>
      </c>
      <c r="F128" s="1208">
        <v>19</v>
      </c>
      <c r="G128" s="1208">
        <v>38</v>
      </c>
      <c r="H128" s="1207">
        <v>37</v>
      </c>
      <c r="I128" s="1208">
        <v>37</v>
      </c>
      <c r="J128" s="1208">
        <v>46</v>
      </c>
      <c r="K128" s="1207">
        <v>47</v>
      </c>
      <c r="L128" s="1208">
        <v>44</v>
      </c>
      <c r="M128" s="1209">
        <v>47</v>
      </c>
      <c r="N128" s="1208">
        <v>47</v>
      </c>
      <c r="O128" s="1208">
        <v>44</v>
      </c>
      <c r="P128" s="1209">
        <v>42</v>
      </c>
      <c r="Q128" s="1208">
        <v>44</v>
      </c>
      <c r="R128" s="1208">
        <v>42</v>
      </c>
      <c r="S128" s="1209">
        <v>43</v>
      </c>
      <c r="T128" s="1208">
        <v>42</v>
      </c>
      <c r="U128" s="1208">
        <v>42</v>
      </c>
      <c r="V128" s="1209">
        <v>39</v>
      </c>
      <c r="W128" s="1208">
        <v>39</v>
      </c>
      <c r="X128" s="1208">
        <v>36</v>
      </c>
      <c r="Y128" s="1209">
        <v>47</v>
      </c>
      <c r="Z128" s="1208">
        <v>41</v>
      </c>
      <c r="AA128" s="1208">
        <v>44</v>
      </c>
      <c r="AB128" s="1209">
        <v>36</v>
      </c>
      <c r="AC128" s="1208">
        <v>36</v>
      </c>
      <c r="AD128" s="1208">
        <v>36</v>
      </c>
      <c r="AE128" s="1209">
        <v>35</v>
      </c>
      <c r="AF128" s="1208">
        <v>33</v>
      </c>
      <c r="AG128" s="1208">
        <v>31</v>
      </c>
      <c r="AH128" s="1209">
        <v>38</v>
      </c>
      <c r="AI128" s="1208">
        <v>38</v>
      </c>
      <c r="AJ128" s="1208">
        <v>37</v>
      </c>
      <c r="AK128" s="1209">
        <v>41</v>
      </c>
      <c r="AL128" s="1208">
        <v>42</v>
      </c>
      <c r="AM128" s="1208">
        <v>42</v>
      </c>
      <c r="AN128" s="1209">
        <v>47</v>
      </c>
      <c r="AO128" s="1208">
        <v>46</v>
      </c>
      <c r="AP128" s="1208">
        <v>47</v>
      </c>
      <c r="AQ128" s="1209">
        <v>51</v>
      </c>
    </row>
    <row r="129" spans="1:43" ht="15" customHeight="1" x14ac:dyDescent="0.25">
      <c r="A129" s="5073"/>
      <c r="B129" s="5479"/>
      <c r="C129" s="5540"/>
      <c r="D129" s="1459" t="s">
        <v>399</v>
      </c>
      <c r="E129" s="1210"/>
      <c r="F129" s="1211"/>
      <c r="G129" s="1211"/>
      <c r="H129" s="1210"/>
      <c r="I129" s="1211"/>
      <c r="J129" s="1211"/>
      <c r="K129" s="1210"/>
      <c r="L129" s="1211"/>
      <c r="M129" s="1212"/>
      <c r="N129" s="1211"/>
      <c r="O129" s="1211"/>
      <c r="P129" s="1212"/>
      <c r="Q129" s="1211"/>
      <c r="R129" s="1211"/>
      <c r="S129" s="1212"/>
      <c r="T129" s="1211"/>
      <c r="U129" s="1211"/>
      <c r="V129" s="1212"/>
      <c r="W129" s="1211"/>
      <c r="X129" s="1211">
        <v>17</v>
      </c>
      <c r="Y129" s="1212">
        <v>17</v>
      </c>
      <c r="Z129" s="1211">
        <v>17</v>
      </c>
      <c r="AA129" s="1211">
        <v>17</v>
      </c>
      <c r="AB129" s="1212">
        <v>17</v>
      </c>
      <c r="AC129" s="1211">
        <v>17</v>
      </c>
      <c r="AD129" s="1211">
        <v>21</v>
      </c>
      <c r="AE129" s="1212">
        <v>15</v>
      </c>
      <c r="AF129" s="1211">
        <v>15</v>
      </c>
      <c r="AG129" s="1211">
        <v>15</v>
      </c>
      <c r="AH129" s="1212">
        <v>16</v>
      </c>
      <c r="AI129" s="1211">
        <v>15</v>
      </c>
      <c r="AJ129" s="1211">
        <v>28</v>
      </c>
      <c r="AK129" s="1212">
        <v>23</v>
      </c>
      <c r="AL129" s="1211">
        <v>21</v>
      </c>
      <c r="AM129" s="1211">
        <v>20</v>
      </c>
      <c r="AN129" s="1212">
        <v>20</v>
      </c>
      <c r="AO129" s="1211">
        <v>21</v>
      </c>
      <c r="AP129" s="1211">
        <v>23</v>
      </c>
      <c r="AQ129" s="1212">
        <v>23</v>
      </c>
    </row>
    <row r="130" spans="1:43" ht="15" customHeight="1" x14ac:dyDescent="0.25">
      <c r="A130" s="5073"/>
      <c r="B130" s="5479"/>
      <c r="C130" s="5541"/>
      <c r="D130" s="1460" t="s">
        <v>400</v>
      </c>
      <c r="E130" s="1213"/>
      <c r="F130" s="1214"/>
      <c r="G130" s="1214"/>
      <c r="H130" s="1213"/>
      <c r="I130" s="1214"/>
      <c r="J130" s="1214"/>
      <c r="K130" s="1213"/>
      <c r="L130" s="1214"/>
      <c r="M130" s="1215"/>
      <c r="N130" s="1214"/>
      <c r="O130" s="1214"/>
      <c r="P130" s="1215"/>
      <c r="Q130" s="1214"/>
      <c r="R130" s="1214"/>
      <c r="S130" s="1215"/>
      <c r="T130" s="1214"/>
      <c r="U130" s="1214"/>
      <c r="V130" s="1215"/>
      <c r="W130" s="1214"/>
      <c r="X130" s="1214"/>
      <c r="Y130" s="1215">
        <v>33</v>
      </c>
      <c r="Z130" s="1214">
        <v>33</v>
      </c>
      <c r="AA130" s="1214">
        <v>33</v>
      </c>
      <c r="AB130" s="1215">
        <v>33</v>
      </c>
      <c r="AC130" s="1214">
        <v>33</v>
      </c>
      <c r="AD130" s="1214">
        <v>57</v>
      </c>
      <c r="AE130" s="1215">
        <v>24</v>
      </c>
      <c r="AF130" s="1214">
        <v>26</v>
      </c>
      <c r="AG130" s="1214">
        <v>28</v>
      </c>
      <c r="AH130" s="1215">
        <v>23</v>
      </c>
      <c r="AI130" s="1214">
        <v>24</v>
      </c>
      <c r="AJ130" s="1214">
        <v>23</v>
      </c>
      <c r="AK130" s="1215">
        <v>24</v>
      </c>
      <c r="AL130" s="1214">
        <v>23</v>
      </c>
      <c r="AM130" s="1214">
        <v>18</v>
      </c>
      <c r="AN130" s="1215">
        <v>18</v>
      </c>
      <c r="AO130" s="1214">
        <v>19</v>
      </c>
      <c r="AP130" s="1214">
        <v>24</v>
      </c>
      <c r="AQ130" s="1215">
        <v>26</v>
      </c>
    </row>
    <row r="131" spans="1:43" ht="15" customHeight="1" x14ac:dyDescent="0.25">
      <c r="A131" s="5073"/>
      <c r="B131" s="5479"/>
      <c r="C131" s="1442" t="s">
        <v>526</v>
      </c>
      <c r="D131" s="1461" t="s">
        <v>2</v>
      </c>
      <c r="E131" s="1210">
        <v>11</v>
      </c>
      <c r="F131" s="1211">
        <v>11</v>
      </c>
      <c r="G131" s="1211">
        <v>10</v>
      </c>
      <c r="H131" s="1210">
        <v>10</v>
      </c>
      <c r="I131" s="1211">
        <v>10</v>
      </c>
      <c r="J131" s="1211">
        <v>23</v>
      </c>
      <c r="K131" s="1210">
        <v>19</v>
      </c>
      <c r="L131" s="1211">
        <v>19</v>
      </c>
      <c r="M131" s="1212">
        <v>15</v>
      </c>
      <c r="N131" s="1211">
        <v>30</v>
      </c>
      <c r="O131" s="1211">
        <v>26</v>
      </c>
      <c r="P131" s="1212">
        <v>27</v>
      </c>
      <c r="Q131" s="1211">
        <v>33</v>
      </c>
      <c r="R131" s="1211">
        <v>31</v>
      </c>
      <c r="S131" s="1212">
        <v>29</v>
      </c>
      <c r="T131" s="1211">
        <v>38</v>
      </c>
      <c r="U131" s="1211">
        <v>34</v>
      </c>
      <c r="V131" s="1212">
        <v>32</v>
      </c>
      <c r="W131" s="1211">
        <v>42</v>
      </c>
      <c r="X131" s="1211">
        <v>39</v>
      </c>
      <c r="Y131" s="1212">
        <v>38</v>
      </c>
      <c r="Z131" s="1211">
        <v>39</v>
      </c>
      <c r="AA131" s="1211">
        <v>35</v>
      </c>
      <c r="AB131" s="1212">
        <v>33</v>
      </c>
      <c r="AC131" s="1211">
        <v>42</v>
      </c>
      <c r="AD131" s="1211">
        <v>39</v>
      </c>
      <c r="AE131" s="1212">
        <v>40</v>
      </c>
      <c r="AF131" s="1211">
        <v>44</v>
      </c>
      <c r="AG131" s="1211">
        <v>43</v>
      </c>
      <c r="AH131" s="1212">
        <v>40</v>
      </c>
      <c r="AI131" s="1211">
        <v>42</v>
      </c>
      <c r="AJ131" s="1211">
        <v>45</v>
      </c>
      <c r="AK131" s="1212">
        <v>44</v>
      </c>
      <c r="AL131" s="1211">
        <v>48</v>
      </c>
      <c r="AM131" s="1211">
        <v>47</v>
      </c>
      <c r="AN131" s="1212">
        <v>44</v>
      </c>
      <c r="AO131" s="1211">
        <v>39</v>
      </c>
      <c r="AP131" s="1211">
        <v>38</v>
      </c>
      <c r="AQ131" s="1212">
        <v>36</v>
      </c>
    </row>
    <row r="132" spans="1:43" ht="15" customHeight="1" x14ac:dyDescent="0.2">
      <c r="A132" s="5073"/>
      <c r="B132" s="5480"/>
      <c r="C132" s="1134"/>
      <c r="D132" s="1462" t="s">
        <v>160</v>
      </c>
      <c r="E132" s="1218">
        <f t="shared" ref="E132:AK132" si="25">SUM(E128:E131)</f>
        <v>31</v>
      </c>
      <c r="F132" s="1219">
        <f t="shared" si="25"/>
        <v>30</v>
      </c>
      <c r="G132" s="1219">
        <f t="shared" si="25"/>
        <v>48</v>
      </c>
      <c r="H132" s="1218">
        <f t="shared" si="25"/>
        <v>47</v>
      </c>
      <c r="I132" s="1219">
        <f t="shared" si="25"/>
        <v>47</v>
      </c>
      <c r="J132" s="1219">
        <f t="shared" si="25"/>
        <v>69</v>
      </c>
      <c r="K132" s="1218">
        <f t="shared" si="25"/>
        <v>66</v>
      </c>
      <c r="L132" s="1219">
        <f t="shared" si="25"/>
        <v>63</v>
      </c>
      <c r="M132" s="1220">
        <f t="shared" si="25"/>
        <v>62</v>
      </c>
      <c r="N132" s="1219">
        <f t="shared" si="25"/>
        <v>77</v>
      </c>
      <c r="O132" s="1219">
        <f t="shared" si="25"/>
        <v>70</v>
      </c>
      <c r="P132" s="1220">
        <f t="shared" si="25"/>
        <v>69</v>
      </c>
      <c r="Q132" s="1219">
        <f t="shared" si="25"/>
        <v>77</v>
      </c>
      <c r="R132" s="1219">
        <f t="shared" si="25"/>
        <v>73</v>
      </c>
      <c r="S132" s="1220">
        <f t="shared" si="25"/>
        <v>72</v>
      </c>
      <c r="T132" s="1219">
        <f t="shared" si="25"/>
        <v>80</v>
      </c>
      <c r="U132" s="1219">
        <f t="shared" si="25"/>
        <v>76</v>
      </c>
      <c r="V132" s="1220">
        <f t="shared" si="25"/>
        <v>71</v>
      </c>
      <c r="W132" s="1219">
        <f t="shared" si="25"/>
        <v>81</v>
      </c>
      <c r="X132" s="1219">
        <f t="shared" si="25"/>
        <v>92</v>
      </c>
      <c r="Y132" s="1220">
        <f t="shared" si="25"/>
        <v>135</v>
      </c>
      <c r="Z132" s="1219">
        <f t="shared" si="25"/>
        <v>130</v>
      </c>
      <c r="AA132" s="1219">
        <f t="shared" si="25"/>
        <v>129</v>
      </c>
      <c r="AB132" s="1220">
        <f t="shared" si="25"/>
        <v>119</v>
      </c>
      <c r="AC132" s="1219">
        <f t="shared" si="25"/>
        <v>128</v>
      </c>
      <c r="AD132" s="1219">
        <f t="shared" si="25"/>
        <v>153</v>
      </c>
      <c r="AE132" s="1220">
        <f t="shared" si="25"/>
        <v>114</v>
      </c>
      <c r="AF132" s="1219">
        <f t="shared" si="25"/>
        <v>118</v>
      </c>
      <c r="AG132" s="1219">
        <f t="shared" si="25"/>
        <v>117</v>
      </c>
      <c r="AH132" s="1220">
        <f t="shared" si="25"/>
        <v>117</v>
      </c>
      <c r="AI132" s="1219">
        <f t="shared" si="25"/>
        <v>119</v>
      </c>
      <c r="AJ132" s="1219">
        <f t="shared" si="25"/>
        <v>133</v>
      </c>
      <c r="AK132" s="1220">
        <f t="shared" si="25"/>
        <v>132</v>
      </c>
      <c r="AL132" s="1219">
        <f t="shared" ref="AL132:AQ132" si="26">SUM(AL128:AL131)</f>
        <v>134</v>
      </c>
      <c r="AM132" s="1219">
        <f t="shared" si="26"/>
        <v>127</v>
      </c>
      <c r="AN132" s="1220">
        <f t="shared" si="26"/>
        <v>129</v>
      </c>
      <c r="AO132" s="1219">
        <f t="shared" si="26"/>
        <v>125</v>
      </c>
      <c r="AP132" s="1219">
        <f t="shared" si="26"/>
        <v>132</v>
      </c>
      <c r="AQ132" s="1220">
        <f t="shared" si="26"/>
        <v>136</v>
      </c>
    </row>
    <row r="133" spans="1:43" ht="15" customHeight="1" x14ac:dyDescent="0.2">
      <c r="A133" s="5074"/>
      <c r="B133" s="2639"/>
      <c r="C133" s="2640"/>
      <c r="D133" s="2662" t="s">
        <v>450</v>
      </c>
      <c r="E133" s="2606">
        <f t="shared" ref="E133:AK133" si="27">SUM(E132,E127,E112)</f>
        <v>478</v>
      </c>
      <c r="F133" s="2607">
        <f t="shared" si="27"/>
        <v>453</v>
      </c>
      <c r="G133" s="2607">
        <f t="shared" si="27"/>
        <v>516</v>
      </c>
      <c r="H133" s="2606">
        <f t="shared" si="27"/>
        <v>460</v>
      </c>
      <c r="I133" s="2607">
        <f t="shared" si="27"/>
        <v>429</v>
      </c>
      <c r="J133" s="2607">
        <f t="shared" si="27"/>
        <v>476</v>
      </c>
      <c r="K133" s="2606">
        <f t="shared" si="27"/>
        <v>482</v>
      </c>
      <c r="L133" s="2607">
        <f t="shared" si="27"/>
        <v>479</v>
      </c>
      <c r="M133" s="2608">
        <f t="shared" si="27"/>
        <v>530</v>
      </c>
      <c r="N133" s="2607">
        <f t="shared" si="27"/>
        <v>507</v>
      </c>
      <c r="O133" s="2607">
        <f t="shared" si="27"/>
        <v>482</v>
      </c>
      <c r="P133" s="2608">
        <f t="shared" si="27"/>
        <v>547</v>
      </c>
      <c r="Q133" s="2607">
        <f t="shared" si="27"/>
        <v>612</v>
      </c>
      <c r="R133" s="2607">
        <f t="shared" si="27"/>
        <v>565</v>
      </c>
      <c r="S133" s="2608">
        <f t="shared" si="27"/>
        <v>590</v>
      </c>
      <c r="T133" s="2607">
        <f t="shared" si="27"/>
        <v>568</v>
      </c>
      <c r="U133" s="2607">
        <f t="shared" si="27"/>
        <v>583</v>
      </c>
      <c r="V133" s="2608">
        <f t="shared" si="27"/>
        <v>630</v>
      </c>
      <c r="W133" s="2607">
        <f t="shared" si="27"/>
        <v>658</v>
      </c>
      <c r="X133" s="2607">
        <f t="shared" si="27"/>
        <v>727</v>
      </c>
      <c r="Y133" s="2608">
        <f t="shared" si="27"/>
        <v>747</v>
      </c>
      <c r="Z133" s="2607">
        <f t="shared" si="27"/>
        <v>692</v>
      </c>
      <c r="AA133" s="2607">
        <f t="shared" si="27"/>
        <v>749</v>
      </c>
      <c r="AB133" s="2608">
        <f t="shared" si="27"/>
        <v>685</v>
      </c>
      <c r="AC133" s="2607">
        <f t="shared" si="27"/>
        <v>747</v>
      </c>
      <c r="AD133" s="2607">
        <f t="shared" si="27"/>
        <v>711</v>
      </c>
      <c r="AE133" s="2608">
        <f t="shared" si="27"/>
        <v>687</v>
      </c>
      <c r="AF133" s="2607">
        <f t="shared" si="27"/>
        <v>692</v>
      </c>
      <c r="AG133" s="2607">
        <f t="shared" si="27"/>
        <v>662</v>
      </c>
      <c r="AH133" s="2608">
        <f t="shared" si="27"/>
        <v>746</v>
      </c>
      <c r="AI133" s="2607">
        <f t="shared" si="27"/>
        <v>801</v>
      </c>
      <c r="AJ133" s="2607">
        <f t="shared" si="27"/>
        <v>781</v>
      </c>
      <c r="AK133" s="2608">
        <f t="shared" si="27"/>
        <v>739</v>
      </c>
      <c r="AL133" s="2607">
        <f t="shared" ref="AL133:AQ133" si="28">SUM(AL132,AL127,AL112)</f>
        <v>708</v>
      </c>
      <c r="AM133" s="2607">
        <f t="shared" si="28"/>
        <v>721</v>
      </c>
      <c r="AN133" s="2608">
        <f t="shared" si="28"/>
        <v>814</v>
      </c>
      <c r="AO133" s="2607">
        <f t="shared" si="28"/>
        <v>780</v>
      </c>
      <c r="AP133" s="2607">
        <f t="shared" si="28"/>
        <v>765</v>
      </c>
      <c r="AQ133" s="2608">
        <f t="shared" si="28"/>
        <v>786</v>
      </c>
    </row>
    <row r="134" spans="1:43" ht="15" customHeight="1" x14ac:dyDescent="0.25">
      <c r="A134" s="1198"/>
      <c r="B134" s="1201"/>
      <c r="C134" s="1205"/>
      <c r="D134" s="1463"/>
      <c r="E134" s="1234"/>
      <c r="F134" s="1235"/>
      <c r="G134" s="1235"/>
      <c r="H134" s="1234"/>
      <c r="I134" s="1235"/>
      <c r="J134" s="1235"/>
      <c r="K134" s="1234"/>
      <c r="L134" s="1235"/>
      <c r="M134" s="1236"/>
      <c r="N134" s="1235"/>
      <c r="O134" s="1235"/>
      <c r="P134" s="1236"/>
      <c r="Q134" s="1235"/>
      <c r="R134" s="1235"/>
      <c r="S134" s="1236"/>
      <c r="T134" s="1235"/>
      <c r="U134" s="1235"/>
      <c r="V134" s="1236"/>
      <c r="W134" s="1235"/>
      <c r="X134" s="1235"/>
      <c r="Y134" s="1236"/>
      <c r="Z134" s="1235"/>
      <c r="AA134" s="1235"/>
      <c r="AB134" s="1236"/>
      <c r="AC134" s="1235"/>
      <c r="AD134" s="1235"/>
      <c r="AE134" s="1236"/>
      <c r="AF134" s="1235"/>
      <c r="AG134" s="1235"/>
      <c r="AH134" s="1236"/>
      <c r="AI134" s="1235"/>
      <c r="AJ134" s="1235"/>
      <c r="AK134" s="1236"/>
      <c r="AL134" s="1235"/>
      <c r="AM134" s="1235"/>
      <c r="AN134" s="1236"/>
      <c r="AO134" s="1235"/>
      <c r="AP134" s="1235"/>
      <c r="AQ134" s="1236"/>
    </row>
    <row r="135" spans="1:43" ht="18" customHeight="1" x14ac:dyDescent="0.2">
      <c r="A135" s="5025" t="s">
        <v>76</v>
      </c>
      <c r="B135" s="5026"/>
      <c r="C135" s="5026"/>
      <c r="D135" s="5027"/>
      <c r="E135" s="1237">
        <f t="shared" ref="E135:AK135" si="29">SUM(E46,E56,E97,E133)</f>
        <v>1652</v>
      </c>
      <c r="F135" s="1238">
        <f t="shared" si="29"/>
        <v>1553</v>
      </c>
      <c r="G135" s="1238">
        <f t="shared" si="29"/>
        <v>1692</v>
      </c>
      <c r="H135" s="1237">
        <f t="shared" si="29"/>
        <v>1596</v>
      </c>
      <c r="I135" s="1238">
        <f t="shared" si="29"/>
        <v>1510</v>
      </c>
      <c r="J135" s="1238">
        <f t="shared" si="29"/>
        <v>1692</v>
      </c>
      <c r="K135" s="1237">
        <f t="shared" si="29"/>
        <v>1724</v>
      </c>
      <c r="L135" s="1238">
        <f t="shared" si="29"/>
        <v>1648</v>
      </c>
      <c r="M135" s="1239">
        <f t="shared" si="29"/>
        <v>1741</v>
      </c>
      <c r="N135" s="1238">
        <f t="shared" si="29"/>
        <v>1788</v>
      </c>
      <c r="O135" s="1238">
        <f t="shared" si="29"/>
        <v>1701</v>
      </c>
      <c r="P135" s="1239">
        <f t="shared" si="29"/>
        <v>1857</v>
      </c>
      <c r="Q135" s="1238">
        <f t="shared" si="29"/>
        <v>2014</v>
      </c>
      <c r="R135" s="1238">
        <f t="shared" si="29"/>
        <v>1875</v>
      </c>
      <c r="S135" s="1239">
        <f t="shared" si="29"/>
        <v>2046</v>
      </c>
      <c r="T135" s="1238">
        <f t="shared" si="29"/>
        <v>1962</v>
      </c>
      <c r="U135" s="1238">
        <f t="shared" si="29"/>
        <v>1837</v>
      </c>
      <c r="V135" s="1239">
        <f t="shared" si="29"/>
        <v>2247</v>
      </c>
      <c r="W135" s="1238">
        <f t="shared" si="29"/>
        <v>2121</v>
      </c>
      <c r="X135" s="1238">
        <f t="shared" si="29"/>
        <v>2224</v>
      </c>
      <c r="Y135" s="1239">
        <f t="shared" si="29"/>
        <v>2519</v>
      </c>
      <c r="Z135" s="1238">
        <f t="shared" si="29"/>
        <v>2383</v>
      </c>
      <c r="AA135" s="1238">
        <f t="shared" si="29"/>
        <v>2238</v>
      </c>
      <c r="AB135" s="1239">
        <f t="shared" si="29"/>
        <v>2638</v>
      </c>
      <c r="AC135" s="1238">
        <f t="shared" si="29"/>
        <v>2773</v>
      </c>
      <c r="AD135" s="1238">
        <f t="shared" si="29"/>
        <v>2503</v>
      </c>
      <c r="AE135" s="1239">
        <f t="shared" si="29"/>
        <v>2685</v>
      </c>
      <c r="AF135" s="1238">
        <f t="shared" si="29"/>
        <v>2667</v>
      </c>
      <c r="AG135" s="1238">
        <f t="shared" si="29"/>
        <v>2551</v>
      </c>
      <c r="AH135" s="1239">
        <f t="shared" si="29"/>
        <v>2798</v>
      </c>
      <c r="AI135" s="1238">
        <f t="shared" si="29"/>
        <v>2916</v>
      </c>
      <c r="AJ135" s="1238">
        <f t="shared" si="29"/>
        <v>2829</v>
      </c>
      <c r="AK135" s="1239">
        <f t="shared" si="29"/>
        <v>2947</v>
      </c>
      <c r="AL135" s="1238">
        <f t="shared" ref="AL135:AQ135" si="30">SUM(AL46,AL56,AL97,AL133)</f>
        <v>2839</v>
      </c>
      <c r="AM135" s="1238">
        <f t="shared" si="30"/>
        <v>2727</v>
      </c>
      <c r="AN135" s="1239">
        <f t="shared" si="30"/>
        <v>3250</v>
      </c>
      <c r="AO135" s="1238">
        <f t="shared" si="30"/>
        <v>3014</v>
      </c>
      <c r="AP135" s="1238">
        <f t="shared" si="30"/>
        <v>2940</v>
      </c>
      <c r="AQ135" s="1239">
        <f t="shared" si="30"/>
        <v>3153</v>
      </c>
    </row>
    <row r="136" spans="1:43" x14ac:dyDescent="0.2">
      <c r="A136" s="216" t="s">
        <v>334</v>
      </c>
    </row>
    <row r="137" spans="1:43" x14ac:dyDescent="0.2">
      <c r="B137" s="212"/>
      <c r="C137" s="212"/>
      <c r="D137" s="213"/>
    </row>
    <row r="138" spans="1:43" x14ac:dyDescent="0.2">
      <c r="B138" s="229"/>
      <c r="C138" s="229"/>
      <c r="D138" s="545"/>
    </row>
    <row r="139" spans="1:43" s="212" customFormat="1" x14ac:dyDescent="0.2">
      <c r="B139" s="229"/>
      <c r="C139" s="229"/>
      <c r="D139" s="213"/>
      <c r="E139" s="229"/>
      <c r="F139" s="229"/>
      <c r="G139" s="229"/>
      <c r="H139" s="229"/>
      <c r="I139" s="229"/>
      <c r="J139" s="229"/>
      <c r="K139" s="229"/>
      <c r="L139" s="229"/>
      <c r="M139" s="229"/>
      <c r="N139" s="229"/>
      <c r="O139" s="229"/>
      <c r="P139" s="229"/>
      <c r="Q139" s="229"/>
      <c r="R139" s="229"/>
      <c r="S139" s="229"/>
      <c r="T139" s="229"/>
      <c r="U139" s="229"/>
      <c r="V139" s="229"/>
      <c r="W139" s="229"/>
      <c r="X139" s="229"/>
      <c r="Y139" s="229"/>
      <c r="Z139" s="229"/>
      <c r="AA139" s="229"/>
      <c r="AB139" s="229"/>
      <c r="AC139" s="229"/>
      <c r="AD139" s="229"/>
      <c r="AE139" s="229"/>
      <c r="AF139" s="229"/>
      <c r="AG139" s="229"/>
      <c r="AH139" s="229"/>
    </row>
  </sheetData>
  <mergeCells count="56">
    <mergeCell ref="AO3:AQ3"/>
    <mergeCell ref="B128:B132"/>
    <mergeCell ref="C128:C130"/>
    <mergeCell ref="A135:D135"/>
    <mergeCell ref="C93:C95"/>
    <mergeCell ref="A98:A133"/>
    <mergeCell ref="B98:B112"/>
    <mergeCell ref="C98:C99"/>
    <mergeCell ref="C100:C108"/>
    <mergeCell ref="C109:C111"/>
    <mergeCell ref="B113:B126"/>
    <mergeCell ref="C113:C115"/>
    <mergeCell ref="C116:C123"/>
    <mergeCell ref="C124:C126"/>
    <mergeCell ref="A57:A97"/>
    <mergeCell ref="B57:B72"/>
    <mergeCell ref="B73:B86"/>
    <mergeCell ref="C74:C80"/>
    <mergeCell ref="C81:C85"/>
    <mergeCell ref="B87:B96"/>
    <mergeCell ref="C87:C88"/>
    <mergeCell ref="C89:C92"/>
    <mergeCell ref="A47:A56"/>
    <mergeCell ref="B47:B49"/>
    <mergeCell ref="B50:B51"/>
    <mergeCell ref="B52:B55"/>
    <mergeCell ref="C64:C71"/>
    <mergeCell ref="C57:C63"/>
    <mergeCell ref="A5:A46"/>
    <mergeCell ref="B5:B14"/>
    <mergeCell ref="C5:C9"/>
    <mergeCell ref="C10:C11"/>
    <mergeCell ref="B15:B28"/>
    <mergeCell ref="C15:C17"/>
    <mergeCell ref="C18:C24"/>
    <mergeCell ref="C25:C27"/>
    <mergeCell ref="B29:B45"/>
    <mergeCell ref="C29:C30"/>
    <mergeCell ref="C31:C37"/>
    <mergeCell ref="C38:C44"/>
    <mergeCell ref="AL3:AN3"/>
    <mergeCell ref="H3:J3"/>
    <mergeCell ref="A3:A4"/>
    <mergeCell ref="B3:B4"/>
    <mergeCell ref="C3:C4"/>
    <mergeCell ref="D3:D4"/>
    <mergeCell ref="E3:G3"/>
    <mergeCell ref="AC3:AE3"/>
    <mergeCell ref="AF3:AH3"/>
    <mergeCell ref="AI3:AK3"/>
    <mergeCell ref="K3:M3"/>
    <mergeCell ref="N3:P3"/>
    <mergeCell ref="Q3:S3"/>
    <mergeCell ref="T3:V3"/>
    <mergeCell ref="W3:Y3"/>
    <mergeCell ref="Z3:AB3"/>
  </mergeCells>
  <printOptions horizontalCentered="1" verticalCentered="1"/>
  <pageMargins left="0.39370078740157483" right="0.39370078740157483" top="0.31496062992125984" bottom="0.19685039370078741" header="0.43307086614173229" footer="0.31496062992125984"/>
  <pageSetup scale="55" pageOrder="overThenDown" orientation="landscape" horizontalDpi="1200" verticalDpi="1200" r:id="rId1"/>
  <headerFooter alignWithMargins="0"/>
  <rowBreaks count="2" manualBreakCount="2">
    <brk id="56" max="42" man="1"/>
    <brk id="97" max="42" man="1"/>
  </rowBreaks>
  <colBreaks count="2" manualBreakCount="2">
    <brk id="22" max="121" man="1"/>
    <brk id="40" max="121" man="1"/>
  </colBreaks>
  <ignoredErrors>
    <ignoredError sqref="AK14 AK51:AN51" formula="1"/>
  </ignoredError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AO96"/>
  <sheetViews>
    <sheetView showGridLines="0" zoomScaleNormal="100" zoomScaleSheetLayoutView="70" workbookViewId="0">
      <pane xSplit="2" ySplit="5" topLeftCell="AA6" activePane="bottomRight" state="frozen"/>
      <selection pane="topRight" activeCell="D1" sqref="D1"/>
      <selection pane="bottomLeft" activeCell="A7" sqref="A7"/>
      <selection pane="bottomRight" activeCell="AP34" sqref="AP34"/>
    </sheetView>
  </sheetViews>
  <sheetFormatPr baseColWidth="10" defaultColWidth="22.85546875" defaultRowHeight="12.75" x14ac:dyDescent="0.2"/>
  <cols>
    <col min="1" max="1" width="15.140625" style="209" customWidth="1"/>
    <col min="2" max="2" width="22.85546875" style="210" customWidth="1"/>
    <col min="3" max="5" width="8.7109375" style="210" customWidth="1"/>
    <col min="6" max="41" width="8.7109375" style="209" customWidth="1"/>
    <col min="42" max="247" width="11.42578125" style="209" customWidth="1"/>
    <col min="248" max="248" width="2.28515625" style="209" customWidth="1"/>
    <col min="249" max="249" width="14.7109375" style="209" customWidth="1"/>
    <col min="250" max="250" width="11.28515625" style="209" bestFit="1" customWidth="1"/>
    <col min="251" max="251" width="22.85546875" style="209"/>
    <col min="252" max="252" width="2.28515625" style="209" customWidth="1"/>
    <col min="253" max="253" width="18.85546875" style="209" customWidth="1"/>
    <col min="254" max="254" width="11.28515625" style="209" bestFit="1" customWidth="1"/>
    <col min="255" max="255" width="22.85546875" style="209" customWidth="1"/>
    <col min="256" max="270" width="9.7109375" style="209" customWidth="1"/>
    <col min="271" max="503" width="11.42578125" style="209" customWidth="1"/>
    <col min="504" max="504" width="2.28515625" style="209" customWidth="1"/>
    <col min="505" max="505" width="14.7109375" style="209" customWidth="1"/>
    <col min="506" max="506" width="11.28515625" style="209" bestFit="1" customWidth="1"/>
    <col min="507" max="507" width="22.85546875" style="209"/>
    <col min="508" max="508" width="2.28515625" style="209" customWidth="1"/>
    <col min="509" max="509" width="18.85546875" style="209" customWidth="1"/>
    <col min="510" max="510" width="11.28515625" style="209" bestFit="1" customWidth="1"/>
    <col min="511" max="511" width="22.85546875" style="209" customWidth="1"/>
    <col min="512" max="526" width="9.7109375" style="209" customWidth="1"/>
    <col min="527" max="759" width="11.42578125" style="209" customWidth="1"/>
    <col min="760" max="760" width="2.28515625" style="209" customWidth="1"/>
    <col min="761" max="761" width="14.7109375" style="209" customWidth="1"/>
    <col min="762" max="762" width="11.28515625" style="209" bestFit="1" customWidth="1"/>
    <col min="763" max="763" width="22.85546875" style="209"/>
    <col min="764" max="764" width="2.28515625" style="209" customWidth="1"/>
    <col min="765" max="765" width="18.85546875" style="209" customWidth="1"/>
    <col min="766" max="766" width="11.28515625" style="209" bestFit="1" customWidth="1"/>
    <col min="767" max="767" width="22.85546875" style="209" customWidth="1"/>
    <col min="768" max="782" width="9.7109375" style="209" customWidth="1"/>
    <col min="783" max="1015" width="11.42578125" style="209" customWidth="1"/>
    <col min="1016" max="1016" width="2.28515625" style="209" customWidth="1"/>
    <col min="1017" max="1017" width="14.7109375" style="209" customWidth="1"/>
    <col min="1018" max="1018" width="11.28515625" style="209" bestFit="1" customWidth="1"/>
    <col min="1019" max="1019" width="22.85546875" style="209"/>
    <col min="1020" max="1020" width="2.28515625" style="209" customWidth="1"/>
    <col min="1021" max="1021" width="18.85546875" style="209" customWidth="1"/>
    <col min="1022" max="1022" width="11.28515625" style="209" bestFit="1" customWidth="1"/>
    <col min="1023" max="1023" width="22.85546875" style="209" customWidth="1"/>
    <col min="1024" max="1038" width="9.7109375" style="209" customWidth="1"/>
    <col min="1039" max="1271" width="11.42578125" style="209" customWidth="1"/>
    <col min="1272" max="1272" width="2.28515625" style="209" customWidth="1"/>
    <col min="1273" max="1273" width="14.7109375" style="209" customWidth="1"/>
    <col min="1274" max="1274" width="11.28515625" style="209" bestFit="1" customWidth="1"/>
    <col min="1275" max="1275" width="22.85546875" style="209"/>
    <col min="1276" max="1276" width="2.28515625" style="209" customWidth="1"/>
    <col min="1277" max="1277" width="18.85546875" style="209" customWidth="1"/>
    <col min="1278" max="1278" width="11.28515625" style="209" bestFit="1" customWidth="1"/>
    <col min="1279" max="1279" width="22.85546875" style="209" customWidth="1"/>
    <col min="1280" max="1294" width="9.7109375" style="209" customWidth="1"/>
    <col min="1295" max="1527" width="11.42578125" style="209" customWidth="1"/>
    <col min="1528" max="1528" width="2.28515625" style="209" customWidth="1"/>
    <col min="1529" max="1529" width="14.7109375" style="209" customWidth="1"/>
    <col min="1530" max="1530" width="11.28515625" style="209" bestFit="1" customWidth="1"/>
    <col min="1531" max="1531" width="22.85546875" style="209"/>
    <col min="1532" max="1532" width="2.28515625" style="209" customWidth="1"/>
    <col min="1533" max="1533" width="18.85546875" style="209" customWidth="1"/>
    <col min="1534" max="1534" width="11.28515625" style="209" bestFit="1" customWidth="1"/>
    <col min="1535" max="1535" width="22.85546875" style="209" customWidth="1"/>
    <col min="1536" max="1550" width="9.7109375" style="209" customWidth="1"/>
    <col min="1551" max="1783" width="11.42578125" style="209" customWidth="1"/>
    <col min="1784" max="1784" width="2.28515625" style="209" customWidth="1"/>
    <col min="1785" max="1785" width="14.7109375" style="209" customWidth="1"/>
    <col min="1786" max="1786" width="11.28515625" style="209" bestFit="1" customWidth="1"/>
    <col min="1787" max="1787" width="22.85546875" style="209"/>
    <col min="1788" max="1788" width="2.28515625" style="209" customWidth="1"/>
    <col min="1789" max="1789" width="18.85546875" style="209" customWidth="1"/>
    <col min="1790" max="1790" width="11.28515625" style="209" bestFit="1" customWidth="1"/>
    <col min="1791" max="1791" width="22.85546875" style="209" customWidth="1"/>
    <col min="1792" max="1806" width="9.7109375" style="209" customWidth="1"/>
    <col min="1807" max="2039" width="11.42578125" style="209" customWidth="1"/>
    <col min="2040" max="2040" width="2.28515625" style="209" customWidth="1"/>
    <col min="2041" max="2041" width="14.7109375" style="209" customWidth="1"/>
    <col min="2042" max="2042" width="11.28515625" style="209" bestFit="1" customWidth="1"/>
    <col min="2043" max="2043" width="22.85546875" style="209"/>
    <col min="2044" max="2044" width="2.28515625" style="209" customWidth="1"/>
    <col min="2045" max="2045" width="18.85546875" style="209" customWidth="1"/>
    <col min="2046" max="2046" width="11.28515625" style="209" bestFit="1" customWidth="1"/>
    <col min="2047" max="2047" width="22.85546875" style="209" customWidth="1"/>
    <col min="2048" max="2062" width="9.7109375" style="209" customWidth="1"/>
    <col min="2063" max="2295" width="11.42578125" style="209" customWidth="1"/>
    <col min="2296" max="2296" width="2.28515625" style="209" customWidth="1"/>
    <col min="2297" max="2297" width="14.7109375" style="209" customWidth="1"/>
    <col min="2298" max="2298" width="11.28515625" style="209" bestFit="1" customWidth="1"/>
    <col min="2299" max="2299" width="22.85546875" style="209"/>
    <col min="2300" max="2300" width="2.28515625" style="209" customWidth="1"/>
    <col min="2301" max="2301" width="18.85546875" style="209" customWidth="1"/>
    <col min="2302" max="2302" width="11.28515625" style="209" bestFit="1" customWidth="1"/>
    <col min="2303" max="2303" width="22.85546875" style="209" customWidth="1"/>
    <col min="2304" max="2318" width="9.7109375" style="209" customWidth="1"/>
    <col min="2319" max="2551" width="11.42578125" style="209" customWidth="1"/>
    <col min="2552" max="2552" width="2.28515625" style="209" customWidth="1"/>
    <col min="2553" max="2553" width="14.7109375" style="209" customWidth="1"/>
    <col min="2554" max="2554" width="11.28515625" style="209" bestFit="1" customWidth="1"/>
    <col min="2555" max="2555" width="22.85546875" style="209"/>
    <col min="2556" max="2556" width="2.28515625" style="209" customWidth="1"/>
    <col min="2557" max="2557" width="18.85546875" style="209" customWidth="1"/>
    <col min="2558" max="2558" width="11.28515625" style="209" bestFit="1" customWidth="1"/>
    <col min="2559" max="2559" width="22.85546875" style="209" customWidth="1"/>
    <col min="2560" max="2574" width="9.7109375" style="209" customWidth="1"/>
    <col min="2575" max="2807" width="11.42578125" style="209" customWidth="1"/>
    <col min="2808" max="2808" width="2.28515625" style="209" customWidth="1"/>
    <col min="2809" max="2809" width="14.7109375" style="209" customWidth="1"/>
    <col min="2810" max="2810" width="11.28515625" style="209" bestFit="1" customWidth="1"/>
    <col min="2811" max="2811" width="22.85546875" style="209"/>
    <col min="2812" max="2812" width="2.28515625" style="209" customWidth="1"/>
    <col min="2813" max="2813" width="18.85546875" style="209" customWidth="1"/>
    <col min="2814" max="2814" width="11.28515625" style="209" bestFit="1" customWidth="1"/>
    <col min="2815" max="2815" width="22.85546875" style="209" customWidth="1"/>
    <col min="2816" max="2830" width="9.7109375" style="209" customWidth="1"/>
    <col min="2831" max="3063" width="11.42578125" style="209" customWidth="1"/>
    <col min="3064" max="3064" width="2.28515625" style="209" customWidth="1"/>
    <col min="3065" max="3065" width="14.7109375" style="209" customWidth="1"/>
    <col min="3066" max="3066" width="11.28515625" style="209" bestFit="1" customWidth="1"/>
    <col min="3067" max="3067" width="22.85546875" style="209"/>
    <col min="3068" max="3068" width="2.28515625" style="209" customWidth="1"/>
    <col min="3069" max="3069" width="18.85546875" style="209" customWidth="1"/>
    <col min="3070" max="3070" width="11.28515625" style="209" bestFit="1" customWidth="1"/>
    <col min="3071" max="3071" width="22.85546875" style="209" customWidth="1"/>
    <col min="3072" max="3086" width="9.7109375" style="209" customWidth="1"/>
    <col min="3087" max="3319" width="11.42578125" style="209" customWidth="1"/>
    <col min="3320" max="3320" width="2.28515625" style="209" customWidth="1"/>
    <col min="3321" max="3321" width="14.7109375" style="209" customWidth="1"/>
    <col min="3322" max="3322" width="11.28515625" style="209" bestFit="1" customWidth="1"/>
    <col min="3323" max="3323" width="22.85546875" style="209"/>
    <col min="3324" max="3324" width="2.28515625" style="209" customWidth="1"/>
    <col min="3325" max="3325" width="18.85546875" style="209" customWidth="1"/>
    <col min="3326" max="3326" width="11.28515625" style="209" bestFit="1" customWidth="1"/>
    <col min="3327" max="3327" width="22.85546875" style="209" customWidth="1"/>
    <col min="3328" max="3342" width="9.7109375" style="209" customWidth="1"/>
    <col min="3343" max="3575" width="11.42578125" style="209" customWidth="1"/>
    <col min="3576" max="3576" width="2.28515625" style="209" customWidth="1"/>
    <col min="3577" max="3577" width="14.7109375" style="209" customWidth="1"/>
    <col min="3578" max="3578" width="11.28515625" style="209" bestFit="1" customWidth="1"/>
    <col min="3579" max="3579" width="22.85546875" style="209"/>
    <col min="3580" max="3580" width="2.28515625" style="209" customWidth="1"/>
    <col min="3581" max="3581" width="18.85546875" style="209" customWidth="1"/>
    <col min="3582" max="3582" width="11.28515625" style="209" bestFit="1" customWidth="1"/>
    <col min="3583" max="3583" width="22.85546875" style="209" customWidth="1"/>
    <col min="3584" max="3598" width="9.7109375" style="209" customWidth="1"/>
    <col min="3599" max="3831" width="11.42578125" style="209" customWidth="1"/>
    <col min="3832" max="3832" width="2.28515625" style="209" customWidth="1"/>
    <col min="3833" max="3833" width="14.7109375" style="209" customWidth="1"/>
    <col min="3834" max="3834" width="11.28515625" style="209" bestFit="1" customWidth="1"/>
    <col min="3835" max="3835" width="22.85546875" style="209"/>
    <col min="3836" max="3836" width="2.28515625" style="209" customWidth="1"/>
    <col min="3837" max="3837" width="18.85546875" style="209" customWidth="1"/>
    <col min="3838" max="3838" width="11.28515625" style="209" bestFit="1" customWidth="1"/>
    <col min="3839" max="3839" width="22.85546875" style="209" customWidth="1"/>
    <col min="3840" max="3854" width="9.7109375" style="209" customWidth="1"/>
    <col min="3855" max="4087" width="11.42578125" style="209" customWidth="1"/>
    <col min="4088" max="4088" width="2.28515625" style="209" customWidth="1"/>
    <col min="4089" max="4089" width="14.7109375" style="209" customWidth="1"/>
    <col min="4090" max="4090" width="11.28515625" style="209" bestFit="1" customWidth="1"/>
    <col min="4091" max="4091" width="22.85546875" style="209"/>
    <col min="4092" max="4092" width="2.28515625" style="209" customWidth="1"/>
    <col min="4093" max="4093" width="18.85546875" style="209" customWidth="1"/>
    <col min="4094" max="4094" width="11.28515625" style="209" bestFit="1" customWidth="1"/>
    <col min="4095" max="4095" width="22.85546875" style="209" customWidth="1"/>
    <col min="4096" max="4110" width="9.7109375" style="209" customWidth="1"/>
    <col min="4111" max="4343" width="11.42578125" style="209" customWidth="1"/>
    <col min="4344" max="4344" width="2.28515625" style="209" customWidth="1"/>
    <col min="4345" max="4345" width="14.7109375" style="209" customWidth="1"/>
    <col min="4346" max="4346" width="11.28515625" style="209" bestFit="1" customWidth="1"/>
    <col min="4347" max="4347" width="22.85546875" style="209"/>
    <col min="4348" max="4348" width="2.28515625" style="209" customWidth="1"/>
    <col min="4349" max="4349" width="18.85546875" style="209" customWidth="1"/>
    <col min="4350" max="4350" width="11.28515625" style="209" bestFit="1" customWidth="1"/>
    <col min="4351" max="4351" width="22.85546875" style="209" customWidth="1"/>
    <col min="4352" max="4366" width="9.7109375" style="209" customWidth="1"/>
    <col min="4367" max="4599" width="11.42578125" style="209" customWidth="1"/>
    <col min="4600" max="4600" width="2.28515625" style="209" customWidth="1"/>
    <col min="4601" max="4601" width="14.7109375" style="209" customWidth="1"/>
    <col min="4602" max="4602" width="11.28515625" style="209" bestFit="1" customWidth="1"/>
    <col min="4603" max="4603" width="22.85546875" style="209"/>
    <col min="4604" max="4604" width="2.28515625" style="209" customWidth="1"/>
    <col min="4605" max="4605" width="18.85546875" style="209" customWidth="1"/>
    <col min="4606" max="4606" width="11.28515625" style="209" bestFit="1" customWidth="1"/>
    <col min="4607" max="4607" width="22.85546875" style="209" customWidth="1"/>
    <col min="4608" max="4622" width="9.7109375" style="209" customWidth="1"/>
    <col min="4623" max="4855" width="11.42578125" style="209" customWidth="1"/>
    <col min="4856" max="4856" width="2.28515625" style="209" customWidth="1"/>
    <col min="4857" max="4857" width="14.7109375" style="209" customWidth="1"/>
    <col min="4858" max="4858" width="11.28515625" style="209" bestFit="1" customWidth="1"/>
    <col min="4859" max="4859" width="22.85546875" style="209"/>
    <col min="4860" max="4860" width="2.28515625" style="209" customWidth="1"/>
    <col min="4861" max="4861" width="18.85546875" style="209" customWidth="1"/>
    <col min="4862" max="4862" width="11.28515625" style="209" bestFit="1" customWidth="1"/>
    <col min="4863" max="4863" width="22.85546875" style="209" customWidth="1"/>
    <col min="4864" max="4878" width="9.7109375" style="209" customWidth="1"/>
    <col min="4879" max="5111" width="11.42578125" style="209" customWidth="1"/>
    <col min="5112" max="5112" width="2.28515625" style="209" customWidth="1"/>
    <col min="5113" max="5113" width="14.7109375" style="209" customWidth="1"/>
    <col min="5114" max="5114" width="11.28515625" style="209" bestFit="1" customWidth="1"/>
    <col min="5115" max="5115" width="22.85546875" style="209"/>
    <col min="5116" max="5116" width="2.28515625" style="209" customWidth="1"/>
    <col min="5117" max="5117" width="18.85546875" style="209" customWidth="1"/>
    <col min="5118" max="5118" width="11.28515625" style="209" bestFit="1" customWidth="1"/>
    <col min="5119" max="5119" width="22.85546875" style="209" customWidth="1"/>
    <col min="5120" max="5134" width="9.7109375" style="209" customWidth="1"/>
    <col min="5135" max="5367" width="11.42578125" style="209" customWidth="1"/>
    <col min="5368" max="5368" width="2.28515625" style="209" customWidth="1"/>
    <col min="5369" max="5369" width="14.7109375" style="209" customWidth="1"/>
    <col min="5370" max="5370" width="11.28515625" style="209" bestFit="1" customWidth="1"/>
    <col min="5371" max="5371" width="22.85546875" style="209"/>
    <col min="5372" max="5372" width="2.28515625" style="209" customWidth="1"/>
    <col min="5373" max="5373" width="18.85546875" style="209" customWidth="1"/>
    <col min="5374" max="5374" width="11.28515625" style="209" bestFit="1" customWidth="1"/>
    <col min="5375" max="5375" width="22.85546875" style="209" customWidth="1"/>
    <col min="5376" max="5390" width="9.7109375" style="209" customWidth="1"/>
    <col min="5391" max="5623" width="11.42578125" style="209" customWidth="1"/>
    <col min="5624" max="5624" width="2.28515625" style="209" customWidth="1"/>
    <col min="5625" max="5625" width="14.7109375" style="209" customWidth="1"/>
    <col min="5626" max="5626" width="11.28515625" style="209" bestFit="1" customWidth="1"/>
    <col min="5627" max="5627" width="22.85546875" style="209"/>
    <col min="5628" max="5628" width="2.28515625" style="209" customWidth="1"/>
    <col min="5629" max="5629" width="18.85546875" style="209" customWidth="1"/>
    <col min="5630" max="5630" width="11.28515625" style="209" bestFit="1" customWidth="1"/>
    <col min="5631" max="5631" width="22.85546875" style="209" customWidth="1"/>
    <col min="5632" max="5646" width="9.7109375" style="209" customWidth="1"/>
    <col min="5647" max="5879" width="11.42578125" style="209" customWidth="1"/>
    <col min="5880" max="5880" width="2.28515625" style="209" customWidth="1"/>
    <col min="5881" max="5881" width="14.7109375" style="209" customWidth="1"/>
    <col min="5882" max="5882" width="11.28515625" style="209" bestFit="1" customWidth="1"/>
    <col min="5883" max="5883" width="22.85546875" style="209"/>
    <col min="5884" max="5884" width="2.28515625" style="209" customWidth="1"/>
    <col min="5885" max="5885" width="18.85546875" style="209" customWidth="1"/>
    <col min="5886" max="5886" width="11.28515625" style="209" bestFit="1" customWidth="1"/>
    <col min="5887" max="5887" width="22.85546875" style="209" customWidth="1"/>
    <col min="5888" max="5902" width="9.7109375" style="209" customWidth="1"/>
    <col min="5903" max="6135" width="11.42578125" style="209" customWidth="1"/>
    <col min="6136" max="6136" width="2.28515625" style="209" customWidth="1"/>
    <col min="6137" max="6137" width="14.7109375" style="209" customWidth="1"/>
    <col min="6138" max="6138" width="11.28515625" style="209" bestFit="1" customWidth="1"/>
    <col min="6139" max="6139" width="22.85546875" style="209"/>
    <col min="6140" max="6140" width="2.28515625" style="209" customWidth="1"/>
    <col min="6141" max="6141" width="18.85546875" style="209" customWidth="1"/>
    <col min="6142" max="6142" width="11.28515625" style="209" bestFit="1" customWidth="1"/>
    <col min="6143" max="6143" width="22.85546875" style="209" customWidth="1"/>
    <col min="6144" max="6158" width="9.7109375" style="209" customWidth="1"/>
    <col min="6159" max="6391" width="11.42578125" style="209" customWidth="1"/>
    <col min="6392" max="6392" width="2.28515625" style="209" customWidth="1"/>
    <col min="6393" max="6393" width="14.7109375" style="209" customWidth="1"/>
    <col min="6394" max="6394" width="11.28515625" style="209" bestFit="1" customWidth="1"/>
    <col min="6395" max="6395" width="22.85546875" style="209"/>
    <col min="6396" max="6396" width="2.28515625" style="209" customWidth="1"/>
    <col min="6397" max="6397" width="18.85546875" style="209" customWidth="1"/>
    <col min="6398" max="6398" width="11.28515625" style="209" bestFit="1" customWidth="1"/>
    <col min="6399" max="6399" width="22.85546875" style="209" customWidth="1"/>
    <col min="6400" max="6414" width="9.7109375" style="209" customWidth="1"/>
    <col min="6415" max="6647" width="11.42578125" style="209" customWidth="1"/>
    <col min="6648" max="6648" width="2.28515625" style="209" customWidth="1"/>
    <col min="6649" max="6649" width="14.7109375" style="209" customWidth="1"/>
    <col min="6650" max="6650" width="11.28515625" style="209" bestFit="1" customWidth="1"/>
    <col min="6651" max="6651" width="22.85546875" style="209"/>
    <col min="6652" max="6652" width="2.28515625" style="209" customWidth="1"/>
    <col min="6653" max="6653" width="18.85546875" style="209" customWidth="1"/>
    <col min="6654" max="6654" width="11.28515625" style="209" bestFit="1" customWidth="1"/>
    <col min="6655" max="6655" width="22.85546875" style="209" customWidth="1"/>
    <col min="6656" max="6670" width="9.7109375" style="209" customWidth="1"/>
    <col min="6671" max="6903" width="11.42578125" style="209" customWidth="1"/>
    <col min="6904" max="6904" width="2.28515625" style="209" customWidth="1"/>
    <col min="6905" max="6905" width="14.7109375" style="209" customWidth="1"/>
    <col min="6906" max="6906" width="11.28515625" style="209" bestFit="1" customWidth="1"/>
    <col min="6907" max="6907" width="22.85546875" style="209"/>
    <col min="6908" max="6908" width="2.28515625" style="209" customWidth="1"/>
    <col min="6909" max="6909" width="18.85546875" style="209" customWidth="1"/>
    <col min="6910" max="6910" width="11.28515625" style="209" bestFit="1" customWidth="1"/>
    <col min="6911" max="6911" width="22.85546875" style="209" customWidth="1"/>
    <col min="6912" max="6926" width="9.7109375" style="209" customWidth="1"/>
    <col min="6927" max="7159" width="11.42578125" style="209" customWidth="1"/>
    <col min="7160" max="7160" width="2.28515625" style="209" customWidth="1"/>
    <col min="7161" max="7161" width="14.7109375" style="209" customWidth="1"/>
    <col min="7162" max="7162" width="11.28515625" style="209" bestFit="1" customWidth="1"/>
    <col min="7163" max="7163" width="22.85546875" style="209"/>
    <col min="7164" max="7164" width="2.28515625" style="209" customWidth="1"/>
    <col min="7165" max="7165" width="18.85546875" style="209" customWidth="1"/>
    <col min="7166" max="7166" width="11.28515625" style="209" bestFit="1" customWidth="1"/>
    <col min="7167" max="7167" width="22.85546875" style="209" customWidth="1"/>
    <col min="7168" max="7182" width="9.7109375" style="209" customWidth="1"/>
    <col min="7183" max="7415" width="11.42578125" style="209" customWidth="1"/>
    <col min="7416" max="7416" width="2.28515625" style="209" customWidth="1"/>
    <col min="7417" max="7417" width="14.7109375" style="209" customWidth="1"/>
    <col min="7418" max="7418" width="11.28515625" style="209" bestFit="1" customWidth="1"/>
    <col min="7419" max="7419" width="22.85546875" style="209"/>
    <col min="7420" max="7420" width="2.28515625" style="209" customWidth="1"/>
    <col min="7421" max="7421" width="18.85546875" style="209" customWidth="1"/>
    <col min="7422" max="7422" width="11.28515625" style="209" bestFit="1" customWidth="1"/>
    <col min="7423" max="7423" width="22.85546875" style="209" customWidth="1"/>
    <col min="7424" max="7438" width="9.7109375" style="209" customWidth="1"/>
    <col min="7439" max="7671" width="11.42578125" style="209" customWidth="1"/>
    <col min="7672" max="7672" width="2.28515625" style="209" customWidth="1"/>
    <col min="7673" max="7673" width="14.7109375" style="209" customWidth="1"/>
    <col min="7674" max="7674" width="11.28515625" style="209" bestFit="1" customWidth="1"/>
    <col min="7675" max="7675" width="22.85546875" style="209"/>
    <col min="7676" max="7676" width="2.28515625" style="209" customWidth="1"/>
    <col min="7677" max="7677" width="18.85546875" style="209" customWidth="1"/>
    <col min="7678" max="7678" width="11.28515625" style="209" bestFit="1" customWidth="1"/>
    <col min="7679" max="7679" width="22.85546875" style="209" customWidth="1"/>
    <col min="7680" max="7694" width="9.7109375" style="209" customWidth="1"/>
    <col min="7695" max="7927" width="11.42578125" style="209" customWidth="1"/>
    <col min="7928" max="7928" width="2.28515625" style="209" customWidth="1"/>
    <col min="7929" max="7929" width="14.7109375" style="209" customWidth="1"/>
    <col min="7930" max="7930" width="11.28515625" style="209" bestFit="1" customWidth="1"/>
    <col min="7931" max="7931" width="22.85546875" style="209"/>
    <col min="7932" max="7932" width="2.28515625" style="209" customWidth="1"/>
    <col min="7933" max="7933" width="18.85546875" style="209" customWidth="1"/>
    <col min="7934" max="7934" width="11.28515625" style="209" bestFit="1" customWidth="1"/>
    <col min="7935" max="7935" width="22.85546875" style="209" customWidth="1"/>
    <col min="7936" max="7950" width="9.7109375" style="209" customWidth="1"/>
    <col min="7951" max="8183" width="11.42578125" style="209" customWidth="1"/>
    <col min="8184" max="8184" width="2.28515625" style="209" customWidth="1"/>
    <col min="8185" max="8185" width="14.7109375" style="209" customWidth="1"/>
    <col min="8186" max="8186" width="11.28515625" style="209" bestFit="1" customWidth="1"/>
    <col min="8187" max="8187" width="22.85546875" style="209"/>
    <col min="8188" max="8188" width="2.28515625" style="209" customWidth="1"/>
    <col min="8189" max="8189" width="18.85546875" style="209" customWidth="1"/>
    <col min="8190" max="8190" width="11.28515625" style="209" bestFit="1" customWidth="1"/>
    <col min="8191" max="8191" width="22.85546875" style="209" customWidth="1"/>
    <col min="8192" max="8206" width="9.7109375" style="209" customWidth="1"/>
    <col min="8207" max="8439" width="11.42578125" style="209" customWidth="1"/>
    <col min="8440" max="8440" width="2.28515625" style="209" customWidth="1"/>
    <col min="8441" max="8441" width="14.7109375" style="209" customWidth="1"/>
    <col min="8442" max="8442" width="11.28515625" style="209" bestFit="1" customWidth="1"/>
    <col min="8443" max="8443" width="22.85546875" style="209"/>
    <col min="8444" max="8444" width="2.28515625" style="209" customWidth="1"/>
    <col min="8445" max="8445" width="18.85546875" style="209" customWidth="1"/>
    <col min="8446" max="8446" width="11.28515625" style="209" bestFit="1" customWidth="1"/>
    <col min="8447" max="8447" width="22.85546875" style="209" customWidth="1"/>
    <col min="8448" max="8462" width="9.7109375" style="209" customWidth="1"/>
    <col min="8463" max="8695" width="11.42578125" style="209" customWidth="1"/>
    <col min="8696" max="8696" width="2.28515625" style="209" customWidth="1"/>
    <col min="8697" max="8697" width="14.7109375" style="209" customWidth="1"/>
    <col min="8698" max="8698" width="11.28515625" style="209" bestFit="1" customWidth="1"/>
    <col min="8699" max="8699" width="22.85546875" style="209"/>
    <col min="8700" max="8700" width="2.28515625" style="209" customWidth="1"/>
    <col min="8701" max="8701" width="18.85546875" style="209" customWidth="1"/>
    <col min="8702" max="8702" width="11.28515625" style="209" bestFit="1" customWidth="1"/>
    <col min="8703" max="8703" width="22.85546875" style="209" customWidth="1"/>
    <col min="8704" max="8718" width="9.7109375" style="209" customWidth="1"/>
    <col min="8719" max="8951" width="11.42578125" style="209" customWidth="1"/>
    <col min="8952" max="8952" width="2.28515625" style="209" customWidth="1"/>
    <col min="8953" max="8953" width="14.7109375" style="209" customWidth="1"/>
    <col min="8954" max="8954" width="11.28515625" style="209" bestFit="1" customWidth="1"/>
    <col min="8955" max="8955" width="22.85546875" style="209"/>
    <col min="8956" max="8956" width="2.28515625" style="209" customWidth="1"/>
    <col min="8957" max="8957" width="18.85546875" style="209" customWidth="1"/>
    <col min="8958" max="8958" width="11.28515625" style="209" bestFit="1" customWidth="1"/>
    <col min="8959" max="8959" width="22.85546875" style="209" customWidth="1"/>
    <col min="8960" max="8974" width="9.7109375" style="209" customWidth="1"/>
    <col min="8975" max="9207" width="11.42578125" style="209" customWidth="1"/>
    <col min="9208" max="9208" width="2.28515625" style="209" customWidth="1"/>
    <col min="9209" max="9209" width="14.7109375" style="209" customWidth="1"/>
    <col min="9210" max="9210" width="11.28515625" style="209" bestFit="1" customWidth="1"/>
    <col min="9211" max="9211" width="22.85546875" style="209"/>
    <col min="9212" max="9212" width="2.28515625" style="209" customWidth="1"/>
    <col min="9213" max="9213" width="18.85546875" style="209" customWidth="1"/>
    <col min="9214" max="9214" width="11.28515625" style="209" bestFit="1" customWidth="1"/>
    <col min="9215" max="9215" width="22.85546875" style="209" customWidth="1"/>
    <col min="9216" max="9230" width="9.7109375" style="209" customWidth="1"/>
    <col min="9231" max="9463" width="11.42578125" style="209" customWidth="1"/>
    <col min="9464" max="9464" width="2.28515625" style="209" customWidth="1"/>
    <col min="9465" max="9465" width="14.7109375" style="209" customWidth="1"/>
    <col min="9466" max="9466" width="11.28515625" style="209" bestFit="1" customWidth="1"/>
    <col min="9467" max="9467" width="22.85546875" style="209"/>
    <col min="9468" max="9468" width="2.28515625" style="209" customWidth="1"/>
    <col min="9469" max="9469" width="18.85546875" style="209" customWidth="1"/>
    <col min="9470" max="9470" width="11.28515625" style="209" bestFit="1" customWidth="1"/>
    <col min="9471" max="9471" width="22.85546875" style="209" customWidth="1"/>
    <col min="9472" max="9486" width="9.7109375" style="209" customWidth="1"/>
    <col min="9487" max="9719" width="11.42578125" style="209" customWidth="1"/>
    <col min="9720" max="9720" width="2.28515625" style="209" customWidth="1"/>
    <col min="9721" max="9721" width="14.7109375" style="209" customWidth="1"/>
    <col min="9722" max="9722" width="11.28515625" style="209" bestFit="1" customWidth="1"/>
    <col min="9723" max="9723" width="22.85546875" style="209"/>
    <col min="9724" max="9724" width="2.28515625" style="209" customWidth="1"/>
    <col min="9725" max="9725" width="18.85546875" style="209" customWidth="1"/>
    <col min="9726" max="9726" width="11.28515625" style="209" bestFit="1" customWidth="1"/>
    <col min="9727" max="9727" width="22.85546875" style="209" customWidth="1"/>
    <col min="9728" max="9742" width="9.7109375" style="209" customWidth="1"/>
    <col min="9743" max="9975" width="11.42578125" style="209" customWidth="1"/>
    <col min="9976" max="9976" width="2.28515625" style="209" customWidth="1"/>
    <col min="9977" max="9977" width="14.7109375" style="209" customWidth="1"/>
    <col min="9978" max="9978" width="11.28515625" style="209" bestFit="1" customWidth="1"/>
    <col min="9979" max="9979" width="22.85546875" style="209"/>
    <col min="9980" max="9980" width="2.28515625" style="209" customWidth="1"/>
    <col min="9981" max="9981" width="18.85546875" style="209" customWidth="1"/>
    <col min="9982" max="9982" width="11.28515625" style="209" bestFit="1" customWidth="1"/>
    <col min="9983" max="9983" width="22.85546875" style="209" customWidth="1"/>
    <col min="9984" max="9998" width="9.7109375" style="209" customWidth="1"/>
    <col min="9999" max="10231" width="11.42578125" style="209" customWidth="1"/>
    <col min="10232" max="10232" width="2.28515625" style="209" customWidth="1"/>
    <col min="10233" max="10233" width="14.7109375" style="209" customWidth="1"/>
    <col min="10234" max="10234" width="11.28515625" style="209" bestFit="1" customWidth="1"/>
    <col min="10235" max="10235" width="22.85546875" style="209"/>
    <col min="10236" max="10236" width="2.28515625" style="209" customWidth="1"/>
    <col min="10237" max="10237" width="18.85546875" style="209" customWidth="1"/>
    <col min="10238" max="10238" width="11.28515625" style="209" bestFit="1" customWidth="1"/>
    <col min="10239" max="10239" width="22.85546875" style="209" customWidth="1"/>
    <col min="10240" max="10254" width="9.7109375" style="209" customWidth="1"/>
    <col min="10255" max="10487" width="11.42578125" style="209" customWidth="1"/>
    <col min="10488" max="10488" width="2.28515625" style="209" customWidth="1"/>
    <col min="10489" max="10489" width="14.7109375" style="209" customWidth="1"/>
    <col min="10490" max="10490" width="11.28515625" style="209" bestFit="1" customWidth="1"/>
    <col min="10491" max="10491" width="22.85546875" style="209"/>
    <col min="10492" max="10492" width="2.28515625" style="209" customWidth="1"/>
    <col min="10493" max="10493" width="18.85546875" style="209" customWidth="1"/>
    <col min="10494" max="10494" width="11.28515625" style="209" bestFit="1" customWidth="1"/>
    <col min="10495" max="10495" width="22.85546875" style="209" customWidth="1"/>
    <col min="10496" max="10510" width="9.7109375" style="209" customWidth="1"/>
    <col min="10511" max="10743" width="11.42578125" style="209" customWidth="1"/>
    <col min="10744" max="10744" width="2.28515625" style="209" customWidth="1"/>
    <col min="10745" max="10745" width="14.7109375" style="209" customWidth="1"/>
    <col min="10746" max="10746" width="11.28515625" style="209" bestFit="1" customWidth="1"/>
    <col min="10747" max="10747" width="22.85546875" style="209"/>
    <col min="10748" max="10748" width="2.28515625" style="209" customWidth="1"/>
    <col min="10749" max="10749" width="18.85546875" style="209" customWidth="1"/>
    <col min="10750" max="10750" width="11.28515625" style="209" bestFit="1" customWidth="1"/>
    <col min="10751" max="10751" width="22.85546875" style="209" customWidth="1"/>
    <col min="10752" max="10766" width="9.7109375" style="209" customWidth="1"/>
    <col min="10767" max="10999" width="11.42578125" style="209" customWidth="1"/>
    <col min="11000" max="11000" width="2.28515625" style="209" customWidth="1"/>
    <col min="11001" max="11001" width="14.7109375" style="209" customWidth="1"/>
    <col min="11002" max="11002" width="11.28515625" style="209" bestFit="1" customWidth="1"/>
    <col min="11003" max="11003" width="22.85546875" style="209"/>
    <col min="11004" max="11004" width="2.28515625" style="209" customWidth="1"/>
    <col min="11005" max="11005" width="18.85546875" style="209" customWidth="1"/>
    <col min="11006" max="11006" width="11.28515625" style="209" bestFit="1" customWidth="1"/>
    <col min="11007" max="11007" width="22.85546875" style="209" customWidth="1"/>
    <col min="11008" max="11022" width="9.7109375" style="209" customWidth="1"/>
    <col min="11023" max="11255" width="11.42578125" style="209" customWidth="1"/>
    <col min="11256" max="11256" width="2.28515625" style="209" customWidth="1"/>
    <col min="11257" max="11257" width="14.7109375" style="209" customWidth="1"/>
    <col min="11258" max="11258" width="11.28515625" style="209" bestFit="1" customWidth="1"/>
    <col min="11259" max="11259" width="22.85546875" style="209"/>
    <col min="11260" max="11260" width="2.28515625" style="209" customWidth="1"/>
    <col min="11261" max="11261" width="18.85546875" style="209" customWidth="1"/>
    <col min="11262" max="11262" width="11.28515625" style="209" bestFit="1" customWidth="1"/>
    <col min="11263" max="11263" width="22.85546875" style="209" customWidth="1"/>
    <col min="11264" max="11278" width="9.7109375" style="209" customWidth="1"/>
    <col min="11279" max="11511" width="11.42578125" style="209" customWidth="1"/>
    <col min="11512" max="11512" width="2.28515625" style="209" customWidth="1"/>
    <col min="11513" max="11513" width="14.7109375" style="209" customWidth="1"/>
    <col min="11514" max="11514" width="11.28515625" style="209" bestFit="1" customWidth="1"/>
    <col min="11515" max="11515" width="22.85546875" style="209"/>
    <col min="11516" max="11516" width="2.28515625" style="209" customWidth="1"/>
    <col min="11517" max="11517" width="18.85546875" style="209" customWidth="1"/>
    <col min="11518" max="11518" width="11.28515625" style="209" bestFit="1" customWidth="1"/>
    <col min="11519" max="11519" width="22.85546875" style="209" customWidth="1"/>
    <col min="11520" max="11534" width="9.7109375" style="209" customWidth="1"/>
    <col min="11535" max="11767" width="11.42578125" style="209" customWidth="1"/>
    <col min="11768" max="11768" width="2.28515625" style="209" customWidth="1"/>
    <col min="11769" max="11769" width="14.7109375" style="209" customWidth="1"/>
    <col min="11770" max="11770" width="11.28515625" style="209" bestFit="1" customWidth="1"/>
    <col min="11771" max="11771" width="22.85546875" style="209"/>
    <col min="11772" max="11772" width="2.28515625" style="209" customWidth="1"/>
    <col min="11773" max="11773" width="18.85546875" style="209" customWidth="1"/>
    <col min="11774" max="11774" width="11.28515625" style="209" bestFit="1" customWidth="1"/>
    <col min="11775" max="11775" width="22.85546875" style="209" customWidth="1"/>
    <col min="11776" max="11790" width="9.7109375" style="209" customWidth="1"/>
    <col min="11791" max="12023" width="11.42578125" style="209" customWidth="1"/>
    <col min="12024" max="12024" width="2.28515625" style="209" customWidth="1"/>
    <col min="12025" max="12025" width="14.7109375" style="209" customWidth="1"/>
    <col min="12026" max="12026" width="11.28515625" style="209" bestFit="1" customWidth="1"/>
    <col min="12027" max="12027" width="22.85546875" style="209"/>
    <col min="12028" max="12028" width="2.28515625" style="209" customWidth="1"/>
    <col min="12029" max="12029" width="18.85546875" style="209" customWidth="1"/>
    <col min="12030" max="12030" width="11.28515625" style="209" bestFit="1" customWidth="1"/>
    <col min="12031" max="12031" width="22.85546875" style="209" customWidth="1"/>
    <col min="12032" max="12046" width="9.7109375" style="209" customWidth="1"/>
    <col min="12047" max="12279" width="11.42578125" style="209" customWidth="1"/>
    <col min="12280" max="12280" width="2.28515625" style="209" customWidth="1"/>
    <col min="12281" max="12281" width="14.7109375" style="209" customWidth="1"/>
    <col min="12282" max="12282" width="11.28515625" style="209" bestFit="1" customWidth="1"/>
    <col min="12283" max="12283" width="22.85546875" style="209"/>
    <col min="12284" max="12284" width="2.28515625" style="209" customWidth="1"/>
    <col min="12285" max="12285" width="18.85546875" style="209" customWidth="1"/>
    <col min="12286" max="12286" width="11.28515625" style="209" bestFit="1" customWidth="1"/>
    <col min="12287" max="12287" width="22.85546875" style="209" customWidth="1"/>
    <col min="12288" max="12302" width="9.7109375" style="209" customWidth="1"/>
    <col min="12303" max="12535" width="11.42578125" style="209" customWidth="1"/>
    <col min="12536" max="12536" width="2.28515625" style="209" customWidth="1"/>
    <col min="12537" max="12537" width="14.7109375" style="209" customWidth="1"/>
    <col min="12538" max="12538" width="11.28515625" style="209" bestFit="1" customWidth="1"/>
    <col min="12539" max="12539" width="22.85546875" style="209"/>
    <col min="12540" max="12540" width="2.28515625" style="209" customWidth="1"/>
    <col min="12541" max="12541" width="18.85546875" style="209" customWidth="1"/>
    <col min="12542" max="12542" width="11.28515625" style="209" bestFit="1" customWidth="1"/>
    <col min="12543" max="12543" width="22.85546875" style="209" customWidth="1"/>
    <col min="12544" max="12558" width="9.7109375" style="209" customWidth="1"/>
    <col min="12559" max="12791" width="11.42578125" style="209" customWidth="1"/>
    <col min="12792" max="12792" width="2.28515625" style="209" customWidth="1"/>
    <col min="12793" max="12793" width="14.7109375" style="209" customWidth="1"/>
    <col min="12794" max="12794" width="11.28515625" style="209" bestFit="1" customWidth="1"/>
    <col min="12795" max="12795" width="22.85546875" style="209"/>
    <col min="12796" max="12796" width="2.28515625" style="209" customWidth="1"/>
    <col min="12797" max="12797" width="18.85546875" style="209" customWidth="1"/>
    <col min="12798" max="12798" width="11.28515625" style="209" bestFit="1" customWidth="1"/>
    <col min="12799" max="12799" width="22.85546875" style="209" customWidth="1"/>
    <col min="12800" max="12814" width="9.7109375" style="209" customWidth="1"/>
    <col min="12815" max="13047" width="11.42578125" style="209" customWidth="1"/>
    <col min="13048" max="13048" width="2.28515625" style="209" customWidth="1"/>
    <col min="13049" max="13049" width="14.7109375" style="209" customWidth="1"/>
    <col min="13050" max="13050" width="11.28515625" style="209" bestFit="1" customWidth="1"/>
    <col min="13051" max="13051" width="22.85546875" style="209"/>
    <col min="13052" max="13052" width="2.28515625" style="209" customWidth="1"/>
    <col min="13053" max="13053" width="18.85546875" style="209" customWidth="1"/>
    <col min="13054" max="13054" width="11.28515625" style="209" bestFit="1" customWidth="1"/>
    <col min="13055" max="13055" width="22.85546875" style="209" customWidth="1"/>
    <col min="13056" max="13070" width="9.7109375" style="209" customWidth="1"/>
    <col min="13071" max="13303" width="11.42578125" style="209" customWidth="1"/>
    <col min="13304" max="13304" width="2.28515625" style="209" customWidth="1"/>
    <col min="13305" max="13305" width="14.7109375" style="209" customWidth="1"/>
    <col min="13306" max="13306" width="11.28515625" style="209" bestFit="1" customWidth="1"/>
    <col min="13307" max="13307" width="22.85546875" style="209"/>
    <col min="13308" max="13308" width="2.28515625" style="209" customWidth="1"/>
    <col min="13309" max="13309" width="18.85546875" style="209" customWidth="1"/>
    <col min="13310" max="13310" width="11.28515625" style="209" bestFit="1" customWidth="1"/>
    <col min="13311" max="13311" width="22.85546875" style="209" customWidth="1"/>
    <col min="13312" max="13326" width="9.7109375" style="209" customWidth="1"/>
    <col min="13327" max="13559" width="11.42578125" style="209" customWidth="1"/>
    <col min="13560" max="13560" width="2.28515625" style="209" customWidth="1"/>
    <col min="13561" max="13561" width="14.7109375" style="209" customWidth="1"/>
    <col min="13562" max="13562" width="11.28515625" style="209" bestFit="1" customWidth="1"/>
    <col min="13563" max="13563" width="22.85546875" style="209"/>
    <col min="13564" max="13564" width="2.28515625" style="209" customWidth="1"/>
    <col min="13565" max="13565" width="18.85546875" style="209" customWidth="1"/>
    <col min="13566" max="13566" width="11.28515625" style="209" bestFit="1" customWidth="1"/>
    <col min="13567" max="13567" width="22.85546875" style="209" customWidth="1"/>
    <col min="13568" max="13582" width="9.7109375" style="209" customWidth="1"/>
    <col min="13583" max="13815" width="11.42578125" style="209" customWidth="1"/>
    <col min="13816" max="13816" width="2.28515625" style="209" customWidth="1"/>
    <col min="13817" max="13817" width="14.7109375" style="209" customWidth="1"/>
    <col min="13818" max="13818" width="11.28515625" style="209" bestFit="1" customWidth="1"/>
    <col min="13819" max="13819" width="22.85546875" style="209"/>
    <col min="13820" max="13820" width="2.28515625" style="209" customWidth="1"/>
    <col min="13821" max="13821" width="18.85546875" style="209" customWidth="1"/>
    <col min="13822" max="13822" width="11.28515625" style="209" bestFit="1" customWidth="1"/>
    <col min="13823" max="13823" width="22.85546875" style="209" customWidth="1"/>
    <col min="13824" max="13838" width="9.7109375" style="209" customWidth="1"/>
    <col min="13839" max="14071" width="11.42578125" style="209" customWidth="1"/>
    <col min="14072" max="14072" width="2.28515625" style="209" customWidth="1"/>
    <col min="14073" max="14073" width="14.7109375" style="209" customWidth="1"/>
    <col min="14074" max="14074" width="11.28515625" style="209" bestFit="1" customWidth="1"/>
    <col min="14075" max="14075" width="22.85546875" style="209"/>
    <col min="14076" max="14076" width="2.28515625" style="209" customWidth="1"/>
    <col min="14077" max="14077" width="18.85546875" style="209" customWidth="1"/>
    <col min="14078" max="14078" width="11.28515625" style="209" bestFit="1" customWidth="1"/>
    <col min="14079" max="14079" width="22.85546875" style="209" customWidth="1"/>
    <col min="14080" max="14094" width="9.7109375" style="209" customWidth="1"/>
    <col min="14095" max="14327" width="11.42578125" style="209" customWidth="1"/>
    <col min="14328" max="14328" width="2.28515625" style="209" customWidth="1"/>
    <col min="14329" max="14329" width="14.7109375" style="209" customWidth="1"/>
    <col min="14330" max="14330" width="11.28515625" style="209" bestFit="1" customWidth="1"/>
    <col min="14331" max="14331" width="22.85546875" style="209"/>
    <col min="14332" max="14332" width="2.28515625" style="209" customWidth="1"/>
    <col min="14333" max="14333" width="18.85546875" style="209" customWidth="1"/>
    <col min="14334" max="14334" width="11.28515625" style="209" bestFit="1" customWidth="1"/>
    <col min="14335" max="14335" width="22.85546875" style="209" customWidth="1"/>
    <col min="14336" max="14350" width="9.7109375" style="209" customWidth="1"/>
    <col min="14351" max="14583" width="11.42578125" style="209" customWidth="1"/>
    <col min="14584" max="14584" width="2.28515625" style="209" customWidth="1"/>
    <col min="14585" max="14585" width="14.7109375" style="209" customWidth="1"/>
    <col min="14586" max="14586" width="11.28515625" style="209" bestFit="1" customWidth="1"/>
    <col min="14587" max="14587" width="22.85546875" style="209"/>
    <col min="14588" max="14588" width="2.28515625" style="209" customWidth="1"/>
    <col min="14589" max="14589" width="18.85546875" style="209" customWidth="1"/>
    <col min="14590" max="14590" width="11.28515625" style="209" bestFit="1" customWidth="1"/>
    <col min="14591" max="14591" width="22.85546875" style="209" customWidth="1"/>
    <col min="14592" max="14606" width="9.7109375" style="209" customWidth="1"/>
    <col min="14607" max="14839" width="11.42578125" style="209" customWidth="1"/>
    <col min="14840" max="14840" width="2.28515625" style="209" customWidth="1"/>
    <col min="14841" max="14841" width="14.7109375" style="209" customWidth="1"/>
    <col min="14842" max="14842" width="11.28515625" style="209" bestFit="1" customWidth="1"/>
    <col min="14843" max="14843" width="22.85546875" style="209"/>
    <col min="14844" max="14844" width="2.28515625" style="209" customWidth="1"/>
    <col min="14845" max="14845" width="18.85546875" style="209" customWidth="1"/>
    <col min="14846" max="14846" width="11.28515625" style="209" bestFit="1" customWidth="1"/>
    <col min="14847" max="14847" width="22.85546875" style="209" customWidth="1"/>
    <col min="14848" max="14862" width="9.7109375" style="209" customWidth="1"/>
    <col min="14863" max="15095" width="11.42578125" style="209" customWidth="1"/>
    <col min="15096" max="15096" width="2.28515625" style="209" customWidth="1"/>
    <col min="15097" max="15097" width="14.7109375" style="209" customWidth="1"/>
    <col min="15098" max="15098" width="11.28515625" style="209" bestFit="1" customWidth="1"/>
    <col min="15099" max="15099" width="22.85546875" style="209"/>
    <col min="15100" max="15100" width="2.28515625" style="209" customWidth="1"/>
    <col min="15101" max="15101" width="18.85546875" style="209" customWidth="1"/>
    <col min="15102" max="15102" width="11.28515625" style="209" bestFit="1" customWidth="1"/>
    <col min="15103" max="15103" width="22.85546875" style="209" customWidth="1"/>
    <col min="15104" max="15118" width="9.7109375" style="209" customWidth="1"/>
    <col min="15119" max="15351" width="11.42578125" style="209" customWidth="1"/>
    <col min="15352" max="15352" width="2.28515625" style="209" customWidth="1"/>
    <col min="15353" max="15353" width="14.7109375" style="209" customWidth="1"/>
    <col min="15354" max="15354" width="11.28515625" style="209" bestFit="1" customWidth="1"/>
    <col min="15355" max="15355" width="22.85546875" style="209"/>
    <col min="15356" max="15356" width="2.28515625" style="209" customWidth="1"/>
    <col min="15357" max="15357" width="18.85546875" style="209" customWidth="1"/>
    <col min="15358" max="15358" width="11.28515625" style="209" bestFit="1" customWidth="1"/>
    <col min="15359" max="15359" width="22.85546875" style="209" customWidth="1"/>
    <col min="15360" max="15374" width="9.7109375" style="209" customWidth="1"/>
    <col min="15375" max="15607" width="11.42578125" style="209" customWidth="1"/>
    <col min="15608" max="15608" width="2.28515625" style="209" customWidth="1"/>
    <col min="15609" max="15609" width="14.7109375" style="209" customWidth="1"/>
    <col min="15610" max="15610" width="11.28515625" style="209" bestFit="1" customWidth="1"/>
    <col min="15611" max="15611" width="22.85546875" style="209"/>
    <col min="15612" max="15612" width="2.28515625" style="209" customWidth="1"/>
    <col min="15613" max="15613" width="18.85546875" style="209" customWidth="1"/>
    <col min="15614" max="15614" width="11.28515625" style="209" bestFit="1" customWidth="1"/>
    <col min="15615" max="15615" width="22.85546875" style="209" customWidth="1"/>
    <col min="15616" max="15630" width="9.7109375" style="209" customWidth="1"/>
    <col min="15631" max="15863" width="11.42578125" style="209" customWidth="1"/>
    <col min="15864" max="15864" width="2.28515625" style="209" customWidth="1"/>
    <col min="15865" max="15865" width="14.7109375" style="209" customWidth="1"/>
    <col min="15866" max="15866" width="11.28515625" style="209" bestFit="1" customWidth="1"/>
    <col min="15867" max="15867" width="22.85546875" style="209"/>
    <col min="15868" max="15868" width="2.28515625" style="209" customWidth="1"/>
    <col min="15869" max="15869" width="18.85546875" style="209" customWidth="1"/>
    <col min="15870" max="15870" width="11.28515625" style="209" bestFit="1" customWidth="1"/>
    <col min="15871" max="15871" width="22.85546875" style="209" customWidth="1"/>
    <col min="15872" max="15886" width="9.7109375" style="209" customWidth="1"/>
    <col min="15887" max="16119" width="11.42578125" style="209" customWidth="1"/>
    <col min="16120" max="16120" width="2.28515625" style="209" customWidth="1"/>
    <col min="16121" max="16121" width="14.7109375" style="209" customWidth="1"/>
    <col min="16122" max="16122" width="11.28515625" style="209" bestFit="1" customWidth="1"/>
    <col min="16123" max="16123" width="22.85546875" style="209"/>
    <col min="16124" max="16124" width="2.28515625" style="209" customWidth="1"/>
    <col min="16125" max="16125" width="18.85546875" style="209" customWidth="1"/>
    <col min="16126" max="16126" width="11.28515625" style="209" bestFit="1" customWidth="1"/>
    <col min="16127" max="16127" width="22.85546875" style="209" customWidth="1"/>
    <col min="16128" max="16142" width="9.7109375" style="209" customWidth="1"/>
    <col min="16143" max="16375" width="11.42578125" style="209" customWidth="1"/>
    <col min="16376" max="16376" width="2.28515625" style="209" customWidth="1"/>
    <col min="16377" max="16377" width="14.7109375" style="209" customWidth="1"/>
    <col min="16378" max="16378" width="11.28515625" style="209" bestFit="1" customWidth="1"/>
    <col min="16379" max="16384" width="22.85546875" style="209"/>
  </cols>
  <sheetData>
    <row r="1" spans="1:41" ht="43.5" customHeight="1" x14ac:dyDescent="0.2">
      <c r="A1" s="5058" t="s">
        <v>1366</v>
      </c>
      <c r="B1" s="5058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</row>
    <row r="2" spans="1:41" ht="15.75" customHeight="1" x14ac:dyDescent="0.2">
      <c r="A2" s="191"/>
      <c r="B2" s="638"/>
      <c r="C2" s="638"/>
      <c r="D2" s="638"/>
      <c r="E2" s="638"/>
      <c r="F2" s="638"/>
      <c r="G2" s="638"/>
      <c r="H2" s="638"/>
      <c r="I2" s="638"/>
      <c r="J2" s="638"/>
      <c r="K2" s="638"/>
      <c r="L2" s="638"/>
      <c r="M2" s="638"/>
      <c r="N2" s="638"/>
      <c r="O2" s="638"/>
      <c r="P2" s="638"/>
      <c r="Q2" s="638"/>
      <c r="R2" s="638"/>
      <c r="S2" s="638"/>
      <c r="T2" s="638"/>
      <c r="U2" s="638"/>
      <c r="V2" s="638"/>
      <c r="W2" s="638"/>
    </row>
    <row r="3" spans="1:41" x14ac:dyDescent="0.2">
      <c r="A3" s="5224" t="s">
        <v>164</v>
      </c>
      <c r="B3" s="5224" t="s">
        <v>25</v>
      </c>
      <c r="C3" s="5141">
        <v>2003</v>
      </c>
      <c r="D3" s="5141"/>
      <c r="E3" s="5141"/>
      <c r="F3" s="5141">
        <v>2004</v>
      </c>
      <c r="G3" s="5141"/>
      <c r="H3" s="5141"/>
      <c r="I3" s="5141">
        <v>2005</v>
      </c>
      <c r="J3" s="5141"/>
      <c r="K3" s="5141"/>
      <c r="L3" s="5141">
        <v>2006</v>
      </c>
      <c r="M3" s="5141"/>
      <c r="N3" s="5141"/>
      <c r="O3" s="5141">
        <v>2007</v>
      </c>
      <c r="P3" s="5141"/>
      <c r="Q3" s="5141"/>
      <c r="R3" s="5141">
        <v>2008</v>
      </c>
      <c r="S3" s="5141"/>
      <c r="T3" s="5141"/>
      <c r="U3" s="5141">
        <v>2009</v>
      </c>
      <c r="V3" s="5141"/>
      <c r="W3" s="5141"/>
      <c r="X3" s="5141">
        <v>2010</v>
      </c>
      <c r="Y3" s="5141"/>
      <c r="Z3" s="5141"/>
      <c r="AA3" s="5141">
        <v>2011</v>
      </c>
      <c r="AB3" s="5141"/>
      <c r="AC3" s="5141"/>
      <c r="AD3" s="5141">
        <v>2012</v>
      </c>
      <c r="AE3" s="5141"/>
      <c r="AF3" s="5141"/>
      <c r="AG3" s="5141">
        <v>2013</v>
      </c>
      <c r="AH3" s="5141"/>
      <c r="AI3" s="5141"/>
      <c r="AJ3" s="5141">
        <v>2014</v>
      </c>
      <c r="AK3" s="5141"/>
      <c r="AL3" s="5141"/>
      <c r="AM3" s="5141">
        <v>2015</v>
      </c>
      <c r="AN3" s="5141"/>
      <c r="AO3" s="5141"/>
    </row>
    <row r="4" spans="1:41" x14ac:dyDescent="0.2">
      <c r="A4" s="5224"/>
      <c r="B4" s="5224"/>
      <c r="C4" s="667" t="s">
        <v>670</v>
      </c>
      <c r="D4" s="1029" t="s">
        <v>668</v>
      </c>
      <c r="E4" s="1029" t="s">
        <v>669</v>
      </c>
      <c r="F4" s="667" t="s">
        <v>670</v>
      </c>
      <c r="G4" s="1029" t="s">
        <v>668</v>
      </c>
      <c r="H4" s="1029" t="s">
        <v>669</v>
      </c>
      <c r="I4" s="667" t="s">
        <v>670</v>
      </c>
      <c r="J4" s="1029" t="s">
        <v>668</v>
      </c>
      <c r="K4" s="1029" t="s">
        <v>669</v>
      </c>
      <c r="L4" s="667" t="s">
        <v>670</v>
      </c>
      <c r="M4" s="1029" t="s">
        <v>668</v>
      </c>
      <c r="N4" s="1029" t="s">
        <v>669</v>
      </c>
      <c r="O4" s="667" t="s">
        <v>670</v>
      </c>
      <c r="P4" s="1029" t="s">
        <v>668</v>
      </c>
      <c r="Q4" s="1029" t="s">
        <v>669</v>
      </c>
      <c r="R4" s="667" t="s">
        <v>670</v>
      </c>
      <c r="S4" s="1029" t="s">
        <v>668</v>
      </c>
      <c r="T4" s="1029" t="s">
        <v>669</v>
      </c>
      <c r="U4" s="667" t="s">
        <v>670</v>
      </c>
      <c r="V4" s="1029" t="s">
        <v>668</v>
      </c>
      <c r="W4" s="1029" t="s">
        <v>669</v>
      </c>
      <c r="X4" s="667" t="s">
        <v>670</v>
      </c>
      <c r="Y4" s="1029" t="s">
        <v>668</v>
      </c>
      <c r="Z4" s="1029" t="s">
        <v>669</v>
      </c>
      <c r="AA4" s="667" t="s">
        <v>670</v>
      </c>
      <c r="AB4" s="1029" t="s">
        <v>668</v>
      </c>
      <c r="AC4" s="1029" t="s">
        <v>669</v>
      </c>
      <c r="AD4" s="667" t="s">
        <v>670</v>
      </c>
      <c r="AE4" s="1029" t="s">
        <v>668</v>
      </c>
      <c r="AF4" s="1029" t="s">
        <v>669</v>
      </c>
      <c r="AG4" s="1835" t="s">
        <v>670</v>
      </c>
      <c r="AH4" s="1837" t="s">
        <v>668</v>
      </c>
      <c r="AI4" s="1836" t="s">
        <v>669</v>
      </c>
      <c r="AJ4" s="2060" t="s">
        <v>670</v>
      </c>
      <c r="AK4" s="2063" t="s">
        <v>668</v>
      </c>
      <c r="AL4" s="2061" t="s">
        <v>669</v>
      </c>
      <c r="AM4" s="2060" t="s">
        <v>670</v>
      </c>
      <c r="AN4" s="2063" t="s">
        <v>668</v>
      </c>
      <c r="AO4" s="2061" t="s">
        <v>669</v>
      </c>
    </row>
    <row r="5" spans="1:41" ht="12.75" customHeight="1" x14ac:dyDescent="0.2">
      <c r="A5" s="263"/>
      <c r="B5" s="263"/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3"/>
      <c r="P5" s="263"/>
      <c r="Q5" s="263"/>
      <c r="R5" s="263"/>
      <c r="S5" s="263"/>
      <c r="T5" s="263"/>
      <c r="U5" s="263"/>
      <c r="V5" s="263"/>
      <c r="W5" s="263"/>
      <c r="X5" s="263"/>
      <c r="Y5" s="263"/>
      <c r="Z5" s="263"/>
      <c r="AA5" s="263"/>
      <c r="AB5" s="263"/>
      <c r="AC5" s="263"/>
      <c r="AD5" s="263"/>
      <c r="AE5" s="263"/>
      <c r="AF5" s="263"/>
      <c r="AG5" s="263"/>
      <c r="AH5" s="263"/>
      <c r="AI5" s="263"/>
      <c r="AJ5" s="263"/>
      <c r="AK5" s="263"/>
      <c r="AL5" s="263"/>
      <c r="AM5" s="263"/>
      <c r="AN5" s="263"/>
      <c r="AO5" s="263"/>
    </row>
    <row r="6" spans="1:41" ht="12.75" customHeight="1" x14ac:dyDescent="0.2">
      <c r="A6" s="5489" t="s">
        <v>5</v>
      </c>
      <c r="B6" s="1067" t="s">
        <v>631</v>
      </c>
      <c r="C6" s="930"/>
      <c r="D6" s="931"/>
      <c r="E6" s="931"/>
      <c r="F6" s="930"/>
      <c r="G6" s="931"/>
      <c r="H6" s="931"/>
      <c r="I6" s="930"/>
      <c r="J6" s="931"/>
      <c r="K6" s="931"/>
      <c r="L6" s="930"/>
      <c r="M6" s="931"/>
      <c r="N6" s="932"/>
      <c r="O6" s="931"/>
      <c r="P6" s="931"/>
      <c r="Q6" s="932"/>
      <c r="R6" s="930"/>
      <c r="S6" s="931"/>
      <c r="T6" s="932"/>
      <c r="U6" s="930"/>
      <c r="V6" s="931"/>
      <c r="W6" s="932"/>
      <c r="X6" s="930"/>
      <c r="Y6" s="931"/>
      <c r="Z6" s="932"/>
      <c r="AA6" s="930"/>
      <c r="AB6" s="931"/>
      <c r="AC6" s="932"/>
      <c r="AD6" s="930"/>
      <c r="AE6" s="931"/>
      <c r="AF6" s="932"/>
      <c r="AG6" s="930"/>
      <c r="AH6" s="931"/>
      <c r="AI6" s="932"/>
      <c r="AJ6" s="930"/>
      <c r="AK6" s="931"/>
      <c r="AL6" s="932"/>
      <c r="AM6" s="930"/>
      <c r="AN6" s="931"/>
      <c r="AO6" s="932"/>
    </row>
    <row r="7" spans="1:41" ht="12.75" customHeight="1" x14ac:dyDescent="0.2">
      <c r="A7" s="5470"/>
      <c r="B7" s="1072" t="s">
        <v>632</v>
      </c>
      <c r="C7" s="933">
        <v>102</v>
      </c>
      <c r="D7" s="934">
        <v>89</v>
      </c>
      <c r="E7" s="934">
        <v>88</v>
      </c>
      <c r="F7" s="933">
        <v>92</v>
      </c>
      <c r="G7" s="934">
        <v>81</v>
      </c>
      <c r="H7" s="934">
        <v>96</v>
      </c>
      <c r="I7" s="933">
        <v>89</v>
      </c>
      <c r="J7" s="934">
        <v>88</v>
      </c>
      <c r="K7" s="934">
        <v>98</v>
      </c>
      <c r="L7" s="933">
        <v>107</v>
      </c>
      <c r="M7" s="934">
        <v>96</v>
      </c>
      <c r="N7" s="935">
        <v>98</v>
      </c>
      <c r="O7" s="934">
        <v>95</v>
      </c>
      <c r="P7" s="934">
        <v>85</v>
      </c>
      <c r="Q7" s="935">
        <v>70</v>
      </c>
      <c r="R7" s="933">
        <v>49</v>
      </c>
      <c r="S7" s="934">
        <v>45</v>
      </c>
      <c r="T7" s="935">
        <v>59</v>
      </c>
      <c r="U7" s="933">
        <v>68</v>
      </c>
      <c r="V7" s="934">
        <v>55</v>
      </c>
      <c r="W7" s="935">
        <v>87</v>
      </c>
      <c r="X7" s="933">
        <v>102</v>
      </c>
      <c r="Y7" s="934">
        <v>94</v>
      </c>
      <c r="Z7" s="935">
        <v>108</v>
      </c>
      <c r="AA7" s="933">
        <v>110</v>
      </c>
      <c r="AB7" s="934">
        <v>90</v>
      </c>
      <c r="AC7" s="935">
        <v>99</v>
      </c>
      <c r="AD7" s="933">
        <f>SUM('MATRICULA-POS plan'!AF5,'MATRICULA-POS plan'!AF6,'MATRICULA-POS plan'!AF7,'MATRICULA-POS plan'!AF8,'MATRICULA-POS plan'!AF9)</f>
        <v>88</v>
      </c>
      <c r="AE7" s="934">
        <f>SUM('MATRICULA-POS plan'!AG5,'MATRICULA-POS plan'!AG6,'MATRICULA-POS plan'!AG7,'MATRICULA-POS plan'!AG8,'MATRICULA-POS plan'!AG9)</f>
        <v>84</v>
      </c>
      <c r="AF7" s="935">
        <f>SUM('MATRICULA-POS plan'!AH5,'MATRICULA-POS plan'!AH6,'MATRICULA-POS plan'!AH7,'MATRICULA-POS plan'!AH8,'MATRICULA-POS plan'!AH9)</f>
        <v>93</v>
      </c>
      <c r="AG7" s="933">
        <f>SUM('MATRICULA-POS plan'!AI5,'MATRICULA-POS plan'!AI6,'MATRICULA-POS plan'!AI7,'MATRICULA-POS plan'!AI8,'MATRICULA-POS plan'!AI9)</f>
        <v>102</v>
      </c>
      <c r="AH7" s="934">
        <f>SUM('MATRICULA-POS plan'!AJ5,'MATRICULA-POS plan'!AJ6,'MATRICULA-POS plan'!AJ7,'MATRICULA-POS plan'!AJ8,'MATRICULA-POS plan'!AJ9)</f>
        <v>92</v>
      </c>
      <c r="AI7" s="935">
        <f>SUM('MATRICULA-POS plan'!AK5,'MATRICULA-POS plan'!AK6,'MATRICULA-POS plan'!AK7,'MATRICULA-POS plan'!AK8,'MATRICULA-POS plan'!AK9)</f>
        <v>126</v>
      </c>
      <c r="AJ7" s="933">
        <f>SUM('MATRICULA-POS plan'!AL5,'MATRICULA-POS plan'!AL6,'MATRICULA-POS plan'!AL7,'MATRICULA-POS plan'!AL8,'MATRICULA-POS plan'!AL9)</f>
        <v>129</v>
      </c>
      <c r="AK7" s="934">
        <f>SUM('MATRICULA-POS plan'!AM5,'MATRICULA-POS plan'!AM6,'MATRICULA-POS plan'!AM7,'MATRICULA-POS plan'!AM8,'MATRICULA-POS plan'!AM9)</f>
        <v>125</v>
      </c>
      <c r="AL7" s="935">
        <f>SUM('MATRICULA-POS plan'!AN5,'MATRICULA-POS plan'!AN6,'MATRICULA-POS plan'!AN7,'MATRICULA-POS plan'!AN8,'MATRICULA-POS plan'!AN9)</f>
        <v>171</v>
      </c>
      <c r="AM7" s="933">
        <f>SUM('MATRICULA-POS plan'!AO5,'MATRICULA-POS plan'!AO6,'MATRICULA-POS plan'!AO7,'MATRICULA-POS plan'!AO8,'MATRICULA-POS plan'!AO9)</f>
        <v>157</v>
      </c>
      <c r="AN7" s="934">
        <f>SUM('MATRICULA-POS plan'!AP5,'MATRICULA-POS plan'!AP6,'MATRICULA-POS plan'!AP7,'MATRICULA-POS plan'!AP8,'MATRICULA-POS plan'!AP9)</f>
        <v>137</v>
      </c>
      <c r="AO7" s="935">
        <f>SUM('MATRICULA-POS plan'!AQ5,'MATRICULA-POS plan'!AQ6,'MATRICULA-POS plan'!AQ7,'MATRICULA-POS plan'!AQ8,'MATRICULA-POS plan'!AQ9)</f>
        <v>167</v>
      </c>
    </row>
    <row r="8" spans="1:41" s="222" customFormat="1" ht="12.75" customHeight="1" x14ac:dyDescent="0.2">
      <c r="A8" s="5470"/>
      <c r="B8" s="1078" t="s">
        <v>633</v>
      </c>
      <c r="C8" s="933">
        <v>22</v>
      </c>
      <c r="D8" s="934">
        <v>19</v>
      </c>
      <c r="E8" s="934">
        <v>28</v>
      </c>
      <c r="F8" s="933">
        <v>25</v>
      </c>
      <c r="G8" s="934">
        <v>25</v>
      </c>
      <c r="H8" s="934">
        <v>29</v>
      </c>
      <c r="I8" s="933">
        <v>28</v>
      </c>
      <c r="J8" s="934">
        <v>27</v>
      </c>
      <c r="K8" s="934">
        <v>24</v>
      </c>
      <c r="L8" s="933">
        <v>21</v>
      </c>
      <c r="M8" s="934">
        <v>21</v>
      </c>
      <c r="N8" s="935">
        <v>24</v>
      </c>
      <c r="O8" s="934">
        <v>27</v>
      </c>
      <c r="P8" s="934">
        <v>31</v>
      </c>
      <c r="Q8" s="935">
        <v>33</v>
      </c>
      <c r="R8" s="933">
        <v>35</v>
      </c>
      <c r="S8" s="934">
        <v>37</v>
      </c>
      <c r="T8" s="935">
        <v>40</v>
      </c>
      <c r="U8" s="933">
        <v>38</v>
      </c>
      <c r="V8" s="934">
        <v>38</v>
      </c>
      <c r="W8" s="935">
        <v>38</v>
      </c>
      <c r="X8" s="933">
        <v>38</v>
      </c>
      <c r="Y8" s="934">
        <v>34</v>
      </c>
      <c r="Z8" s="935">
        <v>31</v>
      </c>
      <c r="AA8" s="933">
        <v>28</v>
      </c>
      <c r="AB8" s="934">
        <v>36</v>
      </c>
      <c r="AC8" s="935">
        <v>28</v>
      </c>
      <c r="AD8" s="933">
        <f>SUM('MATRICULA-POS plan'!AF10,'MATRICULA-POS plan'!AF11)</f>
        <v>26</v>
      </c>
      <c r="AE8" s="934">
        <f>SUM('MATRICULA-POS plan'!AG10,'MATRICULA-POS plan'!AG11)</f>
        <v>23</v>
      </c>
      <c r="AF8" s="935">
        <f>SUM('MATRICULA-POS plan'!AH10,'MATRICULA-POS plan'!AH11)</f>
        <v>26</v>
      </c>
      <c r="AG8" s="933">
        <f>SUM('MATRICULA-POS plan'!AI10,'MATRICULA-POS plan'!AI11)</f>
        <v>21</v>
      </c>
      <c r="AH8" s="934">
        <f>SUM('MATRICULA-POS plan'!AJ10,'MATRICULA-POS plan'!AJ11)</f>
        <v>25</v>
      </c>
      <c r="AI8" s="935">
        <f>SUM('MATRICULA-POS plan'!AK10:AK13)</f>
        <v>28</v>
      </c>
      <c r="AJ8" s="933">
        <f>SUM('MATRICULA-POS plan'!AL10:AL13)</f>
        <v>23</v>
      </c>
      <c r="AK8" s="934">
        <f>SUM('MATRICULA-POS plan'!AM10:AM13)</f>
        <v>25</v>
      </c>
      <c r="AL8" s="935">
        <f>SUM('MATRICULA-POS plan'!AN10:AN13)</f>
        <v>30</v>
      </c>
      <c r="AM8" s="933">
        <f>SUM('MATRICULA-POS plan'!AO10:AO13)</f>
        <v>36</v>
      </c>
      <c r="AN8" s="934">
        <f>SUM('MATRICULA-POS plan'!AP10:AP13)</f>
        <v>32</v>
      </c>
      <c r="AO8" s="935">
        <f>SUM('MATRICULA-POS plan'!AQ10:AQ13)</f>
        <v>33</v>
      </c>
    </row>
    <row r="9" spans="1:41" s="222" customFormat="1" ht="12.75" customHeight="1" x14ac:dyDescent="0.2">
      <c r="A9" s="5471"/>
      <c r="B9" s="583" t="s">
        <v>13</v>
      </c>
      <c r="C9" s="584">
        <v>124</v>
      </c>
      <c r="D9" s="585">
        <v>108</v>
      </c>
      <c r="E9" s="585">
        <v>116</v>
      </c>
      <c r="F9" s="584">
        <v>117</v>
      </c>
      <c r="G9" s="585">
        <v>106</v>
      </c>
      <c r="H9" s="585">
        <v>125</v>
      </c>
      <c r="I9" s="584">
        <v>117</v>
      </c>
      <c r="J9" s="585">
        <v>115</v>
      </c>
      <c r="K9" s="585">
        <v>122</v>
      </c>
      <c r="L9" s="584">
        <v>128</v>
      </c>
      <c r="M9" s="585">
        <v>117</v>
      </c>
      <c r="N9" s="586">
        <v>122</v>
      </c>
      <c r="O9" s="585">
        <v>122</v>
      </c>
      <c r="P9" s="585">
        <v>116</v>
      </c>
      <c r="Q9" s="586">
        <v>103</v>
      </c>
      <c r="R9" s="584">
        <v>84</v>
      </c>
      <c r="S9" s="585">
        <v>82</v>
      </c>
      <c r="T9" s="586">
        <v>99</v>
      </c>
      <c r="U9" s="584">
        <f t="shared" ref="U9:Z9" si="0">SUM(U6:U8)</f>
        <v>106</v>
      </c>
      <c r="V9" s="585">
        <f t="shared" si="0"/>
        <v>93</v>
      </c>
      <c r="W9" s="586">
        <f t="shared" si="0"/>
        <v>125</v>
      </c>
      <c r="X9" s="584">
        <f t="shared" si="0"/>
        <v>140</v>
      </c>
      <c r="Y9" s="585">
        <f t="shared" si="0"/>
        <v>128</v>
      </c>
      <c r="Z9" s="586">
        <f t="shared" si="0"/>
        <v>139</v>
      </c>
      <c r="AA9" s="584">
        <f t="shared" ref="AA9:AI9" si="1">SUM(AA6:AA8)</f>
        <v>138</v>
      </c>
      <c r="AB9" s="585">
        <f t="shared" si="1"/>
        <v>126</v>
      </c>
      <c r="AC9" s="586">
        <f t="shared" si="1"/>
        <v>127</v>
      </c>
      <c r="AD9" s="584">
        <f t="shared" si="1"/>
        <v>114</v>
      </c>
      <c r="AE9" s="585">
        <f t="shared" si="1"/>
        <v>107</v>
      </c>
      <c r="AF9" s="586">
        <f t="shared" si="1"/>
        <v>119</v>
      </c>
      <c r="AG9" s="584">
        <f t="shared" si="1"/>
        <v>123</v>
      </c>
      <c r="AH9" s="585">
        <f t="shared" si="1"/>
        <v>117</v>
      </c>
      <c r="AI9" s="586">
        <f t="shared" si="1"/>
        <v>154</v>
      </c>
      <c r="AJ9" s="584">
        <f t="shared" ref="AJ9:AO9" si="2">SUM(AJ6:AJ8)</f>
        <v>152</v>
      </c>
      <c r="AK9" s="585">
        <f t="shared" si="2"/>
        <v>150</v>
      </c>
      <c r="AL9" s="586">
        <f t="shared" si="2"/>
        <v>201</v>
      </c>
      <c r="AM9" s="584">
        <f t="shared" si="2"/>
        <v>193</v>
      </c>
      <c r="AN9" s="585">
        <f t="shared" si="2"/>
        <v>169</v>
      </c>
      <c r="AO9" s="586">
        <f t="shared" si="2"/>
        <v>200</v>
      </c>
    </row>
    <row r="10" spans="1:41" ht="12.75" customHeight="1" x14ac:dyDescent="0.2">
      <c r="A10" s="5489" t="s">
        <v>6</v>
      </c>
      <c r="B10" s="1067" t="s">
        <v>631</v>
      </c>
      <c r="C10" s="933">
        <v>14</v>
      </c>
      <c r="D10" s="934">
        <v>13</v>
      </c>
      <c r="E10" s="934">
        <v>31</v>
      </c>
      <c r="F10" s="933">
        <v>26</v>
      </c>
      <c r="G10" s="934">
        <v>24</v>
      </c>
      <c r="H10" s="934">
        <v>38</v>
      </c>
      <c r="I10" s="933">
        <v>35</v>
      </c>
      <c r="J10" s="934">
        <v>32</v>
      </c>
      <c r="K10" s="934">
        <v>32</v>
      </c>
      <c r="L10" s="933">
        <v>25</v>
      </c>
      <c r="M10" s="934">
        <v>28</v>
      </c>
      <c r="N10" s="935">
        <v>33</v>
      </c>
      <c r="O10" s="934">
        <v>29</v>
      </c>
      <c r="P10" s="934">
        <v>32</v>
      </c>
      <c r="Q10" s="935">
        <v>39</v>
      </c>
      <c r="R10" s="933">
        <v>27</v>
      </c>
      <c r="S10" s="934">
        <v>27</v>
      </c>
      <c r="T10" s="935">
        <v>31</v>
      </c>
      <c r="U10" s="933">
        <v>31</v>
      </c>
      <c r="V10" s="934">
        <v>27</v>
      </c>
      <c r="W10" s="935">
        <v>19</v>
      </c>
      <c r="X10" s="933">
        <v>14</v>
      </c>
      <c r="Y10" s="934">
        <v>15</v>
      </c>
      <c r="Z10" s="935">
        <v>27</v>
      </c>
      <c r="AA10" s="933">
        <v>26</v>
      </c>
      <c r="AB10" s="934">
        <v>23</v>
      </c>
      <c r="AC10" s="935">
        <v>27</v>
      </c>
      <c r="AD10" s="933">
        <f>SUM('MATRICULA-POS plan'!AF15:AF17)</f>
        <v>25</v>
      </c>
      <c r="AE10" s="934">
        <f>SUM('MATRICULA-POS plan'!AG15:AG17)</f>
        <v>28</v>
      </c>
      <c r="AF10" s="935">
        <f>SUM('MATRICULA-POS plan'!AH15:AH17)</f>
        <v>19</v>
      </c>
      <c r="AG10" s="933">
        <f>SUM('MATRICULA-POS plan'!AI15:AI17)</f>
        <v>18</v>
      </c>
      <c r="AH10" s="934">
        <f>SUM('MATRICULA-POS plan'!AJ15:AJ17)</f>
        <v>18</v>
      </c>
      <c r="AI10" s="935">
        <f>SUM('MATRICULA-POS plan'!AK15:AK17)</f>
        <v>30</v>
      </c>
      <c r="AJ10" s="933">
        <f>SUM('MATRICULA-POS plan'!AL15:AL17)</f>
        <v>27</v>
      </c>
      <c r="AK10" s="934">
        <f>SUM('MATRICULA-POS plan'!AM15:AM17)</f>
        <v>26</v>
      </c>
      <c r="AL10" s="935">
        <f>SUM('MATRICULA-POS plan'!AN15:AN17)</f>
        <v>18</v>
      </c>
      <c r="AM10" s="933">
        <f>SUM('MATRICULA-POS plan'!AO15:AO17)</f>
        <v>17</v>
      </c>
      <c r="AN10" s="934">
        <f>SUM('MATRICULA-POS plan'!AP15:AP17)</f>
        <v>19</v>
      </c>
      <c r="AO10" s="935">
        <f>SUM('MATRICULA-POS plan'!AQ15:AQ17)</f>
        <v>30</v>
      </c>
    </row>
    <row r="11" spans="1:41" ht="12.95" customHeight="1" x14ac:dyDescent="0.2">
      <c r="A11" s="5470"/>
      <c r="B11" s="1072" t="s">
        <v>632</v>
      </c>
      <c r="C11" s="933">
        <v>51</v>
      </c>
      <c r="D11" s="934">
        <v>48</v>
      </c>
      <c r="E11" s="934">
        <v>26</v>
      </c>
      <c r="F11" s="933">
        <v>40</v>
      </c>
      <c r="G11" s="934">
        <v>29</v>
      </c>
      <c r="H11" s="934">
        <v>45</v>
      </c>
      <c r="I11" s="933">
        <v>45</v>
      </c>
      <c r="J11" s="934">
        <v>43</v>
      </c>
      <c r="K11" s="934">
        <v>61</v>
      </c>
      <c r="L11" s="933">
        <v>60</v>
      </c>
      <c r="M11" s="934">
        <v>59</v>
      </c>
      <c r="N11" s="935">
        <v>43</v>
      </c>
      <c r="O11" s="934">
        <v>56</v>
      </c>
      <c r="P11" s="934">
        <v>49</v>
      </c>
      <c r="Q11" s="935">
        <v>77</v>
      </c>
      <c r="R11" s="933">
        <v>78</v>
      </c>
      <c r="S11" s="934">
        <v>75</v>
      </c>
      <c r="T11" s="935">
        <v>86</v>
      </c>
      <c r="U11" s="933">
        <v>54</v>
      </c>
      <c r="V11" s="934">
        <v>56</v>
      </c>
      <c r="W11" s="935">
        <v>118</v>
      </c>
      <c r="X11" s="933">
        <v>75</v>
      </c>
      <c r="Y11" s="934">
        <v>65</v>
      </c>
      <c r="Z11" s="935">
        <v>97</v>
      </c>
      <c r="AA11" s="933">
        <v>69</v>
      </c>
      <c r="AB11" s="934">
        <v>67</v>
      </c>
      <c r="AC11" s="935">
        <v>77</v>
      </c>
      <c r="AD11" s="933">
        <f>SUM('MATRICULA-POS plan'!AF18,'MATRICULA-POS plan'!AF19,'MATRICULA-POS plan'!AF20,'MATRICULA-POS plan'!AF21,'MATRICULA-POS plan'!AF22,'MATRICULA-POS plan'!AF23,'MATRICULA-POS plan'!AF24)</f>
        <v>74</v>
      </c>
      <c r="AE11" s="934">
        <f>SUM('MATRICULA-POS plan'!AG18,'MATRICULA-POS plan'!AG19,'MATRICULA-POS plan'!AG20,'MATRICULA-POS plan'!AG21,'MATRICULA-POS plan'!AG22,'MATRICULA-POS plan'!AG23,'MATRICULA-POS plan'!AG24)</f>
        <v>68</v>
      </c>
      <c r="AF11" s="935">
        <f>SUM('MATRICULA-POS plan'!AH18,'MATRICULA-POS plan'!AH19,'MATRICULA-POS plan'!AH20,'MATRICULA-POS plan'!AH21,'MATRICULA-POS plan'!AH22,'MATRICULA-POS plan'!AH23,'MATRICULA-POS plan'!AH24)</f>
        <v>86</v>
      </c>
      <c r="AG11" s="933">
        <f>SUM('MATRICULA-POS plan'!AI18,'MATRICULA-POS plan'!AI19,'MATRICULA-POS plan'!AI20,'MATRICULA-POS plan'!AI21,'MATRICULA-POS plan'!AI22,'MATRICULA-POS plan'!AI23,'MATRICULA-POS plan'!AI24)</f>
        <v>83</v>
      </c>
      <c r="AH11" s="934">
        <f>SUM('MATRICULA-POS plan'!AJ18,'MATRICULA-POS plan'!AJ19,'MATRICULA-POS plan'!AJ20,'MATRICULA-POS plan'!AJ21,'MATRICULA-POS plan'!AJ22,'MATRICULA-POS plan'!AJ23,'MATRICULA-POS plan'!AJ24)</f>
        <v>83</v>
      </c>
      <c r="AI11" s="935">
        <f>SUM('MATRICULA-POS plan'!AK18,'MATRICULA-POS plan'!AK19,'MATRICULA-POS plan'!AK20,'MATRICULA-POS plan'!AK21,'MATRICULA-POS plan'!AK22,'MATRICULA-POS plan'!AK23,'MATRICULA-POS plan'!AK24)</f>
        <v>101</v>
      </c>
      <c r="AJ11" s="933">
        <f>SUM('MATRICULA-POS plan'!AL18,'MATRICULA-POS plan'!AL19,'MATRICULA-POS plan'!AL20,'MATRICULA-POS plan'!AL21,'MATRICULA-POS plan'!AL22,'MATRICULA-POS plan'!AL23,'MATRICULA-POS plan'!AL24)</f>
        <v>119</v>
      </c>
      <c r="AK11" s="934">
        <f>SUM('MATRICULA-POS plan'!AM18,'MATRICULA-POS plan'!AM19,'MATRICULA-POS plan'!AM20,'MATRICULA-POS plan'!AM21,'MATRICULA-POS plan'!AM22,'MATRICULA-POS plan'!AM23,'MATRICULA-POS plan'!AM24)</f>
        <v>107</v>
      </c>
      <c r="AL11" s="935">
        <f>SUM('MATRICULA-POS plan'!AN18,'MATRICULA-POS plan'!AN19,'MATRICULA-POS plan'!AN20,'MATRICULA-POS plan'!AN21,'MATRICULA-POS plan'!AN22,'MATRICULA-POS plan'!AN23,'MATRICULA-POS plan'!AN24)</f>
        <v>109</v>
      </c>
      <c r="AM11" s="933">
        <f>SUM('MATRICULA-POS plan'!AO18,'MATRICULA-POS plan'!AO19,'MATRICULA-POS plan'!AO20,'MATRICULA-POS plan'!AO21,'MATRICULA-POS plan'!AO22,'MATRICULA-POS plan'!AO23,'MATRICULA-POS plan'!AO24)</f>
        <v>106</v>
      </c>
      <c r="AN11" s="934">
        <f>SUM('MATRICULA-POS plan'!AP18,'MATRICULA-POS plan'!AP19,'MATRICULA-POS plan'!AP20,'MATRICULA-POS plan'!AP21,'MATRICULA-POS plan'!AP22,'MATRICULA-POS plan'!AP23,'MATRICULA-POS plan'!AP24)</f>
        <v>99</v>
      </c>
      <c r="AO11" s="935">
        <f>SUM('MATRICULA-POS plan'!AQ18,'MATRICULA-POS plan'!AQ19,'MATRICULA-POS plan'!AQ20,'MATRICULA-POS plan'!AQ21,'MATRICULA-POS plan'!AQ22,'MATRICULA-POS plan'!AQ23,'MATRICULA-POS plan'!AQ24)</f>
        <v>107</v>
      </c>
    </row>
    <row r="12" spans="1:41" ht="12.95" customHeight="1" x14ac:dyDescent="0.2">
      <c r="A12" s="5470"/>
      <c r="B12" s="1078" t="s">
        <v>633</v>
      </c>
      <c r="C12" s="933">
        <v>7</v>
      </c>
      <c r="D12" s="934">
        <v>0</v>
      </c>
      <c r="E12" s="934">
        <v>0</v>
      </c>
      <c r="F12" s="933">
        <v>3</v>
      </c>
      <c r="G12" s="934">
        <v>5</v>
      </c>
      <c r="H12" s="934">
        <v>4</v>
      </c>
      <c r="I12" s="933">
        <v>1</v>
      </c>
      <c r="J12" s="934">
        <v>0</v>
      </c>
      <c r="K12" s="934">
        <v>17</v>
      </c>
      <c r="L12" s="933">
        <v>13</v>
      </c>
      <c r="M12" s="934">
        <v>12</v>
      </c>
      <c r="N12" s="935">
        <v>14</v>
      </c>
      <c r="O12" s="934">
        <v>17</v>
      </c>
      <c r="P12" s="934">
        <v>8</v>
      </c>
      <c r="Q12" s="935">
        <v>60</v>
      </c>
      <c r="R12" s="933">
        <v>33</v>
      </c>
      <c r="S12" s="934">
        <v>33</v>
      </c>
      <c r="T12" s="935">
        <v>43</v>
      </c>
      <c r="U12" s="933">
        <v>25</v>
      </c>
      <c r="V12" s="934">
        <v>26</v>
      </c>
      <c r="W12" s="935">
        <v>60</v>
      </c>
      <c r="X12" s="933">
        <v>29</v>
      </c>
      <c r="Y12" s="934">
        <v>49</v>
      </c>
      <c r="Z12" s="935">
        <v>69</v>
      </c>
      <c r="AA12" s="933">
        <v>33</v>
      </c>
      <c r="AB12" s="934">
        <v>26</v>
      </c>
      <c r="AC12" s="935">
        <v>37</v>
      </c>
      <c r="AD12" s="933">
        <f>SUM('MATRICULA-POS plan'!AF25,'MATRICULA-POS plan'!AF26,'MATRICULA-POS plan'!AF27)</f>
        <v>36</v>
      </c>
      <c r="AE12" s="934">
        <f>SUM('MATRICULA-POS plan'!AG25,'MATRICULA-POS plan'!AG26,'MATRICULA-POS plan'!AG27)</f>
        <v>33</v>
      </c>
      <c r="AF12" s="935">
        <f>SUM('MATRICULA-POS plan'!AH25,'MATRICULA-POS plan'!AH26,'MATRICULA-POS plan'!AH27)</f>
        <v>39</v>
      </c>
      <c r="AG12" s="933">
        <f>SUM('MATRICULA-POS plan'!AI25,'MATRICULA-POS plan'!AI26,'MATRICULA-POS plan'!AI27)</f>
        <v>44</v>
      </c>
      <c r="AH12" s="934">
        <f>SUM('MATRICULA-POS plan'!AJ25,'MATRICULA-POS plan'!AJ26,'MATRICULA-POS plan'!AJ27)</f>
        <v>33</v>
      </c>
      <c r="AI12" s="935">
        <f>SUM('MATRICULA-POS plan'!AK25,'MATRICULA-POS plan'!AK26,'MATRICULA-POS plan'!AK27)</f>
        <v>41</v>
      </c>
      <c r="AJ12" s="933">
        <f>SUM('MATRICULA-POS plan'!AL25,'MATRICULA-POS plan'!AL26,'MATRICULA-POS plan'!AL27)</f>
        <v>39</v>
      </c>
      <c r="AK12" s="934">
        <f>SUM('MATRICULA-POS plan'!AM25,'MATRICULA-POS plan'!AM26,'MATRICULA-POS plan'!AM27)</f>
        <v>33</v>
      </c>
      <c r="AL12" s="935">
        <f>SUM('MATRICULA-POS plan'!AN25,'MATRICULA-POS plan'!AN26,'MATRICULA-POS plan'!AN27)</f>
        <v>45</v>
      </c>
      <c r="AM12" s="933">
        <f>SUM('MATRICULA-POS plan'!AO25,'MATRICULA-POS plan'!AO26,'MATRICULA-POS plan'!AO27)</f>
        <v>42</v>
      </c>
      <c r="AN12" s="934">
        <f>SUM('MATRICULA-POS plan'!AP25,'MATRICULA-POS plan'!AP26,'MATRICULA-POS plan'!AP27)</f>
        <v>41</v>
      </c>
      <c r="AO12" s="935">
        <f>SUM('MATRICULA-POS plan'!AQ25,'MATRICULA-POS plan'!AQ26,'MATRICULA-POS plan'!AQ27)</f>
        <v>35</v>
      </c>
    </row>
    <row r="13" spans="1:41" s="222" customFormat="1" ht="12.95" customHeight="1" x14ac:dyDescent="0.2">
      <c r="A13" s="5471"/>
      <c r="B13" s="583" t="s">
        <v>14</v>
      </c>
      <c r="C13" s="584">
        <v>72</v>
      </c>
      <c r="D13" s="585">
        <v>61</v>
      </c>
      <c r="E13" s="585">
        <v>57</v>
      </c>
      <c r="F13" s="584">
        <v>69</v>
      </c>
      <c r="G13" s="585">
        <v>58</v>
      </c>
      <c r="H13" s="585">
        <v>87</v>
      </c>
      <c r="I13" s="584">
        <v>81</v>
      </c>
      <c r="J13" s="585">
        <v>75</v>
      </c>
      <c r="K13" s="585">
        <v>110</v>
      </c>
      <c r="L13" s="584">
        <v>98</v>
      </c>
      <c r="M13" s="585">
        <v>99</v>
      </c>
      <c r="N13" s="586">
        <v>90</v>
      </c>
      <c r="O13" s="585">
        <v>102</v>
      </c>
      <c r="P13" s="585">
        <v>89</v>
      </c>
      <c r="Q13" s="586">
        <v>176</v>
      </c>
      <c r="R13" s="584">
        <v>138</v>
      </c>
      <c r="S13" s="585">
        <v>135</v>
      </c>
      <c r="T13" s="586">
        <v>160</v>
      </c>
      <c r="U13" s="584">
        <f t="shared" ref="U13:Z13" si="3">SUM(U10:U12)</f>
        <v>110</v>
      </c>
      <c r="V13" s="585">
        <f t="shared" si="3"/>
        <v>109</v>
      </c>
      <c r="W13" s="586">
        <f t="shared" si="3"/>
        <v>197</v>
      </c>
      <c r="X13" s="584">
        <f t="shared" si="3"/>
        <v>118</v>
      </c>
      <c r="Y13" s="585">
        <f t="shared" si="3"/>
        <v>129</v>
      </c>
      <c r="Z13" s="586">
        <f t="shared" si="3"/>
        <v>193</v>
      </c>
      <c r="AA13" s="584">
        <f t="shared" ref="AA13:AI13" si="4">SUM(AA10:AA12)</f>
        <v>128</v>
      </c>
      <c r="AB13" s="585">
        <f t="shared" si="4"/>
        <v>116</v>
      </c>
      <c r="AC13" s="586">
        <f t="shared" si="4"/>
        <v>141</v>
      </c>
      <c r="AD13" s="584">
        <f t="shared" si="4"/>
        <v>135</v>
      </c>
      <c r="AE13" s="585">
        <f t="shared" si="4"/>
        <v>129</v>
      </c>
      <c r="AF13" s="586">
        <f t="shared" si="4"/>
        <v>144</v>
      </c>
      <c r="AG13" s="584">
        <f t="shared" si="4"/>
        <v>145</v>
      </c>
      <c r="AH13" s="585">
        <f t="shared" si="4"/>
        <v>134</v>
      </c>
      <c r="AI13" s="586">
        <f t="shared" si="4"/>
        <v>172</v>
      </c>
      <c r="AJ13" s="584">
        <f t="shared" ref="AJ13:AO13" si="5">SUM(AJ10:AJ12)</f>
        <v>185</v>
      </c>
      <c r="AK13" s="585">
        <f t="shared" si="5"/>
        <v>166</v>
      </c>
      <c r="AL13" s="586">
        <f t="shared" si="5"/>
        <v>172</v>
      </c>
      <c r="AM13" s="584">
        <f t="shared" si="5"/>
        <v>165</v>
      </c>
      <c r="AN13" s="585">
        <f t="shared" si="5"/>
        <v>159</v>
      </c>
      <c r="AO13" s="586">
        <f t="shared" si="5"/>
        <v>172</v>
      </c>
    </row>
    <row r="14" spans="1:41" ht="12.95" customHeight="1" x14ac:dyDescent="0.2">
      <c r="A14" s="5489" t="s">
        <v>7</v>
      </c>
      <c r="B14" s="1067" t="s">
        <v>631</v>
      </c>
      <c r="C14" s="933">
        <v>29</v>
      </c>
      <c r="D14" s="934">
        <v>28</v>
      </c>
      <c r="E14" s="934">
        <v>19</v>
      </c>
      <c r="F14" s="933">
        <v>16</v>
      </c>
      <c r="G14" s="934">
        <v>13</v>
      </c>
      <c r="H14" s="934">
        <v>25</v>
      </c>
      <c r="I14" s="933">
        <v>16</v>
      </c>
      <c r="J14" s="934">
        <v>14</v>
      </c>
      <c r="K14" s="934">
        <v>14</v>
      </c>
      <c r="L14" s="933">
        <v>8</v>
      </c>
      <c r="M14" s="934">
        <v>7</v>
      </c>
      <c r="N14" s="935">
        <v>25</v>
      </c>
      <c r="O14" s="934">
        <v>36</v>
      </c>
      <c r="P14" s="934">
        <v>17</v>
      </c>
      <c r="Q14" s="935">
        <v>42</v>
      </c>
      <c r="R14" s="933">
        <v>16</v>
      </c>
      <c r="S14" s="934">
        <v>11</v>
      </c>
      <c r="T14" s="935">
        <v>48</v>
      </c>
      <c r="U14" s="933">
        <v>9</v>
      </c>
      <c r="V14" s="934">
        <v>10</v>
      </c>
      <c r="W14" s="935">
        <v>54</v>
      </c>
      <c r="X14" s="933">
        <v>17</v>
      </c>
      <c r="Y14" s="934">
        <v>12</v>
      </c>
      <c r="Z14" s="935">
        <v>87</v>
      </c>
      <c r="AA14" s="933">
        <v>87</v>
      </c>
      <c r="AB14" s="934">
        <v>75</v>
      </c>
      <c r="AC14" s="935">
        <v>32</v>
      </c>
      <c r="AD14" s="933">
        <f>SUM('MATRICULA-POS plan'!AF29)</f>
        <v>33</v>
      </c>
      <c r="AE14" s="934">
        <f>SUM('MATRICULA-POS plan'!AG29)</f>
        <v>31</v>
      </c>
      <c r="AF14" s="935">
        <f>SUM('MATRICULA-POS plan'!AH29)</f>
        <v>79</v>
      </c>
      <c r="AG14" s="933">
        <f>SUM('MATRICULA-POS plan'!AI29)</f>
        <v>69</v>
      </c>
      <c r="AH14" s="934">
        <f>SUM('MATRICULA-POS plan'!AJ29)</f>
        <v>69</v>
      </c>
      <c r="AI14" s="935">
        <f>SUM('MATRICULA-POS plan'!AK29)</f>
        <v>45</v>
      </c>
      <c r="AJ14" s="933">
        <f>SUM('MATRICULA-POS plan'!AL29)</f>
        <v>29</v>
      </c>
      <c r="AK14" s="934">
        <f>SUM('MATRICULA-POS plan'!AM29)</f>
        <v>24</v>
      </c>
      <c r="AL14" s="935">
        <f>SUM('MATRICULA-POS plan'!AN29)</f>
        <v>95</v>
      </c>
      <c r="AM14" s="933">
        <f>SUM('MATRICULA-POS plan'!AO29)</f>
        <v>70</v>
      </c>
      <c r="AN14" s="934">
        <f>SUM('MATRICULA-POS plan'!AP29)</f>
        <v>70</v>
      </c>
      <c r="AO14" s="935">
        <f>SUM('MATRICULA-POS plan'!AQ29)</f>
        <v>2</v>
      </c>
    </row>
    <row r="15" spans="1:41" ht="12.95" customHeight="1" x14ac:dyDescent="0.2">
      <c r="A15" s="5470"/>
      <c r="B15" s="1072" t="s">
        <v>632</v>
      </c>
      <c r="C15" s="933">
        <v>26</v>
      </c>
      <c r="D15" s="934">
        <v>21</v>
      </c>
      <c r="E15" s="934">
        <v>27</v>
      </c>
      <c r="F15" s="933">
        <v>26</v>
      </c>
      <c r="G15" s="934">
        <v>21</v>
      </c>
      <c r="H15" s="934">
        <v>31</v>
      </c>
      <c r="I15" s="933">
        <v>25</v>
      </c>
      <c r="J15" s="934">
        <v>22</v>
      </c>
      <c r="K15" s="934">
        <v>27</v>
      </c>
      <c r="L15" s="933">
        <v>34</v>
      </c>
      <c r="M15" s="934">
        <v>22</v>
      </c>
      <c r="N15" s="935">
        <v>39</v>
      </c>
      <c r="O15" s="934">
        <v>23</v>
      </c>
      <c r="P15" s="934">
        <v>37</v>
      </c>
      <c r="Q15" s="935">
        <v>28</v>
      </c>
      <c r="R15" s="933">
        <v>46</v>
      </c>
      <c r="S15" s="934">
        <v>42</v>
      </c>
      <c r="T15" s="935">
        <v>34</v>
      </c>
      <c r="U15" s="933">
        <v>72</v>
      </c>
      <c r="V15" s="934">
        <v>72</v>
      </c>
      <c r="W15" s="935">
        <v>62</v>
      </c>
      <c r="X15" s="933">
        <v>80</v>
      </c>
      <c r="Y15" s="934">
        <v>75</v>
      </c>
      <c r="Z15" s="935">
        <v>49</v>
      </c>
      <c r="AA15" s="933">
        <v>53</v>
      </c>
      <c r="AB15" s="934">
        <v>38</v>
      </c>
      <c r="AC15" s="935">
        <v>78</v>
      </c>
      <c r="AD15" s="933">
        <f>SUM('MATRICULA-POS plan'!AF31)</f>
        <v>74</v>
      </c>
      <c r="AE15" s="934">
        <f>SUM('MATRICULA-POS plan'!AG31)</f>
        <v>76</v>
      </c>
      <c r="AF15" s="935">
        <f>SUM('MATRICULA-POS plan'!AH31)</f>
        <v>57</v>
      </c>
      <c r="AG15" s="933">
        <f>SUM('MATRICULA-POS plan'!AI31)</f>
        <v>43</v>
      </c>
      <c r="AH15" s="934">
        <f>SUM('MATRICULA-POS plan'!AJ31)</f>
        <v>49</v>
      </c>
      <c r="AI15" s="935">
        <f>SUM('MATRICULA-POS plan'!AK31)</f>
        <v>56</v>
      </c>
      <c r="AJ15" s="933">
        <f>SUM('MATRICULA-POS plan'!AL31)</f>
        <v>56</v>
      </c>
      <c r="AK15" s="934">
        <f>SUM('MATRICULA-POS plan'!AM31)</f>
        <v>59</v>
      </c>
      <c r="AL15" s="935">
        <f>SUM('MATRICULA-POS plan'!AN31)</f>
        <v>63</v>
      </c>
      <c r="AM15" s="933">
        <f>SUM('MATRICULA-POS plan'!AO31)</f>
        <v>48</v>
      </c>
      <c r="AN15" s="934">
        <f>SUM('MATRICULA-POS plan'!AP31)</f>
        <v>40</v>
      </c>
      <c r="AO15" s="935">
        <f>SUM('MATRICULA-POS plan'!AQ31:AQ37)</f>
        <v>79</v>
      </c>
    </row>
    <row r="16" spans="1:41" ht="12.95" customHeight="1" x14ac:dyDescent="0.2">
      <c r="A16" s="5470"/>
      <c r="B16" s="1078" t="s">
        <v>633</v>
      </c>
      <c r="C16" s="933">
        <v>17</v>
      </c>
      <c r="D16" s="934">
        <v>17</v>
      </c>
      <c r="E16" s="934">
        <v>7</v>
      </c>
      <c r="F16" s="933">
        <v>4</v>
      </c>
      <c r="G16" s="934">
        <v>4</v>
      </c>
      <c r="H16" s="934">
        <v>1</v>
      </c>
      <c r="I16" s="933">
        <v>1</v>
      </c>
      <c r="J16" s="934">
        <v>1</v>
      </c>
      <c r="K16" s="934">
        <v>8</v>
      </c>
      <c r="L16" s="933">
        <v>6</v>
      </c>
      <c r="M16" s="934">
        <v>6</v>
      </c>
      <c r="N16" s="935">
        <v>12</v>
      </c>
      <c r="O16" s="934">
        <v>9</v>
      </c>
      <c r="P16" s="934">
        <v>11</v>
      </c>
      <c r="Q16" s="935">
        <v>16</v>
      </c>
      <c r="R16" s="933">
        <v>13</v>
      </c>
      <c r="S16" s="934">
        <v>11</v>
      </c>
      <c r="T16" s="935">
        <v>24</v>
      </c>
      <c r="U16" s="933">
        <v>20</v>
      </c>
      <c r="V16" s="934">
        <v>19</v>
      </c>
      <c r="W16" s="935">
        <v>31</v>
      </c>
      <c r="X16" s="933">
        <v>32</v>
      </c>
      <c r="Y16" s="934">
        <v>34</v>
      </c>
      <c r="Z16" s="935">
        <v>51</v>
      </c>
      <c r="AA16" s="933">
        <v>51</v>
      </c>
      <c r="AB16" s="934">
        <v>44</v>
      </c>
      <c r="AC16" s="935">
        <v>38</v>
      </c>
      <c r="AD16" s="933">
        <f>SUM('MATRICULA-POS plan'!AF38)</f>
        <v>35</v>
      </c>
      <c r="AE16" s="934">
        <f>SUM('MATRICULA-POS plan'!AG38)</f>
        <v>35</v>
      </c>
      <c r="AF16" s="935">
        <f>SUM('MATRICULA-POS plan'!AH38)</f>
        <v>51</v>
      </c>
      <c r="AG16" s="933">
        <f>SUM('MATRICULA-POS plan'!AI38)</f>
        <v>46</v>
      </c>
      <c r="AH16" s="934">
        <f>SUM('MATRICULA-POS plan'!AJ38)</f>
        <v>49</v>
      </c>
      <c r="AI16" s="935">
        <f>SUM('MATRICULA-POS plan'!AK38)</f>
        <v>42</v>
      </c>
      <c r="AJ16" s="933">
        <f>SUM('MATRICULA-POS plan'!AL38)</f>
        <v>35</v>
      </c>
      <c r="AK16" s="934">
        <f>SUM('MATRICULA-POS plan'!AM38)</f>
        <v>34</v>
      </c>
      <c r="AL16" s="935">
        <f>SUM('MATRICULA-POS plan'!AN38)</f>
        <v>66</v>
      </c>
      <c r="AM16" s="933">
        <f>SUM('MATRICULA-POS plan'!AO38)</f>
        <v>69</v>
      </c>
      <c r="AN16" s="934">
        <f>SUM('MATRICULA-POS plan'!AP38)</f>
        <v>65</v>
      </c>
      <c r="AO16" s="935">
        <f>SUM('MATRICULA-POS plan'!AQ38:AQ44)</f>
        <v>56</v>
      </c>
    </row>
    <row r="17" spans="1:41" s="222" customFormat="1" ht="12.95" customHeight="1" x14ac:dyDescent="0.2">
      <c r="A17" s="5471"/>
      <c r="B17" s="583" t="s">
        <v>15</v>
      </c>
      <c r="C17" s="584">
        <v>72</v>
      </c>
      <c r="D17" s="585">
        <v>66</v>
      </c>
      <c r="E17" s="585">
        <v>53</v>
      </c>
      <c r="F17" s="584">
        <v>46</v>
      </c>
      <c r="G17" s="585">
        <v>38</v>
      </c>
      <c r="H17" s="585">
        <v>57</v>
      </c>
      <c r="I17" s="584">
        <v>42</v>
      </c>
      <c r="J17" s="585">
        <v>37</v>
      </c>
      <c r="K17" s="585">
        <v>49</v>
      </c>
      <c r="L17" s="584">
        <v>48</v>
      </c>
      <c r="M17" s="585">
        <v>35</v>
      </c>
      <c r="N17" s="586">
        <v>76</v>
      </c>
      <c r="O17" s="585">
        <v>68</v>
      </c>
      <c r="P17" s="585">
        <v>65</v>
      </c>
      <c r="Q17" s="586">
        <v>86</v>
      </c>
      <c r="R17" s="584">
        <v>75</v>
      </c>
      <c r="S17" s="585">
        <v>64</v>
      </c>
      <c r="T17" s="586">
        <v>106</v>
      </c>
      <c r="U17" s="584">
        <f t="shared" ref="U17:AI17" si="6">SUM(U14:U16)</f>
        <v>101</v>
      </c>
      <c r="V17" s="585">
        <f t="shared" si="6"/>
        <v>101</v>
      </c>
      <c r="W17" s="586">
        <f t="shared" si="6"/>
        <v>147</v>
      </c>
      <c r="X17" s="584">
        <f t="shared" si="6"/>
        <v>129</v>
      </c>
      <c r="Y17" s="585">
        <f t="shared" si="6"/>
        <v>121</v>
      </c>
      <c r="Z17" s="586">
        <f t="shared" si="6"/>
        <v>187</v>
      </c>
      <c r="AA17" s="584">
        <f t="shared" si="6"/>
        <v>191</v>
      </c>
      <c r="AB17" s="585">
        <f t="shared" si="6"/>
        <v>157</v>
      </c>
      <c r="AC17" s="586">
        <f t="shared" si="6"/>
        <v>148</v>
      </c>
      <c r="AD17" s="584">
        <f t="shared" si="6"/>
        <v>142</v>
      </c>
      <c r="AE17" s="585">
        <f t="shared" si="6"/>
        <v>142</v>
      </c>
      <c r="AF17" s="586">
        <f t="shared" si="6"/>
        <v>187</v>
      </c>
      <c r="AG17" s="584">
        <f t="shared" si="6"/>
        <v>158</v>
      </c>
      <c r="AH17" s="585">
        <f t="shared" si="6"/>
        <v>167</v>
      </c>
      <c r="AI17" s="586">
        <f t="shared" si="6"/>
        <v>143</v>
      </c>
      <c r="AJ17" s="584">
        <f t="shared" ref="AJ17:AO17" si="7">SUM(AJ14:AJ16)</f>
        <v>120</v>
      </c>
      <c r="AK17" s="585">
        <f t="shared" si="7"/>
        <v>117</v>
      </c>
      <c r="AL17" s="586">
        <f t="shared" si="7"/>
        <v>224</v>
      </c>
      <c r="AM17" s="584">
        <f t="shared" si="7"/>
        <v>187</v>
      </c>
      <c r="AN17" s="585">
        <f t="shared" si="7"/>
        <v>175</v>
      </c>
      <c r="AO17" s="586">
        <f t="shared" si="7"/>
        <v>137</v>
      </c>
    </row>
    <row r="18" spans="1:41" ht="12.95" customHeight="1" x14ac:dyDescent="0.2">
      <c r="A18" s="5549" t="s">
        <v>694</v>
      </c>
      <c r="B18" s="1067" t="s">
        <v>631</v>
      </c>
      <c r="C18" s="933">
        <v>43</v>
      </c>
      <c r="D18" s="934">
        <v>41</v>
      </c>
      <c r="E18" s="934">
        <v>50</v>
      </c>
      <c r="F18" s="933">
        <v>42</v>
      </c>
      <c r="G18" s="934">
        <v>37</v>
      </c>
      <c r="H18" s="934">
        <v>63</v>
      </c>
      <c r="I18" s="933">
        <v>51</v>
      </c>
      <c r="J18" s="934">
        <v>46</v>
      </c>
      <c r="K18" s="934">
        <v>46</v>
      </c>
      <c r="L18" s="933">
        <v>33</v>
      </c>
      <c r="M18" s="934">
        <v>35</v>
      </c>
      <c r="N18" s="935">
        <v>58</v>
      </c>
      <c r="O18" s="934">
        <v>65</v>
      </c>
      <c r="P18" s="934">
        <v>49</v>
      </c>
      <c r="Q18" s="935">
        <v>81</v>
      </c>
      <c r="R18" s="933">
        <v>43</v>
      </c>
      <c r="S18" s="934">
        <v>38</v>
      </c>
      <c r="T18" s="935">
        <v>79</v>
      </c>
      <c r="U18" s="933">
        <f t="shared" ref="U18:AI21" si="8">U6+U10+U14</f>
        <v>40</v>
      </c>
      <c r="V18" s="934">
        <f t="shared" si="8"/>
        <v>37</v>
      </c>
      <c r="W18" s="935">
        <f t="shared" si="8"/>
        <v>73</v>
      </c>
      <c r="X18" s="933">
        <f t="shared" si="8"/>
        <v>31</v>
      </c>
      <c r="Y18" s="934">
        <f t="shared" si="8"/>
        <v>27</v>
      </c>
      <c r="Z18" s="935">
        <f t="shared" si="8"/>
        <v>114</v>
      </c>
      <c r="AA18" s="933">
        <f t="shared" si="8"/>
        <v>113</v>
      </c>
      <c r="AB18" s="934">
        <f t="shared" si="8"/>
        <v>98</v>
      </c>
      <c r="AC18" s="935">
        <f t="shared" si="8"/>
        <v>59</v>
      </c>
      <c r="AD18" s="933">
        <f t="shared" si="8"/>
        <v>58</v>
      </c>
      <c r="AE18" s="934">
        <f t="shared" si="8"/>
        <v>59</v>
      </c>
      <c r="AF18" s="935">
        <f t="shared" si="8"/>
        <v>98</v>
      </c>
      <c r="AG18" s="933">
        <f t="shared" si="8"/>
        <v>87</v>
      </c>
      <c r="AH18" s="934">
        <f t="shared" si="8"/>
        <v>87</v>
      </c>
      <c r="AI18" s="935">
        <f t="shared" si="8"/>
        <v>75</v>
      </c>
      <c r="AJ18" s="933">
        <f t="shared" ref="AJ18:AL21" si="9">AJ6+AJ10+AJ14</f>
        <v>56</v>
      </c>
      <c r="AK18" s="934">
        <f t="shared" si="9"/>
        <v>50</v>
      </c>
      <c r="AL18" s="935">
        <f t="shared" si="9"/>
        <v>113</v>
      </c>
      <c r="AM18" s="933">
        <f t="shared" ref="AM18:AO18" si="10">AM6+AM10+AM14</f>
        <v>87</v>
      </c>
      <c r="AN18" s="934">
        <f t="shared" si="10"/>
        <v>89</v>
      </c>
      <c r="AO18" s="935">
        <f t="shared" si="10"/>
        <v>32</v>
      </c>
    </row>
    <row r="19" spans="1:41" ht="12.95" customHeight="1" x14ac:dyDescent="0.2">
      <c r="A19" s="5550"/>
      <c r="B19" s="1072" t="s">
        <v>632</v>
      </c>
      <c r="C19" s="933">
        <v>179</v>
      </c>
      <c r="D19" s="934">
        <v>158</v>
      </c>
      <c r="E19" s="934">
        <v>141</v>
      </c>
      <c r="F19" s="933">
        <v>158</v>
      </c>
      <c r="G19" s="934">
        <v>131</v>
      </c>
      <c r="H19" s="934">
        <v>172</v>
      </c>
      <c r="I19" s="933">
        <v>159</v>
      </c>
      <c r="J19" s="934">
        <v>153</v>
      </c>
      <c r="K19" s="934">
        <v>186</v>
      </c>
      <c r="L19" s="933">
        <v>201</v>
      </c>
      <c r="M19" s="934">
        <v>177</v>
      </c>
      <c r="N19" s="935">
        <v>180</v>
      </c>
      <c r="O19" s="934">
        <v>174</v>
      </c>
      <c r="P19" s="934">
        <v>171</v>
      </c>
      <c r="Q19" s="935">
        <v>175</v>
      </c>
      <c r="R19" s="933">
        <v>173</v>
      </c>
      <c r="S19" s="934">
        <v>162</v>
      </c>
      <c r="T19" s="935">
        <v>179</v>
      </c>
      <c r="U19" s="933">
        <f t="shared" si="8"/>
        <v>194</v>
      </c>
      <c r="V19" s="934">
        <f t="shared" si="8"/>
        <v>183</v>
      </c>
      <c r="W19" s="935">
        <f t="shared" si="8"/>
        <v>267</v>
      </c>
      <c r="X19" s="933">
        <f t="shared" si="8"/>
        <v>257</v>
      </c>
      <c r="Y19" s="934">
        <f t="shared" si="8"/>
        <v>234</v>
      </c>
      <c r="Z19" s="935">
        <f t="shared" si="8"/>
        <v>254</v>
      </c>
      <c r="AA19" s="933">
        <f t="shared" si="8"/>
        <v>232</v>
      </c>
      <c r="AB19" s="934">
        <f t="shared" si="8"/>
        <v>195</v>
      </c>
      <c r="AC19" s="935">
        <f t="shared" si="8"/>
        <v>254</v>
      </c>
      <c r="AD19" s="933">
        <f t="shared" si="8"/>
        <v>236</v>
      </c>
      <c r="AE19" s="934">
        <f t="shared" si="8"/>
        <v>228</v>
      </c>
      <c r="AF19" s="935">
        <f t="shared" si="8"/>
        <v>236</v>
      </c>
      <c r="AG19" s="933">
        <f t="shared" si="8"/>
        <v>228</v>
      </c>
      <c r="AH19" s="934">
        <f t="shared" si="8"/>
        <v>224</v>
      </c>
      <c r="AI19" s="935">
        <f t="shared" si="8"/>
        <v>283</v>
      </c>
      <c r="AJ19" s="933">
        <f t="shared" si="9"/>
        <v>304</v>
      </c>
      <c r="AK19" s="934">
        <f t="shared" si="9"/>
        <v>291</v>
      </c>
      <c r="AL19" s="935">
        <f t="shared" si="9"/>
        <v>343</v>
      </c>
      <c r="AM19" s="933">
        <f t="shared" ref="AM19:AO19" si="11">AM7+AM11+AM15</f>
        <v>311</v>
      </c>
      <c r="AN19" s="934">
        <f t="shared" si="11"/>
        <v>276</v>
      </c>
      <c r="AO19" s="935">
        <f t="shared" si="11"/>
        <v>353</v>
      </c>
    </row>
    <row r="20" spans="1:41" ht="12.95" customHeight="1" x14ac:dyDescent="0.2">
      <c r="A20" s="5550"/>
      <c r="B20" s="1078" t="s">
        <v>633</v>
      </c>
      <c r="C20" s="933">
        <v>46</v>
      </c>
      <c r="D20" s="934">
        <v>36</v>
      </c>
      <c r="E20" s="934">
        <v>35</v>
      </c>
      <c r="F20" s="933">
        <v>32</v>
      </c>
      <c r="G20" s="934">
        <v>34</v>
      </c>
      <c r="H20" s="934">
        <v>34</v>
      </c>
      <c r="I20" s="933">
        <v>30</v>
      </c>
      <c r="J20" s="934">
        <v>28</v>
      </c>
      <c r="K20" s="934">
        <v>49</v>
      </c>
      <c r="L20" s="933">
        <v>40</v>
      </c>
      <c r="M20" s="934">
        <v>39</v>
      </c>
      <c r="N20" s="935">
        <v>50</v>
      </c>
      <c r="O20" s="934">
        <v>53</v>
      </c>
      <c r="P20" s="934">
        <v>50</v>
      </c>
      <c r="Q20" s="935">
        <v>109</v>
      </c>
      <c r="R20" s="933">
        <v>81</v>
      </c>
      <c r="S20" s="934">
        <v>81</v>
      </c>
      <c r="T20" s="935">
        <v>107</v>
      </c>
      <c r="U20" s="933">
        <f t="shared" si="8"/>
        <v>83</v>
      </c>
      <c r="V20" s="934">
        <f t="shared" si="8"/>
        <v>83</v>
      </c>
      <c r="W20" s="935">
        <f t="shared" si="8"/>
        <v>129</v>
      </c>
      <c r="X20" s="933">
        <f t="shared" si="8"/>
        <v>99</v>
      </c>
      <c r="Y20" s="934">
        <f t="shared" si="8"/>
        <v>117</v>
      </c>
      <c r="Z20" s="935">
        <f t="shared" si="8"/>
        <v>151</v>
      </c>
      <c r="AA20" s="933">
        <f t="shared" si="8"/>
        <v>112</v>
      </c>
      <c r="AB20" s="934">
        <f t="shared" si="8"/>
        <v>106</v>
      </c>
      <c r="AC20" s="935">
        <f t="shared" si="8"/>
        <v>103</v>
      </c>
      <c r="AD20" s="933">
        <f t="shared" si="8"/>
        <v>97</v>
      </c>
      <c r="AE20" s="934">
        <f t="shared" si="8"/>
        <v>91</v>
      </c>
      <c r="AF20" s="935">
        <f t="shared" si="8"/>
        <v>116</v>
      </c>
      <c r="AG20" s="933">
        <f t="shared" si="8"/>
        <v>111</v>
      </c>
      <c r="AH20" s="934">
        <f t="shared" si="8"/>
        <v>107</v>
      </c>
      <c r="AI20" s="935">
        <f t="shared" si="8"/>
        <v>111</v>
      </c>
      <c r="AJ20" s="933">
        <f t="shared" si="9"/>
        <v>97</v>
      </c>
      <c r="AK20" s="934">
        <f t="shared" si="9"/>
        <v>92</v>
      </c>
      <c r="AL20" s="935">
        <f t="shared" si="9"/>
        <v>141</v>
      </c>
      <c r="AM20" s="933">
        <f t="shared" ref="AM20:AO20" si="12">AM8+AM12+AM16</f>
        <v>147</v>
      </c>
      <c r="AN20" s="934">
        <f t="shared" si="12"/>
        <v>138</v>
      </c>
      <c r="AO20" s="935">
        <f t="shared" si="12"/>
        <v>124</v>
      </c>
    </row>
    <row r="21" spans="1:41" s="224" customFormat="1" ht="12.95" customHeight="1" x14ac:dyDescent="0.2">
      <c r="A21" s="5551"/>
      <c r="B21" s="2669" t="s">
        <v>12</v>
      </c>
      <c r="C21" s="2612">
        <f>SUM(C18:C20)</f>
        <v>268</v>
      </c>
      <c r="D21" s="2613">
        <f>SUM(D18:D20)</f>
        <v>235</v>
      </c>
      <c r="E21" s="2613">
        <f>SUM(E18:E20)</f>
        <v>226</v>
      </c>
      <c r="F21" s="2612">
        <f t="shared" ref="F21:Q21" si="13">SUM(F18:F20)</f>
        <v>232</v>
      </c>
      <c r="G21" s="2613">
        <f t="shared" si="13"/>
        <v>202</v>
      </c>
      <c r="H21" s="2613">
        <f t="shared" si="13"/>
        <v>269</v>
      </c>
      <c r="I21" s="2612">
        <f t="shared" si="13"/>
        <v>240</v>
      </c>
      <c r="J21" s="2613">
        <f t="shared" si="13"/>
        <v>227</v>
      </c>
      <c r="K21" s="2613">
        <f t="shared" si="13"/>
        <v>281</v>
      </c>
      <c r="L21" s="2612">
        <f t="shared" si="13"/>
        <v>274</v>
      </c>
      <c r="M21" s="2613">
        <f t="shared" si="13"/>
        <v>251</v>
      </c>
      <c r="N21" s="2614">
        <f t="shared" si="13"/>
        <v>288</v>
      </c>
      <c r="O21" s="2613">
        <f t="shared" si="13"/>
        <v>292</v>
      </c>
      <c r="P21" s="2613">
        <f t="shared" si="13"/>
        <v>270</v>
      </c>
      <c r="Q21" s="2614">
        <f t="shared" si="13"/>
        <v>365</v>
      </c>
      <c r="R21" s="2612">
        <v>297</v>
      </c>
      <c r="S21" s="2613">
        <v>281</v>
      </c>
      <c r="T21" s="2614">
        <v>365</v>
      </c>
      <c r="U21" s="2612">
        <f t="shared" si="8"/>
        <v>317</v>
      </c>
      <c r="V21" s="2613">
        <f t="shared" si="8"/>
        <v>303</v>
      </c>
      <c r="W21" s="2614">
        <f t="shared" si="8"/>
        <v>469</v>
      </c>
      <c r="X21" s="2612">
        <f t="shared" si="8"/>
        <v>387</v>
      </c>
      <c r="Y21" s="2613">
        <f t="shared" si="8"/>
        <v>378</v>
      </c>
      <c r="Z21" s="2614">
        <f t="shared" si="8"/>
        <v>519</v>
      </c>
      <c r="AA21" s="2612">
        <f t="shared" si="8"/>
        <v>457</v>
      </c>
      <c r="AB21" s="2613">
        <f t="shared" si="8"/>
        <v>399</v>
      </c>
      <c r="AC21" s="2614">
        <f t="shared" si="8"/>
        <v>416</v>
      </c>
      <c r="AD21" s="2612">
        <f t="shared" si="8"/>
        <v>391</v>
      </c>
      <c r="AE21" s="2613">
        <f t="shared" si="8"/>
        <v>378</v>
      </c>
      <c r="AF21" s="2614">
        <f t="shared" si="8"/>
        <v>450</v>
      </c>
      <c r="AG21" s="2612">
        <f t="shared" si="8"/>
        <v>426</v>
      </c>
      <c r="AH21" s="2613">
        <f t="shared" si="8"/>
        <v>418</v>
      </c>
      <c r="AI21" s="2614">
        <f t="shared" si="8"/>
        <v>469</v>
      </c>
      <c r="AJ21" s="2612">
        <f t="shared" si="9"/>
        <v>457</v>
      </c>
      <c r="AK21" s="2613">
        <f t="shared" si="9"/>
        <v>433</v>
      </c>
      <c r="AL21" s="2614">
        <f t="shared" si="9"/>
        <v>597</v>
      </c>
      <c r="AM21" s="2612">
        <f t="shared" ref="AM21:AO21" si="14">AM9+AM13+AM17</f>
        <v>545</v>
      </c>
      <c r="AN21" s="2613">
        <f t="shared" si="14"/>
        <v>503</v>
      </c>
      <c r="AO21" s="2614">
        <f t="shared" si="14"/>
        <v>509</v>
      </c>
    </row>
    <row r="22" spans="1:41" s="224" customFormat="1" ht="12.95" customHeight="1" x14ac:dyDescent="0.2">
      <c r="A22" s="263"/>
      <c r="B22" s="936"/>
      <c r="C22" s="936"/>
      <c r="D22" s="936"/>
      <c r="E22" s="936"/>
      <c r="F22" s="936"/>
      <c r="G22" s="936"/>
      <c r="H22" s="936"/>
      <c r="I22" s="936"/>
      <c r="J22" s="936"/>
      <c r="K22" s="936"/>
      <c r="L22" s="936"/>
      <c r="M22" s="936"/>
      <c r="N22" s="936"/>
      <c r="O22" s="936"/>
      <c r="P22" s="936"/>
      <c r="Q22" s="936"/>
      <c r="R22" s="936"/>
      <c r="S22" s="936"/>
      <c r="T22" s="936"/>
      <c r="U22" s="936"/>
      <c r="V22" s="936"/>
      <c r="W22" s="936"/>
      <c r="X22" s="936"/>
      <c r="Y22" s="936"/>
      <c r="Z22" s="936"/>
      <c r="AA22" s="936"/>
      <c r="AB22" s="936"/>
      <c r="AC22" s="936"/>
      <c r="AD22" s="936"/>
      <c r="AE22" s="936"/>
      <c r="AF22" s="936"/>
      <c r="AG22" s="936"/>
      <c r="AH22" s="936"/>
      <c r="AI22" s="936"/>
      <c r="AJ22" s="936"/>
      <c r="AK22" s="936"/>
      <c r="AL22" s="936"/>
      <c r="AM22" s="936"/>
      <c r="AN22" s="936"/>
      <c r="AO22" s="936"/>
    </row>
    <row r="23" spans="1:41" s="224" customFormat="1" ht="12.95" customHeight="1" x14ac:dyDescent="0.2">
      <c r="A23" s="5483" t="s">
        <v>6</v>
      </c>
      <c r="B23" s="1067" t="s">
        <v>631</v>
      </c>
      <c r="C23" s="930"/>
      <c r="D23" s="931"/>
      <c r="E23" s="931"/>
      <c r="F23" s="930"/>
      <c r="G23" s="931"/>
      <c r="H23" s="931"/>
      <c r="I23" s="930"/>
      <c r="J23" s="931"/>
      <c r="K23" s="931"/>
      <c r="L23" s="930"/>
      <c r="M23" s="931"/>
      <c r="N23" s="932"/>
      <c r="O23" s="931"/>
      <c r="P23" s="931"/>
      <c r="Q23" s="932"/>
      <c r="R23" s="930"/>
      <c r="S23" s="931"/>
      <c r="T23" s="932"/>
      <c r="U23" s="930"/>
      <c r="V23" s="931"/>
      <c r="W23" s="932"/>
      <c r="X23" s="930"/>
      <c r="Y23" s="931"/>
      <c r="Z23" s="932"/>
      <c r="AA23" s="930"/>
      <c r="AB23" s="931"/>
      <c r="AC23" s="932"/>
      <c r="AD23" s="930"/>
      <c r="AE23" s="931"/>
      <c r="AF23" s="932"/>
      <c r="AG23" s="930"/>
      <c r="AH23" s="931"/>
      <c r="AI23" s="932"/>
      <c r="AJ23" s="930"/>
      <c r="AK23" s="931"/>
      <c r="AL23" s="932"/>
      <c r="AM23" s="930"/>
      <c r="AN23" s="931"/>
      <c r="AO23" s="932"/>
    </row>
    <row r="24" spans="1:41" s="224" customFormat="1" ht="12.95" customHeight="1" x14ac:dyDescent="0.2">
      <c r="A24" s="5484"/>
      <c r="B24" s="1072" t="s">
        <v>632</v>
      </c>
      <c r="C24" s="933"/>
      <c r="D24" s="934"/>
      <c r="E24" s="934"/>
      <c r="F24" s="933"/>
      <c r="G24" s="934"/>
      <c r="H24" s="934"/>
      <c r="I24" s="933"/>
      <c r="J24" s="934"/>
      <c r="K24" s="934"/>
      <c r="L24" s="933"/>
      <c r="M24" s="934"/>
      <c r="N24" s="935"/>
      <c r="O24" s="934"/>
      <c r="P24" s="934"/>
      <c r="Q24" s="935"/>
      <c r="R24" s="933"/>
      <c r="S24" s="934"/>
      <c r="T24" s="935"/>
      <c r="U24" s="933"/>
      <c r="V24" s="934"/>
      <c r="W24" s="935"/>
      <c r="X24" s="933"/>
      <c r="Y24" s="934"/>
      <c r="Z24" s="935"/>
      <c r="AA24" s="933">
        <v>20</v>
      </c>
      <c r="AB24" s="934">
        <v>19</v>
      </c>
      <c r="AC24" s="935">
        <v>18</v>
      </c>
      <c r="AD24" s="933">
        <f>SUM('MATRICULA-POS plan'!AF47)</f>
        <v>31</v>
      </c>
      <c r="AE24" s="934">
        <f>SUM('MATRICULA-POS plan'!AG47)</f>
        <v>28</v>
      </c>
      <c r="AF24" s="935">
        <f>SUM('MATRICULA-POS plan'!AH47)</f>
        <v>28</v>
      </c>
      <c r="AG24" s="933">
        <f>SUM('MATRICULA-POS plan'!AI47)</f>
        <v>39</v>
      </c>
      <c r="AH24" s="934">
        <f>SUM('MATRICULA-POS plan'!AJ47)</f>
        <v>37</v>
      </c>
      <c r="AI24" s="935">
        <f>SUM('MATRICULA-POS plan'!AK47)</f>
        <v>31</v>
      </c>
      <c r="AJ24" s="933">
        <f>SUM('MATRICULA-POS plan'!AL47)</f>
        <v>23</v>
      </c>
      <c r="AK24" s="934">
        <f>SUM('MATRICULA-POS plan'!AM47)</f>
        <v>21</v>
      </c>
      <c r="AL24" s="935">
        <f>SUM('MATRICULA-POS plan'!AN47)</f>
        <v>33</v>
      </c>
      <c r="AM24" s="933">
        <f>SUM('MATRICULA-POS plan'!AO47)</f>
        <v>15</v>
      </c>
      <c r="AN24" s="934">
        <f>SUM('MATRICULA-POS plan'!AP47)</f>
        <v>14</v>
      </c>
      <c r="AO24" s="935">
        <f>SUM('MATRICULA-POS plan'!AQ47)</f>
        <v>33</v>
      </c>
    </row>
    <row r="25" spans="1:41" s="224" customFormat="1" ht="12.95" customHeight="1" x14ac:dyDescent="0.2">
      <c r="A25" s="5484"/>
      <c r="B25" s="1078" t="s">
        <v>633</v>
      </c>
      <c r="C25" s="933"/>
      <c r="D25" s="934"/>
      <c r="E25" s="934"/>
      <c r="F25" s="933"/>
      <c r="G25" s="934"/>
      <c r="H25" s="934"/>
      <c r="I25" s="933"/>
      <c r="J25" s="934"/>
      <c r="K25" s="934"/>
      <c r="L25" s="933"/>
      <c r="M25" s="934"/>
      <c r="N25" s="935"/>
      <c r="O25" s="934"/>
      <c r="P25" s="934"/>
      <c r="Q25" s="935"/>
      <c r="R25" s="933"/>
      <c r="S25" s="934"/>
      <c r="T25" s="935"/>
      <c r="U25" s="933"/>
      <c r="V25" s="934"/>
      <c r="W25" s="935"/>
      <c r="X25" s="933"/>
      <c r="Y25" s="934"/>
      <c r="Z25" s="935"/>
      <c r="AA25" s="933">
        <v>12</v>
      </c>
      <c r="AB25" s="934">
        <v>12</v>
      </c>
      <c r="AC25" s="935">
        <v>12</v>
      </c>
      <c r="AD25" s="933">
        <f>SUM('MATRICULA-POS plan'!AF48)</f>
        <v>22</v>
      </c>
      <c r="AE25" s="934">
        <f>SUM('MATRICULA-POS plan'!AG48)</f>
        <v>21</v>
      </c>
      <c r="AF25" s="935">
        <f>SUM('MATRICULA-POS plan'!AH48)</f>
        <v>21</v>
      </c>
      <c r="AG25" s="933">
        <f>SUM('MATRICULA-POS plan'!AI48)</f>
        <v>19</v>
      </c>
      <c r="AH25" s="934">
        <f>SUM('MATRICULA-POS plan'!AJ48)</f>
        <v>18</v>
      </c>
      <c r="AI25" s="935">
        <f>SUM('MATRICULA-POS plan'!AK48)</f>
        <v>35</v>
      </c>
      <c r="AJ25" s="933">
        <f>SUM('MATRICULA-POS plan'!AL48)</f>
        <v>24</v>
      </c>
      <c r="AK25" s="934">
        <f>SUM('MATRICULA-POS plan'!AM48)</f>
        <v>25</v>
      </c>
      <c r="AL25" s="935">
        <f>SUM('MATRICULA-POS plan'!AN48)</f>
        <v>41</v>
      </c>
      <c r="AM25" s="933">
        <f>SUM('MATRICULA-POS plan'!AO48)</f>
        <v>36</v>
      </c>
      <c r="AN25" s="934">
        <f>SUM('MATRICULA-POS plan'!AP48)</f>
        <v>36</v>
      </c>
      <c r="AO25" s="935">
        <f>SUM('MATRICULA-POS plan'!AQ48)</f>
        <v>54</v>
      </c>
    </row>
    <row r="26" spans="1:41" s="224" customFormat="1" ht="12.95" customHeight="1" x14ac:dyDescent="0.2">
      <c r="A26" s="5485"/>
      <c r="B26" s="583" t="s">
        <v>14</v>
      </c>
      <c r="C26" s="584"/>
      <c r="D26" s="585"/>
      <c r="E26" s="585"/>
      <c r="F26" s="584"/>
      <c r="G26" s="585"/>
      <c r="H26" s="585"/>
      <c r="I26" s="584"/>
      <c r="J26" s="585"/>
      <c r="K26" s="585"/>
      <c r="L26" s="584"/>
      <c r="M26" s="585"/>
      <c r="N26" s="586"/>
      <c r="O26" s="585"/>
      <c r="P26" s="585"/>
      <c r="Q26" s="586"/>
      <c r="R26" s="584"/>
      <c r="S26" s="585"/>
      <c r="T26" s="586"/>
      <c r="U26" s="584"/>
      <c r="V26" s="585"/>
      <c r="W26" s="586"/>
      <c r="X26" s="584"/>
      <c r="Y26" s="585"/>
      <c r="Z26" s="586"/>
      <c r="AA26" s="584">
        <f t="shared" ref="AA26:AC26" si="15">SUM(AA23:AA25)</f>
        <v>32</v>
      </c>
      <c r="AB26" s="585">
        <f t="shared" si="15"/>
        <v>31</v>
      </c>
      <c r="AC26" s="586">
        <f t="shared" si="15"/>
        <v>30</v>
      </c>
      <c r="AD26" s="584">
        <f t="shared" ref="AD26:AI26" si="16">SUM(AD23:AD25)</f>
        <v>53</v>
      </c>
      <c r="AE26" s="585">
        <f t="shared" si="16"/>
        <v>49</v>
      </c>
      <c r="AF26" s="586">
        <f t="shared" si="16"/>
        <v>49</v>
      </c>
      <c r="AG26" s="584">
        <f t="shared" si="16"/>
        <v>58</v>
      </c>
      <c r="AH26" s="585">
        <f t="shared" si="16"/>
        <v>55</v>
      </c>
      <c r="AI26" s="586">
        <f t="shared" si="16"/>
        <v>66</v>
      </c>
      <c r="AJ26" s="584">
        <f t="shared" ref="AJ26:AO26" si="17">SUM(AJ23:AJ25)</f>
        <v>47</v>
      </c>
      <c r="AK26" s="585">
        <f t="shared" si="17"/>
        <v>46</v>
      </c>
      <c r="AL26" s="586">
        <f t="shared" si="17"/>
        <v>74</v>
      </c>
      <c r="AM26" s="584">
        <f t="shared" si="17"/>
        <v>51</v>
      </c>
      <c r="AN26" s="585">
        <f t="shared" si="17"/>
        <v>50</v>
      </c>
      <c r="AO26" s="586">
        <f t="shared" si="17"/>
        <v>87</v>
      </c>
    </row>
    <row r="27" spans="1:41" s="224" customFormat="1" ht="12.95" customHeight="1" x14ac:dyDescent="0.2">
      <c r="A27" s="5483" t="s">
        <v>9</v>
      </c>
      <c r="B27" s="1067" t="s">
        <v>631</v>
      </c>
      <c r="C27" s="933"/>
      <c r="D27" s="934"/>
      <c r="E27" s="934"/>
      <c r="F27" s="933"/>
      <c r="G27" s="934"/>
      <c r="H27" s="934"/>
      <c r="I27" s="933"/>
      <c r="J27" s="934"/>
      <c r="K27" s="934"/>
      <c r="L27" s="933"/>
      <c r="M27" s="934"/>
      <c r="N27" s="935"/>
      <c r="O27" s="934"/>
      <c r="P27" s="934"/>
      <c r="Q27" s="935"/>
      <c r="R27" s="933"/>
      <c r="S27" s="934"/>
      <c r="T27" s="935"/>
      <c r="U27" s="933"/>
      <c r="V27" s="934"/>
      <c r="W27" s="935"/>
      <c r="X27" s="933"/>
      <c r="Y27" s="934"/>
      <c r="Z27" s="935"/>
      <c r="AA27" s="933"/>
      <c r="AB27" s="934"/>
      <c r="AC27" s="935"/>
      <c r="AD27" s="930"/>
      <c r="AE27" s="931"/>
      <c r="AF27" s="932"/>
      <c r="AG27" s="930"/>
      <c r="AH27" s="931"/>
      <c r="AI27" s="932"/>
      <c r="AJ27" s="930"/>
      <c r="AK27" s="931"/>
      <c r="AL27" s="932"/>
      <c r="AM27" s="930"/>
      <c r="AN27" s="931"/>
      <c r="AO27" s="932"/>
    </row>
    <row r="28" spans="1:41" s="224" customFormat="1" ht="12.95" customHeight="1" x14ac:dyDescent="0.2">
      <c r="A28" s="5484"/>
      <c r="B28" s="1072" t="s">
        <v>632</v>
      </c>
      <c r="C28" s="933"/>
      <c r="D28" s="934"/>
      <c r="E28" s="934"/>
      <c r="F28" s="933"/>
      <c r="G28" s="934"/>
      <c r="H28" s="934"/>
      <c r="I28" s="933"/>
      <c r="J28" s="934"/>
      <c r="K28" s="934"/>
      <c r="L28" s="933"/>
      <c r="M28" s="934"/>
      <c r="N28" s="935"/>
      <c r="O28" s="934"/>
      <c r="P28" s="934"/>
      <c r="Q28" s="935"/>
      <c r="R28" s="933"/>
      <c r="S28" s="934"/>
      <c r="T28" s="935"/>
      <c r="U28" s="933"/>
      <c r="V28" s="934"/>
      <c r="W28" s="935"/>
      <c r="X28" s="933"/>
      <c r="Y28" s="934"/>
      <c r="Z28" s="935"/>
      <c r="AA28" s="933"/>
      <c r="AB28" s="934"/>
      <c r="AC28" s="935"/>
      <c r="AD28" s="933"/>
      <c r="AE28" s="934"/>
      <c r="AF28" s="935">
        <f>SUM('MATRICULA-POS plan'!AH50)</f>
        <v>12</v>
      </c>
      <c r="AG28" s="933">
        <f>SUM('MATRICULA-POS plan'!AI50)</f>
        <v>12</v>
      </c>
      <c r="AH28" s="934">
        <f>SUM('MATRICULA-POS plan'!AJ50)</f>
        <v>11</v>
      </c>
      <c r="AI28" s="935">
        <f>SUM('MATRICULA-POS plan'!AK50)</f>
        <v>22</v>
      </c>
      <c r="AJ28" s="933">
        <f>SUM('MATRICULA-POS plan'!AL50)</f>
        <v>20</v>
      </c>
      <c r="AK28" s="934">
        <f>SUM('MATRICULA-POS plan'!AM50)</f>
        <v>21</v>
      </c>
      <c r="AL28" s="935">
        <f>SUM('MATRICULA-POS plan'!AN50)</f>
        <v>32</v>
      </c>
      <c r="AM28" s="933">
        <f>SUM('MATRICULA-POS plan'!AO50)</f>
        <v>32</v>
      </c>
      <c r="AN28" s="934">
        <f>SUM('MATRICULA-POS plan'!AP50)</f>
        <v>32</v>
      </c>
      <c r="AO28" s="935">
        <f>SUM('MATRICULA-POS plan'!AQ50)</f>
        <v>41</v>
      </c>
    </row>
    <row r="29" spans="1:41" s="224" customFormat="1" ht="12.95" customHeight="1" x14ac:dyDescent="0.2">
      <c r="A29" s="5484"/>
      <c r="B29" s="1078" t="s">
        <v>633</v>
      </c>
      <c r="C29" s="933"/>
      <c r="D29" s="934"/>
      <c r="E29" s="934"/>
      <c r="F29" s="933"/>
      <c r="G29" s="934"/>
      <c r="H29" s="934"/>
      <c r="I29" s="933"/>
      <c r="J29" s="934"/>
      <c r="K29" s="934"/>
      <c r="L29" s="933"/>
      <c r="M29" s="934"/>
      <c r="N29" s="935"/>
      <c r="O29" s="934"/>
      <c r="P29" s="934"/>
      <c r="Q29" s="935"/>
      <c r="R29" s="933"/>
      <c r="S29" s="934"/>
      <c r="T29" s="935"/>
      <c r="U29" s="933"/>
      <c r="V29" s="934"/>
      <c r="W29" s="935"/>
      <c r="X29" s="933"/>
      <c r="Y29" s="934"/>
      <c r="Z29" s="935"/>
      <c r="AA29" s="933"/>
      <c r="AB29" s="934"/>
      <c r="AC29" s="935"/>
      <c r="AD29" s="933"/>
      <c r="AE29" s="934"/>
      <c r="AF29" s="935"/>
      <c r="AG29" s="933"/>
      <c r="AH29" s="934"/>
      <c r="AI29" s="935"/>
      <c r="AJ29" s="933"/>
      <c r="AK29" s="934"/>
      <c r="AL29" s="935"/>
      <c r="AM29" s="933"/>
      <c r="AN29" s="934"/>
      <c r="AO29" s="935"/>
    </row>
    <row r="30" spans="1:41" s="224" customFormat="1" ht="12.95" customHeight="1" x14ac:dyDescent="0.2">
      <c r="A30" s="5485"/>
      <c r="B30" s="583" t="s">
        <v>420</v>
      </c>
      <c r="C30" s="584"/>
      <c r="D30" s="585"/>
      <c r="E30" s="585"/>
      <c r="F30" s="584"/>
      <c r="G30" s="585"/>
      <c r="H30" s="585"/>
      <c r="I30" s="584"/>
      <c r="J30" s="585"/>
      <c r="K30" s="585"/>
      <c r="L30" s="584"/>
      <c r="M30" s="585"/>
      <c r="N30" s="586"/>
      <c r="O30" s="585"/>
      <c r="P30" s="585"/>
      <c r="Q30" s="586"/>
      <c r="R30" s="584"/>
      <c r="S30" s="585"/>
      <c r="T30" s="586"/>
      <c r="U30" s="584"/>
      <c r="V30" s="585"/>
      <c r="W30" s="586"/>
      <c r="X30" s="584"/>
      <c r="Y30" s="585"/>
      <c r="Z30" s="586"/>
      <c r="AA30" s="584"/>
      <c r="AB30" s="585"/>
      <c r="AC30" s="586"/>
      <c r="AD30" s="584"/>
      <c r="AE30" s="585"/>
      <c r="AF30" s="586">
        <f t="shared" ref="AF30:AL30" si="18">SUM(AF28:AF29)</f>
        <v>12</v>
      </c>
      <c r="AG30" s="584">
        <f t="shared" si="18"/>
        <v>12</v>
      </c>
      <c r="AH30" s="585">
        <f t="shared" si="18"/>
        <v>11</v>
      </c>
      <c r="AI30" s="586">
        <f t="shared" si="18"/>
        <v>22</v>
      </c>
      <c r="AJ30" s="584">
        <f t="shared" si="18"/>
        <v>20</v>
      </c>
      <c r="AK30" s="585">
        <f t="shared" si="18"/>
        <v>21</v>
      </c>
      <c r="AL30" s="586">
        <f t="shared" si="18"/>
        <v>32</v>
      </c>
      <c r="AM30" s="584">
        <f t="shared" ref="AM30:AO30" si="19">SUM(AM28:AM29)</f>
        <v>32</v>
      </c>
      <c r="AN30" s="585">
        <f t="shared" si="19"/>
        <v>32</v>
      </c>
      <c r="AO30" s="586">
        <f t="shared" si="19"/>
        <v>41</v>
      </c>
    </row>
    <row r="31" spans="1:41" s="224" customFormat="1" ht="12.95" customHeight="1" x14ac:dyDescent="0.2">
      <c r="A31" s="5483" t="s">
        <v>74</v>
      </c>
      <c r="B31" s="1067" t="s">
        <v>631</v>
      </c>
      <c r="C31" s="933"/>
      <c r="D31" s="934"/>
      <c r="E31" s="934"/>
      <c r="F31" s="933"/>
      <c r="G31" s="934"/>
      <c r="H31" s="934"/>
      <c r="I31" s="933"/>
      <c r="J31" s="934"/>
      <c r="K31" s="934"/>
      <c r="L31" s="933"/>
      <c r="M31" s="934"/>
      <c r="N31" s="935"/>
      <c r="O31" s="934"/>
      <c r="P31" s="934"/>
      <c r="Q31" s="935"/>
      <c r="R31" s="933"/>
      <c r="S31" s="934"/>
      <c r="T31" s="935"/>
      <c r="U31" s="933"/>
      <c r="V31" s="934"/>
      <c r="W31" s="935"/>
      <c r="X31" s="933"/>
      <c r="Y31" s="934"/>
      <c r="Z31" s="935"/>
      <c r="AA31" s="933"/>
      <c r="AB31" s="934"/>
      <c r="AC31" s="935"/>
      <c r="AD31" s="930"/>
      <c r="AE31" s="931">
        <f>SUM('MATRICULA-POS plan'!AG52)</f>
        <v>2</v>
      </c>
      <c r="AF31" s="932">
        <f>SUM('MATRICULA-POS plan'!AH52)</f>
        <v>3</v>
      </c>
      <c r="AG31" s="930">
        <f>SUM('MATRICULA-POS plan'!AI52)</f>
        <v>4</v>
      </c>
      <c r="AH31" s="931">
        <f>SUM('MATRICULA-POS plan'!AJ52)</f>
        <v>2</v>
      </c>
      <c r="AI31" s="932">
        <f>SUM('MATRICULA-POS plan'!AK52)</f>
        <v>1</v>
      </c>
      <c r="AJ31" s="930">
        <f>SUM('MATRICULA-POS plan'!AL52)</f>
        <v>3</v>
      </c>
      <c r="AK31" s="931">
        <f>SUM('MATRICULA-POS plan'!AM52)</f>
        <v>3</v>
      </c>
      <c r="AL31" s="932">
        <f>SUM('MATRICULA-POS plan'!AN52)</f>
        <v>2</v>
      </c>
      <c r="AM31" s="930">
        <f>SUM('MATRICULA-POS plan'!AO52)</f>
        <v>3</v>
      </c>
      <c r="AN31" s="931">
        <f>SUM('MATRICULA-POS plan'!AP52)</f>
        <v>5</v>
      </c>
      <c r="AO31" s="932">
        <f>SUM('MATRICULA-POS plan'!AQ52)</f>
        <v>8</v>
      </c>
    </row>
    <row r="32" spans="1:41" s="224" customFormat="1" ht="12.95" customHeight="1" x14ac:dyDescent="0.2">
      <c r="A32" s="5484"/>
      <c r="B32" s="1072" t="s">
        <v>632</v>
      </c>
      <c r="C32" s="933"/>
      <c r="D32" s="934"/>
      <c r="E32" s="934"/>
      <c r="F32" s="933"/>
      <c r="G32" s="934"/>
      <c r="H32" s="934"/>
      <c r="I32" s="933"/>
      <c r="J32" s="934"/>
      <c r="K32" s="934"/>
      <c r="L32" s="933"/>
      <c r="M32" s="934"/>
      <c r="N32" s="935"/>
      <c r="O32" s="934"/>
      <c r="P32" s="934"/>
      <c r="Q32" s="935"/>
      <c r="R32" s="933"/>
      <c r="S32" s="934"/>
      <c r="T32" s="935"/>
      <c r="U32" s="933"/>
      <c r="V32" s="934"/>
      <c r="W32" s="935"/>
      <c r="X32" s="933"/>
      <c r="Y32" s="934"/>
      <c r="Z32" s="935"/>
      <c r="AA32" s="933"/>
      <c r="AB32" s="934"/>
      <c r="AC32" s="935"/>
      <c r="AD32" s="933"/>
      <c r="AE32" s="934"/>
      <c r="AF32" s="935">
        <f>SUM('MATRICULA-POS plan'!AH53)</f>
        <v>9</v>
      </c>
      <c r="AG32" s="933">
        <f>SUM('MATRICULA-POS plan'!AI53)</f>
        <v>9</v>
      </c>
      <c r="AH32" s="934">
        <f>SUM('MATRICULA-POS plan'!AJ53)</f>
        <v>8</v>
      </c>
      <c r="AI32" s="935">
        <f>SUM('MATRICULA-POS plan'!AK53)</f>
        <v>21</v>
      </c>
      <c r="AJ32" s="933">
        <f>SUM('MATRICULA-POS plan'!AL53)</f>
        <v>22</v>
      </c>
      <c r="AK32" s="934">
        <f>SUM('MATRICULA-POS plan'!AM53)</f>
        <v>20</v>
      </c>
      <c r="AL32" s="935">
        <f>SUM('MATRICULA-POS plan'!AN53)</f>
        <v>31</v>
      </c>
      <c r="AM32" s="933">
        <f>SUM('MATRICULA-POS plan'!AO53)</f>
        <v>25</v>
      </c>
      <c r="AN32" s="934">
        <f>SUM('MATRICULA-POS plan'!AP53)</f>
        <v>25</v>
      </c>
      <c r="AO32" s="935">
        <f>SUM('MATRICULA-POS plan'!AQ53)</f>
        <v>34</v>
      </c>
    </row>
    <row r="33" spans="1:41" s="224" customFormat="1" ht="12.95" customHeight="1" x14ac:dyDescent="0.2">
      <c r="A33" s="5484"/>
      <c r="B33" s="1078" t="s">
        <v>633</v>
      </c>
      <c r="C33" s="933"/>
      <c r="D33" s="934"/>
      <c r="E33" s="934"/>
      <c r="F33" s="933"/>
      <c r="G33" s="934"/>
      <c r="H33" s="934"/>
      <c r="I33" s="933"/>
      <c r="J33" s="934"/>
      <c r="K33" s="934"/>
      <c r="L33" s="933"/>
      <c r="M33" s="934"/>
      <c r="N33" s="935"/>
      <c r="O33" s="934"/>
      <c r="P33" s="934"/>
      <c r="Q33" s="935"/>
      <c r="R33" s="933"/>
      <c r="S33" s="934"/>
      <c r="T33" s="935"/>
      <c r="U33" s="933"/>
      <c r="V33" s="934"/>
      <c r="W33" s="935"/>
      <c r="X33" s="933"/>
      <c r="Y33" s="934"/>
      <c r="Z33" s="935"/>
      <c r="AA33" s="933"/>
      <c r="AB33" s="934"/>
      <c r="AC33" s="935"/>
      <c r="AD33" s="933"/>
      <c r="AE33" s="934">
        <f>SUM('MATRICULA-POS plan'!AG54)</f>
        <v>2</v>
      </c>
      <c r="AF33" s="935">
        <f>SUM('MATRICULA-POS plan'!AH54)</f>
        <v>7</v>
      </c>
      <c r="AG33" s="933">
        <f>SUM('MATRICULA-POS plan'!AI54)</f>
        <v>9</v>
      </c>
      <c r="AH33" s="934">
        <f>SUM('MATRICULA-POS plan'!AJ54)</f>
        <v>11</v>
      </c>
      <c r="AI33" s="935">
        <f>SUM('MATRICULA-POS plan'!AK54)</f>
        <v>13</v>
      </c>
      <c r="AJ33" s="933">
        <f>SUM('MATRICULA-POS plan'!AL54)</f>
        <v>15</v>
      </c>
      <c r="AK33" s="934">
        <f>SUM('MATRICULA-POS plan'!AM54)</f>
        <v>19</v>
      </c>
      <c r="AL33" s="935">
        <f>SUM('MATRICULA-POS plan'!AN54)</f>
        <v>21</v>
      </c>
      <c r="AM33" s="933">
        <f>SUM('MATRICULA-POS plan'!AO54)</f>
        <v>24</v>
      </c>
      <c r="AN33" s="934">
        <f>SUM('MATRICULA-POS plan'!AP54)</f>
        <v>26</v>
      </c>
      <c r="AO33" s="935">
        <f>SUM('MATRICULA-POS plan'!AQ54)</f>
        <v>31</v>
      </c>
    </row>
    <row r="34" spans="1:41" s="224" customFormat="1" ht="12.95" customHeight="1" x14ac:dyDescent="0.2">
      <c r="A34" s="5485"/>
      <c r="B34" s="583" t="s">
        <v>421</v>
      </c>
      <c r="C34" s="584"/>
      <c r="D34" s="585"/>
      <c r="E34" s="585"/>
      <c r="F34" s="584"/>
      <c r="G34" s="585"/>
      <c r="H34" s="585"/>
      <c r="I34" s="584"/>
      <c r="J34" s="585"/>
      <c r="K34" s="585"/>
      <c r="L34" s="584"/>
      <c r="M34" s="585"/>
      <c r="N34" s="586"/>
      <c r="O34" s="585"/>
      <c r="P34" s="585"/>
      <c r="Q34" s="586"/>
      <c r="R34" s="584"/>
      <c r="S34" s="585"/>
      <c r="T34" s="586"/>
      <c r="U34" s="584"/>
      <c r="V34" s="585"/>
      <c r="W34" s="586"/>
      <c r="X34" s="584"/>
      <c r="Y34" s="585"/>
      <c r="Z34" s="586"/>
      <c r="AA34" s="584"/>
      <c r="AB34" s="585"/>
      <c r="AC34" s="586"/>
      <c r="AD34" s="584"/>
      <c r="AE34" s="585">
        <f t="shared" ref="AE34:AL34" si="20">SUM(AE31:AE33)</f>
        <v>4</v>
      </c>
      <c r="AF34" s="586">
        <f t="shared" si="20"/>
        <v>19</v>
      </c>
      <c r="AG34" s="584">
        <f t="shared" si="20"/>
        <v>22</v>
      </c>
      <c r="AH34" s="585">
        <f t="shared" si="20"/>
        <v>21</v>
      </c>
      <c r="AI34" s="586">
        <f t="shared" si="20"/>
        <v>35</v>
      </c>
      <c r="AJ34" s="584">
        <f t="shared" si="20"/>
        <v>40</v>
      </c>
      <c r="AK34" s="585">
        <f t="shared" si="20"/>
        <v>42</v>
      </c>
      <c r="AL34" s="586">
        <f t="shared" si="20"/>
        <v>54</v>
      </c>
      <c r="AM34" s="584">
        <f t="shared" ref="AM34:AO34" si="21">SUM(AM31:AM33)</f>
        <v>52</v>
      </c>
      <c r="AN34" s="585">
        <f t="shared" si="21"/>
        <v>56</v>
      </c>
      <c r="AO34" s="586">
        <f t="shared" si="21"/>
        <v>73</v>
      </c>
    </row>
    <row r="35" spans="1:41" s="224" customFormat="1" ht="12.95" customHeight="1" x14ac:dyDescent="0.2">
      <c r="A35" s="5546" t="s">
        <v>695</v>
      </c>
      <c r="B35" s="1067" t="s">
        <v>631</v>
      </c>
      <c r="C35" s="930"/>
      <c r="D35" s="931"/>
      <c r="E35" s="931"/>
      <c r="F35" s="930"/>
      <c r="G35" s="931"/>
      <c r="H35" s="931"/>
      <c r="I35" s="930"/>
      <c r="J35" s="931"/>
      <c r="K35" s="931"/>
      <c r="L35" s="930"/>
      <c r="M35" s="931"/>
      <c r="N35" s="932"/>
      <c r="O35" s="931"/>
      <c r="P35" s="931"/>
      <c r="Q35" s="932"/>
      <c r="R35" s="930"/>
      <c r="S35" s="931"/>
      <c r="T35" s="932"/>
      <c r="U35" s="930"/>
      <c r="V35" s="931"/>
      <c r="W35" s="932"/>
      <c r="X35" s="930"/>
      <c r="Y35" s="931"/>
      <c r="Z35" s="932"/>
      <c r="AA35" s="930"/>
      <c r="AB35" s="931"/>
      <c r="AC35" s="932"/>
      <c r="AD35" s="930">
        <f>SUM(AD23,AD27,AD31)</f>
        <v>0</v>
      </c>
      <c r="AE35" s="931">
        <f t="shared" ref="AE35:AI37" si="22">SUM(AE23,AE27,AE31)</f>
        <v>2</v>
      </c>
      <c r="AF35" s="932">
        <f t="shared" si="22"/>
        <v>3</v>
      </c>
      <c r="AG35" s="930">
        <f t="shared" si="22"/>
        <v>4</v>
      </c>
      <c r="AH35" s="931">
        <f t="shared" si="22"/>
        <v>2</v>
      </c>
      <c r="AI35" s="932">
        <f t="shared" si="22"/>
        <v>1</v>
      </c>
      <c r="AJ35" s="930">
        <f t="shared" ref="AJ35:AL37" si="23">SUM(AJ23,AJ27,AJ31)</f>
        <v>3</v>
      </c>
      <c r="AK35" s="931">
        <f t="shared" si="23"/>
        <v>3</v>
      </c>
      <c r="AL35" s="932">
        <f t="shared" si="23"/>
        <v>2</v>
      </c>
      <c r="AM35" s="930">
        <f t="shared" ref="AM35:AO35" si="24">SUM(AM23,AM27,AM31)</f>
        <v>3</v>
      </c>
      <c r="AN35" s="931">
        <f t="shared" si="24"/>
        <v>5</v>
      </c>
      <c r="AO35" s="932">
        <f t="shared" si="24"/>
        <v>8</v>
      </c>
    </row>
    <row r="36" spans="1:41" s="224" customFormat="1" ht="12.95" customHeight="1" x14ac:dyDescent="0.2">
      <c r="A36" s="5547"/>
      <c r="B36" s="1072" t="s">
        <v>632</v>
      </c>
      <c r="C36" s="933"/>
      <c r="D36" s="934"/>
      <c r="E36" s="934"/>
      <c r="F36" s="933"/>
      <c r="G36" s="934"/>
      <c r="H36" s="934"/>
      <c r="I36" s="933"/>
      <c r="J36" s="934"/>
      <c r="K36" s="934"/>
      <c r="L36" s="933"/>
      <c r="M36" s="934"/>
      <c r="N36" s="935"/>
      <c r="O36" s="934"/>
      <c r="P36" s="934"/>
      <c r="Q36" s="935"/>
      <c r="R36" s="933"/>
      <c r="S36" s="934"/>
      <c r="T36" s="935"/>
      <c r="U36" s="933"/>
      <c r="V36" s="934"/>
      <c r="W36" s="935"/>
      <c r="X36" s="933"/>
      <c r="Y36" s="934"/>
      <c r="Z36" s="935"/>
      <c r="AA36" s="933">
        <f>SUM(AA24,AA28,AA32)</f>
        <v>20</v>
      </c>
      <c r="AB36" s="934">
        <f t="shared" ref="AB36:AD37" si="25">SUM(AB24,AB28,AB32)</f>
        <v>19</v>
      </c>
      <c r="AC36" s="935">
        <f t="shared" si="25"/>
        <v>18</v>
      </c>
      <c r="AD36" s="933">
        <f t="shared" si="25"/>
        <v>31</v>
      </c>
      <c r="AE36" s="934">
        <f t="shared" si="22"/>
        <v>28</v>
      </c>
      <c r="AF36" s="935">
        <f t="shared" si="22"/>
        <v>49</v>
      </c>
      <c r="AG36" s="933">
        <f t="shared" si="22"/>
        <v>60</v>
      </c>
      <c r="AH36" s="934">
        <f t="shared" si="22"/>
        <v>56</v>
      </c>
      <c r="AI36" s="935">
        <f t="shared" si="22"/>
        <v>74</v>
      </c>
      <c r="AJ36" s="933">
        <f t="shared" si="23"/>
        <v>65</v>
      </c>
      <c r="AK36" s="934">
        <f t="shared" si="23"/>
        <v>62</v>
      </c>
      <c r="AL36" s="935">
        <f t="shared" si="23"/>
        <v>96</v>
      </c>
      <c r="AM36" s="933">
        <f t="shared" ref="AM36:AO36" si="26">SUM(AM24,AM28,AM32)</f>
        <v>72</v>
      </c>
      <c r="AN36" s="934">
        <f t="shared" si="26"/>
        <v>71</v>
      </c>
      <c r="AO36" s="935">
        <f t="shared" si="26"/>
        <v>108</v>
      </c>
    </row>
    <row r="37" spans="1:41" s="224" customFormat="1" ht="12.95" customHeight="1" x14ac:dyDescent="0.2">
      <c r="A37" s="5547"/>
      <c r="B37" s="1078" t="s">
        <v>633</v>
      </c>
      <c r="C37" s="933"/>
      <c r="D37" s="934"/>
      <c r="E37" s="934"/>
      <c r="F37" s="933"/>
      <c r="G37" s="934"/>
      <c r="H37" s="934"/>
      <c r="I37" s="933"/>
      <c r="J37" s="934"/>
      <c r="K37" s="934"/>
      <c r="L37" s="933"/>
      <c r="M37" s="934"/>
      <c r="N37" s="935"/>
      <c r="O37" s="934"/>
      <c r="P37" s="934"/>
      <c r="Q37" s="935"/>
      <c r="R37" s="933"/>
      <c r="S37" s="934"/>
      <c r="T37" s="935"/>
      <c r="U37" s="933"/>
      <c r="V37" s="934"/>
      <c r="W37" s="935"/>
      <c r="X37" s="933"/>
      <c r="Y37" s="934"/>
      <c r="Z37" s="935"/>
      <c r="AA37" s="933">
        <f>SUM(AA25,AA29,AA33)</f>
        <v>12</v>
      </c>
      <c r="AB37" s="934">
        <f t="shared" si="25"/>
        <v>12</v>
      </c>
      <c r="AC37" s="935">
        <f t="shared" si="25"/>
        <v>12</v>
      </c>
      <c r="AD37" s="933">
        <f t="shared" si="25"/>
        <v>22</v>
      </c>
      <c r="AE37" s="934">
        <f t="shared" si="22"/>
        <v>23</v>
      </c>
      <c r="AF37" s="935">
        <f t="shared" si="22"/>
        <v>28</v>
      </c>
      <c r="AG37" s="933">
        <f t="shared" si="22"/>
        <v>28</v>
      </c>
      <c r="AH37" s="934">
        <f t="shared" si="22"/>
        <v>29</v>
      </c>
      <c r="AI37" s="935">
        <f t="shared" si="22"/>
        <v>48</v>
      </c>
      <c r="AJ37" s="933">
        <f t="shared" si="23"/>
        <v>39</v>
      </c>
      <c r="AK37" s="934">
        <f t="shared" si="23"/>
        <v>44</v>
      </c>
      <c r="AL37" s="935">
        <f t="shared" si="23"/>
        <v>62</v>
      </c>
      <c r="AM37" s="933">
        <f t="shared" ref="AM37:AO37" si="27">SUM(AM25,AM29,AM33)</f>
        <v>60</v>
      </c>
      <c r="AN37" s="934">
        <f t="shared" si="27"/>
        <v>62</v>
      </c>
      <c r="AO37" s="935">
        <f t="shared" si="27"/>
        <v>85</v>
      </c>
    </row>
    <row r="38" spans="1:41" s="224" customFormat="1" ht="12.95" customHeight="1" x14ac:dyDescent="0.2">
      <c r="A38" s="5548"/>
      <c r="B38" s="2667" t="s">
        <v>12</v>
      </c>
      <c r="C38" s="2616"/>
      <c r="D38" s="2617"/>
      <c r="E38" s="2617"/>
      <c r="F38" s="2616"/>
      <c r="G38" s="2617"/>
      <c r="H38" s="2617"/>
      <c r="I38" s="2616"/>
      <c r="J38" s="2617"/>
      <c r="K38" s="2617"/>
      <c r="L38" s="2616"/>
      <c r="M38" s="2617"/>
      <c r="N38" s="2618"/>
      <c r="O38" s="2617"/>
      <c r="P38" s="2617"/>
      <c r="Q38" s="2618"/>
      <c r="R38" s="2616"/>
      <c r="S38" s="2617"/>
      <c r="T38" s="2618"/>
      <c r="U38" s="2616"/>
      <c r="V38" s="2617"/>
      <c r="W38" s="2618"/>
      <c r="X38" s="2616"/>
      <c r="Y38" s="2617"/>
      <c r="Z38" s="2618"/>
      <c r="AA38" s="2616">
        <f>SUM(AA36:AA37)</f>
        <v>32</v>
      </c>
      <c r="AB38" s="2617">
        <f>SUM(AB36:AB37)</f>
        <v>31</v>
      </c>
      <c r="AC38" s="2618">
        <f>SUM(AC36:AC37)</f>
        <v>30</v>
      </c>
      <c r="AD38" s="2616">
        <f t="shared" ref="AD38:AI38" si="28">SUM(AD35:AD37)</f>
        <v>53</v>
      </c>
      <c r="AE38" s="2617">
        <f t="shared" si="28"/>
        <v>53</v>
      </c>
      <c r="AF38" s="2618">
        <f t="shared" si="28"/>
        <v>80</v>
      </c>
      <c r="AG38" s="2616">
        <f t="shared" si="28"/>
        <v>92</v>
      </c>
      <c r="AH38" s="2617">
        <f t="shared" si="28"/>
        <v>87</v>
      </c>
      <c r="AI38" s="2618">
        <f t="shared" si="28"/>
        <v>123</v>
      </c>
      <c r="AJ38" s="2616">
        <f t="shared" ref="AJ38:AO38" si="29">SUM(AJ35:AJ37)</f>
        <v>107</v>
      </c>
      <c r="AK38" s="2617">
        <f t="shared" si="29"/>
        <v>109</v>
      </c>
      <c r="AL38" s="2618">
        <f t="shared" si="29"/>
        <v>160</v>
      </c>
      <c r="AM38" s="2616">
        <f t="shared" si="29"/>
        <v>135</v>
      </c>
      <c r="AN38" s="2617">
        <f t="shared" si="29"/>
        <v>138</v>
      </c>
      <c r="AO38" s="2618">
        <f t="shared" si="29"/>
        <v>201</v>
      </c>
    </row>
    <row r="39" spans="1:41" ht="12.95" customHeight="1" x14ac:dyDescent="0.2">
      <c r="A39" s="263"/>
      <c r="B39" s="263"/>
      <c r="C39" s="263"/>
      <c r="D39" s="263"/>
      <c r="E39" s="263"/>
      <c r="F39" s="263"/>
      <c r="G39" s="263"/>
      <c r="H39" s="263"/>
      <c r="I39" s="263"/>
      <c r="J39" s="263"/>
      <c r="K39" s="263"/>
      <c r="L39" s="263"/>
      <c r="M39" s="263"/>
      <c r="N39" s="263"/>
      <c r="O39" s="263"/>
      <c r="P39" s="263"/>
      <c r="Q39" s="263"/>
      <c r="R39" s="263"/>
      <c r="S39" s="263"/>
      <c r="T39" s="263"/>
      <c r="U39" s="263"/>
      <c r="V39" s="263"/>
      <c r="W39" s="263"/>
      <c r="X39" s="263"/>
      <c r="Y39" s="263"/>
      <c r="Z39" s="263"/>
      <c r="AA39" s="263"/>
      <c r="AB39" s="263"/>
      <c r="AC39" s="263"/>
      <c r="AD39" s="263"/>
      <c r="AE39" s="263"/>
      <c r="AF39" s="263"/>
      <c r="AG39" s="263"/>
      <c r="AH39" s="263"/>
      <c r="AI39" s="263"/>
      <c r="AJ39" s="263"/>
      <c r="AK39" s="263"/>
      <c r="AL39" s="263"/>
      <c r="AM39" s="263"/>
      <c r="AN39" s="263"/>
      <c r="AO39" s="263"/>
    </row>
    <row r="40" spans="1:41" ht="12.95" customHeight="1" x14ac:dyDescent="0.2">
      <c r="A40" s="5473" t="s">
        <v>5</v>
      </c>
      <c r="B40" s="1067" t="s">
        <v>631</v>
      </c>
      <c r="C40" s="930"/>
      <c r="D40" s="931"/>
      <c r="E40" s="931"/>
      <c r="F40" s="930"/>
      <c r="G40" s="931"/>
      <c r="H40" s="931"/>
      <c r="I40" s="930"/>
      <c r="J40" s="931"/>
      <c r="K40" s="931"/>
      <c r="L40" s="930"/>
      <c r="M40" s="931"/>
      <c r="N40" s="932"/>
      <c r="O40" s="931"/>
      <c r="P40" s="931"/>
      <c r="Q40" s="932"/>
      <c r="R40" s="930"/>
      <c r="S40" s="931"/>
      <c r="T40" s="932"/>
      <c r="U40" s="930"/>
      <c r="V40" s="931"/>
      <c r="W40" s="932"/>
      <c r="X40" s="930"/>
      <c r="Y40" s="931"/>
      <c r="Z40" s="932"/>
      <c r="AA40" s="930"/>
      <c r="AB40" s="931"/>
      <c r="AC40" s="932"/>
      <c r="AD40" s="930"/>
      <c r="AE40" s="931"/>
      <c r="AF40" s="932"/>
      <c r="AG40" s="930"/>
      <c r="AH40" s="931"/>
      <c r="AI40" s="932"/>
      <c r="AJ40" s="930"/>
      <c r="AK40" s="931"/>
      <c r="AL40" s="932"/>
      <c r="AM40" s="930"/>
      <c r="AN40" s="931"/>
      <c r="AO40" s="932"/>
    </row>
    <row r="41" spans="1:41" ht="12.95" customHeight="1" x14ac:dyDescent="0.2">
      <c r="A41" s="5474"/>
      <c r="B41" s="1072" t="s">
        <v>632</v>
      </c>
      <c r="C41" s="933">
        <v>52</v>
      </c>
      <c r="D41" s="934">
        <v>51</v>
      </c>
      <c r="E41" s="934">
        <v>72</v>
      </c>
      <c r="F41" s="933">
        <v>67</v>
      </c>
      <c r="G41" s="934">
        <v>68</v>
      </c>
      <c r="H41" s="934">
        <v>87</v>
      </c>
      <c r="I41" s="933">
        <v>94</v>
      </c>
      <c r="J41" s="934">
        <v>97</v>
      </c>
      <c r="K41" s="934">
        <v>128</v>
      </c>
      <c r="L41" s="933">
        <v>122</v>
      </c>
      <c r="M41" s="934">
        <v>128</v>
      </c>
      <c r="N41" s="935">
        <v>162</v>
      </c>
      <c r="O41" s="934">
        <v>208</v>
      </c>
      <c r="P41" s="934">
        <v>151</v>
      </c>
      <c r="Q41" s="935">
        <v>155</v>
      </c>
      <c r="R41" s="933">
        <v>151</v>
      </c>
      <c r="S41" s="934">
        <v>138</v>
      </c>
      <c r="T41" s="935">
        <v>164</v>
      </c>
      <c r="U41" s="933">
        <v>143</v>
      </c>
      <c r="V41" s="934">
        <v>134</v>
      </c>
      <c r="W41" s="935">
        <v>166</v>
      </c>
      <c r="X41" s="933">
        <v>158</v>
      </c>
      <c r="Y41" s="934">
        <v>154</v>
      </c>
      <c r="Z41" s="935">
        <v>181</v>
      </c>
      <c r="AA41" s="933">
        <v>260</v>
      </c>
      <c r="AB41" s="934">
        <v>249</v>
      </c>
      <c r="AC41" s="935">
        <v>287</v>
      </c>
      <c r="AD41" s="933">
        <f>SUM('MATRICULA-POS plan'!AF57,'MATRICULA-POS plan'!AF58,'MATRICULA-POS plan'!AF59,'MATRICULA-POS plan'!AF60,'MATRICULA-POS plan'!AF61,'MATRICULA-POS plan'!AF62)</f>
        <v>284</v>
      </c>
      <c r="AE41" s="934">
        <f>SUM('MATRICULA-POS plan'!AG57,'MATRICULA-POS plan'!AG58,'MATRICULA-POS plan'!AG59,'MATRICULA-POS plan'!AG60,'MATRICULA-POS plan'!AG61,'MATRICULA-POS plan'!AG62)</f>
        <v>270</v>
      </c>
      <c r="AF41" s="935">
        <f>SUM('MATRICULA-POS plan'!AH57,'MATRICULA-POS plan'!AH58,'MATRICULA-POS plan'!AH59,'MATRICULA-POS plan'!AH60,'MATRICULA-POS plan'!AH61,'MATRICULA-POS plan'!AH62)</f>
        <v>295</v>
      </c>
      <c r="AG41" s="933">
        <f>SUM('MATRICULA-POS plan'!AI57:AI63)</f>
        <v>309</v>
      </c>
      <c r="AH41" s="934">
        <f>SUM('MATRICULA-POS plan'!AJ57:AJ63)</f>
        <v>315</v>
      </c>
      <c r="AI41" s="935">
        <f>SUM('MATRICULA-POS plan'!AK57:AK63)</f>
        <v>317</v>
      </c>
      <c r="AJ41" s="933">
        <f>SUM('MATRICULA-POS plan'!AL57:AL63)</f>
        <v>302</v>
      </c>
      <c r="AK41" s="934">
        <f>SUM('MATRICULA-POS plan'!AM57:AM63)</f>
        <v>275</v>
      </c>
      <c r="AL41" s="935">
        <f>SUM('MATRICULA-POS plan'!AN57:AN63)</f>
        <v>316</v>
      </c>
      <c r="AM41" s="933">
        <f>SUM('MATRICULA-POS plan'!AO57:AO63)</f>
        <v>289</v>
      </c>
      <c r="AN41" s="934">
        <f>SUM('MATRICULA-POS plan'!AP57:AP63)</f>
        <v>302</v>
      </c>
      <c r="AO41" s="935">
        <f>SUM('MATRICULA-POS plan'!AQ57:AQ63)</f>
        <v>327</v>
      </c>
    </row>
    <row r="42" spans="1:41" ht="12.95" customHeight="1" x14ac:dyDescent="0.2">
      <c r="A42" s="5474"/>
      <c r="B42" s="1078" t="s">
        <v>633</v>
      </c>
      <c r="C42" s="933">
        <v>227</v>
      </c>
      <c r="D42" s="934">
        <v>221</v>
      </c>
      <c r="E42" s="934">
        <v>218</v>
      </c>
      <c r="F42" s="933">
        <v>214</v>
      </c>
      <c r="G42" s="934">
        <v>208</v>
      </c>
      <c r="H42" s="934">
        <v>212</v>
      </c>
      <c r="I42" s="933">
        <v>212</v>
      </c>
      <c r="J42" s="934">
        <v>217</v>
      </c>
      <c r="K42" s="934">
        <v>217</v>
      </c>
      <c r="L42" s="933">
        <v>223</v>
      </c>
      <c r="M42" s="934">
        <v>216</v>
      </c>
      <c r="N42" s="935">
        <v>217</v>
      </c>
      <c r="O42" s="934">
        <v>171</v>
      </c>
      <c r="P42" s="934">
        <v>208</v>
      </c>
      <c r="Q42" s="935">
        <v>201</v>
      </c>
      <c r="R42" s="933">
        <v>200</v>
      </c>
      <c r="S42" s="934">
        <v>188</v>
      </c>
      <c r="T42" s="935">
        <v>194</v>
      </c>
      <c r="U42" s="933">
        <v>192</v>
      </c>
      <c r="V42" s="934">
        <v>191</v>
      </c>
      <c r="W42" s="935">
        <v>199</v>
      </c>
      <c r="X42" s="933">
        <v>207</v>
      </c>
      <c r="Y42" s="934">
        <v>199</v>
      </c>
      <c r="Z42" s="935">
        <v>203</v>
      </c>
      <c r="AA42" s="933">
        <v>211</v>
      </c>
      <c r="AB42" s="934">
        <v>172</v>
      </c>
      <c r="AC42" s="935">
        <v>211</v>
      </c>
      <c r="AD42" s="933">
        <f>SUM('MATRICULA-POS plan'!AF64,'MATRICULA-POS plan'!AF65,'MATRICULA-POS plan'!AF66,'MATRICULA-POS plan'!AF67,'MATRICULA-POS plan'!AF68,'MATRICULA-POS plan'!AF69)</f>
        <v>216</v>
      </c>
      <c r="AE42" s="934">
        <f>SUM('MATRICULA-POS plan'!AG64,'MATRICULA-POS plan'!AG65,'MATRICULA-POS plan'!AG66,'MATRICULA-POS plan'!AG67,'MATRICULA-POS plan'!AG68,'MATRICULA-POS plan'!AG69)</f>
        <v>214</v>
      </c>
      <c r="AF42" s="935">
        <f>SUM('MATRICULA-POS plan'!AH64,'MATRICULA-POS plan'!AH65,'MATRICULA-POS plan'!AH66,'MATRICULA-POS plan'!AH67,'MATRICULA-POS plan'!AH68,'MATRICULA-POS plan'!AH69)</f>
        <v>156</v>
      </c>
      <c r="AG42" s="933">
        <f>SUM('MATRICULA-POS plan'!AI64:AI71)</f>
        <v>242</v>
      </c>
      <c r="AH42" s="934">
        <f>SUM('MATRICULA-POS plan'!AJ64:AJ71)</f>
        <v>253</v>
      </c>
      <c r="AI42" s="935">
        <f>SUM('MATRICULA-POS plan'!AK64:AK71)</f>
        <v>258</v>
      </c>
      <c r="AJ42" s="933">
        <f>SUM('MATRICULA-POS plan'!AL64:AL71)</f>
        <v>255</v>
      </c>
      <c r="AK42" s="934">
        <f>SUM('MATRICULA-POS plan'!AM64:AM71)</f>
        <v>249</v>
      </c>
      <c r="AL42" s="935">
        <f>SUM('MATRICULA-POS plan'!AN64:AN71)</f>
        <v>259</v>
      </c>
      <c r="AM42" s="933">
        <f>SUM('MATRICULA-POS plan'!AO64:AO71)</f>
        <v>251</v>
      </c>
      <c r="AN42" s="934">
        <f>SUM('MATRICULA-POS plan'!AP64:AP71)</f>
        <v>259</v>
      </c>
      <c r="AO42" s="935">
        <f>SUM('MATRICULA-POS plan'!AQ64:AQ71)</f>
        <v>268</v>
      </c>
    </row>
    <row r="43" spans="1:41" s="222" customFormat="1" ht="12.95" customHeight="1" x14ac:dyDescent="0.2">
      <c r="A43" s="5474"/>
      <c r="B43" s="583" t="s">
        <v>13</v>
      </c>
      <c r="C43" s="584">
        <v>279</v>
      </c>
      <c r="D43" s="585">
        <v>272</v>
      </c>
      <c r="E43" s="585">
        <v>290</v>
      </c>
      <c r="F43" s="584">
        <v>281</v>
      </c>
      <c r="G43" s="585">
        <v>276</v>
      </c>
      <c r="H43" s="585">
        <v>299</v>
      </c>
      <c r="I43" s="584">
        <v>306</v>
      </c>
      <c r="J43" s="585">
        <v>314</v>
      </c>
      <c r="K43" s="585">
        <v>345</v>
      </c>
      <c r="L43" s="584">
        <v>345</v>
      </c>
      <c r="M43" s="585">
        <v>344</v>
      </c>
      <c r="N43" s="586">
        <v>379</v>
      </c>
      <c r="O43" s="585">
        <v>379</v>
      </c>
      <c r="P43" s="585">
        <v>359</v>
      </c>
      <c r="Q43" s="586">
        <v>356</v>
      </c>
      <c r="R43" s="584">
        <v>351</v>
      </c>
      <c r="S43" s="585">
        <v>326</v>
      </c>
      <c r="T43" s="586">
        <v>358</v>
      </c>
      <c r="U43" s="584">
        <f t="shared" ref="U43:Z43" si="30">SUM(U40:U42)</f>
        <v>335</v>
      </c>
      <c r="V43" s="585">
        <f t="shared" si="30"/>
        <v>325</v>
      </c>
      <c r="W43" s="586">
        <f t="shared" si="30"/>
        <v>365</v>
      </c>
      <c r="X43" s="584">
        <f t="shared" si="30"/>
        <v>365</v>
      </c>
      <c r="Y43" s="585">
        <f t="shared" si="30"/>
        <v>353</v>
      </c>
      <c r="Z43" s="586">
        <f t="shared" si="30"/>
        <v>384</v>
      </c>
      <c r="AA43" s="584">
        <f t="shared" ref="AA43:AI43" si="31">SUM(AA40:AA42)</f>
        <v>471</v>
      </c>
      <c r="AB43" s="585">
        <f t="shared" si="31"/>
        <v>421</v>
      </c>
      <c r="AC43" s="586">
        <f t="shared" si="31"/>
        <v>498</v>
      </c>
      <c r="AD43" s="584">
        <f t="shared" si="31"/>
        <v>500</v>
      </c>
      <c r="AE43" s="585">
        <f t="shared" si="31"/>
        <v>484</v>
      </c>
      <c r="AF43" s="586">
        <f t="shared" si="31"/>
        <v>451</v>
      </c>
      <c r="AG43" s="584">
        <f t="shared" si="31"/>
        <v>551</v>
      </c>
      <c r="AH43" s="585">
        <f t="shared" si="31"/>
        <v>568</v>
      </c>
      <c r="AI43" s="586">
        <f t="shared" si="31"/>
        <v>575</v>
      </c>
      <c r="AJ43" s="584">
        <f t="shared" ref="AJ43:AO43" si="32">SUM(AJ40:AJ42)</f>
        <v>557</v>
      </c>
      <c r="AK43" s="585">
        <f t="shared" si="32"/>
        <v>524</v>
      </c>
      <c r="AL43" s="586">
        <f t="shared" si="32"/>
        <v>575</v>
      </c>
      <c r="AM43" s="584">
        <f t="shared" si="32"/>
        <v>540</v>
      </c>
      <c r="AN43" s="585">
        <f t="shared" si="32"/>
        <v>561</v>
      </c>
      <c r="AO43" s="586">
        <f t="shared" si="32"/>
        <v>595</v>
      </c>
    </row>
    <row r="44" spans="1:41" ht="12.95" customHeight="1" x14ac:dyDescent="0.2">
      <c r="A44" s="5473" t="s">
        <v>6</v>
      </c>
      <c r="B44" s="1067" t="s">
        <v>631</v>
      </c>
      <c r="C44" s="933">
        <v>6</v>
      </c>
      <c r="D44" s="934">
        <v>5</v>
      </c>
      <c r="E44" s="934">
        <v>44</v>
      </c>
      <c r="F44" s="933">
        <v>41</v>
      </c>
      <c r="G44" s="934">
        <v>32</v>
      </c>
      <c r="H44" s="934">
        <v>76</v>
      </c>
      <c r="I44" s="933">
        <v>73</v>
      </c>
      <c r="J44" s="934">
        <v>65</v>
      </c>
      <c r="K44" s="934">
        <v>1</v>
      </c>
      <c r="L44" s="933">
        <v>86</v>
      </c>
      <c r="M44" s="934">
        <v>82</v>
      </c>
      <c r="N44" s="935">
        <v>68</v>
      </c>
      <c r="O44" s="934">
        <v>90</v>
      </c>
      <c r="P44" s="934">
        <v>81</v>
      </c>
      <c r="Q44" s="935">
        <v>100</v>
      </c>
      <c r="R44" s="933">
        <v>102</v>
      </c>
      <c r="S44" s="934">
        <v>89</v>
      </c>
      <c r="T44" s="935">
        <v>85</v>
      </c>
      <c r="U44" s="933"/>
      <c r="V44" s="934">
        <v>99</v>
      </c>
      <c r="W44" s="935">
        <v>116</v>
      </c>
      <c r="X44" s="933">
        <v>67</v>
      </c>
      <c r="Y44" s="934">
        <v>0</v>
      </c>
      <c r="Z44" s="935">
        <v>104</v>
      </c>
      <c r="AA44" s="933">
        <v>65</v>
      </c>
      <c r="AB44" s="934">
        <v>62</v>
      </c>
      <c r="AC44" s="935">
        <v>92</v>
      </c>
      <c r="AD44" s="933">
        <f>SUM('MATRICULA-POS plan'!AF73)</f>
        <v>81</v>
      </c>
      <c r="AE44" s="934">
        <f>SUM('MATRICULA-POS plan'!AG73)</f>
        <v>65</v>
      </c>
      <c r="AF44" s="935">
        <f>SUM('MATRICULA-POS plan'!AH73)</f>
        <v>3</v>
      </c>
      <c r="AG44" s="933">
        <f>SUM('MATRICULA-POS plan'!AI73)</f>
        <v>0</v>
      </c>
      <c r="AH44" s="934">
        <f>SUM('MATRICULA-POS plan'!AJ73)</f>
        <v>1</v>
      </c>
      <c r="AI44" s="935">
        <f>SUM('MATRICULA-POS plan'!AK73)</f>
        <v>37</v>
      </c>
      <c r="AJ44" s="933">
        <f>SUM('MATRICULA-POS plan'!AL73)</f>
        <v>29</v>
      </c>
      <c r="AK44" s="934">
        <f>SUM('MATRICULA-POS plan'!AM73)</f>
        <v>27</v>
      </c>
      <c r="AL44" s="935">
        <f>SUM('MATRICULA-POS plan'!AN73)</f>
        <v>15</v>
      </c>
      <c r="AM44" s="933">
        <f>SUM('MATRICULA-POS plan'!AO73)</f>
        <v>49</v>
      </c>
      <c r="AN44" s="934">
        <f>SUM('MATRICULA-POS plan'!AP73)</f>
        <v>48</v>
      </c>
      <c r="AO44" s="935">
        <f>SUM('MATRICULA-POS plan'!AQ73)</f>
        <v>55</v>
      </c>
    </row>
    <row r="45" spans="1:41" ht="12.95" customHeight="1" x14ac:dyDescent="0.2">
      <c r="A45" s="5474"/>
      <c r="B45" s="1072" t="s">
        <v>632</v>
      </c>
      <c r="C45" s="933">
        <v>115</v>
      </c>
      <c r="D45" s="934">
        <v>90</v>
      </c>
      <c r="E45" s="934">
        <v>106</v>
      </c>
      <c r="F45" s="933">
        <v>102</v>
      </c>
      <c r="G45" s="934">
        <v>87</v>
      </c>
      <c r="H45" s="934">
        <v>95</v>
      </c>
      <c r="I45" s="933">
        <v>139</v>
      </c>
      <c r="J45" s="934">
        <v>115</v>
      </c>
      <c r="K45" s="934">
        <v>121</v>
      </c>
      <c r="L45" s="933">
        <v>117</v>
      </c>
      <c r="M45" s="934">
        <v>106</v>
      </c>
      <c r="N45" s="935">
        <v>118</v>
      </c>
      <c r="O45" s="934">
        <v>187</v>
      </c>
      <c r="P45" s="934">
        <v>151</v>
      </c>
      <c r="Q45" s="935">
        <v>147</v>
      </c>
      <c r="R45" s="933">
        <v>165</v>
      </c>
      <c r="S45" s="934">
        <v>144</v>
      </c>
      <c r="T45" s="935">
        <v>266</v>
      </c>
      <c r="U45" s="933">
        <v>237</v>
      </c>
      <c r="V45" s="934">
        <v>212</v>
      </c>
      <c r="W45" s="935">
        <v>201</v>
      </c>
      <c r="X45" s="933">
        <v>215</v>
      </c>
      <c r="Y45" s="934">
        <v>180</v>
      </c>
      <c r="Z45" s="935">
        <v>249</v>
      </c>
      <c r="AA45" s="933">
        <v>269</v>
      </c>
      <c r="AB45" s="934">
        <v>207</v>
      </c>
      <c r="AC45" s="935">
        <v>190</v>
      </c>
      <c r="AD45" s="933">
        <f>SUM('MATRICULA-POS plan'!AF74,'MATRICULA-POS plan'!AF77,'MATRICULA-POS plan'!AF78,'MATRICULA-POS plan'!AF79,'MATRICULA-POS plan'!AF80)</f>
        <v>181</v>
      </c>
      <c r="AE45" s="934">
        <f>SUM('MATRICULA-POS plan'!AG74,'MATRICULA-POS plan'!AG77,'MATRICULA-POS plan'!AG78,'MATRICULA-POS plan'!AG79,'MATRICULA-POS plan'!AG80)</f>
        <v>168</v>
      </c>
      <c r="AF45" s="935">
        <f>SUM('MATRICULA-POS plan'!AH74,'MATRICULA-POS plan'!AH77,'MATRICULA-POS plan'!AH78,'MATRICULA-POS plan'!AH79,'MATRICULA-POS plan'!AH80)</f>
        <v>233</v>
      </c>
      <c r="AG45" s="933">
        <f>SUM('MATRICULA-POS plan'!AI74,'MATRICULA-POS plan'!AI77,'MATRICULA-POS plan'!AI78,'MATRICULA-POS plan'!AI79,'MATRICULA-POS plan'!AI80)</f>
        <v>218</v>
      </c>
      <c r="AH45" s="934">
        <f>SUM('MATRICULA-POS plan'!AJ74,'MATRICULA-POS plan'!AJ77,'MATRICULA-POS plan'!AJ78,'MATRICULA-POS plan'!AJ79,'MATRICULA-POS plan'!AJ80)</f>
        <v>184</v>
      </c>
      <c r="AI45" s="935">
        <f>SUM('MATRICULA-POS plan'!AK74,'MATRICULA-POS plan'!AK77,'MATRICULA-POS plan'!AK78,'MATRICULA-POS plan'!AK79,'MATRICULA-POS plan'!AK80)</f>
        <v>169</v>
      </c>
      <c r="AJ45" s="933">
        <f>SUM('MATRICULA-POS plan'!AL74,'MATRICULA-POS plan'!AL77,'MATRICULA-POS plan'!AL78,'MATRICULA-POS plan'!AL79,'MATRICULA-POS plan'!AL80)</f>
        <v>168</v>
      </c>
      <c r="AK45" s="934">
        <f>SUM('MATRICULA-POS plan'!AM74,'MATRICULA-POS plan'!AM77,'MATRICULA-POS plan'!AM78,'MATRICULA-POS plan'!AM79,'MATRICULA-POS plan'!AM80)</f>
        <v>166</v>
      </c>
      <c r="AL45" s="935">
        <f>SUM('MATRICULA-POS plan'!AN74,'MATRICULA-POS plan'!AN77,'MATRICULA-POS plan'!AN78,'MATRICULA-POS plan'!AN79,'MATRICULA-POS plan'!AN80)</f>
        <v>204</v>
      </c>
      <c r="AM45" s="933">
        <f>SUM('MATRICULA-POS plan'!AO74,'MATRICULA-POS plan'!AO77,'MATRICULA-POS plan'!AO78,'MATRICULA-POS plan'!AO79,'MATRICULA-POS plan'!AO80)</f>
        <v>143</v>
      </c>
      <c r="AN45" s="934">
        <f>SUM('MATRICULA-POS plan'!AP74,'MATRICULA-POS plan'!AP77,'MATRICULA-POS plan'!AP78,'MATRICULA-POS plan'!AP79,'MATRICULA-POS plan'!AP80)</f>
        <v>136</v>
      </c>
      <c r="AO45" s="935">
        <f>SUM('MATRICULA-POS plan'!AQ74,'MATRICULA-POS plan'!AQ77,'MATRICULA-POS plan'!AQ78,'MATRICULA-POS plan'!AQ79,'MATRICULA-POS plan'!AQ80)</f>
        <v>176</v>
      </c>
    </row>
    <row r="46" spans="1:41" ht="12.95" customHeight="1" x14ac:dyDescent="0.2">
      <c r="A46" s="5474"/>
      <c r="B46" s="1078" t="s">
        <v>633</v>
      </c>
      <c r="C46" s="933">
        <v>227</v>
      </c>
      <c r="D46" s="934">
        <v>221</v>
      </c>
      <c r="E46" s="934">
        <v>220</v>
      </c>
      <c r="F46" s="933">
        <v>198</v>
      </c>
      <c r="G46" s="934">
        <v>215</v>
      </c>
      <c r="H46" s="934">
        <v>211</v>
      </c>
      <c r="I46" s="933">
        <v>223</v>
      </c>
      <c r="J46" s="934">
        <v>194</v>
      </c>
      <c r="K46" s="934">
        <v>188</v>
      </c>
      <c r="L46" s="933">
        <v>198</v>
      </c>
      <c r="M46" s="934">
        <v>185</v>
      </c>
      <c r="N46" s="935">
        <v>178</v>
      </c>
      <c r="O46" s="934">
        <v>180</v>
      </c>
      <c r="P46" s="934">
        <v>175</v>
      </c>
      <c r="Q46" s="935">
        <v>172</v>
      </c>
      <c r="R46" s="933">
        <v>187</v>
      </c>
      <c r="S46" s="934">
        <v>148</v>
      </c>
      <c r="T46" s="935">
        <v>203</v>
      </c>
      <c r="U46" s="933">
        <v>247</v>
      </c>
      <c r="V46" s="934">
        <v>236</v>
      </c>
      <c r="W46" s="935">
        <v>253</v>
      </c>
      <c r="X46" s="933">
        <v>293</v>
      </c>
      <c r="Y46" s="934">
        <v>245</v>
      </c>
      <c r="Z46" s="935">
        <v>302</v>
      </c>
      <c r="AA46" s="933">
        <v>345</v>
      </c>
      <c r="AB46" s="934">
        <v>321</v>
      </c>
      <c r="AC46" s="935">
        <v>348</v>
      </c>
      <c r="AD46" s="933">
        <f>SUM('MATRICULA-POS plan'!AF81,'MATRICULA-POS plan'!AF82,'MATRICULA-POS plan'!AF83,'MATRICULA-POS plan'!AF84,'MATRICULA-POS plan'!AF85)</f>
        <v>337</v>
      </c>
      <c r="AE46" s="934">
        <f>SUM('MATRICULA-POS plan'!AG81,'MATRICULA-POS plan'!AG82,'MATRICULA-POS plan'!AG83,'MATRICULA-POS plan'!AG84,'MATRICULA-POS plan'!AG85)</f>
        <v>325</v>
      </c>
      <c r="AF46" s="935">
        <f>SUM('MATRICULA-POS plan'!AH81,'MATRICULA-POS plan'!AH82,'MATRICULA-POS plan'!AH83,'MATRICULA-POS plan'!AH84,'MATRICULA-POS plan'!AH85)</f>
        <v>366</v>
      </c>
      <c r="AG46" s="933">
        <f>SUM('MATRICULA-POS plan'!AI81,'MATRICULA-POS plan'!AI82,'MATRICULA-POS plan'!AI83,'MATRICULA-POS plan'!AI84,'MATRICULA-POS plan'!AI85)</f>
        <v>377</v>
      </c>
      <c r="AH46" s="934">
        <f>SUM('MATRICULA-POS plan'!AJ81,'MATRICULA-POS plan'!AJ82,'MATRICULA-POS plan'!AJ83,'MATRICULA-POS plan'!AJ84,'MATRICULA-POS plan'!AJ85)</f>
        <v>357</v>
      </c>
      <c r="AI46" s="935">
        <f>SUM('MATRICULA-POS plan'!AK81,'MATRICULA-POS plan'!AK82,'MATRICULA-POS plan'!AK83,'MATRICULA-POS plan'!AK84,'MATRICULA-POS plan'!AK85)</f>
        <v>349</v>
      </c>
      <c r="AJ46" s="933">
        <f>SUM('MATRICULA-POS plan'!AL81,'MATRICULA-POS plan'!AL82,'MATRICULA-POS plan'!AL83,'MATRICULA-POS plan'!AL84,'MATRICULA-POS plan'!AL85)</f>
        <v>337</v>
      </c>
      <c r="AK46" s="934">
        <f>SUM('MATRICULA-POS plan'!AM81,'MATRICULA-POS plan'!AM82,'MATRICULA-POS plan'!AM83,'MATRICULA-POS plan'!AM84,'MATRICULA-POS plan'!AM85)</f>
        <v>305</v>
      </c>
      <c r="AL46" s="935">
        <f>SUM('MATRICULA-POS plan'!AN81,'MATRICULA-POS plan'!AN82,'MATRICULA-POS plan'!AN83,'MATRICULA-POS plan'!AN84,'MATRICULA-POS plan'!AN85)</f>
        <v>385</v>
      </c>
      <c r="AM46" s="933">
        <f>SUM('MATRICULA-POS plan'!AO81,'MATRICULA-POS plan'!AO82,'MATRICULA-POS plan'!AO83,'MATRICULA-POS plan'!AO84,'MATRICULA-POS plan'!AO85)</f>
        <v>345</v>
      </c>
      <c r="AN46" s="934">
        <f>SUM('MATRICULA-POS plan'!AP81,'MATRICULA-POS plan'!AP82,'MATRICULA-POS plan'!AP83,'MATRICULA-POS plan'!AP84,'MATRICULA-POS plan'!AP85)</f>
        <v>332</v>
      </c>
      <c r="AO46" s="935">
        <f>SUM('MATRICULA-POS plan'!AQ81,'MATRICULA-POS plan'!AQ82,'MATRICULA-POS plan'!AQ83,'MATRICULA-POS plan'!AQ84,'MATRICULA-POS plan'!AQ85)</f>
        <v>340</v>
      </c>
    </row>
    <row r="47" spans="1:41" s="222" customFormat="1" ht="12.95" customHeight="1" x14ac:dyDescent="0.2">
      <c r="A47" s="5474"/>
      <c r="B47" s="583" t="s">
        <v>14</v>
      </c>
      <c r="C47" s="584">
        <v>348</v>
      </c>
      <c r="D47" s="585">
        <v>316</v>
      </c>
      <c r="E47" s="585">
        <v>370</v>
      </c>
      <c r="F47" s="584">
        <v>341</v>
      </c>
      <c r="G47" s="585">
        <v>334</v>
      </c>
      <c r="H47" s="585">
        <v>382</v>
      </c>
      <c r="I47" s="584">
        <v>435</v>
      </c>
      <c r="J47" s="585">
        <v>374</v>
      </c>
      <c r="K47" s="585">
        <v>310</v>
      </c>
      <c r="L47" s="584">
        <v>401</v>
      </c>
      <c r="M47" s="585">
        <v>373</v>
      </c>
      <c r="N47" s="586">
        <v>364</v>
      </c>
      <c r="O47" s="585">
        <v>457</v>
      </c>
      <c r="P47" s="585">
        <v>407</v>
      </c>
      <c r="Q47" s="586">
        <v>419</v>
      </c>
      <c r="R47" s="584">
        <v>454</v>
      </c>
      <c r="S47" s="585">
        <v>381</v>
      </c>
      <c r="T47" s="586">
        <v>554</v>
      </c>
      <c r="U47" s="584">
        <f t="shared" ref="U47:Z47" si="33">SUM(U44:U46)</f>
        <v>484</v>
      </c>
      <c r="V47" s="585">
        <f t="shared" si="33"/>
        <v>547</v>
      </c>
      <c r="W47" s="586">
        <f t="shared" si="33"/>
        <v>570</v>
      </c>
      <c r="X47" s="584">
        <f t="shared" si="33"/>
        <v>575</v>
      </c>
      <c r="Y47" s="585">
        <f t="shared" si="33"/>
        <v>425</v>
      </c>
      <c r="Z47" s="586">
        <f t="shared" si="33"/>
        <v>655</v>
      </c>
      <c r="AA47" s="584">
        <f t="shared" ref="AA47:AI47" si="34">SUM(AA44:AA46)</f>
        <v>679</v>
      </c>
      <c r="AB47" s="585">
        <f t="shared" si="34"/>
        <v>590</v>
      </c>
      <c r="AC47" s="586">
        <f t="shared" si="34"/>
        <v>630</v>
      </c>
      <c r="AD47" s="584">
        <f t="shared" si="34"/>
        <v>599</v>
      </c>
      <c r="AE47" s="585">
        <f t="shared" si="34"/>
        <v>558</v>
      </c>
      <c r="AF47" s="586">
        <f t="shared" si="34"/>
        <v>602</v>
      </c>
      <c r="AG47" s="584">
        <f t="shared" si="34"/>
        <v>595</v>
      </c>
      <c r="AH47" s="585">
        <f t="shared" si="34"/>
        <v>542</v>
      </c>
      <c r="AI47" s="586">
        <f t="shared" si="34"/>
        <v>555</v>
      </c>
      <c r="AJ47" s="584">
        <f t="shared" ref="AJ47:AO47" si="35">SUM(AJ44:AJ46)</f>
        <v>534</v>
      </c>
      <c r="AK47" s="585">
        <f t="shared" si="35"/>
        <v>498</v>
      </c>
      <c r="AL47" s="586">
        <f t="shared" si="35"/>
        <v>604</v>
      </c>
      <c r="AM47" s="584">
        <f t="shared" si="35"/>
        <v>537</v>
      </c>
      <c r="AN47" s="585">
        <f t="shared" si="35"/>
        <v>516</v>
      </c>
      <c r="AO47" s="586">
        <f t="shared" si="35"/>
        <v>571</v>
      </c>
    </row>
    <row r="48" spans="1:41" ht="12.95" customHeight="1" x14ac:dyDescent="0.2">
      <c r="A48" s="5473" t="s">
        <v>11</v>
      </c>
      <c r="B48" s="1067" t="s">
        <v>631</v>
      </c>
      <c r="C48" s="933">
        <v>29</v>
      </c>
      <c r="D48" s="934">
        <v>29</v>
      </c>
      <c r="E48" s="934">
        <v>31</v>
      </c>
      <c r="F48" s="933">
        <v>27</v>
      </c>
      <c r="G48" s="934">
        <v>29</v>
      </c>
      <c r="H48" s="934">
        <v>40</v>
      </c>
      <c r="I48" s="933">
        <v>32</v>
      </c>
      <c r="J48" s="934">
        <v>33</v>
      </c>
      <c r="K48" s="934">
        <v>35</v>
      </c>
      <c r="L48" s="933">
        <v>40</v>
      </c>
      <c r="M48" s="934">
        <v>42</v>
      </c>
      <c r="N48" s="935">
        <v>38</v>
      </c>
      <c r="O48" s="934">
        <v>34</v>
      </c>
      <c r="P48" s="934">
        <v>45</v>
      </c>
      <c r="Q48" s="935">
        <v>47</v>
      </c>
      <c r="R48" s="933">
        <v>40</v>
      </c>
      <c r="S48" s="934">
        <v>38</v>
      </c>
      <c r="T48" s="935">
        <v>44</v>
      </c>
      <c r="U48" s="933">
        <v>41</v>
      </c>
      <c r="V48" s="934">
        <v>39</v>
      </c>
      <c r="W48" s="935">
        <v>39</v>
      </c>
      <c r="X48" s="933">
        <v>42</v>
      </c>
      <c r="Y48" s="934">
        <v>41</v>
      </c>
      <c r="Z48" s="935">
        <v>46</v>
      </c>
      <c r="AA48" s="933">
        <v>38</v>
      </c>
      <c r="AB48" s="934">
        <v>31</v>
      </c>
      <c r="AC48" s="935">
        <v>41</v>
      </c>
      <c r="AD48" s="933">
        <f>SUM('MATRICULA-POS plan'!AF87,'MATRICULA-POS plan'!AF88)</f>
        <v>38</v>
      </c>
      <c r="AE48" s="934">
        <f>SUM('MATRICULA-POS plan'!AG87,'MATRICULA-POS plan'!AG88)</f>
        <v>47</v>
      </c>
      <c r="AF48" s="935">
        <f>SUM('MATRICULA-POS plan'!AH87,'MATRICULA-POS plan'!AH88)</f>
        <v>53</v>
      </c>
      <c r="AG48" s="933">
        <f>SUM('MATRICULA-POS plan'!AI87,'MATRICULA-POS plan'!AI88)</f>
        <v>46</v>
      </c>
      <c r="AH48" s="934">
        <f>SUM('MATRICULA-POS plan'!AJ87,'MATRICULA-POS plan'!AJ88)</f>
        <v>39</v>
      </c>
      <c r="AI48" s="935">
        <f>SUM('MATRICULA-POS plan'!AK87,'MATRICULA-POS plan'!AK88)</f>
        <v>41</v>
      </c>
      <c r="AJ48" s="933">
        <f>SUM('MATRICULA-POS plan'!AL87,'MATRICULA-POS plan'!AL88)</f>
        <v>39</v>
      </c>
      <c r="AK48" s="934">
        <f>SUM('MATRICULA-POS plan'!AM87,'MATRICULA-POS plan'!AM88)</f>
        <v>35</v>
      </c>
      <c r="AL48" s="935">
        <f>SUM('MATRICULA-POS plan'!AN87,'MATRICULA-POS plan'!AN88)</f>
        <v>41</v>
      </c>
      <c r="AM48" s="933">
        <f>SUM('MATRICULA-POS plan'!AO87,'MATRICULA-POS plan'!AO88)</f>
        <v>39</v>
      </c>
      <c r="AN48" s="934">
        <f>SUM('MATRICULA-POS plan'!AP87,'MATRICULA-POS plan'!AP88)</f>
        <v>41</v>
      </c>
      <c r="AO48" s="935">
        <f>SUM('MATRICULA-POS plan'!AQ87,'MATRICULA-POS plan'!AQ88)</f>
        <v>35</v>
      </c>
    </row>
    <row r="49" spans="1:41" ht="12.95" customHeight="1" x14ac:dyDescent="0.2">
      <c r="A49" s="5474"/>
      <c r="B49" s="1072" t="s">
        <v>632</v>
      </c>
      <c r="C49" s="933">
        <v>100</v>
      </c>
      <c r="D49" s="934">
        <v>100</v>
      </c>
      <c r="E49" s="934">
        <v>120</v>
      </c>
      <c r="F49" s="933">
        <v>105</v>
      </c>
      <c r="G49" s="934">
        <v>97</v>
      </c>
      <c r="H49" s="934">
        <v>89</v>
      </c>
      <c r="I49" s="933">
        <v>73</v>
      </c>
      <c r="J49" s="934">
        <v>66</v>
      </c>
      <c r="K49" s="934">
        <v>86</v>
      </c>
      <c r="L49" s="933">
        <v>66</v>
      </c>
      <c r="M49" s="934">
        <v>62</v>
      </c>
      <c r="N49" s="935">
        <v>91</v>
      </c>
      <c r="O49" s="934">
        <v>88</v>
      </c>
      <c r="P49" s="934">
        <v>78</v>
      </c>
      <c r="Q49" s="935">
        <v>126</v>
      </c>
      <c r="R49" s="933">
        <v>105</v>
      </c>
      <c r="S49" s="934">
        <v>94</v>
      </c>
      <c r="T49" s="935">
        <v>144</v>
      </c>
      <c r="U49" s="933">
        <v>123</v>
      </c>
      <c r="V49" s="934">
        <v>122</v>
      </c>
      <c r="W49" s="935">
        <v>166</v>
      </c>
      <c r="X49" s="933">
        <v>134</v>
      </c>
      <c r="Y49" s="934">
        <v>114</v>
      </c>
      <c r="Z49" s="935">
        <v>153</v>
      </c>
      <c r="AA49" s="933">
        <v>151</v>
      </c>
      <c r="AB49" s="934">
        <v>139</v>
      </c>
      <c r="AC49" s="935">
        <v>174</v>
      </c>
      <c r="AD49" s="933">
        <f>SUM('MATRICULA-POS plan'!AF89,'MATRICULA-POS plan'!AF90,'MATRICULA-POS plan'!AF91,'MATRICULA-POS plan'!AF92)</f>
        <v>165</v>
      </c>
      <c r="AE49" s="934">
        <f>SUM('MATRICULA-POS plan'!AG89,'MATRICULA-POS plan'!AG90,'MATRICULA-POS plan'!AG91,'MATRICULA-POS plan'!AG92)</f>
        <v>151</v>
      </c>
      <c r="AF49" s="935">
        <f>SUM('MATRICULA-POS plan'!AH89,'MATRICULA-POS plan'!AH90,'MATRICULA-POS plan'!AH91,'MATRICULA-POS plan'!AH92)</f>
        <v>177</v>
      </c>
      <c r="AG49" s="933">
        <f>SUM('MATRICULA-POS plan'!AI89,'MATRICULA-POS plan'!AI90,'MATRICULA-POS plan'!AI91,'MATRICULA-POS plan'!AI92)</f>
        <v>159</v>
      </c>
      <c r="AH49" s="934">
        <f>SUM('MATRICULA-POS plan'!AJ89,'MATRICULA-POS plan'!AJ90,'MATRICULA-POS plan'!AJ91,'MATRICULA-POS plan'!AJ92)</f>
        <v>156</v>
      </c>
      <c r="AI49" s="935">
        <f>SUM('MATRICULA-POS plan'!AK89,'MATRICULA-POS plan'!AK90,'MATRICULA-POS plan'!AK91,'MATRICULA-POS plan'!AK92)</f>
        <v>201</v>
      </c>
      <c r="AJ49" s="933">
        <f>SUM('MATRICULA-POS plan'!AL89,'MATRICULA-POS plan'!AL90,'MATRICULA-POS plan'!AL91,'MATRICULA-POS plan'!AL92)</f>
        <v>179</v>
      </c>
      <c r="AK49" s="934">
        <f>SUM('MATRICULA-POS plan'!AM89,'MATRICULA-POS plan'!AM90,'MATRICULA-POS plan'!AM91,'MATRICULA-POS plan'!AM92)</f>
        <v>158</v>
      </c>
      <c r="AL49" s="935">
        <f>SUM('MATRICULA-POS plan'!AN89,'MATRICULA-POS plan'!AN90,'MATRICULA-POS plan'!AN91,'MATRICULA-POS plan'!AN92)</f>
        <v>198</v>
      </c>
      <c r="AM49" s="933">
        <f>SUM('MATRICULA-POS plan'!AO89,'MATRICULA-POS plan'!AO90,'MATRICULA-POS plan'!AO91,'MATRICULA-POS plan'!AO92)</f>
        <v>172</v>
      </c>
      <c r="AN49" s="934">
        <f>SUM('MATRICULA-POS plan'!AP89,'MATRICULA-POS plan'!AP90,'MATRICULA-POS plan'!AP91,'MATRICULA-POS plan'!AP92)</f>
        <v>168</v>
      </c>
      <c r="AO49" s="935">
        <f>SUM('MATRICULA-POS plan'!AQ89,'MATRICULA-POS plan'!AQ90,'MATRICULA-POS plan'!AQ91,'MATRICULA-POS plan'!AQ92)</f>
        <v>192</v>
      </c>
    </row>
    <row r="50" spans="1:41" ht="12.95" customHeight="1" x14ac:dyDescent="0.2">
      <c r="A50" s="5474"/>
      <c r="B50" s="1078" t="s">
        <v>633</v>
      </c>
      <c r="C50" s="933">
        <v>150</v>
      </c>
      <c r="D50" s="934">
        <v>148</v>
      </c>
      <c r="E50" s="934">
        <v>139</v>
      </c>
      <c r="F50" s="933">
        <v>150</v>
      </c>
      <c r="G50" s="934">
        <v>143</v>
      </c>
      <c r="H50" s="934">
        <v>137</v>
      </c>
      <c r="I50" s="933">
        <v>156</v>
      </c>
      <c r="J50" s="934">
        <v>155</v>
      </c>
      <c r="K50" s="934">
        <v>154</v>
      </c>
      <c r="L50" s="933">
        <v>155</v>
      </c>
      <c r="M50" s="934">
        <v>147</v>
      </c>
      <c r="N50" s="935">
        <v>150</v>
      </c>
      <c r="O50" s="934">
        <v>152</v>
      </c>
      <c r="P50" s="934">
        <v>151</v>
      </c>
      <c r="Q50" s="935">
        <v>143</v>
      </c>
      <c r="R50" s="933">
        <v>147</v>
      </c>
      <c r="S50" s="934">
        <v>134</v>
      </c>
      <c r="T50" s="935">
        <v>152</v>
      </c>
      <c r="U50" s="933">
        <v>163</v>
      </c>
      <c r="V50" s="934">
        <v>161</v>
      </c>
      <c r="W50" s="935">
        <v>163</v>
      </c>
      <c r="X50" s="933">
        <v>188</v>
      </c>
      <c r="Y50" s="934">
        <v>178</v>
      </c>
      <c r="Z50" s="935">
        <v>196</v>
      </c>
      <c r="AA50" s="933">
        <v>198</v>
      </c>
      <c r="AB50" s="934">
        <v>181</v>
      </c>
      <c r="AC50" s="935">
        <v>209</v>
      </c>
      <c r="AD50" s="933">
        <f>SUM('MATRICULA-POS plan'!AF93,'MATRICULA-POS plan'!AF94,'MATRICULA-POS plan'!AF95)</f>
        <v>229</v>
      </c>
      <c r="AE50" s="934">
        <f>SUM('MATRICULA-POS plan'!AG93,'MATRICULA-POS plan'!AG94,'MATRICULA-POS plan'!AG95)</f>
        <v>218</v>
      </c>
      <c r="AF50" s="935">
        <f>SUM('MATRICULA-POS plan'!AH93,'MATRICULA-POS plan'!AH94,'MATRICULA-POS plan'!AH95)</f>
        <v>239</v>
      </c>
      <c r="AG50" s="933">
        <f>SUM('MATRICULA-POS plan'!AI93,'MATRICULA-POS plan'!AI94,'MATRICULA-POS plan'!AI95)</f>
        <v>246</v>
      </c>
      <c r="AH50" s="934">
        <f>SUM('MATRICULA-POS plan'!AJ93,'MATRICULA-POS plan'!AJ94,'MATRICULA-POS plan'!AJ95)</f>
        <v>238</v>
      </c>
      <c r="AI50" s="935">
        <f>SUM('MATRICULA-POS plan'!AK93,'MATRICULA-POS plan'!AK94,'MATRICULA-POS plan'!AK95)</f>
        <v>244</v>
      </c>
      <c r="AJ50" s="933">
        <f>SUM('MATRICULA-POS plan'!AL93,'MATRICULA-POS plan'!AL94,'MATRICULA-POS plan'!AL95)</f>
        <v>258</v>
      </c>
      <c r="AK50" s="934">
        <f>SUM('MATRICULA-POS plan'!AM93,'MATRICULA-POS plan'!AM94,'MATRICULA-POS plan'!AM95)</f>
        <v>249</v>
      </c>
      <c r="AL50" s="935">
        <f>SUM('MATRICULA-POS plan'!AN93,'MATRICULA-POS plan'!AN94,'MATRICULA-POS plan'!AN95)</f>
        <v>261</v>
      </c>
      <c r="AM50" s="933">
        <f>SUM('MATRICULA-POS plan'!AO93,'MATRICULA-POS plan'!AO94,'MATRICULA-POS plan'!AO95)</f>
        <v>266</v>
      </c>
      <c r="AN50" s="934">
        <f>SUM('MATRICULA-POS plan'!AP93,'MATRICULA-POS plan'!AP94,'MATRICULA-POS plan'!AP95)</f>
        <v>248</v>
      </c>
      <c r="AO50" s="935">
        <f>SUM('MATRICULA-POS plan'!AQ93,'MATRICULA-POS plan'!AQ94,'MATRICULA-POS plan'!AQ95)</f>
        <v>264</v>
      </c>
    </row>
    <row r="51" spans="1:41" s="222" customFormat="1" ht="12.95" customHeight="1" x14ac:dyDescent="0.2">
      <c r="A51" s="5474"/>
      <c r="B51" s="583" t="s">
        <v>30</v>
      </c>
      <c r="C51" s="584">
        <v>279</v>
      </c>
      <c r="D51" s="585">
        <v>277</v>
      </c>
      <c r="E51" s="585">
        <v>290</v>
      </c>
      <c r="F51" s="584">
        <v>282</v>
      </c>
      <c r="G51" s="585">
        <v>269</v>
      </c>
      <c r="H51" s="585">
        <v>266</v>
      </c>
      <c r="I51" s="584">
        <v>261</v>
      </c>
      <c r="J51" s="585">
        <v>254</v>
      </c>
      <c r="K51" s="585">
        <v>275</v>
      </c>
      <c r="L51" s="584">
        <v>261</v>
      </c>
      <c r="M51" s="585">
        <v>251</v>
      </c>
      <c r="N51" s="586">
        <v>279</v>
      </c>
      <c r="O51" s="585">
        <v>274</v>
      </c>
      <c r="P51" s="585">
        <v>274</v>
      </c>
      <c r="Q51" s="586">
        <v>316</v>
      </c>
      <c r="R51" s="584">
        <v>292</v>
      </c>
      <c r="S51" s="585">
        <v>266</v>
      </c>
      <c r="T51" s="586">
        <v>340</v>
      </c>
      <c r="U51" s="584">
        <f t="shared" ref="U51:Z51" si="36">SUM(U48:U50)</f>
        <v>327</v>
      </c>
      <c r="V51" s="585">
        <f t="shared" si="36"/>
        <v>322</v>
      </c>
      <c r="W51" s="586">
        <f t="shared" si="36"/>
        <v>368</v>
      </c>
      <c r="X51" s="584">
        <f t="shared" si="36"/>
        <v>364</v>
      </c>
      <c r="Y51" s="585">
        <f t="shared" si="36"/>
        <v>333</v>
      </c>
      <c r="Z51" s="586">
        <f t="shared" si="36"/>
        <v>395</v>
      </c>
      <c r="AA51" s="584">
        <f t="shared" ref="AA51:AI51" si="37">SUM(AA48:AA50)</f>
        <v>387</v>
      </c>
      <c r="AB51" s="585">
        <f t="shared" si="37"/>
        <v>351</v>
      </c>
      <c r="AC51" s="586">
        <f t="shared" si="37"/>
        <v>424</v>
      </c>
      <c r="AD51" s="584">
        <f t="shared" si="37"/>
        <v>432</v>
      </c>
      <c r="AE51" s="585">
        <f t="shared" si="37"/>
        <v>416</v>
      </c>
      <c r="AF51" s="586">
        <f t="shared" si="37"/>
        <v>469</v>
      </c>
      <c r="AG51" s="584">
        <f t="shared" si="37"/>
        <v>451</v>
      </c>
      <c r="AH51" s="585">
        <f t="shared" si="37"/>
        <v>433</v>
      </c>
      <c r="AI51" s="586">
        <f t="shared" si="37"/>
        <v>486</v>
      </c>
      <c r="AJ51" s="584">
        <f t="shared" ref="AJ51:AO51" si="38">SUM(AJ48:AJ50)</f>
        <v>476</v>
      </c>
      <c r="AK51" s="585">
        <f t="shared" si="38"/>
        <v>442</v>
      </c>
      <c r="AL51" s="586">
        <f t="shared" si="38"/>
        <v>500</v>
      </c>
      <c r="AM51" s="584">
        <f t="shared" si="38"/>
        <v>477</v>
      </c>
      <c r="AN51" s="585">
        <f t="shared" si="38"/>
        <v>457</v>
      </c>
      <c r="AO51" s="586">
        <f t="shared" si="38"/>
        <v>491</v>
      </c>
    </row>
    <row r="52" spans="1:41" ht="12.95" customHeight="1" x14ac:dyDescent="0.2">
      <c r="A52" s="5552" t="s">
        <v>696</v>
      </c>
      <c r="B52" s="1067" t="s">
        <v>631</v>
      </c>
      <c r="C52" s="933">
        <f t="shared" ref="C52:Q54" si="39">C40+C44+C48</f>
        <v>35</v>
      </c>
      <c r="D52" s="934">
        <f t="shared" si="39"/>
        <v>34</v>
      </c>
      <c r="E52" s="934">
        <f t="shared" si="39"/>
        <v>75</v>
      </c>
      <c r="F52" s="933">
        <f t="shared" si="39"/>
        <v>68</v>
      </c>
      <c r="G52" s="934">
        <f t="shared" si="39"/>
        <v>61</v>
      </c>
      <c r="H52" s="934">
        <f t="shared" si="39"/>
        <v>116</v>
      </c>
      <c r="I52" s="933">
        <f t="shared" si="39"/>
        <v>105</v>
      </c>
      <c r="J52" s="934">
        <f t="shared" si="39"/>
        <v>98</v>
      </c>
      <c r="K52" s="934">
        <f t="shared" si="39"/>
        <v>36</v>
      </c>
      <c r="L52" s="933">
        <f t="shared" si="39"/>
        <v>126</v>
      </c>
      <c r="M52" s="934">
        <f t="shared" si="39"/>
        <v>124</v>
      </c>
      <c r="N52" s="935">
        <f t="shared" si="39"/>
        <v>106</v>
      </c>
      <c r="O52" s="934">
        <f t="shared" si="39"/>
        <v>124</v>
      </c>
      <c r="P52" s="934">
        <f t="shared" si="39"/>
        <v>126</v>
      </c>
      <c r="Q52" s="935">
        <f t="shared" si="39"/>
        <v>147</v>
      </c>
      <c r="R52" s="933">
        <v>142</v>
      </c>
      <c r="S52" s="934">
        <v>127</v>
      </c>
      <c r="T52" s="935">
        <v>129</v>
      </c>
      <c r="U52" s="933">
        <f t="shared" ref="U52:AI55" si="40">U40+U44+U48</f>
        <v>41</v>
      </c>
      <c r="V52" s="934">
        <f t="shared" si="40"/>
        <v>138</v>
      </c>
      <c r="W52" s="935">
        <f t="shared" si="40"/>
        <v>155</v>
      </c>
      <c r="X52" s="933">
        <f t="shared" si="40"/>
        <v>109</v>
      </c>
      <c r="Y52" s="934">
        <f t="shared" si="40"/>
        <v>41</v>
      </c>
      <c r="Z52" s="935">
        <f t="shared" si="40"/>
        <v>150</v>
      </c>
      <c r="AA52" s="933">
        <f t="shared" si="40"/>
        <v>103</v>
      </c>
      <c r="AB52" s="934">
        <f t="shared" si="40"/>
        <v>93</v>
      </c>
      <c r="AC52" s="935">
        <f t="shared" si="40"/>
        <v>133</v>
      </c>
      <c r="AD52" s="933">
        <f t="shared" si="40"/>
        <v>119</v>
      </c>
      <c r="AE52" s="934">
        <f t="shared" si="40"/>
        <v>112</v>
      </c>
      <c r="AF52" s="935">
        <f t="shared" si="40"/>
        <v>56</v>
      </c>
      <c r="AG52" s="933">
        <f t="shared" si="40"/>
        <v>46</v>
      </c>
      <c r="AH52" s="934">
        <f t="shared" si="40"/>
        <v>40</v>
      </c>
      <c r="AI52" s="935">
        <f t="shared" si="40"/>
        <v>78</v>
      </c>
      <c r="AJ52" s="933">
        <f t="shared" ref="AJ52:AL55" si="41">AJ40+AJ44+AJ48</f>
        <v>68</v>
      </c>
      <c r="AK52" s="934">
        <f t="shared" si="41"/>
        <v>62</v>
      </c>
      <c r="AL52" s="935">
        <f t="shared" si="41"/>
        <v>56</v>
      </c>
      <c r="AM52" s="933">
        <f t="shared" ref="AM52:AO52" si="42">AM40+AM44+AM48</f>
        <v>88</v>
      </c>
      <c r="AN52" s="934">
        <f t="shared" si="42"/>
        <v>89</v>
      </c>
      <c r="AO52" s="935">
        <f t="shared" si="42"/>
        <v>90</v>
      </c>
    </row>
    <row r="53" spans="1:41" ht="12.95" customHeight="1" x14ac:dyDescent="0.2">
      <c r="A53" s="5553"/>
      <c r="B53" s="1072" t="s">
        <v>632</v>
      </c>
      <c r="C53" s="933">
        <f t="shared" si="39"/>
        <v>267</v>
      </c>
      <c r="D53" s="934">
        <f t="shared" si="39"/>
        <v>241</v>
      </c>
      <c r="E53" s="934">
        <f t="shared" si="39"/>
        <v>298</v>
      </c>
      <c r="F53" s="933">
        <f t="shared" si="39"/>
        <v>274</v>
      </c>
      <c r="G53" s="934">
        <f t="shared" si="39"/>
        <v>252</v>
      </c>
      <c r="H53" s="934">
        <f t="shared" si="39"/>
        <v>271</v>
      </c>
      <c r="I53" s="933">
        <f t="shared" si="39"/>
        <v>306</v>
      </c>
      <c r="J53" s="934">
        <f t="shared" si="39"/>
        <v>278</v>
      </c>
      <c r="K53" s="934">
        <f t="shared" si="39"/>
        <v>335</v>
      </c>
      <c r="L53" s="933">
        <f t="shared" si="39"/>
        <v>305</v>
      </c>
      <c r="M53" s="934">
        <f t="shared" si="39"/>
        <v>296</v>
      </c>
      <c r="N53" s="935">
        <f t="shared" si="39"/>
        <v>371</v>
      </c>
      <c r="O53" s="934">
        <f t="shared" si="39"/>
        <v>483</v>
      </c>
      <c r="P53" s="934">
        <f t="shared" si="39"/>
        <v>380</v>
      </c>
      <c r="Q53" s="935">
        <f t="shared" si="39"/>
        <v>428</v>
      </c>
      <c r="R53" s="933">
        <v>421</v>
      </c>
      <c r="S53" s="934">
        <v>376</v>
      </c>
      <c r="T53" s="935">
        <v>574</v>
      </c>
      <c r="U53" s="933">
        <f t="shared" si="40"/>
        <v>503</v>
      </c>
      <c r="V53" s="934">
        <f t="shared" si="40"/>
        <v>468</v>
      </c>
      <c r="W53" s="935">
        <f t="shared" si="40"/>
        <v>533</v>
      </c>
      <c r="X53" s="933">
        <f t="shared" si="40"/>
        <v>507</v>
      </c>
      <c r="Y53" s="934">
        <f t="shared" si="40"/>
        <v>448</v>
      </c>
      <c r="Z53" s="935">
        <f t="shared" si="40"/>
        <v>583</v>
      </c>
      <c r="AA53" s="933">
        <f t="shared" si="40"/>
        <v>680</v>
      </c>
      <c r="AB53" s="934">
        <f t="shared" si="40"/>
        <v>595</v>
      </c>
      <c r="AC53" s="935">
        <f t="shared" si="40"/>
        <v>651</v>
      </c>
      <c r="AD53" s="933">
        <f t="shared" si="40"/>
        <v>630</v>
      </c>
      <c r="AE53" s="934">
        <f t="shared" si="40"/>
        <v>589</v>
      </c>
      <c r="AF53" s="935">
        <f t="shared" si="40"/>
        <v>705</v>
      </c>
      <c r="AG53" s="933">
        <f t="shared" si="40"/>
        <v>686</v>
      </c>
      <c r="AH53" s="934">
        <f t="shared" si="40"/>
        <v>655</v>
      </c>
      <c r="AI53" s="935">
        <f t="shared" si="40"/>
        <v>687</v>
      </c>
      <c r="AJ53" s="933">
        <f t="shared" si="41"/>
        <v>649</v>
      </c>
      <c r="AK53" s="934">
        <f t="shared" si="41"/>
        <v>599</v>
      </c>
      <c r="AL53" s="935">
        <f t="shared" si="41"/>
        <v>718</v>
      </c>
      <c r="AM53" s="933">
        <f t="shared" ref="AM53:AO53" si="43">AM41+AM45+AM49</f>
        <v>604</v>
      </c>
      <c r="AN53" s="934">
        <f t="shared" si="43"/>
        <v>606</v>
      </c>
      <c r="AO53" s="935">
        <f t="shared" si="43"/>
        <v>695</v>
      </c>
    </row>
    <row r="54" spans="1:41" ht="12.95" customHeight="1" x14ac:dyDescent="0.2">
      <c r="A54" s="5553"/>
      <c r="B54" s="1078" t="s">
        <v>633</v>
      </c>
      <c r="C54" s="933">
        <f t="shared" si="39"/>
        <v>604</v>
      </c>
      <c r="D54" s="934">
        <f t="shared" si="39"/>
        <v>590</v>
      </c>
      <c r="E54" s="934">
        <f t="shared" si="39"/>
        <v>577</v>
      </c>
      <c r="F54" s="933">
        <f t="shared" si="39"/>
        <v>562</v>
      </c>
      <c r="G54" s="934">
        <f t="shared" si="39"/>
        <v>566</v>
      </c>
      <c r="H54" s="934">
        <f t="shared" si="39"/>
        <v>560</v>
      </c>
      <c r="I54" s="933">
        <f t="shared" si="39"/>
        <v>591</v>
      </c>
      <c r="J54" s="934">
        <f t="shared" si="39"/>
        <v>566</v>
      </c>
      <c r="K54" s="934">
        <f t="shared" si="39"/>
        <v>559</v>
      </c>
      <c r="L54" s="933">
        <f t="shared" si="39"/>
        <v>576</v>
      </c>
      <c r="M54" s="934">
        <f t="shared" si="39"/>
        <v>548</v>
      </c>
      <c r="N54" s="935">
        <f t="shared" si="39"/>
        <v>545</v>
      </c>
      <c r="O54" s="934">
        <f t="shared" si="39"/>
        <v>503</v>
      </c>
      <c r="P54" s="934">
        <f t="shared" si="39"/>
        <v>534</v>
      </c>
      <c r="Q54" s="935">
        <f t="shared" si="39"/>
        <v>516</v>
      </c>
      <c r="R54" s="933">
        <v>534</v>
      </c>
      <c r="S54" s="934">
        <v>470</v>
      </c>
      <c r="T54" s="935">
        <v>549</v>
      </c>
      <c r="U54" s="933">
        <f t="shared" si="40"/>
        <v>602</v>
      </c>
      <c r="V54" s="934">
        <f t="shared" si="40"/>
        <v>588</v>
      </c>
      <c r="W54" s="935">
        <f t="shared" si="40"/>
        <v>615</v>
      </c>
      <c r="X54" s="933">
        <f t="shared" si="40"/>
        <v>688</v>
      </c>
      <c r="Y54" s="934">
        <f t="shared" si="40"/>
        <v>622</v>
      </c>
      <c r="Z54" s="935">
        <f t="shared" si="40"/>
        <v>701</v>
      </c>
      <c r="AA54" s="933">
        <f t="shared" si="40"/>
        <v>754</v>
      </c>
      <c r="AB54" s="934">
        <f t="shared" si="40"/>
        <v>674</v>
      </c>
      <c r="AC54" s="935">
        <f t="shared" si="40"/>
        <v>768</v>
      </c>
      <c r="AD54" s="933">
        <f t="shared" si="40"/>
        <v>782</v>
      </c>
      <c r="AE54" s="934">
        <f t="shared" si="40"/>
        <v>757</v>
      </c>
      <c r="AF54" s="935">
        <f t="shared" si="40"/>
        <v>761</v>
      </c>
      <c r="AG54" s="933">
        <f t="shared" si="40"/>
        <v>865</v>
      </c>
      <c r="AH54" s="934">
        <f t="shared" si="40"/>
        <v>848</v>
      </c>
      <c r="AI54" s="935">
        <f t="shared" si="40"/>
        <v>851</v>
      </c>
      <c r="AJ54" s="933">
        <f t="shared" si="41"/>
        <v>850</v>
      </c>
      <c r="AK54" s="934">
        <f t="shared" si="41"/>
        <v>803</v>
      </c>
      <c r="AL54" s="935">
        <f t="shared" si="41"/>
        <v>905</v>
      </c>
      <c r="AM54" s="933">
        <f t="shared" ref="AM54:AO54" si="44">AM42+AM46+AM50</f>
        <v>862</v>
      </c>
      <c r="AN54" s="934">
        <f t="shared" si="44"/>
        <v>839</v>
      </c>
      <c r="AO54" s="935">
        <f t="shared" si="44"/>
        <v>872</v>
      </c>
    </row>
    <row r="55" spans="1:41" s="222" customFormat="1" ht="12.95" customHeight="1" x14ac:dyDescent="0.2">
      <c r="A55" s="5554"/>
      <c r="B55" s="2668" t="s">
        <v>12</v>
      </c>
      <c r="C55" s="2620">
        <f>SUM(C52:C54)</f>
        <v>906</v>
      </c>
      <c r="D55" s="2621">
        <f>SUM(D52:D54)</f>
        <v>865</v>
      </c>
      <c r="E55" s="2621">
        <f>SUM(E52:E54)</f>
        <v>950</v>
      </c>
      <c r="F55" s="2620">
        <f t="shared" ref="F55:Q55" si="45">SUM(F52:F54)</f>
        <v>904</v>
      </c>
      <c r="G55" s="2621">
        <f t="shared" si="45"/>
        <v>879</v>
      </c>
      <c r="H55" s="2621">
        <f t="shared" si="45"/>
        <v>947</v>
      </c>
      <c r="I55" s="2620">
        <f t="shared" si="45"/>
        <v>1002</v>
      </c>
      <c r="J55" s="2621">
        <f t="shared" si="45"/>
        <v>942</v>
      </c>
      <c r="K55" s="2621">
        <f t="shared" si="45"/>
        <v>930</v>
      </c>
      <c r="L55" s="2620">
        <f t="shared" si="45"/>
        <v>1007</v>
      </c>
      <c r="M55" s="2621">
        <f t="shared" si="45"/>
        <v>968</v>
      </c>
      <c r="N55" s="2622">
        <f t="shared" si="45"/>
        <v>1022</v>
      </c>
      <c r="O55" s="2621">
        <f t="shared" si="45"/>
        <v>1110</v>
      </c>
      <c r="P55" s="2621">
        <f t="shared" si="45"/>
        <v>1040</v>
      </c>
      <c r="Q55" s="2622">
        <f t="shared" si="45"/>
        <v>1091</v>
      </c>
      <c r="R55" s="2620">
        <v>1097</v>
      </c>
      <c r="S55" s="2621">
        <v>973</v>
      </c>
      <c r="T55" s="2622">
        <v>1252</v>
      </c>
      <c r="U55" s="2620">
        <f t="shared" si="40"/>
        <v>1146</v>
      </c>
      <c r="V55" s="2621">
        <f t="shared" si="40"/>
        <v>1194</v>
      </c>
      <c r="W55" s="2622">
        <f t="shared" si="40"/>
        <v>1303</v>
      </c>
      <c r="X55" s="2620">
        <f t="shared" si="40"/>
        <v>1304</v>
      </c>
      <c r="Y55" s="2621">
        <f t="shared" si="40"/>
        <v>1111</v>
      </c>
      <c r="Z55" s="2622">
        <f t="shared" si="40"/>
        <v>1434</v>
      </c>
      <c r="AA55" s="2620">
        <f t="shared" si="40"/>
        <v>1537</v>
      </c>
      <c r="AB55" s="2621">
        <f t="shared" si="40"/>
        <v>1362</v>
      </c>
      <c r="AC55" s="2622">
        <f t="shared" si="40"/>
        <v>1552</v>
      </c>
      <c r="AD55" s="2620">
        <f t="shared" si="40"/>
        <v>1531</v>
      </c>
      <c r="AE55" s="2621">
        <f t="shared" si="40"/>
        <v>1458</v>
      </c>
      <c r="AF55" s="2622">
        <f t="shared" si="40"/>
        <v>1522</v>
      </c>
      <c r="AG55" s="2620">
        <f t="shared" si="40"/>
        <v>1597</v>
      </c>
      <c r="AH55" s="2621">
        <f t="shared" si="40"/>
        <v>1543</v>
      </c>
      <c r="AI55" s="2622">
        <f t="shared" si="40"/>
        <v>1616</v>
      </c>
      <c r="AJ55" s="2620">
        <f t="shared" si="41"/>
        <v>1567</v>
      </c>
      <c r="AK55" s="2621">
        <f t="shared" si="41"/>
        <v>1464</v>
      </c>
      <c r="AL55" s="2622">
        <f t="shared" si="41"/>
        <v>1679</v>
      </c>
      <c r="AM55" s="2620">
        <f t="shared" ref="AM55:AO55" si="46">AM43+AM47+AM51</f>
        <v>1554</v>
      </c>
      <c r="AN55" s="2621">
        <f t="shared" si="46"/>
        <v>1534</v>
      </c>
      <c r="AO55" s="2622">
        <f t="shared" si="46"/>
        <v>1657</v>
      </c>
    </row>
    <row r="56" spans="1:41" ht="12.95" customHeight="1" x14ac:dyDescent="0.2">
      <c r="A56" s="263"/>
      <c r="B56" s="263"/>
      <c r="C56" s="263"/>
      <c r="D56" s="263"/>
      <c r="E56" s="263"/>
      <c r="F56" s="263"/>
      <c r="G56" s="263"/>
      <c r="H56" s="263"/>
      <c r="I56" s="263"/>
      <c r="J56" s="263"/>
      <c r="K56" s="263"/>
      <c r="L56" s="263"/>
      <c r="M56" s="263"/>
      <c r="N56" s="263"/>
      <c r="O56" s="263"/>
      <c r="P56" s="263"/>
      <c r="Q56" s="263"/>
      <c r="R56" s="263"/>
      <c r="S56" s="263"/>
      <c r="T56" s="263"/>
      <c r="U56" s="263"/>
      <c r="V56" s="263"/>
      <c r="W56" s="263"/>
      <c r="X56" s="263"/>
      <c r="Y56" s="263"/>
      <c r="Z56" s="263"/>
      <c r="AA56" s="263"/>
      <c r="AB56" s="263"/>
      <c r="AC56" s="263"/>
      <c r="AD56" s="263"/>
      <c r="AE56" s="263"/>
      <c r="AF56" s="263"/>
      <c r="AG56" s="263"/>
      <c r="AH56" s="263"/>
      <c r="AI56" s="263"/>
      <c r="AJ56" s="263"/>
      <c r="AK56" s="263"/>
      <c r="AL56" s="263"/>
      <c r="AM56" s="263"/>
      <c r="AN56" s="263"/>
      <c r="AO56" s="263"/>
    </row>
    <row r="57" spans="1:41" ht="12.95" customHeight="1" x14ac:dyDescent="0.2">
      <c r="A57" s="5478" t="s">
        <v>6</v>
      </c>
      <c r="B57" s="1067" t="s">
        <v>631</v>
      </c>
      <c r="C57" s="930">
        <v>24</v>
      </c>
      <c r="D57" s="931">
        <v>22</v>
      </c>
      <c r="E57" s="931">
        <v>16</v>
      </c>
      <c r="F57" s="930">
        <v>0</v>
      </c>
      <c r="G57" s="931">
        <v>0</v>
      </c>
      <c r="H57" s="931">
        <v>6</v>
      </c>
      <c r="I57" s="930">
        <v>4</v>
      </c>
      <c r="J57" s="931">
        <v>4</v>
      </c>
      <c r="K57" s="931">
        <v>0</v>
      </c>
      <c r="L57" s="930">
        <v>0</v>
      </c>
      <c r="M57" s="931">
        <v>0</v>
      </c>
      <c r="N57" s="932">
        <v>5</v>
      </c>
      <c r="O57" s="931">
        <v>16</v>
      </c>
      <c r="P57" s="931">
        <v>2</v>
      </c>
      <c r="Q57" s="932">
        <v>17</v>
      </c>
      <c r="R57" s="930">
        <v>4</v>
      </c>
      <c r="S57" s="931">
        <v>4</v>
      </c>
      <c r="T57" s="932">
        <v>22</v>
      </c>
      <c r="U57" s="930">
        <v>2</v>
      </c>
      <c r="V57" s="931">
        <v>2</v>
      </c>
      <c r="W57" s="932">
        <v>2</v>
      </c>
      <c r="X57" s="930"/>
      <c r="Y57" s="931"/>
      <c r="Z57" s="932">
        <v>19</v>
      </c>
      <c r="AA57" s="930">
        <v>22</v>
      </c>
      <c r="AB57" s="931">
        <v>22</v>
      </c>
      <c r="AC57" s="932">
        <v>57</v>
      </c>
      <c r="AD57" s="930">
        <f>SUM('MATRICULA-POS plan'!AF98,'MATRICULA-POS plan'!AF99)</f>
        <v>39</v>
      </c>
      <c r="AE57" s="931">
        <f>SUM('MATRICULA-POS plan'!AG98,'MATRICULA-POS plan'!AG99)</f>
        <v>40</v>
      </c>
      <c r="AF57" s="932">
        <f>SUM('MATRICULA-POS plan'!AH98,'MATRICULA-POS plan'!AH99)</f>
        <v>37</v>
      </c>
      <c r="AG57" s="930">
        <f>SUM('MATRICULA-POS plan'!AI98,'MATRICULA-POS plan'!AI99)</f>
        <v>28</v>
      </c>
      <c r="AH57" s="931">
        <f>SUM('MATRICULA-POS plan'!AJ98,'MATRICULA-POS plan'!AJ99)</f>
        <v>4</v>
      </c>
      <c r="AI57" s="932">
        <f>SUM('MATRICULA-POS plan'!AK98,'MATRICULA-POS plan'!AK99)</f>
        <v>36</v>
      </c>
      <c r="AJ57" s="930">
        <f>SUM('MATRICULA-POS plan'!AL98,'MATRICULA-POS plan'!AL99)</f>
        <v>37</v>
      </c>
      <c r="AK57" s="931">
        <f>SUM('MATRICULA-POS plan'!AM98,'MATRICULA-POS plan'!AM99)</f>
        <v>37</v>
      </c>
      <c r="AL57" s="932">
        <f>SUM('MATRICULA-POS plan'!AN98,'MATRICULA-POS plan'!AN99)</f>
        <v>33</v>
      </c>
      <c r="AM57" s="930">
        <f>SUM('MATRICULA-POS plan'!AO98,'MATRICULA-POS plan'!AO99)</f>
        <v>9</v>
      </c>
      <c r="AN57" s="931">
        <f>SUM('MATRICULA-POS plan'!AP98,'MATRICULA-POS plan'!AP99)</f>
        <v>9</v>
      </c>
      <c r="AO57" s="932">
        <f>SUM('MATRICULA-POS plan'!AQ98,'MATRICULA-POS plan'!AQ99)</f>
        <v>9</v>
      </c>
    </row>
    <row r="58" spans="1:41" ht="12.95" customHeight="1" x14ac:dyDescent="0.2">
      <c r="A58" s="5479"/>
      <c r="B58" s="1072" t="s">
        <v>632</v>
      </c>
      <c r="C58" s="933">
        <v>131</v>
      </c>
      <c r="D58" s="934">
        <v>144</v>
      </c>
      <c r="E58" s="934">
        <v>163</v>
      </c>
      <c r="F58" s="933">
        <v>150</v>
      </c>
      <c r="G58" s="934">
        <v>134</v>
      </c>
      <c r="H58" s="934">
        <v>165</v>
      </c>
      <c r="I58" s="933">
        <v>150</v>
      </c>
      <c r="J58" s="934">
        <v>141</v>
      </c>
      <c r="K58" s="934">
        <v>150</v>
      </c>
      <c r="L58" s="933">
        <v>146</v>
      </c>
      <c r="M58" s="934">
        <v>140</v>
      </c>
      <c r="N58" s="935">
        <v>173</v>
      </c>
      <c r="O58" s="934">
        <v>150</v>
      </c>
      <c r="P58" s="934">
        <v>143</v>
      </c>
      <c r="Q58" s="935">
        <v>136</v>
      </c>
      <c r="R58" s="933">
        <v>142</v>
      </c>
      <c r="S58" s="934">
        <v>157</v>
      </c>
      <c r="T58" s="935">
        <v>189</v>
      </c>
      <c r="U58" s="933">
        <v>191</v>
      </c>
      <c r="V58" s="934">
        <v>205</v>
      </c>
      <c r="W58" s="935">
        <v>188</v>
      </c>
      <c r="X58" s="933">
        <v>176</v>
      </c>
      <c r="Y58" s="934">
        <v>208</v>
      </c>
      <c r="Z58" s="935">
        <v>172</v>
      </c>
      <c r="AA58" s="933">
        <v>162</v>
      </c>
      <c r="AB58" s="934">
        <v>156</v>
      </c>
      <c r="AC58" s="935">
        <v>130</v>
      </c>
      <c r="AD58" s="933">
        <f>SUM('MATRICULA-POS plan'!AF100,'MATRICULA-POS plan'!AF101,'MATRICULA-POS plan'!AF102,'MATRICULA-POS plan'!AF103,'MATRICULA-POS plan'!AF104,'MATRICULA-POS plan'!AF105,'MATRICULA-POS plan'!AF106,'MATRICULA-POS plan'!AF108)</f>
        <v>143</v>
      </c>
      <c r="AE58" s="934">
        <f>SUM('MATRICULA-POS plan'!AG100,'MATRICULA-POS plan'!AG101,'MATRICULA-POS plan'!AG102,'MATRICULA-POS plan'!AG103,'MATRICULA-POS plan'!AG104,'MATRICULA-POS plan'!AG105,'MATRICULA-POS plan'!AG106,'MATRICULA-POS plan'!AG108)</f>
        <v>139</v>
      </c>
      <c r="AF58" s="935">
        <f>SUM('MATRICULA-POS plan'!AH100,'MATRICULA-POS plan'!AH101,'MATRICULA-POS plan'!AH102,'MATRICULA-POS plan'!AH103,'MATRICULA-POS plan'!AH104,'MATRICULA-POS plan'!AH105,'MATRICULA-POS plan'!AH106,'MATRICULA-POS plan'!AH108)</f>
        <v>194</v>
      </c>
      <c r="AG58" s="933">
        <f>SUM('MATRICULA-POS plan'!AI100,'MATRICULA-POS plan'!AI101,'MATRICULA-POS plan'!AI102,'MATRICULA-POS plan'!AI103,'MATRICULA-POS plan'!AI104,'MATRICULA-POS plan'!AI105,'MATRICULA-POS plan'!AI106,'MATRICULA-POS plan'!AI108)</f>
        <v>206</v>
      </c>
      <c r="AH58" s="934">
        <f>SUM('MATRICULA-POS plan'!AJ100,'MATRICULA-POS plan'!AJ101,'MATRICULA-POS plan'!AJ102,'MATRICULA-POS plan'!AJ103,'MATRICULA-POS plan'!AJ104,'MATRICULA-POS plan'!AJ105,'MATRICULA-POS plan'!AJ106,'MATRICULA-POS plan'!AJ108)</f>
        <v>196</v>
      </c>
      <c r="AI58" s="935">
        <f>SUM('MATRICULA-POS plan'!AK100,'MATRICULA-POS plan'!AK101,'MATRICULA-POS plan'!AK102,'MATRICULA-POS plan'!AK103,'MATRICULA-POS plan'!AK104,'MATRICULA-POS plan'!AK105,'MATRICULA-POS plan'!AK106,'MATRICULA-POS plan'!AK108)</f>
        <v>151</v>
      </c>
      <c r="AJ58" s="933">
        <f>SUM('MATRICULA-POS plan'!AL100,'MATRICULA-POS plan'!AL101,'MATRICULA-POS plan'!AL102,'MATRICULA-POS plan'!AL103,'MATRICULA-POS plan'!AL104,'MATRICULA-POS plan'!AL105,'MATRICULA-POS plan'!AL106,'MATRICULA-POS plan'!AL108)</f>
        <v>146</v>
      </c>
      <c r="AK58" s="934">
        <f>SUM('MATRICULA-POS plan'!AM100,'MATRICULA-POS plan'!AM101,'MATRICULA-POS plan'!AM102,'MATRICULA-POS plan'!AM103,'MATRICULA-POS plan'!AM104,'MATRICULA-POS plan'!AM105,'MATRICULA-POS plan'!AM106,'MATRICULA-POS plan'!AM108)</f>
        <v>145</v>
      </c>
      <c r="AL58" s="935">
        <f>SUM('MATRICULA-POS plan'!AN100,'MATRICULA-POS plan'!AN101,'MATRICULA-POS plan'!AN102,'MATRICULA-POS plan'!AN103,'MATRICULA-POS plan'!AN104,'MATRICULA-POS plan'!AN105,'MATRICULA-POS plan'!AN106,'MATRICULA-POS plan'!AN108)</f>
        <v>202</v>
      </c>
      <c r="AM58" s="933">
        <f>SUM('MATRICULA-POS plan'!AO100,'MATRICULA-POS plan'!AO101,'MATRICULA-POS plan'!AO102,'MATRICULA-POS plan'!AO103,'MATRICULA-POS plan'!AO104,'MATRICULA-POS plan'!AO105,'MATRICULA-POS plan'!AO106,'MATRICULA-POS plan'!AO108)</f>
        <v>184</v>
      </c>
      <c r="AN58" s="934">
        <f>SUM('MATRICULA-POS plan'!AP100,'MATRICULA-POS plan'!AP101,'MATRICULA-POS plan'!AP102,'MATRICULA-POS plan'!AP103,'MATRICULA-POS plan'!AP104,'MATRICULA-POS plan'!AP105,'MATRICULA-POS plan'!AP106,'MATRICULA-POS plan'!AP108)</f>
        <v>178</v>
      </c>
      <c r="AO58" s="935">
        <f>SUM('MATRICULA-POS plan'!AQ100,'MATRICULA-POS plan'!AQ101,'MATRICULA-POS plan'!AQ102,'MATRICULA-POS plan'!AQ103,'MATRICULA-POS plan'!AQ104,'MATRICULA-POS plan'!AQ105,'MATRICULA-POS plan'!AQ106,'MATRICULA-POS plan'!AQ108)</f>
        <v>179</v>
      </c>
    </row>
    <row r="59" spans="1:41" ht="12.95" customHeight="1" x14ac:dyDescent="0.2">
      <c r="A59" s="5479"/>
      <c r="B59" s="1078" t="s">
        <v>633</v>
      </c>
      <c r="C59" s="933">
        <v>125</v>
      </c>
      <c r="D59" s="934">
        <v>113</v>
      </c>
      <c r="E59" s="934">
        <v>129</v>
      </c>
      <c r="F59" s="933">
        <v>113</v>
      </c>
      <c r="G59" s="934">
        <v>103</v>
      </c>
      <c r="H59" s="934">
        <v>91</v>
      </c>
      <c r="I59" s="933">
        <v>121</v>
      </c>
      <c r="J59" s="934">
        <v>135</v>
      </c>
      <c r="K59" s="934">
        <v>141</v>
      </c>
      <c r="L59" s="933">
        <v>110</v>
      </c>
      <c r="M59" s="934">
        <v>108</v>
      </c>
      <c r="N59" s="935">
        <v>100</v>
      </c>
      <c r="O59" s="934">
        <v>167</v>
      </c>
      <c r="P59" s="934">
        <v>165</v>
      </c>
      <c r="Q59" s="935">
        <v>146</v>
      </c>
      <c r="R59" s="933">
        <v>145</v>
      </c>
      <c r="S59" s="934">
        <v>158</v>
      </c>
      <c r="T59" s="935">
        <v>127</v>
      </c>
      <c r="U59" s="933">
        <v>165</v>
      </c>
      <c r="V59" s="934">
        <v>206</v>
      </c>
      <c r="W59" s="935">
        <v>184</v>
      </c>
      <c r="X59" s="933">
        <v>153</v>
      </c>
      <c r="Y59" s="934">
        <v>191</v>
      </c>
      <c r="Z59" s="935">
        <v>141</v>
      </c>
      <c r="AA59" s="933">
        <v>180</v>
      </c>
      <c r="AB59" s="934">
        <v>150</v>
      </c>
      <c r="AC59" s="935">
        <v>148</v>
      </c>
      <c r="AD59" s="933">
        <f>SUM('MATRICULA-POS plan'!AF109,'MATRICULA-POS plan'!AF110,'MATRICULA-POS plan'!AF111)</f>
        <v>142</v>
      </c>
      <c r="AE59" s="934">
        <f>SUM('MATRICULA-POS plan'!AG109,'MATRICULA-POS plan'!AG110,'MATRICULA-POS plan'!AG111)</f>
        <v>130</v>
      </c>
      <c r="AF59" s="935">
        <f>SUM('MATRICULA-POS plan'!AH109,'MATRICULA-POS plan'!AH110,'MATRICULA-POS plan'!AH111)</f>
        <v>128</v>
      </c>
      <c r="AG59" s="933">
        <f>SUM('MATRICULA-POS plan'!AI109,'MATRICULA-POS plan'!AI110,'MATRICULA-POS plan'!AI111)</f>
        <v>156</v>
      </c>
      <c r="AH59" s="934">
        <f>SUM('MATRICULA-POS plan'!AJ109,'MATRICULA-POS plan'!AJ110,'MATRICULA-POS plan'!AJ111)</f>
        <v>153</v>
      </c>
      <c r="AI59" s="935">
        <f>SUM('MATRICULA-POS plan'!AK109,'MATRICULA-POS plan'!AK110,'MATRICULA-POS plan'!AK111)</f>
        <v>150</v>
      </c>
      <c r="AJ59" s="933">
        <f>SUM('MATRICULA-POS plan'!AL109,'MATRICULA-POS plan'!AL110,'MATRICULA-POS plan'!AL111)</f>
        <v>137</v>
      </c>
      <c r="AK59" s="934">
        <f>SUM('MATRICULA-POS plan'!AM109,'MATRICULA-POS plan'!AM110,'MATRICULA-POS plan'!AM111)</f>
        <v>143</v>
      </c>
      <c r="AL59" s="935">
        <f>SUM('MATRICULA-POS plan'!AN109,'MATRICULA-POS plan'!AN110,'MATRICULA-POS plan'!AN111)</f>
        <v>141</v>
      </c>
      <c r="AM59" s="933">
        <f>SUM('MATRICULA-POS plan'!AO109,'MATRICULA-POS plan'!AO110,'MATRICULA-POS plan'!AO111)</f>
        <v>153</v>
      </c>
      <c r="AN59" s="934">
        <f>SUM('MATRICULA-POS plan'!AP109,'MATRICULA-POS plan'!AP110,'MATRICULA-POS plan'!AP111)</f>
        <v>140</v>
      </c>
      <c r="AO59" s="935">
        <f>SUM('MATRICULA-POS plan'!AQ109,'MATRICULA-POS plan'!AQ110,'MATRICULA-POS plan'!AQ111)</f>
        <v>152</v>
      </c>
    </row>
    <row r="60" spans="1:41" s="222" customFormat="1" ht="12.95" customHeight="1" x14ac:dyDescent="0.2">
      <c r="A60" s="5479"/>
      <c r="B60" s="583" t="s">
        <v>14</v>
      </c>
      <c r="C60" s="584">
        <v>280</v>
      </c>
      <c r="D60" s="585">
        <v>279</v>
      </c>
      <c r="E60" s="585">
        <v>308</v>
      </c>
      <c r="F60" s="584">
        <v>263</v>
      </c>
      <c r="G60" s="585">
        <v>237</v>
      </c>
      <c r="H60" s="585">
        <v>262</v>
      </c>
      <c r="I60" s="584">
        <v>275</v>
      </c>
      <c r="J60" s="585">
        <v>280</v>
      </c>
      <c r="K60" s="585">
        <v>291</v>
      </c>
      <c r="L60" s="584">
        <v>256</v>
      </c>
      <c r="M60" s="585">
        <v>248</v>
      </c>
      <c r="N60" s="586">
        <v>278</v>
      </c>
      <c r="O60" s="585">
        <v>333</v>
      </c>
      <c r="P60" s="585">
        <v>310</v>
      </c>
      <c r="Q60" s="586">
        <v>299</v>
      </c>
      <c r="R60" s="584">
        <v>291</v>
      </c>
      <c r="S60" s="585">
        <v>319</v>
      </c>
      <c r="T60" s="586">
        <v>338</v>
      </c>
      <c r="U60" s="584">
        <f t="shared" ref="U60:Z60" si="47">SUM(U57:U59)</f>
        <v>358</v>
      </c>
      <c r="V60" s="585">
        <f t="shared" si="47"/>
        <v>413</v>
      </c>
      <c r="W60" s="586">
        <f t="shared" si="47"/>
        <v>374</v>
      </c>
      <c r="X60" s="584">
        <f t="shared" si="47"/>
        <v>329</v>
      </c>
      <c r="Y60" s="585">
        <f t="shared" si="47"/>
        <v>399</v>
      </c>
      <c r="Z60" s="586">
        <f t="shared" si="47"/>
        <v>332</v>
      </c>
      <c r="AA60" s="584">
        <f t="shared" ref="AA60:AI60" si="48">SUM(AA57:AA59)</f>
        <v>364</v>
      </c>
      <c r="AB60" s="585">
        <f t="shared" si="48"/>
        <v>328</v>
      </c>
      <c r="AC60" s="586">
        <f t="shared" si="48"/>
        <v>335</v>
      </c>
      <c r="AD60" s="584">
        <f t="shared" si="48"/>
        <v>324</v>
      </c>
      <c r="AE60" s="585">
        <f t="shared" si="48"/>
        <v>309</v>
      </c>
      <c r="AF60" s="586">
        <f t="shared" si="48"/>
        <v>359</v>
      </c>
      <c r="AG60" s="584">
        <f t="shared" si="48"/>
        <v>390</v>
      </c>
      <c r="AH60" s="585">
        <f t="shared" si="48"/>
        <v>353</v>
      </c>
      <c r="AI60" s="586">
        <f t="shared" si="48"/>
        <v>337</v>
      </c>
      <c r="AJ60" s="584">
        <f t="shared" ref="AJ60:AO60" si="49">SUM(AJ57:AJ59)</f>
        <v>320</v>
      </c>
      <c r="AK60" s="585">
        <f t="shared" si="49"/>
        <v>325</v>
      </c>
      <c r="AL60" s="586">
        <f t="shared" si="49"/>
        <v>376</v>
      </c>
      <c r="AM60" s="584">
        <f t="shared" si="49"/>
        <v>346</v>
      </c>
      <c r="AN60" s="585">
        <f t="shared" si="49"/>
        <v>327</v>
      </c>
      <c r="AO60" s="586">
        <f t="shared" si="49"/>
        <v>340</v>
      </c>
    </row>
    <row r="61" spans="1:41" ht="12.95" customHeight="1" x14ac:dyDescent="0.2">
      <c r="A61" s="5478" t="s">
        <v>11</v>
      </c>
      <c r="B61" s="1067" t="s">
        <v>631</v>
      </c>
      <c r="C61" s="933">
        <v>12</v>
      </c>
      <c r="D61" s="934">
        <v>8</v>
      </c>
      <c r="E61" s="934">
        <v>6</v>
      </c>
      <c r="F61" s="933">
        <v>10</v>
      </c>
      <c r="G61" s="934">
        <v>10</v>
      </c>
      <c r="H61" s="934">
        <v>10</v>
      </c>
      <c r="I61" s="933">
        <v>0</v>
      </c>
      <c r="J61" s="934">
        <v>0</v>
      </c>
      <c r="K61" s="934">
        <v>0</v>
      </c>
      <c r="L61" s="933">
        <v>13</v>
      </c>
      <c r="M61" s="934">
        <v>11</v>
      </c>
      <c r="N61" s="935">
        <v>11</v>
      </c>
      <c r="O61" s="934">
        <v>8</v>
      </c>
      <c r="P61" s="934">
        <v>8</v>
      </c>
      <c r="Q61" s="935">
        <v>8</v>
      </c>
      <c r="R61" s="933">
        <v>12</v>
      </c>
      <c r="S61" s="934">
        <v>12</v>
      </c>
      <c r="T61" s="935">
        <v>12</v>
      </c>
      <c r="U61" s="933">
        <v>10</v>
      </c>
      <c r="V61" s="934">
        <v>8</v>
      </c>
      <c r="W61" s="935">
        <v>7</v>
      </c>
      <c r="X61" s="933">
        <v>1</v>
      </c>
      <c r="Y61" s="934"/>
      <c r="Z61" s="935"/>
      <c r="AA61" s="933">
        <v>31</v>
      </c>
      <c r="AB61" s="931">
        <v>20</v>
      </c>
      <c r="AC61" s="935">
        <v>28</v>
      </c>
      <c r="AD61" s="933">
        <f>SUM('MATRICULA-POS plan'!AF113,'MATRICULA-POS plan'!AF114,'MATRICULA-POS plan'!AF115)</f>
        <v>29</v>
      </c>
      <c r="AE61" s="931">
        <f>SUM('MATRICULA-POS plan'!AG113,'MATRICULA-POS plan'!AG114,'MATRICULA-POS plan'!AG115)</f>
        <v>20</v>
      </c>
      <c r="AF61" s="935">
        <f>SUM('MATRICULA-POS plan'!AH113,'MATRICULA-POS plan'!AH114,'MATRICULA-POS plan'!AH115)</f>
        <v>16</v>
      </c>
      <c r="AG61" s="933">
        <f>SUM('MATRICULA-POS plan'!AI113,'MATRICULA-POS plan'!AI114,'MATRICULA-POS plan'!AI115)</f>
        <v>30</v>
      </c>
      <c r="AH61" s="931">
        <f>SUM('MATRICULA-POS plan'!AJ113,'MATRICULA-POS plan'!AJ114,'MATRICULA-POS plan'!AJ115)</f>
        <v>29</v>
      </c>
      <c r="AI61" s="935">
        <f>SUM('MATRICULA-POS plan'!AK113:AK115)</f>
        <v>10</v>
      </c>
      <c r="AJ61" s="930">
        <f>SUM('MATRICULA-POS plan'!AL113,'MATRICULA-POS plan'!AL114,'MATRICULA-POS plan'!AL115)</f>
        <v>17</v>
      </c>
      <c r="AK61" s="931">
        <f>SUM('MATRICULA-POS plan'!AM113,'MATRICULA-POS plan'!AM114,'MATRICULA-POS plan'!AM115)</f>
        <v>10</v>
      </c>
      <c r="AL61" s="932">
        <f>SUM('MATRICULA-POS plan'!AN113:AN115)</f>
        <v>10</v>
      </c>
      <c r="AM61" s="930">
        <f>SUM('MATRICULA-POS plan'!AO113,'MATRICULA-POS plan'!AO114,'MATRICULA-POS plan'!AO115)</f>
        <v>11</v>
      </c>
      <c r="AN61" s="931">
        <f>SUM('MATRICULA-POS plan'!AP113,'MATRICULA-POS plan'!AP114,'MATRICULA-POS plan'!AP115)</f>
        <v>6</v>
      </c>
      <c r="AO61" s="932">
        <f>SUM('MATRICULA-POS plan'!AQ113:AQ115)</f>
        <v>6</v>
      </c>
    </row>
    <row r="62" spans="1:41" ht="12.95" customHeight="1" x14ac:dyDescent="0.2">
      <c r="A62" s="5479"/>
      <c r="B62" s="1072" t="s">
        <v>632</v>
      </c>
      <c r="C62" s="933">
        <v>93</v>
      </c>
      <c r="D62" s="934">
        <v>80</v>
      </c>
      <c r="E62" s="934">
        <v>88</v>
      </c>
      <c r="F62" s="933">
        <v>83</v>
      </c>
      <c r="G62" s="934">
        <v>79</v>
      </c>
      <c r="H62" s="934">
        <v>77</v>
      </c>
      <c r="I62" s="933">
        <v>84</v>
      </c>
      <c r="J62" s="934">
        <v>81</v>
      </c>
      <c r="K62" s="934">
        <v>114</v>
      </c>
      <c r="L62" s="933">
        <v>105</v>
      </c>
      <c r="M62" s="934">
        <v>105</v>
      </c>
      <c r="N62" s="935">
        <v>118</v>
      </c>
      <c r="O62" s="934">
        <v>115</v>
      </c>
      <c r="P62" s="934">
        <v>110</v>
      </c>
      <c r="Q62" s="935">
        <v>132</v>
      </c>
      <c r="R62" s="933">
        <v>109</v>
      </c>
      <c r="S62" s="934">
        <v>110</v>
      </c>
      <c r="T62" s="935">
        <v>137</v>
      </c>
      <c r="U62" s="933">
        <v>131</v>
      </c>
      <c r="V62" s="934">
        <v>136</v>
      </c>
      <c r="W62" s="935">
        <v>146</v>
      </c>
      <c r="X62" s="933">
        <v>145</v>
      </c>
      <c r="Y62" s="934">
        <v>148</v>
      </c>
      <c r="Z62" s="935">
        <v>148</v>
      </c>
      <c r="AA62" s="933">
        <v>132</v>
      </c>
      <c r="AB62" s="934">
        <v>132</v>
      </c>
      <c r="AC62" s="935">
        <v>122</v>
      </c>
      <c r="AD62" s="933">
        <f>SUM('MATRICULA-POS plan'!AF116,'MATRICULA-POS plan'!AF117,'MATRICULA-POS plan'!AF118,'MATRICULA-POS plan'!AF119,'MATRICULA-POS plan'!AF120,'MATRICULA-POS plan'!AF121,'MATRICULA-POS plan'!AF123)</f>
        <v>134</v>
      </c>
      <c r="AE62" s="934">
        <f>SUM('MATRICULA-POS plan'!AG116,'MATRICULA-POS plan'!AG117,'MATRICULA-POS plan'!AG118,'MATRICULA-POS plan'!AG119,'MATRICULA-POS plan'!AG120,'MATRICULA-POS plan'!AG121,'MATRICULA-POS plan'!AG123)</f>
        <v>136</v>
      </c>
      <c r="AF62" s="935">
        <f>SUM('MATRICULA-POS plan'!AH116,'MATRICULA-POS plan'!AH117,'MATRICULA-POS plan'!AH118,'MATRICULA-POS plan'!AH119,'MATRICULA-POS plan'!AH120,'MATRICULA-POS plan'!AH121,'MATRICULA-POS plan'!AH123)</f>
        <v>157</v>
      </c>
      <c r="AG62" s="933">
        <f>SUM('MATRICULA-POS plan'!AI116,'MATRICULA-POS plan'!AI117,'MATRICULA-POS plan'!AI118,'MATRICULA-POS plan'!AI119,'MATRICULA-POS plan'!AI120,'MATRICULA-POS plan'!AI121,'MATRICULA-POS plan'!AI123)</f>
        <v>161</v>
      </c>
      <c r="AH62" s="934">
        <f>SUM('MATRICULA-POS plan'!AJ116,'MATRICULA-POS plan'!AJ117,'MATRICULA-POS plan'!AJ118,'MATRICULA-POS plan'!AJ119,'MATRICULA-POS plan'!AJ120,'MATRICULA-POS plan'!AJ121,'MATRICULA-POS plan'!AJ123)</f>
        <v>169</v>
      </c>
      <c r="AI62" s="935">
        <f>SUM('MATRICULA-POS plan'!AK116:AK123)</f>
        <v>160</v>
      </c>
      <c r="AJ62" s="933">
        <f>SUM('MATRICULA-POS plan'!AL116:AL123)</f>
        <v>148</v>
      </c>
      <c r="AK62" s="934">
        <f>SUM('MATRICULA-POS plan'!AM116:AM123)</f>
        <v>168</v>
      </c>
      <c r="AL62" s="935">
        <f>SUM('MATRICULA-POS plan'!AN116:AN123)</f>
        <v>185</v>
      </c>
      <c r="AM62" s="933">
        <f>SUM('MATRICULA-POS plan'!AO116:AO123)</f>
        <v>181</v>
      </c>
      <c r="AN62" s="934">
        <f>SUM('MATRICULA-POS plan'!AP116:AP123)</f>
        <v>189</v>
      </c>
      <c r="AO62" s="935">
        <f>SUM('MATRICULA-POS plan'!AQ116:AQ123)</f>
        <v>194</v>
      </c>
    </row>
    <row r="63" spans="1:41" ht="12.95" customHeight="1" x14ac:dyDescent="0.2">
      <c r="A63" s="5479"/>
      <c r="B63" s="1078" t="s">
        <v>633</v>
      </c>
      <c r="C63" s="933">
        <v>62</v>
      </c>
      <c r="D63" s="934">
        <v>56</v>
      </c>
      <c r="E63" s="934">
        <v>66</v>
      </c>
      <c r="F63" s="933">
        <v>57</v>
      </c>
      <c r="G63" s="934">
        <v>56</v>
      </c>
      <c r="H63" s="934">
        <v>58</v>
      </c>
      <c r="I63" s="933">
        <v>57</v>
      </c>
      <c r="J63" s="934">
        <v>55</v>
      </c>
      <c r="K63" s="934">
        <v>63</v>
      </c>
      <c r="L63" s="933">
        <v>56</v>
      </c>
      <c r="M63" s="934">
        <v>48</v>
      </c>
      <c r="N63" s="935">
        <v>71</v>
      </c>
      <c r="O63" s="934">
        <v>79</v>
      </c>
      <c r="P63" s="934">
        <v>64</v>
      </c>
      <c r="Q63" s="935">
        <v>79</v>
      </c>
      <c r="R63" s="933">
        <v>76</v>
      </c>
      <c r="S63" s="934">
        <v>66</v>
      </c>
      <c r="T63" s="935">
        <v>72</v>
      </c>
      <c r="U63" s="933">
        <v>78</v>
      </c>
      <c r="V63" s="934">
        <v>78</v>
      </c>
      <c r="W63" s="935">
        <v>85</v>
      </c>
      <c r="X63" s="933">
        <v>87</v>
      </c>
      <c r="Y63" s="934">
        <v>73</v>
      </c>
      <c r="Z63" s="935">
        <v>86</v>
      </c>
      <c r="AA63" s="933">
        <v>92</v>
      </c>
      <c r="AB63" s="934">
        <v>78</v>
      </c>
      <c r="AC63" s="935">
        <v>88</v>
      </c>
      <c r="AD63" s="933">
        <f>SUM('MATRICULA-POS plan'!AF124,'MATRICULA-POS plan'!AF126)</f>
        <v>87</v>
      </c>
      <c r="AE63" s="934">
        <f>SUM('MATRICULA-POS plan'!AG124,'MATRICULA-POS plan'!AG126)</f>
        <v>80</v>
      </c>
      <c r="AF63" s="935">
        <f>SUM('MATRICULA-POS plan'!AH124,'MATRICULA-POS plan'!AH126)</f>
        <v>97</v>
      </c>
      <c r="AG63" s="933">
        <f>SUM('MATRICULA-POS plan'!AI124:AI126)</f>
        <v>101</v>
      </c>
      <c r="AH63" s="934">
        <f>SUM('MATRICULA-POS plan'!AJ124:AJ126)</f>
        <v>97</v>
      </c>
      <c r="AI63" s="935">
        <f>SUM('MATRICULA-POS plan'!AK124:AK126)</f>
        <v>100</v>
      </c>
      <c r="AJ63" s="933">
        <f>SUM('MATRICULA-POS plan'!AL124:AL126)</f>
        <v>89</v>
      </c>
      <c r="AK63" s="934">
        <f>SUM('MATRICULA-POS plan'!AM124:AM126)</f>
        <v>91</v>
      </c>
      <c r="AL63" s="935">
        <f>SUM('MATRICULA-POS plan'!AN124:AN126)</f>
        <v>114</v>
      </c>
      <c r="AM63" s="933">
        <f>SUM('MATRICULA-POS plan'!AO124:AO126)</f>
        <v>117</v>
      </c>
      <c r="AN63" s="934">
        <f>SUM('MATRICULA-POS plan'!AP124:AP126)</f>
        <v>111</v>
      </c>
      <c r="AO63" s="935">
        <f>SUM('MATRICULA-POS plan'!AQ124:AQ126)</f>
        <v>110</v>
      </c>
    </row>
    <row r="64" spans="1:41" s="222" customFormat="1" ht="12.95" customHeight="1" x14ac:dyDescent="0.2">
      <c r="A64" s="5479"/>
      <c r="B64" s="583" t="s">
        <v>30</v>
      </c>
      <c r="C64" s="584">
        <v>167</v>
      </c>
      <c r="D64" s="585">
        <v>144</v>
      </c>
      <c r="E64" s="585">
        <v>160</v>
      </c>
      <c r="F64" s="584">
        <v>150</v>
      </c>
      <c r="G64" s="585">
        <v>145</v>
      </c>
      <c r="H64" s="585">
        <v>145</v>
      </c>
      <c r="I64" s="584">
        <v>141</v>
      </c>
      <c r="J64" s="585">
        <v>136</v>
      </c>
      <c r="K64" s="585">
        <v>177</v>
      </c>
      <c r="L64" s="584">
        <v>174</v>
      </c>
      <c r="M64" s="585">
        <v>164</v>
      </c>
      <c r="N64" s="586">
        <v>200</v>
      </c>
      <c r="O64" s="585">
        <v>202</v>
      </c>
      <c r="P64" s="585">
        <v>182</v>
      </c>
      <c r="Q64" s="586">
        <v>219</v>
      </c>
      <c r="R64" s="584">
        <v>197</v>
      </c>
      <c r="S64" s="585">
        <v>188</v>
      </c>
      <c r="T64" s="586">
        <v>221</v>
      </c>
      <c r="U64" s="584">
        <f t="shared" ref="U64:Z64" si="50">SUM(U61:U63)</f>
        <v>219</v>
      </c>
      <c r="V64" s="585">
        <f t="shared" si="50"/>
        <v>222</v>
      </c>
      <c r="W64" s="586">
        <f t="shared" si="50"/>
        <v>238</v>
      </c>
      <c r="X64" s="584">
        <f t="shared" si="50"/>
        <v>233</v>
      </c>
      <c r="Y64" s="585">
        <f t="shared" si="50"/>
        <v>221</v>
      </c>
      <c r="Z64" s="586">
        <f t="shared" si="50"/>
        <v>234</v>
      </c>
      <c r="AA64" s="584">
        <f t="shared" ref="AA64:AI64" si="51">SUM(AA61:AA63)</f>
        <v>255</v>
      </c>
      <c r="AB64" s="585">
        <f t="shared" si="51"/>
        <v>230</v>
      </c>
      <c r="AC64" s="586">
        <f t="shared" si="51"/>
        <v>238</v>
      </c>
      <c r="AD64" s="584">
        <f t="shared" si="51"/>
        <v>250</v>
      </c>
      <c r="AE64" s="585">
        <f t="shared" si="51"/>
        <v>236</v>
      </c>
      <c r="AF64" s="586">
        <f t="shared" si="51"/>
        <v>270</v>
      </c>
      <c r="AG64" s="584">
        <f t="shared" si="51"/>
        <v>292</v>
      </c>
      <c r="AH64" s="585">
        <f t="shared" si="51"/>
        <v>295</v>
      </c>
      <c r="AI64" s="586">
        <f t="shared" si="51"/>
        <v>270</v>
      </c>
      <c r="AJ64" s="584">
        <f t="shared" ref="AJ64:AO64" si="52">SUM(AJ61:AJ63)</f>
        <v>254</v>
      </c>
      <c r="AK64" s="585">
        <f t="shared" si="52"/>
        <v>269</v>
      </c>
      <c r="AL64" s="586">
        <f t="shared" si="52"/>
        <v>309</v>
      </c>
      <c r="AM64" s="584">
        <f t="shared" si="52"/>
        <v>309</v>
      </c>
      <c r="AN64" s="585">
        <f t="shared" si="52"/>
        <v>306</v>
      </c>
      <c r="AO64" s="586">
        <f t="shared" si="52"/>
        <v>310</v>
      </c>
    </row>
    <row r="65" spans="1:41" ht="12.95" customHeight="1" x14ac:dyDescent="0.2">
      <c r="A65" s="5478" t="s">
        <v>7</v>
      </c>
      <c r="B65" s="1067" t="s">
        <v>631</v>
      </c>
      <c r="C65" s="933"/>
      <c r="D65" s="934"/>
      <c r="E65" s="934"/>
      <c r="F65" s="933"/>
      <c r="G65" s="934"/>
      <c r="H65" s="934"/>
      <c r="I65" s="933"/>
      <c r="J65" s="934"/>
      <c r="K65" s="934"/>
      <c r="L65" s="933"/>
      <c r="M65" s="934"/>
      <c r="N65" s="935"/>
      <c r="O65" s="934"/>
      <c r="P65" s="934"/>
      <c r="Q65" s="935"/>
      <c r="R65" s="933"/>
      <c r="S65" s="934"/>
      <c r="T65" s="935"/>
      <c r="U65" s="933"/>
      <c r="V65" s="934"/>
      <c r="W65" s="935"/>
      <c r="X65" s="933"/>
      <c r="Y65" s="934"/>
      <c r="Z65" s="935"/>
      <c r="AA65" s="933"/>
      <c r="AB65" s="934"/>
      <c r="AC65" s="935"/>
      <c r="AD65" s="933"/>
      <c r="AE65" s="934"/>
      <c r="AF65" s="935"/>
      <c r="AG65" s="933"/>
      <c r="AH65" s="934"/>
      <c r="AI65" s="935"/>
      <c r="AJ65" s="933"/>
      <c r="AK65" s="934"/>
      <c r="AL65" s="935"/>
      <c r="AM65" s="933"/>
      <c r="AN65" s="934"/>
      <c r="AO65" s="935"/>
    </row>
    <row r="66" spans="1:41" ht="12.95" customHeight="1" x14ac:dyDescent="0.2">
      <c r="A66" s="5479"/>
      <c r="B66" s="1072" t="s">
        <v>632</v>
      </c>
      <c r="C66" s="933">
        <v>20</v>
      </c>
      <c r="D66" s="934">
        <v>19</v>
      </c>
      <c r="E66" s="934">
        <v>38</v>
      </c>
      <c r="F66" s="933">
        <v>37</v>
      </c>
      <c r="G66" s="934">
        <v>37</v>
      </c>
      <c r="H66" s="934">
        <v>46</v>
      </c>
      <c r="I66" s="933">
        <v>47</v>
      </c>
      <c r="J66" s="934">
        <v>44</v>
      </c>
      <c r="K66" s="934">
        <v>47</v>
      </c>
      <c r="L66" s="933">
        <v>47</v>
      </c>
      <c r="M66" s="934">
        <v>44</v>
      </c>
      <c r="N66" s="935">
        <v>42</v>
      </c>
      <c r="O66" s="934">
        <v>44</v>
      </c>
      <c r="P66" s="934">
        <v>42</v>
      </c>
      <c r="Q66" s="935">
        <v>43</v>
      </c>
      <c r="R66" s="933">
        <v>42</v>
      </c>
      <c r="S66" s="934">
        <v>42</v>
      </c>
      <c r="T66" s="935">
        <v>39</v>
      </c>
      <c r="U66" s="933">
        <v>39</v>
      </c>
      <c r="V66" s="934">
        <v>53</v>
      </c>
      <c r="W66" s="935">
        <v>97</v>
      </c>
      <c r="X66" s="933">
        <v>91</v>
      </c>
      <c r="Y66" s="934">
        <v>94</v>
      </c>
      <c r="Z66" s="935">
        <v>86</v>
      </c>
      <c r="AA66" s="933">
        <v>86</v>
      </c>
      <c r="AB66" s="934">
        <v>114</v>
      </c>
      <c r="AC66" s="935">
        <v>74</v>
      </c>
      <c r="AD66" s="933">
        <f>SUM('MATRICULA-POS plan'!AF128,'MATRICULA-POS plan'!AF129,'MATRICULA-POS plan'!AF130)</f>
        <v>74</v>
      </c>
      <c r="AE66" s="934">
        <f>SUM('MATRICULA-POS plan'!AG128,'MATRICULA-POS plan'!AG129,'MATRICULA-POS plan'!AG130)</f>
        <v>74</v>
      </c>
      <c r="AF66" s="935">
        <f>SUM('MATRICULA-POS plan'!AH128,'MATRICULA-POS plan'!AH129,'MATRICULA-POS plan'!AH130)</f>
        <v>77</v>
      </c>
      <c r="AG66" s="933">
        <f>SUM('MATRICULA-POS plan'!AI128,'MATRICULA-POS plan'!AI129,'MATRICULA-POS plan'!AI130)</f>
        <v>77</v>
      </c>
      <c r="AH66" s="934">
        <f>SUM('MATRICULA-POS plan'!AJ128,'MATRICULA-POS plan'!AJ129,'MATRICULA-POS plan'!AJ130)</f>
        <v>88</v>
      </c>
      <c r="AI66" s="935">
        <f>SUM('MATRICULA-POS plan'!AK128,'MATRICULA-POS plan'!AK129,'MATRICULA-POS plan'!AK130)</f>
        <v>88</v>
      </c>
      <c r="AJ66" s="933">
        <f>SUM('MATRICULA-POS plan'!AL128,'MATRICULA-POS plan'!AL129,'MATRICULA-POS plan'!AL130)</f>
        <v>86</v>
      </c>
      <c r="AK66" s="934">
        <f>SUM('MATRICULA-POS plan'!AM128,'MATRICULA-POS plan'!AM129,'MATRICULA-POS plan'!AM130)</f>
        <v>80</v>
      </c>
      <c r="AL66" s="935">
        <f>SUM('MATRICULA-POS plan'!AN128,'MATRICULA-POS plan'!AN129,'MATRICULA-POS plan'!AN130)</f>
        <v>85</v>
      </c>
      <c r="AM66" s="933">
        <f>SUM('MATRICULA-POS plan'!AO128,'MATRICULA-POS plan'!AO129,'MATRICULA-POS plan'!AO130)</f>
        <v>86</v>
      </c>
      <c r="AN66" s="934">
        <f>SUM('MATRICULA-POS plan'!AP128,'MATRICULA-POS plan'!AP129,'MATRICULA-POS plan'!AP130)</f>
        <v>94</v>
      </c>
      <c r="AO66" s="935">
        <f>SUM('MATRICULA-POS plan'!AQ128,'MATRICULA-POS plan'!AQ129,'MATRICULA-POS plan'!AQ130)</f>
        <v>100</v>
      </c>
    </row>
    <row r="67" spans="1:41" ht="12.95" customHeight="1" x14ac:dyDescent="0.2">
      <c r="A67" s="5479"/>
      <c r="B67" s="1078" t="s">
        <v>633</v>
      </c>
      <c r="C67" s="933">
        <v>11</v>
      </c>
      <c r="D67" s="934">
        <v>11</v>
      </c>
      <c r="E67" s="934">
        <v>10</v>
      </c>
      <c r="F67" s="933">
        <v>10</v>
      </c>
      <c r="G67" s="934">
        <v>10</v>
      </c>
      <c r="H67" s="934">
        <v>23</v>
      </c>
      <c r="I67" s="933">
        <v>19</v>
      </c>
      <c r="J67" s="934">
        <v>19</v>
      </c>
      <c r="K67" s="934">
        <v>15</v>
      </c>
      <c r="L67" s="933">
        <v>30</v>
      </c>
      <c r="M67" s="934">
        <v>26</v>
      </c>
      <c r="N67" s="935">
        <v>27</v>
      </c>
      <c r="O67" s="934">
        <v>33</v>
      </c>
      <c r="P67" s="934">
        <v>31</v>
      </c>
      <c r="Q67" s="935">
        <v>29</v>
      </c>
      <c r="R67" s="933">
        <v>38</v>
      </c>
      <c r="S67" s="934">
        <v>34</v>
      </c>
      <c r="T67" s="935">
        <v>32</v>
      </c>
      <c r="U67" s="933">
        <v>42</v>
      </c>
      <c r="V67" s="934">
        <v>39</v>
      </c>
      <c r="W67" s="935">
        <v>38</v>
      </c>
      <c r="X67" s="933">
        <v>39</v>
      </c>
      <c r="Y67" s="934">
        <v>35</v>
      </c>
      <c r="Z67" s="935">
        <v>33</v>
      </c>
      <c r="AA67" s="933">
        <v>42</v>
      </c>
      <c r="AB67" s="934">
        <v>39</v>
      </c>
      <c r="AC67" s="935">
        <v>40</v>
      </c>
      <c r="AD67" s="933">
        <f>SUM('MATRICULA-POS plan'!AF131)</f>
        <v>44</v>
      </c>
      <c r="AE67" s="934">
        <f>SUM('MATRICULA-POS plan'!AG131)</f>
        <v>43</v>
      </c>
      <c r="AF67" s="935">
        <f>SUM('MATRICULA-POS plan'!AH131)</f>
        <v>40</v>
      </c>
      <c r="AG67" s="933">
        <f>SUM('MATRICULA-POS plan'!AI131)</f>
        <v>42</v>
      </c>
      <c r="AH67" s="934">
        <f>SUM('MATRICULA-POS plan'!AJ131)</f>
        <v>45</v>
      </c>
      <c r="AI67" s="935">
        <f>SUM('MATRICULA-POS plan'!AK131)</f>
        <v>44</v>
      </c>
      <c r="AJ67" s="933">
        <f>SUM('MATRICULA-POS plan'!AL131)</f>
        <v>48</v>
      </c>
      <c r="AK67" s="934">
        <f>SUM('MATRICULA-POS plan'!AM131)</f>
        <v>47</v>
      </c>
      <c r="AL67" s="935">
        <f>SUM('MATRICULA-POS plan'!AN131)</f>
        <v>44</v>
      </c>
      <c r="AM67" s="933">
        <f>SUM('MATRICULA-POS plan'!AO131)</f>
        <v>39</v>
      </c>
      <c r="AN67" s="934">
        <f>SUM('MATRICULA-POS plan'!AP131)</f>
        <v>38</v>
      </c>
      <c r="AO67" s="935">
        <f>SUM('MATRICULA-POS plan'!AQ131)</f>
        <v>36</v>
      </c>
    </row>
    <row r="68" spans="1:41" s="222" customFormat="1" ht="12.95" customHeight="1" x14ac:dyDescent="0.2">
      <c r="A68" s="5479"/>
      <c r="B68" s="583" t="s">
        <v>15</v>
      </c>
      <c r="C68" s="584">
        <v>31</v>
      </c>
      <c r="D68" s="585">
        <v>30</v>
      </c>
      <c r="E68" s="585">
        <v>48</v>
      </c>
      <c r="F68" s="584">
        <v>47</v>
      </c>
      <c r="G68" s="585">
        <v>47</v>
      </c>
      <c r="H68" s="585">
        <v>69</v>
      </c>
      <c r="I68" s="584">
        <v>66</v>
      </c>
      <c r="J68" s="585">
        <v>63</v>
      </c>
      <c r="K68" s="585">
        <v>62</v>
      </c>
      <c r="L68" s="584">
        <v>77</v>
      </c>
      <c r="M68" s="585">
        <v>70</v>
      </c>
      <c r="N68" s="586">
        <v>69</v>
      </c>
      <c r="O68" s="585">
        <v>77</v>
      </c>
      <c r="P68" s="585">
        <v>73</v>
      </c>
      <c r="Q68" s="586">
        <v>72</v>
      </c>
      <c r="R68" s="584">
        <v>80</v>
      </c>
      <c r="S68" s="585">
        <v>76</v>
      </c>
      <c r="T68" s="586">
        <v>71</v>
      </c>
      <c r="U68" s="584">
        <f t="shared" ref="U68:Z68" si="53">SUM(U65:U67)</f>
        <v>81</v>
      </c>
      <c r="V68" s="585">
        <f t="shared" si="53"/>
        <v>92</v>
      </c>
      <c r="W68" s="586">
        <f t="shared" si="53"/>
        <v>135</v>
      </c>
      <c r="X68" s="584">
        <f t="shared" si="53"/>
        <v>130</v>
      </c>
      <c r="Y68" s="585">
        <f t="shared" si="53"/>
        <v>129</v>
      </c>
      <c r="Z68" s="586">
        <f t="shared" si="53"/>
        <v>119</v>
      </c>
      <c r="AA68" s="584">
        <f t="shared" ref="AA68:AI68" si="54">SUM(AA65:AA67)</f>
        <v>128</v>
      </c>
      <c r="AB68" s="585">
        <f t="shared" si="54"/>
        <v>153</v>
      </c>
      <c r="AC68" s="586">
        <f t="shared" si="54"/>
        <v>114</v>
      </c>
      <c r="AD68" s="584">
        <f t="shared" si="54"/>
        <v>118</v>
      </c>
      <c r="AE68" s="585">
        <f t="shared" si="54"/>
        <v>117</v>
      </c>
      <c r="AF68" s="586">
        <f t="shared" si="54"/>
        <v>117</v>
      </c>
      <c r="AG68" s="584">
        <f t="shared" si="54"/>
        <v>119</v>
      </c>
      <c r="AH68" s="585">
        <f t="shared" si="54"/>
        <v>133</v>
      </c>
      <c r="AI68" s="586">
        <f t="shared" si="54"/>
        <v>132</v>
      </c>
      <c r="AJ68" s="584">
        <f t="shared" ref="AJ68:AO68" si="55">SUM(AJ65:AJ67)</f>
        <v>134</v>
      </c>
      <c r="AK68" s="585">
        <f t="shared" si="55"/>
        <v>127</v>
      </c>
      <c r="AL68" s="586">
        <f t="shared" si="55"/>
        <v>129</v>
      </c>
      <c r="AM68" s="584">
        <f t="shared" si="55"/>
        <v>125</v>
      </c>
      <c r="AN68" s="585">
        <f t="shared" si="55"/>
        <v>132</v>
      </c>
      <c r="AO68" s="586">
        <f t="shared" si="55"/>
        <v>136</v>
      </c>
    </row>
    <row r="69" spans="1:41" ht="12.95" customHeight="1" x14ac:dyDescent="0.2">
      <c r="A69" s="5555" t="s">
        <v>697</v>
      </c>
      <c r="B69" s="1067" t="s">
        <v>631</v>
      </c>
      <c r="C69" s="933">
        <f t="shared" ref="C69:Q71" si="56">C57+C61+C65</f>
        <v>36</v>
      </c>
      <c r="D69" s="934">
        <f t="shared" si="56"/>
        <v>30</v>
      </c>
      <c r="E69" s="934">
        <f t="shared" si="56"/>
        <v>22</v>
      </c>
      <c r="F69" s="933">
        <f t="shared" si="56"/>
        <v>10</v>
      </c>
      <c r="G69" s="934">
        <f t="shared" si="56"/>
        <v>10</v>
      </c>
      <c r="H69" s="934">
        <f t="shared" si="56"/>
        <v>16</v>
      </c>
      <c r="I69" s="933">
        <f t="shared" si="56"/>
        <v>4</v>
      </c>
      <c r="J69" s="934">
        <f t="shared" si="56"/>
        <v>4</v>
      </c>
      <c r="K69" s="934">
        <f t="shared" si="56"/>
        <v>0</v>
      </c>
      <c r="L69" s="933">
        <f t="shared" si="56"/>
        <v>13</v>
      </c>
      <c r="M69" s="934">
        <f t="shared" si="56"/>
        <v>11</v>
      </c>
      <c r="N69" s="935">
        <f t="shared" si="56"/>
        <v>16</v>
      </c>
      <c r="O69" s="934">
        <f t="shared" si="56"/>
        <v>24</v>
      </c>
      <c r="P69" s="934">
        <f t="shared" si="56"/>
        <v>10</v>
      </c>
      <c r="Q69" s="935">
        <f t="shared" si="56"/>
        <v>25</v>
      </c>
      <c r="R69" s="933">
        <v>16</v>
      </c>
      <c r="S69" s="934">
        <v>16</v>
      </c>
      <c r="T69" s="935">
        <v>34</v>
      </c>
      <c r="U69" s="933">
        <f t="shared" ref="U69:AI72" si="57">U57+U61+U65</f>
        <v>12</v>
      </c>
      <c r="V69" s="934">
        <f t="shared" si="57"/>
        <v>10</v>
      </c>
      <c r="W69" s="935">
        <f t="shared" si="57"/>
        <v>9</v>
      </c>
      <c r="X69" s="933">
        <f t="shared" si="57"/>
        <v>1</v>
      </c>
      <c r="Y69" s="934">
        <f t="shared" si="57"/>
        <v>0</v>
      </c>
      <c r="Z69" s="935">
        <f t="shared" si="57"/>
        <v>19</v>
      </c>
      <c r="AA69" s="933">
        <f t="shared" si="57"/>
        <v>53</v>
      </c>
      <c r="AB69" s="934">
        <f t="shared" si="57"/>
        <v>42</v>
      </c>
      <c r="AC69" s="935">
        <f t="shared" si="57"/>
        <v>85</v>
      </c>
      <c r="AD69" s="933">
        <f t="shared" si="57"/>
        <v>68</v>
      </c>
      <c r="AE69" s="934">
        <f t="shared" si="57"/>
        <v>60</v>
      </c>
      <c r="AF69" s="935">
        <f t="shared" si="57"/>
        <v>53</v>
      </c>
      <c r="AG69" s="933">
        <f t="shared" si="57"/>
        <v>58</v>
      </c>
      <c r="AH69" s="934">
        <f t="shared" si="57"/>
        <v>33</v>
      </c>
      <c r="AI69" s="935">
        <f t="shared" si="57"/>
        <v>46</v>
      </c>
      <c r="AJ69" s="933">
        <f t="shared" ref="AJ69:AL72" si="58">AJ57+AJ61+AJ65</f>
        <v>54</v>
      </c>
      <c r="AK69" s="934">
        <f t="shared" si="58"/>
        <v>47</v>
      </c>
      <c r="AL69" s="935">
        <f t="shared" si="58"/>
        <v>43</v>
      </c>
      <c r="AM69" s="933">
        <f t="shared" ref="AM69:AO69" si="59">AM57+AM61+AM65</f>
        <v>20</v>
      </c>
      <c r="AN69" s="934">
        <f t="shared" si="59"/>
        <v>15</v>
      </c>
      <c r="AO69" s="935">
        <f t="shared" si="59"/>
        <v>15</v>
      </c>
    </row>
    <row r="70" spans="1:41" ht="12.95" customHeight="1" x14ac:dyDescent="0.2">
      <c r="A70" s="5556"/>
      <c r="B70" s="1072" t="s">
        <v>632</v>
      </c>
      <c r="C70" s="933">
        <f t="shared" si="56"/>
        <v>244</v>
      </c>
      <c r="D70" s="934">
        <f t="shared" si="56"/>
        <v>243</v>
      </c>
      <c r="E70" s="934">
        <f t="shared" si="56"/>
        <v>289</v>
      </c>
      <c r="F70" s="933">
        <f t="shared" si="56"/>
        <v>270</v>
      </c>
      <c r="G70" s="934">
        <f t="shared" si="56"/>
        <v>250</v>
      </c>
      <c r="H70" s="934">
        <f t="shared" si="56"/>
        <v>288</v>
      </c>
      <c r="I70" s="933">
        <f t="shared" si="56"/>
        <v>281</v>
      </c>
      <c r="J70" s="934">
        <f t="shared" si="56"/>
        <v>266</v>
      </c>
      <c r="K70" s="934">
        <f t="shared" si="56"/>
        <v>311</v>
      </c>
      <c r="L70" s="933">
        <f t="shared" si="56"/>
        <v>298</v>
      </c>
      <c r="M70" s="934">
        <f t="shared" si="56"/>
        <v>289</v>
      </c>
      <c r="N70" s="935">
        <f t="shared" si="56"/>
        <v>333</v>
      </c>
      <c r="O70" s="934">
        <f t="shared" si="56"/>
        <v>309</v>
      </c>
      <c r="P70" s="934">
        <f t="shared" si="56"/>
        <v>295</v>
      </c>
      <c r="Q70" s="935">
        <f t="shared" si="56"/>
        <v>311</v>
      </c>
      <c r="R70" s="933">
        <v>293</v>
      </c>
      <c r="S70" s="934">
        <v>309</v>
      </c>
      <c r="T70" s="935">
        <v>365</v>
      </c>
      <c r="U70" s="933">
        <f t="shared" si="57"/>
        <v>361</v>
      </c>
      <c r="V70" s="934">
        <f t="shared" si="57"/>
        <v>394</v>
      </c>
      <c r="W70" s="935">
        <f t="shared" si="57"/>
        <v>431</v>
      </c>
      <c r="X70" s="933">
        <f t="shared" si="57"/>
        <v>412</v>
      </c>
      <c r="Y70" s="934">
        <f t="shared" si="57"/>
        <v>450</v>
      </c>
      <c r="Z70" s="935">
        <f t="shared" si="57"/>
        <v>406</v>
      </c>
      <c r="AA70" s="933">
        <f t="shared" si="57"/>
        <v>380</v>
      </c>
      <c r="AB70" s="934">
        <f t="shared" si="57"/>
        <v>402</v>
      </c>
      <c r="AC70" s="935">
        <f t="shared" si="57"/>
        <v>326</v>
      </c>
      <c r="AD70" s="933">
        <f t="shared" si="57"/>
        <v>351</v>
      </c>
      <c r="AE70" s="934">
        <f t="shared" si="57"/>
        <v>349</v>
      </c>
      <c r="AF70" s="935">
        <f t="shared" si="57"/>
        <v>428</v>
      </c>
      <c r="AG70" s="933">
        <f t="shared" si="57"/>
        <v>444</v>
      </c>
      <c r="AH70" s="934">
        <f t="shared" si="57"/>
        <v>453</v>
      </c>
      <c r="AI70" s="935">
        <f t="shared" si="57"/>
        <v>399</v>
      </c>
      <c r="AJ70" s="933">
        <f t="shared" si="58"/>
        <v>380</v>
      </c>
      <c r="AK70" s="934">
        <f t="shared" si="58"/>
        <v>393</v>
      </c>
      <c r="AL70" s="935">
        <f t="shared" si="58"/>
        <v>472</v>
      </c>
      <c r="AM70" s="933">
        <f t="shared" ref="AM70:AO70" si="60">AM58+AM62+AM66</f>
        <v>451</v>
      </c>
      <c r="AN70" s="934">
        <f t="shared" si="60"/>
        <v>461</v>
      </c>
      <c r="AO70" s="935">
        <f t="shared" si="60"/>
        <v>473</v>
      </c>
    </row>
    <row r="71" spans="1:41" ht="12.95" customHeight="1" x14ac:dyDescent="0.2">
      <c r="A71" s="5556"/>
      <c r="B71" s="1078" t="s">
        <v>633</v>
      </c>
      <c r="C71" s="933">
        <f t="shared" si="56"/>
        <v>198</v>
      </c>
      <c r="D71" s="934">
        <f t="shared" si="56"/>
        <v>180</v>
      </c>
      <c r="E71" s="934">
        <f t="shared" si="56"/>
        <v>205</v>
      </c>
      <c r="F71" s="933">
        <f t="shared" si="56"/>
        <v>180</v>
      </c>
      <c r="G71" s="934">
        <f t="shared" si="56"/>
        <v>169</v>
      </c>
      <c r="H71" s="934">
        <f t="shared" si="56"/>
        <v>172</v>
      </c>
      <c r="I71" s="933">
        <f t="shared" si="56"/>
        <v>197</v>
      </c>
      <c r="J71" s="934">
        <f t="shared" si="56"/>
        <v>209</v>
      </c>
      <c r="K71" s="934">
        <f t="shared" si="56"/>
        <v>219</v>
      </c>
      <c r="L71" s="933">
        <f t="shared" si="56"/>
        <v>196</v>
      </c>
      <c r="M71" s="934">
        <f t="shared" si="56"/>
        <v>182</v>
      </c>
      <c r="N71" s="935">
        <f t="shared" si="56"/>
        <v>198</v>
      </c>
      <c r="O71" s="934">
        <f t="shared" si="56"/>
        <v>279</v>
      </c>
      <c r="P71" s="934">
        <f t="shared" si="56"/>
        <v>260</v>
      </c>
      <c r="Q71" s="935">
        <f t="shared" si="56"/>
        <v>254</v>
      </c>
      <c r="R71" s="933">
        <v>259</v>
      </c>
      <c r="S71" s="934">
        <v>258</v>
      </c>
      <c r="T71" s="935">
        <v>231</v>
      </c>
      <c r="U71" s="933">
        <f t="shared" si="57"/>
        <v>285</v>
      </c>
      <c r="V71" s="934">
        <f t="shared" si="57"/>
        <v>323</v>
      </c>
      <c r="W71" s="935">
        <f t="shared" si="57"/>
        <v>307</v>
      </c>
      <c r="X71" s="933">
        <f t="shared" si="57"/>
        <v>279</v>
      </c>
      <c r="Y71" s="934">
        <f t="shared" si="57"/>
        <v>299</v>
      </c>
      <c r="Z71" s="935">
        <f t="shared" si="57"/>
        <v>260</v>
      </c>
      <c r="AA71" s="933">
        <f t="shared" si="57"/>
        <v>314</v>
      </c>
      <c r="AB71" s="934">
        <f t="shared" si="57"/>
        <v>267</v>
      </c>
      <c r="AC71" s="935">
        <f t="shared" si="57"/>
        <v>276</v>
      </c>
      <c r="AD71" s="933">
        <f t="shared" si="57"/>
        <v>273</v>
      </c>
      <c r="AE71" s="934">
        <f t="shared" si="57"/>
        <v>253</v>
      </c>
      <c r="AF71" s="935">
        <f t="shared" si="57"/>
        <v>265</v>
      </c>
      <c r="AG71" s="933">
        <f t="shared" si="57"/>
        <v>299</v>
      </c>
      <c r="AH71" s="934">
        <f t="shared" si="57"/>
        <v>295</v>
      </c>
      <c r="AI71" s="935">
        <f t="shared" si="57"/>
        <v>294</v>
      </c>
      <c r="AJ71" s="933">
        <f t="shared" si="58"/>
        <v>274</v>
      </c>
      <c r="AK71" s="934">
        <f t="shared" si="58"/>
        <v>281</v>
      </c>
      <c r="AL71" s="935">
        <f t="shared" si="58"/>
        <v>299</v>
      </c>
      <c r="AM71" s="933">
        <f t="shared" ref="AM71:AO71" si="61">AM59+AM63+AM67</f>
        <v>309</v>
      </c>
      <c r="AN71" s="934">
        <f t="shared" si="61"/>
        <v>289</v>
      </c>
      <c r="AO71" s="935">
        <f t="shared" si="61"/>
        <v>298</v>
      </c>
    </row>
    <row r="72" spans="1:41" s="222" customFormat="1" ht="12.95" customHeight="1" x14ac:dyDescent="0.2">
      <c r="A72" s="5557"/>
      <c r="B72" s="2666" t="s">
        <v>12</v>
      </c>
      <c r="C72" s="2624">
        <f>SUM(C69:C71)</f>
        <v>478</v>
      </c>
      <c r="D72" s="2625">
        <f>SUM(D69:D71)</f>
        <v>453</v>
      </c>
      <c r="E72" s="2625">
        <f>SUM(E69:E71)</f>
        <v>516</v>
      </c>
      <c r="F72" s="2624">
        <f t="shared" ref="F72:Q72" si="62">SUM(F69:F71)</f>
        <v>460</v>
      </c>
      <c r="G72" s="2625">
        <f t="shared" si="62"/>
        <v>429</v>
      </c>
      <c r="H72" s="2625">
        <f t="shared" si="62"/>
        <v>476</v>
      </c>
      <c r="I72" s="2624">
        <f t="shared" si="62"/>
        <v>482</v>
      </c>
      <c r="J72" s="2625">
        <f t="shared" si="62"/>
        <v>479</v>
      </c>
      <c r="K72" s="2625">
        <f t="shared" si="62"/>
        <v>530</v>
      </c>
      <c r="L72" s="2624">
        <f t="shared" si="62"/>
        <v>507</v>
      </c>
      <c r="M72" s="2625">
        <f t="shared" si="62"/>
        <v>482</v>
      </c>
      <c r="N72" s="2626">
        <f t="shared" si="62"/>
        <v>547</v>
      </c>
      <c r="O72" s="2625">
        <f t="shared" si="62"/>
        <v>612</v>
      </c>
      <c r="P72" s="2625">
        <f t="shared" si="62"/>
        <v>565</v>
      </c>
      <c r="Q72" s="2626">
        <f t="shared" si="62"/>
        <v>590</v>
      </c>
      <c r="R72" s="2624">
        <v>568</v>
      </c>
      <c r="S72" s="2625">
        <v>583</v>
      </c>
      <c r="T72" s="2626">
        <v>630</v>
      </c>
      <c r="U72" s="2624">
        <f t="shared" si="57"/>
        <v>658</v>
      </c>
      <c r="V72" s="2625">
        <f t="shared" si="57"/>
        <v>727</v>
      </c>
      <c r="W72" s="2626">
        <f t="shared" si="57"/>
        <v>747</v>
      </c>
      <c r="X72" s="2624">
        <f t="shared" si="57"/>
        <v>692</v>
      </c>
      <c r="Y72" s="2625">
        <f t="shared" si="57"/>
        <v>749</v>
      </c>
      <c r="Z72" s="2626">
        <f t="shared" si="57"/>
        <v>685</v>
      </c>
      <c r="AA72" s="2624">
        <f t="shared" si="57"/>
        <v>747</v>
      </c>
      <c r="AB72" s="2625">
        <f t="shared" si="57"/>
        <v>711</v>
      </c>
      <c r="AC72" s="2626">
        <f t="shared" si="57"/>
        <v>687</v>
      </c>
      <c r="AD72" s="2624">
        <f t="shared" si="57"/>
        <v>692</v>
      </c>
      <c r="AE72" s="2625">
        <f t="shared" si="57"/>
        <v>662</v>
      </c>
      <c r="AF72" s="2626">
        <f t="shared" si="57"/>
        <v>746</v>
      </c>
      <c r="AG72" s="2624">
        <f t="shared" si="57"/>
        <v>801</v>
      </c>
      <c r="AH72" s="2625">
        <f t="shared" si="57"/>
        <v>781</v>
      </c>
      <c r="AI72" s="2626">
        <f t="shared" si="57"/>
        <v>739</v>
      </c>
      <c r="AJ72" s="2624">
        <f t="shared" si="58"/>
        <v>708</v>
      </c>
      <c r="AK72" s="2625">
        <f t="shared" si="58"/>
        <v>721</v>
      </c>
      <c r="AL72" s="2626">
        <f t="shared" si="58"/>
        <v>814</v>
      </c>
      <c r="AM72" s="2624">
        <f t="shared" ref="AM72:AO72" si="63">AM60+AM64+AM68</f>
        <v>780</v>
      </c>
      <c r="AN72" s="2625">
        <f t="shared" si="63"/>
        <v>765</v>
      </c>
      <c r="AO72" s="2626">
        <f t="shared" si="63"/>
        <v>786</v>
      </c>
    </row>
    <row r="73" spans="1:41" ht="12.95" customHeight="1" x14ac:dyDescent="0.2">
      <c r="A73" s="263"/>
      <c r="B73" s="263"/>
      <c r="C73" s="263"/>
      <c r="D73" s="263"/>
      <c r="E73" s="263"/>
      <c r="F73" s="263"/>
      <c r="G73" s="263"/>
      <c r="H73" s="263"/>
      <c r="I73" s="263"/>
      <c r="J73" s="263"/>
      <c r="K73" s="263"/>
      <c r="L73" s="263"/>
      <c r="M73" s="263"/>
      <c r="N73" s="263"/>
      <c r="O73" s="263"/>
      <c r="P73" s="263"/>
      <c r="Q73" s="263"/>
      <c r="R73" s="263"/>
      <c r="S73" s="263"/>
      <c r="T73" s="263"/>
      <c r="U73" s="263"/>
      <c r="V73" s="263"/>
      <c r="W73" s="263"/>
      <c r="X73" s="263"/>
      <c r="Y73" s="263"/>
      <c r="Z73" s="263"/>
      <c r="AA73" s="263"/>
      <c r="AB73" s="263"/>
      <c r="AC73" s="263"/>
      <c r="AD73" s="263"/>
      <c r="AE73" s="263"/>
      <c r="AF73" s="263"/>
      <c r="AG73" s="263"/>
      <c r="AH73" s="263"/>
      <c r="AI73" s="263"/>
      <c r="AJ73" s="263"/>
      <c r="AK73" s="263"/>
      <c r="AL73" s="263"/>
      <c r="AM73" s="263"/>
      <c r="AN73" s="263"/>
      <c r="AO73" s="263"/>
    </row>
    <row r="74" spans="1:41" ht="12.95" customHeight="1" x14ac:dyDescent="0.2">
      <c r="A74" s="5539" t="s">
        <v>60</v>
      </c>
      <c r="B74" s="1067" t="s">
        <v>631</v>
      </c>
      <c r="C74" s="930">
        <f t="shared" ref="C74:Q76" si="64">C18+C52+C69</f>
        <v>114</v>
      </c>
      <c r="D74" s="931">
        <f t="shared" si="64"/>
        <v>105</v>
      </c>
      <c r="E74" s="931">
        <f t="shared" si="64"/>
        <v>147</v>
      </c>
      <c r="F74" s="930">
        <f t="shared" si="64"/>
        <v>120</v>
      </c>
      <c r="G74" s="931">
        <f t="shared" si="64"/>
        <v>108</v>
      </c>
      <c r="H74" s="931">
        <f t="shared" si="64"/>
        <v>195</v>
      </c>
      <c r="I74" s="930">
        <f t="shared" si="64"/>
        <v>160</v>
      </c>
      <c r="J74" s="931">
        <f t="shared" si="64"/>
        <v>148</v>
      </c>
      <c r="K74" s="931">
        <f t="shared" si="64"/>
        <v>82</v>
      </c>
      <c r="L74" s="930">
        <f t="shared" si="64"/>
        <v>172</v>
      </c>
      <c r="M74" s="931">
        <f t="shared" si="64"/>
        <v>170</v>
      </c>
      <c r="N74" s="932">
        <f t="shared" si="64"/>
        <v>180</v>
      </c>
      <c r="O74" s="931">
        <f t="shared" si="64"/>
        <v>213</v>
      </c>
      <c r="P74" s="931">
        <f t="shared" si="64"/>
        <v>185</v>
      </c>
      <c r="Q74" s="932">
        <f t="shared" si="64"/>
        <v>253</v>
      </c>
      <c r="R74" s="930">
        <v>201</v>
      </c>
      <c r="S74" s="931">
        <v>181</v>
      </c>
      <c r="T74" s="932">
        <v>242</v>
      </c>
      <c r="U74" s="930">
        <f t="shared" ref="U74:Z77" si="65">U18+U52+U69</f>
        <v>93</v>
      </c>
      <c r="V74" s="931">
        <f t="shared" si="65"/>
        <v>185</v>
      </c>
      <c r="W74" s="932">
        <f t="shared" si="65"/>
        <v>237</v>
      </c>
      <c r="X74" s="930">
        <f t="shared" si="65"/>
        <v>141</v>
      </c>
      <c r="Y74" s="931">
        <f t="shared" si="65"/>
        <v>68</v>
      </c>
      <c r="Z74" s="932">
        <f t="shared" si="65"/>
        <v>283</v>
      </c>
      <c r="AA74" s="930">
        <f t="shared" ref="AA74:AC76" si="66">AA18+AA52+AA69+AA23</f>
        <v>269</v>
      </c>
      <c r="AB74" s="931">
        <f t="shared" si="66"/>
        <v>233</v>
      </c>
      <c r="AC74" s="932">
        <f t="shared" si="66"/>
        <v>277</v>
      </c>
      <c r="AD74" s="930">
        <f>SUM(AD18,AD35,AD52,AD69)</f>
        <v>245</v>
      </c>
      <c r="AE74" s="931">
        <f t="shared" ref="AE74:AI76" si="67">SUM(AE18,AE35,AE52,AE69)</f>
        <v>233</v>
      </c>
      <c r="AF74" s="932">
        <f t="shared" si="67"/>
        <v>210</v>
      </c>
      <c r="AG74" s="930">
        <f t="shared" si="67"/>
        <v>195</v>
      </c>
      <c r="AH74" s="931">
        <f t="shared" si="67"/>
        <v>162</v>
      </c>
      <c r="AI74" s="932">
        <f t="shared" si="67"/>
        <v>200</v>
      </c>
      <c r="AJ74" s="930">
        <f t="shared" ref="AJ74:AO74" si="68">SUM(AJ18,AJ35,AJ52,AJ69)</f>
        <v>181</v>
      </c>
      <c r="AK74" s="931">
        <f t="shared" si="68"/>
        <v>162</v>
      </c>
      <c r="AL74" s="932">
        <f t="shared" si="68"/>
        <v>214</v>
      </c>
      <c r="AM74" s="930">
        <f t="shared" si="68"/>
        <v>198</v>
      </c>
      <c r="AN74" s="931">
        <f t="shared" si="68"/>
        <v>198</v>
      </c>
      <c r="AO74" s="932">
        <f t="shared" si="68"/>
        <v>145</v>
      </c>
    </row>
    <row r="75" spans="1:41" ht="12.95" customHeight="1" x14ac:dyDescent="0.2">
      <c r="A75" s="5540"/>
      <c r="B75" s="1072" t="s">
        <v>632</v>
      </c>
      <c r="C75" s="933">
        <f t="shared" si="64"/>
        <v>690</v>
      </c>
      <c r="D75" s="934">
        <f t="shared" si="64"/>
        <v>642</v>
      </c>
      <c r="E75" s="934">
        <f t="shared" si="64"/>
        <v>728</v>
      </c>
      <c r="F75" s="933">
        <f t="shared" si="64"/>
        <v>702</v>
      </c>
      <c r="G75" s="934">
        <f t="shared" si="64"/>
        <v>633</v>
      </c>
      <c r="H75" s="934">
        <f t="shared" si="64"/>
        <v>731</v>
      </c>
      <c r="I75" s="933">
        <f t="shared" si="64"/>
        <v>746</v>
      </c>
      <c r="J75" s="934">
        <f t="shared" si="64"/>
        <v>697</v>
      </c>
      <c r="K75" s="934">
        <f t="shared" si="64"/>
        <v>832</v>
      </c>
      <c r="L75" s="933">
        <f t="shared" si="64"/>
        <v>804</v>
      </c>
      <c r="M75" s="934">
        <f t="shared" si="64"/>
        <v>762</v>
      </c>
      <c r="N75" s="935">
        <f t="shared" si="64"/>
        <v>884</v>
      </c>
      <c r="O75" s="934">
        <f t="shared" si="64"/>
        <v>966</v>
      </c>
      <c r="P75" s="934">
        <f t="shared" si="64"/>
        <v>846</v>
      </c>
      <c r="Q75" s="935">
        <f t="shared" si="64"/>
        <v>914</v>
      </c>
      <c r="R75" s="933">
        <v>887</v>
      </c>
      <c r="S75" s="934">
        <v>847</v>
      </c>
      <c r="T75" s="935">
        <v>1118</v>
      </c>
      <c r="U75" s="933">
        <f t="shared" si="65"/>
        <v>1058</v>
      </c>
      <c r="V75" s="934">
        <f t="shared" si="65"/>
        <v>1045</v>
      </c>
      <c r="W75" s="935">
        <f t="shared" si="65"/>
        <v>1231</v>
      </c>
      <c r="X75" s="933">
        <f t="shared" si="65"/>
        <v>1176</v>
      </c>
      <c r="Y75" s="934">
        <f t="shared" si="65"/>
        <v>1132</v>
      </c>
      <c r="Z75" s="935">
        <f t="shared" si="65"/>
        <v>1243</v>
      </c>
      <c r="AA75" s="933">
        <f t="shared" si="66"/>
        <v>1312</v>
      </c>
      <c r="AB75" s="934">
        <f t="shared" si="66"/>
        <v>1211</v>
      </c>
      <c r="AC75" s="935">
        <f t="shared" si="66"/>
        <v>1249</v>
      </c>
      <c r="AD75" s="933">
        <f t="shared" ref="AD75:AK76" si="69">SUM(AD19,AD36,AD53,AD70)</f>
        <v>1248</v>
      </c>
      <c r="AE75" s="934">
        <f t="shared" si="69"/>
        <v>1194</v>
      </c>
      <c r="AF75" s="935">
        <f t="shared" si="69"/>
        <v>1418</v>
      </c>
      <c r="AG75" s="933">
        <f t="shared" si="67"/>
        <v>1418</v>
      </c>
      <c r="AH75" s="934">
        <f t="shared" si="67"/>
        <v>1388</v>
      </c>
      <c r="AI75" s="935">
        <f t="shared" si="69"/>
        <v>1443</v>
      </c>
      <c r="AJ75" s="933">
        <f t="shared" si="69"/>
        <v>1398</v>
      </c>
      <c r="AK75" s="934">
        <f t="shared" si="69"/>
        <v>1345</v>
      </c>
      <c r="AL75" s="935">
        <f>SUM(AL19,AL36,AL53,AL70)</f>
        <v>1629</v>
      </c>
      <c r="AM75" s="933">
        <f t="shared" ref="AM75:AN75" si="70">SUM(AM19,AM36,AM53,AM70)</f>
        <v>1438</v>
      </c>
      <c r="AN75" s="934">
        <f t="shared" si="70"/>
        <v>1414</v>
      </c>
      <c r="AO75" s="935">
        <f>SUM(AO19,AO36,AO53,AO70)</f>
        <v>1629</v>
      </c>
    </row>
    <row r="76" spans="1:41" ht="12.95" customHeight="1" x14ac:dyDescent="0.2">
      <c r="A76" s="5540"/>
      <c r="B76" s="1078" t="s">
        <v>633</v>
      </c>
      <c r="C76" s="937">
        <f t="shared" si="64"/>
        <v>848</v>
      </c>
      <c r="D76" s="938">
        <f t="shared" si="64"/>
        <v>806</v>
      </c>
      <c r="E76" s="938">
        <f t="shared" si="64"/>
        <v>817</v>
      </c>
      <c r="F76" s="937">
        <f t="shared" si="64"/>
        <v>774</v>
      </c>
      <c r="G76" s="938">
        <f t="shared" si="64"/>
        <v>769</v>
      </c>
      <c r="H76" s="938">
        <f t="shared" si="64"/>
        <v>766</v>
      </c>
      <c r="I76" s="937">
        <f t="shared" si="64"/>
        <v>818</v>
      </c>
      <c r="J76" s="938">
        <f t="shared" si="64"/>
        <v>803</v>
      </c>
      <c r="K76" s="938">
        <f t="shared" si="64"/>
        <v>827</v>
      </c>
      <c r="L76" s="937">
        <f t="shared" si="64"/>
        <v>812</v>
      </c>
      <c r="M76" s="938">
        <f t="shared" si="64"/>
        <v>769</v>
      </c>
      <c r="N76" s="939">
        <f t="shared" si="64"/>
        <v>793</v>
      </c>
      <c r="O76" s="938">
        <f t="shared" si="64"/>
        <v>835</v>
      </c>
      <c r="P76" s="938">
        <f t="shared" si="64"/>
        <v>844</v>
      </c>
      <c r="Q76" s="939">
        <f t="shared" si="64"/>
        <v>879</v>
      </c>
      <c r="R76" s="937">
        <v>874</v>
      </c>
      <c r="S76" s="938">
        <v>809</v>
      </c>
      <c r="T76" s="939">
        <v>887</v>
      </c>
      <c r="U76" s="937">
        <f t="shared" si="65"/>
        <v>970</v>
      </c>
      <c r="V76" s="938">
        <f t="shared" si="65"/>
        <v>994</v>
      </c>
      <c r="W76" s="939">
        <f t="shared" si="65"/>
        <v>1051</v>
      </c>
      <c r="X76" s="937">
        <f t="shared" si="65"/>
        <v>1066</v>
      </c>
      <c r="Y76" s="938">
        <f t="shared" si="65"/>
        <v>1038</v>
      </c>
      <c r="Z76" s="939">
        <f t="shared" si="65"/>
        <v>1112</v>
      </c>
      <c r="AA76" s="937">
        <f t="shared" si="66"/>
        <v>1192</v>
      </c>
      <c r="AB76" s="938">
        <f t="shared" si="66"/>
        <v>1059</v>
      </c>
      <c r="AC76" s="939">
        <f t="shared" si="66"/>
        <v>1159</v>
      </c>
      <c r="AD76" s="937">
        <f t="shared" si="69"/>
        <v>1174</v>
      </c>
      <c r="AE76" s="938">
        <f t="shared" si="69"/>
        <v>1124</v>
      </c>
      <c r="AF76" s="939">
        <f t="shared" si="69"/>
        <v>1170</v>
      </c>
      <c r="AG76" s="937">
        <f t="shared" si="67"/>
        <v>1303</v>
      </c>
      <c r="AH76" s="938">
        <f t="shared" si="67"/>
        <v>1279</v>
      </c>
      <c r="AI76" s="939">
        <f t="shared" si="69"/>
        <v>1304</v>
      </c>
      <c r="AJ76" s="937">
        <f t="shared" si="69"/>
        <v>1260</v>
      </c>
      <c r="AK76" s="938">
        <f t="shared" si="69"/>
        <v>1220</v>
      </c>
      <c r="AL76" s="939">
        <f>SUM(AL20,AL37,AL54,AL71)</f>
        <v>1407</v>
      </c>
      <c r="AM76" s="937">
        <f t="shared" ref="AM76:AN76" si="71">SUM(AM20,AM37,AM54,AM71)</f>
        <v>1378</v>
      </c>
      <c r="AN76" s="938">
        <f t="shared" si="71"/>
        <v>1328</v>
      </c>
      <c r="AO76" s="939">
        <f>SUM(AO20,AO37,AO54,AO71)</f>
        <v>1379</v>
      </c>
    </row>
    <row r="77" spans="1:41" s="224" customFormat="1" ht="12.95" customHeight="1" x14ac:dyDescent="0.2">
      <c r="A77" s="5541"/>
      <c r="B77" s="573" t="s">
        <v>12</v>
      </c>
      <c r="C77" s="574">
        <f>SUM(C74:C76)</f>
        <v>1652</v>
      </c>
      <c r="D77" s="575">
        <f>SUM(D74:D76)</f>
        <v>1553</v>
      </c>
      <c r="E77" s="575">
        <f>SUM(E74:E76)</f>
        <v>1692</v>
      </c>
      <c r="F77" s="574">
        <f t="shared" ref="F77:Q77" si="72">SUM(F74:F76)</f>
        <v>1596</v>
      </c>
      <c r="G77" s="575">
        <f t="shared" si="72"/>
        <v>1510</v>
      </c>
      <c r="H77" s="575">
        <f t="shared" si="72"/>
        <v>1692</v>
      </c>
      <c r="I77" s="574">
        <f t="shared" si="72"/>
        <v>1724</v>
      </c>
      <c r="J77" s="575">
        <f t="shared" si="72"/>
        <v>1648</v>
      </c>
      <c r="K77" s="575">
        <f t="shared" si="72"/>
        <v>1741</v>
      </c>
      <c r="L77" s="574">
        <f t="shared" si="72"/>
        <v>1788</v>
      </c>
      <c r="M77" s="575">
        <f t="shared" si="72"/>
        <v>1701</v>
      </c>
      <c r="N77" s="576">
        <f t="shared" si="72"/>
        <v>1857</v>
      </c>
      <c r="O77" s="575">
        <f t="shared" si="72"/>
        <v>2014</v>
      </c>
      <c r="P77" s="575">
        <f t="shared" si="72"/>
        <v>1875</v>
      </c>
      <c r="Q77" s="576">
        <f t="shared" si="72"/>
        <v>2046</v>
      </c>
      <c r="R77" s="574">
        <v>1962</v>
      </c>
      <c r="S77" s="575">
        <v>1837</v>
      </c>
      <c r="T77" s="576">
        <v>2247</v>
      </c>
      <c r="U77" s="574">
        <f t="shared" si="65"/>
        <v>2121</v>
      </c>
      <c r="V77" s="575">
        <f t="shared" si="65"/>
        <v>2224</v>
      </c>
      <c r="W77" s="576">
        <f t="shared" si="65"/>
        <v>2519</v>
      </c>
      <c r="X77" s="574">
        <f t="shared" si="65"/>
        <v>2383</v>
      </c>
      <c r="Y77" s="575">
        <f t="shared" si="65"/>
        <v>2238</v>
      </c>
      <c r="Z77" s="576">
        <f t="shared" si="65"/>
        <v>2638</v>
      </c>
      <c r="AA77" s="574">
        <f t="shared" ref="AA77:AC77" si="73">SUM(AA74:AA76)</f>
        <v>2773</v>
      </c>
      <c r="AB77" s="575">
        <f t="shared" si="73"/>
        <v>2503</v>
      </c>
      <c r="AC77" s="576">
        <f t="shared" si="73"/>
        <v>2685</v>
      </c>
      <c r="AD77" s="574">
        <f t="shared" ref="AD77:AI77" si="74">SUM(AD74:AD76)</f>
        <v>2667</v>
      </c>
      <c r="AE77" s="575">
        <f t="shared" si="74"/>
        <v>2551</v>
      </c>
      <c r="AF77" s="576">
        <f t="shared" si="74"/>
        <v>2798</v>
      </c>
      <c r="AG77" s="574">
        <f t="shared" si="74"/>
        <v>2916</v>
      </c>
      <c r="AH77" s="575">
        <f t="shared" si="74"/>
        <v>2829</v>
      </c>
      <c r="AI77" s="576">
        <f t="shared" si="74"/>
        <v>2947</v>
      </c>
      <c r="AJ77" s="574">
        <f t="shared" ref="AJ77:AO77" si="75">SUM(AJ74:AJ76)</f>
        <v>2839</v>
      </c>
      <c r="AK77" s="575">
        <f t="shared" si="75"/>
        <v>2727</v>
      </c>
      <c r="AL77" s="576">
        <f t="shared" si="75"/>
        <v>3250</v>
      </c>
      <c r="AM77" s="574">
        <f t="shared" si="75"/>
        <v>3014</v>
      </c>
      <c r="AN77" s="575">
        <f t="shared" si="75"/>
        <v>2940</v>
      </c>
      <c r="AO77" s="576">
        <f t="shared" si="75"/>
        <v>3153</v>
      </c>
    </row>
    <row r="78" spans="1:41" ht="13.5" x14ac:dyDescent="0.2">
      <c r="A78" s="232" t="s">
        <v>0</v>
      </c>
      <c r="B78" s="661"/>
      <c r="C78" s="1441"/>
      <c r="D78" s="1441"/>
      <c r="E78" s="1441"/>
      <c r="F78" s="216"/>
      <c r="G78" s="216"/>
      <c r="H78" s="216"/>
      <c r="I78" s="216"/>
      <c r="J78" s="216"/>
      <c r="K78" s="216"/>
      <c r="L78" s="223"/>
      <c r="M78" s="216"/>
      <c r="N78" s="216"/>
      <c r="O78" s="216"/>
      <c r="P78" s="223"/>
      <c r="Q78" s="216"/>
      <c r="R78" s="216"/>
      <c r="S78" s="216"/>
      <c r="T78" s="223"/>
      <c r="U78" s="216"/>
      <c r="V78" s="216"/>
      <c r="W78" s="223"/>
    </row>
    <row r="79" spans="1:41" s="212" customFormat="1" x14ac:dyDescent="0.2">
      <c r="B79" s="213"/>
      <c r="C79" s="213"/>
      <c r="D79" s="213"/>
      <c r="E79" s="213"/>
      <c r="F79" s="225"/>
      <c r="G79" s="225"/>
      <c r="H79" s="225"/>
      <c r="I79" s="225"/>
      <c r="J79" s="225"/>
      <c r="K79" s="225"/>
      <c r="L79" s="226"/>
      <c r="M79" s="225"/>
      <c r="N79" s="225"/>
      <c r="O79" s="225"/>
      <c r="P79" s="226"/>
      <c r="Q79" s="225"/>
      <c r="R79" s="225"/>
      <c r="S79" s="225"/>
      <c r="T79" s="226"/>
      <c r="U79" s="225"/>
      <c r="V79" s="225"/>
      <c r="W79" s="226"/>
    </row>
    <row r="80" spans="1:41" x14ac:dyDescent="0.2">
      <c r="F80" s="211"/>
      <c r="G80" s="211"/>
      <c r="H80" s="211"/>
      <c r="I80" s="211"/>
      <c r="J80" s="211"/>
      <c r="K80" s="211"/>
      <c r="L80" s="211"/>
      <c r="M80" s="211"/>
      <c r="N80" s="211"/>
      <c r="O80" s="211"/>
      <c r="P80" s="211"/>
      <c r="Q80" s="211"/>
      <c r="R80" s="211"/>
      <c r="U80" s="211"/>
    </row>
    <row r="84" spans="21:21" x14ac:dyDescent="0.2">
      <c r="U84" s="4373">
        <v>2003</v>
      </c>
    </row>
    <row r="85" spans="21:21" x14ac:dyDescent="0.2">
      <c r="U85" s="4373">
        <v>2004</v>
      </c>
    </row>
    <row r="86" spans="21:21" x14ac:dyDescent="0.2">
      <c r="U86" s="4373">
        <v>2005</v>
      </c>
    </row>
    <row r="87" spans="21:21" x14ac:dyDescent="0.2">
      <c r="U87" s="4373">
        <v>2006</v>
      </c>
    </row>
    <row r="88" spans="21:21" x14ac:dyDescent="0.2">
      <c r="U88" s="4373">
        <v>2007</v>
      </c>
    </row>
    <row r="89" spans="21:21" x14ac:dyDescent="0.2">
      <c r="U89" s="4373">
        <v>2008</v>
      </c>
    </row>
    <row r="90" spans="21:21" x14ac:dyDescent="0.2">
      <c r="U90" s="4373">
        <v>2009</v>
      </c>
    </row>
    <row r="91" spans="21:21" x14ac:dyDescent="0.2">
      <c r="U91" s="4373">
        <v>2010</v>
      </c>
    </row>
    <row r="92" spans="21:21" x14ac:dyDescent="0.2">
      <c r="U92" s="4373">
        <v>2011</v>
      </c>
    </row>
    <row r="93" spans="21:21" x14ac:dyDescent="0.2">
      <c r="U93" s="4373">
        <v>2012</v>
      </c>
    </row>
    <row r="94" spans="21:21" x14ac:dyDescent="0.2">
      <c r="U94" s="4373">
        <v>2013</v>
      </c>
    </row>
    <row r="95" spans="21:21" x14ac:dyDescent="0.2">
      <c r="U95" s="4373">
        <v>2014</v>
      </c>
    </row>
    <row r="96" spans="21:21" x14ac:dyDescent="0.2">
      <c r="U96" s="4373">
        <v>2015</v>
      </c>
    </row>
  </sheetData>
  <mergeCells count="33">
    <mergeCell ref="AM3:AO3"/>
    <mergeCell ref="A1:B1"/>
    <mergeCell ref="A74:A77"/>
    <mergeCell ref="A48:A51"/>
    <mergeCell ref="A52:A55"/>
    <mergeCell ref="A57:A60"/>
    <mergeCell ref="A61:A64"/>
    <mergeCell ref="A65:A68"/>
    <mergeCell ref="A69:A72"/>
    <mergeCell ref="U3:W3"/>
    <mergeCell ref="X3:Z3"/>
    <mergeCell ref="AA3:AC3"/>
    <mergeCell ref="A3:A4"/>
    <mergeCell ref="B3:B4"/>
    <mergeCell ref="AJ3:AL3"/>
    <mergeCell ref="I3:K3"/>
    <mergeCell ref="AG3:AI3"/>
    <mergeCell ref="F3:H3"/>
    <mergeCell ref="O3:Q3"/>
    <mergeCell ref="L3:N3"/>
    <mergeCell ref="R3:T3"/>
    <mergeCell ref="A44:A47"/>
    <mergeCell ref="AD3:AF3"/>
    <mergeCell ref="A23:A26"/>
    <mergeCell ref="A27:A30"/>
    <mergeCell ref="A31:A34"/>
    <mergeCell ref="A35:A38"/>
    <mergeCell ref="A40:A43"/>
    <mergeCell ref="A6:A9"/>
    <mergeCell ref="A10:A13"/>
    <mergeCell ref="A14:A17"/>
    <mergeCell ref="A18:A21"/>
    <mergeCell ref="C3:E3"/>
  </mergeCells>
  <printOptions horizontalCentered="1" verticalCentered="1"/>
  <pageMargins left="0.39370078740157483" right="0.39370078740157483" top="0.31496062992125984" bottom="0.39370078740157483" header="0.43307086614173229" footer="0.31496062992125984"/>
  <pageSetup scale="55" pageOrder="overThenDown" orientation="landscape" horizontalDpi="1200" verticalDpi="1200" r:id="rId1"/>
  <headerFooter alignWithMargins="0"/>
  <rowBreaks count="1" manualBreakCount="1">
    <brk id="78" max="40" man="1"/>
  </rowBreaks>
  <colBreaks count="1" manualBreakCount="1">
    <brk id="20" max="109" man="1"/>
  </colBreaks>
  <ignoredErrors>
    <ignoredError sqref="AD10:AI10 AG41:AH42 AG63:AH63 AI8:AJ8 AI41:AI42 AI62:AI63 C21:V21 AK8:AL8 AJ10:AL13 AJ41:AL42 AJ61:AL61 AJ63:AL63 AJ62:AL62 AM6:AO14 AM34:AO63 AM31 AO31 AM32 AO32 AM33 AO33 AM17:AO30 AM15:AN15 AM16:AO16" formulaRange="1"/>
  </ignoredError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B1:AF87"/>
  <sheetViews>
    <sheetView showGridLines="0" topLeftCell="E1" zoomScaleNormal="100" zoomScaleSheetLayoutView="90" workbookViewId="0">
      <selection activeCell="C4" sqref="C4"/>
    </sheetView>
  </sheetViews>
  <sheetFormatPr baseColWidth="10" defaultRowHeight="12.75" x14ac:dyDescent="0.2"/>
  <cols>
    <col min="1" max="1" width="1.85546875" style="1" customWidth="1"/>
    <col min="2" max="2" width="15.28515625" style="1" customWidth="1"/>
    <col min="3" max="3" width="9.28515625" style="1" bestFit="1" customWidth="1"/>
    <col min="4" max="4" width="51" style="72" customWidth="1"/>
    <col min="5" max="6" width="6.7109375" style="1" customWidth="1"/>
    <col min="7" max="7" width="7.5703125" style="1" customWidth="1"/>
    <col min="8" max="8" width="7.7109375" style="27" customWidth="1"/>
    <col min="9" max="10" width="6.7109375" style="1" customWidth="1"/>
    <col min="11" max="11" width="7.5703125" style="1" customWidth="1"/>
    <col min="12" max="12" width="7.7109375" style="27" customWidth="1"/>
    <col min="13" max="15" width="6.7109375" style="1" customWidth="1"/>
    <col min="16" max="16" width="7.7109375" style="27" customWidth="1"/>
    <col min="17" max="18" width="6.7109375" style="1" customWidth="1"/>
    <col min="19" max="19" width="7.5703125" style="1" customWidth="1"/>
    <col min="20" max="20" width="7.7109375" style="27" customWidth="1"/>
    <col min="21" max="23" width="6.7109375" style="1" customWidth="1"/>
    <col min="24" max="24" width="7.7109375" style="27" customWidth="1"/>
    <col min="25" max="26" width="6.7109375" style="1" customWidth="1"/>
    <col min="27" max="27" width="7.5703125" style="1" bestFit="1" customWidth="1"/>
    <col min="28" max="28" width="7.7109375" style="27" customWidth="1"/>
    <col min="29" max="32" width="6.7109375" style="1" customWidth="1"/>
    <col min="33" max="16384" width="11.42578125" style="1"/>
  </cols>
  <sheetData>
    <row r="1" spans="2:32" ht="15" customHeight="1" x14ac:dyDescent="0.2">
      <c r="C1" s="83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25"/>
      <c r="Z1" s="25"/>
      <c r="AA1" s="25"/>
      <c r="AB1" s="25"/>
    </row>
    <row r="2" spans="2:32" ht="15" customHeight="1" x14ac:dyDescent="0.2">
      <c r="C2" s="35" t="s">
        <v>33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25"/>
      <c r="Z2" s="25"/>
      <c r="AA2" s="25"/>
      <c r="AB2" s="25"/>
    </row>
    <row r="3" spans="2:32" ht="15" customHeight="1" x14ac:dyDescent="0.2">
      <c r="C3" s="35" t="s">
        <v>449</v>
      </c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25"/>
      <c r="Z3" s="25"/>
      <c r="AA3" s="25"/>
      <c r="AB3" s="25"/>
    </row>
    <row r="4" spans="2:32" ht="15" customHeight="1" x14ac:dyDescent="0.2">
      <c r="B4" s="83"/>
      <c r="E4" s="26"/>
      <c r="F4" s="26"/>
      <c r="G4" s="26"/>
      <c r="H4" s="61"/>
      <c r="I4" s="26"/>
      <c r="J4" s="26"/>
      <c r="K4" s="26"/>
      <c r="L4" s="61"/>
      <c r="M4" s="26"/>
      <c r="N4" s="26"/>
      <c r="O4" s="26"/>
      <c r="P4" s="61"/>
      <c r="Q4" s="26"/>
      <c r="R4" s="26"/>
      <c r="S4" s="26"/>
      <c r="T4" s="61"/>
      <c r="U4" s="26"/>
      <c r="V4" s="26"/>
      <c r="W4" s="26"/>
      <c r="X4" s="61"/>
      <c r="Y4" s="26"/>
      <c r="Z4" s="26"/>
      <c r="AA4" s="26"/>
      <c r="AB4" s="61"/>
    </row>
    <row r="5" spans="2:32" ht="12.75" customHeight="1" x14ac:dyDescent="0.2">
      <c r="B5" s="5567" t="s">
        <v>16</v>
      </c>
      <c r="C5" s="5567" t="s">
        <v>4</v>
      </c>
      <c r="D5" s="5567" t="s">
        <v>77</v>
      </c>
      <c r="E5" s="5562" t="s">
        <v>156</v>
      </c>
      <c r="F5" s="5562" t="s">
        <v>154</v>
      </c>
      <c r="G5" s="5562" t="s">
        <v>155</v>
      </c>
      <c r="H5" s="5563" t="s">
        <v>157</v>
      </c>
      <c r="I5" s="5562" t="s">
        <v>73</v>
      </c>
      <c r="J5" s="5562" t="s">
        <v>71</v>
      </c>
      <c r="K5" s="5562" t="s">
        <v>70</v>
      </c>
      <c r="L5" s="5563" t="s">
        <v>61</v>
      </c>
      <c r="M5" s="5562" t="s">
        <v>72</v>
      </c>
      <c r="N5" s="5562" t="s">
        <v>24</v>
      </c>
      <c r="O5" s="5562" t="s">
        <v>23</v>
      </c>
      <c r="P5" s="5562" t="s">
        <v>62</v>
      </c>
      <c r="Q5" s="5561" t="s">
        <v>69</v>
      </c>
      <c r="R5" s="5562" t="s">
        <v>59</v>
      </c>
      <c r="S5" s="5562" t="s">
        <v>21</v>
      </c>
      <c r="T5" s="5562" t="s">
        <v>63</v>
      </c>
      <c r="U5" s="5561" t="s">
        <v>22</v>
      </c>
      <c r="V5" s="5562" t="s">
        <v>17</v>
      </c>
      <c r="W5" s="5562" t="s">
        <v>18</v>
      </c>
      <c r="X5" s="5562" t="s">
        <v>64</v>
      </c>
      <c r="Y5" s="5561" t="s">
        <v>150</v>
      </c>
      <c r="Z5" s="5562" t="s">
        <v>148</v>
      </c>
      <c r="AA5" s="5562" t="s">
        <v>149</v>
      </c>
      <c r="AB5" s="5562" t="s">
        <v>151</v>
      </c>
      <c r="AC5" s="5561" t="s">
        <v>325</v>
      </c>
      <c r="AD5" s="5562" t="s">
        <v>324</v>
      </c>
      <c r="AE5" s="5562" t="s">
        <v>323</v>
      </c>
      <c r="AF5" s="5562" t="s">
        <v>327</v>
      </c>
    </row>
    <row r="6" spans="2:32" x14ac:dyDescent="0.2">
      <c r="B6" s="5567"/>
      <c r="C6" s="5567"/>
      <c r="D6" s="5567"/>
      <c r="E6" s="5562"/>
      <c r="F6" s="5562"/>
      <c r="G6" s="5562"/>
      <c r="H6" s="5563"/>
      <c r="I6" s="5562"/>
      <c r="J6" s="5562"/>
      <c r="K6" s="5562"/>
      <c r="L6" s="5563"/>
      <c r="M6" s="5562"/>
      <c r="N6" s="5562"/>
      <c r="O6" s="5562"/>
      <c r="P6" s="5562"/>
      <c r="Q6" s="5561"/>
      <c r="R6" s="5562"/>
      <c r="S6" s="5562"/>
      <c r="T6" s="5562"/>
      <c r="U6" s="5561"/>
      <c r="V6" s="5562"/>
      <c r="W6" s="5562"/>
      <c r="X6" s="5562"/>
      <c r="Y6" s="5561"/>
      <c r="Z6" s="5562"/>
      <c r="AA6" s="5562"/>
      <c r="AB6" s="5562"/>
      <c r="AC6" s="5561"/>
      <c r="AD6" s="5562"/>
      <c r="AE6" s="5562"/>
      <c r="AF6" s="5562"/>
    </row>
    <row r="7" spans="2:32" s="47" customFormat="1" ht="24" x14ac:dyDescent="0.2">
      <c r="B7" s="5558" t="s">
        <v>3</v>
      </c>
      <c r="C7" s="5558" t="s">
        <v>5</v>
      </c>
      <c r="D7" s="145" t="s">
        <v>231</v>
      </c>
      <c r="E7" s="146"/>
      <c r="F7" s="147"/>
      <c r="G7" s="147"/>
      <c r="H7" s="148"/>
      <c r="I7" s="146"/>
      <c r="J7" s="147"/>
      <c r="K7" s="147"/>
      <c r="L7" s="148"/>
      <c r="M7" s="146"/>
      <c r="N7" s="147"/>
      <c r="O7" s="147"/>
      <c r="P7" s="149"/>
      <c r="Q7" s="147"/>
      <c r="R7" s="147"/>
      <c r="S7" s="147"/>
      <c r="T7" s="149"/>
      <c r="U7" s="147"/>
      <c r="V7" s="147">
        <v>1</v>
      </c>
      <c r="W7" s="147">
        <v>1</v>
      </c>
      <c r="X7" s="149">
        <v>2</v>
      </c>
      <c r="Y7" s="147"/>
      <c r="Z7" s="147"/>
      <c r="AA7" s="147">
        <v>2</v>
      </c>
      <c r="AB7" s="149">
        <f>SUM(Y7:AA7)</f>
        <v>2</v>
      </c>
      <c r="AC7" s="147">
        <v>2</v>
      </c>
      <c r="AD7" s="147"/>
      <c r="AE7" s="147"/>
      <c r="AF7" s="149">
        <f>SUM(AC7:AE7)</f>
        <v>2</v>
      </c>
    </row>
    <row r="8" spans="2:32" s="47" customFormat="1" ht="24" x14ac:dyDescent="0.2">
      <c r="B8" s="5559"/>
      <c r="C8" s="5559"/>
      <c r="D8" s="145" t="s">
        <v>232</v>
      </c>
      <c r="E8" s="150"/>
      <c r="F8" s="151"/>
      <c r="G8" s="151"/>
      <c r="H8" s="15"/>
      <c r="I8" s="150"/>
      <c r="J8" s="151"/>
      <c r="K8" s="151"/>
      <c r="L8" s="15"/>
      <c r="M8" s="150"/>
      <c r="N8" s="151"/>
      <c r="O8" s="151"/>
      <c r="P8" s="152"/>
      <c r="Q8" s="151"/>
      <c r="R8" s="151"/>
      <c r="S8" s="151"/>
      <c r="T8" s="152"/>
      <c r="U8" s="151"/>
      <c r="V8" s="151"/>
      <c r="W8" s="151"/>
      <c r="X8" s="152"/>
      <c r="Y8" s="151"/>
      <c r="Z8" s="151"/>
      <c r="AA8" s="151">
        <v>2</v>
      </c>
      <c r="AB8" s="152">
        <f>SUM(Y8:AA8)</f>
        <v>2</v>
      </c>
      <c r="AC8" s="151"/>
      <c r="AD8" s="151"/>
      <c r="AE8" s="151"/>
      <c r="AF8" s="152"/>
    </row>
    <row r="9" spans="2:32" s="47" customFormat="1" x14ac:dyDescent="0.2">
      <c r="B9" s="5559"/>
      <c r="C9" s="5559"/>
      <c r="D9" s="153" t="s">
        <v>233</v>
      </c>
      <c r="E9" s="150"/>
      <c r="F9" s="151"/>
      <c r="G9" s="151"/>
      <c r="H9" s="15"/>
      <c r="I9" s="150"/>
      <c r="J9" s="151"/>
      <c r="K9" s="151"/>
      <c r="L9" s="15"/>
      <c r="M9" s="150"/>
      <c r="N9" s="151"/>
      <c r="O9" s="151"/>
      <c r="P9" s="152"/>
      <c r="Q9" s="151"/>
      <c r="R9" s="151"/>
      <c r="S9" s="151"/>
      <c r="T9" s="152"/>
      <c r="U9" s="151"/>
      <c r="V9" s="151"/>
      <c r="W9" s="151"/>
      <c r="X9" s="152"/>
      <c r="Y9" s="151"/>
      <c r="Z9" s="151"/>
      <c r="AA9" s="151"/>
      <c r="AB9" s="152"/>
      <c r="AC9" s="151"/>
      <c r="AD9" s="151"/>
      <c r="AE9" s="151"/>
      <c r="AF9" s="152"/>
    </row>
    <row r="10" spans="2:32" s="47" customFormat="1" x14ac:dyDescent="0.2">
      <c r="B10" s="5559"/>
      <c r="C10" s="5559"/>
      <c r="D10" s="153" t="s">
        <v>234</v>
      </c>
      <c r="E10" s="150"/>
      <c r="F10" s="151"/>
      <c r="G10" s="151"/>
      <c r="H10" s="15"/>
      <c r="I10" s="150"/>
      <c r="J10" s="151"/>
      <c r="K10" s="151"/>
      <c r="L10" s="15"/>
      <c r="M10" s="150"/>
      <c r="N10" s="151"/>
      <c r="O10" s="151"/>
      <c r="P10" s="152"/>
      <c r="Q10" s="151"/>
      <c r="R10" s="151">
        <v>1</v>
      </c>
      <c r="S10" s="151"/>
      <c r="T10" s="152">
        <v>1</v>
      </c>
      <c r="U10" s="151"/>
      <c r="V10" s="151"/>
      <c r="W10" s="151"/>
      <c r="X10" s="152"/>
      <c r="Y10" s="151"/>
      <c r="Z10" s="151"/>
      <c r="AA10" s="151"/>
      <c r="AB10" s="152"/>
      <c r="AC10" s="151">
        <v>1</v>
      </c>
      <c r="AD10" s="151"/>
      <c r="AE10" s="151"/>
      <c r="AF10" s="152">
        <f>SUM(AC10:AE10)</f>
        <v>1</v>
      </c>
    </row>
    <row r="11" spans="2:32" s="47" customFormat="1" x14ac:dyDescent="0.2">
      <c r="B11" s="5559"/>
      <c r="C11" s="5559"/>
      <c r="D11" s="145" t="s">
        <v>235</v>
      </c>
      <c r="E11" s="150">
        <v>1</v>
      </c>
      <c r="F11" s="151"/>
      <c r="G11" s="151"/>
      <c r="H11" s="15">
        <v>1</v>
      </c>
      <c r="I11" s="150">
        <v>1</v>
      </c>
      <c r="J11" s="151"/>
      <c r="K11" s="151"/>
      <c r="L11" s="15">
        <v>1</v>
      </c>
      <c r="M11" s="150"/>
      <c r="N11" s="151"/>
      <c r="O11" s="151"/>
      <c r="P11" s="152"/>
      <c r="Q11" s="151"/>
      <c r="R11" s="151"/>
      <c r="S11" s="151"/>
      <c r="T11" s="152"/>
      <c r="U11" s="151"/>
      <c r="V11" s="151"/>
      <c r="W11" s="151"/>
      <c r="X11" s="152"/>
      <c r="Y11" s="151"/>
      <c r="Z11" s="151"/>
      <c r="AA11" s="151"/>
      <c r="AB11" s="152"/>
      <c r="AC11" s="151"/>
      <c r="AD11" s="151"/>
      <c r="AE11" s="151"/>
      <c r="AF11" s="152"/>
    </row>
    <row r="12" spans="2:32" s="47" customFormat="1" ht="12.75" customHeight="1" x14ac:dyDescent="0.2">
      <c r="B12" s="5559"/>
      <c r="C12" s="5558" t="s">
        <v>6</v>
      </c>
      <c r="D12" s="410" t="s">
        <v>236</v>
      </c>
      <c r="E12" s="146"/>
      <c r="F12" s="147"/>
      <c r="G12" s="147"/>
      <c r="H12" s="148"/>
      <c r="I12" s="146"/>
      <c r="J12" s="147"/>
      <c r="K12" s="147"/>
      <c r="L12" s="148"/>
      <c r="M12" s="146"/>
      <c r="N12" s="147"/>
      <c r="O12" s="147"/>
      <c r="P12" s="149"/>
      <c r="Q12" s="147"/>
      <c r="R12" s="147"/>
      <c r="S12" s="147"/>
      <c r="T12" s="149"/>
      <c r="U12" s="147"/>
      <c r="V12" s="147"/>
      <c r="W12" s="147"/>
      <c r="X12" s="149"/>
      <c r="Y12" s="147"/>
      <c r="Z12" s="147"/>
      <c r="AA12" s="147"/>
      <c r="AB12" s="149"/>
      <c r="AC12" s="147"/>
      <c r="AD12" s="147"/>
      <c r="AE12" s="147"/>
      <c r="AF12" s="149"/>
    </row>
    <row r="13" spans="2:32" s="47" customFormat="1" ht="24" x14ac:dyDescent="0.2">
      <c r="B13" s="5559"/>
      <c r="C13" s="5559"/>
      <c r="D13" s="145" t="s">
        <v>237</v>
      </c>
      <c r="E13" s="150"/>
      <c r="F13" s="151"/>
      <c r="G13" s="151"/>
      <c r="H13" s="15"/>
      <c r="I13" s="150"/>
      <c r="J13" s="151"/>
      <c r="K13" s="151"/>
      <c r="L13" s="15"/>
      <c r="M13" s="150">
        <v>1</v>
      </c>
      <c r="N13" s="151"/>
      <c r="O13" s="151"/>
      <c r="P13" s="152">
        <v>1</v>
      </c>
      <c r="Q13" s="151"/>
      <c r="R13" s="151"/>
      <c r="S13" s="151"/>
      <c r="T13" s="152"/>
      <c r="U13" s="151"/>
      <c r="V13" s="151"/>
      <c r="W13" s="151"/>
      <c r="X13" s="152"/>
      <c r="Y13" s="151"/>
      <c r="Z13" s="151"/>
      <c r="AA13" s="151"/>
      <c r="AB13" s="152"/>
      <c r="AC13" s="151"/>
      <c r="AD13" s="151"/>
      <c r="AE13" s="151"/>
      <c r="AF13" s="152"/>
    </row>
    <row r="14" spans="2:32" s="47" customFormat="1" x14ac:dyDescent="0.2">
      <c r="B14" s="5559"/>
      <c r="C14" s="5559"/>
      <c r="D14" s="145" t="s">
        <v>238</v>
      </c>
      <c r="E14" s="150"/>
      <c r="F14" s="151"/>
      <c r="G14" s="151"/>
      <c r="H14" s="15"/>
      <c r="I14" s="150"/>
      <c r="J14" s="151"/>
      <c r="K14" s="151"/>
      <c r="L14" s="15"/>
      <c r="M14" s="150"/>
      <c r="N14" s="151"/>
      <c r="O14" s="151"/>
      <c r="P14" s="152"/>
      <c r="Q14" s="151"/>
      <c r="R14" s="151"/>
      <c r="S14" s="151"/>
      <c r="T14" s="152"/>
      <c r="U14" s="151"/>
      <c r="V14" s="151"/>
      <c r="W14" s="151"/>
      <c r="X14" s="152"/>
      <c r="Y14" s="151"/>
      <c r="Z14" s="151"/>
      <c r="AA14" s="151"/>
      <c r="AB14" s="152"/>
      <c r="AC14" s="151"/>
      <c r="AD14" s="151"/>
      <c r="AE14" s="151"/>
      <c r="AF14" s="152"/>
    </row>
    <row r="15" spans="2:32" s="47" customFormat="1" ht="12.75" customHeight="1" x14ac:dyDescent="0.2">
      <c r="B15" s="5559"/>
      <c r="C15" s="5559"/>
      <c r="D15" s="145" t="s">
        <v>239</v>
      </c>
      <c r="E15" s="150"/>
      <c r="F15" s="151"/>
      <c r="G15" s="151"/>
      <c r="H15" s="15"/>
      <c r="I15" s="150"/>
      <c r="J15" s="151"/>
      <c r="K15" s="151"/>
      <c r="L15" s="15"/>
      <c r="M15" s="150"/>
      <c r="N15" s="151"/>
      <c r="O15" s="151"/>
      <c r="P15" s="152"/>
      <c r="Q15" s="151"/>
      <c r="R15" s="151"/>
      <c r="S15" s="151"/>
      <c r="T15" s="152"/>
      <c r="U15" s="151"/>
      <c r="V15" s="151"/>
      <c r="W15" s="151"/>
      <c r="X15" s="152"/>
      <c r="Y15" s="151"/>
      <c r="Z15" s="151"/>
      <c r="AA15" s="151"/>
      <c r="AB15" s="152"/>
      <c r="AC15" s="151"/>
      <c r="AD15" s="151"/>
      <c r="AE15" s="151"/>
      <c r="AF15" s="152"/>
    </row>
    <row r="16" spans="2:32" s="47" customFormat="1" ht="12.75" customHeight="1" x14ac:dyDescent="0.2">
      <c r="B16" s="5559"/>
      <c r="C16" s="5559"/>
      <c r="D16" s="145" t="s">
        <v>240</v>
      </c>
      <c r="E16" s="150"/>
      <c r="F16" s="151"/>
      <c r="G16" s="151"/>
      <c r="H16" s="15"/>
      <c r="I16" s="150"/>
      <c r="J16" s="151"/>
      <c r="K16" s="151"/>
      <c r="L16" s="15"/>
      <c r="M16" s="150"/>
      <c r="N16" s="151"/>
      <c r="O16" s="151"/>
      <c r="P16" s="152"/>
      <c r="Q16" s="151"/>
      <c r="R16" s="151"/>
      <c r="S16" s="151"/>
      <c r="T16" s="152"/>
      <c r="U16" s="151"/>
      <c r="V16" s="151"/>
      <c r="W16" s="151"/>
      <c r="X16" s="152"/>
      <c r="Y16" s="151"/>
      <c r="Z16" s="151"/>
      <c r="AA16" s="151"/>
      <c r="AB16" s="152"/>
      <c r="AC16" s="151"/>
      <c r="AD16" s="151"/>
      <c r="AE16" s="151"/>
      <c r="AF16" s="152"/>
    </row>
    <row r="17" spans="2:32" s="47" customFormat="1" ht="12.75" customHeight="1" x14ac:dyDescent="0.2">
      <c r="B17" s="5559"/>
      <c r="C17" s="5559"/>
      <c r="D17" s="145" t="s">
        <v>241</v>
      </c>
      <c r="E17" s="150"/>
      <c r="F17" s="151"/>
      <c r="G17" s="151"/>
      <c r="H17" s="15"/>
      <c r="I17" s="150"/>
      <c r="J17" s="151">
        <v>1</v>
      </c>
      <c r="K17" s="151">
        <v>1</v>
      </c>
      <c r="L17" s="15">
        <v>2</v>
      </c>
      <c r="M17" s="150">
        <v>1</v>
      </c>
      <c r="N17" s="151"/>
      <c r="O17" s="151"/>
      <c r="P17" s="152">
        <v>1</v>
      </c>
      <c r="Q17" s="151">
        <v>1</v>
      </c>
      <c r="R17" s="151"/>
      <c r="S17" s="151"/>
      <c r="T17" s="152">
        <v>1</v>
      </c>
      <c r="U17" s="151"/>
      <c r="V17" s="151">
        <v>1</v>
      </c>
      <c r="W17" s="151"/>
      <c r="X17" s="152">
        <v>1</v>
      </c>
      <c r="Y17" s="151"/>
      <c r="Z17" s="151"/>
      <c r="AA17" s="151"/>
      <c r="AB17" s="152"/>
      <c r="AC17" s="151"/>
      <c r="AD17" s="151"/>
      <c r="AE17" s="151"/>
      <c r="AF17" s="152"/>
    </row>
    <row r="18" spans="2:32" s="47" customFormat="1" ht="12.75" customHeight="1" x14ac:dyDescent="0.2">
      <c r="B18" s="5559"/>
      <c r="C18" s="5559"/>
      <c r="D18" s="153" t="s">
        <v>242</v>
      </c>
      <c r="E18" s="150"/>
      <c r="F18" s="151"/>
      <c r="G18" s="151"/>
      <c r="H18" s="15"/>
      <c r="I18" s="150"/>
      <c r="J18" s="151"/>
      <c r="K18" s="151"/>
      <c r="L18" s="15"/>
      <c r="M18" s="150">
        <v>1</v>
      </c>
      <c r="N18" s="151"/>
      <c r="O18" s="151"/>
      <c r="P18" s="152">
        <v>1</v>
      </c>
      <c r="Q18" s="151"/>
      <c r="R18" s="151">
        <v>1</v>
      </c>
      <c r="S18" s="151"/>
      <c r="T18" s="152">
        <v>1</v>
      </c>
      <c r="U18" s="151">
        <v>1</v>
      </c>
      <c r="V18" s="151"/>
      <c r="W18" s="151"/>
      <c r="X18" s="152">
        <v>1</v>
      </c>
      <c r="Y18" s="151"/>
      <c r="Z18" s="151"/>
      <c r="AA18" s="151"/>
      <c r="AB18" s="152"/>
      <c r="AC18" s="151"/>
      <c r="AD18" s="151"/>
      <c r="AE18" s="151"/>
      <c r="AF18" s="152"/>
    </row>
    <row r="19" spans="2:32" s="47" customFormat="1" ht="12.75" customHeight="1" x14ac:dyDescent="0.2">
      <c r="B19" s="5559"/>
      <c r="C19" s="5559"/>
      <c r="D19" s="153" t="s">
        <v>243</v>
      </c>
      <c r="E19" s="150"/>
      <c r="F19" s="151"/>
      <c r="G19" s="151"/>
      <c r="H19" s="15"/>
      <c r="I19" s="150"/>
      <c r="J19" s="151"/>
      <c r="K19" s="151">
        <v>1</v>
      </c>
      <c r="L19" s="15">
        <v>1</v>
      </c>
      <c r="M19" s="150"/>
      <c r="N19" s="151"/>
      <c r="O19" s="151"/>
      <c r="P19" s="152"/>
      <c r="Q19" s="151"/>
      <c r="R19" s="151"/>
      <c r="S19" s="151"/>
      <c r="T19" s="152"/>
      <c r="U19" s="151"/>
      <c r="V19" s="151"/>
      <c r="W19" s="151"/>
      <c r="X19" s="152"/>
      <c r="Y19" s="151"/>
      <c r="Z19" s="151"/>
      <c r="AA19" s="151"/>
      <c r="AB19" s="152"/>
      <c r="AC19" s="151"/>
      <c r="AD19" s="151"/>
      <c r="AE19" s="151"/>
      <c r="AF19" s="152"/>
    </row>
    <row r="20" spans="2:32" s="47" customFormat="1" ht="12.75" customHeight="1" x14ac:dyDescent="0.2">
      <c r="B20" s="5559"/>
      <c r="C20" s="5559"/>
      <c r="D20" s="145" t="s">
        <v>244</v>
      </c>
      <c r="E20" s="150"/>
      <c r="F20" s="151"/>
      <c r="G20" s="151"/>
      <c r="H20" s="15"/>
      <c r="I20" s="150"/>
      <c r="J20" s="151"/>
      <c r="K20" s="151"/>
      <c r="L20" s="15"/>
      <c r="M20" s="150"/>
      <c r="N20" s="151"/>
      <c r="O20" s="151"/>
      <c r="P20" s="152"/>
      <c r="Q20" s="151"/>
      <c r="R20" s="151"/>
      <c r="S20" s="151"/>
      <c r="T20" s="152"/>
      <c r="U20" s="151"/>
      <c r="V20" s="151"/>
      <c r="W20" s="151"/>
      <c r="X20" s="152"/>
      <c r="Y20" s="151"/>
      <c r="Z20" s="151"/>
      <c r="AA20" s="151"/>
      <c r="AB20" s="152"/>
      <c r="AC20" s="151"/>
      <c r="AD20" s="151"/>
      <c r="AE20" s="151"/>
      <c r="AF20" s="152"/>
    </row>
    <row r="21" spans="2:32" s="47" customFormat="1" x14ac:dyDescent="0.2">
      <c r="B21" s="5559"/>
      <c r="C21" s="5559"/>
      <c r="D21" s="145" t="s">
        <v>245</v>
      </c>
      <c r="E21" s="150"/>
      <c r="F21" s="151"/>
      <c r="G21" s="151"/>
      <c r="H21" s="15"/>
      <c r="I21" s="150"/>
      <c r="J21" s="151"/>
      <c r="K21" s="151"/>
      <c r="L21" s="15"/>
      <c r="M21" s="150"/>
      <c r="N21" s="151"/>
      <c r="O21" s="151"/>
      <c r="P21" s="152"/>
      <c r="Q21" s="151"/>
      <c r="R21" s="151"/>
      <c r="S21" s="151"/>
      <c r="T21" s="152"/>
      <c r="U21" s="151"/>
      <c r="V21" s="151"/>
      <c r="W21" s="151"/>
      <c r="X21" s="152"/>
      <c r="Y21" s="151"/>
      <c r="Z21" s="151"/>
      <c r="AA21" s="151"/>
      <c r="AB21" s="152"/>
      <c r="AC21" s="151"/>
      <c r="AD21" s="151"/>
      <c r="AE21" s="151"/>
      <c r="AF21" s="152"/>
    </row>
    <row r="22" spans="2:32" s="47" customFormat="1" x14ac:dyDescent="0.2">
      <c r="B22" s="5559"/>
      <c r="C22" s="5559"/>
      <c r="D22" s="145" t="s">
        <v>246</v>
      </c>
      <c r="E22" s="150"/>
      <c r="F22" s="151"/>
      <c r="G22" s="151"/>
      <c r="H22" s="15"/>
      <c r="I22" s="150"/>
      <c r="J22" s="151"/>
      <c r="K22" s="151"/>
      <c r="L22" s="15"/>
      <c r="M22" s="150"/>
      <c r="N22" s="151"/>
      <c r="O22" s="151"/>
      <c r="P22" s="152"/>
      <c r="Q22" s="151"/>
      <c r="R22" s="151"/>
      <c r="S22" s="151"/>
      <c r="T22" s="152"/>
      <c r="U22" s="151"/>
      <c r="V22" s="151"/>
      <c r="W22" s="151"/>
      <c r="X22" s="152"/>
      <c r="Y22" s="151"/>
      <c r="Z22" s="151"/>
      <c r="AA22" s="151"/>
      <c r="AB22" s="152"/>
      <c r="AC22" s="151"/>
      <c r="AD22" s="151"/>
      <c r="AE22" s="151"/>
      <c r="AF22" s="152"/>
    </row>
    <row r="23" spans="2:32" s="47" customFormat="1" ht="24" x14ac:dyDescent="0.2">
      <c r="B23" s="5559"/>
      <c r="C23" s="5560"/>
      <c r="D23" s="411" t="s">
        <v>247</v>
      </c>
      <c r="E23" s="154"/>
      <c r="F23" s="155"/>
      <c r="G23" s="155"/>
      <c r="H23" s="156"/>
      <c r="I23" s="154"/>
      <c r="J23" s="155"/>
      <c r="K23" s="155"/>
      <c r="L23" s="156"/>
      <c r="M23" s="154"/>
      <c r="N23" s="155"/>
      <c r="O23" s="155"/>
      <c r="P23" s="157"/>
      <c r="Q23" s="155"/>
      <c r="R23" s="155"/>
      <c r="S23" s="155"/>
      <c r="T23" s="157"/>
      <c r="U23" s="155"/>
      <c r="V23" s="155"/>
      <c r="W23" s="155"/>
      <c r="X23" s="157"/>
      <c r="Y23" s="155"/>
      <c r="Z23" s="155"/>
      <c r="AA23" s="155"/>
      <c r="AB23" s="157"/>
      <c r="AC23" s="155"/>
      <c r="AD23" s="155"/>
      <c r="AE23" s="155"/>
      <c r="AF23" s="157"/>
    </row>
    <row r="24" spans="2:32" s="47" customFormat="1" ht="12.75" customHeight="1" x14ac:dyDescent="0.2">
      <c r="B24" s="5559"/>
      <c r="C24" s="5559" t="s">
        <v>7</v>
      </c>
      <c r="D24" s="145" t="s">
        <v>313</v>
      </c>
      <c r="E24" s="150"/>
      <c r="F24" s="151"/>
      <c r="G24" s="151"/>
      <c r="H24" s="15"/>
      <c r="I24" s="150"/>
      <c r="J24" s="151"/>
      <c r="K24" s="151"/>
      <c r="L24" s="15"/>
      <c r="M24" s="150"/>
      <c r="N24" s="151"/>
      <c r="O24" s="151"/>
      <c r="P24" s="152"/>
      <c r="Q24" s="151"/>
      <c r="R24" s="151"/>
      <c r="S24" s="151"/>
      <c r="T24" s="152"/>
      <c r="U24" s="151"/>
      <c r="V24" s="151">
        <v>1</v>
      </c>
      <c r="W24" s="151"/>
      <c r="X24" s="152">
        <v>1</v>
      </c>
      <c r="AB24" s="152"/>
      <c r="AF24" s="152"/>
    </row>
    <row r="25" spans="2:32" s="47" customFormat="1" ht="12.75" customHeight="1" x14ac:dyDescent="0.2">
      <c r="B25" s="5559"/>
      <c r="C25" s="5559"/>
      <c r="D25" s="145" t="s">
        <v>248</v>
      </c>
      <c r="E25" s="150">
        <v>1</v>
      </c>
      <c r="F25" s="151"/>
      <c r="G25" s="151">
        <v>1</v>
      </c>
      <c r="H25" s="15">
        <v>2</v>
      </c>
      <c r="I25" s="150"/>
      <c r="J25" s="151"/>
      <c r="K25" s="151"/>
      <c r="L25" s="15"/>
      <c r="M25" s="150">
        <v>1</v>
      </c>
      <c r="N25" s="151">
        <v>1</v>
      </c>
      <c r="O25" s="151"/>
      <c r="P25" s="152">
        <v>2</v>
      </c>
      <c r="Q25" s="151"/>
      <c r="R25" s="151">
        <v>1</v>
      </c>
      <c r="S25" s="151">
        <v>1</v>
      </c>
      <c r="T25" s="152">
        <v>2</v>
      </c>
      <c r="U25" s="151"/>
      <c r="V25" s="151"/>
      <c r="W25" s="151"/>
      <c r="X25" s="152"/>
      <c r="Y25" s="151">
        <v>1</v>
      </c>
      <c r="Z25" s="151"/>
      <c r="AA25" s="151">
        <v>1</v>
      </c>
      <c r="AB25" s="152">
        <f>SUM(Y25:AA25)</f>
        <v>2</v>
      </c>
      <c r="AC25" s="151"/>
      <c r="AD25" s="151"/>
      <c r="AE25" s="151"/>
      <c r="AF25" s="152"/>
    </row>
    <row r="26" spans="2:32" s="47" customFormat="1" ht="12.75" customHeight="1" x14ac:dyDescent="0.2">
      <c r="B26" s="5559"/>
      <c r="C26" s="5559"/>
      <c r="D26" s="145" t="s">
        <v>249</v>
      </c>
      <c r="E26" s="150"/>
      <c r="F26" s="151"/>
      <c r="G26" s="151"/>
      <c r="H26" s="15"/>
      <c r="I26" s="150"/>
      <c r="J26" s="151"/>
      <c r="K26" s="151"/>
      <c r="L26" s="15"/>
      <c r="M26" s="150"/>
      <c r="N26" s="151"/>
      <c r="O26" s="151"/>
      <c r="P26" s="152"/>
      <c r="Q26" s="151">
        <v>1</v>
      </c>
      <c r="R26" s="151">
        <v>1</v>
      </c>
      <c r="S26" s="151"/>
      <c r="T26" s="152">
        <v>2</v>
      </c>
      <c r="U26" s="151"/>
      <c r="V26" s="151"/>
      <c r="W26" s="151"/>
      <c r="X26" s="152"/>
      <c r="Y26" s="151"/>
      <c r="Z26" s="151"/>
      <c r="AA26" s="151">
        <v>1</v>
      </c>
      <c r="AB26" s="152">
        <f>SUM(Y26:AA26)</f>
        <v>1</v>
      </c>
      <c r="AC26" s="151">
        <v>1</v>
      </c>
      <c r="AD26" s="151"/>
      <c r="AE26" s="151">
        <v>2</v>
      </c>
      <c r="AF26" s="152">
        <f>SUM(AC26:AE26)</f>
        <v>3</v>
      </c>
    </row>
    <row r="27" spans="2:32" s="47" customFormat="1" ht="12.75" customHeight="1" x14ac:dyDescent="0.2">
      <c r="B27" s="5560"/>
      <c r="C27" s="5559"/>
      <c r="D27" s="145" t="s">
        <v>250</v>
      </c>
      <c r="E27" s="150"/>
      <c r="F27" s="151"/>
      <c r="G27" s="151"/>
      <c r="H27" s="15"/>
      <c r="I27" s="150"/>
      <c r="J27" s="151"/>
      <c r="K27" s="151"/>
      <c r="L27" s="15"/>
      <c r="M27" s="150"/>
      <c r="N27" s="151"/>
      <c r="O27" s="151"/>
      <c r="P27" s="152"/>
      <c r="Q27" s="151"/>
      <c r="R27" s="151"/>
      <c r="S27" s="151"/>
      <c r="T27" s="152"/>
      <c r="U27" s="151"/>
      <c r="V27" s="151"/>
      <c r="W27" s="151"/>
      <c r="X27" s="152"/>
      <c r="Y27" s="151"/>
      <c r="Z27" s="151"/>
      <c r="AA27" s="151"/>
      <c r="AB27" s="152"/>
      <c r="AC27" s="151"/>
      <c r="AD27" s="151"/>
      <c r="AE27" s="151"/>
      <c r="AF27" s="152"/>
    </row>
    <row r="28" spans="2:32" s="47" customFormat="1" ht="12.75" customHeight="1" x14ac:dyDescent="0.2">
      <c r="B28" s="5558" t="s">
        <v>75</v>
      </c>
      <c r="C28" s="5558" t="s">
        <v>5</v>
      </c>
      <c r="D28" s="412" t="s">
        <v>251</v>
      </c>
      <c r="E28" s="146"/>
      <c r="F28" s="147"/>
      <c r="G28" s="147"/>
      <c r="H28" s="148"/>
      <c r="I28" s="146"/>
      <c r="J28" s="147"/>
      <c r="K28" s="147"/>
      <c r="L28" s="148"/>
      <c r="M28" s="146">
        <v>1</v>
      </c>
      <c r="N28" s="147"/>
      <c r="O28" s="147"/>
      <c r="P28" s="149">
        <v>1</v>
      </c>
      <c r="Q28" s="147"/>
      <c r="R28" s="147"/>
      <c r="S28" s="147"/>
      <c r="T28" s="149"/>
      <c r="U28" s="147"/>
      <c r="V28" s="147"/>
      <c r="W28" s="147"/>
      <c r="X28" s="149"/>
      <c r="Y28" s="147"/>
      <c r="Z28" s="147"/>
      <c r="AA28" s="147"/>
      <c r="AB28" s="149"/>
      <c r="AC28" s="147"/>
      <c r="AD28" s="147"/>
      <c r="AE28" s="147"/>
      <c r="AF28" s="149"/>
    </row>
    <row r="29" spans="2:32" s="47" customFormat="1" ht="12.75" customHeight="1" x14ac:dyDescent="0.2">
      <c r="B29" s="5559"/>
      <c r="C29" s="5559"/>
      <c r="D29" s="153" t="s">
        <v>252</v>
      </c>
      <c r="E29" s="150"/>
      <c r="F29" s="151"/>
      <c r="G29" s="151"/>
      <c r="H29" s="15"/>
      <c r="I29" s="150"/>
      <c r="J29" s="151"/>
      <c r="K29" s="151"/>
      <c r="L29" s="15"/>
      <c r="M29" s="150"/>
      <c r="N29" s="151"/>
      <c r="O29" s="151"/>
      <c r="P29" s="152"/>
      <c r="Q29" s="151"/>
      <c r="R29" s="151"/>
      <c r="S29" s="151"/>
      <c r="T29" s="152"/>
      <c r="U29" s="151"/>
      <c r="V29" s="151"/>
      <c r="W29" s="151"/>
      <c r="X29" s="152"/>
      <c r="Y29" s="151"/>
      <c r="Z29" s="151"/>
      <c r="AA29" s="151"/>
      <c r="AB29" s="152"/>
      <c r="AC29" s="151"/>
      <c r="AD29" s="151"/>
      <c r="AE29" s="151"/>
      <c r="AF29" s="152"/>
    </row>
    <row r="30" spans="2:32" s="47" customFormat="1" ht="12.75" customHeight="1" x14ac:dyDescent="0.2">
      <c r="B30" s="5559"/>
      <c r="C30" s="5559"/>
      <c r="D30" s="153" t="s">
        <v>303</v>
      </c>
      <c r="E30" s="150"/>
      <c r="F30" s="151"/>
      <c r="G30" s="151"/>
      <c r="H30" s="15"/>
      <c r="I30" s="150"/>
      <c r="J30" s="151"/>
      <c r="K30" s="151"/>
      <c r="L30" s="15"/>
      <c r="M30" s="150"/>
      <c r="N30" s="151"/>
      <c r="O30" s="151"/>
      <c r="P30" s="152"/>
      <c r="Q30" s="151">
        <v>1</v>
      </c>
      <c r="R30" s="151"/>
      <c r="S30" s="151"/>
      <c r="T30" s="152">
        <v>1</v>
      </c>
      <c r="U30" s="151"/>
      <c r="V30" s="151"/>
      <c r="W30" s="151">
        <v>1</v>
      </c>
      <c r="X30" s="152">
        <v>1</v>
      </c>
      <c r="Y30" s="151">
        <v>1</v>
      </c>
      <c r="Z30" s="151">
        <v>3</v>
      </c>
      <c r="AA30" s="151"/>
      <c r="AB30" s="152">
        <f>SUM(Y30:AA30)</f>
        <v>4</v>
      </c>
      <c r="AC30" s="151">
        <v>1</v>
      </c>
      <c r="AD30" s="151">
        <v>1</v>
      </c>
      <c r="AE30" s="151"/>
      <c r="AF30" s="152">
        <f>SUM(AC30:AE30)</f>
        <v>2</v>
      </c>
    </row>
    <row r="31" spans="2:32" s="47" customFormat="1" ht="12.75" customHeight="1" x14ac:dyDescent="0.2">
      <c r="B31" s="5559"/>
      <c r="C31" s="5559"/>
      <c r="D31" s="153" t="s">
        <v>253</v>
      </c>
      <c r="E31" s="150"/>
      <c r="F31" s="151"/>
      <c r="G31" s="151"/>
      <c r="H31" s="15"/>
      <c r="I31" s="150"/>
      <c r="J31" s="151"/>
      <c r="K31" s="151"/>
      <c r="L31" s="15"/>
      <c r="M31" s="150"/>
      <c r="N31" s="151"/>
      <c r="O31" s="151"/>
      <c r="P31" s="152"/>
      <c r="Q31" s="151"/>
      <c r="R31" s="151"/>
      <c r="S31" s="151"/>
      <c r="T31" s="152"/>
      <c r="U31" s="151"/>
      <c r="V31" s="151"/>
      <c r="W31" s="151"/>
      <c r="X31" s="152"/>
      <c r="Y31" s="151"/>
      <c r="Z31" s="151"/>
      <c r="AA31" s="151"/>
      <c r="AB31" s="152"/>
      <c r="AC31" s="151"/>
      <c r="AD31" s="151"/>
      <c r="AE31" s="151"/>
      <c r="AF31" s="152"/>
    </row>
    <row r="32" spans="2:32" s="47" customFormat="1" ht="12.75" customHeight="1" x14ac:dyDescent="0.2">
      <c r="B32" s="5559"/>
      <c r="C32" s="5559"/>
      <c r="D32" s="153" t="s">
        <v>254</v>
      </c>
      <c r="E32" s="150"/>
      <c r="F32" s="151"/>
      <c r="G32" s="151"/>
      <c r="H32" s="15"/>
      <c r="I32" s="150"/>
      <c r="J32" s="151"/>
      <c r="K32" s="151"/>
      <c r="L32" s="15"/>
      <c r="M32" s="150"/>
      <c r="N32" s="151"/>
      <c r="O32" s="151"/>
      <c r="P32" s="152"/>
      <c r="Q32" s="151"/>
      <c r="R32" s="151">
        <v>1</v>
      </c>
      <c r="S32" s="151">
        <v>1</v>
      </c>
      <c r="T32" s="152">
        <v>2</v>
      </c>
      <c r="U32" s="151"/>
      <c r="V32" s="151"/>
      <c r="W32" s="151"/>
      <c r="X32" s="152"/>
      <c r="Y32" s="151"/>
      <c r="Z32" s="151"/>
      <c r="AA32" s="151"/>
      <c r="AB32" s="152"/>
      <c r="AC32" s="151"/>
      <c r="AD32" s="151"/>
      <c r="AE32" s="151"/>
      <c r="AF32" s="152"/>
    </row>
    <row r="33" spans="2:32" s="47" customFormat="1" ht="12.75" customHeight="1" x14ac:dyDescent="0.2">
      <c r="B33" s="5559"/>
      <c r="C33" s="5559"/>
      <c r="D33" s="153" t="s">
        <v>255</v>
      </c>
      <c r="E33" s="150"/>
      <c r="F33" s="151"/>
      <c r="G33" s="151">
        <v>2</v>
      </c>
      <c r="H33" s="15">
        <v>2</v>
      </c>
      <c r="I33" s="150"/>
      <c r="J33" s="151"/>
      <c r="K33" s="151"/>
      <c r="L33" s="15"/>
      <c r="M33" s="150">
        <v>1</v>
      </c>
      <c r="N33" s="151"/>
      <c r="O33" s="151"/>
      <c r="P33" s="152">
        <v>1</v>
      </c>
      <c r="Q33" s="151"/>
      <c r="R33" s="151"/>
      <c r="S33" s="151"/>
      <c r="T33" s="152"/>
      <c r="U33" s="151"/>
      <c r="V33" s="151"/>
      <c r="W33" s="151"/>
      <c r="X33" s="152"/>
      <c r="Y33" s="151"/>
      <c r="Z33" s="151"/>
      <c r="AA33" s="151"/>
      <c r="AB33" s="152"/>
      <c r="AC33" s="151"/>
      <c r="AD33" s="151"/>
      <c r="AE33" s="151"/>
      <c r="AF33" s="152"/>
    </row>
    <row r="34" spans="2:32" s="47" customFormat="1" ht="12.75" customHeight="1" x14ac:dyDescent="0.2">
      <c r="B34" s="5559"/>
      <c r="C34" s="5559"/>
      <c r="D34" s="153" t="s">
        <v>256</v>
      </c>
      <c r="E34" s="150"/>
      <c r="F34" s="151"/>
      <c r="G34" s="151"/>
      <c r="H34" s="15"/>
      <c r="I34" s="150">
        <v>1</v>
      </c>
      <c r="J34" s="151"/>
      <c r="K34" s="151"/>
      <c r="L34" s="15">
        <v>1</v>
      </c>
      <c r="M34" s="150"/>
      <c r="N34" s="151"/>
      <c r="O34" s="151"/>
      <c r="P34" s="152"/>
      <c r="Q34" s="151"/>
      <c r="R34" s="151"/>
      <c r="S34" s="151">
        <v>1</v>
      </c>
      <c r="T34" s="152">
        <v>1</v>
      </c>
      <c r="U34" s="151">
        <v>1</v>
      </c>
      <c r="V34" s="151"/>
      <c r="W34" s="151"/>
      <c r="X34" s="152">
        <v>1</v>
      </c>
      <c r="Y34" s="151"/>
      <c r="Z34" s="151"/>
      <c r="AA34" s="151"/>
      <c r="AB34" s="152"/>
      <c r="AC34" s="151"/>
      <c r="AD34" s="151"/>
      <c r="AE34" s="151"/>
      <c r="AF34" s="152"/>
    </row>
    <row r="35" spans="2:32" s="47" customFormat="1" ht="12.75" customHeight="1" x14ac:dyDescent="0.2">
      <c r="B35" s="5559"/>
      <c r="C35" s="5559"/>
      <c r="D35" s="153" t="s">
        <v>257</v>
      </c>
      <c r="E35" s="150"/>
      <c r="F35" s="151"/>
      <c r="G35" s="151"/>
      <c r="H35" s="15"/>
      <c r="I35" s="150"/>
      <c r="J35" s="151"/>
      <c r="K35" s="151"/>
      <c r="L35" s="15"/>
      <c r="M35" s="150"/>
      <c r="N35" s="151"/>
      <c r="O35" s="151"/>
      <c r="P35" s="152"/>
      <c r="Q35" s="151"/>
      <c r="R35" s="151"/>
      <c r="S35" s="151"/>
      <c r="T35" s="152"/>
      <c r="U35" s="151"/>
      <c r="V35" s="151">
        <v>1</v>
      </c>
      <c r="W35" s="151"/>
      <c r="X35" s="152">
        <v>1</v>
      </c>
      <c r="Y35" s="151"/>
      <c r="Z35" s="151"/>
      <c r="AA35" s="151"/>
      <c r="AB35" s="152"/>
      <c r="AC35" s="151"/>
      <c r="AD35" s="151"/>
      <c r="AE35" s="151"/>
      <c r="AF35" s="152"/>
    </row>
    <row r="36" spans="2:32" s="47" customFormat="1" ht="12.75" customHeight="1" x14ac:dyDescent="0.2">
      <c r="B36" s="5559"/>
      <c r="C36" s="5559"/>
      <c r="D36" s="153" t="s">
        <v>258</v>
      </c>
      <c r="E36" s="150"/>
      <c r="F36" s="151"/>
      <c r="G36" s="151"/>
      <c r="H36" s="15"/>
      <c r="I36" s="150"/>
      <c r="J36" s="151"/>
      <c r="K36" s="151"/>
      <c r="L36" s="15"/>
      <c r="M36" s="150"/>
      <c r="N36" s="151"/>
      <c r="O36" s="151"/>
      <c r="P36" s="152"/>
      <c r="Q36" s="151"/>
      <c r="R36" s="151"/>
      <c r="S36" s="151"/>
      <c r="T36" s="152"/>
      <c r="U36" s="151"/>
      <c r="V36" s="151"/>
      <c r="W36" s="151"/>
      <c r="X36" s="152"/>
      <c r="Y36" s="151"/>
      <c r="Z36" s="151"/>
      <c r="AA36" s="151"/>
      <c r="AB36" s="152"/>
      <c r="AC36" s="151"/>
      <c r="AD36" s="151"/>
      <c r="AE36" s="151">
        <v>1</v>
      </c>
      <c r="AF36" s="152">
        <f>SUM(AC36:AE36)</f>
        <v>1</v>
      </c>
    </row>
    <row r="37" spans="2:32" s="47" customFormat="1" ht="12.75" customHeight="1" x14ac:dyDescent="0.2">
      <c r="B37" s="5559"/>
      <c r="C37" s="5559"/>
      <c r="D37" s="153" t="s">
        <v>259</v>
      </c>
      <c r="E37" s="150"/>
      <c r="F37" s="151"/>
      <c r="G37" s="151"/>
      <c r="H37" s="15"/>
      <c r="I37" s="150"/>
      <c r="J37" s="151"/>
      <c r="K37" s="151"/>
      <c r="L37" s="15"/>
      <c r="M37" s="150">
        <v>1</v>
      </c>
      <c r="N37" s="151"/>
      <c r="O37" s="151"/>
      <c r="P37" s="152">
        <v>1</v>
      </c>
      <c r="Q37" s="151"/>
      <c r="R37" s="151"/>
      <c r="S37" s="151"/>
      <c r="T37" s="152"/>
      <c r="U37" s="151"/>
      <c r="V37" s="151"/>
      <c r="W37" s="151"/>
      <c r="X37" s="152"/>
      <c r="Y37" s="151"/>
      <c r="Z37" s="151"/>
      <c r="AA37" s="151"/>
      <c r="AB37" s="152"/>
      <c r="AC37" s="151"/>
      <c r="AD37" s="151"/>
      <c r="AE37" s="151"/>
      <c r="AF37" s="152"/>
    </row>
    <row r="38" spans="2:32" s="47" customFormat="1" ht="24" x14ac:dyDescent="0.2">
      <c r="B38" s="5559"/>
      <c r="C38" s="5559"/>
      <c r="D38" s="153" t="s">
        <v>260</v>
      </c>
      <c r="E38" s="150"/>
      <c r="F38" s="151"/>
      <c r="G38" s="151"/>
      <c r="H38" s="15"/>
      <c r="I38" s="150"/>
      <c r="J38" s="151"/>
      <c r="K38" s="151"/>
      <c r="L38" s="15"/>
      <c r="M38" s="150"/>
      <c r="N38" s="151"/>
      <c r="O38" s="151"/>
      <c r="P38" s="152"/>
      <c r="Q38" s="151"/>
      <c r="R38" s="151"/>
      <c r="S38" s="151"/>
      <c r="T38" s="152"/>
      <c r="U38" s="151"/>
      <c r="V38" s="151"/>
      <c r="W38" s="151"/>
      <c r="X38" s="152"/>
      <c r="Y38" s="151"/>
      <c r="Z38" s="151"/>
      <c r="AA38" s="151"/>
      <c r="AB38" s="152"/>
      <c r="AC38" s="151"/>
      <c r="AD38" s="151"/>
      <c r="AE38" s="151"/>
      <c r="AF38" s="152"/>
    </row>
    <row r="39" spans="2:32" s="47" customFormat="1" ht="12.75" customHeight="1" x14ac:dyDescent="0.2">
      <c r="B39" s="5559"/>
      <c r="C39" s="5560"/>
      <c r="D39" s="413" t="s">
        <v>261</v>
      </c>
      <c r="E39" s="154"/>
      <c r="F39" s="155"/>
      <c r="G39" s="155"/>
      <c r="H39" s="156"/>
      <c r="I39" s="154">
        <v>1</v>
      </c>
      <c r="J39" s="155"/>
      <c r="K39" s="155"/>
      <c r="L39" s="156">
        <v>1</v>
      </c>
      <c r="M39" s="154"/>
      <c r="N39" s="155"/>
      <c r="O39" s="155"/>
      <c r="P39" s="157"/>
      <c r="Q39" s="155"/>
      <c r="R39" s="155"/>
      <c r="S39" s="155"/>
      <c r="T39" s="157"/>
      <c r="U39" s="155"/>
      <c r="V39" s="155"/>
      <c r="W39" s="155"/>
      <c r="X39" s="157"/>
      <c r="Y39" s="155"/>
      <c r="Z39" s="155"/>
      <c r="AA39" s="155"/>
      <c r="AB39" s="157"/>
      <c r="AC39" s="155"/>
      <c r="AD39" s="155"/>
      <c r="AE39" s="155"/>
      <c r="AF39" s="157"/>
    </row>
    <row r="40" spans="2:32" s="47" customFormat="1" ht="12.75" customHeight="1" x14ac:dyDescent="0.2">
      <c r="B40" s="5559"/>
      <c r="C40" s="5559" t="s">
        <v>6</v>
      </c>
      <c r="D40" s="153" t="s">
        <v>262</v>
      </c>
      <c r="E40" s="150"/>
      <c r="F40" s="151"/>
      <c r="G40" s="151"/>
      <c r="H40" s="15"/>
      <c r="I40" s="150"/>
      <c r="J40" s="151"/>
      <c r="K40" s="151"/>
      <c r="L40" s="15"/>
      <c r="M40" s="150"/>
      <c r="N40" s="151"/>
      <c r="O40" s="151"/>
      <c r="P40" s="152"/>
      <c r="Q40" s="151"/>
      <c r="R40" s="151"/>
      <c r="S40" s="151"/>
      <c r="T40" s="152"/>
      <c r="U40" s="151"/>
      <c r="V40" s="151"/>
      <c r="W40" s="151"/>
      <c r="X40" s="152"/>
      <c r="Y40" s="151"/>
      <c r="Z40" s="151"/>
      <c r="AA40" s="151"/>
      <c r="AB40" s="152"/>
      <c r="AC40" s="151"/>
      <c r="AD40" s="151"/>
      <c r="AE40" s="151"/>
      <c r="AF40" s="152"/>
    </row>
    <row r="41" spans="2:32" s="47" customFormat="1" ht="12.75" customHeight="1" x14ac:dyDescent="0.2">
      <c r="B41" s="5559"/>
      <c r="C41" s="5559"/>
      <c r="D41" s="153" t="s">
        <v>263</v>
      </c>
      <c r="E41" s="150"/>
      <c r="F41" s="151"/>
      <c r="G41" s="151"/>
      <c r="H41" s="15"/>
      <c r="I41" s="150"/>
      <c r="J41" s="151"/>
      <c r="K41" s="151"/>
      <c r="L41" s="15"/>
      <c r="M41" s="150"/>
      <c r="N41" s="151"/>
      <c r="O41" s="151"/>
      <c r="P41" s="152"/>
      <c r="Q41" s="151"/>
      <c r="R41" s="151"/>
      <c r="S41" s="151"/>
      <c r="T41" s="152"/>
      <c r="U41" s="151"/>
      <c r="V41" s="151"/>
      <c r="W41" s="151"/>
      <c r="X41" s="152"/>
      <c r="Y41" s="151"/>
      <c r="Z41" s="151"/>
      <c r="AA41" s="151"/>
      <c r="AB41" s="152"/>
      <c r="AC41" s="151"/>
      <c r="AD41" s="151"/>
      <c r="AE41" s="151"/>
      <c r="AF41" s="152"/>
    </row>
    <row r="42" spans="2:32" s="47" customFormat="1" ht="12.75" customHeight="1" x14ac:dyDescent="0.2">
      <c r="B42" s="5559"/>
      <c r="C42" s="5559"/>
      <c r="D42" s="153" t="s">
        <v>264</v>
      </c>
      <c r="E42" s="150"/>
      <c r="F42" s="151"/>
      <c r="G42" s="151"/>
      <c r="H42" s="15"/>
      <c r="I42" s="150"/>
      <c r="J42" s="151"/>
      <c r="K42" s="151">
        <v>1</v>
      </c>
      <c r="L42" s="15">
        <v>1</v>
      </c>
      <c r="M42" s="150"/>
      <c r="N42" s="151"/>
      <c r="O42" s="151"/>
      <c r="P42" s="152"/>
      <c r="Q42" s="151"/>
      <c r="R42" s="151"/>
      <c r="S42" s="151"/>
      <c r="T42" s="152"/>
      <c r="U42" s="151"/>
      <c r="V42" s="151"/>
      <c r="W42" s="151"/>
      <c r="X42" s="152"/>
      <c r="Y42" s="151"/>
      <c r="Z42" s="151"/>
      <c r="AA42" s="151"/>
      <c r="AB42" s="152"/>
      <c r="AC42" s="151"/>
      <c r="AD42" s="151">
        <v>1</v>
      </c>
      <c r="AE42" s="151"/>
      <c r="AF42" s="152">
        <f>SUM(AC42:AE42)</f>
        <v>1</v>
      </c>
    </row>
    <row r="43" spans="2:32" s="47" customFormat="1" ht="12.75" customHeight="1" x14ac:dyDescent="0.2">
      <c r="B43" s="5559"/>
      <c r="C43" s="5559"/>
      <c r="D43" s="153" t="s">
        <v>265</v>
      </c>
      <c r="E43" s="150"/>
      <c r="F43" s="151"/>
      <c r="G43" s="151"/>
      <c r="H43" s="15"/>
      <c r="I43" s="150"/>
      <c r="J43" s="151"/>
      <c r="K43" s="151"/>
      <c r="L43" s="15"/>
      <c r="M43" s="150"/>
      <c r="N43" s="151"/>
      <c r="O43" s="151"/>
      <c r="P43" s="152"/>
      <c r="Q43" s="151"/>
      <c r="R43" s="151"/>
      <c r="S43" s="151"/>
      <c r="T43" s="152"/>
      <c r="U43" s="151"/>
      <c r="V43" s="151"/>
      <c r="W43" s="151"/>
      <c r="X43" s="152"/>
      <c r="Y43" s="151"/>
      <c r="Z43" s="151"/>
      <c r="AA43" s="151"/>
      <c r="AB43" s="152"/>
      <c r="AC43" s="151"/>
      <c r="AD43" s="151"/>
      <c r="AE43" s="151"/>
      <c r="AF43" s="152"/>
    </row>
    <row r="44" spans="2:32" s="47" customFormat="1" ht="12.75" customHeight="1" x14ac:dyDescent="0.2">
      <c r="B44" s="5559"/>
      <c r="C44" s="5559"/>
      <c r="D44" s="153" t="s">
        <v>266</v>
      </c>
      <c r="E44" s="150"/>
      <c r="F44" s="151"/>
      <c r="G44" s="151"/>
      <c r="H44" s="15"/>
      <c r="I44" s="150"/>
      <c r="J44" s="151"/>
      <c r="K44" s="151"/>
      <c r="L44" s="15"/>
      <c r="M44" s="150"/>
      <c r="N44" s="151"/>
      <c r="O44" s="151"/>
      <c r="P44" s="152"/>
      <c r="Q44" s="151"/>
      <c r="R44" s="151"/>
      <c r="S44" s="151"/>
      <c r="T44" s="152"/>
      <c r="U44" s="151"/>
      <c r="V44" s="151"/>
      <c r="W44" s="151"/>
      <c r="X44" s="152"/>
      <c r="Y44" s="151"/>
      <c r="Z44" s="151"/>
      <c r="AA44" s="151"/>
      <c r="AB44" s="152"/>
      <c r="AC44" s="151"/>
      <c r="AD44" s="151"/>
      <c r="AE44" s="151"/>
      <c r="AF44" s="152"/>
    </row>
    <row r="45" spans="2:32" s="47" customFormat="1" ht="12.75" customHeight="1" x14ac:dyDescent="0.2">
      <c r="B45" s="5559"/>
      <c r="C45" s="5559"/>
      <c r="D45" s="153" t="s">
        <v>267</v>
      </c>
      <c r="E45" s="150">
        <v>1</v>
      </c>
      <c r="F45" s="151"/>
      <c r="G45" s="151"/>
      <c r="H45" s="15">
        <v>1</v>
      </c>
      <c r="I45" s="150"/>
      <c r="J45" s="151"/>
      <c r="K45" s="151">
        <v>1</v>
      </c>
      <c r="L45" s="15">
        <v>1</v>
      </c>
      <c r="M45" s="150">
        <v>2</v>
      </c>
      <c r="N45" s="151"/>
      <c r="O45" s="151"/>
      <c r="P45" s="152">
        <v>2</v>
      </c>
      <c r="Q45" s="151"/>
      <c r="R45" s="151">
        <v>1</v>
      </c>
      <c r="S45" s="151"/>
      <c r="T45" s="152">
        <v>1</v>
      </c>
      <c r="U45" s="151"/>
      <c r="V45" s="151"/>
      <c r="W45" s="151"/>
      <c r="X45" s="152"/>
      <c r="Y45" s="151"/>
      <c r="Z45" s="151"/>
      <c r="AA45" s="151"/>
      <c r="AB45" s="152"/>
      <c r="AC45" s="151"/>
      <c r="AD45" s="151"/>
      <c r="AE45" s="151"/>
      <c r="AF45" s="152"/>
    </row>
    <row r="46" spans="2:32" s="47" customFormat="1" ht="12.75" customHeight="1" x14ac:dyDescent="0.2">
      <c r="B46" s="5559"/>
      <c r="C46" s="5559"/>
      <c r="D46" s="153" t="s">
        <v>268</v>
      </c>
      <c r="E46" s="150"/>
      <c r="F46" s="151"/>
      <c r="G46" s="151"/>
      <c r="H46" s="15"/>
      <c r="I46" s="150"/>
      <c r="J46" s="151"/>
      <c r="K46" s="151"/>
      <c r="L46" s="15"/>
      <c r="M46" s="150">
        <v>1</v>
      </c>
      <c r="N46" s="151"/>
      <c r="O46" s="151"/>
      <c r="P46" s="152">
        <v>1</v>
      </c>
      <c r="Q46" s="151"/>
      <c r="R46" s="151"/>
      <c r="S46" s="151"/>
      <c r="T46" s="152"/>
      <c r="U46" s="151"/>
      <c r="V46" s="151"/>
      <c r="W46" s="151">
        <v>1</v>
      </c>
      <c r="X46" s="152">
        <v>1</v>
      </c>
      <c r="Y46" s="151"/>
      <c r="Z46" s="151">
        <v>1</v>
      </c>
      <c r="AA46" s="151"/>
      <c r="AB46" s="152">
        <f>SUM(Y46:AA46)</f>
        <v>1</v>
      </c>
      <c r="AC46" s="151"/>
      <c r="AD46" s="151"/>
      <c r="AE46" s="151"/>
      <c r="AF46" s="152"/>
    </row>
    <row r="47" spans="2:32" s="47" customFormat="1" ht="12.75" customHeight="1" x14ac:dyDescent="0.2">
      <c r="B47" s="5559"/>
      <c r="C47" s="5559"/>
      <c r="D47" s="153" t="s">
        <v>269</v>
      </c>
      <c r="E47" s="150"/>
      <c r="F47" s="151"/>
      <c r="G47" s="151"/>
      <c r="H47" s="15"/>
      <c r="I47" s="150"/>
      <c r="J47" s="151"/>
      <c r="K47" s="151">
        <v>2</v>
      </c>
      <c r="L47" s="15">
        <v>2</v>
      </c>
      <c r="M47" s="150">
        <v>2</v>
      </c>
      <c r="N47" s="151">
        <v>1</v>
      </c>
      <c r="O47" s="151"/>
      <c r="P47" s="152">
        <v>3</v>
      </c>
      <c r="Q47" s="151"/>
      <c r="R47" s="151"/>
      <c r="S47" s="151"/>
      <c r="T47" s="152"/>
      <c r="U47" s="151"/>
      <c r="V47" s="151"/>
      <c r="W47" s="151">
        <v>1</v>
      </c>
      <c r="X47" s="152">
        <v>1</v>
      </c>
      <c r="Y47" s="151"/>
      <c r="Z47" s="151"/>
      <c r="AA47" s="151"/>
      <c r="AB47" s="152"/>
      <c r="AC47" s="151"/>
      <c r="AD47" s="151">
        <v>1</v>
      </c>
      <c r="AE47" s="151"/>
      <c r="AF47" s="152">
        <f>SUM(AC47:AE47)</f>
        <v>1</v>
      </c>
    </row>
    <row r="48" spans="2:32" s="47" customFormat="1" ht="12.75" customHeight="1" x14ac:dyDescent="0.2">
      <c r="B48" s="5559"/>
      <c r="C48" s="5559"/>
      <c r="D48" s="153" t="s">
        <v>270</v>
      </c>
      <c r="E48" s="150"/>
      <c r="F48" s="151"/>
      <c r="G48" s="151"/>
      <c r="H48" s="15"/>
      <c r="I48" s="150"/>
      <c r="J48" s="151"/>
      <c r="K48" s="151">
        <v>1</v>
      </c>
      <c r="L48" s="15">
        <v>1</v>
      </c>
      <c r="M48" s="150"/>
      <c r="N48" s="151"/>
      <c r="O48" s="151"/>
      <c r="P48" s="152"/>
      <c r="Q48" s="151"/>
      <c r="R48" s="151"/>
      <c r="S48" s="151"/>
      <c r="T48" s="152"/>
      <c r="U48" s="151"/>
      <c r="V48" s="151"/>
      <c r="W48" s="151"/>
      <c r="X48" s="152"/>
      <c r="Y48" s="151"/>
      <c r="Z48" s="151"/>
      <c r="AA48" s="151">
        <v>1</v>
      </c>
      <c r="AB48" s="152">
        <f>SUM(Y48:AA48)</f>
        <v>1</v>
      </c>
      <c r="AC48" s="151"/>
      <c r="AD48" s="151"/>
      <c r="AE48" s="151"/>
      <c r="AF48" s="152"/>
    </row>
    <row r="49" spans="2:32" s="47" customFormat="1" ht="12.75" customHeight="1" x14ac:dyDescent="0.2">
      <c r="B49" s="5559"/>
      <c r="C49" s="5559"/>
      <c r="D49" s="145" t="s">
        <v>242</v>
      </c>
      <c r="E49" s="150"/>
      <c r="F49" s="151"/>
      <c r="G49" s="151"/>
      <c r="H49" s="15"/>
      <c r="I49" s="150"/>
      <c r="J49" s="151"/>
      <c r="K49" s="151"/>
      <c r="L49" s="15"/>
      <c r="M49" s="150"/>
      <c r="N49" s="151"/>
      <c r="O49" s="151"/>
      <c r="P49" s="152"/>
      <c r="Q49" s="151">
        <v>1</v>
      </c>
      <c r="R49" s="151"/>
      <c r="S49" s="151"/>
      <c r="T49" s="152">
        <v>1</v>
      </c>
      <c r="U49" s="151"/>
      <c r="V49" s="151"/>
      <c r="W49" s="151">
        <v>1</v>
      </c>
      <c r="X49" s="152">
        <v>1</v>
      </c>
      <c r="Y49" s="151"/>
      <c r="Z49" s="151"/>
      <c r="AA49" s="151"/>
      <c r="AB49" s="152"/>
      <c r="AC49" s="151">
        <v>2</v>
      </c>
      <c r="AD49" s="151"/>
      <c r="AE49" s="151"/>
      <c r="AF49" s="152">
        <f>SUM(AC49:AE49)</f>
        <v>2</v>
      </c>
    </row>
    <row r="50" spans="2:32" s="47" customFormat="1" ht="12.75" customHeight="1" x14ac:dyDescent="0.2">
      <c r="B50" s="5559"/>
      <c r="C50" s="5559"/>
      <c r="D50" s="145" t="s">
        <v>243</v>
      </c>
      <c r="E50" s="150"/>
      <c r="F50" s="151"/>
      <c r="G50" s="151"/>
      <c r="H50" s="15"/>
      <c r="I50" s="150"/>
      <c r="J50" s="151"/>
      <c r="K50" s="151"/>
      <c r="L50" s="15"/>
      <c r="M50" s="150"/>
      <c r="N50" s="151"/>
      <c r="O50" s="151"/>
      <c r="P50" s="152"/>
      <c r="Q50" s="151"/>
      <c r="R50" s="151"/>
      <c r="S50" s="151"/>
      <c r="T50" s="152"/>
      <c r="U50" s="151"/>
      <c r="V50" s="151"/>
      <c r="W50" s="151"/>
      <c r="X50" s="152"/>
      <c r="Y50" s="151"/>
      <c r="Z50" s="151"/>
      <c r="AA50" s="151"/>
      <c r="AB50" s="152"/>
      <c r="AC50" s="151"/>
      <c r="AD50" s="151"/>
      <c r="AE50" s="151"/>
      <c r="AF50" s="152"/>
    </row>
    <row r="51" spans="2:32" s="47" customFormat="1" ht="12.75" customHeight="1" x14ac:dyDescent="0.2">
      <c r="B51" s="5559"/>
      <c r="C51" s="5558" t="s">
        <v>11</v>
      </c>
      <c r="D51" s="410" t="s">
        <v>271</v>
      </c>
      <c r="E51" s="146"/>
      <c r="F51" s="147"/>
      <c r="G51" s="147"/>
      <c r="H51" s="148"/>
      <c r="I51" s="146"/>
      <c r="J51" s="147"/>
      <c r="K51" s="147"/>
      <c r="L51" s="148"/>
      <c r="M51" s="146"/>
      <c r="N51" s="147"/>
      <c r="O51" s="147"/>
      <c r="P51" s="149"/>
      <c r="Q51" s="147"/>
      <c r="R51" s="147"/>
      <c r="S51" s="147"/>
      <c r="T51" s="149"/>
      <c r="U51" s="147"/>
      <c r="V51" s="147"/>
      <c r="W51" s="147"/>
      <c r="X51" s="149"/>
      <c r="Y51" s="147"/>
      <c r="Z51" s="147"/>
      <c r="AA51" s="147"/>
      <c r="AB51" s="149"/>
      <c r="AC51" s="146"/>
      <c r="AD51" s="147"/>
      <c r="AE51" s="147"/>
      <c r="AF51" s="414"/>
    </row>
    <row r="52" spans="2:32" s="47" customFormat="1" ht="12.75" customHeight="1" x14ac:dyDescent="0.2">
      <c r="B52" s="5559"/>
      <c r="C52" s="5559"/>
      <c r="D52" s="153" t="s">
        <v>272</v>
      </c>
      <c r="E52" s="150">
        <v>1</v>
      </c>
      <c r="F52" s="151"/>
      <c r="G52" s="151">
        <v>1</v>
      </c>
      <c r="H52" s="15">
        <v>2</v>
      </c>
      <c r="I52" s="150"/>
      <c r="J52" s="151"/>
      <c r="K52" s="151"/>
      <c r="L52" s="15"/>
      <c r="M52" s="150"/>
      <c r="N52" s="151"/>
      <c r="O52" s="151"/>
      <c r="P52" s="152"/>
      <c r="Q52" s="151"/>
      <c r="R52" s="151"/>
      <c r="S52" s="151"/>
      <c r="T52" s="152"/>
      <c r="U52" s="151"/>
      <c r="V52" s="151"/>
      <c r="W52" s="151"/>
      <c r="X52" s="152"/>
      <c r="Y52" s="151">
        <v>1</v>
      </c>
      <c r="Z52" s="151"/>
      <c r="AA52" s="151"/>
      <c r="AB52" s="152">
        <f>SUM(Y52:AA52)</f>
        <v>1</v>
      </c>
      <c r="AC52" s="415"/>
      <c r="AD52" s="151"/>
      <c r="AE52" s="151"/>
      <c r="AF52" s="152"/>
    </row>
    <row r="53" spans="2:32" s="47" customFormat="1" ht="12.75" customHeight="1" x14ac:dyDescent="0.2">
      <c r="B53" s="5559"/>
      <c r="C53" s="5559"/>
      <c r="D53" s="153" t="s">
        <v>273</v>
      </c>
      <c r="E53" s="150"/>
      <c r="F53" s="151"/>
      <c r="G53" s="151"/>
      <c r="H53" s="15"/>
      <c r="I53" s="150"/>
      <c r="J53" s="151"/>
      <c r="K53" s="151">
        <v>1</v>
      </c>
      <c r="L53" s="15">
        <v>1</v>
      </c>
      <c r="M53" s="150"/>
      <c r="N53" s="151"/>
      <c r="O53" s="151"/>
      <c r="P53" s="152"/>
      <c r="Q53" s="151"/>
      <c r="R53" s="151"/>
      <c r="S53" s="151"/>
      <c r="T53" s="152"/>
      <c r="U53" s="151"/>
      <c r="V53" s="151"/>
      <c r="W53" s="151"/>
      <c r="X53" s="152"/>
      <c r="Y53" s="151"/>
      <c r="Z53" s="151"/>
      <c r="AA53" s="151"/>
      <c r="AB53" s="152"/>
      <c r="AC53" s="150"/>
      <c r="AD53" s="151"/>
      <c r="AE53" s="151"/>
      <c r="AF53" s="152"/>
    </row>
    <row r="54" spans="2:32" s="47" customFormat="1" ht="12.75" customHeight="1" x14ac:dyDescent="0.2">
      <c r="B54" s="5559"/>
      <c r="C54" s="5559"/>
      <c r="D54" s="145" t="s">
        <v>274</v>
      </c>
      <c r="E54" s="150"/>
      <c r="F54" s="151"/>
      <c r="G54" s="151"/>
      <c r="H54" s="15"/>
      <c r="I54" s="150"/>
      <c r="J54" s="151"/>
      <c r="K54" s="151"/>
      <c r="L54" s="15"/>
      <c r="M54" s="150"/>
      <c r="N54" s="151"/>
      <c r="O54" s="151"/>
      <c r="P54" s="152"/>
      <c r="Q54" s="151"/>
      <c r="R54" s="151"/>
      <c r="S54" s="151"/>
      <c r="T54" s="152"/>
      <c r="U54" s="151"/>
      <c r="V54" s="151"/>
      <c r="W54" s="151"/>
      <c r="X54" s="152"/>
      <c r="Y54" s="151"/>
      <c r="Z54" s="151">
        <v>1</v>
      </c>
      <c r="AA54" s="151"/>
      <c r="AB54" s="152">
        <f>SUM(Y54:AA54)</f>
        <v>1</v>
      </c>
      <c r="AC54" s="150"/>
      <c r="AD54" s="151"/>
      <c r="AE54" s="151"/>
      <c r="AF54" s="152"/>
    </row>
    <row r="55" spans="2:32" s="47" customFormat="1" ht="12.75" customHeight="1" x14ac:dyDescent="0.2">
      <c r="B55" s="5559"/>
      <c r="C55" s="5559"/>
      <c r="D55" s="145" t="s">
        <v>275</v>
      </c>
      <c r="E55" s="150"/>
      <c r="F55" s="151"/>
      <c r="G55" s="151"/>
      <c r="H55" s="15"/>
      <c r="I55" s="150"/>
      <c r="J55" s="151"/>
      <c r="K55" s="151"/>
      <c r="L55" s="15"/>
      <c r="M55" s="150"/>
      <c r="N55" s="151"/>
      <c r="O55" s="151"/>
      <c r="P55" s="152"/>
      <c r="Q55" s="151"/>
      <c r="R55" s="151"/>
      <c r="S55" s="151"/>
      <c r="T55" s="152"/>
      <c r="U55" s="151"/>
      <c r="V55" s="151"/>
      <c r="W55" s="151"/>
      <c r="X55" s="152"/>
      <c r="Y55" s="151"/>
      <c r="Z55" s="151"/>
      <c r="AA55" s="151"/>
      <c r="AB55" s="152"/>
      <c r="AC55" s="150"/>
      <c r="AD55" s="151"/>
      <c r="AE55" s="151"/>
      <c r="AF55" s="152"/>
    </row>
    <row r="56" spans="2:32" s="47" customFormat="1" ht="12.75" customHeight="1" x14ac:dyDescent="0.2">
      <c r="B56" s="5559"/>
      <c r="C56" s="5559"/>
      <c r="D56" s="153" t="s">
        <v>276</v>
      </c>
      <c r="E56" s="150"/>
      <c r="F56" s="151">
        <v>1</v>
      </c>
      <c r="G56" s="151"/>
      <c r="H56" s="15">
        <v>1</v>
      </c>
      <c r="I56" s="150"/>
      <c r="J56" s="151"/>
      <c r="K56" s="151"/>
      <c r="L56" s="15"/>
      <c r="M56" s="150"/>
      <c r="N56" s="151"/>
      <c r="O56" s="151"/>
      <c r="P56" s="152"/>
      <c r="Q56" s="151"/>
      <c r="R56" s="151"/>
      <c r="S56" s="151"/>
      <c r="T56" s="152"/>
      <c r="U56" s="151"/>
      <c r="V56" s="151"/>
      <c r="W56" s="151"/>
      <c r="X56" s="152"/>
      <c r="Y56" s="151"/>
      <c r="Z56" s="151"/>
      <c r="AA56" s="151"/>
      <c r="AB56" s="152"/>
      <c r="AC56" s="150"/>
      <c r="AD56" s="151"/>
      <c r="AE56" s="151"/>
      <c r="AF56" s="152"/>
    </row>
    <row r="57" spans="2:32" s="47" customFormat="1" ht="12.75" customHeight="1" x14ac:dyDescent="0.2">
      <c r="B57" s="5559"/>
      <c r="C57" s="5559"/>
      <c r="D57" s="153" t="s">
        <v>277</v>
      </c>
      <c r="E57" s="150"/>
      <c r="F57" s="151"/>
      <c r="G57" s="151"/>
      <c r="H57" s="15"/>
      <c r="I57" s="150"/>
      <c r="J57" s="151"/>
      <c r="K57" s="151"/>
      <c r="L57" s="15"/>
      <c r="M57" s="150"/>
      <c r="N57" s="151"/>
      <c r="O57" s="151"/>
      <c r="P57" s="152"/>
      <c r="Q57" s="151"/>
      <c r="R57" s="151"/>
      <c r="S57" s="151"/>
      <c r="T57" s="152"/>
      <c r="U57" s="151"/>
      <c r="V57" s="151"/>
      <c r="W57" s="151"/>
      <c r="X57" s="152"/>
      <c r="Y57" s="151"/>
      <c r="Z57" s="151"/>
      <c r="AA57" s="151"/>
      <c r="AB57" s="152"/>
      <c r="AC57" s="150"/>
      <c r="AD57" s="151"/>
      <c r="AE57" s="151"/>
      <c r="AF57" s="152"/>
    </row>
    <row r="58" spans="2:32" s="47" customFormat="1" ht="12.75" customHeight="1" x14ac:dyDescent="0.2">
      <c r="B58" s="5559"/>
      <c r="C58" s="5559"/>
      <c r="D58" s="145" t="s">
        <v>278</v>
      </c>
      <c r="E58" s="150"/>
      <c r="F58" s="151"/>
      <c r="G58" s="151">
        <v>1</v>
      </c>
      <c r="H58" s="15">
        <v>1</v>
      </c>
      <c r="I58" s="150"/>
      <c r="J58" s="151"/>
      <c r="K58" s="151">
        <v>1</v>
      </c>
      <c r="L58" s="15">
        <v>1</v>
      </c>
      <c r="M58" s="150"/>
      <c r="N58" s="151"/>
      <c r="O58" s="151">
        <v>1</v>
      </c>
      <c r="P58" s="152">
        <v>1</v>
      </c>
      <c r="Q58" s="151"/>
      <c r="R58" s="151"/>
      <c r="S58" s="151"/>
      <c r="T58" s="152"/>
      <c r="U58" s="151"/>
      <c r="V58" s="151"/>
      <c r="W58" s="151"/>
      <c r="X58" s="152"/>
      <c r="Y58" s="151"/>
      <c r="Z58" s="151"/>
      <c r="AA58" s="151"/>
      <c r="AB58" s="152"/>
      <c r="AC58" s="150"/>
      <c r="AD58" s="151"/>
      <c r="AE58" s="151"/>
      <c r="AF58" s="152"/>
    </row>
    <row r="59" spans="2:32" s="47" customFormat="1" ht="12.75" customHeight="1" x14ac:dyDescent="0.2">
      <c r="B59" s="5560"/>
      <c r="C59" s="5560"/>
      <c r="D59" s="411" t="s">
        <v>279</v>
      </c>
      <c r="E59" s="154"/>
      <c r="F59" s="155"/>
      <c r="G59" s="155"/>
      <c r="H59" s="156"/>
      <c r="I59" s="154"/>
      <c r="J59" s="155"/>
      <c r="K59" s="155"/>
      <c r="L59" s="156"/>
      <c r="M59" s="154"/>
      <c r="N59" s="155"/>
      <c r="O59" s="155"/>
      <c r="P59" s="157"/>
      <c r="Q59" s="155"/>
      <c r="R59" s="155"/>
      <c r="S59" s="155"/>
      <c r="T59" s="157"/>
      <c r="U59" s="155"/>
      <c r="V59" s="155"/>
      <c r="W59" s="155"/>
      <c r="X59" s="157"/>
      <c r="Y59" s="155"/>
      <c r="Z59" s="155"/>
      <c r="AA59" s="155"/>
      <c r="AB59" s="157"/>
      <c r="AC59" s="154"/>
      <c r="AD59" s="155"/>
      <c r="AE59" s="155"/>
      <c r="AF59" s="157"/>
    </row>
    <row r="60" spans="2:32" s="47" customFormat="1" ht="12.75" customHeight="1" x14ac:dyDescent="0.2">
      <c r="B60" s="5558" t="s">
        <v>10</v>
      </c>
      <c r="C60" s="5559" t="s">
        <v>6</v>
      </c>
      <c r="D60" s="153" t="s">
        <v>280</v>
      </c>
      <c r="E60" s="150"/>
      <c r="F60" s="151"/>
      <c r="G60" s="151"/>
      <c r="H60" s="15"/>
      <c r="I60" s="150"/>
      <c r="J60" s="151"/>
      <c r="K60" s="151"/>
      <c r="L60" s="15"/>
      <c r="M60" s="150"/>
      <c r="N60" s="151"/>
      <c r="O60" s="151"/>
      <c r="P60" s="152"/>
      <c r="Q60" s="151"/>
      <c r="R60" s="151"/>
      <c r="S60" s="151">
        <v>1</v>
      </c>
      <c r="T60" s="152">
        <v>1</v>
      </c>
      <c r="U60" s="151"/>
      <c r="V60" s="151"/>
      <c r="W60" s="151"/>
      <c r="X60" s="152"/>
      <c r="Y60" s="151"/>
      <c r="Z60" s="151"/>
      <c r="AA60" s="151"/>
      <c r="AB60" s="152"/>
      <c r="AC60" s="151"/>
      <c r="AD60" s="151"/>
      <c r="AE60" s="151"/>
      <c r="AF60" s="152"/>
    </row>
    <row r="61" spans="2:32" s="47" customFormat="1" ht="12.75" customHeight="1" x14ac:dyDescent="0.2">
      <c r="B61" s="5559"/>
      <c r="C61" s="5559"/>
      <c r="D61" s="153" t="s">
        <v>281</v>
      </c>
      <c r="E61" s="150"/>
      <c r="F61" s="151"/>
      <c r="G61" s="151"/>
      <c r="H61" s="15"/>
      <c r="I61" s="150"/>
      <c r="J61" s="151"/>
      <c r="K61" s="151"/>
      <c r="L61" s="15"/>
      <c r="M61" s="150"/>
      <c r="N61" s="151"/>
      <c r="O61" s="151"/>
      <c r="P61" s="152"/>
      <c r="Q61" s="151"/>
      <c r="R61" s="151"/>
      <c r="S61" s="151"/>
      <c r="T61" s="152"/>
      <c r="U61" s="151"/>
      <c r="V61" s="151"/>
      <c r="W61" s="151"/>
      <c r="X61" s="152"/>
      <c r="Y61" s="151"/>
      <c r="Z61" s="151"/>
      <c r="AA61" s="151"/>
      <c r="AB61" s="152"/>
      <c r="AC61" s="151"/>
      <c r="AD61" s="151"/>
      <c r="AE61" s="151"/>
      <c r="AF61" s="152"/>
    </row>
    <row r="62" spans="2:32" s="47" customFormat="1" ht="12.75" customHeight="1" x14ac:dyDescent="0.2">
      <c r="B62" s="5559"/>
      <c r="C62" s="5559"/>
      <c r="D62" s="153" t="s">
        <v>282</v>
      </c>
      <c r="E62" s="150"/>
      <c r="F62" s="151"/>
      <c r="G62" s="151"/>
      <c r="H62" s="15"/>
      <c r="I62" s="150"/>
      <c r="J62" s="151"/>
      <c r="K62" s="151"/>
      <c r="L62" s="15"/>
      <c r="M62" s="150"/>
      <c r="N62" s="151"/>
      <c r="O62" s="151"/>
      <c r="P62" s="152"/>
      <c r="Q62" s="151"/>
      <c r="R62" s="151"/>
      <c r="S62" s="151"/>
      <c r="T62" s="152"/>
      <c r="U62" s="151"/>
      <c r="V62" s="151"/>
      <c r="W62" s="151"/>
      <c r="X62" s="152"/>
      <c r="Y62" s="151"/>
      <c r="Z62" s="151"/>
      <c r="AA62" s="151"/>
      <c r="AB62" s="152"/>
      <c r="AC62" s="151"/>
      <c r="AD62" s="151"/>
      <c r="AE62" s="151"/>
      <c r="AF62" s="152"/>
    </row>
    <row r="63" spans="2:32" s="47" customFormat="1" ht="12.75" customHeight="1" x14ac:dyDescent="0.2">
      <c r="B63" s="5559"/>
      <c r="C63" s="5559"/>
      <c r="D63" s="153" t="s">
        <v>283</v>
      </c>
      <c r="E63" s="150"/>
      <c r="F63" s="151"/>
      <c r="G63" s="151"/>
      <c r="H63" s="15"/>
      <c r="I63" s="150"/>
      <c r="J63" s="151"/>
      <c r="K63" s="151"/>
      <c r="L63" s="15"/>
      <c r="M63" s="150"/>
      <c r="N63" s="151"/>
      <c r="O63" s="151"/>
      <c r="P63" s="152"/>
      <c r="Q63" s="151"/>
      <c r="R63" s="151"/>
      <c r="S63" s="151"/>
      <c r="T63" s="152"/>
      <c r="U63" s="151"/>
      <c r="V63" s="151"/>
      <c r="W63" s="151"/>
      <c r="X63" s="152"/>
      <c r="Y63" s="151"/>
      <c r="Z63" s="151"/>
      <c r="AA63" s="151"/>
      <c r="AB63" s="152"/>
      <c r="AC63" s="151"/>
      <c r="AD63" s="151"/>
      <c r="AE63" s="151"/>
      <c r="AF63" s="152"/>
    </row>
    <row r="64" spans="2:32" s="47" customFormat="1" ht="12.75" customHeight="1" x14ac:dyDescent="0.2">
      <c r="B64" s="5559"/>
      <c r="C64" s="5559"/>
      <c r="D64" s="153" t="s">
        <v>284</v>
      </c>
      <c r="E64" s="150"/>
      <c r="F64" s="151"/>
      <c r="G64" s="151"/>
      <c r="H64" s="15"/>
      <c r="I64" s="150"/>
      <c r="J64" s="151"/>
      <c r="K64" s="151"/>
      <c r="L64" s="15"/>
      <c r="M64" s="150"/>
      <c r="N64" s="151"/>
      <c r="O64" s="151"/>
      <c r="P64" s="152"/>
      <c r="Q64" s="151"/>
      <c r="R64" s="151"/>
      <c r="S64" s="151"/>
      <c r="T64" s="152"/>
      <c r="U64" s="151"/>
      <c r="V64" s="151"/>
      <c r="W64" s="151"/>
      <c r="X64" s="152"/>
      <c r="Y64" s="151"/>
      <c r="Z64" s="151"/>
      <c r="AA64" s="151"/>
      <c r="AB64" s="152"/>
      <c r="AC64" s="151"/>
      <c r="AD64" s="151"/>
      <c r="AE64" s="151"/>
      <c r="AF64" s="152"/>
    </row>
    <row r="65" spans="2:32" s="47" customFormat="1" ht="24" x14ac:dyDescent="0.2">
      <c r="B65" s="5559"/>
      <c r="C65" s="5559"/>
      <c r="D65" s="145" t="s">
        <v>285</v>
      </c>
      <c r="E65" s="150"/>
      <c r="F65" s="151"/>
      <c r="G65" s="151"/>
      <c r="H65" s="15"/>
      <c r="I65" s="150">
        <v>1</v>
      </c>
      <c r="J65" s="151"/>
      <c r="K65" s="151"/>
      <c r="L65" s="15">
        <v>1</v>
      </c>
      <c r="M65" s="150"/>
      <c r="N65" s="151"/>
      <c r="O65" s="151"/>
      <c r="P65" s="152"/>
      <c r="Q65" s="151"/>
      <c r="R65" s="151"/>
      <c r="S65" s="151"/>
      <c r="T65" s="152"/>
      <c r="U65" s="151"/>
      <c r="V65" s="151"/>
      <c r="W65" s="151"/>
      <c r="X65" s="152"/>
      <c r="Y65" s="151"/>
      <c r="Z65" s="151"/>
      <c r="AA65" s="151"/>
      <c r="AB65" s="152"/>
      <c r="AC65" s="151"/>
      <c r="AD65" s="151"/>
      <c r="AE65" s="151"/>
      <c r="AF65" s="152"/>
    </row>
    <row r="66" spans="2:32" s="47" customFormat="1" ht="24" x14ac:dyDescent="0.2">
      <c r="B66" s="5559"/>
      <c r="C66" s="5559"/>
      <c r="D66" s="145" t="s">
        <v>286</v>
      </c>
      <c r="E66" s="150"/>
      <c r="F66" s="151"/>
      <c r="G66" s="151"/>
      <c r="H66" s="15"/>
      <c r="I66" s="150"/>
      <c r="J66" s="151"/>
      <c r="K66" s="151"/>
      <c r="L66" s="15"/>
      <c r="M66" s="150"/>
      <c r="N66" s="151"/>
      <c r="O66" s="151"/>
      <c r="P66" s="152"/>
      <c r="Q66" s="151"/>
      <c r="R66" s="151"/>
      <c r="S66" s="151"/>
      <c r="T66" s="152"/>
      <c r="U66" s="151"/>
      <c r="V66" s="151"/>
      <c r="W66" s="151"/>
      <c r="X66" s="152"/>
      <c r="Y66" s="151"/>
      <c r="Z66" s="151"/>
      <c r="AA66" s="151"/>
      <c r="AB66" s="152"/>
      <c r="AC66" s="151"/>
      <c r="AD66" s="151"/>
      <c r="AE66" s="151"/>
      <c r="AF66" s="152"/>
    </row>
    <row r="67" spans="2:32" s="47" customFormat="1" ht="24" x14ac:dyDescent="0.2">
      <c r="B67" s="5559"/>
      <c r="C67" s="5559"/>
      <c r="D67" s="145" t="s">
        <v>287</v>
      </c>
      <c r="E67" s="150"/>
      <c r="F67" s="151"/>
      <c r="G67" s="151"/>
      <c r="H67" s="15"/>
      <c r="I67" s="150"/>
      <c r="J67" s="151"/>
      <c r="K67" s="151"/>
      <c r="L67" s="15"/>
      <c r="M67" s="150">
        <v>1</v>
      </c>
      <c r="N67" s="151"/>
      <c r="O67" s="151"/>
      <c r="P67" s="152">
        <v>1</v>
      </c>
      <c r="Q67" s="151"/>
      <c r="R67" s="151"/>
      <c r="S67" s="151"/>
      <c r="T67" s="152"/>
      <c r="U67" s="151"/>
      <c r="V67" s="151"/>
      <c r="W67" s="151"/>
      <c r="X67" s="152"/>
      <c r="Y67" s="151"/>
      <c r="Z67" s="151"/>
      <c r="AA67" s="151"/>
      <c r="AB67" s="152"/>
      <c r="AC67" s="151"/>
      <c r="AD67" s="151"/>
      <c r="AE67" s="151"/>
      <c r="AF67" s="152"/>
    </row>
    <row r="68" spans="2:32" s="47" customFormat="1" ht="12.75" customHeight="1" x14ac:dyDescent="0.2">
      <c r="B68" s="5559"/>
      <c r="C68" s="5559"/>
      <c r="D68" s="145" t="s">
        <v>288</v>
      </c>
      <c r="E68" s="150"/>
      <c r="F68" s="151"/>
      <c r="G68" s="151"/>
      <c r="H68" s="15"/>
      <c r="I68" s="150"/>
      <c r="J68" s="151"/>
      <c r="K68" s="151">
        <v>1</v>
      </c>
      <c r="L68" s="15">
        <v>1</v>
      </c>
      <c r="M68" s="150"/>
      <c r="N68" s="151"/>
      <c r="O68" s="151"/>
      <c r="P68" s="152"/>
      <c r="Q68" s="151"/>
      <c r="R68" s="151"/>
      <c r="S68" s="151"/>
      <c r="T68" s="152"/>
      <c r="U68" s="151"/>
      <c r="V68" s="151"/>
      <c r="W68" s="151"/>
      <c r="X68" s="152"/>
      <c r="Y68" s="151"/>
      <c r="Z68" s="151"/>
      <c r="AA68" s="151">
        <v>1</v>
      </c>
      <c r="AB68" s="152">
        <f>SUM(Y68:AA68)</f>
        <v>1</v>
      </c>
      <c r="AC68" s="151"/>
      <c r="AD68" s="151"/>
      <c r="AE68" s="151"/>
      <c r="AF68" s="152"/>
    </row>
    <row r="69" spans="2:32" s="47" customFormat="1" ht="12.75" customHeight="1" x14ac:dyDescent="0.2">
      <c r="B69" s="5559"/>
      <c r="C69" s="5559"/>
      <c r="D69" s="145" t="s">
        <v>289</v>
      </c>
      <c r="E69" s="150"/>
      <c r="F69" s="151"/>
      <c r="G69" s="151"/>
      <c r="H69" s="15"/>
      <c r="I69" s="150"/>
      <c r="J69" s="151"/>
      <c r="K69" s="151"/>
      <c r="L69" s="15"/>
      <c r="M69" s="150"/>
      <c r="N69" s="151"/>
      <c r="O69" s="151"/>
      <c r="P69" s="152"/>
      <c r="Q69" s="151"/>
      <c r="R69" s="151"/>
      <c r="S69" s="151"/>
      <c r="T69" s="152"/>
      <c r="U69" s="151">
        <v>1</v>
      </c>
      <c r="V69" s="151"/>
      <c r="W69" s="151"/>
      <c r="X69" s="152">
        <v>1</v>
      </c>
      <c r="Y69" s="151">
        <v>1</v>
      </c>
      <c r="Z69" s="151"/>
      <c r="AA69" s="151"/>
      <c r="AB69" s="152">
        <f>SUM(Y69:AA69)</f>
        <v>1</v>
      </c>
      <c r="AC69" s="151">
        <v>1</v>
      </c>
      <c r="AD69" s="151"/>
      <c r="AE69" s="151"/>
      <c r="AF69" s="152">
        <f>SUM(AC69:AE69)</f>
        <v>1</v>
      </c>
    </row>
    <row r="70" spans="2:32" s="47" customFormat="1" ht="12.75" customHeight="1" x14ac:dyDescent="0.2">
      <c r="B70" s="5559"/>
      <c r="C70" s="5559"/>
      <c r="D70" s="153" t="s">
        <v>242</v>
      </c>
      <c r="E70" s="150"/>
      <c r="F70" s="151"/>
      <c r="G70" s="151"/>
      <c r="H70" s="15"/>
      <c r="I70" s="150"/>
      <c r="J70" s="151"/>
      <c r="K70" s="151"/>
      <c r="L70" s="15"/>
      <c r="M70" s="150"/>
      <c r="N70" s="151"/>
      <c r="O70" s="151"/>
      <c r="P70" s="152"/>
      <c r="Q70" s="151">
        <v>2</v>
      </c>
      <c r="R70" s="151">
        <v>2</v>
      </c>
      <c r="S70" s="151"/>
      <c r="T70" s="152">
        <v>4</v>
      </c>
      <c r="U70" s="151"/>
      <c r="V70" s="151"/>
      <c r="W70" s="151"/>
      <c r="X70" s="152"/>
      <c r="Y70" s="151"/>
      <c r="Z70" s="151"/>
      <c r="AA70" s="151"/>
      <c r="AB70" s="152"/>
      <c r="AC70" s="151"/>
      <c r="AD70" s="151"/>
      <c r="AE70" s="151"/>
      <c r="AF70" s="152"/>
    </row>
    <row r="71" spans="2:32" s="47" customFormat="1" ht="12.75" customHeight="1" x14ac:dyDescent="0.2">
      <c r="B71" s="5559"/>
      <c r="C71" s="5559"/>
      <c r="D71" s="153" t="s">
        <v>243</v>
      </c>
      <c r="E71" s="150"/>
      <c r="F71" s="151"/>
      <c r="G71" s="151"/>
      <c r="H71" s="15"/>
      <c r="I71" s="150"/>
      <c r="J71" s="151"/>
      <c r="K71" s="151"/>
      <c r="L71" s="15"/>
      <c r="M71" s="150"/>
      <c r="N71" s="151"/>
      <c r="O71" s="151"/>
      <c r="P71" s="152"/>
      <c r="Q71" s="151"/>
      <c r="R71" s="151"/>
      <c r="S71" s="151"/>
      <c r="T71" s="152"/>
      <c r="U71" s="151"/>
      <c r="V71" s="151"/>
      <c r="W71" s="151"/>
      <c r="X71" s="152"/>
      <c r="Y71" s="151"/>
      <c r="Z71" s="151"/>
      <c r="AA71" s="151"/>
      <c r="AB71" s="152"/>
      <c r="AC71" s="151"/>
      <c r="AD71" s="151"/>
      <c r="AE71" s="151"/>
      <c r="AF71" s="152"/>
    </row>
    <row r="72" spans="2:32" s="47" customFormat="1" ht="12.75" customHeight="1" x14ac:dyDescent="0.2">
      <c r="B72" s="5559"/>
      <c r="C72" s="5559"/>
      <c r="D72" s="153" t="s">
        <v>290</v>
      </c>
      <c r="E72" s="150"/>
      <c r="F72" s="151"/>
      <c r="G72" s="151"/>
      <c r="H72" s="15"/>
      <c r="I72" s="150"/>
      <c r="J72" s="151"/>
      <c r="K72" s="151"/>
      <c r="L72" s="15"/>
      <c r="M72" s="150"/>
      <c r="N72" s="151">
        <v>1</v>
      </c>
      <c r="O72" s="151"/>
      <c r="P72" s="152">
        <v>1</v>
      </c>
      <c r="Q72" s="151"/>
      <c r="R72" s="151"/>
      <c r="S72" s="151"/>
      <c r="T72" s="152"/>
      <c r="U72" s="151"/>
      <c r="V72" s="151"/>
      <c r="W72" s="151"/>
      <c r="X72" s="152"/>
      <c r="Y72" s="151">
        <v>1</v>
      </c>
      <c r="Z72" s="151"/>
      <c r="AA72" s="151"/>
      <c r="AB72" s="152">
        <f>SUM(Y72:AA72)</f>
        <v>1</v>
      </c>
      <c r="AC72" s="151"/>
      <c r="AD72" s="151"/>
      <c r="AE72" s="151"/>
      <c r="AF72" s="152"/>
    </row>
    <row r="73" spans="2:32" s="47" customFormat="1" ht="24" x14ac:dyDescent="0.2">
      <c r="B73" s="5559"/>
      <c r="C73" s="5558" t="s">
        <v>11</v>
      </c>
      <c r="D73" s="410" t="s">
        <v>291</v>
      </c>
      <c r="E73" s="146"/>
      <c r="F73" s="147"/>
      <c r="G73" s="147"/>
      <c r="H73" s="148"/>
      <c r="I73" s="146"/>
      <c r="J73" s="147"/>
      <c r="K73" s="147"/>
      <c r="L73" s="148"/>
      <c r="M73" s="146"/>
      <c r="N73" s="147"/>
      <c r="O73" s="147"/>
      <c r="P73" s="149"/>
      <c r="Q73" s="147"/>
      <c r="R73" s="147">
        <v>1</v>
      </c>
      <c r="S73" s="147"/>
      <c r="T73" s="149">
        <v>1</v>
      </c>
      <c r="U73" s="147"/>
      <c r="V73" s="147"/>
      <c r="W73" s="147"/>
      <c r="X73" s="149"/>
      <c r="Y73" s="147"/>
      <c r="Z73" s="147"/>
      <c r="AA73" s="147"/>
      <c r="AB73" s="149"/>
      <c r="AC73" s="147"/>
      <c r="AD73" s="147"/>
      <c r="AE73" s="147"/>
      <c r="AF73" s="149"/>
    </row>
    <row r="74" spans="2:32" s="47" customFormat="1" ht="24" x14ac:dyDescent="0.2">
      <c r="B74" s="5559"/>
      <c r="C74" s="5559"/>
      <c r="D74" s="145" t="s">
        <v>292</v>
      </c>
      <c r="E74" s="150"/>
      <c r="F74" s="151"/>
      <c r="G74" s="151"/>
      <c r="H74" s="15"/>
      <c r="I74" s="150"/>
      <c r="J74" s="151"/>
      <c r="K74" s="151"/>
      <c r="L74" s="15"/>
      <c r="M74" s="150"/>
      <c r="N74" s="151"/>
      <c r="O74" s="151"/>
      <c r="P74" s="152"/>
      <c r="Q74" s="151"/>
      <c r="R74" s="151"/>
      <c r="S74" s="151"/>
      <c r="T74" s="152"/>
      <c r="U74" s="151"/>
      <c r="V74" s="151"/>
      <c r="W74" s="151"/>
      <c r="X74" s="152"/>
      <c r="Y74" s="151"/>
      <c r="Z74" s="151"/>
      <c r="AA74" s="151"/>
      <c r="AB74" s="152"/>
      <c r="AC74" s="151"/>
      <c r="AD74" s="151"/>
      <c r="AE74" s="151"/>
      <c r="AF74" s="152"/>
    </row>
    <row r="75" spans="2:32" s="47" customFormat="1" ht="12.75" customHeight="1" x14ac:dyDescent="0.2">
      <c r="B75" s="5559"/>
      <c r="C75" s="5559"/>
      <c r="D75" s="145" t="s">
        <v>293</v>
      </c>
      <c r="E75" s="150"/>
      <c r="F75" s="151"/>
      <c r="G75" s="151"/>
      <c r="H75" s="15"/>
      <c r="I75" s="150"/>
      <c r="J75" s="151"/>
      <c r="K75" s="151"/>
      <c r="L75" s="15"/>
      <c r="M75" s="150"/>
      <c r="N75" s="151"/>
      <c r="O75" s="151"/>
      <c r="P75" s="152"/>
      <c r="Q75" s="151"/>
      <c r="R75" s="151"/>
      <c r="S75" s="151"/>
      <c r="T75" s="152"/>
      <c r="U75" s="151"/>
      <c r="V75" s="151"/>
      <c r="W75" s="151"/>
      <c r="X75" s="152"/>
      <c r="Y75" s="151"/>
      <c r="Z75" s="151"/>
      <c r="AA75" s="151"/>
      <c r="AB75" s="152"/>
      <c r="AC75" s="151"/>
      <c r="AD75" s="151"/>
      <c r="AE75" s="151"/>
      <c r="AF75" s="152"/>
    </row>
    <row r="76" spans="2:32" s="47" customFormat="1" ht="12.75" customHeight="1" x14ac:dyDescent="0.2">
      <c r="B76" s="5559"/>
      <c r="C76" s="5559"/>
      <c r="D76" s="145" t="s">
        <v>294</v>
      </c>
      <c r="E76" s="150"/>
      <c r="F76" s="151"/>
      <c r="G76" s="151"/>
      <c r="H76" s="15"/>
      <c r="I76" s="150"/>
      <c r="J76" s="151"/>
      <c r="K76" s="151"/>
      <c r="L76" s="15"/>
      <c r="M76" s="150"/>
      <c r="N76" s="151"/>
      <c r="O76" s="151"/>
      <c r="P76" s="152"/>
      <c r="Q76" s="151"/>
      <c r="R76" s="151"/>
      <c r="S76" s="151"/>
      <c r="T76" s="152"/>
      <c r="U76" s="151"/>
      <c r="V76" s="151"/>
      <c r="W76" s="151">
        <v>1</v>
      </c>
      <c r="X76" s="152">
        <v>1</v>
      </c>
      <c r="Y76" s="151"/>
      <c r="Z76" s="151"/>
      <c r="AA76" s="151"/>
      <c r="AB76" s="152"/>
      <c r="AC76" s="151"/>
      <c r="AD76" s="151">
        <v>1</v>
      </c>
      <c r="AE76" s="151"/>
      <c r="AF76" s="152">
        <f>SUM(AC76:AE76)</f>
        <v>1</v>
      </c>
    </row>
    <row r="77" spans="2:32" s="47" customFormat="1" ht="12.75" customHeight="1" x14ac:dyDescent="0.2">
      <c r="B77" s="5559"/>
      <c r="C77" s="5559"/>
      <c r="D77" s="145" t="s">
        <v>295</v>
      </c>
      <c r="E77" s="150"/>
      <c r="F77" s="151">
        <v>1</v>
      </c>
      <c r="G77" s="151"/>
      <c r="H77" s="15">
        <v>1</v>
      </c>
      <c r="I77" s="150"/>
      <c r="J77" s="151"/>
      <c r="K77" s="151"/>
      <c r="L77" s="15"/>
      <c r="M77" s="150"/>
      <c r="N77" s="151"/>
      <c r="O77" s="151"/>
      <c r="P77" s="152"/>
      <c r="Q77" s="151"/>
      <c r="R77" s="151"/>
      <c r="S77" s="151"/>
      <c r="T77" s="152"/>
      <c r="U77" s="151">
        <v>1</v>
      </c>
      <c r="V77" s="151"/>
      <c r="W77" s="151"/>
      <c r="X77" s="152">
        <v>1</v>
      </c>
      <c r="Y77" s="151"/>
      <c r="Z77" s="151"/>
      <c r="AA77" s="151"/>
      <c r="AB77" s="152"/>
      <c r="AC77" s="151"/>
      <c r="AD77" s="151"/>
      <c r="AE77" s="151"/>
      <c r="AF77" s="152"/>
    </row>
    <row r="78" spans="2:32" s="47" customFormat="1" x14ac:dyDescent="0.2">
      <c r="B78" s="5559"/>
      <c r="C78" s="5559"/>
      <c r="D78" s="145" t="s">
        <v>296</v>
      </c>
      <c r="E78" s="150"/>
      <c r="F78" s="151"/>
      <c r="G78" s="151"/>
      <c r="H78" s="15"/>
      <c r="I78" s="150"/>
      <c r="J78" s="151"/>
      <c r="K78" s="151"/>
      <c r="L78" s="15"/>
      <c r="M78" s="150"/>
      <c r="N78" s="151"/>
      <c r="O78" s="151"/>
      <c r="P78" s="152"/>
      <c r="Q78" s="151"/>
      <c r="R78" s="151"/>
      <c r="S78" s="151"/>
      <c r="T78" s="152"/>
      <c r="U78" s="151">
        <v>1</v>
      </c>
      <c r="V78" s="151"/>
      <c r="W78" s="151"/>
      <c r="X78" s="152">
        <v>1</v>
      </c>
      <c r="Y78" s="151"/>
      <c r="Z78" s="151"/>
      <c r="AA78" s="151"/>
      <c r="AB78" s="152"/>
      <c r="AC78" s="151"/>
      <c r="AD78" s="151"/>
      <c r="AE78" s="151"/>
      <c r="AF78" s="152"/>
    </row>
    <row r="79" spans="2:32" s="47" customFormat="1" ht="24" x14ac:dyDescent="0.2">
      <c r="B79" s="5559"/>
      <c r="C79" s="5559"/>
      <c r="D79" s="145" t="s">
        <v>297</v>
      </c>
      <c r="E79" s="150"/>
      <c r="F79" s="151"/>
      <c r="G79" s="151"/>
      <c r="H79" s="15"/>
      <c r="I79" s="150"/>
      <c r="J79" s="151"/>
      <c r="K79" s="151"/>
      <c r="L79" s="15"/>
      <c r="M79" s="150"/>
      <c r="N79" s="151"/>
      <c r="O79" s="151"/>
      <c r="P79" s="152"/>
      <c r="Q79" s="151"/>
      <c r="R79" s="151"/>
      <c r="S79" s="151"/>
      <c r="T79" s="152"/>
      <c r="U79" s="151"/>
      <c r="V79" s="151"/>
      <c r="W79" s="151"/>
      <c r="X79" s="152"/>
      <c r="Y79" s="151"/>
      <c r="Z79" s="151"/>
      <c r="AA79" s="151"/>
      <c r="AB79" s="152"/>
      <c r="AC79" s="151"/>
      <c r="AD79" s="151"/>
      <c r="AE79" s="151"/>
      <c r="AF79" s="152"/>
    </row>
    <row r="80" spans="2:32" s="47" customFormat="1" ht="12.75" customHeight="1" x14ac:dyDescent="0.2">
      <c r="B80" s="5559"/>
      <c r="C80" s="5559"/>
      <c r="D80" s="145" t="s">
        <v>298</v>
      </c>
      <c r="E80" s="150"/>
      <c r="F80" s="151"/>
      <c r="G80" s="151"/>
      <c r="H80" s="15"/>
      <c r="I80" s="150"/>
      <c r="J80" s="151"/>
      <c r="K80" s="151"/>
      <c r="L80" s="15"/>
      <c r="M80" s="150"/>
      <c r="N80" s="151"/>
      <c r="O80" s="151"/>
      <c r="P80" s="152"/>
      <c r="Q80" s="151"/>
      <c r="R80" s="151"/>
      <c r="S80" s="151"/>
      <c r="T80" s="152"/>
      <c r="U80" s="151">
        <v>1</v>
      </c>
      <c r="V80" s="151"/>
      <c r="W80" s="151"/>
      <c r="X80" s="152">
        <v>1</v>
      </c>
      <c r="Y80" s="151">
        <v>1</v>
      </c>
      <c r="Z80" s="151"/>
      <c r="AA80" s="151"/>
      <c r="AB80" s="152">
        <f>SUM(Y80:AA80)</f>
        <v>1</v>
      </c>
      <c r="AC80" s="151"/>
      <c r="AD80" s="151"/>
      <c r="AE80" s="151"/>
      <c r="AF80" s="152"/>
    </row>
    <row r="81" spans="2:32" s="47" customFormat="1" ht="12.75" customHeight="1" x14ac:dyDescent="0.2">
      <c r="B81" s="5559"/>
      <c r="C81" s="5559"/>
      <c r="D81" s="145" t="s">
        <v>299</v>
      </c>
      <c r="E81" s="150"/>
      <c r="F81" s="151"/>
      <c r="G81" s="151"/>
      <c r="H81" s="15"/>
      <c r="I81" s="150"/>
      <c r="J81" s="151"/>
      <c r="K81" s="151"/>
      <c r="L81" s="15"/>
      <c r="M81" s="150"/>
      <c r="N81" s="151"/>
      <c r="O81" s="151"/>
      <c r="P81" s="152"/>
      <c r="Q81" s="151"/>
      <c r="R81" s="151"/>
      <c r="S81" s="151"/>
      <c r="T81" s="152"/>
      <c r="U81" s="151"/>
      <c r="V81" s="151"/>
      <c r="W81" s="151"/>
      <c r="X81" s="152"/>
      <c r="Y81" s="151"/>
      <c r="Z81" s="151"/>
      <c r="AA81" s="151"/>
      <c r="AB81" s="152"/>
      <c r="AC81" s="151"/>
      <c r="AD81" s="151"/>
      <c r="AE81" s="151"/>
      <c r="AF81" s="152"/>
    </row>
    <row r="82" spans="2:32" s="47" customFormat="1" ht="12.75" customHeight="1" x14ac:dyDescent="0.2">
      <c r="B82" s="5559"/>
      <c r="C82" s="5559"/>
      <c r="D82" s="153" t="s">
        <v>279</v>
      </c>
      <c r="E82" s="150"/>
      <c r="F82" s="151"/>
      <c r="G82" s="151"/>
      <c r="H82" s="15"/>
      <c r="I82" s="150"/>
      <c r="J82" s="151"/>
      <c r="K82" s="151"/>
      <c r="L82" s="15"/>
      <c r="M82" s="150"/>
      <c r="N82" s="151"/>
      <c r="O82" s="151"/>
      <c r="P82" s="152"/>
      <c r="Q82" s="151"/>
      <c r="R82" s="151"/>
      <c r="S82" s="151"/>
      <c r="T82" s="152"/>
      <c r="U82" s="151"/>
      <c r="V82" s="151"/>
      <c r="W82" s="151">
        <v>1</v>
      </c>
      <c r="X82" s="152">
        <v>1</v>
      </c>
      <c r="Y82" s="151"/>
      <c r="Z82" s="151"/>
      <c r="AA82" s="151"/>
      <c r="AB82" s="152"/>
      <c r="AC82" s="151"/>
      <c r="AD82" s="151"/>
      <c r="AE82" s="151"/>
      <c r="AF82" s="152"/>
    </row>
    <row r="83" spans="2:32" s="47" customFormat="1" ht="12.75" customHeight="1" x14ac:dyDescent="0.2">
      <c r="B83" s="5559"/>
      <c r="C83" s="5560"/>
      <c r="D83" s="413" t="s">
        <v>300</v>
      </c>
      <c r="E83" s="154"/>
      <c r="F83" s="155"/>
      <c r="G83" s="155"/>
      <c r="H83" s="156"/>
      <c r="I83" s="154"/>
      <c r="J83" s="155"/>
      <c r="K83" s="155"/>
      <c r="L83" s="156"/>
      <c r="M83" s="154"/>
      <c r="N83" s="155"/>
      <c r="O83" s="155"/>
      <c r="P83" s="157"/>
      <c r="Q83" s="155"/>
      <c r="R83" s="155"/>
      <c r="S83" s="155"/>
      <c r="T83" s="157"/>
      <c r="U83" s="155"/>
      <c r="V83" s="155"/>
      <c r="W83" s="155"/>
      <c r="X83" s="157"/>
      <c r="Y83" s="155"/>
      <c r="Z83" s="155">
        <v>1</v>
      </c>
      <c r="AA83" s="155"/>
      <c r="AB83" s="157">
        <f>SUM(Y83:AA83)</f>
        <v>1</v>
      </c>
      <c r="AC83" s="155"/>
      <c r="AD83" s="155"/>
      <c r="AE83" s="155"/>
      <c r="AF83" s="157"/>
    </row>
    <row r="84" spans="2:32" s="47" customFormat="1" ht="12.75" customHeight="1" x14ac:dyDescent="0.2">
      <c r="B84" s="5559"/>
      <c r="C84" s="5559" t="s">
        <v>7</v>
      </c>
      <c r="D84" s="153" t="s">
        <v>301</v>
      </c>
      <c r="E84" s="150">
        <v>1</v>
      </c>
      <c r="F84" s="151"/>
      <c r="G84" s="151"/>
      <c r="H84" s="15">
        <v>1</v>
      </c>
      <c r="I84" s="150">
        <v>1</v>
      </c>
      <c r="J84" s="151"/>
      <c r="K84" s="151">
        <v>1</v>
      </c>
      <c r="L84" s="15">
        <v>2</v>
      </c>
      <c r="M84" s="150"/>
      <c r="N84" s="151"/>
      <c r="O84" s="151"/>
      <c r="P84" s="152"/>
      <c r="Q84" s="151"/>
      <c r="R84" s="151"/>
      <c r="S84" s="151"/>
      <c r="T84" s="152"/>
      <c r="U84" s="151"/>
      <c r="V84" s="151"/>
      <c r="W84" s="151"/>
      <c r="X84" s="152"/>
      <c r="Y84" s="151"/>
      <c r="Z84" s="151"/>
      <c r="AA84" s="151"/>
      <c r="AB84" s="152"/>
      <c r="AC84" s="151"/>
      <c r="AD84" s="151"/>
      <c r="AE84" s="151">
        <v>1</v>
      </c>
      <c r="AF84" s="152">
        <f>SUM(AC84:AE84)</f>
        <v>1</v>
      </c>
    </row>
    <row r="85" spans="2:32" s="47" customFormat="1" ht="12.75" customHeight="1" x14ac:dyDescent="0.2">
      <c r="B85" s="5560"/>
      <c r="C85" s="5560"/>
      <c r="D85" s="153" t="s">
        <v>302</v>
      </c>
      <c r="E85" s="154"/>
      <c r="F85" s="155"/>
      <c r="G85" s="155"/>
      <c r="H85" s="156"/>
      <c r="I85" s="154"/>
      <c r="J85" s="155"/>
      <c r="K85" s="155"/>
      <c r="L85" s="156"/>
      <c r="M85" s="154"/>
      <c r="N85" s="155"/>
      <c r="O85" s="155"/>
      <c r="P85" s="157"/>
      <c r="Q85" s="155"/>
      <c r="R85" s="155"/>
      <c r="S85" s="155"/>
      <c r="T85" s="157"/>
      <c r="U85" s="155"/>
      <c r="V85" s="155"/>
      <c r="W85" s="155"/>
      <c r="X85" s="157"/>
      <c r="Y85" s="155"/>
      <c r="Z85" s="155"/>
      <c r="AA85" s="155"/>
      <c r="AB85" s="157"/>
      <c r="AC85" s="155"/>
      <c r="AD85" s="155"/>
      <c r="AE85" s="155"/>
      <c r="AF85" s="152"/>
    </row>
    <row r="86" spans="2:32" s="27" customFormat="1" ht="12.75" customHeight="1" x14ac:dyDescent="0.2">
      <c r="B86" s="5564" t="s">
        <v>76</v>
      </c>
      <c r="C86" s="5565"/>
      <c r="D86" s="5566"/>
      <c r="E86" s="773">
        <f t="shared" ref="E86:X86" si="0">SUM(E6:E85)</f>
        <v>5</v>
      </c>
      <c r="F86" s="774">
        <f t="shared" si="0"/>
        <v>2</v>
      </c>
      <c r="G86" s="774">
        <f t="shared" si="0"/>
        <v>5</v>
      </c>
      <c r="H86" s="774">
        <f t="shared" si="0"/>
        <v>12</v>
      </c>
      <c r="I86" s="773">
        <f t="shared" si="0"/>
        <v>5</v>
      </c>
      <c r="J86" s="774">
        <f t="shared" si="0"/>
        <v>1</v>
      </c>
      <c r="K86" s="774">
        <f t="shared" si="0"/>
        <v>11</v>
      </c>
      <c r="L86" s="774">
        <f t="shared" si="0"/>
        <v>17</v>
      </c>
      <c r="M86" s="773">
        <f t="shared" si="0"/>
        <v>13</v>
      </c>
      <c r="N86" s="774">
        <f t="shared" si="0"/>
        <v>3</v>
      </c>
      <c r="O86" s="774">
        <f t="shared" si="0"/>
        <v>1</v>
      </c>
      <c r="P86" s="775">
        <f t="shared" si="0"/>
        <v>17</v>
      </c>
      <c r="Q86" s="774">
        <f t="shared" si="0"/>
        <v>6</v>
      </c>
      <c r="R86" s="774">
        <f t="shared" si="0"/>
        <v>9</v>
      </c>
      <c r="S86" s="774">
        <f t="shared" si="0"/>
        <v>4</v>
      </c>
      <c r="T86" s="775">
        <f t="shared" si="0"/>
        <v>19</v>
      </c>
      <c r="U86" s="774">
        <f t="shared" si="0"/>
        <v>6</v>
      </c>
      <c r="V86" s="774">
        <f t="shared" si="0"/>
        <v>4</v>
      </c>
      <c r="W86" s="774">
        <f t="shared" si="0"/>
        <v>7</v>
      </c>
      <c r="X86" s="775">
        <f t="shared" si="0"/>
        <v>17</v>
      </c>
      <c r="Y86" s="774">
        <f t="shared" ref="Y86:AF86" si="1">SUM(Y6:Y85)</f>
        <v>6</v>
      </c>
      <c r="Z86" s="774">
        <f t="shared" si="1"/>
        <v>6</v>
      </c>
      <c r="AA86" s="774">
        <f t="shared" si="1"/>
        <v>8</v>
      </c>
      <c r="AB86" s="775">
        <f t="shared" si="1"/>
        <v>20</v>
      </c>
      <c r="AC86" s="776">
        <f t="shared" si="1"/>
        <v>8</v>
      </c>
      <c r="AD86" s="777">
        <f t="shared" si="1"/>
        <v>4</v>
      </c>
      <c r="AE86" s="777">
        <f t="shared" si="1"/>
        <v>4</v>
      </c>
      <c r="AF86" s="778">
        <f t="shared" si="1"/>
        <v>16</v>
      </c>
    </row>
    <row r="87" spans="2:32" ht="12.75" customHeight="1" x14ac:dyDescent="0.2">
      <c r="B87" s="5152" t="s">
        <v>0</v>
      </c>
      <c r="C87" s="5152"/>
      <c r="D87" s="5152"/>
      <c r="E87" s="70"/>
      <c r="F87" s="70"/>
      <c r="G87" s="70"/>
      <c r="H87" s="71"/>
      <c r="I87" s="70"/>
      <c r="J87" s="70"/>
      <c r="K87" s="70"/>
      <c r="L87" s="71"/>
      <c r="M87" s="70"/>
      <c r="N87" s="70"/>
      <c r="O87" s="70"/>
      <c r="P87" s="71"/>
      <c r="Q87" s="70"/>
      <c r="R87" s="70"/>
      <c r="S87" s="70"/>
      <c r="T87" s="71"/>
      <c r="U87" s="70"/>
      <c r="V87" s="70"/>
      <c r="W87" s="70"/>
      <c r="X87" s="71"/>
      <c r="Y87" s="70"/>
      <c r="Z87" s="70"/>
      <c r="AA87" s="70"/>
      <c r="AB87" s="71"/>
    </row>
  </sheetData>
  <mergeCells count="45">
    <mergeCell ref="J5:J6"/>
    <mergeCell ref="K5:K6"/>
    <mergeCell ref="L5:L6"/>
    <mergeCell ref="B5:B6"/>
    <mergeCell ref="C5:C6"/>
    <mergeCell ref="D5:D6"/>
    <mergeCell ref="E5:E6"/>
    <mergeCell ref="F5:F6"/>
    <mergeCell ref="B87:D87"/>
    <mergeCell ref="U5:U6"/>
    <mergeCell ref="V5:V6"/>
    <mergeCell ref="W5:W6"/>
    <mergeCell ref="O5:O6"/>
    <mergeCell ref="P5:P6"/>
    <mergeCell ref="Q5:Q6"/>
    <mergeCell ref="R5:R6"/>
    <mergeCell ref="S5:S6"/>
    <mergeCell ref="B7:B27"/>
    <mergeCell ref="B28:B59"/>
    <mergeCell ref="B60:B85"/>
    <mergeCell ref="C7:C11"/>
    <mergeCell ref="C12:C23"/>
    <mergeCell ref="C24:C27"/>
    <mergeCell ref="B86:D86"/>
    <mergeCell ref="C84:C85"/>
    <mergeCell ref="C40:C50"/>
    <mergeCell ref="C51:C59"/>
    <mergeCell ref="C60:C72"/>
    <mergeCell ref="C73:C83"/>
    <mergeCell ref="C28:C39"/>
    <mergeCell ref="AC5:AC6"/>
    <mergeCell ref="AD5:AD6"/>
    <mergeCell ref="AE5:AE6"/>
    <mergeCell ref="AF5:AF6"/>
    <mergeCell ref="T5:T6"/>
    <mergeCell ref="AA5:AA6"/>
    <mergeCell ref="AB5:AB6"/>
    <mergeCell ref="X5:X6"/>
    <mergeCell ref="Y5:Y6"/>
    <mergeCell ref="Z5:Z6"/>
    <mergeCell ref="G5:G6"/>
    <mergeCell ref="M5:M6"/>
    <mergeCell ref="N5:N6"/>
    <mergeCell ref="H5:H6"/>
    <mergeCell ref="I5:I6"/>
  </mergeCells>
  <printOptions horizontalCentered="1" verticalCentered="1"/>
  <pageMargins left="0.39370078740157483" right="0.39370078740157483" top="0.51181102362204722" bottom="0.59055118110236227" header="0.43307086614173229" footer="0.31496062992125984"/>
  <pageSetup scale="34" orientation="portrait" horizontalDpi="1200" verticalDpi="1200" r:id="rId1"/>
  <headerFooter alignWithMargins="0">
    <oddHeader>&amp;LANEXO ESTADÍSTICO 2008&amp;CCOBERTURA EDUCATIVA&amp;R&amp;G</oddHeader>
    <oddFooter>&amp;R35</oddFooter>
  </headerFooter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B1:AE67"/>
  <sheetViews>
    <sheetView showGridLines="0" topLeftCell="G1" zoomScaleNormal="100" zoomScaleSheetLayoutView="90" workbookViewId="0">
      <selection activeCell="C4" sqref="C4"/>
    </sheetView>
  </sheetViews>
  <sheetFormatPr baseColWidth="10" defaultRowHeight="12.75" x14ac:dyDescent="0.2"/>
  <cols>
    <col min="1" max="1" width="1.85546875" style="1" customWidth="1"/>
    <col min="2" max="2" width="12.42578125" style="1" customWidth="1"/>
    <col min="3" max="3" width="26.28515625" style="72" customWidth="1"/>
    <col min="4" max="7" width="9.7109375" style="72" customWidth="1"/>
    <col min="8" max="10" width="7.7109375" style="1" customWidth="1"/>
    <col min="11" max="11" width="7.7109375" style="27" customWidth="1"/>
    <col min="12" max="14" width="7.7109375" style="1" customWidth="1"/>
    <col min="15" max="15" width="7.7109375" style="27" customWidth="1"/>
    <col min="16" max="18" width="7.7109375" style="1" customWidth="1"/>
    <col min="19" max="19" width="7.7109375" style="27" customWidth="1"/>
    <col min="20" max="22" width="7.7109375" style="1" customWidth="1"/>
    <col min="23" max="23" width="7.7109375" style="27" customWidth="1"/>
    <col min="24" max="31" width="7.140625" style="1" customWidth="1"/>
    <col min="32" max="16384" width="11.42578125" style="1"/>
  </cols>
  <sheetData>
    <row r="1" spans="2:31" ht="15" customHeight="1" x14ac:dyDescent="0.2">
      <c r="B1" s="83"/>
      <c r="C1" s="90"/>
      <c r="D1" s="90"/>
      <c r="E1" s="90"/>
      <c r="F1" s="90"/>
      <c r="G1" s="90"/>
      <c r="H1" s="26"/>
      <c r="I1" s="26"/>
      <c r="J1" s="26"/>
      <c r="K1" s="61"/>
      <c r="L1" s="26"/>
      <c r="M1" s="26"/>
      <c r="N1" s="26"/>
      <c r="O1" s="61"/>
      <c r="P1" s="26"/>
      <c r="Q1" s="26"/>
      <c r="R1" s="26"/>
      <c r="S1" s="61"/>
      <c r="T1" s="26"/>
      <c r="U1" s="26"/>
      <c r="V1" s="26"/>
      <c r="W1" s="61"/>
    </row>
    <row r="2" spans="2:31" ht="15" customHeight="1" x14ac:dyDescent="0.2">
      <c r="B2" s="35" t="s">
        <v>33</v>
      </c>
      <c r="C2" s="90"/>
      <c r="D2" s="90"/>
      <c r="E2" s="90"/>
      <c r="F2" s="90"/>
      <c r="G2" s="90"/>
      <c r="H2" s="26"/>
      <c r="I2" s="26"/>
      <c r="J2" s="26"/>
      <c r="K2" s="61"/>
      <c r="L2" s="26"/>
      <c r="M2" s="26"/>
      <c r="N2" s="26"/>
      <c r="O2" s="61"/>
      <c r="P2" s="26"/>
      <c r="Q2" s="26"/>
      <c r="R2" s="26"/>
      <c r="S2" s="61"/>
      <c r="T2" s="26"/>
      <c r="U2" s="26"/>
      <c r="V2" s="26"/>
      <c r="W2" s="61"/>
    </row>
    <row r="3" spans="2:31" ht="15" customHeight="1" x14ac:dyDescent="0.2">
      <c r="B3" s="35" t="s">
        <v>449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</row>
    <row r="4" spans="2:31" ht="15" customHeight="1" x14ac:dyDescent="0.2">
      <c r="B4" s="654"/>
      <c r="C4" s="654"/>
      <c r="D4" s="654"/>
      <c r="E4" s="654"/>
      <c r="F4" s="654"/>
      <c r="G4" s="654"/>
      <c r="H4" s="654"/>
      <c r="I4" s="654"/>
      <c r="J4" s="654"/>
      <c r="K4" s="654"/>
      <c r="L4" s="654"/>
      <c r="M4" s="654"/>
      <c r="N4" s="654"/>
      <c r="O4" s="654"/>
      <c r="P4" s="654"/>
      <c r="Q4" s="654"/>
      <c r="R4" s="654"/>
      <c r="S4" s="654"/>
      <c r="T4" s="654"/>
      <c r="U4" s="654"/>
      <c r="V4" s="654"/>
      <c r="W4" s="654"/>
    </row>
    <row r="5" spans="2:31" ht="12.75" customHeight="1" x14ac:dyDescent="0.2">
      <c r="B5" s="5106" t="s">
        <v>164</v>
      </c>
      <c r="C5" s="5106" t="s">
        <v>25</v>
      </c>
      <c r="D5" s="5574" t="s">
        <v>156</v>
      </c>
      <c r="E5" s="5574" t="s">
        <v>154</v>
      </c>
      <c r="F5" s="5574" t="s">
        <v>155</v>
      </c>
      <c r="G5" s="5580" t="s">
        <v>157</v>
      </c>
      <c r="H5" s="5574" t="s">
        <v>73</v>
      </c>
      <c r="I5" s="5574" t="s">
        <v>71</v>
      </c>
      <c r="J5" s="5574" t="s">
        <v>70</v>
      </c>
      <c r="K5" s="5580" t="s">
        <v>61</v>
      </c>
      <c r="L5" s="5574" t="s">
        <v>72</v>
      </c>
      <c r="M5" s="5574" t="s">
        <v>24</v>
      </c>
      <c r="N5" s="5574" t="s">
        <v>23</v>
      </c>
      <c r="O5" s="5574" t="s">
        <v>62</v>
      </c>
      <c r="P5" s="5575" t="s">
        <v>69</v>
      </c>
      <c r="Q5" s="5574" t="s">
        <v>59</v>
      </c>
      <c r="R5" s="5574" t="s">
        <v>21</v>
      </c>
      <c r="S5" s="5574" t="s">
        <v>63</v>
      </c>
      <c r="T5" s="5575" t="s">
        <v>22</v>
      </c>
      <c r="U5" s="5574" t="s">
        <v>17</v>
      </c>
      <c r="V5" s="5574" t="s">
        <v>18</v>
      </c>
      <c r="W5" s="5574" t="s">
        <v>64</v>
      </c>
      <c r="X5" s="5578" t="s">
        <v>150</v>
      </c>
      <c r="Y5" s="5579" t="s">
        <v>148</v>
      </c>
      <c r="Z5" s="5579" t="s">
        <v>149</v>
      </c>
      <c r="AA5" s="5576" t="s">
        <v>151</v>
      </c>
      <c r="AB5" s="5578" t="s">
        <v>325</v>
      </c>
      <c r="AC5" s="5579" t="s">
        <v>324</v>
      </c>
      <c r="AD5" s="5579" t="s">
        <v>323</v>
      </c>
      <c r="AE5" s="5576" t="s">
        <v>327</v>
      </c>
    </row>
    <row r="6" spans="2:31" ht="20.25" customHeight="1" x14ac:dyDescent="0.2">
      <c r="B6" s="5106"/>
      <c r="C6" s="5106"/>
      <c r="D6" s="5574"/>
      <c r="E6" s="5574"/>
      <c r="F6" s="5574"/>
      <c r="G6" s="5580"/>
      <c r="H6" s="5574"/>
      <c r="I6" s="5574"/>
      <c r="J6" s="5574"/>
      <c r="K6" s="5580"/>
      <c r="L6" s="5574"/>
      <c r="M6" s="5574"/>
      <c r="N6" s="5574"/>
      <c r="O6" s="5574"/>
      <c r="P6" s="5575"/>
      <c r="Q6" s="5574"/>
      <c r="R6" s="5574"/>
      <c r="S6" s="5574"/>
      <c r="T6" s="5575"/>
      <c r="U6" s="5574"/>
      <c r="V6" s="5574"/>
      <c r="W6" s="5574"/>
      <c r="X6" s="5578"/>
      <c r="Y6" s="5579"/>
      <c r="Z6" s="5579"/>
      <c r="AA6" s="5577"/>
      <c r="AB6" s="5578"/>
      <c r="AC6" s="5579"/>
      <c r="AD6" s="5579"/>
      <c r="AE6" s="5577"/>
    </row>
    <row r="7" spans="2:31" ht="12.75" customHeight="1" x14ac:dyDescent="0.2">
      <c r="B7" s="26"/>
      <c r="C7" s="70"/>
      <c r="D7" s="69"/>
      <c r="E7" s="70"/>
      <c r="F7" s="70"/>
      <c r="G7" s="81"/>
      <c r="H7" s="69"/>
      <c r="I7" s="70"/>
      <c r="J7" s="70"/>
      <c r="K7" s="81"/>
      <c r="O7" s="1"/>
      <c r="P7" s="69"/>
      <c r="Q7" s="70"/>
      <c r="R7" s="70"/>
      <c r="S7" s="81"/>
      <c r="W7" s="1"/>
      <c r="X7" s="69"/>
      <c r="Y7" s="70"/>
      <c r="Z7" s="70"/>
      <c r="AA7" s="81"/>
      <c r="AB7" s="69"/>
      <c r="AC7" s="70"/>
      <c r="AD7" s="70"/>
      <c r="AE7" s="81"/>
    </row>
    <row r="8" spans="2:31" ht="12.75" customHeight="1" x14ac:dyDescent="0.2">
      <c r="B8" s="5568" t="s">
        <v>5</v>
      </c>
      <c r="C8" s="668" t="s">
        <v>26</v>
      </c>
      <c r="D8" s="669"/>
      <c r="E8" s="670"/>
      <c r="F8" s="670"/>
      <c r="G8" s="671"/>
      <c r="H8" s="669"/>
      <c r="I8" s="670"/>
      <c r="J8" s="670"/>
      <c r="K8" s="671"/>
      <c r="L8" s="670"/>
      <c r="M8" s="670"/>
      <c r="N8" s="670"/>
      <c r="O8" s="672"/>
      <c r="P8" s="669"/>
      <c r="Q8" s="670"/>
      <c r="R8" s="670"/>
      <c r="S8" s="671"/>
      <c r="T8" s="670"/>
      <c r="U8" s="670"/>
      <c r="V8" s="670"/>
      <c r="W8" s="672"/>
      <c r="X8" s="443"/>
      <c r="Y8" s="444"/>
      <c r="Z8" s="444"/>
      <c r="AA8" s="673"/>
      <c r="AB8" s="443"/>
      <c r="AC8" s="444"/>
      <c r="AD8" s="444"/>
      <c r="AE8" s="673"/>
    </row>
    <row r="9" spans="2:31" ht="12.75" customHeight="1" x14ac:dyDescent="0.2">
      <c r="B9" s="5569"/>
      <c r="C9" s="329" t="s">
        <v>27</v>
      </c>
      <c r="D9" s="332">
        <v>1</v>
      </c>
      <c r="E9" s="330"/>
      <c r="F9" s="330"/>
      <c r="G9" s="333">
        <v>1</v>
      </c>
      <c r="H9" s="332">
        <v>1</v>
      </c>
      <c r="I9" s="330"/>
      <c r="J9" s="330"/>
      <c r="K9" s="333">
        <v>1</v>
      </c>
      <c r="L9" s="330"/>
      <c r="M9" s="330"/>
      <c r="N9" s="330"/>
      <c r="O9" s="331"/>
      <c r="P9" s="332"/>
      <c r="Q9" s="330"/>
      <c r="R9" s="330"/>
      <c r="S9" s="333"/>
      <c r="T9" s="330"/>
      <c r="U9" s="330">
        <v>1</v>
      </c>
      <c r="V9" s="330">
        <v>1</v>
      </c>
      <c r="W9" s="331">
        <v>2</v>
      </c>
      <c r="X9" s="334"/>
      <c r="Y9" s="335"/>
      <c r="Z9" s="335">
        <v>2</v>
      </c>
      <c r="AA9" s="337">
        <v>2</v>
      </c>
      <c r="AB9" s="334">
        <v>2</v>
      </c>
      <c r="AC9" s="335"/>
      <c r="AD9" s="335"/>
      <c r="AE9" s="337">
        <f>SUM(AB9:AD9)</f>
        <v>2</v>
      </c>
    </row>
    <row r="10" spans="2:31" s="27" customFormat="1" ht="12.75" customHeight="1" x14ac:dyDescent="0.2">
      <c r="B10" s="5569"/>
      <c r="C10" s="329" t="s">
        <v>28</v>
      </c>
      <c r="D10" s="332"/>
      <c r="E10" s="330"/>
      <c r="F10" s="330"/>
      <c r="G10" s="333"/>
      <c r="H10" s="332"/>
      <c r="I10" s="330"/>
      <c r="J10" s="330"/>
      <c r="K10" s="333"/>
      <c r="L10" s="330"/>
      <c r="M10" s="330"/>
      <c r="N10" s="330"/>
      <c r="O10" s="331"/>
      <c r="P10" s="332"/>
      <c r="Q10" s="330">
        <v>1</v>
      </c>
      <c r="R10" s="330"/>
      <c r="S10" s="333">
        <v>1</v>
      </c>
      <c r="T10" s="330"/>
      <c r="U10" s="330"/>
      <c r="V10" s="330"/>
      <c r="W10" s="331"/>
      <c r="X10" s="334"/>
      <c r="Y10" s="335"/>
      <c r="Z10" s="335">
        <v>2</v>
      </c>
      <c r="AA10" s="337">
        <v>2</v>
      </c>
      <c r="AB10" s="334">
        <v>1</v>
      </c>
      <c r="AC10" s="335"/>
      <c r="AD10" s="335"/>
      <c r="AE10" s="337">
        <f>SUM(AB10:AD10)</f>
        <v>1</v>
      </c>
    </row>
    <row r="11" spans="2:31" s="27" customFormat="1" ht="12.75" customHeight="1" x14ac:dyDescent="0.2">
      <c r="B11" s="5570"/>
      <c r="C11" s="678" t="s">
        <v>13</v>
      </c>
      <c r="D11" s="679">
        <v>1</v>
      </c>
      <c r="E11" s="680"/>
      <c r="F11" s="680"/>
      <c r="G11" s="681">
        <v>1</v>
      </c>
      <c r="H11" s="679"/>
      <c r="I11" s="680"/>
      <c r="J11" s="680"/>
      <c r="K11" s="681">
        <v>1</v>
      </c>
      <c r="L11" s="680"/>
      <c r="M11" s="680"/>
      <c r="N11" s="680"/>
      <c r="O11" s="680"/>
      <c r="P11" s="679"/>
      <c r="Q11" s="680">
        <v>1</v>
      </c>
      <c r="R11" s="680"/>
      <c r="S11" s="681">
        <v>1</v>
      </c>
      <c r="T11" s="680"/>
      <c r="U11" s="680">
        <v>1</v>
      </c>
      <c r="V11" s="680">
        <v>1</v>
      </c>
      <c r="W11" s="680">
        <v>2</v>
      </c>
      <c r="X11" s="682"/>
      <c r="Y11" s="683"/>
      <c r="Z11" s="683">
        <v>4</v>
      </c>
      <c r="AA11" s="684">
        <v>4</v>
      </c>
      <c r="AB11" s="682">
        <f>SUM(AB8:AB10)</f>
        <v>3</v>
      </c>
      <c r="AC11" s="683"/>
      <c r="AD11" s="683"/>
      <c r="AE11" s="684">
        <f>SUM(AE8:AE10)</f>
        <v>3</v>
      </c>
    </row>
    <row r="12" spans="2:31" ht="12.75" customHeight="1" x14ac:dyDescent="0.2">
      <c r="B12" s="5568" t="s">
        <v>6</v>
      </c>
      <c r="C12" s="329" t="s">
        <v>26</v>
      </c>
      <c r="D12" s="332"/>
      <c r="E12" s="330"/>
      <c r="F12" s="330"/>
      <c r="G12" s="333"/>
      <c r="H12" s="332"/>
      <c r="I12" s="330"/>
      <c r="J12" s="330"/>
      <c r="K12" s="333"/>
      <c r="L12" s="330">
        <v>1</v>
      </c>
      <c r="M12" s="330"/>
      <c r="N12" s="330"/>
      <c r="O12" s="331">
        <v>1</v>
      </c>
      <c r="P12" s="332"/>
      <c r="Q12" s="330"/>
      <c r="R12" s="330"/>
      <c r="S12" s="333"/>
      <c r="T12" s="330"/>
      <c r="U12" s="330"/>
      <c r="V12" s="330"/>
      <c r="W12" s="331"/>
      <c r="X12" s="334"/>
      <c r="Y12" s="335"/>
      <c r="Z12" s="335"/>
      <c r="AA12" s="337"/>
      <c r="AB12" s="334"/>
      <c r="AC12" s="335"/>
      <c r="AD12" s="335"/>
      <c r="AE12" s="337"/>
    </row>
    <row r="13" spans="2:31" ht="12.75" customHeight="1" x14ac:dyDescent="0.2">
      <c r="B13" s="5569"/>
      <c r="C13" s="329" t="s">
        <v>27</v>
      </c>
      <c r="D13" s="332"/>
      <c r="E13" s="330"/>
      <c r="F13" s="330"/>
      <c r="G13" s="333"/>
      <c r="H13" s="332"/>
      <c r="I13" s="330">
        <v>1</v>
      </c>
      <c r="J13" s="330">
        <v>1</v>
      </c>
      <c r="K13" s="333">
        <v>2</v>
      </c>
      <c r="L13" s="330">
        <v>2</v>
      </c>
      <c r="M13" s="330"/>
      <c r="N13" s="330"/>
      <c r="O13" s="331">
        <v>2</v>
      </c>
      <c r="P13" s="332">
        <v>1</v>
      </c>
      <c r="Q13" s="330">
        <v>1</v>
      </c>
      <c r="R13" s="330"/>
      <c r="S13" s="333">
        <v>2</v>
      </c>
      <c r="T13" s="330">
        <v>1</v>
      </c>
      <c r="U13" s="330">
        <v>1</v>
      </c>
      <c r="V13" s="330"/>
      <c r="W13" s="331">
        <v>2</v>
      </c>
      <c r="X13" s="334"/>
      <c r="Y13" s="335"/>
      <c r="Z13" s="335"/>
      <c r="AA13" s="337"/>
      <c r="AB13" s="334"/>
      <c r="AC13" s="335"/>
      <c r="AD13" s="335"/>
      <c r="AE13" s="337"/>
    </row>
    <row r="14" spans="2:31" ht="12.75" customHeight="1" x14ac:dyDescent="0.2">
      <c r="B14" s="5569"/>
      <c r="C14" s="329" t="s">
        <v>28</v>
      </c>
      <c r="D14" s="332"/>
      <c r="E14" s="330"/>
      <c r="F14" s="330"/>
      <c r="G14" s="333"/>
      <c r="H14" s="332"/>
      <c r="I14" s="330"/>
      <c r="J14" s="330">
        <v>1</v>
      </c>
      <c r="K14" s="333">
        <v>1</v>
      </c>
      <c r="L14" s="330"/>
      <c r="M14" s="330"/>
      <c r="N14" s="330"/>
      <c r="O14" s="331"/>
      <c r="P14" s="332"/>
      <c r="Q14" s="330"/>
      <c r="R14" s="330"/>
      <c r="S14" s="333"/>
      <c r="T14" s="330"/>
      <c r="U14" s="330"/>
      <c r="V14" s="330"/>
      <c r="W14" s="331"/>
      <c r="X14" s="334"/>
      <c r="Y14" s="335"/>
      <c r="Z14" s="335"/>
      <c r="AA14" s="337"/>
      <c r="AB14" s="334"/>
      <c r="AC14" s="335"/>
      <c r="AD14" s="335"/>
      <c r="AE14" s="337"/>
    </row>
    <row r="15" spans="2:31" s="27" customFormat="1" ht="12.75" customHeight="1" x14ac:dyDescent="0.2">
      <c r="B15" s="5570"/>
      <c r="C15" s="678" t="s">
        <v>14</v>
      </c>
      <c r="D15" s="679"/>
      <c r="E15" s="680"/>
      <c r="F15" s="680"/>
      <c r="G15" s="681"/>
      <c r="H15" s="679"/>
      <c r="I15" s="680">
        <v>1</v>
      </c>
      <c r="J15" s="680">
        <v>2</v>
      </c>
      <c r="K15" s="681">
        <v>3</v>
      </c>
      <c r="L15" s="680">
        <v>3</v>
      </c>
      <c r="M15" s="680"/>
      <c r="N15" s="680"/>
      <c r="O15" s="680">
        <v>3</v>
      </c>
      <c r="P15" s="679">
        <v>1</v>
      </c>
      <c r="Q15" s="680">
        <v>1</v>
      </c>
      <c r="R15" s="680"/>
      <c r="S15" s="681">
        <v>2</v>
      </c>
      <c r="T15" s="680">
        <v>1</v>
      </c>
      <c r="U15" s="680">
        <v>1</v>
      </c>
      <c r="V15" s="680"/>
      <c r="W15" s="680">
        <v>2</v>
      </c>
      <c r="X15" s="682"/>
      <c r="Y15" s="683"/>
      <c r="Z15" s="683"/>
      <c r="AA15" s="684"/>
      <c r="AB15" s="682"/>
      <c r="AC15" s="683"/>
      <c r="AD15" s="683"/>
      <c r="AE15" s="684"/>
    </row>
    <row r="16" spans="2:31" ht="12.75" customHeight="1" x14ac:dyDescent="0.2">
      <c r="B16" s="5568" t="s">
        <v>7</v>
      </c>
      <c r="C16" s="329" t="s">
        <v>26</v>
      </c>
      <c r="D16" s="332">
        <v>1</v>
      </c>
      <c r="E16" s="330"/>
      <c r="F16" s="330">
        <v>1</v>
      </c>
      <c r="G16" s="333">
        <v>2</v>
      </c>
      <c r="H16" s="332"/>
      <c r="I16" s="330"/>
      <c r="J16" s="330"/>
      <c r="K16" s="333"/>
      <c r="L16" s="330">
        <v>1</v>
      </c>
      <c r="M16" s="330">
        <v>1</v>
      </c>
      <c r="N16" s="330"/>
      <c r="O16" s="331">
        <v>2</v>
      </c>
      <c r="P16" s="332"/>
      <c r="Q16" s="330">
        <v>1</v>
      </c>
      <c r="R16" s="330">
        <v>1</v>
      </c>
      <c r="S16" s="333">
        <v>2</v>
      </c>
      <c r="T16" s="330"/>
      <c r="U16" s="330">
        <v>1</v>
      </c>
      <c r="V16" s="330"/>
      <c r="W16" s="331">
        <v>1</v>
      </c>
      <c r="X16" s="334">
        <v>1</v>
      </c>
      <c r="Y16" s="335"/>
      <c r="Z16" s="335">
        <v>1</v>
      </c>
      <c r="AA16" s="337">
        <v>2</v>
      </c>
      <c r="AB16" s="334"/>
      <c r="AC16" s="335"/>
      <c r="AD16" s="335"/>
      <c r="AE16" s="337"/>
    </row>
    <row r="17" spans="2:31" ht="12.75" customHeight="1" x14ac:dyDescent="0.2">
      <c r="B17" s="5569"/>
      <c r="C17" s="329" t="s">
        <v>27</v>
      </c>
      <c r="D17" s="332"/>
      <c r="E17" s="330"/>
      <c r="F17" s="330"/>
      <c r="G17" s="333"/>
      <c r="H17" s="332"/>
      <c r="I17" s="330"/>
      <c r="J17" s="330"/>
      <c r="K17" s="333"/>
      <c r="L17" s="330"/>
      <c r="M17" s="330"/>
      <c r="N17" s="330"/>
      <c r="O17" s="331"/>
      <c r="P17" s="332">
        <v>1</v>
      </c>
      <c r="Q17" s="330">
        <v>1</v>
      </c>
      <c r="R17" s="330">
        <v>0</v>
      </c>
      <c r="S17" s="333">
        <v>2</v>
      </c>
      <c r="T17" s="330"/>
      <c r="U17" s="330"/>
      <c r="V17" s="330"/>
      <c r="W17" s="331"/>
      <c r="X17" s="334"/>
      <c r="Y17" s="335"/>
      <c r="Z17" s="335">
        <v>1</v>
      </c>
      <c r="AA17" s="337">
        <v>1</v>
      </c>
      <c r="AB17" s="334">
        <v>1</v>
      </c>
      <c r="AC17" s="335"/>
      <c r="AD17" s="335">
        <v>2</v>
      </c>
      <c r="AE17" s="337">
        <f>SUM(AB17:AD17)</f>
        <v>3</v>
      </c>
    </row>
    <row r="18" spans="2:31" ht="12.75" customHeight="1" x14ac:dyDescent="0.2">
      <c r="B18" s="5569"/>
      <c r="C18" s="329" t="s">
        <v>28</v>
      </c>
      <c r="D18" s="332"/>
      <c r="E18" s="330"/>
      <c r="F18" s="330"/>
      <c r="G18" s="333"/>
      <c r="H18" s="332"/>
      <c r="I18" s="330"/>
      <c r="J18" s="330"/>
      <c r="K18" s="333"/>
      <c r="L18" s="330"/>
      <c r="M18" s="330"/>
      <c r="N18" s="330"/>
      <c r="O18" s="331"/>
      <c r="P18" s="332"/>
      <c r="Q18" s="330"/>
      <c r="R18" s="330"/>
      <c r="S18" s="333"/>
      <c r="T18" s="330"/>
      <c r="U18" s="330"/>
      <c r="V18" s="330"/>
      <c r="W18" s="331"/>
      <c r="X18" s="334"/>
      <c r="Y18" s="335"/>
      <c r="Z18" s="335"/>
      <c r="AA18" s="337"/>
      <c r="AB18" s="334"/>
      <c r="AC18" s="335"/>
      <c r="AD18" s="335"/>
      <c r="AE18" s="337"/>
    </row>
    <row r="19" spans="2:31" s="27" customFormat="1" ht="12.75" customHeight="1" x14ac:dyDescent="0.2">
      <c r="B19" s="5570"/>
      <c r="C19" s="678" t="s">
        <v>15</v>
      </c>
      <c r="D19" s="679">
        <v>1</v>
      </c>
      <c r="E19" s="680"/>
      <c r="F19" s="680">
        <v>1</v>
      </c>
      <c r="G19" s="681">
        <v>2</v>
      </c>
      <c r="H19" s="679"/>
      <c r="I19" s="680"/>
      <c r="J19" s="680"/>
      <c r="K19" s="681"/>
      <c r="L19" s="680">
        <v>1</v>
      </c>
      <c r="M19" s="680">
        <v>1</v>
      </c>
      <c r="N19" s="680"/>
      <c r="O19" s="680">
        <v>2</v>
      </c>
      <c r="P19" s="679"/>
      <c r="Q19" s="680"/>
      <c r="R19" s="680"/>
      <c r="S19" s="681"/>
      <c r="T19" s="680"/>
      <c r="U19" s="680"/>
      <c r="V19" s="680"/>
      <c r="W19" s="680"/>
      <c r="X19" s="682"/>
      <c r="Y19" s="683"/>
      <c r="Z19" s="683"/>
      <c r="AA19" s="684"/>
      <c r="AB19" s="682"/>
      <c r="AC19" s="683"/>
      <c r="AD19" s="683"/>
      <c r="AE19" s="684"/>
    </row>
    <row r="20" spans="2:31" ht="12.75" customHeight="1" x14ac:dyDescent="0.2">
      <c r="B20" s="5571" t="s">
        <v>16</v>
      </c>
      <c r="C20" s="329" t="s">
        <v>26</v>
      </c>
      <c r="D20" s="332">
        <f>D8+D12+D16</f>
        <v>1</v>
      </c>
      <c r="E20" s="330"/>
      <c r="F20" s="330">
        <f>F8+F12+F16</f>
        <v>1</v>
      </c>
      <c r="G20" s="333">
        <f>G8+G12+G16</f>
        <v>2</v>
      </c>
      <c r="H20" s="332"/>
      <c r="I20" s="330"/>
      <c r="J20" s="330"/>
      <c r="K20" s="333"/>
      <c r="L20" s="330">
        <f>L8+L12+L16</f>
        <v>2</v>
      </c>
      <c r="M20" s="330">
        <f>M8+M12+M16</f>
        <v>1</v>
      </c>
      <c r="N20" s="330"/>
      <c r="O20" s="331">
        <f>O8+O12+O16</f>
        <v>3</v>
      </c>
      <c r="P20" s="332"/>
      <c r="Q20" s="330">
        <f>Q8+Q12+Q16</f>
        <v>1</v>
      </c>
      <c r="R20" s="330">
        <f>R8+R12+R16</f>
        <v>1</v>
      </c>
      <c r="S20" s="333">
        <f>S8+S12+S16</f>
        <v>2</v>
      </c>
      <c r="T20" s="330"/>
      <c r="U20" s="330">
        <f>U8+U12+U16</f>
        <v>1</v>
      </c>
      <c r="V20" s="330"/>
      <c r="W20" s="331">
        <f>W8+W12+W16</f>
        <v>1</v>
      </c>
      <c r="X20" s="334">
        <v>1</v>
      </c>
      <c r="Y20" s="335"/>
      <c r="Z20" s="335">
        <v>1</v>
      </c>
      <c r="AA20" s="338">
        <v>2</v>
      </c>
      <c r="AB20" s="334"/>
      <c r="AC20" s="335"/>
      <c r="AD20" s="335"/>
      <c r="AE20" s="337"/>
    </row>
    <row r="21" spans="2:31" ht="12.75" customHeight="1" x14ac:dyDescent="0.2">
      <c r="B21" s="5572"/>
      <c r="C21" s="329" t="s">
        <v>27</v>
      </c>
      <c r="D21" s="332">
        <f>D9+D13+D17</f>
        <v>1</v>
      </c>
      <c r="E21" s="330"/>
      <c r="F21" s="330"/>
      <c r="G21" s="333">
        <f t="shared" ref="G21:L21" si="0">G9+G13+G17</f>
        <v>1</v>
      </c>
      <c r="H21" s="332">
        <f t="shared" si="0"/>
        <v>1</v>
      </c>
      <c r="I21" s="330">
        <f t="shared" si="0"/>
        <v>1</v>
      </c>
      <c r="J21" s="330">
        <f t="shared" si="0"/>
        <v>1</v>
      </c>
      <c r="K21" s="333">
        <f t="shared" si="0"/>
        <v>3</v>
      </c>
      <c r="L21" s="330">
        <f t="shared" si="0"/>
        <v>2</v>
      </c>
      <c r="M21" s="330"/>
      <c r="N21" s="330"/>
      <c r="O21" s="331">
        <f>O9+O13+O17</f>
        <v>2</v>
      </c>
      <c r="P21" s="332">
        <f>P9+P13+P17</f>
        <v>2</v>
      </c>
      <c r="Q21" s="330">
        <f>Q9+Q13+Q17</f>
        <v>2</v>
      </c>
      <c r="R21" s="330"/>
      <c r="S21" s="333">
        <f>S9+S13+S17</f>
        <v>4</v>
      </c>
      <c r="T21" s="330">
        <f>T9+T13+T17</f>
        <v>1</v>
      </c>
      <c r="U21" s="330">
        <f>U9+U13+U17</f>
        <v>2</v>
      </c>
      <c r="V21" s="330">
        <f>V9+V13+V17</f>
        <v>1</v>
      </c>
      <c r="W21" s="331">
        <f>W9+W13+W17</f>
        <v>4</v>
      </c>
      <c r="X21" s="334"/>
      <c r="Y21" s="335"/>
      <c r="Z21" s="335">
        <v>3</v>
      </c>
      <c r="AA21" s="338">
        <v>3</v>
      </c>
      <c r="AB21" s="334">
        <f>SUM(AB9,AB13,AB17)</f>
        <v>3</v>
      </c>
      <c r="AC21" s="335"/>
      <c r="AD21" s="335">
        <f>SUM(AD9,AD13,AD17)</f>
        <v>2</v>
      </c>
      <c r="AE21" s="337">
        <f>SUM(AE9,AE13,AE17)</f>
        <v>5</v>
      </c>
    </row>
    <row r="22" spans="2:31" ht="12.75" customHeight="1" x14ac:dyDescent="0.2">
      <c r="B22" s="5572"/>
      <c r="C22" s="416" t="s">
        <v>28</v>
      </c>
      <c r="D22" s="674"/>
      <c r="E22" s="675"/>
      <c r="F22" s="675"/>
      <c r="G22" s="676"/>
      <c r="H22" s="674"/>
      <c r="I22" s="675"/>
      <c r="J22" s="675">
        <f>J10+J14+J18</f>
        <v>1</v>
      </c>
      <c r="K22" s="676">
        <f>K10+K14+K18</f>
        <v>1</v>
      </c>
      <c r="L22" s="675"/>
      <c r="M22" s="675"/>
      <c r="N22" s="675"/>
      <c r="O22" s="677"/>
      <c r="P22" s="674"/>
      <c r="Q22" s="675">
        <f>Q10+Q14+Q18</f>
        <v>1</v>
      </c>
      <c r="R22" s="675"/>
      <c r="S22" s="676">
        <f>S10+S14+S18</f>
        <v>1</v>
      </c>
      <c r="T22" s="675"/>
      <c r="U22" s="675"/>
      <c r="V22" s="675"/>
      <c r="W22" s="677"/>
      <c r="X22" s="417"/>
      <c r="Y22" s="418"/>
      <c r="Z22" s="418">
        <v>2</v>
      </c>
      <c r="AA22" s="446">
        <v>2</v>
      </c>
      <c r="AB22" s="417">
        <f>SUM(AB10,AB14,AB18)</f>
        <v>1</v>
      </c>
      <c r="AC22" s="418"/>
      <c r="AD22" s="418"/>
      <c r="AE22" s="419">
        <f>SUM(AE10,AE14,AE18)</f>
        <v>1</v>
      </c>
    </row>
    <row r="23" spans="2:31" s="38" customFormat="1" ht="15" x14ac:dyDescent="0.2">
      <c r="B23" s="5573"/>
      <c r="C23" s="601" t="s">
        <v>12</v>
      </c>
      <c r="D23" s="685">
        <f>SUM(D20:D22)</f>
        <v>2</v>
      </c>
      <c r="E23" s="686"/>
      <c r="F23" s="686">
        <f>SUM(F20:F22)</f>
        <v>1</v>
      </c>
      <c r="G23" s="687">
        <f>SUM(G20:G22)</f>
        <v>3</v>
      </c>
      <c r="H23" s="685">
        <f t="shared" ref="H23:W23" si="1">SUM(H20:H22)</f>
        <v>1</v>
      </c>
      <c r="I23" s="686">
        <f t="shared" si="1"/>
        <v>1</v>
      </c>
      <c r="J23" s="686">
        <f t="shared" si="1"/>
        <v>2</v>
      </c>
      <c r="K23" s="687">
        <f t="shared" si="1"/>
        <v>4</v>
      </c>
      <c r="L23" s="686">
        <f t="shared" si="1"/>
        <v>4</v>
      </c>
      <c r="M23" s="686">
        <f t="shared" si="1"/>
        <v>1</v>
      </c>
      <c r="N23" s="686"/>
      <c r="O23" s="686">
        <f t="shared" si="1"/>
        <v>5</v>
      </c>
      <c r="P23" s="685">
        <f t="shared" si="1"/>
        <v>2</v>
      </c>
      <c r="Q23" s="686">
        <f t="shared" si="1"/>
        <v>4</v>
      </c>
      <c r="R23" s="686">
        <f t="shared" si="1"/>
        <v>1</v>
      </c>
      <c r="S23" s="687">
        <f t="shared" si="1"/>
        <v>7</v>
      </c>
      <c r="T23" s="686">
        <f t="shared" si="1"/>
        <v>1</v>
      </c>
      <c r="U23" s="686">
        <f t="shared" si="1"/>
        <v>3</v>
      </c>
      <c r="V23" s="686">
        <f t="shared" si="1"/>
        <v>1</v>
      </c>
      <c r="W23" s="686">
        <f t="shared" si="1"/>
        <v>5</v>
      </c>
      <c r="X23" s="598">
        <v>1</v>
      </c>
      <c r="Y23" s="599">
        <v>0</v>
      </c>
      <c r="Z23" s="599">
        <v>6</v>
      </c>
      <c r="AA23" s="600">
        <v>7</v>
      </c>
      <c r="AB23" s="599">
        <f>SUM(AB20:AB22)</f>
        <v>4</v>
      </c>
      <c r="AC23" s="599"/>
      <c r="AD23" s="599">
        <f>SUM(AD20:AD22)</f>
        <v>2</v>
      </c>
      <c r="AE23" s="600">
        <f>SUM(AE20:AE22)</f>
        <v>6</v>
      </c>
    </row>
    <row r="24" spans="2:31" ht="12.75" customHeight="1" x14ac:dyDescent="0.2">
      <c r="C24" s="1"/>
      <c r="D24" s="1"/>
      <c r="E24" s="1"/>
      <c r="F24" s="1"/>
      <c r="G24" s="1"/>
      <c r="K24" s="1"/>
      <c r="O24" s="1"/>
      <c r="S24" s="1"/>
      <c r="W24" s="1"/>
    </row>
    <row r="25" spans="2:31" ht="15" x14ac:dyDescent="0.2">
      <c r="B25" s="5568" t="s">
        <v>5</v>
      </c>
      <c r="C25" s="651" t="s">
        <v>26</v>
      </c>
      <c r="D25" s="670"/>
      <c r="E25" s="670"/>
      <c r="F25" s="670"/>
      <c r="G25" s="672"/>
      <c r="H25" s="669"/>
      <c r="I25" s="670"/>
      <c r="J25" s="670"/>
      <c r="K25" s="672"/>
      <c r="L25" s="669"/>
      <c r="M25" s="670"/>
      <c r="N25" s="670"/>
      <c r="O25" s="671"/>
      <c r="P25" s="670"/>
      <c r="Q25" s="670"/>
      <c r="R25" s="670"/>
      <c r="S25" s="671"/>
      <c r="T25" s="670"/>
      <c r="U25" s="670"/>
      <c r="V25" s="670"/>
      <c r="W25" s="671"/>
      <c r="X25" s="443"/>
      <c r="Y25" s="444"/>
      <c r="Z25" s="444"/>
      <c r="AA25" s="688"/>
      <c r="AB25" s="443"/>
      <c r="AC25" s="444"/>
      <c r="AD25" s="444"/>
      <c r="AE25" s="673">
        <f>SUM(AB25:AD25)</f>
        <v>0</v>
      </c>
    </row>
    <row r="26" spans="2:31" ht="15" x14ac:dyDescent="0.2">
      <c r="B26" s="5569"/>
      <c r="C26" s="652" t="s">
        <v>27</v>
      </c>
      <c r="D26" s="330"/>
      <c r="E26" s="330"/>
      <c r="F26" s="330"/>
      <c r="G26" s="331"/>
      <c r="H26" s="332">
        <v>1</v>
      </c>
      <c r="I26" s="330"/>
      <c r="J26" s="330"/>
      <c r="K26" s="331">
        <v>1</v>
      </c>
      <c r="L26" s="332">
        <v>1</v>
      </c>
      <c r="M26" s="330"/>
      <c r="N26" s="330"/>
      <c r="O26" s="333">
        <v>1</v>
      </c>
      <c r="P26" s="330">
        <v>1</v>
      </c>
      <c r="Q26" s="330">
        <v>1</v>
      </c>
      <c r="R26" s="330">
        <v>2</v>
      </c>
      <c r="S26" s="333">
        <v>4</v>
      </c>
      <c r="T26" s="330">
        <v>1</v>
      </c>
      <c r="U26" s="330">
        <v>0</v>
      </c>
      <c r="V26" s="330">
        <v>1</v>
      </c>
      <c r="W26" s="333">
        <v>2</v>
      </c>
      <c r="X26" s="334">
        <v>1</v>
      </c>
      <c r="Y26" s="335">
        <v>3</v>
      </c>
      <c r="Z26" s="335">
        <v>0</v>
      </c>
      <c r="AA26" s="336">
        <v>4</v>
      </c>
      <c r="AB26" s="334">
        <v>1</v>
      </c>
      <c r="AC26" s="335">
        <v>1</v>
      </c>
      <c r="AD26" s="335">
        <v>1</v>
      </c>
      <c r="AE26" s="337">
        <f>SUM(AB26:AD26)</f>
        <v>3</v>
      </c>
    </row>
    <row r="27" spans="2:31" ht="15" x14ac:dyDescent="0.2">
      <c r="B27" s="5569"/>
      <c r="C27" s="652" t="s">
        <v>28</v>
      </c>
      <c r="D27" s="330"/>
      <c r="E27" s="330"/>
      <c r="F27" s="330">
        <v>2</v>
      </c>
      <c r="G27" s="331">
        <v>2</v>
      </c>
      <c r="H27" s="332">
        <v>1</v>
      </c>
      <c r="I27" s="330"/>
      <c r="J27" s="330"/>
      <c r="K27" s="331">
        <v>1</v>
      </c>
      <c r="L27" s="332">
        <v>2</v>
      </c>
      <c r="M27" s="330"/>
      <c r="N27" s="330"/>
      <c r="O27" s="333">
        <v>2</v>
      </c>
      <c r="P27" s="330">
        <v>0</v>
      </c>
      <c r="Q27" s="330">
        <v>0</v>
      </c>
      <c r="R27" s="330">
        <v>0</v>
      </c>
      <c r="S27" s="333">
        <v>0</v>
      </c>
      <c r="T27" s="330">
        <v>0</v>
      </c>
      <c r="U27" s="330">
        <v>1</v>
      </c>
      <c r="V27" s="330">
        <v>0</v>
      </c>
      <c r="W27" s="333">
        <v>1</v>
      </c>
      <c r="X27" s="334">
        <v>0</v>
      </c>
      <c r="Y27" s="335">
        <v>0</v>
      </c>
      <c r="Z27" s="335">
        <v>0</v>
      </c>
      <c r="AA27" s="336">
        <v>0</v>
      </c>
      <c r="AB27" s="334"/>
      <c r="AC27" s="335"/>
      <c r="AD27" s="335"/>
      <c r="AE27" s="337">
        <f>SUM(AB27:AD27)</f>
        <v>0</v>
      </c>
    </row>
    <row r="28" spans="2:31" s="27" customFormat="1" ht="15" x14ac:dyDescent="0.2">
      <c r="B28" s="5570"/>
      <c r="C28" s="678" t="s">
        <v>13</v>
      </c>
      <c r="D28" s="679"/>
      <c r="E28" s="680"/>
      <c r="F28" s="680">
        <v>2</v>
      </c>
      <c r="G28" s="681">
        <v>2</v>
      </c>
      <c r="H28" s="679">
        <v>2</v>
      </c>
      <c r="I28" s="680"/>
      <c r="J28" s="680"/>
      <c r="K28" s="681">
        <v>2</v>
      </c>
      <c r="L28" s="680">
        <v>3</v>
      </c>
      <c r="M28" s="680"/>
      <c r="N28" s="680"/>
      <c r="O28" s="680">
        <v>3</v>
      </c>
      <c r="P28" s="679">
        <v>1</v>
      </c>
      <c r="Q28" s="680">
        <v>1</v>
      </c>
      <c r="R28" s="680">
        <v>2</v>
      </c>
      <c r="S28" s="681">
        <v>4</v>
      </c>
      <c r="T28" s="680">
        <v>1</v>
      </c>
      <c r="U28" s="680">
        <v>1</v>
      </c>
      <c r="V28" s="680">
        <v>1</v>
      </c>
      <c r="W28" s="680">
        <v>3</v>
      </c>
      <c r="X28" s="682">
        <v>1</v>
      </c>
      <c r="Y28" s="683">
        <v>3</v>
      </c>
      <c r="Z28" s="683">
        <v>0</v>
      </c>
      <c r="AA28" s="684">
        <v>4</v>
      </c>
      <c r="AB28" s="682">
        <f>SUM(AB25:AB27)</f>
        <v>1</v>
      </c>
      <c r="AC28" s="683">
        <f>SUM(AC25:AC27)</f>
        <v>1</v>
      </c>
      <c r="AD28" s="683">
        <f>SUM(AD25:AD27)</f>
        <v>1</v>
      </c>
      <c r="AE28" s="684">
        <f>SUM(AE25:AE27)</f>
        <v>3</v>
      </c>
    </row>
    <row r="29" spans="2:31" ht="15" x14ac:dyDescent="0.2">
      <c r="B29" s="5568" t="s">
        <v>6</v>
      </c>
      <c r="C29" s="652" t="s">
        <v>26</v>
      </c>
      <c r="D29" s="330"/>
      <c r="E29" s="330"/>
      <c r="F29" s="330"/>
      <c r="G29" s="331">
        <v>0</v>
      </c>
      <c r="H29" s="332"/>
      <c r="I29" s="330"/>
      <c r="J29" s="330"/>
      <c r="K29" s="331"/>
      <c r="L29" s="332"/>
      <c r="M29" s="330"/>
      <c r="N29" s="330"/>
      <c r="O29" s="333"/>
      <c r="P29" s="330">
        <v>0</v>
      </c>
      <c r="Q29" s="330">
        <v>0</v>
      </c>
      <c r="R29" s="330">
        <v>0</v>
      </c>
      <c r="S29" s="333">
        <v>0</v>
      </c>
      <c r="T29" s="330">
        <v>0</v>
      </c>
      <c r="U29" s="330">
        <v>0</v>
      </c>
      <c r="V29" s="330">
        <v>0</v>
      </c>
      <c r="W29" s="333">
        <v>0</v>
      </c>
      <c r="X29" s="334">
        <v>0</v>
      </c>
      <c r="Y29" s="335">
        <v>0</v>
      </c>
      <c r="Z29" s="335">
        <v>0</v>
      </c>
      <c r="AA29" s="336">
        <v>0</v>
      </c>
      <c r="AB29" s="334"/>
      <c r="AC29" s="335"/>
      <c r="AD29" s="335"/>
      <c r="AE29" s="337">
        <f>SUM(AB29:AD29)</f>
        <v>0</v>
      </c>
    </row>
    <row r="30" spans="2:31" ht="15" x14ac:dyDescent="0.2">
      <c r="B30" s="5569"/>
      <c r="C30" s="652" t="s">
        <v>27</v>
      </c>
      <c r="D30" s="330">
        <v>1</v>
      </c>
      <c r="E30" s="330"/>
      <c r="F30" s="330"/>
      <c r="G30" s="331">
        <v>1</v>
      </c>
      <c r="H30" s="332"/>
      <c r="I30" s="330"/>
      <c r="J30" s="330">
        <v>3</v>
      </c>
      <c r="K30" s="331">
        <v>3</v>
      </c>
      <c r="L30" s="332">
        <v>4</v>
      </c>
      <c r="M30" s="330">
        <v>1</v>
      </c>
      <c r="N30" s="330"/>
      <c r="O30" s="333">
        <v>5</v>
      </c>
      <c r="P30" s="330">
        <v>1</v>
      </c>
      <c r="Q30" s="330">
        <v>1</v>
      </c>
      <c r="R30" s="330">
        <v>0</v>
      </c>
      <c r="S30" s="333">
        <v>2</v>
      </c>
      <c r="T30" s="330">
        <v>0</v>
      </c>
      <c r="U30" s="330">
        <v>0</v>
      </c>
      <c r="V30" s="330">
        <v>2</v>
      </c>
      <c r="W30" s="333">
        <v>2</v>
      </c>
      <c r="X30" s="334">
        <v>0</v>
      </c>
      <c r="Y30" s="335">
        <v>0</v>
      </c>
      <c r="Z30" s="335">
        <v>0</v>
      </c>
      <c r="AA30" s="336">
        <v>0</v>
      </c>
      <c r="AB30" s="334">
        <v>2</v>
      </c>
      <c r="AC30" s="335">
        <v>1</v>
      </c>
      <c r="AD30" s="335"/>
      <c r="AE30" s="337">
        <f>SUM(AB30:AD30)</f>
        <v>3</v>
      </c>
    </row>
    <row r="31" spans="2:31" ht="15" x14ac:dyDescent="0.2">
      <c r="B31" s="5569"/>
      <c r="C31" s="652" t="s">
        <v>28</v>
      </c>
      <c r="D31" s="330"/>
      <c r="E31" s="330"/>
      <c r="F31" s="330"/>
      <c r="G31" s="331">
        <v>0</v>
      </c>
      <c r="H31" s="332"/>
      <c r="I31" s="330"/>
      <c r="J31" s="330">
        <v>2</v>
      </c>
      <c r="K31" s="331">
        <v>2</v>
      </c>
      <c r="L31" s="332">
        <v>1</v>
      </c>
      <c r="M31" s="330"/>
      <c r="N31" s="330"/>
      <c r="O31" s="333">
        <v>1</v>
      </c>
      <c r="P31" s="330">
        <v>0</v>
      </c>
      <c r="Q31" s="330">
        <v>0</v>
      </c>
      <c r="R31" s="330">
        <v>0</v>
      </c>
      <c r="S31" s="333">
        <v>0</v>
      </c>
      <c r="T31" s="330">
        <v>0</v>
      </c>
      <c r="U31" s="330">
        <v>0</v>
      </c>
      <c r="V31" s="330">
        <v>1</v>
      </c>
      <c r="W31" s="333">
        <v>1</v>
      </c>
      <c r="X31" s="334">
        <v>0</v>
      </c>
      <c r="Y31" s="335">
        <v>1</v>
      </c>
      <c r="Z31" s="335">
        <v>1</v>
      </c>
      <c r="AA31" s="336">
        <v>2</v>
      </c>
      <c r="AB31" s="334"/>
      <c r="AC31" s="335">
        <v>1</v>
      </c>
      <c r="AD31" s="335"/>
      <c r="AE31" s="337">
        <f>SUM(AB31:AD31)</f>
        <v>1</v>
      </c>
    </row>
    <row r="32" spans="2:31" s="27" customFormat="1" ht="15" x14ac:dyDescent="0.2">
      <c r="B32" s="5570"/>
      <c r="C32" s="678" t="s">
        <v>14</v>
      </c>
      <c r="D32" s="679">
        <v>1</v>
      </c>
      <c r="E32" s="680"/>
      <c r="F32" s="680"/>
      <c r="G32" s="681">
        <v>1</v>
      </c>
      <c r="H32" s="679"/>
      <c r="I32" s="680"/>
      <c r="J32" s="680">
        <v>5</v>
      </c>
      <c r="K32" s="681">
        <v>5</v>
      </c>
      <c r="L32" s="680">
        <v>5</v>
      </c>
      <c r="M32" s="680">
        <v>1</v>
      </c>
      <c r="N32" s="680"/>
      <c r="O32" s="680">
        <v>6</v>
      </c>
      <c r="P32" s="679">
        <v>1</v>
      </c>
      <c r="Q32" s="680">
        <v>1</v>
      </c>
      <c r="R32" s="680">
        <v>0</v>
      </c>
      <c r="S32" s="681">
        <v>2</v>
      </c>
      <c r="T32" s="680">
        <v>0</v>
      </c>
      <c r="U32" s="680">
        <v>0</v>
      </c>
      <c r="V32" s="680">
        <v>3</v>
      </c>
      <c r="W32" s="680">
        <v>3</v>
      </c>
      <c r="X32" s="682">
        <v>0</v>
      </c>
      <c r="Y32" s="683">
        <v>1</v>
      </c>
      <c r="Z32" s="683">
        <v>1</v>
      </c>
      <c r="AA32" s="684">
        <v>2</v>
      </c>
      <c r="AB32" s="682">
        <f>SUM(AB29:AB31)</f>
        <v>2</v>
      </c>
      <c r="AC32" s="683">
        <f>SUM(AC29:AC31)</f>
        <v>2</v>
      </c>
      <c r="AD32" s="683">
        <f>SUM(AD29:AD31)</f>
        <v>0</v>
      </c>
      <c r="AE32" s="684">
        <f>SUM(AE29:AE31)</f>
        <v>4</v>
      </c>
    </row>
    <row r="33" spans="2:31" ht="15" x14ac:dyDescent="0.2">
      <c r="B33" s="5568" t="s">
        <v>11</v>
      </c>
      <c r="C33" s="652" t="s">
        <v>26</v>
      </c>
      <c r="D33" s="330"/>
      <c r="E33" s="330"/>
      <c r="F33" s="330"/>
      <c r="G33" s="331">
        <v>0</v>
      </c>
      <c r="H33" s="332"/>
      <c r="I33" s="330"/>
      <c r="J33" s="330"/>
      <c r="K33" s="331"/>
      <c r="L33" s="332"/>
      <c r="M33" s="330"/>
      <c r="N33" s="330"/>
      <c r="O33" s="333"/>
      <c r="P33" s="330">
        <v>0</v>
      </c>
      <c r="Q33" s="330">
        <v>0</v>
      </c>
      <c r="R33" s="330">
        <v>0</v>
      </c>
      <c r="S33" s="333">
        <v>0</v>
      </c>
      <c r="T33" s="330">
        <v>0</v>
      </c>
      <c r="U33" s="330">
        <v>0</v>
      </c>
      <c r="V33" s="330">
        <v>0</v>
      </c>
      <c r="W33" s="333">
        <v>0</v>
      </c>
      <c r="X33" s="334">
        <v>0</v>
      </c>
      <c r="Y33" s="335">
        <v>1</v>
      </c>
      <c r="Z33" s="335">
        <v>0</v>
      </c>
      <c r="AA33" s="336">
        <v>1</v>
      </c>
      <c r="AB33" s="334"/>
      <c r="AC33" s="335"/>
      <c r="AD33" s="335"/>
      <c r="AE33" s="337"/>
    </row>
    <row r="34" spans="2:31" ht="15" x14ac:dyDescent="0.2">
      <c r="B34" s="5569"/>
      <c r="C34" s="652" t="s">
        <v>27</v>
      </c>
      <c r="D34" s="330">
        <v>1</v>
      </c>
      <c r="E34" s="330">
        <v>1</v>
      </c>
      <c r="F34" s="330">
        <v>2</v>
      </c>
      <c r="G34" s="331">
        <v>4</v>
      </c>
      <c r="H34" s="332"/>
      <c r="I34" s="330"/>
      <c r="J34" s="330">
        <v>1</v>
      </c>
      <c r="K34" s="331">
        <v>1</v>
      </c>
      <c r="L34" s="332"/>
      <c r="M34" s="330"/>
      <c r="N34" s="330">
        <v>1</v>
      </c>
      <c r="O34" s="333">
        <v>1</v>
      </c>
      <c r="P34" s="330">
        <v>0</v>
      </c>
      <c r="Q34" s="330">
        <v>0</v>
      </c>
      <c r="R34" s="330">
        <v>0</v>
      </c>
      <c r="S34" s="333">
        <v>0</v>
      </c>
      <c r="T34" s="330">
        <v>0</v>
      </c>
      <c r="U34" s="330">
        <v>0</v>
      </c>
      <c r="V34" s="330">
        <v>0</v>
      </c>
      <c r="W34" s="333">
        <v>0</v>
      </c>
      <c r="X34" s="334">
        <v>1</v>
      </c>
      <c r="Y34" s="335">
        <v>0</v>
      </c>
      <c r="Z34" s="335">
        <v>0</v>
      </c>
      <c r="AA34" s="336">
        <v>1</v>
      </c>
      <c r="AB34" s="334"/>
      <c r="AC34" s="335"/>
      <c r="AD34" s="335"/>
      <c r="AE34" s="337"/>
    </row>
    <row r="35" spans="2:31" ht="15" x14ac:dyDescent="0.2">
      <c r="B35" s="5569"/>
      <c r="C35" s="652" t="s">
        <v>28</v>
      </c>
      <c r="D35" s="330"/>
      <c r="E35" s="330"/>
      <c r="F35" s="330"/>
      <c r="G35" s="331"/>
      <c r="H35" s="332"/>
      <c r="I35" s="330"/>
      <c r="J35" s="330">
        <v>1</v>
      </c>
      <c r="K35" s="331">
        <v>1</v>
      </c>
      <c r="L35" s="332"/>
      <c r="M35" s="330"/>
      <c r="N35" s="330"/>
      <c r="O35" s="333"/>
      <c r="P35" s="330">
        <v>0</v>
      </c>
      <c r="Q35" s="330">
        <v>0</v>
      </c>
      <c r="R35" s="330">
        <v>0</v>
      </c>
      <c r="S35" s="333">
        <v>0</v>
      </c>
      <c r="T35" s="330">
        <v>0</v>
      </c>
      <c r="U35" s="330">
        <v>0</v>
      </c>
      <c r="V35" s="330">
        <v>0</v>
      </c>
      <c r="W35" s="333">
        <v>0</v>
      </c>
      <c r="X35" s="334">
        <v>0</v>
      </c>
      <c r="Y35" s="335">
        <v>0</v>
      </c>
      <c r="Z35" s="335">
        <v>0</v>
      </c>
      <c r="AA35" s="336">
        <v>0</v>
      </c>
      <c r="AB35" s="334"/>
      <c r="AC35" s="335"/>
      <c r="AD35" s="335"/>
      <c r="AE35" s="337"/>
    </row>
    <row r="36" spans="2:31" s="27" customFormat="1" ht="15" x14ac:dyDescent="0.2">
      <c r="B36" s="5570"/>
      <c r="C36" s="678" t="s">
        <v>30</v>
      </c>
      <c r="D36" s="679">
        <v>1</v>
      </c>
      <c r="E36" s="680">
        <v>1</v>
      </c>
      <c r="F36" s="680">
        <v>2</v>
      </c>
      <c r="G36" s="681">
        <v>4</v>
      </c>
      <c r="H36" s="679"/>
      <c r="I36" s="680"/>
      <c r="J36" s="680">
        <v>2</v>
      </c>
      <c r="K36" s="681">
        <v>2</v>
      </c>
      <c r="L36" s="680"/>
      <c r="M36" s="680"/>
      <c r="N36" s="680">
        <v>1</v>
      </c>
      <c r="O36" s="680">
        <v>1</v>
      </c>
      <c r="P36" s="679">
        <v>0</v>
      </c>
      <c r="Q36" s="680">
        <v>0</v>
      </c>
      <c r="R36" s="680">
        <v>0</v>
      </c>
      <c r="S36" s="681">
        <v>0</v>
      </c>
      <c r="T36" s="680">
        <v>0</v>
      </c>
      <c r="U36" s="680">
        <v>0</v>
      </c>
      <c r="V36" s="680">
        <v>0</v>
      </c>
      <c r="W36" s="680">
        <v>0</v>
      </c>
      <c r="X36" s="682">
        <v>1</v>
      </c>
      <c r="Y36" s="683">
        <v>1</v>
      </c>
      <c r="Z36" s="683">
        <v>0</v>
      </c>
      <c r="AA36" s="684">
        <v>2</v>
      </c>
      <c r="AB36" s="682"/>
      <c r="AC36" s="683"/>
      <c r="AD36" s="683"/>
      <c r="AE36" s="684"/>
    </row>
    <row r="37" spans="2:31" ht="15" x14ac:dyDescent="0.2">
      <c r="B37" s="5571" t="s">
        <v>16</v>
      </c>
      <c r="C37" s="652" t="s">
        <v>26</v>
      </c>
      <c r="D37" s="330"/>
      <c r="E37" s="330"/>
      <c r="F37" s="330"/>
      <c r="G37" s="331"/>
      <c r="H37" s="332"/>
      <c r="I37" s="330"/>
      <c r="J37" s="330"/>
      <c r="K37" s="331"/>
      <c r="L37" s="332"/>
      <c r="M37" s="330"/>
      <c r="N37" s="330"/>
      <c r="O37" s="333"/>
      <c r="P37" s="330">
        <f t="shared" ref="P37:W39" si="2">P25+P29+P33</f>
        <v>0</v>
      </c>
      <c r="Q37" s="330">
        <f t="shared" si="2"/>
        <v>0</v>
      </c>
      <c r="R37" s="330">
        <f t="shared" si="2"/>
        <v>0</v>
      </c>
      <c r="S37" s="333">
        <f t="shared" si="2"/>
        <v>0</v>
      </c>
      <c r="T37" s="330">
        <f t="shared" si="2"/>
        <v>0</v>
      </c>
      <c r="U37" s="330">
        <f t="shared" si="2"/>
        <v>0</v>
      </c>
      <c r="V37" s="330">
        <f t="shared" si="2"/>
        <v>0</v>
      </c>
      <c r="W37" s="333">
        <f t="shared" si="2"/>
        <v>0</v>
      </c>
      <c r="X37" s="334">
        <v>0</v>
      </c>
      <c r="Y37" s="335">
        <v>1</v>
      </c>
      <c r="Z37" s="335">
        <v>0</v>
      </c>
      <c r="AA37" s="335">
        <v>1</v>
      </c>
      <c r="AB37" s="334">
        <f t="shared" ref="AB37:AE39" si="3">SUM(AB25,AB29,AB33)</f>
        <v>0</v>
      </c>
      <c r="AC37" s="335">
        <f t="shared" si="3"/>
        <v>0</v>
      </c>
      <c r="AD37" s="335">
        <f t="shared" si="3"/>
        <v>0</v>
      </c>
      <c r="AE37" s="338">
        <f t="shared" si="3"/>
        <v>0</v>
      </c>
    </row>
    <row r="38" spans="2:31" ht="15" x14ac:dyDescent="0.2">
      <c r="B38" s="5572"/>
      <c r="C38" s="652" t="s">
        <v>27</v>
      </c>
      <c r="D38" s="330">
        <f>D26+D30+D34</f>
        <v>2</v>
      </c>
      <c r="E38" s="330">
        <f>E26+E30+E34</f>
        <v>1</v>
      </c>
      <c r="F38" s="330">
        <f>F26+F30+F34</f>
        <v>2</v>
      </c>
      <c r="G38" s="331">
        <f>G26+G30+G34</f>
        <v>5</v>
      </c>
      <c r="H38" s="332">
        <f>H26+H30+H34</f>
        <v>1</v>
      </c>
      <c r="I38" s="330"/>
      <c r="J38" s="330">
        <f t="shared" ref="J38:O38" si="4">J26+J30+J34</f>
        <v>4</v>
      </c>
      <c r="K38" s="331">
        <f t="shared" si="4"/>
        <v>5</v>
      </c>
      <c r="L38" s="332">
        <f t="shared" si="4"/>
        <v>5</v>
      </c>
      <c r="M38" s="330">
        <f t="shared" si="4"/>
        <v>1</v>
      </c>
      <c r="N38" s="330">
        <f t="shared" si="4"/>
        <v>1</v>
      </c>
      <c r="O38" s="333">
        <f t="shared" si="4"/>
        <v>7</v>
      </c>
      <c r="P38" s="330">
        <f t="shared" si="2"/>
        <v>2</v>
      </c>
      <c r="Q38" s="330">
        <f t="shared" si="2"/>
        <v>2</v>
      </c>
      <c r="R38" s="330">
        <f t="shared" si="2"/>
        <v>2</v>
      </c>
      <c r="S38" s="333">
        <f t="shared" si="2"/>
        <v>6</v>
      </c>
      <c r="T38" s="330">
        <f t="shared" si="2"/>
        <v>1</v>
      </c>
      <c r="U38" s="330">
        <f t="shared" si="2"/>
        <v>0</v>
      </c>
      <c r="V38" s="330">
        <f t="shared" si="2"/>
        <v>3</v>
      </c>
      <c r="W38" s="333">
        <f t="shared" si="2"/>
        <v>4</v>
      </c>
      <c r="X38" s="334">
        <v>2</v>
      </c>
      <c r="Y38" s="335">
        <v>3</v>
      </c>
      <c r="Z38" s="335">
        <v>0</v>
      </c>
      <c r="AA38" s="335">
        <v>5</v>
      </c>
      <c r="AB38" s="334">
        <f t="shared" si="3"/>
        <v>3</v>
      </c>
      <c r="AC38" s="335">
        <f t="shared" si="3"/>
        <v>2</v>
      </c>
      <c r="AD38" s="335">
        <f t="shared" si="3"/>
        <v>1</v>
      </c>
      <c r="AE38" s="338">
        <f t="shared" si="3"/>
        <v>6</v>
      </c>
    </row>
    <row r="39" spans="2:31" ht="15" x14ac:dyDescent="0.2">
      <c r="B39" s="5572"/>
      <c r="C39" s="652" t="s">
        <v>28</v>
      </c>
      <c r="D39" s="330"/>
      <c r="E39" s="330"/>
      <c r="F39" s="330">
        <f>F27+F31+F35</f>
        <v>2</v>
      </c>
      <c r="G39" s="331">
        <f>G27+G31+G35</f>
        <v>2</v>
      </c>
      <c r="H39" s="332">
        <f>H27+H31+H35</f>
        <v>1</v>
      </c>
      <c r="I39" s="330"/>
      <c r="J39" s="330">
        <f>J27+J31+J35</f>
        <v>3</v>
      </c>
      <c r="K39" s="331">
        <f>K27+K31+K35</f>
        <v>4</v>
      </c>
      <c r="L39" s="332">
        <f>L27+L31+L35</f>
        <v>3</v>
      </c>
      <c r="M39" s="330"/>
      <c r="N39" s="330"/>
      <c r="O39" s="333">
        <f>O27+O31+O35</f>
        <v>3</v>
      </c>
      <c r="P39" s="330">
        <f t="shared" si="2"/>
        <v>0</v>
      </c>
      <c r="Q39" s="330">
        <f t="shared" si="2"/>
        <v>0</v>
      </c>
      <c r="R39" s="330">
        <f t="shared" si="2"/>
        <v>0</v>
      </c>
      <c r="S39" s="333">
        <f t="shared" si="2"/>
        <v>0</v>
      </c>
      <c r="T39" s="330">
        <f t="shared" si="2"/>
        <v>0</v>
      </c>
      <c r="U39" s="330">
        <f t="shared" si="2"/>
        <v>1</v>
      </c>
      <c r="V39" s="330">
        <f t="shared" si="2"/>
        <v>1</v>
      </c>
      <c r="W39" s="333">
        <f t="shared" si="2"/>
        <v>2</v>
      </c>
      <c r="X39" s="334">
        <v>0</v>
      </c>
      <c r="Y39" s="335">
        <v>1</v>
      </c>
      <c r="Z39" s="335">
        <v>1</v>
      </c>
      <c r="AA39" s="335">
        <v>2</v>
      </c>
      <c r="AB39" s="334">
        <f t="shared" si="3"/>
        <v>0</v>
      </c>
      <c r="AC39" s="335">
        <f t="shared" si="3"/>
        <v>1</v>
      </c>
      <c r="AD39" s="335">
        <f t="shared" si="3"/>
        <v>0</v>
      </c>
      <c r="AE39" s="338">
        <f t="shared" si="3"/>
        <v>1</v>
      </c>
    </row>
    <row r="40" spans="2:31" s="27" customFormat="1" ht="15" x14ac:dyDescent="0.2">
      <c r="B40" s="5573"/>
      <c r="C40" s="650" t="s">
        <v>12</v>
      </c>
      <c r="D40" s="685">
        <f>SUM(D37:D39)</f>
        <v>2</v>
      </c>
      <c r="E40" s="686">
        <f>SUM(E37:E39)</f>
        <v>1</v>
      </c>
      <c r="F40" s="686">
        <f>SUM(F37:F39)</f>
        <v>4</v>
      </c>
      <c r="G40" s="687">
        <f>SUM(G37:G39)</f>
        <v>7</v>
      </c>
      <c r="H40" s="685">
        <f t="shared" ref="H40:W40" si="5">SUM(H37:H39)</f>
        <v>2</v>
      </c>
      <c r="I40" s="686"/>
      <c r="J40" s="686">
        <f t="shared" si="5"/>
        <v>7</v>
      </c>
      <c r="K40" s="687">
        <f t="shared" si="5"/>
        <v>9</v>
      </c>
      <c r="L40" s="686">
        <f t="shared" si="5"/>
        <v>8</v>
      </c>
      <c r="M40" s="686">
        <f t="shared" si="5"/>
        <v>1</v>
      </c>
      <c r="N40" s="686">
        <f t="shared" si="5"/>
        <v>1</v>
      </c>
      <c r="O40" s="686">
        <f t="shared" si="5"/>
        <v>10</v>
      </c>
      <c r="P40" s="685">
        <f t="shared" si="5"/>
        <v>2</v>
      </c>
      <c r="Q40" s="686">
        <f t="shared" si="5"/>
        <v>2</v>
      </c>
      <c r="R40" s="686">
        <f t="shared" si="5"/>
        <v>2</v>
      </c>
      <c r="S40" s="687">
        <f t="shared" si="5"/>
        <v>6</v>
      </c>
      <c r="T40" s="686">
        <f t="shared" si="5"/>
        <v>1</v>
      </c>
      <c r="U40" s="686">
        <f t="shared" si="5"/>
        <v>1</v>
      </c>
      <c r="V40" s="686">
        <f t="shared" si="5"/>
        <v>4</v>
      </c>
      <c r="W40" s="686">
        <f t="shared" si="5"/>
        <v>6</v>
      </c>
      <c r="X40" s="598">
        <v>2</v>
      </c>
      <c r="Y40" s="599">
        <v>5</v>
      </c>
      <c r="Z40" s="599">
        <v>1</v>
      </c>
      <c r="AA40" s="600">
        <v>8</v>
      </c>
      <c r="AB40" s="599">
        <f>SUM(AB37:AB39)</f>
        <v>3</v>
      </c>
      <c r="AC40" s="599">
        <f>SUM(AC37:AC39)</f>
        <v>3</v>
      </c>
      <c r="AD40" s="599">
        <f>SUM(AD37:AD39)</f>
        <v>1</v>
      </c>
      <c r="AE40" s="600">
        <f>SUM(AE37:AE39)</f>
        <v>7</v>
      </c>
    </row>
    <row r="41" spans="2:31" x14ac:dyDescent="0.2">
      <c r="C41" s="1"/>
      <c r="D41" s="1"/>
      <c r="E41" s="1"/>
      <c r="F41" s="1"/>
      <c r="G41" s="1"/>
      <c r="K41" s="1"/>
      <c r="O41" s="1"/>
      <c r="S41" s="1"/>
      <c r="W41" s="1"/>
    </row>
    <row r="42" spans="2:31" ht="15" x14ac:dyDescent="0.2">
      <c r="B42" s="5568" t="s">
        <v>6</v>
      </c>
      <c r="C42" s="651" t="s">
        <v>26</v>
      </c>
      <c r="D42" s="670"/>
      <c r="E42" s="670"/>
      <c r="F42" s="670"/>
      <c r="G42" s="672"/>
      <c r="H42" s="669"/>
      <c r="I42" s="670"/>
      <c r="J42" s="670"/>
      <c r="K42" s="672"/>
      <c r="L42" s="669"/>
      <c r="M42" s="670"/>
      <c r="N42" s="670"/>
      <c r="O42" s="671"/>
      <c r="P42" s="670"/>
      <c r="Q42" s="670"/>
      <c r="R42" s="670">
        <v>1</v>
      </c>
      <c r="S42" s="671">
        <v>1</v>
      </c>
      <c r="T42" s="670">
        <v>0</v>
      </c>
      <c r="U42" s="670">
        <v>0</v>
      </c>
      <c r="V42" s="670">
        <v>0</v>
      </c>
      <c r="W42" s="671">
        <v>0</v>
      </c>
      <c r="X42" s="443">
        <v>0</v>
      </c>
      <c r="Y42" s="444">
        <v>0</v>
      </c>
      <c r="Z42" s="444">
        <v>0</v>
      </c>
      <c r="AA42" s="688">
        <v>0</v>
      </c>
      <c r="AB42" s="443"/>
      <c r="AC42" s="444"/>
      <c r="AD42" s="444"/>
      <c r="AE42" s="673">
        <f>SUM(AB42:AD42)</f>
        <v>0</v>
      </c>
    </row>
    <row r="43" spans="2:31" ht="15" x14ac:dyDescent="0.2">
      <c r="B43" s="5569"/>
      <c r="C43" s="652" t="s">
        <v>27</v>
      </c>
      <c r="D43" s="330"/>
      <c r="E43" s="330"/>
      <c r="F43" s="330"/>
      <c r="G43" s="331"/>
      <c r="H43" s="332">
        <v>1</v>
      </c>
      <c r="I43" s="330"/>
      <c r="J43" s="330">
        <v>1</v>
      </c>
      <c r="K43" s="331">
        <v>2</v>
      </c>
      <c r="L43" s="332">
        <v>1</v>
      </c>
      <c r="M43" s="330"/>
      <c r="N43" s="330"/>
      <c r="O43" s="333">
        <v>1</v>
      </c>
      <c r="P43" s="330">
        <v>2</v>
      </c>
      <c r="Q43" s="330">
        <v>2</v>
      </c>
      <c r="R43" s="330">
        <v>0</v>
      </c>
      <c r="S43" s="333">
        <v>4</v>
      </c>
      <c r="T43" s="330">
        <v>1</v>
      </c>
      <c r="U43" s="330">
        <v>0</v>
      </c>
      <c r="V43" s="330">
        <v>0</v>
      </c>
      <c r="W43" s="333">
        <v>1</v>
      </c>
      <c r="X43" s="334">
        <v>1</v>
      </c>
      <c r="Y43" s="335">
        <v>0</v>
      </c>
      <c r="Z43" s="335">
        <v>1</v>
      </c>
      <c r="AA43" s="336">
        <v>2</v>
      </c>
      <c r="AB43" s="334">
        <v>1</v>
      </c>
      <c r="AC43" s="335"/>
      <c r="AD43" s="335"/>
      <c r="AE43" s="337">
        <f>SUM(AB43:AD43)</f>
        <v>1</v>
      </c>
    </row>
    <row r="44" spans="2:31" ht="15" x14ac:dyDescent="0.2">
      <c r="B44" s="5569"/>
      <c r="C44" s="652" t="s">
        <v>28</v>
      </c>
      <c r="D44" s="330"/>
      <c r="E44" s="330"/>
      <c r="F44" s="330"/>
      <c r="G44" s="331"/>
      <c r="H44" s="332"/>
      <c r="I44" s="330"/>
      <c r="J44" s="330"/>
      <c r="K44" s="331"/>
      <c r="L44" s="332"/>
      <c r="M44" s="330">
        <v>1</v>
      </c>
      <c r="N44" s="330"/>
      <c r="O44" s="333">
        <v>1</v>
      </c>
      <c r="P44" s="330">
        <v>0</v>
      </c>
      <c r="Q44" s="330">
        <v>0</v>
      </c>
      <c r="R44" s="330">
        <v>0</v>
      </c>
      <c r="S44" s="333">
        <v>0</v>
      </c>
      <c r="T44" s="330">
        <v>0</v>
      </c>
      <c r="U44" s="330">
        <v>0</v>
      </c>
      <c r="V44" s="330">
        <v>0</v>
      </c>
      <c r="W44" s="333">
        <v>0</v>
      </c>
      <c r="X44" s="334">
        <v>1</v>
      </c>
      <c r="Y44" s="335">
        <v>0</v>
      </c>
      <c r="Z44" s="335">
        <v>0</v>
      </c>
      <c r="AA44" s="336">
        <v>1</v>
      </c>
      <c r="AB44" s="334"/>
      <c r="AC44" s="335"/>
      <c r="AD44" s="335"/>
      <c r="AE44" s="337">
        <f>SUM(AB44:AD44)</f>
        <v>0</v>
      </c>
    </row>
    <row r="45" spans="2:31" s="27" customFormat="1" ht="15" x14ac:dyDescent="0.2">
      <c r="B45" s="5570"/>
      <c r="C45" s="678" t="s">
        <v>14</v>
      </c>
      <c r="D45" s="679"/>
      <c r="E45" s="680"/>
      <c r="F45" s="680"/>
      <c r="G45" s="681"/>
      <c r="H45" s="679">
        <v>1</v>
      </c>
      <c r="I45" s="680"/>
      <c r="J45" s="680">
        <v>1</v>
      </c>
      <c r="K45" s="681">
        <v>2</v>
      </c>
      <c r="L45" s="680">
        <v>1</v>
      </c>
      <c r="M45" s="680">
        <v>1</v>
      </c>
      <c r="N45" s="680"/>
      <c r="O45" s="680">
        <v>2</v>
      </c>
      <c r="P45" s="679">
        <v>2</v>
      </c>
      <c r="Q45" s="680">
        <v>2</v>
      </c>
      <c r="R45" s="680">
        <v>1</v>
      </c>
      <c r="S45" s="681">
        <v>5</v>
      </c>
      <c r="T45" s="680">
        <v>1</v>
      </c>
      <c r="U45" s="680">
        <v>0</v>
      </c>
      <c r="V45" s="680">
        <v>0</v>
      </c>
      <c r="W45" s="680">
        <v>1</v>
      </c>
      <c r="X45" s="682">
        <v>2</v>
      </c>
      <c r="Y45" s="683">
        <v>0</v>
      </c>
      <c r="Z45" s="683">
        <v>1</v>
      </c>
      <c r="AA45" s="684">
        <v>3</v>
      </c>
      <c r="AB45" s="682">
        <f>SUM(AB42:AB44)</f>
        <v>1</v>
      </c>
      <c r="AC45" s="683">
        <f>SUM(AC42:AC44)</f>
        <v>0</v>
      </c>
      <c r="AD45" s="683">
        <f>SUM(AD42:AD44)</f>
        <v>0</v>
      </c>
      <c r="AE45" s="684">
        <f>SUM(AE42:AE44)</f>
        <v>1</v>
      </c>
    </row>
    <row r="46" spans="2:31" ht="15" x14ac:dyDescent="0.2">
      <c r="B46" s="5568" t="s">
        <v>11</v>
      </c>
      <c r="C46" s="652" t="s">
        <v>26</v>
      </c>
      <c r="D46" s="330"/>
      <c r="E46" s="330"/>
      <c r="F46" s="330"/>
      <c r="G46" s="331"/>
      <c r="H46" s="332"/>
      <c r="I46" s="330"/>
      <c r="J46" s="330"/>
      <c r="K46" s="331"/>
      <c r="L46" s="332"/>
      <c r="M46" s="330"/>
      <c r="N46" s="330"/>
      <c r="O46" s="333"/>
      <c r="P46" s="330">
        <v>0</v>
      </c>
      <c r="Q46" s="330">
        <v>1</v>
      </c>
      <c r="R46" s="330">
        <v>0</v>
      </c>
      <c r="S46" s="333">
        <v>1</v>
      </c>
      <c r="T46" s="330">
        <v>0</v>
      </c>
      <c r="U46" s="330">
        <v>0</v>
      </c>
      <c r="V46" s="330">
        <v>0</v>
      </c>
      <c r="W46" s="333">
        <v>0</v>
      </c>
      <c r="X46" s="334">
        <v>0</v>
      </c>
      <c r="Y46" s="335">
        <v>0</v>
      </c>
      <c r="Z46" s="335">
        <v>0</v>
      </c>
      <c r="AA46" s="336">
        <v>0</v>
      </c>
      <c r="AB46" s="334"/>
      <c r="AC46" s="335">
        <v>1</v>
      </c>
      <c r="AD46" s="335"/>
      <c r="AE46" s="337">
        <f>SUM(AB46:AD46)</f>
        <v>1</v>
      </c>
    </row>
    <row r="47" spans="2:31" ht="15" x14ac:dyDescent="0.2">
      <c r="B47" s="5569"/>
      <c r="C47" s="652" t="s">
        <v>27</v>
      </c>
      <c r="D47" s="330"/>
      <c r="E47" s="330">
        <v>1</v>
      </c>
      <c r="F47" s="330"/>
      <c r="G47" s="331">
        <v>1</v>
      </c>
      <c r="H47" s="332"/>
      <c r="I47" s="330"/>
      <c r="J47" s="330"/>
      <c r="K47" s="331"/>
      <c r="L47" s="332"/>
      <c r="M47" s="330"/>
      <c r="N47" s="330"/>
      <c r="O47" s="333"/>
      <c r="P47" s="330">
        <v>0</v>
      </c>
      <c r="Q47" s="330">
        <v>0</v>
      </c>
      <c r="R47" s="330">
        <v>0</v>
      </c>
      <c r="S47" s="333">
        <v>0</v>
      </c>
      <c r="T47" s="330">
        <v>3</v>
      </c>
      <c r="U47" s="330">
        <v>0</v>
      </c>
      <c r="V47" s="330">
        <v>1</v>
      </c>
      <c r="W47" s="333">
        <v>4</v>
      </c>
      <c r="X47" s="334">
        <v>1</v>
      </c>
      <c r="Y47" s="335">
        <v>0</v>
      </c>
      <c r="Z47" s="335">
        <v>0</v>
      </c>
      <c r="AA47" s="336">
        <v>1</v>
      </c>
      <c r="AB47" s="334"/>
      <c r="AC47" s="335"/>
      <c r="AD47" s="335"/>
      <c r="AE47" s="337">
        <f>SUM(AB47:AD47)</f>
        <v>0</v>
      </c>
    </row>
    <row r="48" spans="2:31" ht="15" x14ac:dyDescent="0.2">
      <c r="B48" s="5569"/>
      <c r="C48" s="652" t="s">
        <v>28</v>
      </c>
      <c r="D48" s="330"/>
      <c r="E48" s="330"/>
      <c r="F48" s="330"/>
      <c r="G48" s="331"/>
      <c r="H48" s="332"/>
      <c r="I48" s="330"/>
      <c r="J48" s="330"/>
      <c r="K48" s="331"/>
      <c r="L48" s="332"/>
      <c r="M48" s="330"/>
      <c r="N48" s="330"/>
      <c r="O48" s="333"/>
      <c r="P48" s="330">
        <v>0</v>
      </c>
      <c r="Q48" s="330">
        <v>0</v>
      </c>
      <c r="R48" s="330">
        <v>0</v>
      </c>
      <c r="S48" s="333">
        <v>0</v>
      </c>
      <c r="T48" s="330">
        <v>0</v>
      </c>
      <c r="U48" s="330">
        <v>0</v>
      </c>
      <c r="V48" s="330">
        <v>1</v>
      </c>
      <c r="W48" s="333">
        <v>1</v>
      </c>
      <c r="X48" s="334">
        <v>0</v>
      </c>
      <c r="Y48" s="335">
        <v>1</v>
      </c>
      <c r="Z48" s="335">
        <v>0</v>
      </c>
      <c r="AA48" s="336">
        <v>1</v>
      </c>
      <c r="AB48" s="334"/>
      <c r="AC48" s="335"/>
      <c r="AD48" s="335"/>
      <c r="AE48" s="337">
        <f>SUM(AB48:AD48)</f>
        <v>0</v>
      </c>
    </row>
    <row r="49" spans="2:31" s="27" customFormat="1" ht="15" x14ac:dyDescent="0.2">
      <c r="B49" s="5570"/>
      <c r="C49" s="678" t="s">
        <v>30</v>
      </c>
      <c r="D49" s="679"/>
      <c r="E49" s="680">
        <v>1</v>
      </c>
      <c r="F49" s="680"/>
      <c r="G49" s="681">
        <v>1</v>
      </c>
      <c r="H49" s="679"/>
      <c r="I49" s="680"/>
      <c r="J49" s="680"/>
      <c r="K49" s="681"/>
      <c r="L49" s="680"/>
      <c r="M49" s="680"/>
      <c r="N49" s="680"/>
      <c r="O49" s="680"/>
      <c r="P49" s="679">
        <v>0</v>
      </c>
      <c r="Q49" s="680">
        <v>1</v>
      </c>
      <c r="R49" s="680">
        <v>0</v>
      </c>
      <c r="S49" s="681">
        <v>1</v>
      </c>
      <c r="T49" s="680">
        <v>3</v>
      </c>
      <c r="U49" s="680">
        <v>0</v>
      </c>
      <c r="V49" s="680">
        <v>2</v>
      </c>
      <c r="W49" s="680">
        <v>5</v>
      </c>
      <c r="X49" s="682">
        <v>1</v>
      </c>
      <c r="Y49" s="683">
        <v>1</v>
      </c>
      <c r="Z49" s="683">
        <v>0</v>
      </c>
      <c r="AA49" s="684">
        <v>2</v>
      </c>
      <c r="AB49" s="682">
        <f>SUM(AB46:AB48)</f>
        <v>0</v>
      </c>
      <c r="AC49" s="683">
        <f>SUM(AC46:AC48)</f>
        <v>1</v>
      </c>
      <c r="AD49" s="683">
        <f>SUM(AD46:AD48)</f>
        <v>0</v>
      </c>
      <c r="AE49" s="684">
        <f>SUM(AE46:AE48)</f>
        <v>1</v>
      </c>
    </row>
    <row r="50" spans="2:31" ht="15" x14ac:dyDescent="0.2">
      <c r="B50" s="5568" t="s">
        <v>7</v>
      </c>
      <c r="C50" s="652" t="s">
        <v>26</v>
      </c>
      <c r="D50" s="330"/>
      <c r="E50" s="330"/>
      <c r="F50" s="330"/>
      <c r="G50" s="331"/>
      <c r="H50" s="332"/>
      <c r="I50" s="330"/>
      <c r="J50" s="330"/>
      <c r="K50" s="331"/>
      <c r="L50" s="332"/>
      <c r="M50" s="330"/>
      <c r="N50" s="330"/>
      <c r="O50" s="333"/>
      <c r="P50" s="330"/>
      <c r="Q50" s="330"/>
      <c r="R50" s="330"/>
      <c r="S50" s="333"/>
      <c r="T50" s="330"/>
      <c r="U50" s="330"/>
      <c r="V50" s="330"/>
      <c r="W50" s="333"/>
      <c r="X50" s="334"/>
      <c r="Y50" s="335"/>
      <c r="Z50" s="335"/>
      <c r="AA50" s="336"/>
      <c r="AB50" s="334"/>
      <c r="AC50" s="335"/>
      <c r="AD50" s="335"/>
      <c r="AE50" s="337">
        <f>SUM(AB50:AD50)</f>
        <v>0</v>
      </c>
    </row>
    <row r="51" spans="2:31" ht="15" x14ac:dyDescent="0.2">
      <c r="B51" s="5569"/>
      <c r="C51" s="652" t="s">
        <v>27</v>
      </c>
      <c r="D51" s="330">
        <v>1</v>
      </c>
      <c r="E51" s="330"/>
      <c r="F51" s="330"/>
      <c r="G51" s="331">
        <v>1</v>
      </c>
      <c r="H51" s="332">
        <v>1</v>
      </c>
      <c r="I51" s="330"/>
      <c r="J51" s="330">
        <v>1</v>
      </c>
      <c r="K51" s="331">
        <v>2</v>
      </c>
      <c r="L51" s="332"/>
      <c r="M51" s="330"/>
      <c r="N51" s="330"/>
      <c r="O51" s="333"/>
      <c r="P51" s="330">
        <v>0</v>
      </c>
      <c r="Q51" s="330">
        <v>0</v>
      </c>
      <c r="R51" s="330">
        <v>0</v>
      </c>
      <c r="S51" s="333">
        <v>0</v>
      </c>
      <c r="T51" s="330">
        <v>0</v>
      </c>
      <c r="U51" s="330">
        <v>0</v>
      </c>
      <c r="V51" s="330">
        <v>0</v>
      </c>
      <c r="W51" s="333">
        <v>0</v>
      </c>
      <c r="X51" s="334">
        <v>0</v>
      </c>
      <c r="Y51" s="335">
        <v>0</v>
      </c>
      <c r="Z51" s="335">
        <v>0</v>
      </c>
      <c r="AA51" s="336">
        <v>0</v>
      </c>
      <c r="AB51" s="334"/>
      <c r="AC51" s="335"/>
      <c r="AD51" s="335">
        <v>1</v>
      </c>
      <c r="AE51" s="337">
        <f>SUM(AB51:AD51)</f>
        <v>1</v>
      </c>
    </row>
    <row r="52" spans="2:31" ht="15" x14ac:dyDescent="0.2">
      <c r="B52" s="5569"/>
      <c r="C52" s="652" t="s">
        <v>28</v>
      </c>
      <c r="D52" s="330"/>
      <c r="E52" s="330"/>
      <c r="F52" s="330"/>
      <c r="G52" s="331"/>
      <c r="H52" s="332"/>
      <c r="I52" s="330"/>
      <c r="J52" s="330"/>
      <c r="K52" s="331"/>
      <c r="L52" s="332"/>
      <c r="M52" s="330"/>
      <c r="N52" s="330"/>
      <c r="O52" s="333"/>
      <c r="P52" s="330">
        <v>0</v>
      </c>
      <c r="Q52" s="330">
        <v>0</v>
      </c>
      <c r="R52" s="330">
        <v>0</v>
      </c>
      <c r="S52" s="333">
        <v>0</v>
      </c>
      <c r="T52" s="330">
        <v>0</v>
      </c>
      <c r="U52" s="330">
        <v>0</v>
      </c>
      <c r="V52" s="330">
        <v>0</v>
      </c>
      <c r="W52" s="333">
        <v>0</v>
      </c>
      <c r="X52" s="334">
        <v>0</v>
      </c>
      <c r="Y52" s="335">
        <v>0</v>
      </c>
      <c r="Z52" s="335">
        <v>0</v>
      </c>
      <c r="AA52" s="336">
        <v>0</v>
      </c>
      <c r="AB52" s="334"/>
      <c r="AC52" s="335"/>
      <c r="AD52" s="335"/>
      <c r="AE52" s="337">
        <f>SUM(AB52:AD52)</f>
        <v>0</v>
      </c>
    </row>
    <row r="53" spans="2:31" s="27" customFormat="1" ht="15" x14ac:dyDescent="0.2">
      <c r="B53" s="5570"/>
      <c r="C53" s="678" t="s">
        <v>15</v>
      </c>
      <c r="D53" s="679">
        <v>1</v>
      </c>
      <c r="E53" s="680"/>
      <c r="F53" s="680"/>
      <c r="G53" s="681">
        <v>1</v>
      </c>
      <c r="H53" s="679">
        <v>1</v>
      </c>
      <c r="I53" s="680"/>
      <c r="J53" s="680">
        <v>1</v>
      </c>
      <c r="K53" s="681">
        <v>2</v>
      </c>
      <c r="L53" s="680"/>
      <c r="M53" s="680"/>
      <c r="N53" s="680"/>
      <c r="O53" s="680"/>
      <c r="P53" s="679">
        <v>0</v>
      </c>
      <c r="Q53" s="680">
        <v>0</v>
      </c>
      <c r="R53" s="680">
        <v>0</v>
      </c>
      <c r="S53" s="681">
        <v>0</v>
      </c>
      <c r="T53" s="680">
        <v>0</v>
      </c>
      <c r="U53" s="680">
        <v>0</v>
      </c>
      <c r="V53" s="680">
        <v>0</v>
      </c>
      <c r="W53" s="680">
        <v>0</v>
      </c>
      <c r="X53" s="682">
        <v>0</v>
      </c>
      <c r="Y53" s="683">
        <v>0</v>
      </c>
      <c r="Z53" s="683">
        <v>0</v>
      </c>
      <c r="AA53" s="684">
        <v>0</v>
      </c>
      <c r="AB53" s="682">
        <f>SUM(AB50:AB52)</f>
        <v>0</v>
      </c>
      <c r="AC53" s="683">
        <f>SUM(AC50:AC52)</f>
        <v>0</v>
      </c>
      <c r="AD53" s="683">
        <f>SUM(AD50:AD52)</f>
        <v>1</v>
      </c>
      <c r="AE53" s="684">
        <f>SUM(AE50:AE52)</f>
        <v>1</v>
      </c>
    </row>
    <row r="54" spans="2:31" ht="15" x14ac:dyDescent="0.2">
      <c r="B54" s="5571" t="s">
        <v>16</v>
      </c>
      <c r="C54" s="652" t="s">
        <v>26</v>
      </c>
      <c r="D54" s="330"/>
      <c r="E54" s="330"/>
      <c r="F54" s="330"/>
      <c r="G54" s="331">
        <f>G42+G46+G50</f>
        <v>0</v>
      </c>
      <c r="H54" s="332"/>
      <c r="I54" s="330"/>
      <c r="J54" s="330"/>
      <c r="K54" s="331"/>
      <c r="L54" s="332"/>
      <c r="M54" s="330"/>
      <c r="N54" s="330"/>
      <c r="O54" s="333"/>
      <c r="P54" s="330">
        <f t="shared" ref="P54:W56" si="6">P42+P46+P50</f>
        <v>0</v>
      </c>
      <c r="Q54" s="330">
        <f t="shared" si="6"/>
        <v>1</v>
      </c>
      <c r="R54" s="330">
        <f t="shared" si="6"/>
        <v>1</v>
      </c>
      <c r="S54" s="333">
        <f t="shared" si="6"/>
        <v>2</v>
      </c>
      <c r="T54" s="330">
        <f t="shared" si="6"/>
        <v>0</v>
      </c>
      <c r="U54" s="330">
        <f t="shared" si="6"/>
        <v>0</v>
      </c>
      <c r="V54" s="330">
        <f t="shared" si="6"/>
        <v>0</v>
      </c>
      <c r="W54" s="333">
        <f t="shared" si="6"/>
        <v>0</v>
      </c>
      <c r="X54" s="334">
        <v>0</v>
      </c>
      <c r="Y54" s="335">
        <v>0</v>
      </c>
      <c r="Z54" s="335">
        <v>0</v>
      </c>
      <c r="AA54" s="335">
        <v>0</v>
      </c>
      <c r="AB54" s="334"/>
      <c r="AC54" s="335">
        <v>1</v>
      </c>
      <c r="AD54" s="335"/>
      <c r="AE54" s="338">
        <f>SUM(AB54:AD54)</f>
        <v>1</v>
      </c>
    </row>
    <row r="55" spans="2:31" ht="15" x14ac:dyDescent="0.2">
      <c r="B55" s="5572"/>
      <c r="C55" s="652" t="s">
        <v>27</v>
      </c>
      <c r="D55" s="330">
        <f>D43+D47+D51</f>
        <v>1</v>
      </c>
      <c r="E55" s="330">
        <f>E43+E47+E51</f>
        <v>1</v>
      </c>
      <c r="F55" s="330"/>
      <c r="G55" s="331">
        <f>G43+G47+G51</f>
        <v>2</v>
      </c>
      <c r="H55" s="332">
        <f>H43+H47+H51</f>
        <v>2</v>
      </c>
      <c r="I55" s="330"/>
      <c r="J55" s="330">
        <f>J43+J47+J51</f>
        <v>2</v>
      </c>
      <c r="K55" s="331">
        <f>K43+K47+K51</f>
        <v>4</v>
      </c>
      <c r="L55" s="332">
        <f>L43+L47+L51</f>
        <v>1</v>
      </c>
      <c r="M55" s="330"/>
      <c r="N55" s="330"/>
      <c r="O55" s="333">
        <f>O43+O47+O51</f>
        <v>1</v>
      </c>
      <c r="P55" s="330">
        <f t="shared" si="6"/>
        <v>2</v>
      </c>
      <c r="Q55" s="330">
        <f t="shared" si="6"/>
        <v>2</v>
      </c>
      <c r="R55" s="330">
        <f t="shared" si="6"/>
        <v>0</v>
      </c>
      <c r="S55" s="333">
        <f t="shared" si="6"/>
        <v>4</v>
      </c>
      <c r="T55" s="330">
        <f t="shared" si="6"/>
        <v>4</v>
      </c>
      <c r="U55" s="330">
        <f t="shared" si="6"/>
        <v>0</v>
      </c>
      <c r="V55" s="330">
        <f t="shared" si="6"/>
        <v>1</v>
      </c>
      <c r="W55" s="333">
        <f t="shared" si="6"/>
        <v>5</v>
      </c>
      <c r="X55" s="334">
        <v>2</v>
      </c>
      <c r="Y55" s="335">
        <v>0</v>
      </c>
      <c r="Z55" s="335">
        <v>1</v>
      </c>
      <c r="AA55" s="335">
        <v>3</v>
      </c>
      <c r="AB55" s="334">
        <v>1</v>
      </c>
      <c r="AC55" s="335"/>
      <c r="AD55" s="335">
        <v>1</v>
      </c>
      <c r="AE55" s="338">
        <f>SUM(AB55:AD55)</f>
        <v>2</v>
      </c>
    </row>
    <row r="56" spans="2:31" ht="15" x14ac:dyDescent="0.2">
      <c r="B56" s="5572"/>
      <c r="C56" s="652" t="s">
        <v>28</v>
      </c>
      <c r="D56" s="330"/>
      <c r="E56" s="330"/>
      <c r="F56" s="330"/>
      <c r="G56" s="331"/>
      <c r="H56" s="332"/>
      <c r="I56" s="330"/>
      <c r="J56" s="330"/>
      <c r="K56" s="331"/>
      <c r="L56" s="332"/>
      <c r="M56" s="330">
        <f>M44+M48+M52</f>
        <v>1</v>
      </c>
      <c r="N56" s="330"/>
      <c r="O56" s="333">
        <f>O44+O48+O52</f>
        <v>1</v>
      </c>
      <c r="P56" s="330">
        <f t="shared" si="6"/>
        <v>0</v>
      </c>
      <c r="Q56" s="330">
        <f t="shared" si="6"/>
        <v>0</v>
      </c>
      <c r="R56" s="330">
        <f t="shared" si="6"/>
        <v>0</v>
      </c>
      <c r="S56" s="333">
        <f t="shared" si="6"/>
        <v>0</v>
      </c>
      <c r="T56" s="330">
        <f t="shared" si="6"/>
        <v>0</v>
      </c>
      <c r="U56" s="330">
        <f t="shared" si="6"/>
        <v>0</v>
      </c>
      <c r="V56" s="330">
        <f t="shared" si="6"/>
        <v>1</v>
      </c>
      <c r="W56" s="333">
        <f t="shared" si="6"/>
        <v>1</v>
      </c>
      <c r="X56" s="334">
        <v>1</v>
      </c>
      <c r="Y56" s="335">
        <v>1</v>
      </c>
      <c r="Z56" s="335">
        <v>0</v>
      </c>
      <c r="AA56" s="335">
        <v>2</v>
      </c>
      <c r="AB56" s="334"/>
      <c r="AC56" s="335"/>
      <c r="AD56" s="335"/>
      <c r="AE56" s="338">
        <f>SUM(AB56:AD56)</f>
        <v>0</v>
      </c>
    </row>
    <row r="57" spans="2:31" s="27" customFormat="1" ht="15" x14ac:dyDescent="0.2">
      <c r="B57" s="5573"/>
      <c r="C57" s="650" t="s">
        <v>12</v>
      </c>
      <c r="D57" s="685">
        <f>SUM(D54:D56)</f>
        <v>1</v>
      </c>
      <c r="E57" s="686">
        <f>SUM(E54:E56)</f>
        <v>1</v>
      </c>
      <c r="F57" s="686"/>
      <c r="G57" s="687">
        <f>SUM(G54:G56)</f>
        <v>2</v>
      </c>
      <c r="H57" s="685">
        <f t="shared" ref="H57:W57" si="7">SUM(H54:H56)</f>
        <v>2</v>
      </c>
      <c r="I57" s="686"/>
      <c r="J57" s="686">
        <f t="shared" si="7"/>
        <v>2</v>
      </c>
      <c r="K57" s="687">
        <f t="shared" si="7"/>
        <v>4</v>
      </c>
      <c r="L57" s="686">
        <f t="shared" si="7"/>
        <v>1</v>
      </c>
      <c r="M57" s="686">
        <f t="shared" si="7"/>
        <v>1</v>
      </c>
      <c r="N57" s="686"/>
      <c r="O57" s="686">
        <f t="shared" si="7"/>
        <v>2</v>
      </c>
      <c r="P57" s="685">
        <f t="shared" si="7"/>
        <v>2</v>
      </c>
      <c r="Q57" s="686">
        <f t="shared" si="7"/>
        <v>3</v>
      </c>
      <c r="R57" s="686">
        <f t="shared" si="7"/>
        <v>1</v>
      </c>
      <c r="S57" s="687">
        <f t="shared" si="7"/>
        <v>6</v>
      </c>
      <c r="T57" s="686">
        <f t="shared" si="7"/>
        <v>4</v>
      </c>
      <c r="U57" s="686">
        <f t="shared" si="7"/>
        <v>0</v>
      </c>
      <c r="V57" s="686">
        <f t="shared" si="7"/>
        <v>2</v>
      </c>
      <c r="W57" s="686">
        <f t="shared" si="7"/>
        <v>6</v>
      </c>
      <c r="X57" s="598">
        <v>3</v>
      </c>
      <c r="Y57" s="599">
        <v>1</v>
      </c>
      <c r="Z57" s="599">
        <v>1</v>
      </c>
      <c r="AA57" s="600">
        <v>5</v>
      </c>
      <c r="AB57" s="599">
        <f>SUM(AB54:AB56)</f>
        <v>1</v>
      </c>
      <c r="AC57" s="599">
        <f>SUM(AC54:AC56)</f>
        <v>1</v>
      </c>
      <c r="AD57" s="599">
        <f>SUM(AD54:AD56)</f>
        <v>1</v>
      </c>
      <c r="AE57" s="600">
        <f>SUM(AE54:AE56)</f>
        <v>3</v>
      </c>
    </row>
    <row r="58" spans="2:31" x14ac:dyDescent="0.2">
      <c r="C58" s="1"/>
      <c r="D58" s="1"/>
      <c r="E58" s="1"/>
      <c r="F58" s="1"/>
      <c r="G58" s="1"/>
      <c r="K58" s="1"/>
      <c r="O58" s="1"/>
      <c r="S58" s="1"/>
      <c r="W58" s="1"/>
    </row>
    <row r="59" spans="2:31" ht="15" x14ac:dyDescent="0.2">
      <c r="B59" s="5571" t="s">
        <v>60</v>
      </c>
      <c r="C59" s="651" t="s">
        <v>26</v>
      </c>
      <c r="D59" s="670">
        <f>D20+D37+D54</f>
        <v>1</v>
      </c>
      <c r="E59" s="670"/>
      <c r="F59" s="670">
        <f t="shared" ref="F59:G61" si="8">F20+F37+F54</f>
        <v>1</v>
      </c>
      <c r="G59" s="672">
        <f t="shared" si="8"/>
        <v>2</v>
      </c>
      <c r="H59" s="669"/>
      <c r="I59" s="670"/>
      <c r="J59" s="670"/>
      <c r="K59" s="672"/>
      <c r="L59" s="669">
        <f t="shared" ref="L59:M61" si="9">L20+L37+L54</f>
        <v>2</v>
      </c>
      <c r="M59" s="670">
        <f t="shared" si="9"/>
        <v>1</v>
      </c>
      <c r="N59" s="670"/>
      <c r="O59" s="671">
        <f t="shared" ref="O59:W59" si="10">O20+O37+O54</f>
        <v>3</v>
      </c>
      <c r="P59" s="670">
        <f t="shared" si="10"/>
        <v>0</v>
      </c>
      <c r="Q59" s="670">
        <f t="shared" si="10"/>
        <v>2</v>
      </c>
      <c r="R59" s="670">
        <f t="shared" si="10"/>
        <v>2</v>
      </c>
      <c r="S59" s="671">
        <f t="shared" si="10"/>
        <v>4</v>
      </c>
      <c r="T59" s="670">
        <f t="shared" si="10"/>
        <v>0</v>
      </c>
      <c r="U59" s="670">
        <f t="shared" si="10"/>
        <v>1</v>
      </c>
      <c r="V59" s="670">
        <f t="shared" si="10"/>
        <v>0</v>
      </c>
      <c r="W59" s="671">
        <f t="shared" si="10"/>
        <v>1</v>
      </c>
      <c r="X59" s="443">
        <v>1</v>
      </c>
      <c r="Y59" s="444">
        <v>1</v>
      </c>
      <c r="Z59" s="444">
        <v>1</v>
      </c>
      <c r="AA59" s="444">
        <v>3</v>
      </c>
      <c r="AB59" s="443">
        <f t="shared" ref="AB59:AE62" si="11">SUM(AB20,AB37,AB54)</f>
        <v>0</v>
      </c>
      <c r="AC59" s="444">
        <f t="shared" si="11"/>
        <v>1</v>
      </c>
      <c r="AD59" s="444">
        <f t="shared" si="11"/>
        <v>0</v>
      </c>
      <c r="AE59" s="445">
        <f t="shared" si="11"/>
        <v>1</v>
      </c>
    </row>
    <row r="60" spans="2:31" ht="15" x14ac:dyDescent="0.2">
      <c r="B60" s="5572"/>
      <c r="C60" s="652" t="s">
        <v>27</v>
      </c>
      <c r="D60" s="330">
        <f>D21+D38+D55</f>
        <v>4</v>
      </c>
      <c r="E60" s="330">
        <f>E21+E38+E55</f>
        <v>2</v>
      </c>
      <c r="F60" s="330">
        <f t="shared" si="8"/>
        <v>2</v>
      </c>
      <c r="G60" s="331">
        <f t="shared" si="8"/>
        <v>8</v>
      </c>
      <c r="H60" s="332">
        <f>H21+H38+H55</f>
        <v>4</v>
      </c>
      <c r="I60" s="330">
        <f>I21+I38+I55</f>
        <v>1</v>
      </c>
      <c r="J60" s="330">
        <f>J21+J38+J55</f>
        <v>7</v>
      </c>
      <c r="K60" s="331">
        <f>K21+K38+K55</f>
        <v>12</v>
      </c>
      <c r="L60" s="332">
        <f t="shared" si="9"/>
        <v>8</v>
      </c>
      <c r="M60" s="330">
        <f t="shared" si="9"/>
        <v>1</v>
      </c>
      <c r="N60" s="330">
        <f>N21+N38+N55</f>
        <v>1</v>
      </c>
      <c r="O60" s="333">
        <f t="shared" ref="O60:W60" si="12">O21+O38+O55</f>
        <v>10</v>
      </c>
      <c r="P60" s="330">
        <f t="shared" si="12"/>
        <v>6</v>
      </c>
      <c r="Q60" s="330">
        <f t="shared" si="12"/>
        <v>6</v>
      </c>
      <c r="R60" s="330">
        <f t="shared" si="12"/>
        <v>2</v>
      </c>
      <c r="S60" s="333">
        <f t="shared" si="12"/>
        <v>14</v>
      </c>
      <c r="T60" s="330">
        <f t="shared" si="12"/>
        <v>6</v>
      </c>
      <c r="U60" s="330">
        <f t="shared" si="12"/>
        <v>2</v>
      </c>
      <c r="V60" s="330">
        <f t="shared" si="12"/>
        <v>5</v>
      </c>
      <c r="W60" s="333">
        <f t="shared" si="12"/>
        <v>13</v>
      </c>
      <c r="X60" s="334">
        <v>4</v>
      </c>
      <c r="Y60" s="335">
        <v>3</v>
      </c>
      <c r="Z60" s="335">
        <v>4</v>
      </c>
      <c r="AA60" s="335">
        <v>11</v>
      </c>
      <c r="AB60" s="334">
        <f t="shared" si="11"/>
        <v>7</v>
      </c>
      <c r="AC60" s="335">
        <f t="shared" si="11"/>
        <v>2</v>
      </c>
      <c r="AD60" s="335">
        <f t="shared" si="11"/>
        <v>4</v>
      </c>
      <c r="AE60" s="338">
        <f t="shared" si="11"/>
        <v>13</v>
      </c>
    </row>
    <row r="61" spans="2:31" ht="15" x14ac:dyDescent="0.2">
      <c r="B61" s="5572"/>
      <c r="C61" s="652" t="s">
        <v>28</v>
      </c>
      <c r="D61" s="330"/>
      <c r="E61" s="330"/>
      <c r="F61" s="330">
        <f t="shared" si="8"/>
        <v>2</v>
      </c>
      <c r="G61" s="331">
        <f t="shared" si="8"/>
        <v>2</v>
      </c>
      <c r="H61" s="332">
        <f>H22+H39+H56</f>
        <v>1</v>
      </c>
      <c r="I61" s="330"/>
      <c r="J61" s="330">
        <f>J22+J39+J56</f>
        <v>4</v>
      </c>
      <c r="K61" s="331">
        <f>K22+K39+K56</f>
        <v>5</v>
      </c>
      <c r="L61" s="332">
        <f t="shared" si="9"/>
        <v>3</v>
      </c>
      <c r="M61" s="330">
        <f t="shared" si="9"/>
        <v>1</v>
      </c>
      <c r="N61" s="330"/>
      <c r="O61" s="333">
        <f t="shared" ref="O61:W61" si="13">O22+O39+O56</f>
        <v>4</v>
      </c>
      <c r="P61" s="330">
        <f t="shared" si="13"/>
        <v>0</v>
      </c>
      <c r="Q61" s="330">
        <f t="shared" si="13"/>
        <v>1</v>
      </c>
      <c r="R61" s="330">
        <f t="shared" si="13"/>
        <v>0</v>
      </c>
      <c r="S61" s="333">
        <f t="shared" si="13"/>
        <v>1</v>
      </c>
      <c r="T61" s="330">
        <f t="shared" si="13"/>
        <v>0</v>
      </c>
      <c r="U61" s="330">
        <f t="shared" si="13"/>
        <v>1</v>
      </c>
      <c r="V61" s="330">
        <f t="shared" si="13"/>
        <v>2</v>
      </c>
      <c r="W61" s="333">
        <f t="shared" si="13"/>
        <v>3</v>
      </c>
      <c r="X61" s="334">
        <v>1</v>
      </c>
      <c r="Y61" s="335">
        <v>2</v>
      </c>
      <c r="Z61" s="335">
        <v>3</v>
      </c>
      <c r="AA61" s="335">
        <v>6</v>
      </c>
      <c r="AB61" s="334">
        <f t="shared" si="11"/>
        <v>1</v>
      </c>
      <c r="AC61" s="335">
        <f t="shared" si="11"/>
        <v>1</v>
      </c>
      <c r="AD61" s="335">
        <f t="shared" si="11"/>
        <v>0</v>
      </c>
      <c r="AE61" s="338">
        <f t="shared" si="11"/>
        <v>2</v>
      </c>
    </row>
    <row r="62" spans="2:31" s="38" customFormat="1" ht="15" x14ac:dyDescent="0.2">
      <c r="B62" s="5573"/>
      <c r="C62" s="650" t="s">
        <v>12</v>
      </c>
      <c r="D62" s="685">
        <f>SUM(D59:D61)</f>
        <v>5</v>
      </c>
      <c r="E62" s="686">
        <f>SUM(E59:E61)</f>
        <v>2</v>
      </c>
      <c r="F62" s="686">
        <f>SUM(F59:F61)</f>
        <v>5</v>
      </c>
      <c r="G62" s="687">
        <f>SUM(G59:G61)</f>
        <v>12</v>
      </c>
      <c r="H62" s="685">
        <f t="shared" ref="H62:W62" si="14">SUM(H59:H61)</f>
        <v>5</v>
      </c>
      <c r="I62" s="686">
        <f t="shared" si="14"/>
        <v>1</v>
      </c>
      <c r="J62" s="686">
        <f t="shared" si="14"/>
        <v>11</v>
      </c>
      <c r="K62" s="687">
        <f t="shared" si="14"/>
        <v>17</v>
      </c>
      <c r="L62" s="686">
        <f t="shared" si="14"/>
        <v>13</v>
      </c>
      <c r="M62" s="686">
        <f t="shared" si="14"/>
        <v>3</v>
      </c>
      <c r="N62" s="686">
        <f t="shared" si="14"/>
        <v>1</v>
      </c>
      <c r="O62" s="686">
        <f t="shared" si="14"/>
        <v>17</v>
      </c>
      <c r="P62" s="685">
        <f t="shared" si="14"/>
        <v>6</v>
      </c>
      <c r="Q62" s="686">
        <f t="shared" si="14"/>
        <v>9</v>
      </c>
      <c r="R62" s="686">
        <f t="shared" si="14"/>
        <v>4</v>
      </c>
      <c r="S62" s="687">
        <f t="shared" si="14"/>
        <v>19</v>
      </c>
      <c r="T62" s="686">
        <f t="shared" si="14"/>
        <v>6</v>
      </c>
      <c r="U62" s="686">
        <f t="shared" si="14"/>
        <v>4</v>
      </c>
      <c r="V62" s="686">
        <f t="shared" si="14"/>
        <v>7</v>
      </c>
      <c r="W62" s="686">
        <f t="shared" si="14"/>
        <v>17</v>
      </c>
      <c r="X62" s="598">
        <v>6</v>
      </c>
      <c r="Y62" s="599">
        <v>6</v>
      </c>
      <c r="Z62" s="599">
        <v>8</v>
      </c>
      <c r="AA62" s="600">
        <v>20</v>
      </c>
      <c r="AB62" s="599">
        <f t="shared" si="11"/>
        <v>8</v>
      </c>
      <c r="AC62" s="599">
        <f t="shared" si="11"/>
        <v>4</v>
      </c>
      <c r="AD62" s="599">
        <f t="shared" si="11"/>
        <v>4</v>
      </c>
      <c r="AE62" s="600">
        <f t="shared" si="11"/>
        <v>16</v>
      </c>
    </row>
    <row r="63" spans="2:31" ht="15" x14ac:dyDescent="0.2">
      <c r="B63" s="389" t="s">
        <v>0</v>
      </c>
      <c r="C63" s="389"/>
      <c r="D63" s="320"/>
      <c r="E63" s="320"/>
      <c r="F63" s="320"/>
      <c r="G63" s="320"/>
      <c r="H63" s="321"/>
      <c r="I63" s="321"/>
      <c r="J63" s="321"/>
      <c r="K63" s="328"/>
      <c r="L63" s="321"/>
      <c r="M63" s="321"/>
      <c r="N63" s="321"/>
      <c r="O63" s="328"/>
      <c r="P63" s="321"/>
      <c r="Q63" s="321"/>
      <c r="R63" s="321"/>
      <c r="S63" s="328"/>
      <c r="T63" s="321"/>
      <c r="U63" s="321"/>
      <c r="V63" s="321"/>
      <c r="W63" s="328"/>
      <c r="X63" s="250"/>
      <c r="Y63" s="250"/>
      <c r="Z63" s="250"/>
      <c r="AA63" s="250"/>
      <c r="AB63" s="250"/>
      <c r="AC63" s="250"/>
      <c r="AD63" s="250"/>
      <c r="AE63" s="250"/>
    </row>
    <row r="64" spans="2:31" x14ac:dyDescent="0.2">
      <c r="B64" s="30"/>
      <c r="C64" s="1"/>
      <c r="D64" s="1"/>
      <c r="E64" s="1"/>
      <c r="F64" s="1"/>
      <c r="G64" s="1"/>
      <c r="H64" s="64"/>
      <c r="I64" s="64"/>
      <c r="J64" s="64"/>
      <c r="K64" s="65"/>
      <c r="L64" s="64"/>
      <c r="M64" s="64"/>
      <c r="N64" s="64"/>
      <c r="O64" s="65"/>
      <c r="P64" s="64"/>
      <c r="Q64" s="64"/>
      <c r="R64" s="64"/>
      <c r="S64" s="65"/>
      <c r="T64" s="64"/>
      <c r="U64" s="64"/>
      <c r="V64" s="64"/>
      <c r="W64" s="65"/>
    </row>
    <row r="65" spans="3:23" x14ac:dyDescent="0.2">
      <c r="C65" s="1"/>
      <c r="D65" s="1"/>
      <c r="E65" s="1"/>
      <c r="F65" s="1"/>
      <c r="G65" s="1"/>
      <c r="H65" s="64"/>
      <c r="I65" s="64"/>
      <c r="J65" s="64"/>
      <c r="K65" s="65"/>
      <c r="L65" s="64"/>
      <c r="M65" s="64"/>
      <c r="N65" s="64"/>
      <c r="O65" s="65"/>
      <c r="P65" s="64"/>
      <c r="Q65" s="64"/>
      <c r="R65" s="64"/>
      <c r="S65" s="65"/>
      <c r="T65" s="64"/>
      <c r="U65" s="64"/>
      <c r="V65" s="64"/>
      <c r="W65" s="65"/>
    </row>
    <row r="66" spans="3:23" x14ac:dyDescent="0.2">
      <c r="H66" s="26"/>
      <c r="I66" s="26"/>
      <c r="J66" s="26"/>
      <c r="K66" s="61"/>
      <c r="L66" s="26"/>
      <c r="M66" s="26"/>
      <c r="N66" s="26"/>
      <c r="O66" s="61"/>
      <c r="P66" s="26"/>
      <c r="Q66" s="26"/>
      <c r="R66" s="26"/>
      <c r="S66" s="61"/>
      <c r="T66" s="26"/>
      <c r="U66" s="26"/>
      <c r="V66" s="26"/>
      <c r="W66" s="61"/>
    </row>
    <row r="67" spans="3:23" x14ac:dyDescent="0.2">
      <c r="H67" s="26"/>
      <c r="I67" s="26"/>
      <c r="J67" s="26"/>
      <c r="K67" s="61"/>
      <c r="L67" s="26"/>
      <c r="M67" s="26"/>
      <c r="N67" s="26"/>
      <c r="O67" s="61"/>
      <c r="P67" s="26"/>
      <c r="Q67" s="26"/>
      <c r="R67" s="26"/>
      <c r="S67" s="61"/>
      <c r="T67" s="26"/>
      <c r="U67" s="26"/>
      <c r="V67" s="26"/>
      <c r="W67" s="61"/>
    </row>
  </sheetData>
  <mergeCells count="43">
    <mergeCell ref="J5:J6"/>
    <mergeCell ref="C5:C6"/>
    <mergeCell ref="R5:R6"/>
    <mergeCell ref="Q5:Q6"/>
    <mergeCell ref="I5:I6"/>
    <mergeCell ref="E5:E6"/>
    <mergeCell ref="AE5:AE6"/>
    <mergeCell ref="AB5:AB6"/>
    <mergeCell ref="AC5:AC6"/>
    <mergeCell ref="AD5:AD6"/>
    <mergeCell ref="B25:B28"/>
    <mergeCell ref="X5:X6"/>
    <mergeCell ref="Y5:Y6"/>
    <mergeCell ref="Z5:Z6"/>
    <mergeCell ref="AA5:AA6"/>
    <mergeCell ref="F5:F6"/>
    <mergeCell ref="S5:S6"/>
    <mergeCell ref="V5:V6"/>
    <mergeCell ref="M5:M6"/>
    <mergeCell ref="K5:K6"/>
    <mergeCell ref="H5:H6"/>
    <mergeCell ref="G5:G6"/>
    <mergeCell ref="W5:W6"/>
    <mergeCell ref="O5:O6"/>
    <mergeCell ref="P5:P6"/>
    <mergeCell ref="T5:T6"/>
    <mergeCell ref="U5:U6"/>
    <mergeCell ref="B46:B49"/>
    <mergeCell ref="B54:B57"/>
    <mergeCell ref="B50:B53"/>
    <mergeCell ref="B59:B62"/>
    <mergeCell ref="N5:N6"/>
    <mergeCell ref="L5:L6"/>
    <mergeCell ref="B8:B11"/>
    <mergeCell ref="B12:B15"/>
    <mergeCell ref="B16:B19"/>
    <mergeCell ref="B20:B23"/>
    <mergeCell ref="B29:B32"/>
    <mergeCell ref="B33:B36"/>
    <mergeCell ref="B37:B40"/>
    <mergeCell ref="B42:B45"/>
    <mergeCell ref="B5:B6"/>
    <mergeCell ref="D5:D6"/>
  </mergeCells>
  <phoneticPr fontId="69" type="noConversion"/>
  <printOptions horizontalCentered="1" verticalCentered="1"/>
  <pageMargins left="0.39370078740157483" right="0.39370078740157483" top="0.51181102362204722" bottom="0.59055118110236227" header="0.43307086614173229" footer="0.31496062992125984"/>
  <pageSetup scale="50" orientation="landscape" horizontalDpi="1200" verticalDpi="1200" r:id="rId1"/>
  <headerFooter alignWithMargins="0">
    <oddHeader>&amp;LANEXO ESTADÍSTICO 2008&amp;CCOBERTURA EDUCATIVA&amp;R&amp;G</oddHeader>
    <oddFooter>&amp;R36</oddFooter>
  </headerFooter>
  <ignoredErrors>
    <ignoredError sqref="AE9:AE10 AE17 AE26:AE28 AE42:AE45 AE29:AE31 AE46:AE49 AE50:AE53 AE54:AE56" formulaRange="1"/>
  </ignoredErrors>
  <legacyDrawingHF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B1:AJ92"/>
  <sheetViews>
    <sheetView showGridLines="0" topLeftCell="E1" zoomScaleNormal="100" zoomScaleSheetLayoutView="70" workbookViewId="0">
      <selection activeCell="C4" sqref="C4"/>
    </sheetView>
  </sheetViews>
  <sheetFormatPr baseColWidth="10" defaultRowHeight="12.75" x14ac:dyDescent="0.2"/>
  <cols>
    <col min="1" max="1" width="5.140625" style="1" customWidth="1"/>
    <col min="2" max="2" width="9.85546875" style="30" customWidth="1"/>
    <col min="3" max="3" width="9.28515625" style="30" bestFit="1" customWidth="1"/>
    <col min="4" max="4" width="40.7109375" style="74" customWidth="1"/>
    <col min="5" max="5" width="4.42578125" style="1" customWidth="1"/>
    <col min="6" max="6" width="5.28515625" style="1" customWidth="1"/>
    <col min="7" max="7" width="5.42578125" style="1" customWidth="1"/>
    <col min="8" max="8" width="8.28515625" style="27" customWidth="1"/>
    <col min="9" max="9" width="4.42578125" style="1" customWidth="1"/>
    <col min="10" max="10" width="5.28515625" style="1" customWidth="1"/>
    <col min="11" max="11" width="5.42578125" style="1" customWidth="1"/>
    <col min="12" max="12" width="8.28515625" style="27" customWidth="1"/>
    <col min="13" max="13" width="4.42578125" style="1" customWidth="1"/>
    <col min="14" max="14" width="5.28515625" style="1" customWidth="1"/>
    <col min="15" max="15" width="5.42578125" style="1" customWidth="1"/>
    <col min="16" max="16" width="8.28515625" style="27" customWidth="1"/>
    <col min="17" max="17" width="4.42578125" style="1" customWidth="1"/>
    <col min="18" max="18" width="5.28515625" style="1" customWidth="1"/>
    <col min="19" max="19" width="5.42578125" style="1" customWidth="1"/>
    <col min="20" max="20" width="8.28515625" style="27" customWidth="1"/>
    <col min="21" max="21" width="4.42578125" style="1" customWidth="1"/>
    <col min="22" max="22" width="5.28515625" style="1" customWidth="1"/>
    <col min="23" max="23" width="5.42578125" style="1" customWidth="1"/>
    <col min="24" max="24" width="8.28515625" style="27" customWidth="1"/>
    <col min="25" max="25" width="4.42578125" style="1" customWidth="1"/>
    <col min="26" max="26" width="5.28515625" style="1" customWidth="1"/>
    <col min="27" max="27" width="5.42578125" style="1" customWidth="1"/>
    <col min="28" max="28" width="8.28515625" style="27" customWidth="1"/>
    <col min="29" max="29" width="4" style="1" bestFit="1" customWidth="1"/>
    <col min="30" max="30" width="4.7109375" style="1" bestFit="1" customWidth="1"/>
    <col min="31" max="31" width="4.85546875" style="1" bestFit="1" customWidth="1"/>
    <col min="32" max="32" width="6" style="1" customWidth="1"/>
    <col min="33" max="35" width="4.7109375" style="1" customWidth="1"/>
    <col min="36" max="36" width="6" style="1" customWidth="1"/>
    <col min="37" max="16384" width="11.42578125" style="1"/>
  </cols>
  <sheetData>
    <row r="1" spans="2:36" ht="16.5" x14ac:dyDescent="0.2">
      <c r="B1" s="42"/>
      <c r="D1" s="158"/>
      <c r="E1" s="42"/>
      <c r="F1" s="42"/>
      <c r="G1" s="159"/>
      <c r="H1" s="42"/>
      <c r="I1" s="42"/>
      <c r="J1" s="42"/>
      <c r="K1" s="42"/>
    </row>
    <row r="2" spans="2:36" ht="18" customHeight="1" x14ac:dyDescent="0.2">
      <c r="B2" s="68" t="s">
        <v>34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</row>
    <row r="3" spans="2:36" ht="18" customHeight="1" x14ac:dyDescent="0.2">
      <c r="B3" s="68" t="s">
        <v>337</v>
      </c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</row>
    <row r="4" spans="2:36" ht="12" customHeight="1" x14ac:dyDescent="0.2">
      <c r="C4" s="42"/>
      <c r="D4" s="158"/>
      <c r="E4" s="42"/>
      <c r="F4" s="42"/>
      <c r="G4" s="159"/>
      <c r="H4" s="42"/>
      <c r="I4" s="42"/>
      <c r="J4" s="42"/>
      <c r="K4" s="42"/>
    </row>
    <row r="5" spans="2:36" x14ac:dyDescent="0.2">
      <c r="B5" s="5589" t="s">
        <v>16</v>
      </c>
      <c r="C5" s="5589" t="s">
        <v>4</v>
      </c>
      <c r="D5" s="5589" t="s">
        <v>77</v>
      </c>
      <c r="E5" s="5581" t="s">
        <v>156</v>
      </c>
      <c r="F5" s="5581" t="s">
        <v>154</v>
      </c>
      <c r="G5" s="5581" t="s">
        <v>155</v>
      </c>
      <c r="H5" s="5581" t="s">
        <v>157</v>
      </c>
      <c r="I5" s="5581" t="s">
        <v>73</v>
      </c>
      <c r="J5" s="5581" t="s">
        <v>71</v>
      </c>
      <c r="K5" s="5581" t="s">
        <v>70</v>
      </c>
      <c r="L5" s="5581" t="s">
        <v>61</v>
      </c>
      <c r="M5" s="5581" t="s">
        <v>72</v>
      </c>
      <c r="N5" s="5581" t="s">
        <v>24</v>
      </c>
      <c r="O5" s="5581" t="s">
        <v>23</v>
      </c>
      <c r="P5" s="5581" t="s">
        <v>62</v>
      </c>
      <c r="Q5" s="5581" t="s">
        <v>69</v>
      </c>
      <c r="R5" s="5581" t="s">
        <v>59</v>
      </c>
      <c r="S5" s="5581" t="s">
        <v>21</v>
      </c>
      <c r="T5" s="5581" t="s">
        <v>63</v>
      </c>
      <c r="U5" s="5581" t="s">
        <v>22</v>
      </c>
      <c r="V5" s="5581" t="s">
        <v>17</v>
      </c>
      <c r="W5" s="5581" t="s">
        <v>18</v>
      </c>
      <c r="X5" s="5581" t="s">
        <v>64</v>
      </c>
      <c r="Y5" s="5581" t="s">
        <v>150</v>
      </c>
      <c r="Z5" s="5581" t="s">
        <v>148</v>
      </c>
      <c r="AA5" s="5581" t="s">
        <v>149</v>
      </c>
      <c r="AB5" s="5581" t="s">
        <v>151</v>
      </c>
      <c r="AC5" s="5581" t="s">
        <v>325</v>
      </c>
      <c r="AD5" s="5581" t="s">
        <v>324</v>
      </c>
      <c r="AE5" s="5581" t="s">
        <v>323</v>
      </c>
      <c r="AF5" s="5581" t="s">
        <v>327</v>
      </c>
      <c r="AG5" s="5581" t="s">
        <v>338</v>
      </c>
      <c r="AH5" s="5581" t="s">
        <v>335</v>
      </c>
      <c r="AI5" s="5581" t="s">
        <v>336</v>
      </c>
      <c r="AJ5" s="5581" t="s">
        <v>339</v>
      </c>
    </row>
    <row r="6" spans="2:36" x14ac:dyDescent="0.2">
      <c r="B6" s="5589"/>
      <c r="C6" s="5589"/>
      <c r="D6" s="5589"/>
      <c r="E6" s="5582"/>
      <c r="F6" s="5582"/>
      <c r="G6" s="5582"/>
      <c r="H6" s="5582"/>
      <c r="I6" s="5582"/>
      <c r="J6" s="5582"/>
      <c r="K6" s="5582"/>
      <c r="L6" s="5582"/>
      <c r="M6" s="5582"/>
      <c r="N6" s="5582"/>
      <c r="O6" s="5582"/>
      <c r="P6" s="5582"/>
      <c r="Q6" s="5582"/>
      <c r="R6" s="5582"/>
      <c r="S6" s="5582"/>
      <c r="T6" s="5582"/>
      <c r="U6" s="5582"/>
      <c r="V6" s="5582"/>
      <c r="W6" s="5582"/>
      <c r="X6" s="5582"/>
      <c r="Y6" s="5582"/>
      <c r="Z6" s="5582"/>
      <c r="AA6" s="5582"/>
      <c r="AB6" s="5582"/>
      <c r="AC6" s="5582"/>
      <c r="AD6" s="5582"/>
      <c r="AE6" s="5582"/>
      <c r="AF6" s="5582"/>
      <c r="AG6" s="5582"/>
      <c r="AH6" s="5582"/>
      <c r="AI6" s="5582"/>
      <c r="AJ6" s="5582"/>
    </row>
    <row r="7" spans="2:36" s="47" customFormat="1" ht="22.5" x14ac:dyDescent="0.2">
      <c r="B7" s="5584" t="s">
        <v>446</v>
      </c>
      <c r="C7" s="5584" t="s">
        <v>5</v>
      </c>
      <c r="D7" s="160" t="s">
        <v>231</v>
      </c>
      <c r="E7" s="161">
        <v>3</v>
      </c>
      <c r="F7" s="162"/>
      <c r="G7" s="162">
        <v>2</v>
      </c>
      <c r="H7" s="163">
        <v>5</v>
      </c>
      <c r="I7" s="161">
        <v>2</v>
      </c>
      <c r="J7" s="162">
        <v>1</v>
      </c>
      <c r="K7" s="162">
        <v>14</v>
      </c>
      <c r="L7" s="163">
        <v>17</v>
      </c>
      <c r="M7" s="161">
        <v>1</v>
      </c>
      <c r="N7" s="162">
        <v>4</v>
      </c>
      <c r="O7" s="162">
        <v>4</v>
      </c>
      <c r="P7" s="164">
        <v>9</v>
      </c>
      <c r="Q7" s="162">
        <v>1</v>
      </c>
      <c r="R7" s="162"/>
      <c r="S7" s="162">
        <v>5</v>
      </c>
      <c r="T7" s="164">
        <v>6</v>
      </c>
      <c r="U7" s="162"/>
      <c r="V7" s="162">
        <v>6</v>
      </c>
      <c r="W7" s="165">
        <v>3</v>
      </c>
      <c r="X7" s="166">
        <v>9</v>
      </c>
      <c r="Y7" s="162">
        <v>4</v>
      </c>
      <c r="Z7" s="162">
        <v>2</v>
      </c>
      <c r="AA7" s="165">
        <v>6</v>
      </c>
      <c r="AB7" s="166">
        <f>SUM(Y7:AA7)</f>
        <v>12</v>
      </c>
      <c r="AC7" s="162">
        <v>2</v>
      </c>
      <c r="AD7" s="162"/>
      <c r="AE7" s="165"/>
      <c r="AF7" s="166">
        <f>SUM(AC7:AE7)</f>
        <v>2</v>
      </c>
      <c r="AG7" s="162"/>
      <c r="AH7" s="162"/>
      <c r="AI7" s="165"/>
      <c r="AJ7" s="166">
        <f>SUM(AG7:AI7)</f>
        <v>0</v>
      </c>
    </row>
    <row r="8" spans="2:36" s="47" customFormat="1" ht="22.5" x14ac:dyDescent="0.2">
      <c r="B8" s="5583"/>
      <c r="C8" s="5583"/>
      <c r="D8" s="160" t="s">
        <v>232</v>
      </c>
      <c r="E8" s="167"/>
      <c r="F8" s="168"/>
      <c r="G8" s="168"/>
      <c r="H8" s="169"/>
      <c r="I8" s="167">
        <v>1</v>
      </c>
      <c r="J8" s="168"/>
      <c r="K8" s="168">
        <v>1</v>
      </c>
      <c r="L8" s="169">
        <v>2</v>
      </c>
      <c r="M8" s="167"/>
      <c r="N8" s="168"/>
      <c r="O8" s="168">
        <v>1</v>
      </c>
      <c r="P8" s="170">
        <v>1</v>
      </c>
      <c r="Q8" s="168"/>
      <c r="R8" s="168">
        <v>1</v>
      </c>
      <c r="S8" s="168"/>
      <c r="T8" s="170">
        <v>1</v>
      </c>
      <c r="U8" s="168"/>
      <c r="V8" s="168"/>
      <c r="W8" s="171">
        <v>1</v>
      </c>
      <c r="X8" s="172">
        <v>1</v>
      </c>
      <c r="Y8" s="168"/>
      <c r="Z8" s="168"/>
      <c r="AA8" s="171"/>
      <c r="AB8" s="172">
        <f t="shared" ref="AB8:AB71" si="0">SUM(Y8:AA8)</f>
        <v>0</v>
      </c>
      <c r="AC8" s="168"/>
      <c r="AD8" s="168"/>
      <c r="AE8" s="171"/>
      <c r="AF8" s="172">
        <f t="shared" ref="AF8:AF71" si="1">SUM(AC8:AE8)</f>
        <v>0</v>
      </c>
      <c r="AG8" s="168"/>
      <c r="AH8" s="168"/>
      <c r="AI8" s="171"/>
      <c r="AJ8" s="172">
        <f t="shared" ref="AJ8:AJ71" si="2">SUM(AG8:AI8)</f>
        <v>0</v>
      </c>
    </row>
    <row r="9" spans="2:36" s="47" customFormat="1" ht="15" x14ac:dyDescent="0.2">
      <c r="B9" s="5583"/>
      <c r="C9" s="5583"/>
      <c r="D9" s="173" t="s">
        <v>233</v>
      </c>
      <c r="E9" s="167"/>
      <c r="F9" s="168"/>
      <c r="G9" s="168"/>
      <c r="H9" s="169"/>
      <c r="I9" s="167"/>
      <c r="J9" s="168"/>
      <c r="K9" s="168"/>
      <c r="L9" s="169"/>
      <c r="M9" s="167">
        <v>4</v>
      </c>
      <c r="N9" s="168">
        <v>1</v>
      </c>
      <c r="O9" s="168"/>
      <c r="P9" s="170">
        <v>5</v>
      </c>
      <c r="Q9" s="168">
        <v>2</v>
      </c>
      <c r="R9" s="168"/>
      <c r="S9" s="168">
        <v>1</v>
      </c>
      <c r="T9" s="170">
        <v>3</v>
      </c>
      <c r="U9" s="168"/>
      <c r="V9" s="168">
        <v>2</v>
      </c>
      <c r="W9" s="171"/>
      <c r="X9" s="172">
        <v>2</v>
      </c>
      <c r="Y9" s="168">
        <v>6</v>
      </c>
      <c r="Z9" s="168"/>
      <c r="AA9" s="171"/>
      <c r="AB9" s="172">
        <f t="shared" si="0"/>
        <v>6</v>
      </c>
      <c r="AC9" s="168">
        <v>5</v>
      </c>
      <c r="AD9" s="168"/>
      <c r="AE9" s="171"/>
      <c r="AF9" s="172">
        <f t="shared" si="1"/>
        <v>5</v>
      </c>
      <c r="AG9" s="168"/>
      <c r="AH9" s="168"/>
      <c r="AI9" s="171"/>
      <c r="AJ9" s="172">
        <f t="shared" si="2"/>
        <v>0</v>
      </c>
    </row>
    <row r="10" spans="2:36" s="47" customFormat="1" ht="14.25" customHeight="1" x14ac:dyDescent="0.2">
      <c r="B10" s="5583"/>
      <c r="C10" s="5583"/>
      <c r="D10" s="173" t="s">
        <v>234</v>
      </c>
      <c r="E10" s="167"/>
      <c r="F10" s="168"/>
      <c r="G10" s="168"/>
      <c r="H10" s="169"/>
      <c r="I10" s="167"/>
      <c r="J10" s="168"/>
      <c r="K10" s="168"/>
      <c r="L10" s="169"/>
      <c r="M10" s="167"/>
      <c r="N10" s="168"/>
      <c r="O10" s="168"/>
      <c r="P10" s="170"/>
      <c r="Q10" s="168"/>
      <c r="R10" s="168"/>
      <c r="S10" s="168"/>
      <c r="T10" s="170"/>
      <c r="U10" s="168"/>
      <c r="V10" s="168"/>
      <c r="W10" s="151"/>
      <c r="X10" s="152"/>
      <c r="Y10" s="168">
        <v>1</v>
      </c>
      <c r="Z10" s="168">
        <v>1</v>
      </c>
      <c r="AA10" s="151"/>
      <c r="AB10" s="152">
        <f t="shared" si="0"/>
        <v>2</v>
      </c>
      <c r="AC10" s="168">
        <v>1</v>
      </c>
      <c r="AD10" s="168"/>
      <c r="AE10" s="151"/>
      <c r="AF10" s="152">
        <f t="shared" si="1"/>
        <v>1</v>
      </c>
      <c r="AG10" s="168"/>
      <c r="AH10" s="168"/>
      <c r="AI10" s="151"/>
      <c r="AJ10" s="152">
        <f t="shared" si="2"/>
        <v>0</v>
      </c>
    </row>
    <row r="11" spans="2:36" s="47" customFormat="1" ht="15.75" x14ac:dyDescent="0.2">
      <c r="B11" s="5583"/>
      <c r="C11" s="5583"/>
      <c r="D11" s="160" t="s">
        <v>235</v>
      </c>
      <c r="E11" s="167">
        <v>14</v>
      </c>
      <c r="F11" s="168">
        <v>6</v>
      </c>
      <c r="G11" s="168">
        <v>3</v>
      </c>
      <c r="H11" s="169">
        <v>23</v>
      </c>
      <c r="I11" s="167">
        <v>2</v>
      </c>
      <c r="J11" s="168">
        <v>2</v>
      </c>
      <c r="K11" s="168">
        <v>4</v>
      </c>
      <c r="L11" s="169">
        <v>8</v>
      </c>
      <c r="M11" s="167"/>
      <c r="N11" s="168">
        <v>5</v>
      </c>
      <c r="O11" s="168">
        <v>8</v>
      </c>
      <c r="P11" s="170">
        <v>13</v>
      </c>
      <c r="Q11" s="168"/>
      <c r="R11" s="168">
        <v>2</v>
      </c>
      <c r="S11" s="168">
        <v>3</v>
      </c>
      <c r="T11" s="170">
        <v>5</v>
      </c>
      <c r="U11" s="168"/>
      <c r="V11" s="168">
        <v>1</v>
      </c>
      <c r="W11" s="174">
        <v>4</v>
      </c>
      <c r="X11" s="175">
        <v>5</v>
      </c>
      <c r="Y11" s="168"/>
      <c r="Z11" s="168"/>
      <c r="AA11" s="174"/>
      <c r="AB11" s="175">
        <f t="shared" si="0"/>
        <v>0</v>
      </c>
      <c r="AC11" s="168">
        <v>2</v>
      </c>
      <c r="AD11" s="168"/>
      <c r="AE11" s="174"/>
      <c r="AF11" s="175">
        <f t="shared" si="1"/>
        <v>2</v>
      </c>
      <c r="AG11" s="168"/>
      <c r="AH11" s="168"/>
      <c r="AI11" s="174"/>
      <c r="AJ11" s="175">
        <f t="shared" si="2"/>
        <v>0</v>
      </c>
    </row>
    <row r="12" spans="2:36" s="47" customFormat="1" ht="22.5" x14ac:dyDescent="0.2">
      <c r="B12" s="5583"/>
      <c r="C12" s="5584" t="s">
        <v>6</v>
      </c>
      <c r="D12" s="420" t="s">
        <v>236</v>
      </c>
      <c r="E12" s="161">
        <v>6</v>
      </c>
      <c r="F12" s="162"/>
      <c r="G12" s="162">
        <v>2</v>
      </c>
      <c r="H12" s="163">
        <v>8</v>
      </c>
      <c r="I12" s="161"/>
      <c r="J12" s="162">
        <v>1</v>
      </c>
      <c r="K12" s="162">
        <v>8</v>
      </c>
      <c r="L12" s="163">
        <v>9</v>
      </c>
      <c r="M12" s="161"/>
      <c r="N12" s="162"/>
      <c r="O12" s="162">
        <v>8</v>
      </c>
      <c r="P12" s="164">
        <v>8</v>
      </c>
      <c r="Q12" s="162"/>
      <c r="R12" s="162"/>
      <c r="S12" s="162">
        <v>2</v>
      </c>
      <c r="T12" s="164">
        <v>2</v>
      </c>
      <c r="U12" s="162"/>
      <c r="V12" s="162"/>
      <c r="W12" s="165">
        <v>7</v>
      </c>
      <c r="X12" s="166">
        <v>7</v>
      </c>
      <c r="Y12" s="162"/>
      <c r="Z12" s="162">
        <v>1</v>
      </c>
      <c r="AA12" s="165">
        <v>1</v>
      </c>
      <c r="AB12" s="166">
        <f t="shared" si="0"/>
        <v>2</v>
      </c>
      <c r="AC12" s="162"/>
      <c r="AD12" s="162"/>
      <c r="AE12" s="165"/>
      <c r="AF12" s="166">
        <f t="shared" si="1"/>
        <v>0</v>
      </c>
      <c r="AG12" s="162"/>
      <c r="AH12" s="162"/>
      <c r="AI12" s="165"/>
      <c r="AJ12" s="166">
        <f t="shared" si="2"/>
        <v>0</v>
      </c>
    </row>
    <row r="13" spans="2:36" s="47" customFormat="1" ht="22.5" x14ac:dyDescent="0.2">
      <c r="B13" s="5583"/>
      <c r="C13" s="5583"/>
      <c r="D13" s="160" t="s">
        <v>237</v>
      </c>
      <c r="E13" s="167"/>
      <c r="F13" s="168"/>
      <c r="G13" s="168"/>
      <c r="H13" s="169"/>
      <c r="I13" s="167"/>
      <c r="J13" s="168"/>
      <c r="K13" s="168">
        <v>2</v>
      </c>
      <c r="L13" s="169">
        <v>2</v>
      </c>
      <c r="M13" s="167"/>
      <c r="N13" s="168">
        <v>1</v>
      </c>
      <c r="O13" s="168">
        <v>2</v>
      </c>
      <c r="P13" s="170">
        <v>3</v>
      </c>
      <c r="Q13" s="168"/>
      <c r="R13" s="168"/>
      <c r="S13" s="168"/>
      <c r="T13" s="170"/>
      <c r="U13" s="168"/>
      <c r="V13" s="168"/>
      <c r="W13" s="171">
        <v>2</v>
      </c>
      <c r="X13" s="172">
        <v>2</v>
      </c>
      <c r="Y13" s="168">
        <v>4</v>
      </c>
      <c r="Z13" s="168">
        <v>1</v>
      </c>
      <c r="AA13" s="171">
        <v>5</v>
      </c>
      <c r="AB13" s="172">
        <f t="shared" si="0"/>
        <v>10</v>
      </c>
      <c r="AC13" s="168"/>
      <c r="AD13" s="168"/>
      <c r="AE13" s="171"/>
      <c r="AF13" s="172">
        <f t="shared" si="1"/>
        <v>0</v>
      </c>
      <c r="AG13" s="168"/>
      <c r="AH13" s="168"/>
      <c r="AI13" s="171"/>
      <c r="AJ13" s="172">
        <f t="shared" si="2"/>
        <v>0</v>
      </c>
    </row>
    <row r="14" spans="2:36" s="47" customFormat="1" ht="14.25" customHeight="1" x14ac:dyDescent="0.2">
      <c r="B14" s="5583"/>
      <c r="C14" s="5583"/>
      <c r="D14" s="160" t="s">
        <v>238</v>
      </c>
      <c r="E14" s="167"/>
      <c r="F14" s="168"/>
      <c r="G14" s="168"/>
      <c r="H14" s="169"/>
      <c r="I14" s="167"/>
      <c r="J14" s="168"/>
      <c r="K14" s="168"/>
      <c r="L14" s="169"/>
      <c r="M14" s="167"/>
      <c r="N14" s="168"/>
      <c r="O14" s="168"/>
      <c r="P14" s="170"/>
      <c r="Q14" s="168"/>
      <c r="R14" s="168"/>
      <c r="S14" s="168"/>
      <c r="T14" s="170"/>
      <c r="U14" s="168"/>
      <c r="V14" s="168"/>
      <c r="W14" s="151"/>
      <c r="X14" s="152"/>
      <c r="Y14" s="168"/>
      <c r="Z14" s="168"/>
      <c r="AA14" s="151"/>
      <c r="AB14" s="152">
        <f t="shared" si="0"/>
        <v>0</v>
      </c>
      <c r="AC14" s="168"/>
      <c r="AD14" s="168"/>
      <c r="AE14" s="151"/>
      <c r="AF14" s="152">
        <f t="shared" si="1"/>
        <v>0</v>
      </c>
      <c r="AG14" s="168"/>
      <c r="AH14" s="168"/>
      <c r="AI14" s="151"/>
      <c r="AJ14" s="152">
        <f t="shared" si="2"/>
        <v>0</v>
      </c>
    </row>
    <row r="15" spans="2:36" s="47" customFormat="1" ht="14.25" customHeight="1" x14ac:dyDescent="0.2">
      <c r="B15" s="5583"/>
      <c r="C15" s="5583"/>
      <c r="D15" s="160" t="s">
        <v>239</v>
      </c>
      <c r="E15" s="167"/>
      <c r="F15" s="168"/>
      <c r="G15" s="168"/>
      <c r="H15" s="169"/>
      <c r="I15" s="167"/>
      <c r="J15" s="168"/>
      <c r="K15" s="168"/>
      <c r="L15" s="169"/>
      <c r="M15" s="167"/>
      <c r="N15" s="168"/>
      <c r="O15" s="168"/>
      <c r="P15" s="170"/>
      <c r="Q15" s="168"/>
      <c r="R15" s="168"/>
      <c r="S15" s="168"/>
      <c r="T15" s="170"/>
      <c r="U15" s="168"/>
      <c r="V15" s="168"/>
      <c r="W15" s="151"/>
      <c r="X15" s="152"/>
      <c r="Y15" s="168"/>
      <c r="Z15" s="168"/>
      <c r="AA15" s="151"/>
      <c r="AB15" s="152">
        <f t="shared" si="0"/>
        <v>0</v>
      </c>
      <c r="AC15" s="168"/>
      <c r="AD15" s="168"/>
      <c r="AE15" s="151"/>
      <c r="AF15" s="152">
        <f t="shared" si="1"/>
        <v>0</v>
      </c>
      <c r="AG15" s="168"/>
      <c r="AH15" s="168"/>
      <c r="AI15" s="151"/>
      <c r="AJ15" s="152">
        <f t="shared" si="2"/>
        <v>0</v>
      </c>
    </row>
    <row r="16" spans="2:36" s="47" customFormat="1" ht="14.25" customHeight="1" x14ac:dyDescent="0.2">
      <c r="B16" s="5583"/>
      <c r="C16" s="5583"/>
      <c r="D16" s="160" t="s">
        <v>240</v>
      </c>
      <c r="E16" s="167"/>
      <c r="F16" s="168"/>
      <c r="G16" s="168"/>
      <c r="H16" s="169"/>
      <c r="I16" s="167"/>
      <c r="J16" s="168"/>
      <c r="K16" s="168"/>
      <c r="L16" s="169"/>
      <c r="M16" s="167"/>
      <c r="N16" s="168"/>
      <c r="O16" s="168"/>
      <c r="P16" s="170"/>
      <c r="Q16" s="168"/>
      <c r="R16" s="168"/>
      <c r="S16" s="168"/>
      <c r="T16" s="170"/>
      <c r="U16" s="168"/>
      <c r="V16" s="168"/>
      <c r="W16" s="151"/>
      <c r="X16" s="152"/>
      <c r="Y16" s="168"/>
      <c r="Z16" s="168"/>
      <c r="AA16" s="151"/>
      <c r="AB16" s="152">
        <f t="shared" si="0"/>
        <v>0</v>
      </c>
      <c r="AC16" s="168"/>
      <c r="AD16" s="168"/>
      <c r="AE16" s="151"/>
      <c r="AF16" s="152">
        <f t="shared" si="1"/>
        <v>0</v>
      </c>
      <c r="AG16" s="168"/>
      <c r="AH16" s="168"/>
      <c r="AI16" s="151"/>
      <c r="AJ16" s="152">
        <f t="shared" si="2"/>
        <v>0</v>
      </c>
    </row>
    <row r="17" spans="2:36" s="47" customFormat="1" ht="15" x14ac:dyDescent="0.2">
      <c r="B17" s="5583"/>
      <c r="C17" s="5583"/>
      <c r="D17" s="160" t="s">
        <v>241</v>
      </c>
      <c r="E17" s="167">
        <v>3</v>
      </c>
      <c r="F17" s="168">
        <v>1</v>
      </c>
      <c r="G17" s="168">
        <v>1</v>
      </c>
      <c r="H17" s="169">
        <v>5</v>
      </c>
      <c r="I17" s="167"/>
      <c r="J17" s="168"/>
      <c r="K17" s="168">
        <v>14</v>
      </c>
      <c r="L17" s="169">
        <v>14</v>
      </c>
      <c r="M17" s="167">
        <v>1</v>
      </c>
      <c r="N17" s="168"/>
      <c r="O17" s="168">
        <v>2</v>
      </c>
      <c r="P17" s="170">
        <v>3</v>
      </c>
      <c r="Q17" s="168"/>
      <c r="R17" s="168">
        <v>4</v>
      </c>
      <c r="S17" s="168">
        <v>6</v>
      </c>
      <c r="T17" s="170">
        <v>10</v>
      </c>
      <c r="U17" s="168"/>
      <c r="V17" s="168"/>
      <c r="W17" s="171"/>
      <c r="X17" s="172"/>
      <c r="Y17" s="168"/>
      <c r="Z17" s="168"/>
      <c r="AA17" s="171">
        <v>10</v>
      </c>
      <c r="AB17" s="172">
        <f t="shared" si="0"/>
        <v>10</v>
      </c>
      <c r="AC17" s="168"/>
      <c r="AD17" s="168"/>
      <c r="AE17" s="171"/>
      <c r="AF17" s="172">
        <f t="shared" si="1"/>
        <v>0</v>
      </c>
      <c r="AG17" s="168"/>
      <c r="AH17" s="168"/>
      <c r="AI17" s="171"/>
      <c r="AJ17" s="172">
        <f t="shared" si="2"/>
        <v>0</v>
      </c>
    </row>
    <row r="18" spans="2:36" s="47" customFormat="1" ht="14.25" customHeight="1" x14ac:dyDescent="0.2">
      <c r="B18" s="5583"/>
      <c r="C18" s="5583"/>
      <c r="D18" s="173" t="s">
        <v>242</v>
      </c>
      <c r="E18" s="167"/>
      <c r="F18" s="168"/>
      <c r="G18" s="168"/>
      <c r="H18" s="169"/>
      <c r="I18" s="167"/>
      <c r="J18" s="168"/>
      <c r="K18" s="168"/>
      <c r="L18" s="169"/>
      <c r="M18" s="167"/>
      <c r="N18" s="168"/>
      <c r="O18" s="168"/>
      <c r="P18" s="170"/>
      <c r="Q18" s="168"/>
      <c r="R18" s="168"/>
      <c r="S18" s="168"/>
      <c r="T18" s="170"/>
      <c r="U18" s="168"/>
      <c r="V18" s="168"/>
      <c r="W18" s="151"/>
      <c r="X18" s="152"/>
      <c r="Y18" s="168"/>
      <c r="Z18" s="168"/>
      <c r="AA18" s="151"/>
      <c r="AB18" s="152">
        <f t="shared" si="0"/>
        <v>0</v>
      </c>
      <c r="AC18" s="168">
        <v>2</v>
      </c>
      <c r="AD18" s="168"/>
      <c r="AE18" s="151"/>
      <c r="AF18" s="152">
        <f t="shared" si="1"/>
        <v>2</v>
      </c>
      <c r="AG18" s="168"/>
      <c r="AH18" s="168"/>
      <c r="AI18" s="151"/>
      <c r="AJ18" s="152">
        <f t="shared" si="2"/>
        <v>0</v>
      </c>
    </row>
    <row r="19" spans="2:36" s="47" customFormat="1" ht="14.25" customHeight="1" x14ac:dyDescent="0.2">
      <c r="B19" s="5583"/>
      <c r="C19" s="5583"/>
      <c r="D19" s="173" t="s">
        <v>243</v>
      </c>
      <c r="E19" s="167"/>
      <c r="F19" s="168"/>
      <c r="G19" s="168"/>
      <c r="H19" s="169"/>
      <c r="I19" s="167"/>
      <c r="J19" s="168"/>
      <c r="K19" s="168"/>
      <c r="L19" s="169"/>
      <c r="M19" s="167"/>
      <c r="N19" s="168"/>
      <c r="O19" s="168"/>
      <c r="P19" s="170"/>
      <c r="Q19" s="168"/>
      <c r="R19" s="168"/>
      <c r="S19" s="168"/>
      <c r="T19" s="170"/>
      <c r="U19" s="168"/>
      <c r="V19" s="168"/>
      <c r="W19" s="151"/>
      <c r="X19" s="152"/>
      <c r="Y19" s="168"/>
      <c r="Z19" s="168"/>
      <c r="AA19" s="151"/>
      <c r="AB19" s="152">
        <f t="shared" si="0"/>
        <v>0</v>
      </c>
      <c r="AC19" s="168">
        <v>1</v>
      </c>
      <c r="AD19" s="168"/>
      <c r="AE19" s="151"/>
      <c r="AF19" s="152">
        <f t="shared" si="1"/>
        <v>1</v>
      </c>
      <c r="AG19" s="168"/>
      <c r="AH19" s="168"/>
      <c r="AI19" s="151"/>
      <c r="AJ19" s="152">
        <f t="shared" si="2"/>
        <v>0</v>
      </c>
    </row>
    <row r="20" spans="2:36" s="47" customFormat="1" ht="14.25" customHeight="1" x14ac:dyDescent="0.2">
      <c r="B20" s="5583"/>
      <c r="C20" s="5583"/>
      <c r="D20" s="160" t="s">
        <v>244</v>
      </c>
      <c r="E20" s="167"/>
      <c r="F20" s="168"/>
      <c r="G20" s="168"/>
      <c r="H20" s="169"/>
      <c r="I20" s="167"/>
      <c r="J20" s="168"/>
      <c r="K20" s="168"/>
      <c r="L20" s="169"/>
      <c r="M20" s="167"/>
      <c r="N20" s="168"/>
      <c r="O20" s="168"/>
      <c r="P20" s="170"/>
      <c r="Q20" s="168"/>
      <c r="R20" s="168"/>
      <c r="S20" s="168"/>
      <c r="T20" s="170"/>
      <c r="U20" s="168"/>
      <c r="V20" s="168"/>
      <c r="W20" s="151"/>
      <c r="X20" s="152"/>
      <c r="Y20" s="168">
        <v>1</v>
      </c>
      <c r="Z20" s="168"/>
      <c r="AA20" s="151"/>
      <c r="AB20" s="152">
        <f t="shared" si="0"/>
        <v>1</v>
      </c>
      <c r="AC20" s="168"/>
      <c r="AD20" s="168"/>
      <c r="AE20" s="151"/>
      <c r="AF20" s="152">
        <f t="shared" si="1"/>
        <v>0</v>
      </c>
      <c r="AG20" s="168"/>
      <c r="AH20" s="168"/>
      <c r="AI20" s="151"/>
      <c r="AJ20" s="152">
        <f t="shared" si="2"/>
        <v>0</v>
      </c>
    </row>
    <row r="21" spans="2:36" s="47" customFormat="1" ht="15" x14ac:dyDescent="0.2">
      <c r="B21" s="5583"/>
      <c r="C21" s="5583"/>
      <c r="D21" s="160" t="s">
        <v>245</v>
      </c>
      <c r="E21" s="167"/>
      <c r="F21" s="168"/>
      <c r="G21" s="168"/>
      <c r="H21" s="169"/>
      <c r="I21" s="167"/>
      <c r="J21" s="168"/>
      <c r="K21" s="168"/>
      <c r="L21" s="169"/>
      <c r="M21" s="167"/>
      <c r="N21" s="168"/>
      <c r="O21" s="168">
        <v>1</v>
      </c>
      <c r="P21" s="170">
        <v>1</v>
      </c>
      <c r="Q21" s="168"/>
      <c r="R21" s="168"/>
      <c r="S21" s="168"/>
      <c r="T21" s="170"/>
      <c r="U21" s="168"/>
      <c r="V21" s="168"/>
      <c r="W21" s="171"/>
      <c r="X21" s="172"/>
      <c r="Y21" s="168"/>
      <c r="Z21" s="168"/>
      <c r="AA21" s="171"/>
      <c r="AB21" s="172">
        <f t="shared" si="0"/>
        <v>0</v>
      </c>
      <c r="AC21" s="168"/>
      <c r="AD21" s="168"/>
      <c r="AE21" s="171"/>
      <c r="AF21" s="172">
        <f t="shared" si="1"/>
        <v>0</v>
      </c>
      <c r="AG21" s="168"/>
      <c r="AH21" s="168"/>
      <c r="AI21" s="171"/>
      <c r="AJ21" s="172">
        <f t="shared" si="2"/>
        <v>0</v>
      </c>
    </row>
    <row r="22" spans="2:36" s="47" customFormat="1" ht="22.5" x14ac:dyDescent="0.2">
      <c r="B22" s="5583"/>
      <c r="C22" s="5583"/>
      <c r="D22" s="160" t="s">
        <v>246</v>
      </c>
      <c r="E22" s="167">
        <v>5</v>
      </c>
      <c r="F22" s="168">
        <v>1</v>
      </c>
      <c r="G22" s="168">
        <v>2</v>
      </c>
      <c r="H22" s="169">
        <v>8</v>
      </c>
      <c r="I22" s="167"/>
      <c r="J22" s="168">
        <v>1</v>
      </c>
      <c r="K22" s="168">
        <v>1</v>
      </c>
      <c r="L22" s="169">
        <v>2</v>
      </c>
      <c r="M22" s="167"/>
      <c r="N22" s="168"/>
      <c r="O22" s="168"/>
      <c r="P22" s="170"/>
      <c r="Q22" s="168">
        <v>3</v>
      </c>
      <c r="R22" s="168"/>
      <c r="S22" s="168"/>
      <c r="T22" s="170">
        <v>3</v>
      </c>
      <c r="U22" s="168">
        <v>1</v>
      </c>
      <c r="V22" s="168"/>
      <c r="W22" s="171"/>
      <c r="X22" s="172">
        <v>1</v>
      </c>
      <c r="Y22" s="168">
        <v>2</v>
      </c>
      <c r="Z22" s="168">
        <v>1</v>
      </c>
      <c r="AA22" s="171">
        <v>1</v>
      </c>
      <c r="AB22" s="172">
        <f t="shared" si="0"/>
        <v>4</v>
      </c>
      <c r="AC22" s="168">
        <v>2</v>
      </c>
      <c r="AD22" s="168"/>
      <c r="AE22" s="171"/>
      <c r="AF22" s="172">
        <f t="shared" si="1"/>
        <v>2</v>
      </c>
      <c r="AG22" s="168"/>
      <c r="AH22" s="168"/>
      <c r="AI22" s="171"/>
      <c r="AJ22" s="172">
        <f t="shared" si="2"/>
        <v>0</v>
      </c>
    </row>
    <row r="23" spans="2:36" s="47" customFormat="1" ht="22.5" x14ac:dyDescent="0.2">
      <c r="B23" s="5583"/>
      <c r="C23" s="5585"/>
      <c r="D23" s="421" t="s">
        <v>247</v>
      </c>
      <c r="E23" s="422">
        <v>2</v>
      </c>
      <c r="F23" s="423"/>
      <c r="G23" s="423"/>
      <c r="H23" s="424">
        <v>2</v>
      </c>
      <c r="I23" s="422">
        <v>5</v>
      </c>
      <c r="J23" s="423"/>
      <c r="K23" s="423"/>
      <c r="L23" s="424">
        <v>5</v>
      </c>
      <c r="M23" s="422"/>
      <c r="N23" s="423"/>
      <c r="O23" s="423">
        <v>2</v>
      </c>
      <c r="P23" s="425">
        <v>2</v>
      </c>
      <c r="Q23" s="423"/>
      <c r="R23" s="423"/>
      <c r="S23" s="423"/>
      <c r="T23" s="425"/>
      <c r="U23" s="423"/>
      <c r="V23" s="423"/>
      <c r="W23" s="426"/>
      <c r="X23" s="427"/>
      <c r="Y23" s="423">
        <v>6</v>
      </c>
      <c r="Z23" s="423"/>
      <c r="AA23" s="426"/>
      <c r="AB23" s="427">
        <f t="shared" si="0"/>
        <v>6</v>
      </c>
      <c r="AC23" s="423"/>
      <c r="AD23" s="423"/>
      <c r="AE23" s="426"/>
      <c r="AF23" s="427">
        <f t="shared" si="1"/>
        <v>0</v>
      </c>
      <c r="AG23" s="423"/>
      <c r="AH23" s="423"/>
      <c r="AI23" s="426"/>
      <c r="AJ23" s="427">
        <f t="shared" si="2"/>
        <v>0</v>
      </c>
    </row>
    <row r="24" spans="2:36" s="47" customFormat="1" ht="14.25" customHeight="1" x14ac:dyDescent="0.2">
      <c r="B24" s="5583"/>
      <c r="C24" s="5583" t="s">
        <v>7</v>
      </c>
      <c r="D24" s="160" t="s">
        <v>313</v>
      </c>
      <c r="E24" s="167">
        <v>10</v>
      </c>
      <c r="F24" s="168"/>
      <c r="G24" s="168"/>
      <c r="H24" s="169">
        <v>10</v>
      </c>
      <c r="I24" s="167"/>
      <c r="J24" s="168"/>
      <c r="K24" s="168"/>
      <c r="L24" s="169"/>
      <c r="M24" s="167"/>
      <c r="N24" s="168"/>
      <c r="O24" s="168"/>
      <c r="P24" s="170"/>
      <c r="Q24" s="168"/>
      <c r="R24" s="168"/>
      <c r="S24" s="168"/>
      <c r="T24" s="170"/>
      <c r="U24" s="168"/>
      <c r="V24" s="168"/>
      <c r="W24" s="168"/>
      <c r="X24" s="170"/>
      <c r="Y24" s="168"/>
      <c r="Z24" s="168"/>
      <c r="AA24" s="168"/>
      <c r="AB24" s="170">
        <f t="shared" si="0"/>
        <v>0</v>
      </c>
      <c r="AC24" s="168"/>
      <c r="AD24" s="168"/>
      <c r="AE24" s="168"/>
      <c r="AF24" s="170">
        <f t="shared" si="1"/>
        <v>0</v>
      </c>
      <c r="AG24" s="168"/>
      <c r="AH24" s="168"/>
      <c r="AI24" s="168"/>
      <c r="AJ24" s="170">
        <f t="shared" si="2"/>
        <v>0</v>
      </c>
    </row>
    <row r="25" spans="2:36" s="47" customFormat="1" ht="14.25" customHeight="1" x14ac:dyDescent="0.2">
      <c r="B25" s="5583"/>
      <c r="C25" s="5583"/>
      <c r="D25" s="160" t="s">
        <v>248</v>
      </c>
      <c r="E25" s="167">
        <v>11</v>
      </c>
      <c r="F25" s="168">
        <v>2</v>
      </c>
      <c r="G25" s="168">
        <v>11</v>
      </c>
      <c r="H25" s="169">
        <v>24</v>
      </c>
      <c r="I25" s="167"/>
      <c r="J25" s="168"/>
      <c r="K25" s="168">
        <v>17</v>
      </c>
      <c r="L25" s="169">
        <v>17</v>
      </c>
      <c r="M25" s="167"/>
      <c r="N25" s="168"/>
      <c r="O25" s="168">
        <v>4</v>
      </c>
      <c r="P25" s="170">
        <v>4</v>
      </c>
      <c r="Q25" s="168"/>
      <c r="R25" s="168">
        <v>3</v>
      </c>
      <c r="S25" s="168">
        <v>13</v>
      </c>
      <c r="T25" s="170">
        <v>16</v>
      </c>
      <c r="U25" s="168"/>
      <c r="V25" s="168"/>
      <c r="W25" s="168">
        <v>8</v>
      </c>
      <c r="X25" s="170">
        <v>8</v>
      </c>
      <c r="Y25" s="168"/>
      <c r="Z25" s="168">
        <v>1</v>
      </c>
      <c r="AA25" s="168">
        <v>21</v>
      </c>
      <c r="AB25" s="170">
        <f t="shared" si="0"/>
        <v>22</v>
      </c>
      <c r="AC25" s="168"/>
      <c r="AD25" s="168"/>
      <c r="AE25" s="168"/>
      <c r="AF25" s="170">
        <f t="shared" si="1"/>
        <v>0</v>
      </c>
      <c r="AG25" s="168"/>
      <c r="AH25" s="168"/>
      <c r="AI25" s="168"/>
      <c r="AJ25" s="170">
        <f t="shared" si="2"/>
        <v>0</v>
      </c>
    </row>
    <row r="26" spans="2:36" s="47" customFormat="1" ht="14.25" customHeight="1" x14ac:dyDescent="0.2">
      <c r="B26" s="5583"/>
      <c r="C26" s="5583"/>
      <c r="D26" s="160" t="s">
        <v>249</v>
      </c>
      <c r="E26" s="167">
        <v>8</v>
      </c>
      <c r="F26" s="168">
        <v>7</v>
      </c>
      <c r="G26" s="168">
        <v>2</v>
      </c>
      <c r="H26" s="169">
        <v>17</v>
      </c>
      <c r="I26" s="167"/>
      <c r="J26" s="168"/>
      <c r="K26" s="168">
        <v>13</v>
      </c>
      <c r="L26" s="169">
        <v>13</v>
      </c>
      <c r="M26" s="167"/>
      <c r="N26" s="168"/>
      <c r="O26" s="168">
        <v>4</v>
      </c>
      <c r="P26" s="170">
        <v>4</v>
      </c>
      <c r="Q26" s="168">
        <v>1</v>
      </c>
      <c r="R26" s="168">
        <v>11</v>
      </c>
      <c r="S26" s="168">
        <v>1</v>
      </c>
      <c r="T26" s="170">
        <v>13</v>
      </c>
      <c r="U26" s="168"/>
      <c r="V26" s="168">
        <v>3</v>
      </c>
      <c r="W26" s="168">
        <v>2</v>
      </c>
      <c r="X26" s="170">
        <v>5</v>
      </c>
      <c r="Y26" s="168">
        <v>2</v>
      </c>
      <c r="Z26" s="168"/>
      <c r="AA26" s="168">
        <v>18</v>
      </c>
      <c r="AB26" s="170">
        <f t="shared" si="0"/>
        <v>20</v>
      </c>
      <c r="AC26" s="168"/>
      <c r="AD26" s="168"/>
      <c r="AE26" s="168"/>
      <c r="AF26" s="170">
        <f t="shared" si="1"/>
        <v>0</v>
      </c>
      <c r="AG26" s="168"/>
      <c r="AH26" s="168"/>
      <c r="AI26" s="168"/>
      <c r="AJ26" s="170">
        <f t="shared" si="2"/>
        <v>0</v>
      </c>
    </row>
    <row r="27" spans="2:36" s="47" customFormat="1" ht="14.25" customHeight="1" x14ac:dyDescent="0.2">
      <c r="B27" s="5583"/>
      <c r="C27" s="5583"/>
      <c r="D27" s="160" t="s">
        <v>250</v>
      </c>
      <c r="E27" s="167"/>
      <c r="F27" s="168"/>
      <c r="G27" s="168">
        <v>9</v>
      </c>
      <c r="H27" s="169">
        <v>9</v>
      </c>
      <c r="I27" s="167"/>
      <c r="J27" s="168">
        <v>1</v>
      </c>
      <c r="K27" s="168"/>
      <c r="L27" s="169">
        <v>1</v>
      </c>
      <c r="M27" s="167"/>
      <c r="N27" s="168"/>
      <c r="O27" s="168">
        <v>4</v>
      </c>
      <c r="P27" s="170">
        <v>4</v>
      </c>
      <c r="Q27" s="168"/>
      <c r="R27" s="168"/>
      <c r="S27" s="168">
        <v>3</v>
      </c>
      <c r="T27" s="170">
        <v>3</v>
      </c>
      <c r="U27" s="168"/>
      <c r="V27" s="168"/>
      <c r="W27" s="168"/>
      <c r="X27" s="170"/>
      <c r="Y27" s="168"/>
      <c r="Z27" s="168"/>
      <c r="AA27" s="168"/>
      <c r="AB27" s="170">
        <f t="shared" si="0"/>
        <v>0</v>
      </c>
      <c r="AC27" s="168"/>
      <c r="AD27" s="168"/>
      <c r="AE27" s="168"/>
      <c r="AF27" s="170">
        <f t="shared" si="1"/>
        <v>0</v>
      </c>
      <c r="AG27" s="168"/>
      <c r="AH27" s="168"/>
      <c r="AI27" s="168"/>
      <c r="AJ27" s="170">
        <f t="shared" si="2"/>
        <v>0</v>
      </c>
    </row>
    <row r="28" spans="2:36" s="47" customFormat="1" ht="14.25" customHeight="1" x14ac:dyDescent="0.2">
      <c r="B28" s="5585"/>
      <c r="C28" s="5583"/>
      <c r="D28" s="160" t="s">
        <v>314</v>
      </c>
      <c r="E28" s="167">
        <v>1</v>
      </c>
      <c r="F28" s="168"/>
      <c r="G28" s="168"/>
      <c r="H28" s="169">
        <v>1</v>
      </c>
      <c r="I28" s="167"/>
      <c r="J28" s="168"/>
      <c r="K28" s="168"/>
      <c r="L28" s="169"/>
      <c r="M28" s="167"/>
      <c r="N28" s="168"/>
      <c r="O28" s="168"/>
      <c r="P28" s="170"/>
      <c r="Q28" s="168"/>
      <c r="R28" s="168"/>
      <c r="S28" s="168"/>
      <c r="T28" s="170"/>
      <c r="U28" s="168"/>
      <c r="V28" s="168"/>
      <c r="W28" s="168"/>
      <c r="X28" s="170"/>
      <c r="Y28" s="168"/>
      <c r="Z28" s="168"/>
      <c r="AA28" s="168"/>
      <c r="AB28" s="170">
        <f t="shared" si="0"/>
        <v>0</v>
      </c>
      <c r="AC28" s="168"/>
      <c r="AD28" s="168"/>
      <c r="AE28" s="168"/>
      <c r="AF28" s="170">
        <f t="shared" si="1"/>
        <v>0</v>
      </c>
      <c r="AG28" s="168"/>
      <c r="AH28" s="168"/>
      <c r="AI28" s="168"/>
      <c r="AJ28" s="170">
        <f t="shared" si="2"/>
        <v>0</v>
      </c>
    </row>
    <row r="29" spans="2:36" s="47" customFormat="1" ht="14.25" customHeight="1" x14ac:dyDescent="0.2">
      <c r="B29" s="5584" t="s">
        <v>447</v>
      </c>
      <c r="C29" s="5584" t="s">
        <v>5</v>
      </c>
      <c r="D29" s="428" t="s">
        <v>251</v>
      </c>
      <c r="E29" s="161">
        <v>2</v>
      </c>
      <c r="F29" s="162"/>
      <c r="G29" s="162">
        <v>2</v>
      </c>
      <c r="H29" s="163">
        <v>4</v>
      </c>
      <c r="I29" s="161"/>
      <c r="J29" s="162"/>
      <c r="K29" s="162"/>
      <c r="L29" s="163"/>
      <c r="M29" s="161">
        <v>2</v>
      </c>
      <c r="N29" s="162">
        <v>1</v>
      </c>
      <c r="O29" s="162"/>
      <c r="P29" s="164">
        <v>3</v>
      </c>
      <c r="Q29" s="162">
        <v>2</v>
      </c>
      <c r="R29" s="162">
        <v>1</v>
      </c>
      <c r="S29" s="162">
        <v>2</v>
      </c>
      <c r="T29" s="164">
        <v>5</v>
      </c>
      <c r="U29" s="162"/>
      <c r="V29" s="162"/>
      <c r="W29" s="162"/>
      <c r="X29" s="164"/>
      <c r="Y29" s="162"/>
      <c r="Z29" s="162"/>
      <c r="AA29" s="162"/>
      <c r="AB29" s="164">
        <f t="shared" si="0"/>
        <v>0</v>
      </c>
      <c r="AC29" s="162"/>
      <c r="AD29" s="162"/>
      <c r="AE29" s="162">
        <v>1</v>
      </c>
      <c r="AF29" s="164">
        <f t="shared" si="1"/>
        <v>1</v>
      </c>
      <c r="AG29" s="162"/>
      <c r="AH29" s="162"/>
      <c r="AI29" s="162"/>
      <c r="AJ29" s="164">
        <f t="shared" si="2"/>
        <v>0</v>
      </c>
    </row>
    <row r="30" spans="2:36" s="47" customFormat="1" ht="14.25" customHeight="1" x14ac:dyDescent="0.2">
      <c r="B30" s="5583"/>
      <c r="C30" s="5583"/>
      <c r="D30" s="173" t="s">
        <v>252</v>
      </c>
      <c r="E30" s="167">
        <v>1</v>
      </c>
      <c r="F30" s="168"/>
      <c r="G30" s="168"/>
      <c r="H30" s="169">
        <v>1</v>
      </c>
      <c r="I30" s="167"/>
      <c r="J30" s="168"/>
      <c r="K30" s="168"/>
      <c r="L30" s="169"/>
      <c r="M30" s="167"/>
      <c r="N30" s="168">
        <v>1</v>
      </c>
      <c r="O30" s="168"/>
      <c r="P30" s="170">
        <v>1</v>
      </c>
      <c r="Q30" s="168"/>
      <c r="R30" s="168"/>
      <c r="S30" s="168"/>
      <c r="T30" s="170"/>
      <c r="U30" s="168"/>
      <c r="V30" s="168"/>
      <c r="W30" s="168"/>
      <c r="X30" s="170"/>
      <c r="Y30" s="168">
        <v>1</v>
      </c>
      <c r="Z30" s="168"/>
      <c r="AA30" s="168">
        <v>2</v>
      </c>
      <c r="AB30" s="170">
        <f t="shared" si="0"/>
        <v>3</v>
      </c>
      <c r="AC30" s="168"/>
      <c r="AD30" s="168"/>
      <c r="AE30" s="168">
        <v>1</v>
      </c>
      <c r="AF30" s="170">
        <f t="shared" si="1"/>
        <v>1</v>
      </c>
      <c r="AG30" s="168"/>
      <c r="AH30" s="168"/>
      <c r="AI30" s="168"/>
      <c r="AJ30" s="170">
        <f t="shared" si="2"/>
        <v>0</v>
      </c>
    </row>
    <row r="31" spans="2:36" s="47" customFormat="1" ht="14.25" customHeight="1" x14ac:dyDescent="0.2">
      <c r="B31" s="5583"/>
      <c r="C31" s="5583"/>
      <c r="D31" s="173" t="s">
        <v>303</v>
      </c>
      <c r="E31" s="167"/>
      <c r="F31" s="168">
        <v>1</v>
      </c>
      <c r="G31" s="168">
        <v>3</v>
      </c>
      <c r="H31" s="169">
        <v>4</v>
      </c>
      <c r="I31" s="167">
        <v>4</v>
      </c>
      <c r="J31" s="168">
        <v>2</v>
      </c>
      <c r="K31" s="168">
        <v>4</v>
      </c>
      <c r="L31" s="169">
        <v>10</v>
      </c>
      <c r="M31" s="167">
        <v>1</v>
      </c>
      <c r="N31" s="168"/>
      <c r="O31" s="168">
        <v>1</v>
      </c>
      <c r="P31" s="170">
        <v>2</v>
      </c>
      <c r="Q31" s="168">
        <v>2</v>
      </c>
      <c r="R31" s="168"/>
      <c r="S31" s="168">
        <v>3</v>
      </c>
      <c r="T31" s="170">
        <v>5</v>
      </c>
      <c r="U31" s="168"/>
      <c r="V31" s="168">
        <v>1</v>
      </c>
      <c r="W31" s="168">
        <v>2</v>
      </c>
      <c r="X31" s="170">
        <v>3</v>
      </c>
      <c r="Y31" s="168"/>
      <c r="Z31" s="168"/>
      <c r="AA31" s="168">
        <v>5</v>
      </c>
      <c r="AB31" s="170">
        <f t="shared" si="0"/>
        <v>5</v>
      </c>
      <c r="AC31" s="168">
        <v>3</v>
      </c>
      <c r="AD31" s="168">
        <v>1</v>
      </c>
      <c r="AE31" s="168">
        <v>9</v>
      </c>
      <c r="AF31" s="170">
        <f t="shared" si="1"/>
        <v>13</v>
      </c>
      <c r="AG31" s="168"/>
      <c r="AH31" s="168"/>
      <c r="AI31" s="168"/>
      <c r="AJ31" s="170">
        <f t="shared" si="2"/>
        <v>0</v>
      </c>
    </row>
    <row r="32" spans="2:36" s="47" customFormat="1" ht="14.25" customHeight="1" x14ac:dyDescent="0.2">
      <c r="B32" s="5583"/>
      <c r="C32" s="5583"/>
      <c r="D32" s="173" t="s">
        <v>253</v>
      </c>
      <c r="E32" s="167"/>
      <c r="F32" s="168"/>
      <c r="G32" s="168"/>
      <c r="H32" s="169"/>
      <c r="I32" s="167"/>
      <c r="J32" s="168"/>
      <c r="K32" s="168"/>
      <c r="L32" s="169"/>
      <c r="M32" s="167"/>
      <c r="N32" s="168">
        <v>1</v>
      </c>
      <c r="O32" s="168"/>
      <c r="P32" s="170">
        <v>1</v>
      </c>
      <c r="Q32" s="168"/>
      <c r="R32" s="168"/>
      <c r="S32" s="168"/>
      <c r="T32" s="170"/>
      <c r="U32" s="168">
        <v>1</v>
      </c>
      <c r="V32" s="168"/>
      <c r="W32" s="168">
        <v>1</v>
      </c>
      <c r="X32" s="170">
        <v>2</v>
      </c>
      <c r="Y32" s="168"/>
      <c r="Z32" s="168"/>
      <c r="AA32" s="168"/>
      <c r="AB32" s="170">
        <f t="shared" si="0"/>
        <v>0</v>
      </c>
      <c r="AC32" s="168">
        <v>1</v>
      </c>
      <c r="AD32" s="168"/>
      <c r="AE32" s="168"/>
      <c r="AF32" s="170">
        <f t="shared" si="1"/>
        <v>1</v>
      </c>
      <c r="AG32" s="168"/>
      <c r="AH32" s="168"/>
      <c r="AI32" s="168"/>
      <c r="AJ32" s="170">
        <f t="shared" si="2"/>
        <v>0</v>
      </c>
    </row>
    <row r="33" spans="2:36" s="47" customFormat="1" ht="14.25" customHeight="1" x14ac:dyDescent="0.2">
      <c r="B33" s="5583"/>
      <c r="C33" s="5583"/>
      <c r="D33" s="173" t="s">
        <v>254</v>
      </c>
      <c r="E33" s="167">
        <v>3</v>
      </c>
      <c r="F33" s="168">
        <v>2</v>
      </c>
      <c r="G33" s="168">
        <v>2</v>
      </c>
      <c r="H33" s="169">
        <v>7</v>
      </c>
      <c r="I33" s="167">
        <v>1</v>
      </c>
      <c r="J33" s="168"/>
      <c r="K33" s="168">
        <v>3</v>
      </c>
      <c r="L33" s="169">
        <v>4</v>
      </c>
      <c r="M33" s="167">
        <v>2</v>
      </c>
      <c r="N33" s="168"/>
      <c r="O33" s="168"/>
      <c r="P33" s="170">
        <v>2</v>
      </c>
      <c r="Q33" s="168"/>
      <c r="R33" s="168"/>
      <c r="S33" s="168"/>
      <c r="T33" s="170"/>
      <c r="U33" s="168"/>
      <c r="V33" s="168"/>
      <c r="W33" s="168">
        <v>1</v>
      </c>
      <c r="X33" s="170">
        <v>1</v>
      </c>
      <c r="Y33" s="168">
        <v>1</v>
      </c>
      <c r="Z33" s="168"/>
      <c r="AA33" s="168">
        <v>1</v>
      </c>
      <c r="AB33" s="170">
        <f t="shared" si="0"/>
        <v>2</v>
      </c>
      <c r="AC33" s="168">
        <v>2</v>
      </c>
      <c r="AD33" s="168">
        <v>1</v>
      </c>
      <c r="AE33" s="168"/>
      <c r="AF33" s="170">
        <f t="shared" si="1"/>
        <v>3</v>
      </c>
      <c r="AG33" s="168"/>
      <c r="AH33" s="168"/>
      <c r="AI33" s="168"/>
      <c r="AJ33" s="170">
        <f t="shared" si="2"/>
        <v>0</v>
      </c>
    </row>
    <row r="34" spans="2:36" s="47" customFormat="1" ht="14.25" customHeight="1" x14ac:dyDescent="0.2">
      <c r="B34" s="5583"/>
      <c r="C34" s="5583"/>
      <c r="D34" s="173" t="s">
        <v>255</v>
      </c>
      <c r="E34" s="167">
        <v>1</v>
      </c>
      <c r="F34" s="168"/>
      <c r="G34" s="168"/>
      <c r="H34" s="169">
        <v>1</v>
      </c>
      <c r="I34" s="167"/>
      <c r="J34" s="168"/>
      <c r="K34" s="168"/>
      <c r="L34" s="169"/>
      <c r="M34" s="167"/>
      <c r="N34" s="168"/>
      <c r="O34" s="168"/>
      <c r="P34" s="170"/>
      <c r="Q34" s="168"/>
      <c r="R34" s="168"/>
      <c r="S34" s="168">
        <v>1</v>
      </c>
      <c r="T34" s="170">
        <v>1</v>
      </c>
      <c r="U34" s="168"/>
      <c r="V34" s="168"/>
      <c r="W34" s="168">
        <v>2</v>
      </c>
      <c r="X34" s="170">
        <v>2</v>
      </c>
      <c r="Y34" s="168">
        <v>6</v>
      </c>
      <c r="Z34" s="168">
        <v>2</v>
      </c>
      <c r="AA34" s="168">
        <v>6</v>
      </c>
      <c r="AB34" s="170">
        <f t="shared" si="0"/>
        <v>14</v>
      </c>
      <c r="AC34" s="168"/>
      <c r="AD34" s="168"/>
      <c r="AE34" s="168">
        <v>1</v>
      </c>
      <c r="AF34" s="170">
        <f t="shared" si="1"/>
        <v>1</v>
      </c>
      <c r="AG34" s="168"/>
      <c r="AH34" s="168"/>
      <c r="AI34" s="168"/>
      <c r="AJ34" s="170">
        <f t="shared" si="2"/>
        <v>0</v>
      </c>
    </row>
    <row r="35" spans="2:36" s="47" customFormat="1" ht="14.25" customHeight="1" x14ac:dyDescent="0.2">
      <c r="B35" s="5583"/>
      <c r="C35" s="5583"/>
      <c r="D35" s="173" t="s">
        <v>256</v>
      </c>
      <c r="E35" s="167"/>
      <c r="F35" s="168"/>
      <c r="G35" s="168">
        <v>2</v>
      </c>
      <c r="H35" s="169">
        <v>2</v>
      </c>
      <c r="I35" s="167"/>
      <c r="J35" s="168"/>
      <c r="K35" s="168">
        <v>2</v>
      </c>
      <c r="L35" s="169">
        <v>2</v>
      </c>
      <c r="M35" s="167"/>
      <c r="N35" s="168"/>
      <c r="O35" s="168">
        <v>3</v>
      </c>
      <c r="P35" s="170">
        <v>3</v>
      </c>
      <c r="Q35" s="168"/>
      <c r="R35" s="168"/>
      <c r="S35" s="168">
        <v>2</v>
      </c>
      <c r="T35" s="170">
        <v>2</v>
      </c>
      <c r="U35" s="168">
        <v>1</v>
      </c>
      <c r="V35" s="168"/>
      <c r="W35" s="168">
        <v>3</v>
      </c>
      <c r="X35" s="170">
        <v>4</v>
      </c>
      <c r="Y35" s="168"/>
      <c r="Z35" s="168"/>
      <c r="AA35" s="168">
        <v>3</v>
      </c>
      <c r="AB35" s="170">
        <f t="shared" si="0"/>
        <v>3</v>
      </c>
      <c r="AC35" s="168"/>
      <c r="AD35" s="168"/>
      <c r="AE35" s="168">
        <v>1</v>
      </c>
      <c r="AF35" s="170">
        <f t="shared" si="1"/>
        <v>1</v>
      </c>
      <c r="AG35" s="168"/>
      <c r="AH35" s="168"/>
      <c r="AI35" s="168"/>
      <c r="AJ35" s="170">
        <f t="shared" si="2"/>
        <v>0</v>
      </c>
    </row>
    <row r="36" spans="2:36" s="47" customFormat="1" ht="14.25" customHeight="1" x14ac:dyDescent="0.2">
      <c r="B36" s="5583"/>
      <c r="C36" s="5583"/>
      <c r="D36" s="173" t="s">
        <v>257</v>
      </c>
      <c r="E36" s="167"/>
      <c r="F36" s="168"/>
      <c r="G36" s="168"/>
      <c r="H36" s="169"/>
      <c r="I36" s="167"/>
      <c r="J36" s="168"/>
      <c r="K36" s="168"/>
      <c r="L36" s="169"/>
      <c r="M36" s="167"/>
      <c r="N36" s="168"/>
      <c r="O36" s="168"/>
      <c r="P36" s="170"/>
      <c r="Q36" s="168"/>
      <c r="R36" s="168"/>
      <c r="S36" s="168"/>
      <c r="T36" s="170"/>
      <c r="U36" s="168"/>
      <c r="V36" s="168"/>
      <c r="W36" s="168">
        <v>2</v>
      </c>
      <c r="X36" s="170">
        <v>2</v>
      </c>
      <c r="Y36" s="168">
        <v>1</v>
      </c>
      <c r="Z36" s="168"/>
      <c r="AA36" s="168">
        <v>2</v>
      </c>
      <c r="AB36" s="170">
        <f t="shared" si="0"/>
        <v>3</v>
      </c>
      <c r="AC36" s="168"/>
      <c r="AD36" s="168"/>
      <c r="AE36" s="168">
        <v>3</v>
      </c>
      <c r="AF36" s="170">
        <f t="shared" si="1"/>
        <v>3</v>
      </c>
      <c r="AG36" s="168"/>
      <c r="AH36" s="168"/>
      <c r="AI36" s="168"/>
      <c r="AJ36" s="170">
        <f t="shared" si="2"/>
        <v>0</v>
      </c>
    </row>
    <row r="37" spans="2:36" s="47" customFormat="1" ht="14.25" customHeight="1" x14ac:dyDescent="0.2">
      <c r="B37" s="5583"/>
      <c r="C37" s="5583"/>
      <c r="D37" s="173" t="s">
        <v>258</v>
      </c>
      <c r="E37" s="167"/>
      <c r="F37" s="168">
        <v>1</v>
      </c>
      <c r="G37" s="168">
        <v>2</v>
      </c>
      <c r="H37" s="169">
        <v>3</v>
      </c>
      <c r="I37" s="167"/>
      <c r="J37" s="168">
        <v>3</v>
      </c>
      <c r="K37" s="168"/>
      <c r="L37" s="169">
        <v>3</v>
      </c>
      <c r="M37" s="167">
        <v>1</v>
      </c>
      <c r="N37" s="168"/>
      <c r="O37" s="168">
        <v>1</v>
      </c>
      <c r="P37" s="170">
        <v>2</v>
      </c>
      <c r="Q37" s="168">
        <v>2</v>
      </c>
      <c r="R37" s="168">
        <v>1</v>
      </c>
      <c r="S37" s="168">
        <v>1</v>
      </c>
      <c r="T37" s="170">
        <v>4</v>
      </c>
      <c r="U37" s="168"/>
      <c r="V37" s="168">
        <v>4</v>
      </c>
      <c r="W37" s="168">
        <v>2</v>
      </c>
      <c r="X37" s="170">
        <v>6</v>
      </c>
      <c r="Y37" s="168">
        <v>1</v>
      </c>
      <c r="Z37" s="168">
        <v>4</v>
      </c>
      <c r="AA37" s="168">
        <v>1</v>
      </c>
      <c r="AB37" s="170">
        <f t="shared" si="0"/>
        <v>6</v>
      </c>
      <c r="AC37" s="168">
        <v>1</v>
      </c>
      <c r="AD37" s="168"/>
      <c r="AE37" s="168">
        <v>7</v>
      </c>
      <c r="AF37" s="170">
        <f t="shared" si="1"/>
        <v>8</v>
      </c>
      <c r="AG37" s="168"/>
      <c r="AH37" s="168"/>
      <c r="AI37" s="168"/>
      <c r="AJ37" s="170">
        <f t="shared" si="2"/>
        <v>0</v>
      </c>
    </row>
    <row r="38" spans="2:36" s="47" customFormat="1" ht="14.25" customHeight="1" x14ac:dyDescent="0.2">
      <c r="B38" s="5583"/>
      <c r="C38" s="5583"/>
      <c r="D38" s="173" t="s">
        <v>259</v>
      </c>
      <c r="E38" s="167"/>
      <c r="F38" s="168"/>
      <c r="G38" s="168"/>
      <c r="H38" s="169"/>
      <c r="I38" s="167"/>
      <c r="J38" s="168"/>
      <c r="K38" s="168"/>
      <c r="L38" s="169"/>
      <c r="M38" s="167"/>
      <c r="N38" s="168"/>
      <c r="O38" s="168"/>
      <c r="P38" s="170"/>
      <c r="Q38" s="168"/>
      <c r="R38" s="168"/>
      <c r="S38" s="168"/>
      <c r="T38" s="170"/>
      <c r="U38" s="168"/>
      <c r="V38" s="168">
        <v>1</v>
      </c>
      <c r="W38" s="168">
        <v>1</v>
      </c>
      <c r="X38" s="170">
        <v>2</v>
      </c>
      <c r="Y38" s="168"/>
      <c r="Z38" s="168"/>
      <c r="AA38" s="168">
        <v>2</v>
      </c>
      <c r="AB38" s="170">
        <f t="shared" si="0"/>
        <v>2</v>
      </c>
      <c r="AC38" s="168"/>
      <c r="AD38" s="168"/>
      <c r="AE38" s="168"/>
      <c r="AF38" s="170">
        <f t="shared" si="1"/>
        <v>0</v>
      </c>
      <c r="AG38" s="168"/>
      <c r="AH38" s="168"/>
      <c r="AI38" s="168"/>
      <c r="AJ38" s="170">
        <f t="shared" si="2"/>
        <v>0</v>
      </c>
    </row>
    <row r="39" spans="2:36" s="47" customFormat="1" ht="22.5" x14ac:dyDescent="0.2">
      <c r="B39" s="5583"/>
      <c r="C39" s="5583"/>
      <c r="D39" s="173" t="s">
        <v>260</v>
      </c>
      <c r="E39" s="167"/>
      <c r="F39" s="168"/>
      <c r="G39" s="168"/>
      <c r="H39" s="169"/>
      <c r="I39" s="167"/>
      <c r="J39" s="168"/>
      <c r="K39" s="168"/>
      <c r="L39" s="169"/>
      <c r="M39" s="167"/>
      <c r="N39" s="168"/>
      <c r="O39" s="168"/>
      <c r="P39" s="170"/>
      <c r="Q39" s="168"/>
      <c r="R39" s="168"/>
      <c r="S39" s="168">
        <v>1</v>
      </c>
      <c r="T39" s="170">
        <v>1</v>
      </c>
      <c r="U39" s="168"/>
      <c r="V39" s="168">
        <v>3</v>
      </c>
      <c r="W39" s="168"/>
      <c r="X39" s="170">
        <v>3</v>
      </c>
      <c r="Y39" s="168"/>
      <c r="Z39" s="168"/>
      <c r="AA39" s="168"/>
      <c r="AB39" s="170">
        <f t="shared" si="0"/>
        <v>0</v>
      </c>
      <c r="AC39" s="168"/>
      <c r="AD39" s="168"/>
      <c r="AE39" s="168">
        <v>4</v>
      </c>
      <c r="AF39" s="170">
        <f t="shared" si="1"/>
        <v>4</v>
      </c>
      <c r="AG39" s="168"/>
      <c r="AH39" s="168"/>
      <c r="AI39" s="168"/>
      <c r="AJ39" s="170">
        <f t="shared" si="2"/>
        <v>0</v>
      </c>
    </row>
    <row r="40" spans="2:36" s="47" customFormat="1" ht="14.25" customHeight="1" x14ac:dyDescent="0.2">
      <c r="B40" s="5583"/>
      <c r="C40" s="5583"/>
      <c r="D40" s="173" t="s">
        <v>315</v>
      </c>
      <c r="E40" s="167"/>
      <c r="F40" s="168"/>
      <c r="G40" s="168"/>
      <c r="H40" s="169"/>
      <c r="I40" s="167"/>
      <c r="J40" s="168"/>
      <c r="K40" s="168"/>
      <c r="L40" s="169"/>
      <c r="M40" s="167"/>
      <c r="N40" s="168"/>
      <c r="O40" s="168"/>
      <c r="P40" s="170"/>
      <c r="Q40" s="168"/>
      <c r="R40" s="168"/>
      <c r="S40" s="168"/>
      <c r="T40" s="170"/>
      <c r="U40" s="168"/>
      <c r="V40" s="168">
        <v>1</v>
      </c>
      <c r="W40" s="168"/>
      <c r="X40" s="170">
        <v>1</v>
      </c>
      <c r="Y40" s="168"/>
      <c r="Z40" s="168"/>
      <c r="AA40" s="168"/>
      <c r="AB40" s="170">
        <f t="shared" si="0"/>
        <v>0</v>
      </c>
      <c r="AC40" s="168"/>
      <c r="AD40" s="168"/>
      <c r="AE40" s="168"/>
      <c r="AF40" s="170">
        <f t="shared" si="1"/>
        <v>0</v>
      </c>
      <c r="AG40" s="168"/>
      <c r="AH40" s="168"/>
      <c r="AI40" s="168"/>
      <c r="AJ40" s="170">
        <f t="shared" si="2"/>
        <v>0</v>
      </c>
    </row>
    <row r="41" spans="2:36" s="47" customFormat="1" ht="14.25" customHeight="1" x14ac:dyDescent="0.2">
      <c r="B41" s="5583"/>
      <c r="C41" s="5585"/>
      <c r="D41" s="429" t="s">
        <v>261</v>
      </c>
      <c r="E41" s="422">
        <v>1</v>
      </c>
      <c r="F41" s="423">
        <v>6</v>
      </c>
      <c r="G41" s="423">
        <v>5</v>
      </c>
      <c r="H41" s="424">
        <v>12</v>
      </c>
      <c r="I41" s="422">
        <v>2</v>
      </c>
      <c r="J41" s="423">
        <v>4</v>
      </c>
      <c r="K41" s="423">
        <v>4</v>
      </c>
      <c r="L41" s="424">
        <v>10</v>
      </c>
      <c r="M41" s="422">
        <v>3</v>
      </c>
      <c r="N41" s="423">
        <v>2</v>
      </c>
      <c r="O41" s="423"/>
      <c r="P41" s="425">
        <v>5</v>
      </c>
      <c r="Q41" s="423"/>
      <c r="R41" s="423"/>
      <c r="S41" s="423"/>
      <c r="T41" s="425"/>
      <c r="U41" s="423"/>
      <c r="V41" s="423"/>
      <c r="W41" s="423"/>
      <c r="X41" s="425"/>
      <c r="Y41" s="423"/>
      <c r="Z41" s="423"/>
      <c r="AA41" s="423"/>
      <c r="AB41" s="425">
        <f t="shared" si="0"/>
        <v>0</v>
      </c>
      <c r="AC41" s="423">
        <v>1</v>
      </c>
      <c r="AD41" s="423"/>
      <c r="AE41" s="423">
        <v>2</v>
      </c>
      <c r="AF41" s="425">
        <f t="shared" si="1"/>
        <v>3</v>
      </c>
      <c r="AG41" s="423"/>
      <c r="AH41" s="423"/>
      <c r="AI41" s="423"/>
      <c r="AJ41" s="425">
        <f t="shared" si="2"/>
        <v>0</v>
      </c>
    </row>
    <row r="42" spans="2:36" s="47" customFormat="1" ht="14.25" customHeight="1" x14ac:dyDescent="0.2">
      <c r="B42" s="5583"/>
      <c r="C42" s="5583" t="s">
        <v>6</v>
      </c>
      <c r="D42" s="173" t="s">
        <v>262</v>
      </c>
      <c r="E42" s="167"/>
      <c r="F42" s="168"/>
      <c r="G42" s="168">
        <v>4</v>
      </c>
      <c r="H42" s="169">
        <v>4</v>
      </c>
      <c r="I42" s="167">
        <v>9</v>
      </c>
      <c r="J42" s="168"/>
      <c r="K42" s="168">
        <v>9</v>
      </c>
      <c r="L42" s="169">
        <v>18</v>
      </c>
      <c r="M42" s="167"/>
      <c r="N42" s="168">
        <v>3</v>
      </c>
      <c r="O42" s="168">
        <v>1</v>
      </c>
      <c r="P42" s="170">
        <v>4</v>
      </c>
      <c r="Q42" s="168">
        <v>12</v>
      </c>
      <c r="R42" s="168">
        <v>3</v>
      </c>
      <c r="S42" s="168">
        <v>4</v>
      </c>
      <c r="T42" s="170">
        <v>19</v>
      </c>
      <c r="U42" s="168"/>
      <c r="V42" s="168"/>
      <c r="W42" s="168"/>
      <c r="X42" s="170"/>
      <c r="Y42" s="168">
        <v>11</v>
      </c>
      <c r="Z42" s="168">
        <v>9</v>
      </c>
      <c r="AA42" s="168">
        <v>2</v>
      </c>
      <c r="AB42" s="170">
        <f t="shared" si="0"/>
        <v>22</v>
      </c>
      <c r="AC42" s="168">
        <v>27</v>
      </c>
      <c r="AD42" s="168"/>
      <c r="AE42" s="168"/>
      <c r="AF42" s="170">
        <f t="shared" si="1"/>
        <v>27</v>
      </c>
      <c r="AG42" s="168"/>
      <c r="AH42" s="168"/>
      <c r="AI42" s="168"/>
      <c r="AJ42" s="170">
        <f t="shared" si="2"/>
        <v>0</v>
      </c>
    </row>
    <row r="43" spans="2:36" s="47" customFormat="1" ht="14.25" customHeight="1" x14ac:dyDescent="0.2">
      <c r="B43" s="5583"/>
      <c r="C43" s="5583"/>
      <c r="D43" s="173" t="s">
        <v>263</v>
      </c>
      <c r="E43" s="167"/>
      <c r="F43" s="168"/>
      <c r="G43" s="168">
        <v>2</v>
      </c>
      <c r="H43" s="169">
        <v>2</v>
      </c>
      <c r="I43" s="167"/>
      <c r="J43" s="168"/>
      <c r="K43" s="168">
        <v>1</v>
      </c>
      <c r="L43" s="169">
        <v>1</v>
      </c>
      <c r="M43" s="167">
        <v>2</v>
      </c>
      <c r="N43" s="168">
        <v>1</v>
      </c>
      <c r="O43" s="168">
        <v>2</v>
      </c>
      <c r="P43" s="170">
        <v>5</v>
      </c>
      <c r="Q43" s="168"/>
      <c r="R43" s="168"/>
      <c r="S43" s="168">
        <v>1</v>
      </c>
      <c r="T43" s="170">
        <v>1</v>
      </c>
      <c r="U43" s="168"/>
      <c r="V43" s="168"/>
      <c r="W43" s="168">
        <v>1</v>
      </c>
      <c r="X43" s="170">
        <v>1</v>
      </c>
      <c r="Y43" s="168"/>
      <c r="Z43" s="168"/>
      <c r="AA43" s="168">
        <v>1</v>
      </c>
      <c r="AB43" s="170">
        <f t="shared" si="0"/>
        <v>1</v>
      </c>
      <c r="AC43" s="168"/>
      <c r="AD43" s="168"/>
      <c r="AE43" s="168">
        <v>1</v>
      </c>
      <c r="AF43" s="170">
        <f t="shared" si="1"/>
        <v>1</v>
      </c>
      <c r="AG43" s="168"/>
      <c r="AH43" s="168"/>
      <c r="AI43" s="168"/>
      <c r="AJ43" s="170">
        <f t="shared" si="2"/>
        <v>0</v>
      </c>
    </row>
    <row r="44" spans="2:36" s="47" customFormat="1" ht="14.25" customHeight="1" x14ac:dyDescent="0.2">
      <c r="B44" s="5583"/>
      <c r="C44" s="5583"/>
      <c r="D44" s="173" t="s">
        <v>264</v>
      </c>
      <c r="E44" s="167">
        <v>5</v>
      </c>
      <c r="F44" s="168">
        <v>1</v>
      </c>
      <c r="G44" s="168">
        <v>8</v>
      </c>
      <c r="H44" s="169">
        <v>14</v>
      </c>
      <c r="I44" s="167">
        <v>1</v>
      </c>
      <c r="J44" s="168"/>
      <c r="K44" s="168">
        <v>3</v>
      </c>
      <c r="L44" s="169">
        <v>4</v>
      </c>
      <c r="M44" s="167">
        <v>1</v>
      </c>
      <c r="N44" s="168"/>
      <c r="O44" s="168">
        <v>6</v>
      </c>
      <c r="P44" s="170">
        <v>7</v>
      </c>
      <c r="Q44" s="168">
        <v>1</v>
      </c>
      <c r="R44" s="168">
        <v>2</v>
      </c>
      <c r="S44" s="168">
        <v>2</v>
      </c>
      <c r="T44" s="170">
        <v>5</v>
      </c>
      <c r="U44" s="168"/>
      <c r="V44" s="168"/>
      <c r="W44" s="168">
        <v>3</v>
      </c>
      <c r="X44" s="170">
        <v>3</v>
      </c>
      <c r="Y44" s="168">
        <v>1</v>
      </c>
      <c r="Z44" s="168">
        <v>1</v>
      </c>
      <c r="AA44" s="168">
        <v>10</v>
      </c>
      <c r="AB44" s="170">
        <f t="shared" si="0"/>
        <v>12</v>
      </c>
      <c r="AC44" s="168"/>
      <c r="AD44" s="168"/>
      <c r="AE44" s="168">
        <v>8</v>
      </c>
      <c r="AF44" s="170">
        <f t="shared" si="1"/>
        <v>8</v>
      </c>
      <c r="AG44" s="168"/>
      <c r="AH44" s="168"/>
      <c r="AI44" s="168"/>
      <c r="AJ44" s="170">
        <f t="shared" si="2"/>
        <v>0</v>
      </c>
    </row>
    <row r="45" spans="2:36" s="47" customFormat="1" ht="14.25" customHeight="1" x14ac:dyDescent="0.2">
      <c r="B45" s="5583"/>
      <c r="C45" s="5583"/>
      <c r="D45" s="173" t="s">
        <v>265</v>
      </c>
      <c r="E45" s="167"/>
      <c r="F45" s="168"/>
      <c r="G45" s="168">
        <v>1</v>
      </c>
      <c r="H45" s="169">
        <v>1</v>
      </c>
      <c r="I45" s="167"/>
      <c r="J45" s="168"/>
      <c r="K45" s="168"/>
      <c r="L45" s="169"/>
      <c r="M45" s="167"/>
      <c r="N45" s="168"/>
      <c r="O45" s="168">
        <v>3</v>
      </c>
      <c r="P45" s="170">
        <v>3</v>
      </c>
      <c r="Q45" s="168">
        <v>1</v>
      </c>
      <c r="R45" s="168"/>
      <c r="S45" s="168"/>
      <c r="T45" s="170">
        <v>1</v>
      </c>
      <c r="U45" s="168"/>
      <c r="V45" s="168"/>
      <c r="W45" s="168">
        <v>7</v>
      </c>
      <c r="X45" s="170">
        <v>7</v>
      </c>
      <c r="Y45" s="168"/>
      <c r="Z45" s="168"/>
      <c r="AA45" s="168"/>
      <c r="AB45" s="170">
        <f t="shared" si="0"/>
        <v>0</v>
      </c>
      <c r="AC45" s="168"/>
      <c r="AD45" s="168"/>
      <c r="AE45" s="168">
        <v>7</v>
      </c>
      <c r="AF45" s="170">
        <f t="shared" si="1"/>
        <v>7</v>
      </c>
      <c r="AG45" s="168"/>
      <c r="AH45" s="168"/>
      <c r="AI45" s="168"/>
      <c r="AJ45" s="170">
        <f t="shared" si="2"/>
        <v>0</v>
      </c>
    </row>
    <row r="46" spans="2:36" s="47" customFormat="1" ht="14.25" customHeight="1" x14ac:dyDescent="0.2">
      <c r="B46" s="5583"/>
      <c r="C46" s="5583"/>
      <c r="D46" s="173" t="s">
        <v>266</v>
      </c>
      <c r="E46" s="167"/>
      <c r="F46" s="168"/>
      <c r="G46" s="168">
        <v>7</v>
      </c>
      <c r="H46" s="169">
        <v>7</v>
      </c>
      <c r="I46" s="167"/>
      <c r="J46" s="168">
        <v>1</v>
      </c>
      <c r="K46" s="168">
        <v>2</v>
      </c>
      <c r="L46" s="169">
        <v>3</v>
      </c>
      <c r="M46" s="167"/>
      <c r="N46" s="168"/>
      <c r="O46" s="168">
        <v>2</v>
      </c>
      <c r="P46" s="170">
        <v>2</v>
      </c>
      <c r="Q46" s="168">
        <v>1</v>
      </c>
      <c r="R46" s="168"/>
      <c r="S46" s="168">
        <v>9</v>
      </c>
      <c r="T46" s="170">
        <v>10</v>
      </c>
      <c r="U46" s="168"/>
      <c r="V46" s="168">
        <v>7</v>
      </c>
      <c r="W46" s="168">
        <v>2</v>
      </c>
      <c r="X46" s="170">
        <v>9</v>
      </c>
      <c r="Y46" s="168"/>
      <c r="Z46" s="168"/>
      <c r="AA46" s="168">
        <v>8</v>
      </c>
      <c r="AB46" s="170">
        <f t="shared" si="0"/>
        <v>8</v>
      </c>
      <c r="AC46" s="168"/>
      <c r="AD46" s="168"/>
      <c r="AE46" s="168"/>
      <c r="AF46" s="170">
        <f t="shared" si="1"/>
        <v>0</v>
      </c>
      <c r="AG46" s="168"/>
      <c r="AH46" s="168"/>
      <c r="AI46" s="168"/>
      <c r="AJ46" s="170">
        <f t="shared" si="2"/>
        <v>0</v>
      </c>
    </row>
    <row r="47" spans="2:36" s="47" customFormat="1" ht="14.25" customHeight="1" x14ac:dyDescent="0.2">
      <c r="B47" s="5583"/>
      <c r="C47" s="5583"/>
      <c r="D47" s="173" t="s">
        <v>267</v>
      </c>
      <c r="E47" s="167"/>
      <c r="F47" s="168"/>
      <c r="G47" s="168">
        <v>7</v>
      </c>
      <c r="H47" s="169">
        <v>7</v>
      </c>
      <c r="I47" s="167"/>
      <c r="J47" s="168"/>
      <c r="K47" s="168">
        <v>35</v>
      </c>
      <c r="L47" s="169">
        <v>35</v>
      </c>
      <c r="M47" s="167">
        <v>1</v>
      </c>
      <c r="N47" s="168">
        <v>1</v>
      </c>
      <c r="O47" s="168">
        <v>2</v>
      </c>
      <c r="P47" s="170">
        <v>4</v>
      </c>
      <c r="Q47" s="168">
        <v>1</v>
      </c>
      <c r="R47" s="168"/>
      <c r="S47" s="168">
        <v>17</v>
      </c>
      <c r="T47" s="170">
        <v>18</v>
      </c>
      <c r="U47" s="168"/>
      <c r="V47" s="168"/>
      <c r="W47" s="168"/>
      <c r="X47" s="170"/>
      <c r="Y47" s="168"/>
      <c r="Z47" s="168"/>
      <c r="AA47" s="168"/>
      <c r="AB47" s="170">
        <f t="shared" si="0"/>
        <v>0</v>
      </c>
      <c r="AC47" s="168">
        <v>26</v>
      </c>
      <c r="AD47" s="168"/>
      <c r="AE47" s="168"/>
      <c r="AF47" s="170">
        <f t="shared" si="1"/>
        <v>26</v>
      </c>
      <c r="AG47" s="168"/>
      <c r="AH47" s="168"/>
      <c r="AI47" s="168"/>
      <c r="AJ47" s="170">
        <f t="shared" si="2"/>
        <v>0</v>
      </c>
    </row>
    <row r="48" spans="2:36" s="47" customFormat="1" ht="14.25" customHeight="1" x14ac:dyDescent="0.2">
      <c r="B48" s="5583"/>
      <c r="C48" s="5583"/>
      <c r="D48" s="173" t="s">
        <v>268</v>
      </c>
      <c r="E48" s="167"/>
      <c r="F48" s="168"/>
      <c r="G48" s="168">
        <v>4</v>
      </c>
      <c r="H48" s="169">
        <v>4</v>
      </c>
      <c r="I48" s="167">
        <v>3</v>
      </c>
      <c r="J48" s="168"/>
      <c r="K48" s="168">
        <v>10</v>
      </c>
      <c r="L48" s="169">
        <v>13</v>
      </c>
      <c r="M48" s="167">
        <v>3</v>
      </c>
      <c r="N48" s="168"/>
      <c r="O48" s="168"/>
      <c r="P48" s="170">
        <v>3</v>
      </c>
      <c r="Q48" s="168">
        <v>2</v>
      </c>
      <c r="R48" s="168"/>
      <c r="S48" s="168">
        <v>6</v>
      </c>
      <c r="T48" s="170">
        <v>8</v>
      </c>
      <c r="U48" s="168"/>
      <c r="V48" s="168"/>
      <c r="W48" s="168">
        <v>1</v>
      </c>
      <c r="X48" s="170">
        <v>1</v>
      </c>
      <c r="Y48" s="168"/>
      <c r="Z48" s="168"/>
      <c r="AA48" s="168"/>
      <c r="AB48" s="170">
        <f t="shared" si="0"/>
        <v>0</v>
      </c>
      <c r="AC48" s="168">
        <v>5</v>
      </c>
      <c r="AD48" s="168"/>
      <c r="AE48" s="168"/>
      <c r="AF48" s="170">
        <f t="shared" si="1"/>
        <v>5</v>
      </c>
      <c r="AG48" s="168"/>
      <c r="AH48" s="168"/>
      <c r="AI48" s="168"/>
      <c r="AJ48" s="170">
        <f t="shared" si="2"/>
        <v>0</v>
      </c>
    </row>
    <row r="49" spans="2:36" s="47" customFormat="1" ht="14.25" customHeight="1" x14ac:dyDescent="0.2">
      <c r="B49" s="5583"/>
      <c r="C49" s="5583"/>
      <c r="D49" s="173" t="s">
        <v>269</v>
      </c>
      <c r="E49" s="167">
        <v>2</v>
      </c>
      <c r="F49" s="168">
        <v>2</v>
      </c>
      <c r="G49" s="168">
        <v>1</v>
      </c>
      <c r="H49" s="169">
        <v>5</v>
      </c>
      <c r="I49" s="167">
        <v>4</v>
      </c>
      <c r="J49" s="168">
        <v>5</v>
      </c>
      <c r="K49" s="168">
        <v>11</v>
      </c>
      <c r="L49" s="169">
        <v>20</v>
      </c>
      <c r="M49" s="167">
        <v>1</v>
      </c>
      <c r="N49" s="168"/>
      <c r="O49" s="168"/>
      <c r="P49" s="170">
        <v>1</v>
      </c>
      <c r="Q49" s="168">
        <v>2</v>
      </c>
      <c r="R49" s="168"/>
      <c r="S49" s="168">
        <v>5</v>
      </c>
      <c r="T49" s="170">
        <v>7</v>
      </c>
      <c r="U49" s="168"/>
      <c r="V49" s="168"/>
      <c r="W49" s="168"/>
      <c r="X49" s="170"/>
      <c r="Y49" s="168"/>
      <c r="Z49" s="168"/>
      <c r="AA49" s="168">
        <v>2</v>
      </c>
      <c r="AB49" s="170">
        <f t="shared" si="0"/>
        <v>2</v>
      </c>
      <c r="AC49" s="168"/>
      <c r="AD49" s="168">
        <v>1</v>
      </c>
      <c r="AE49" s="168">
        <v>2</v>
      </c>
      <c r="AF49" s="170">
        <f t="shared" si="1"/>
        <v>3</v>
      </c>
      <c r="AG49" s="168"/>
      <c r="AH49" s="168"/>
      <c r="AI49" s="168"/>
      <c r="AJ49" s="170">
        <f t="shared" si="2"/>
        <v>0</v>
      </c>
    </row>
    <row r="50" spans="2:36" s="47" customFormat="1" ht="14.25" customHeight="1" x14ac:dyDescent="0.2">
      <c r="B50" s="5583"/>
      <c r="C50" s="5583"/>
      <c r="D50" s="173" t="s">
        <v>270</v>
      </c>
      <c r="E50" s="167"/>
      <c r="F50" s="168"/>
      <c r="G50" s="168"/>
      <c r="H50" s="169"/>
      <c r="I50" s="167">
        <v>3</v>
      </c>
      <c r="J50" s="168">
        <v>3</v>
      </c>
      <c r="K50" s="168">
        <v>8</v>
      </c>
      <c r="L50" s="169">
        <v>14</v>
      </c>
      <c r="M50" s="167">
        <v>1</v>
      </c>
      <c r="N50" s="168">
        <v>2</v>
      </c>
      <c r="O50" s="168">
        <v>2</v>
      </c>
      <c r="P50" s="170">
        <v>5</v>
      </c>
      <c r="Q50" s="168">
        <v>2</v>
      </c>
      <c r="R50" s="168"/>
      <c r="S50" s="168">
        <v>4</v>
      </c>
      <c r="T50" s="170">
        <v>6</v>
      </c>
      <c r="U50" s="168"/>
      <c r="V50" s="168"/>
      <c r="W50" s="168">
        <v>3</v>
      </c>
      <c r="X50" s="170">
        <v>3</v>
      </c>
      <c r="Y50" s="168"/>
      <c r="Z50" s="168"/>
      <c r="AA50" s="168"/>
      <c r="AB50" s="170">
        <f t="shared" si="0"/>
        <v>0</v>
      </c>
      <c r="AC50" s="168">
        <v>1</v>
      </c>
      <c r="AD50" s="168"/>
      <c r="AE50" s="168">
        <v>4</v>
      </c>
      <c r="AF50" s="170">
        <f t="shared" si="1"/>
        <v>5</v>
      </c>
      <c r="AG50" s="168"/>
      <c r="AH50" s="168"/>
      <c r="AI50" s="168"/>
      <c r="AJ50" s="170">
        <f t="shared" si="2"/>
        <v>0</v>
      </c>
    </row>
    <row r="51" spans="2:36" s="47" customFormat="1" ht="14.25" customHeight="1" x14ac:dyDescent="0.2">
      <c r="B51" s="5583"/>
      <c r="C51" s="5583"/>
      <c r="D51" s="160" t="s">
        <v>242</v>
      </c>
      <c r="E51" s="167"/>
      <c r="F51" s="168"/>
      <c r="G51" s="168"/>
      <c r="H51" s="169"/>
      <c r="I51" s="167">
        <v>7</v>
      </c>
      <c r="J51" s="168"/>
      <c r="K51" s="168"/>
      <c r="L51" s="169">
        <v>7</v>
      </c>
      <c r="M51" s="167">
        <v>1</v>
      </c>
      <c r="N51" s="168"/>
      <c r="O51" s="168"/>
      <c r="P51" s="170">
        <v>1</v>
      </c>
      <c r="Q51" s="168">
        <v>2</v>
      </c>
      <c r="R51" s="168">
        <v>1</v>
      </c>
      <c r="S51" s="168"/>
      <c r="T51" s="170">
        <v>3</v>
      </c>
      <c r="U51" s="168"/>
      <c r="V51" s="168"/>
      <c r="W51" s="168"/>
      <c r="X51" s="170"/>
      <c r="Y51" s="168"/>
      <c r="Z51" s="168"/>
      <c r="AA51" s="168"/>
      <c r="AB51" s="170">
        <f t="shared" si="0"/>
        <v>0</v>
      </c>
      <c r="AC51" s="168">
        <v>4</v>
      </c>
      <c r="AD51" s="168"/>
      <c r="AE51" s="168"/>
      <c r="AF51" s="170">
        <f t="shared" si="1"/>
        <v>4</v>
      </c>
      <c r="AG51" s="168"/>
      <c r="AH51" s="168"/>
      <c r="AI51" s="168"/>
      <c r="AJ51" s="170">
        <f t="shared" si="2"/>
        <v>0</v>
      </c>
    </row>
    <row r="52" spans="2:36" s="47" customFormat="1" ht="14.25" customHeight="1" x14ac:dyDescent="0.2">
      <c r="B52" s="5583"/>
      <c r="C52" s="5583"/>
      <c r="D52" s="160" t="s">
        <v>243</v>
      </c>
      <c r="E52" s="167"/>
      <c r="F52" s="168"/>
      <c r="G52" s="168"/>
      <c r="H52" s="169"/>
      <c r="I52" s="167"/>
      <c r="J52" s="168"/>
      <c r="K52" s="168"/>
      <c r="L52" s="169"/>
      <c r="M52" s="167"/>
      <c r="N52" s="168"/>
      <c r="O52" s="168"/>
      <c r="P52" s="170"/>
      <c r="Q52" s="168">
        <v>11</v>
      </c>
      <c r="R52" s="168"/>
      <c r="S52" s="168">
        <v>1</v>
      </c>
      <c r="T52" s="170">
        <v>12</v>
      </c>
      <c r="U52" s="168"/>
      <c r="V52" s="168">
        <v>6</v>
      </c>
      <c r="W52" s="168">
        <v>1</v>
      </c>
      <c r="X52" s="170">
        <v>7</v>
      </c>
      <c r="Y52" s="168">
        <v>3</v>
      </c>
      <c r="Z52" s="168"/>
      <c r="AA52" s="168"/>
      <c r="AB52" s="170">
        <f t="shared" si="0"/>
        <v>3</v>
      </c>
      <c r="AC52" s="168">
        <v>1</v>
      </c>
      <c r="AD52" s="168"/>
      <c r="AE52" s="168"/>
      <c r="AF52" s="170">
        <f t="shared" si="1"/>
        <v>1</v>
      </c>
      <c r="AG52" s="168"/>
      <c r="AH52" s="168"/>
      <c r="AI52" s="168"/>
      <c r="AJ52" s="170">
        <f t="shared" si="2"/>
        <v>0</v>
      </c>
    </row>
    <row r="53" spans="2:36" s="47" customFormat="1" ht="14.25" customHeight="1" x14ac:dyDescent="0.2">
      <c r="B53" s="5583"/>
      <c r="C53" s="5584" t="s">
        <v>11</v>
      </c>
      <c r="D53" s="420" t="s">
        <v>271</v>
      </c>
      <c r="E53" s="161"/>
      <c r="F53" s="162"/>
      <c r="G53" s="162">
        <v>1</v>
      </c>
      <c r="H53" s="163">
        <v>1</v>
      </c>
      <c r="I53" s="161"/>
      <c r="J53" s="162">
        <v>1</v>
      </c>
      <c r="K53" s="162">
        <v>1</v>
      </c>
      <c r="L53" s="163">
        <v>2</v>
      </c>
      <c r="M53" s="161"/>
      <c r="N53" s="162"/>
      <c r="O53" s="162"/>
      <c r="P53" s="164"/>
      <c r="Q53" s="162">
        <v>2</v>
      </c>
      <c r="R53" s="162">
        <v>1</v>
      </c>
      <c r="S53" s="162">
        <v>5</v>
      </c>
      <c r="T53" s="164">
        <v>8</v>
      </c>
      <c r="U53" s="162"/>
      <c r="V53" s="162"/>
      <c r="W53" s="162">
        <v>2</v>
      </c>
      <c r="X53" s="164">
        <v>2</v>
      </c>
      <c r="Y53" s="162">
        <v>2</v>
      </c>
      <c r="Z53" s="162">
        <v>2</v>
      </c>
      <c r="AA53" s="162">
        <v>1</v>
      </c>
      <c r="AB53" s="164">
        <f t="shared" si="0"/>
        <v>5</v>
      </c>
      <c r="AC53" s="162"/>
      <c r="AD53" s="162"/>
      <c r="AE53" s="162">
        <v>3</v>
      </c>
      <c r="AF53" s="164">
        <f t="shared" si="1"/>
        <v>3</v>
      </c>
      <c r="AG53" s="162"/>
      <c r="AH53" s="162"/>
      <c r="AI53" s="162"/>
      <c r="AJ53" s="164">
        <f t="shared" si="2"/>
        <v>0</v>
      </c>
    </row>
    <row r="54" spans="2:36" s="47" customFormat="1" ht="14.25" customHeight="1" x14ac:dyDescent="0.2">
      <c r="B54" s="5583"/>
      <c r="C54" s="5583"/>
      <c r="D54" s="173" t="s">
        <v>272</v>
      </c>
      <c r="E54" s="167"/>
      <c r="F54" s="168"/>
      <c r="G54" s="168">
        <v>7</v>
      </c>
      <c r="H54" s="169">
        <v>7</v>
      </c>
      <c r="I54" s="167"/>
      <c r="J54" s="168"/>
      <c r="K54" s="168">
        <v>3</v>
      </c>
      <c r="L54" s="169">
        <v>3</v>
      </c>
      <c r="M54" s="167"/>
      <c r="N54" s="168"/>
      <c r="O54" s="168">
        <v>3</v>
      </c>
      <c r="P54" s="170">
        <v>3</v>
      </c>
      <c r="Q54" s="168"/>
      <c r="R54" s="168"/>
      <c r="S54" s="168"/>
      <c r="T54" s="170"/>
      <c r="U54" s="168"/>
      <c r="V54" s="168"/>
      <c r="W54" s="168">
        <v>5</v>
      </c>
      <c r="X54" s="170">
        <v>5</v>
      </c>
      <c r="Y54" s="168">
        <v>1</v>
      </c>
      <c r="Z54" s="168"/>
      <c r="AA54" s="168">
        <v>1</v>
      </c>
      <c r="AB54" s="170">
        <f t="shared" si="0"/>
        <v>2</v>
      </c>
      <c r="AC54" s="168"/>
      <c r="AD54" s="168"/>
      <c r="AE54" s="168">
        <v>2</v>
      </c>
      <c r="AF54" s="170">
        <f t="shared" si="1"/>
        <v>2</v>
      </c>
      <c r="AG54" s="168"/>
      <c r="AH54" s="168"/>
      <c r="AI54" s="168"/>
      <c r="AJ54" s="170">
        <f t="shared" si="2"/>
        <v>0</v>
      </c>
    </row>
    <row r="55" spans="2:36" s="47" customFormat="1" ht="14.25" customHeight="1" x14ac:dyDescent="0.2">
      <c r="B55" s="5583"/>
      <c r="C55" s="5583"/>
      <c r="D55" s="173" t="s">
        <v>273</v>
      </c>
      <c r="E55" s="167">
        <v>2</v>
      </c>
      <c r="F55" s="168"/>
      <c r="G55" s="168">
        <v>1</v>
      </c>
      <c r="H55" s="169">
        <v>3</v>
      </c>
      <c r="I55" s="167">
        <v>2</v>
      </c>
      <c r="J55" s="168"/>
      <c r="K55" s="168">
        <v>1</v>
      </c>
      <c r="L55" s="169">
        <v>3</v>
      </c>
      <c r="M55" s="167"/>
      <c r="N55" s="168"/>
      <c r="O55" s="168">
        <v>1</v>
      </c>
      <c r="P55" s="170">
        <v>1</v>
      </c>
      <c r="Q55" s="168">
        <v>1</v>
      </c>
      <c r="R55" s="168"/>
      <c r="S55" s="168">
        <v>5</v>
      </c>
      <c r="T55" s="170">
        <v>6</v>
      </c>
      <c r="U55" s="168"/>
      <c r="V55" s="168">
        <v>1</v>
      </c>
      <c r="W55" s="168">
        <v>9</v>
      </c>
      <c r="X55" s="170">
        <v>10</v>
      </c>
      <c r="Y55" s="168">
        <v>3</v>
      </c>
      <c r="Z55" s="168"/>
      <c r="AA55" s="168"/>
      <c r="AB55" s="170">
        <f t="shared" si="0"/>
        <v>3</v>
      </c>
      <c r="AC55" s="168"/>
      <c r="AD55" s="168"/>
      <c r="AE55" s="168"/>
      <c r="AF55" s="170">
        <f t="shared" si="1"/>
        <v>0</v>
      </c>
      <c r="AG55" s="168"/>
      <c r="AH55" s="168"/>
      <c r="AI55" s="168"/>
      <c r="AJ55" s="170">
        <f t="shared" si="2"/>
        <v>0</v>
      </c>
    </row>
    <row r="56" spans="2:36" s="47" customFormat="1" ht="14.25" customHeight="1" x14ac:dyDescent="0.2">
      <c r="B56" s="5583"/>
      <c r="C56" s="5583"/>
      <c r="D56" s="160" t="s">
        <v>274</v>
      </c>
      <c r="E56" s="167"/>
      <c r="F56" s="168"/>
      <c r="G56" s="168">
        <v>7</v>
      </c>
      <c r="H56" s="169">
        <v>7</v>
      </c>
      <c r="I56" s="167"/>
      <c r="J56" s="168"/>
      <c r="K56" s="168">
        <v>5</v>
      </c>
      <c r="L56" s="169">
        <v>5</v>
      </c>
      <c r="M56" s="167"/>
      <c r="N56" s="168"/>
      <c r="O56" s="168">
        <v>1</v>
      </c>
      <c r="P56" s="170">
        <v>1</v>
      </c>
      <c r="Q56" s="168"/>
      <c r="R56" s="168"/>
      <c r="S56" s="168">
        <v>6</v>
      </c>
      <c r="T56" s="170">
        <v>6</v>
      </c>
      <c r="U56" s="168"/>
      <c r="V56" s="168"/>
      <c r="W56" s="168">
        <v>9</v>
      </c>
      <c r="X56" s="170">
        <v>9</v>
      </c>
      <c r="Y56" s="168">
        <v>1</v>
      </c>
      <c r="Z56" s="168"/>
      <c r="AA56" s="168">
        <v>6</v>
      </c>
      <c r="AB56" s="170">
        <f t="shared" si="0"/>
        <v>7</v>
      </c>
      <c r="AC56" s="168"/>
      <c r="AD56" s="168"/>
      <c r="AE56" s="168">
        <v>3</v>
      </c>
      <c r="AF56" s="170">
        <f t="shared" si="1"/>
        <v>3</v>
      </c>
      <c r="AG56" s="168"/>
      <c r="AH56" s="168"/>
      <c r="AI56" s="168"/>
      <c r="AJ56" s="170">
        <f t="shared" si="2"/>
        <v>0</v>
      </c>
    </row>
    <row r="57" spans="2:36" s="47" customFormat="1" ht="22.5" x14ac:dyDescent="0.2">
      <c r="B57" s="5583"/>
      <c r="C57" s="5583"/>
      <c r="D57" s="160" t="s">
        <v>275</v>
      </c>
      <c r="E57" s="167">
        <v>2</v>
      </c>
      <c r="F57" s="168"/>
      <c r="G57" s="168"/>
      <c r="H57" s="169">
        <v>2</v>
      </c>
      <c r="I57" s="167">
        <v>5</v>
      </c>
      <c r="J57" s="168"/>
      <c r="K57" s="168"/>
      <c r="L57" s="169">
        <v>5</v>
      </c>
      <c r="M57" s="167">
        <v>1</v>
      </c>
      <c r="N57" s="168"/>
      <c r="O57" s="168"/>
      <c r="P57" s="170">
        <v>1</v>
      </c>
      <c r="Q57" s="168"/>
      <c r="R57" s="168">
        <v>1</v>
      </c>
      <c r="S57" s="168"/>
      <c r="T57" s="170">
        <v>1</v>
      </c>
      <c r="U57" s="168"/>
      <c r="V57" s="168"/>
      <c r="W57" s="168"/>
      <c r="X57" s="170"/>
      <c r="Y57" s="168"/>
      <c r="Z57" s="168"/>
      <c r="AA57" s="168"/>
      <c r="AB57" s="170">
        <f t="shared" si="0"/>
        <v>0</v>
      </c>
      <c r="AC57" s="168"/>
      <c r="AD57" s="168"/>
      <c r="AE57" s="168"/>
      <c r="AF57" s="170">
        <f t="shared" si="1"/>
        <v>0</v>
      </c>
      <c r="AG57" s="168"/>
      <c r="AH57" s="168"/>
      <c r="AI57" s="168"/>
      <c r="AJ57" s="170">
        <f t="shared" si="2"/>
        <v>0</v>
      </c>
    </row>
    <row r="58" spans="2:36" s="47" customFormat="1" ht="14.25" customHeight="1" x14ac:dyDescent="0.2">
      <c r="B58" s="5583"/>
      <c r="C58" s="5583"/>
      <c r="D58" s="173" t="s">
        <v>276</v>
      </c>
      <c r="E58" s="167"/>
      <c r="F58" s="168"/>
      <c r="G58" s="168">
        <v>3</v>
      </c>
      <c r="H58" s="169">
        <v>3</v>
      </c>
      <c r="I58" s="167"/>
      <c r="J58" s="168"/>
      <c r="K58" s="168">
        <v>4</v>
      </c>
      <c r="L58" s="169">
        <v>4</v>
      </c>
      <c r="M58" s="167"/>
      <c r="N58" s="168"/>
      <c r="O58" s="168"/>
      <c r="P58" s="170"/>
      <c r="Q58" s="168"/>
      <c r="R58" s="168"/>
      <c r="S58" s="168">
        <v>2</v>
      </c>
      <c r="T58" s="170">
        <v>2</v>
      </c>
      <c r="U58" s="168"/>
      <c r="V58" s="168"/>
      <c r="W58" s="168">
        <v>1</v>
      </c>
      <c r="X58" s="170">
        <v>1</v>
      </c>
      <c r="Y58" s="168"/>
      <c r="Z58" s="168"/>
      <c r="AA58" s="168"/>
      <c r="AB58" s="170">
        <f t="shared" si="0"/>
        <v>0</v>
      </c>
      <c r="AC58" s="168">
        <v>1</v>
      </c>
      <c r="AD58" s="168"/>
      <c r="AE58" s="168">
        <v>1</v>
      </c>
      <c r="AF58" s="170">
        <f t="shared" si="1"/>
        <v>2</v>
      </c>
      <c r="AG58" s="168"/>
      <c r="AH58" s="168"/>
      <c r="AI58" s="168"/>
      <c r="AJ58" s="170">
        <f t="shared" si="2"/>
        <v>0</v>
      </c>
    </row>
    <row r="59" spans="2:36" s="47" customFormat="1" ht="22.5" x14ac:dyDescent="0.2">
      <c r="B59" s="5583"/>
      <c r="C59" s="5583"/>
      <c r="D59" s="173" t="s">
        <v>277</v>
      </c>
      <c r="E59" s="167"/>
      <c r="F59" s="168"/>
      <c r="G59" s="168"/>
      <c r="H59" s="169"/>
      <c r="I59" s="167"/>
      <c r="J59" s="168"/>
      <c r="K59" s="168"/>
      <c r="L59" s="169"/>
      <c r="M59" s="167"/>
      <c r="N59" s="168"/>
      <c r="O59" s="168"/>
      <c r="P59" s="170"/>
      <c r="Q59" s="168"/>
      <c r="R59" s="168"/>
      <c r="S59" s="168"/>
      <c r="T59" s="170"/>
      <c r="U59" s="168"/>
      <c r="V59" s="168"/>
      <c r="W59" s="168"/>
      <c r="X59" s="170"/>
      <c r="Y59" s="168">
        <v>2</v>
      </c>
      <c r="Z59" s="168"/>
      <c r="AA59" s="168"/>
      <c r="AB59" s="170">
        <f t="shared" si="0"/>
        <v>2</v>
      </c>
      <c r="AC59" s="168">
        <v>2</v>
      </c>
      <c r="AD59" s="168"/>
      <c r="AE59" s="168"/>
      <c r="AF59" s="170">
        <f t="shared" si="1"/>
        <v>2</v>
      </c>
      <c r="AG59" s="168"/>
      <c r="AH59" s="168"/>
      <c r="AI59" s="168"/>
      <c r="AJ59" s="170">
        <f t="shared" si="2"/>
        <v>0</v>
      </c>
    </row>
    <row r="60" spans="2:36" s="47" customFormat="1" ht="14.25" customHeight="1" x14ac:dyDescent="0.2">
      <c r="B60" s="5583"/>
      <c r="C60" s="5583"/>
      <c r="D60" s="160" t="s">
        <v>278</v>
      </c>
      <c r="E60" s="167"/>
      <c r="F60" s="168"/>
      <c r="G60" s="168"/>
      <c r="H60" s="169"/>
      <c r="I60" s="167">
        <v>1</v>
      </c>
      <c r="J60" s="168"/>
      <c r="K60" s="168"/>
      <c r="L60" s="169">
        <v>1</v>
      </c>
      <c r="M60" s="167"/>
      <c r="N60" s="168"/>
      <c r="O60" s="168"/>
      <c r="P60" s="170"/>
      <c r="Q60" s="168"/>
      <c r="R60" s="168">
        <v>2</v>
      </c>
      <c r="S60" s="168"/>
      <c r="T60" s="170">
        <v>2</v>
      </c>
      <c r="U60" s="168"/>
      <c r="V60" s="168">
        <v>1</v>
      </c>
      <c r="W60" s="168"/>
      <c r="X60" s="170">
        <v>1</v>
      </c>
      <c r="Y60" s="168"/>
      <c r="Z60" s="168">
        <v>1</v>
      </c>
      <c r="AA60" s="168"/>
      <c r="AB60" s="170">
        <f t="shared" si="0"/>
        <v>1</v>
      </c>
      <c r="AC60" s="168"/>
      <c r="AD60" s="168"/>
      <c r="AE60" s="168">
        <v>6</v>
      </c>
      <c r="AF60" s="170">
        <f t="shared" si="1"/>
        <v>6</v>
      </c>
      <c r="AG60" s="168"/>
      <c r="AH60" s="168"/>
      <c r="AI60" s="168"/>
      <c r="AJ60" s="170">
        <f t="shared" si="2"/>
        <v>0</v>
      </c>
    </row>
    <row r="61" spans="2:36" s="47" customFormat="1" ht="14.25" customHeight="1" x14ac:dyDescent="0.2">
      <c r="B61" s="5585"/>
      <c r="C61" s="5585"/>
      <c r="D61" s="421" t="s">
        <v>279</v>
      </c>
      <c r="E61" s="422"/>
      <c r="F61" s="423"/>
      <c r="G61" s="423">
        <v>8</v>
      </c>
      <c r="H61" s="424">
        <v>8</v>
      </c>
      <c r="I61" s="422"/>
      <c r="J61" s="423"/>
      <c r="K61" s="423">
        <v>6</v>
      </c>
      <c r="L61" s="424">
        <v>6</v>
      </c>
      <c r="M61" s="422"/>
      <c r="N61" s="423"/>
      <c r="O61" s="423">
        <v>10</v>
      </c>
      <c r="P61" s="425">
        <v>10</v>
      </c>
      <c r="Q61" s="423"/>
      <c r="R61" s="423"/>
      <c r="S61" s="423">
        <v>4</v>
      </c>
      <c r="T61" s="425">
        <v>4</v>
      </c>
      <c r="U61" s="423"/>
      <c r="V61" s="423"/>
      <c r="W61" s="423">
        <v>7</v>
      </c>
      <c r="X61" s="425">
        <v>7</v>
      </c>
      <c r="Y61" s="423">
        <v>1</v>
      </c>
      <c r="Z61" s="423"/>
      <c r="AA61" s="423">
        <v>2</v>
      </c>
      <c r="AB61" s="425">
        <f t="shared" si="0"/>
        <v>3</v>
      </c>
      <c r="AC61" s="423">
        <v>1</v>
      </c>
      <c r="AD61" s="423"/>
      <c r="AE61" s="423">
        <v>1</v>
      </c>
      <c r="AF61" s="425">
        <f t="shared" si="1"/>
        <v>2</v>
      </c>
      <c r="AG61" s="423"/>
      <c r="AH61" s="423"/>
      <c r="AI61" s="423"/>
      <c r="AJ61" s="425">
        <f t="shared" si="2"/>
        <v>0</v>
      </c>
    </row>
    <row r="62" spans="2:36" s="47" customFormat="1" ht="14.25" customHeight="1" x14ac:dyDescent="0.2">
      <c r="B62" s="5584" t="s">
        <v>448</v>
      </c>
      <c r="C62" s="5583" t="s">
        <v>6</v>
      </c>
      <c r="D62" s="173" t="s">
        <v>280</v>
      </c>
      <c r="E62" s="167">
        <v>6</v>
      </c>
      <c r="F62" s="168"/>
      <c r="G62" s="168"/>
      <c r="H62" s="169">
        <v>6</v>
      </c>
      <c r="I62" s="167"/>
      <c r="J62" s="168"/>
      <c r="K62" s="168">
        <v>11</v>
      </c>
      <c r="L62" s="169">
        <v>11</v>
      </c>
      <c r="M62" s="167"/>
      <c r="N62" s="168"/>
      <c r="O62" s="168"/>
      <c r="P62" s="170"/>
      <c r="Q62" s="168">
        <v>1</v>
      </c>
      <c r="R62" s="168"/>
      <c r="S62" s="168">
        <v>5</v>
      </c>
      <c r="T62" s="170">
        <v>6</v>
      </c>
      <c r="U62" s="168"/>
      <c r="V62" s="168"/>
      <c r="W62" s="168"/>
      <c r="X62" s="170"/>
      <c r="Y62" s="168"/>
      <c r="Z62" s="168"/>
      <c r="AA62" s="168">
        <v>4</v>
      </c>
      <c r="AB62" s="170">
        <f t="shared" si="0"/>
        <v>4</v>
      </c>
      <c r="AC62" s="168"/>
      <c r="AD62" s="168"/>
      <c r="AE62" s="168"/>
      <c r="AF62" s="170">
        <f t="shared" si="1"/>
        <v>0</v>
      </c>
      <c r="AG62" s="168"/>
      <c r="AH62" s="168"/>
      <c r="AI62" s="168"/>
      <c r="AJ62" s="170">
        <f t="shared" si="2"/>
        <v>0</v>
      </c>
    </row>
    <row r="63" spans="2:36" s="47" customFormat="1" ht="14.25" customHeight="1" x14ac:dyDescent="0.2">
      <c r="B63" s="5583"/>
      <c r="C63" s="5583"/>
      <c r="D63" s="173" t="s">
        <v>281</v>
      </c>
      <c r="E63" s="167"/>
      <c r="F63" s="168">
        <v>4</v>
      </c>
      <c r="G63" s="168">
        <v>1</v>
      </c>
      <c r="H63" s="169">
        <v>5</v>
      </c>
      <c r="I63" s="167"/>
      <c r="J63" s="168"/>
      <c r="K63" s="168"/>
      <c r="L63" s="169"/>
      <c r="M63" s="167"/>
      <c r="N63" s="168"/>
      <c r="O63" s="168">
        <v>4</v>
      </c>
      <c r="P63" s="170">
        <v>4</v>
      </c>
      <c r="Q63" s="168"/>
      <c r="R63" s="168"/>
      <c r="S63" s="168"/>
      <c r="T63" s="170"/>
      <c r="U63" s="168"/>
      <c r="V63" s="168">
        <v>9</v>
      </c>
      <c r="W63" s="168"/>
      <c r="X63" s="170">
        <v>9</v>
      </c>
      <c r="Y63" s="168"/>
      <c r="Z63" s="168"/>
      <c r="AA63" s="168"/>
      <c r="AB63" s="170">
        <f t="shared" si="0"/>
        <v>0</v>
      </c>
      <c r="AC63" s="168"/>
      <c r="AD63" s="168"/>
      <c r="AE63" s="168"/>
      <c r="AF63" s="170">
        <f t="shared" si="1"/>
        <v>0</v>
      </c>
      <c r="AG63" s="168"/>
      <c r="AH63" s="168"/>
      <c r="AI63" s="168"/>
      <c r="AJ63" s="170">
        <f t="shared" si="2"/>
        <v>0</v>
      </c>
    </row>
    <row r="64" spans="2:36" s="47" customFormat="1" ht="14.25" customHeight="1" x14ac:dyDescent="0.2">
      <c r="B64" s="5583"/>
      <c r="C64" s="5583"/>
      <c r="D64" s="173" t="s">
        <v>282</v>
      </c>
      <c r="E64" s="167"/>
      <c r="F64" s="168"/>
      <c r="G64" s="168"/>
      <c r="H64" s="169"/>
      <c r="I64" s="167"/>
      <c r="J64" s="168"/>
      <c r="K64" s="168"/>
      <c r="L64" s="169"/>
      <c r="M64" s="167"/>
      <c r="N64" s="168"/>
      <c r="O64" s="168"/>
      <c r="P64" s="170"/>
      <c r="Q64" s="168"/>
      <c r="R64" s="168"/>
      <c r="S64" s="168"/>
      <c r="T64" s="170"/>
      <c r="U64" s="168"/>
      <c r="V64" s="168"/>
      <c r="W64" s="168"/>
      <c r="X64" s="170"/>
      <c r="Y64" s="168"/>
      <c r="Z64" s="168"/>
      <c r="AA64" s="168"/>
      <c r="AB64" s="170">
        <f t="shared" si="0"/>
        <v>0</v>
      </c>
      <c r="AC64" s="168"/>
      <c r="AD64" s="168"/>
      <c r="AE64" s="168"/>
      <c r="AF64" s="170">
        <f t="shared" si="1"/>
        <v>0</v>
      </c>
      <c r="AG64" s="168"/>
      <c r="AH64" s="168"/>
      <c r="AI64" s="168"/>
      <c r="AJ64" s="170">
        <f t="shared" si="2"/>
        <v>0</v>
      </c>
    </row>
    <row r="65" spans="2:36" s="47" customFormat="1" ht="14.25" customHeight="1" x14ac:dyDescent="0.2">
      <c r="B65" s="5583"/>
      <c r="C65" s="5583"/>
      <c r="D65" s="173" t="s">
        <v>283</v>
      </c>
      <c r="E65" s="167">
        <v>1</v>
      </c>
      <c r="F65" s="168"/>
      <c r="G65" s="168"/>
      <c r="H65" s="169">
        <v>1</v>
      </c>
      <c r="I65" s="167">
        <v>5</v>
      </c>
      <c r="J65" s="168"/>
      <c r="K65" s="168"/>
      <c r="L65" s="169">
        <v>5</v>
      </c>
      <c r="M65" s="167">
        <v>12</v>
      </c>
      <c r="N65" s="168"/>
      <c r="O65" s="168"/>
      <c r="P65" s="170">
        <v>12</v>
      </c>
      <c r="Q65" s="168"/>
      <c r="R65" s="168">
        <v>16</v>
      </c>
      <c r="S65" s="168">
        <v>1</v>
      </c>
      <c r="T65" s="170">
        <v>17</v>
      </c>
      <c r="U65" s="168"/>
      <c r="V65" s="168"/>
      <c r="W65" s="168">
        <v>13</v>
      </c>
      <c r="X65" s="170">
        <v>13</v>
      </c>
      <c r="Y65" s="168"/>
      <c r="Z65" s="168"/>
      <c r="AA65" s="168">
        <v>2</v>
      </c>
      <c r="AB65" s="170">
        <f t="shared" si="0"/>
        <v>2</v>
      </c>
      <c r="AC65" s="168"/>
      <c r="AD65" s="168"/>
      <c r="AE65" s="168"/>
      <c r="AF65" s="170">
        <f t="shared" si="1"/>
        <v>0</v>
      </c>
      <c r="AG65" s="168"/>
      <c r="AH65" s="168"/>
      <c r="AI65" s="168"/>
      <c r="AJ65" s="170">
        <f t="shared" si="2"/>
        <v>0</v>
      </c>
    </row>
    <row r="66" spans="2:36" s="47" customFormat="1" ht="14.25" customHeight="1" x14ac:dyDescent="0.2">
      <c r="B66" s="5583"/>
      <c r="C66" s="5583"/>
      <c r="D66" s="173" t="s">
        <v>284</v>
      </c>
      <c r="E66" s="167"/>
      <c r="F66" s="168"/>
      <c r="G66" s="168"/>
      <c r="H66" s="169"/>
      <c r="I66" s="167">
        <v>1</v>
      </c>
      <c r="J66" s="168"/>
      <c r="K66" s="168"/>
      <c r="L66" s="169">
        <v>1</v>
      </c>
      <c r="M66" s="167"/>
      <c r="N66" s="168"/>
      <c r="O66" s="168"/>
      <c r="P66" s="170"/>
      <c r="Q66" s="168"/>
      <c r="R66" s="168"/>
      <c r="S66" s="168"/>
      <c r="T66" s="170"/>
      <c r="U66" s="168">
        <v>1</v>
      </c>
      <c r="V66" s="168"/>
      <c r="W66" s="168"/>
      <c r="X66" s="170">
        <v>1</v>
      </c>
      <c r="Y66" s="168">
        <v>5</v>
      </c>
      <c r="Z66" s="168"/>
      <c r="AA66" s="168"/>
      <c r="AB66" s="170">
        <f t="shared" si="0"/>
        <v>5</v>
      </c>
      <c r="AC66" s="168"/>
      <c r="AD66" s="168"/>
      <c r="AE66" s="168"/>
      <c r="AF66" s="170">
        <f t="shared" si="1"/>
        <v>0</v>
      </c>
      <c r="AG66" s="168"/>
      <c r="AH66" s="168"/>
      <c r="AI66" s="168"/>
      <c r="AJ66" s="170">
        <f t="shared" si="2"/>
        <v>0</v>
      </c>
    </row>
    <row r="67" spans="2:36" s="47" customFormat="1" ht="22.5" x14ac:dyDescent="0.2">
      <c r="B67" s="5583"/>
      <c r="C67" s="5583"/>
      <c r="D67" s="160" t="s">
        <v>285</v>
      </c>
      <c r="E67" s="167"/>
      <c r="F67" s="168">
        <v>7</v>
      </c>
      <c r="G67" s="168">
        <v>1</v>
      </c>
      <c r="H67" s="169">
        <v>8</v>
      </c>
      <c r="I67" s="167"/>
      <c r="J67" s="168"/>
      <c r="K67" s="168"/>
      <c r="L67" s="169"/>
      <c r="M67" s="167"/>
      <c r="N67" s="168">
        <v>4</v>
      </c>
      <c r="O67" s="168"/>
      <c r="P67" s="170">
        <v>4</v>
      </c>
      <c r="Q67" s="168"/>
      <c r="R67" s="168"/>
      <c r="S67" s="168"/>
      <c r="T67" s="170"/>
      <c r="U67" s="168"/>
      <c r="V67" s="168">
        <v>5</v>
      </c>
      <c r="W67" s="168"/>
      <c r="X67" s="170">
        <v>5</v>
      </c>
      <c r="Y67" s="168"/>
      <c r="Z67" s="168"/>
      <c r="AA67" s="168">
        <v>16</v>
      </c>
      <c r="AB67" s="170">
        <f t="shared" si="0"/>
        <v>16</v>
      </c>
      <c r="AC67" s="168"/>
      <c r="AD67" s="168"/>
      <c r="AE67" s="168"/>
      <c r="AF67" s="170">
        <f t="shared" si="1"/>
        <v>0</v>
      </c>
      <c r="AG67" s="168"/>
      <c r="AH67" s="168"/>
      <c r="AI67" s="168"/>
      <c r="AJ67" s="170">
        <f t="shared" si="2"/>
        <v>0</v>
      </c>
    </row>
    <row r="68" spans="2:36" s="47" customFormat="1" ht="22.5" x14ac:dyDescent="0.2">
      <c r="B68" s="5583"/>
      <c r="C68" s="5583"/>
      <c r="D68" s="160" t="s">
        <v>286</v>
      </c>
      <c r="E68" s="167">
        <v>14</v>
      </c>
      <c r="F68" s="168"/>
      <c r="G68" s="168"/>
      <c r="H68" s="169">
        <v>14</v>
      </c>
      <c r="I68" s="167"/>
      <c r="J68" s="168"/>
      <c r="K68" s="168">
        <v>11</v>
      </c>
      <c r="L68" s="169">
        <v>11</v>
      </c>
      <c r="M68" s="167"/>
      <c r="N68" s="168"/>
      <c r="O68" s="168"/>
      <c r="P68" s="170"/>
      <c r="Q68" s="168"/>
      <c r="R68" s="168"/>
      <c r="S68" s="168">
        <v>11</v>
      </c>
      <c r="T68" s="170">
        <v>11</v>
      </c>
      <c r="U68" s="168">
        <v>1</v>
      </c>
      <c r="V68" s="168"/>
      <c r="W68" s="168"/>
      <c r="X68" s="170">
        <v>1</v>
      </c>
      <c r="Y68" s="168"/>
      <c r="Z68" s="168"/>
      <c r="AA68" s="168">
        <v>6</v>
      </c>
      <c r="AB68" s="170">
        <f t="shared" si="0"/>
        <v>6</v>
      </c>
      <c r="AC68" s="168"/>
      <c r="AD68" s="168"/>
      <c r="AE68" s="168"/>
      <c r="AF68" s="170">
        <f t="shared" si="1"/>
        <v>0</v>
      </c>
      <c r="AG68" s="168"/>
      <c r="AH68" s="168"/>
      <c r="AI68" s="168"/>
      <c r="AJ68" s="170">
        <f t="shared" si="2"/>
        <v>0</v>
      </c>
    </row>
    <row r="69" spans="2:36" s="47" customFormat="1" ht="22.5" x14ac:dyDescent="0.2">
      <c r="B69" s="5583"/>
      <c r="C69" s="5583"/>
      <c r="D69" s="160" t="s">
        <v>287</v>
      </c>
      <c r="E69" s="167">
        <v>18</v>
      </c>
      <c r="F69" s="168"/>
      <c r="G69" s="168"/>
      <c r="H69" s="169">
        <v>18</v>
      </c>
      <c r="I69" s="167"/>
      <c r="J69" s="168"/>
      <c r="K69" s="168">
        <v>16</v>
      </c>
      <c r="L69" s="169">
        <v>16</v>
      </c>
      <c r="M69" s="167"/>
      <c r="N69" s="168"/>
      <c r="O69" s="168"/>
      <c r="P69" s="170"/>
      <c r="Q69" s="168"/>
      <c r="R69" s="168"/>
      <c r="S69" s="168">
        <v>17</v>
      </c>
      <c r="T69" s="170">
        <v>17</v>
      </c>
      <c r="U69" s="168"/>
      <c r="V69" s="168"/>
      <c r="W69" s="168"/>
      <c r="X69" s="170"/>
      <c r="Y69" s="168"/>
      <c r="Z69" s="168"/>
      <c r="AA69" s="168">
        <v>12</v>
      </c>
      <c r="AB69" s="170">
        <f t="shared" si="0"/>
        <v>12</v>
      </c>
      <c r="AC69" s="168"/>
      <c r="AD69" s="168"/>
      <c r="AE69" s="168"/>
      <c r="AF69" s="170">
        <f t="shared" si="1"/>
        <v>0</v>
      </c>
      <c r="AG69" s="168"/>
      <c r="AH69" s="168"/>
      <c r="AI69" s="168"/>
      <c r="AJ69" s="170">
        <f t="shared" si="2"/>
        <v>0</v>
      </c>
    </row>
    <row r="70" spans="2:36" s="47" customFormat="1" ht="14.25" customHeight="1" x14ac:dyDescent="0.2">
      <c r="B70" s="5583"/>
      <c r="C70" s="5583"/>
      <c r="D70" s="160" t="s">
        <v>288</v>
      </c>
      <c r="E70" s="167">
        <v>12</v>
      </c>
      <c r="F70" s="168"/>
      <c r="G70" s="168"/>
      <c r="H70" s="169">
        <v>12</v>
      </c>
      <c r="I70" s="167"/>
      <c r="J70" s="168"/>
      <c r="K70" s="168">
        <v>11</v>
      </c>
      <c r="L70" s="169">
        <v>11</v>
      </c>
      <c r="M70" s="167"/>
      <c r="N70" s="168"/>
      <c r="O70" s="168"/>
      <c r="P70" s="170"/>
      <c r="Q70" s="168"/>
      <c r="R70" s="168"/>
      <c r="S70" s="168">
        <v>12</v>
      </c>
      <c r="T70" s="170">
        <v>12</v>
      </c>
      <c r="U70" s="168"/>
      <c r="V70" s="168"/>
      <c r="W70" s="168"/>
      <c r="X70" s="170"/>
      <c r="Y70" s="168"/>
      <c r="Z70" s="168"/>
      <c r="AA70" s="168">
        <v>10</v>
      </c>
      <c r="AB70" s="170">
        <f t="shared" si="0"/>
        <v>10</v>
      </c>
      <c r="AC70" s="168"/>
      <c r="AD70" s="168"/>
      <c r="AE70" s="168"/>
      <c r="AF70" s="170">
        <f t="shared" si="1"/>
        <v>0</v>
      </c>
      <c r="AG70" s="168"/>
      <c r="AH70" s="168"/>
      <c r="AI70" s="168"/>
      <c r="AJ70" s="170">
        <f t="shared" si="2"/>
        <v>0</v>
      </c>
    </row>
    <row r="71" spans="2:36" s="47" customFormat="1" ht="14.25" customHeight="1" x14ac:dyDescent="0.2">
      <c r="B71" s="5583"/>
      <c r="C71" s="5583"/>
      <c r="D71" s="160" t="s">
        <v>289</v>
      </c>
      <c r="E71" s="167"/>
      <c r="F71" s="168">
        <v>4</v>
      </c>
      <c r="G71" s="168"/>
      <c r="H71" s="169">
        <v>4</v>
      </c>
      <c r="I71" s="167"/>
      <c r="J71" s="168">
        <v>15</v>
      </c>
      <c r="K71" s="168">
        <v>1</v>
      </c>
      <c r="L71" s="169">
        <v>16</v>
      </c>
      <c r="M71" s="167"/>
      <c r="N71" s="168"/>
      <c r="O71" s="168">
        <v>1</v>
      </c>
      <c r="P71" s="170">
        <v>1</v>
      </c>
      <c r="Q71" s="168"/>
      <c r="R71" s="168">
        <v>16</v>
      </c>
      <c r="S71" s="168"/>
      <c r="T71" s="170">
        <v>16</v>
      </c>
      <c r="U71" s="168"/>
      <c r="V71" s="168">
        <v>1</v>
      </c>
      <c r="W71" s="168"/>
      <c r="X71" s="170">
        <v>1</v>
      </c>
      <c r="Y71" s="168"/>
      <c r="Z71" s="168">
        <v>2</v>
      </c>
      <c r="AA71" s="168">
        <v>11</v>
      </c>
      <c r="AB71" s="170">
        <f t="shared" si="0"/>
        <v>13</v>
      </c>
      <c r="AC71" s="168"/>
      <c r="AD71" s="168"/>
      <c r="AE71" s="168"/>
      <c r="AF71" s="170">
        <f t="shared" si="1"/>
        <v>0</v>
      </c>
      <c r="AG71" s="168"/>
      <c r="AH71" s="168"/>
      <c r="AI71" s="168"/>
      <c r="AJ71" s="170">
        <f t="shared" si="2"/>
        <v>0</v>
      </c>
    </row>
    <row r="72" spans="2:36" s="47" customFormat="1" ht="14.25" customHeight="1" x14ac:dyDescent="0.2">
      <c r="B72" s="5583"/>
      <c r="C72" s="5583"/>
      <c r="D72" s="173" t="s">
        <v>242</v>
      </c>
      <c r="E72" s="167"/>
      <c r="F72" s="168"/>
      <c r="G72" s="168"/>
      <c r="H72" s="169"/>
      <c r="I72" s="167"/>
      <c r="J72" s="168"/>
      <c r="K72" s="168"/>
      <c r="L72" s="169"/>
      <c r="M72" s="167"/>
      <c r="N72" s="168"/>
      <c r="O72" s="168"/>
      <c r="P72" s="170"/>
      <c r="Q72" s="168">
        <v>3</v>
      </c>
      <c r="R72" s="168"/>
      <c r="S72" s="168"/>
      <c r="T72" s="170">
        <v>3</v>
      </c>
      <c r="U72" s="168"/>
      <c r="V72" s="168"/>
      <c r="W72" s="168"/>
      <c r="X72" s="170"/>
      <c r="Y72" s="168">
        <v>2</v>
      </c>
      <c r="Z72" s="168"/>
      <c r="AA72" s="168"/>
      <c r="AB72" s="170">
        <f t="shared" ref="AB72:AB89" si="3">SUM(Y72:AA72)</f>
        <v>2</v>
      </c>
      <c r="AC72" s="168"/>
      <c r="AD72" s="168"/>
      <c r="AE72" s="168"/>
      <c r="AF72" s="170">
        <f t="shared" ref="AF72:AF89" si="4">SUM(AC72:AE72)</f>
        <v>0</v>
      </c>
      <c r="AG72" s="168"/>
      <c r="AH72" s="168"/>
      <c r="AI72" s="168"/>
      <c r="AJ72" s="170">
        <f t="shared" ref="AJ72:AJ89" si="5">SUM(AG72:AI72)</f>
        <v>0</v>
      </c>
    </row>
    <row r="73" spans="2:36" s="47" customFormat="1" ht="20.25" x14ac:dyDescent="0.2">
      <c r="B73" s="5583"/>
      <c r="C73" s="5583"/>
      <c r="D73" s="173" t="s">
        <v>316</v>
      </c>
      <c r="E73" s="176"/>
      <c r="F73" s="168"/>
      <c r="G73" s="168"/>
      <c r="H73" s="169"/>
      <c r="I73" s="167"/>
      <c r="J73" s="168"/>
      <c r="K73" s="168"/>
      <c r="L73" s="169"/>
      <c r="M73" s="167"/>
      <c r="N73" s="168"/>
      <c r="O73" s="168"/>
      <c r="P73" s="170"/>
      <c r="Q73" s="168"/>
      <c r="R73" s="168">
        <v>1</v>
      </c>
      <c r="S73" s="168"/>
      <c r="T73" s="170">
        <v>1</v>
      </c>
      <c r="U73" s="168"/>
      <c r="V73" s="168"/>
      <c r="W73" s="168"/>
      <c r="X73" s="170"/>
      <c r="Y73" s="168"/>
      <c r="Z73" s="168"/>
      <c r="AA73" s="168"/>
      <c r="AB73" s="170">
        <f t="shared" si="3"/>
        <v>0</v>
      </c>
      <c r="AC73" s="168"/>
      <c r="AD73" s="168"/>
      <c r="AE73" s="168"/>
      <c r="AF73" s="170">
        <f t="shared" si="4"/>
        <v>0</v>
      </c>
      <c r="AG73" s="168"/>
      <c r="AH73" s="168"/>
      <c r="AI73" s="168"/>
      <c r="AJ73" s="170">
        <f t="shared" si="5"/>
        <v>0</v>
      </c>
    </row>
    <row r="74" spans="2:36" s="47" customFormat="1" ht="20.25" x14ac:dyDescent="0.2">
      <c r="B74" s="5583"/>
      <c r="C74" s="5583"/>
      <c r="D74" s="173" t="s">
        <v>317</v>
      </c>
      <c r="E74" s="176"/>
      <c r="F74" s="168"/>
      <c r="G74" s="168">
        <v>6</v>
      </c>
      <c r="H74" s="169">
        <v>6</v>
      </c>
      <c r="I74" s="167"/>
      <c r="J74" s="168"/>
      <c r="K74" s="168"/>
      <c r="L74" s="169"/>
      <c r="M74" s="167"/>
      <c r="N74" s="168"/>
      <c r="O74" s="168"/>
      <c r="P74" s="170"/>
      <c r="Q74" s="168"/>
      <c r="R74" s="168"/>
      <c r="S74" s="168"/>
      <c r="T74" s="170"/>
      <c r="U74" s="168"/>
      <c r="V74" s="168"/>
      <c r="W74" s="168"/>
      <c r="X74" s="170"/>
      <c r="Y74" s="168"/>
      <c r="Z74" s="168"/>
      <c r="AA74" s="168"/>
      <c r="AB74" s="170">
        <f t="shared" si="3"/>
        <v>0</v>
      </c>
      <c r="AC74" s="168"/>
      <c r="AD74" s="168"/>
      <c r="AE74" s="168"/>
      <c r="AF74" s="170">
        <f t="shared" si="4"/>
        <v>0</v>
      </c>
      <c r="AG74" s="168"/>
      <c r="AH74" s="168"/>
      <c r="AI74" s="168"/>
      <c r="AJ74" s="170">
        <f t="shared" si="5"/>
        <v>0</v>
      </c>
    </row>
    <row r="75" spans="2:36" s="47" customFormat="1" ht="14.25" customHeight="1" x14ac:dyDescent="0.2">
      <c r="B75" s="5583"/>
      <c r="C75" s="5583"/>
      <c r="D75" s="173" t="s">
        <v>243</v>
      </c>
      <c r="E75" s="167"/>
      <c r="F75" s="168"/>
      <c r="G75" s="168"/>
      <c r="H75" s="169"/>
      <c r="I75" s="167"/>
      <c r="J75" s="168"/>
      <c r="K75" s="168"/>
      <c r="L75" s="169"/>
      <c r="M75" s="167"/>
      <c r="N75" s="168"/>
      <c r="O75" s="168"/>
      <c r="P75" s="170"/>
      <c r="Q75" s="168"/>
      <c r="R75" s="168"/>
      <c r="S75" s="168"/>
      <c r="T75" s="170"/>
      <c r="U75" s="168"/>
      <c r="V75" s="168">
        <v>2</v>
      </c>
      <c r="W75" s="168"/>
      <c r="X75" s="170">
        <v>2</v>
      </c>
      <c r="Y75" s="168">
        <v>4</v>
      </c>
      <c r="Z75" s="168"/>
      <c r="AA75" s="168"/>
      <c r="AB75" s="170">
        <f t="shared" si="3"/>
        <v>4</v>
      </c>
      <c r="AC75" s="168">
        <v>2</v>
      </c>
      <c r="AD75" s="168"/>
      <c r="AE75" s="168"/>
      <c r="AF75" s="170">
        <f t="shared" si="4"/>
        <v>2</v>
      </c>
      <c r="AG75" s="168"/>
      <c r="AH75" s="168"/>
      <c r="AI75" s="168"/>
      <c r="AJ75" s="170">
        <f t="shared" si="5"/>
        <v>0</v>
      </c>
    </row>
    <row r="76" spans="2:36" s="47" customFormat="1" ht="14.25" customHeight="1" x14ac:dyDescent="0.2">
      <c r="B76" s="5583"/>
      <c r="C76" s="5583"/>
      <c r="D76" s="173" t="s">
        <v>290</v>
      </c>
      <c r="E76" s="167">
        <v>27</v>
      </c>
      <c r="F76" s="168">
        <v>13</v>
      </c>
      <c r="G76" s="168"/>
      <c r="H76" s="169">
        <v>40</v>
      </c>
      <c r="I76" s="167"/>
      <c r="J76" s="168">
        <v>5</v>
      </c>
      <c r="K76" s="168"/>
      <c r="L76" s="169">
        <v>5</v>
      </c>
      <c r="M76" s="167">
        <v>29</v>
      </c>
      <c r="N76" s="168"/>
      <c r="O76" s="168">
        <v>1</v>
      </c>
      <c r="P76" s="170">
        <v>30</v>
      </c>
      <c r="Q76" s="168"/>
      <c r="R76" s="168">
        <v>8</v>
      </c>
      <c r="S76" s="168"/>
      <c r="T76" s="170">
        <v>8</v>
      </c>
      <c r="U76" s="168"/>
      <c r="V76" s="168">
        <v>12</v>
      </c>
      <c r="W76" s="168"/>
      <c r="X76" s="170">
        <v>12</v>
      </c>
      <c r="Y76" s="168">
        <v>1</v>
      </c>
      <c r="Z76" s="168"/>
      <c r="AA76" s="168"/>
      <c r="AB76" s="170">
        <f t="shared" si="3"/>
        <v>1</v>
      </c>
      <c r="AC76" s="168">
        <v>21</v>
      </c>
      <c r="AD76" s="168"/>
      <c r="AE76" s="168"/>
      <c r="AF76" s="170">
        <f t="shared" si="4"/>
        <v>21</v>
      </c>
      <c r="AG76" s="168"/>
      <c r="AH76" s="168"/>
      <c r="AI76" s="168"/>
      <c r="AJ76" s="170">
        <f t="shared" si="5"/>
        <v>0</v>
      </c>
    </row>
    <row r="77" spans="2:36" s="47" customFormat="1" ht="22.5" x14ac:dyDescent="0.2">
      <c r="B77" s="5583"/>
      <c r="C77" s="5584" t="s">
        <v>11</v>
      </c>
      <c r="D77" s="420" t="s">
        <v>291</v>
      </c>
      <c r="E77" s="161"/>
      <c r="F77" s="162"/>
      <c r="G77" s="162"/>
      <c r="H77" s="163"/>
      <c r="I77" s="161"/>
      <c r="J77" s="162"/>
      <c r="K77" s="162"/>
      <c r="L77" s="163"/>
      <c r="M77" s="161">
        <v>1</v>
      </c>
      <c r="N77" s="162"/>
      <c r="O77" s="162"/>
      <c r="P77" s="164">
        <v>1</v>
      </c>
      <c r="Q77" s="162">
        <v>1</v>
      </c>
      <c r="R77" s="162"/>
      <c r="S77" s="162"/>
      <c r="T77" s="164">
        <v>1</v>
      </c>
      <c r="U77" s="162"/>
      <c r="V77" s="162"/>
      <c r="W77" s="162"/>
      <c r="X77" s="164"/>
      <c r="Y77" s="162">
        <v>1</v>
      </c>
      <c r="Z77" s="162"/>
      <c r="AA77" s="162"/>
      <c r="AB77" s="164">
        <f t="shared" si="3"/>
        <v>1</v>
      </c>
      <c r="AC77" s="162"/>
      <c r="AD77" s="162"/>
      <c r="AE77" s="162"/>
      <c r="AF77" s="164">
        <f t="shared" si="4"/>
        <v>0</v>
      </c>
      <c r="AG77" s="162"/>
      <c r="AH77" s="162"/>
      <c r="AI77" s="162"/>
      <c r="AJ77" s="164">
        <f t="shared" si="5"/>
        <v>0</v>
      </c>
    </row>
    <row r="78" spans="2:36" s="47" customFormat="1" ht="22.5" x14ac:dyDescent="0.2">
      <c r="B78" s="5583"/>
      <c r="C78" s="5583"/>
      <c r="D78" s="160" t="s">
        <v>292</v>
      </c>
      <c r="E78" s="167">
        <v>4</v>
      </c>
      <c r="F78" s="168"/>
      <c r="G78" s="168"/>
      <c r="H78" s="169">
        <v>4</v>
      </c>
      <c r="I78" s="167"/>
      <c r="J78" s="168"/>
      <c r="K78" s="168"/>
      <c r="L78" s="169"/>
      <c r="M78" s="167"/>
      <c r="N78" s="168"/>
      <c r="O78" s="168"/>
      <c r="P78" s="170"/>
      <c r="Q78" s="168"/>
      <c r="R78" s="168"/>
      <c r="S78" s="168"/>
      <c r="T78" s="170"/>
      <c r="U78" s="168"/>
      <c r="V78" s="168"/>
      <c r="W78" s="168"/>
      <c r="X78" s="170"/>
      <c r="Y78" s="168"/>
      <c r="Z78" s="168"/>
      <c r="AA78" s="168"/>
      <c r="AB78" s="170">
        <f t="shared" si="3"/>
        <v>0</v>
      </c>
      <c r="AC78" s="168"/>
      <c r="AD78" s="168"/>
      <c r="AE78" s="168"/>
      <c r="AF78" s="170">
        <f t="shared" si="4"/>
        <v>0</v>
      </c>
      <c r="AG78" s="168"/>
      <c r="AH78" s="168"/>
      <c r="AI78" s="168"/>
      <c r="AJ78" s="170">
        <f t="shared" si="5"/>
        <v>0</v>
      </c>
    </row>
    <row r="79" spans="2:36" s="47" customFormat="1" ht="14.25" customHeight="1" x14ac:dyDescent="0.2">
      <c r="B79" s="5583"/>
      <c r="C79" s="5583"/>
      <c r="D79" s="160" t="s">
        <v>293</v>
      </c>
      <c r="E79" s="167"/>
      <c r="F79" s="168"/>
      <c r="G79" s="168">
        <v>4</v>
      </c>
      <c r="H79" s="169">
        <v>4</v>
      </c>
      <c r="I79" s="167"/>
      <c r="J79" s="168"/>
      <c r="K79" s="168"/>
      <c r="L79" s="169"/>
      <c r="M79" s="167"/>
      <c r="N79" s="168"/>
      <c r="O79" s="168"/>
      <c r="P79" s="170"/>
      <c r="Q79" s="168"/>
      <c r="R79" s="168"/>
      <c r="S79" s="168"/>
      <c r="T79" s="170"/>
      <c r="U79" s="168"/>
      <c r="V79" s="168"/>
      <c r="W79" s="168"/>
      <c r="X79" s="170"/>
      <c r="Y79" s="168"/>
      <c r="Z79" s="168"/>
      <c r="AA79" s="168"/>
      <c r="AB79" s="170">
        <f t="shared" si="3"/>
        <v>0</v>
      </c>
      <c r="AC79" s="168"/>
      <c r="AD79" s="168"/>
      <c r="AE79" s="168"/>
      <c r="AF79" s="170">
        <f t="shared" si="4"/>
        <v>0</v>
      </c>
      <c r="AG79" s="168"/>
      <c r="AH79" s="168"/>
      <c r="AI79" s="168"/>
      <c r="AJ79" s="170">
        <f t="shared" si="5"/>
        <v>0</v>
      </c>
    </row>
    <row r="80" spans="2:36" s="47" customFormat="1" ht="14.25" customHeight="1" x14ac:dyDescent="0.2">
      <c r="B80" s="5583"/>
      <c r="C80" s="5583"/>
      <c r="D80" s="160" t="s">
        <v>294</v>
      </c>
      <c r="E80" s="167">
        <v>5</v>
      </c>
      <c r="F80" s="168"/>
      <c r="G80" s="168"/>
      <c r="H80" s="169">
        <v>5</v>
      </c>
      <c r="I80" s="167"/>
      <c r="J80" s="168"/>
      <c r="K80" s="168">
        <v>4</v>
      </c>
      <c r="L80" s="169">
        <v>4</v>
      </c>
      <c r="M80" s="167"/>
      <c r="N80" s="168">
        <v>1</v>
      </c>
      <c r="O80" s="168"/>
      <c r="P80" s="170">
        <v>1</v>
      </c>
      <c r="Q80" s="168"/>
      <c r="R80" s="168"/>
      <c r="S80" s="168">
        <v>7</v>
      </c>
      <c r="T80" s="170">
        <v>7</v>
      </c>
      <c r="U80" s="168"/>
      <c r="V80" s="168"/>
      <c r="W80" s="168">
        <v>8</v>
      </c>
      <c r="X80" s="170">
        <v>8</v>
      </c>
      <c r="Y80" s="168">
        <v>1</v>
      </c>
      <c r="Z80" s="168"/>
      <c r="AA80" s="168"/>
      <c r="AB80" s="170">
        <f t="shared" si="3"/>
        <v>1</v>
      </c>
      <c r="AC80" s="168"/>
      <c r="AD80" s="168"/>
      <c r="AE80" s="168"/>
      <c r="AF80" s="170">
        <f t="shared" si="4"/>
        <v>0</v>
      </c>
      <c r="AG80" s="168"/>
      <c r="AH80" s="168"/>
      <c r="AI80" s="168"/>
      <c r="AJ80" s="170">
        <f t="shared" si="5"/>
        <v>0</v>
      </c>
    </row>
    <row r="81" spans="2:36" s="47" customFormat="1" ht="14.25" customHeight="1" x14ac:dyDescent="0.2">
      <c r="B81" s="5583"/>
      <c r="C81" s="5583"/>
      <c r="D81" s="160" t="s">
        <v>295</v>
      </c>
      <c r="E81" s="167">
        <v>3</v>
      </c>
      <c r="F81" s="168">
        <v>6</v>
      </c>
      <c r="G81" s="168"/>
      <c r="H81" s="169">
        <v>9</v>
      </c>
      <c r="I81" s="167"/>
      <c r="J81" s="168">
        <v>6</v>
      </c>
      <c r="K81" s="168"/>
      <c r="L81" s="169">
        <v>6</v>
      </c>
      <c r="M81" s="167"/>
      <c r="N81" s="168">
        <v>9</v>
      </c>
      <c r="O81" s="168">
        <v>1</v>
      </c>
      <c r="P81" s="170">
        <v>10</v>
      </c>
      <c r="Q81" s="168">
        <v>1</v>
      </c>
      <c r="R81" s="168">
        <v>10</v>
      </c>
      <c r="S81" s="168">
        <v>2</v>
      </c>
      <c r="T81" s="170">
        <v>13</v>
      </c>
      <c r="U81" s="168">
        <v>1</v>
      </c>
      <c r="V81" s="168">
        <v>6</v>
      </c>
      <c r="W81" s="168">
        <v>3</v>
      </c>
      <c r="X81" s="170">
        <v>10</v>
      </c>
      <c r="Y81" s="168"/>
      <c r="Z81" s="168"/>
      <c r="AA81" s="168">
        <v>3</v>
      </c>
      <c r="AB81" s="170">
        <f t="shared" si="3"/>
        <v>3</v>
      </c>
      <c r="AC81" s="168"/>
      <c r="AD81" s="168"/>
      <c r="AE81" s="168"/>
      <c r="AF81" s="170">
        <f t="shared" si="4"/>
        <v>0</v>
      </c>
      <c r="AG81" s="168"/>
      <c r="AH81" s="168"/>
      <c r="AI81" s="168"/>
      <c r="AJ81" s="170">
        <f t="shared" si="5"/>
        <v>0</v>
      </c>
    </row>
    <row r="82" spans="2:36" s="47" customFormat="1" ht="14.25" customHeight="1" x14ac:dyDescent="0.2">
      <c r="B82" s="5583"/>
      <c r="C82" s="5583"/>
      <c r="D82" s="160" t="s">
        <v>296</v>
      </c>
      <c r="E82" s="167"/>
      <c r="F82" s="168">
        <v>5</v>
      </c>
      <c r="G82" s="168"/>
      <c r="H82" s="169">
        <v>5</v>
      </c>
      <c r="I82" s="167"/>
      <c r="J82" s="168"/>
      <c r="K82" s="168"/>
      <c r="L82" s="169"/>
      <c r="M82" s="167">
        <v>2</v>
      </c>
      <c r="N82" s="168"/>
      <c r="O82" s="168"/>
      <c r="P82" s="170">
        <v>2</v>
      </c>
      <c r="Q82" s="168"/>
      <c r="R82" s="168"/>
      <c r="S82" s="168">
        <v>5</v>
      </c>
      <c r="T82" s="170">
        <v>5</v>
      </c>
      <c r="U82" s="168"/>
      <c r="V82" s="168"/>
      <c r="W82" s="168"/>
      <c r="X82" s="170"/>
      <c r="Y82" s="168"/>
      <c r="Z82" s="168">
        <v>5</v>
      </c>
      <c r="AA82" s="168"/>
      <c r="AB82" s="170">
        <f t="shared" si="3"/>
        <v>5</v>
      </c>
      <c r="AC82" s="168"/>
      <c r="AD82" s="168"/>
      <c r="AE82" s="168"/>
      <c r="AF82" s="170">
        <f t="shared" si="4"/>
        <v>0</v>
      </c>
      <c r="AG82" s="168"/>
      <c r="AH82" s="168"/>
      <c r="AI82" s="168"/>
      <c r="AJ82" s="170">
        <f t="shared" si="5"/>
        <v>0</v>
      </c>
    </row>
    <row r="83" spans="2:36" s="47" customFormat="1" ht="22.5" x14ac:dyDescent="0.2">
      <c r="B83" s="5583"/>
      <c r="C83" s="5583"/>
      <c r="D83" s="160" t="s">
        <v>297</v>
      </c>
      <c r="E83" s="167"/>
      <c r="F83" s="168"/>
      <c r="G83" s="168">
        <v>4</v>
      </c>
      <c r="H83" s="169">
        <v>4</v>
      </c>
      <c r="I83" s="167"/>
      <c r="J83" s="168"/>
      <c r="K83" s="168"/>
      <c r="L83" s="169"/>
      <c r="M83" s="167"/>
      <c r="N83" s="168"/>
      <c r="O83" s="168">
        <v>11</v>
      </c>
      <c r="P83" s="170">
        <v>11</v>
      </c>
      <c r="Q83" s="168"/>
      <c r="R83" s="168"/>
      <c r="S83" s="168"/>
      <c r="T83" s="170"/>
      <c r="U83" s="168"/>
      <c r="V83" s="168"/>
      <c r="W83" s="168">
        <v>8</v>
      </c>
      <c r="X83" s="170">
        <v>8</v>
      </c>
      <c r="Y83" s="168"/>
      <c r="Z83" s="168"/>
      <c r="AA83" s="168"/>
      <c r="AB83" s="170">
        <f t="shared" si="3"/>
        <v>0</v>
      </c>
      <c r="AC83" s="168"/>
      <c r="AD83" s="168"/>
      <c r="AE83" s="168"/>
      <c r="AF83" s="170">
        <f t="shared" si="4"/>
        <v>0</v>
      </c>
      <c r="AG83" s="168"/>
      <c r="AH83" s="168"/>
      <c r="AI83" s="168"/>
      <c r="AJ83" s="170">
        <f t="shared" si="5"/>
        <v>0</v>
      </c>
    </row>
    <row r="84" spans="2:36" s="47" customFormat="1" ht="14.25" customHeight="1" x14ac:dyDescent="0.2">
      <c r="B84" s="5583"/>
      <c r="C84" s="5583"/>
      <c r="D84" s="160" t="s">
        <v>298</v>
      </c>
      <c r="E84" s="167">
        <v>7</v>
      </c>
      <c r="F84" s="168">
        <v>1</v>
      </c>
      <c r="G84" s="168"/>
      <c r="H84" s="169">
        <v>8</v>
      </c>
      <c r="I84" s="167">
        <v>6</v>
      </c>
      <c r="J84" s="168"/>
      <c r="K84" s="168"/>
      <c r="L84" s="169">
        <v>6</v>
      </c>
      <c r="M84" s="167">
        <v>1</v>
      </c>
      <c r="N84" s="168"/>
      <c r="O84" s="168"/>
      <c r="P84" s="170">
        <v>1</v>
      </c>
      <c r="Q84" s="168">
        <v>1</v>
      </c>
      <c r="R84" s="168"/>
      <c r="S84" s="168"/>
      <c r="T84" s="170">
        <v>1</v>
      </c>
      <c r="U84" s="168"/>
      <c r="V84" s="168">
        <v>4</v>
      </c>
      <c r="W84" s="168"/>
      <c r="X84" s="170">
        <v>4</v>
      </c>
      <c r="Y84" s="168"/>
      <c r="Z84" s="168"/>
      <c r="AA84" s="168">
        <v>2</v>
      </c>
      <c r="AB84" s="170">
        <f t="shared" si="3"/>
        <v>2</v>
      </c>
      <c r="AC84" s="168">
        <v>2</v>
      </c>
      <c r="AD84" s="168"/>
      <c r="AE84" s="168"/>
      <c r="AF84" s="170">
        <f t="shared" si="4"/>
        <v>2</v>
      </c>
      <c r="AG84" s="168"/>
      <c r="AH84" s="168"/>
      <c r="AI84" s="168"/>
      <c r="AJ84" s="170">
        <f t="shared" si="5"/>
        <v>0</v>
      </c>
    </row>
    <row r="85" spans="2:36" s="47" customFormat="1" ht="14.25" customHeight="1" x14ac:dyDescent="0.2">
      <c r="B85" s="5583"/>
      <c r="C85" s="5583"/>
      <c r="D85" s="160" t="s">
        <v>299</v>
      </c>
      <c r="E85" s="167"/>
      <c r="F85" s="168"/>
      <c r="G85" s="168"/>
      <c r="H85" s="169"/>
      <c r="I85" s="167"/>
      <c r="J85" s="168"/>
      <c r="K85" s="168"/>
      <c r="L85" s="169"/>
      <c r="M85" s="167"/>
      <c r="N85" s="168"/>
      <c r="O85" s="168"/>
      <c r="P85" s="170"/>
      <c r="Q85" s="168">
        <v>6</v>
      </c>
      <c r="R85" s="168"/>
      <c r="S85" s="168">
        <v>2</v>
      </c>
      <c r="T85" s="170">
        <v>8</v>
      </c>
      <c r="U85" s="168"/>
      <c r="V85" s="168"/>
      <c r="W85" s="168"/>
      <c r="X85" s="170"/>
      <c r="Y85" s="168"/>
      <c r="Z85" s="168">
        <v>3</v>
      </c>
      <c r="AA85" s="168"/>
      <c r="AB85" s="170">
        <f t="shared" si="3"/>
        <v>3</v>
      </c>
      <c r="AC85" s="168"/>
      <c r="AD85" s="168"/>
      <c r="AE85" s="168"/>
      <c r="AF85" s="170">
        <f t="shared" si="4"/>
        <v>0</v>
      </c>
      <c r="AG85" s="168"/>
      <c r="AH85" s="168"/>
      <c r="AI85" s="168"/>
      <c r="AJ85" s="170">
        <f t="shared" si="5"/>
        <v>0</v>
      </c>
    </row>
    <row r="86" spans="2:36" s="47" customFormat="1" ht="14.25" customHeight="1" x14ac:dyDescent="0.2">
      <c r="B86" s="5583"/>
      <c r="C86" s="5583"/>
      <c r="D86" s="173" t="s">
        <v>279</v>
      </c>
      <c r="E86" s="167">
        <v>1</v>
      </c>
      <c r="F86" s="168"/>
      <c r="G86" s="168">
        <v>7</v>
      </c>
      <c r="H86" s="169">
        <v>8</v>
      </c>
      <c r="I86" s="167"/>
      <c r="J86" s="168"/>
      <c r="K86" s="168">
        <v>4</v>
      </c>
      <c r="L86" s="169">
        <v>4</v>
      </c>
      <c r="M86" s="167"/>
      <c r="N86" s="168"/>
      <c r="O86" s="168">
        <v>2</v>
      </c>
      <c r="P86" s="170">
        <v>2</v>
      </c>
      <c r="Q86" s="168"/>
      <c r="R86" s="168"/>
      <c r="S86" s="168">
        <v>2</v>
      </c>
      <c r="T86" s="170">
        <v>2</v>
      </c>
      <c r="U86" s="168"/>
      <c r="V86" s="168"/>
      <c r="W86" s="168">
        <v>7</v>
      </c>
      <c r="X86" s="170">
        <v>7</v>
      </c>
      <c r="Y86" s="168">
        <v>4</v>
      </c>
      <c r="Z86" s="168"/>
      <c r="AA86" s="168">
        <v>7</v>
      </c>
      <c r="AB86" s="170">
        <f t="shared" si="3"/>
        <v>11</v>
      </c>
      <c r="AC86" s="168">
        <v>2</v>
      </c>
      <c r="AD86" s="168"/>
      <c r="AE86" s="168"/>
      <c r="AF86" s="170">
        <f t="shared" si="4"/>
        <v>2</v>
      </c>
      <c r="AG86" s="168"/>
      <c r="AH86" s="168"/>
      <c r="AI86" s="168"/>
      <c r="AJ86" s="170">
        <f t="shared" si="5"/>
        <v>0</v>
      </c>
    </row>
    <row r="87" spans="2:36" s="47" customFormat="1" ht="14.25" customHeight="1" x14ac:dyDescent="0.2">
      <c r="B87" s="5583"/>
      <c r="C87" s="5585"/>
      <c r="D87" s="429" t="s">
        <v>300</v>
      </c>
      <c r="E87" s="422"/>
      <c r="F87" s="423"/>
      <c r="G87" s="423"/>
      <c r="H87" s="424"/>
      <c r="I87" s="422"/>
      <c r="J87" s="423"/>
      <c r="K87" s="423"/>
      <c r="L87" s="424"/>
      <c r="M87" s="422"/>
      <c r="N87" s="423"/>
      <c r="O87" s="423"/>
      <c r="P87" s="425"/>
      <c r="Q87" s="423"/>
      <c r="R87" s="423"/>
      <c r="S87" s="423">
        <v>1</v>
      </c>
      <c r="T87" s="425">
        <v>1</v>
      </c>
      <c r="U87" s="423"/>
      <c r="V87" s="423"/>
      <c r="W87" s="423"/>
      <c r="X87" s="425"/>
      <c r="Y87" s="423"/>
      <c r="Z87" s="423"/>
      <c r="AA87" s="423"/>
      <c r="AB87" s="425">
        <f t="shared" si="3"/>
        <v>0</v>
      </c>
      <c r="AC87" s="423">
        <v>1</v>
      </c>
      <c r="AD87" s="423"/>
      <c r="AE87" s="423"/>
      <c r="AF87" s="425">
        <f t="shared" si="4"/>
        <v>1</v>
      </c>
      <c r="AG87" s="423"/>
      <c r="AH87" s="423"/>
      <c r="AI87" s="423"/>
      <c r="AJ87" s="425">
        <f t="shared" si="5"/>
        <v>0</v>
      </c>
    </row>
    <row r="88" spans="2:36" s="47" customFormat="1" ht="14.25" customHeight="1" x14ac:dyDescent="0.2">
      <c r="B88" s="5583"/>
      <c r="C88" s="5583" t="s">
        <v>7</v>
      </c>
      <c r="D88" s="173" t="s">
        <v>301</v>
      </c>
      <c r="E88" s="167"/>
      <c r="F88" s="168"/>
      <c r="G88" s="168"/>
      <c r="H88" s="169"/>
      <c r="I88" s="167"/>
      <c r="J88" s="168">
        <v>16</v>
      </c>
      <c r="K88" s="168"/>
      <c r="L88" s="169">
        <v>16</v>
      </c>
      <c r="M88" s="167"/>
      <c r="N88" s="168"/>
      <c r="O88" s="168"/>
      <c r="P88" s="170"/>
      <c r="Q88" s="168"/>
      <c r="R88" s="168"/>
      <c r="S88" s="168">
        <v>6</v>
      </c>
      <c r="T88" s="170">
        <v>6</v>
      </c>
      <c r="U88" s="168"/>
      <c r="V88" s="168"/>
      <c r="W88" s="168">
        <v>2</v>
      </c>
      <c r="X88" s="170">
        <v>2</v>
      </c>
      <c r="Y88" s="168"/>
      <c r="Z88" s="168"/>
      <c r="AA88" s="168"/>
      <c r="AB88" s="170">
        <f t="shared" si="3"/>
        <v>0</v>
      </c>
      <c r="AC88" s="168"/>
      <c r="AD88" s="168"/>
      <c r="AE88" s="168"/>
      <c r="AF88" s="170">
        <f t="shared" si="4"/>
        <v>0</v>
      </c>
      <c r="AG88" s="168"/>
      <c r="AH88" s="168"/>
      <c r="AI88" s="168"/>
      <c r="AJ88" s="170">
        <f t="shared" si="5"/>
        <v>0</v>
      </c>
    </row>
    <row r="89" spans="2:36" s="47" customFormat="1" ht="14.25" customHeight="1" x14ac:dyDescent="0.2">
      <c r="B89" s="5585"/>
      <c r="C89" s="5585"/>
      <c r="D89" s="173" t="s">
        <v>302</v>
      </c>
      <c r="E89" s="150"/>
      <c r="F89" s="151"/>
      <c r="G89" s="151"/>
      <c r="H89" s="15"/>
      <c r="I89" s="150"/>
      <c r="J89" s="151"/>
      <c r="K89" s="151"/>
      <c r="L89" s="15"/>
      <c r="M89" s="150"/>
      <c r="N89" s="151"/>
      <c r="O89" s="151"/>
      <c r="P89" s="152"/>
      <c r="Q89" s="151"/>
      <c r="R89" s="151"/>
      <c r="S89" s="151"/>
      <c r="T89" s="152"/>
      <c r="U89" s="151"/>
      <c r="V89" s="151"/>
      <c r="W89" s="151"/>
      <c r="X89" s="152"/>
      <c r="Y89" s="151"/>
      <c r="Z89" s="151">
        <v>8</v>
      </c>
      <c r="AA89" s="151">
        <v>3</v>
      </c>
      <c r="AB89" s="152">
        <f t="shared" si="3"/>
        <v>11</v>
      </c>
      <c r="AC89" s="151"/>
      <c r="AD89" s="151"/>
      <c r="AE89" s="151"/>
      <c r="AF89" s="152">
        <f t="shared" si="4"/>
        <v>0</v>
      </c>
      <c r="AG89" s="151"/>
      <c r="AH89" s="151"/>
      <c r="AI89" s="151"/>
      <c r="AJ89" s="152">
        <f t="shared" si="5"/>
        <v>0</v>
      </c>
    </row>
    <row r="90" spans="2:36" s="75" customFormat="1" ht="15" x14ac:dyDescent="0.2">
      <c r="B90" s="5586" t="s">
        <v>76</v>
      </c>
      <c r="C90" s="5587"/>
      <c r="D90" s="5587"/>
      <c r="E90" s="324">
        <f t="shared" ref="E90:X90" si="6">SUM(E6:E89)</f>
        <v>180</v>
      </c>
      <c r="F90" s="325">
        <f t="shared" si="6"/>
        <v>70</v>
      </c>
      <c r="G90" s="325">
        <f t="shared" si="6"/>
        <v>132</v>
      </c>
      <c r="H90" s="325">
        <f t="shared" si="6"/>
        <v>382</v>
      </c>
      <c r="I90" s="324">
        <f t="shared" si="6"/>
        <v>64</v>
      </c>
      <c r="J90" s="325">
        <f t="shared" si="6"/>
        <v>67</v>
      </c>
      <c r="K90" s="325">
        <f t="shared" si="6"/>
        <v>244</v>
      </c>
      <c r="L90" s="325">
        <f t="shared" si="6"/>
        <v>375</v>
      </c>
      <c r="M90" s="324">
        <f t="shared" si="6"/>
        <v>71</v>
      </c>
      <c r="N90" s="325">
        <f t="shared" si="6"/>
        <v>37</v>
      </c>
      <c r="O90" s="325">
        <f t="shared" si="6"/>
        <v>98</v>
      </c>
      <c r="P90" s="326">
        <f t="shared" si="6"/>
        <v>206</v>
      </c>
      <c r="Q90" s="325">
        <f t="shared" si="6"/>
        <v>64</v>
      </c>
      <c r="R90" s="325">
        <f t="shared" si="6"/>
        <v>84</v>
      </c>
      <c r="S90" s="325">
        <f t="shared" si="6"/>
        <v>186</v>
      </c>
      <c r="T90" s="326">
        <f t="shared" si="6"/>
        <v>334</v>
      </c>
      <c r="U90" s="325">
        <f t="shared" si="6"/>
        <v>6</v>
      </c>
      <c r="V90" s="325">
        <f t="shared" si="6"/>
        <v>76</v>
      </c>
      <c r="W90" s="325">
        <f t="shared" si="6"/>
        <v>133</v>
      </c>
      <c r="X90" s="326">
        <f t="shared" si="6"/>
        <v>215</v>
      </c>
      <c r="Y90" s="325">
        <f t="shared" ref="Y90:AF90" si="7">SUM(Y6:Y89)</f>
        <v>79</v>
      </c>
      <c r="Z90" s="325">
        <f t="shared" si="7"/>
        <v>44</v>
      </c>
      <c r="AA90" s="325">
        <f t="shared" si="7"/>
        <v>193</v>
      </c>
      <c r="AB90" s="326">
        <f t="shared" si="7"/>
        <v>316</v>
      </c>
      <c r="AC90" s="325">
        <f t="shared" si="7"/>
        <v>119</v>
      </c>
      <c r="AD90" s="325">
        <f t="shared" si="7"/>
        <v>3</v>
      </c>
      <c r="AE90" s="325">
        <f t="shared" si="7"/>
        <v>67</v>
      </c>
      <c r="AF90" s="326">
        <f t="shared" si="7"/>
        <v>189</v>
      </c>
      <c r="AG90" s="325">
        <f>SUM(AG6:AG89)</f>
        <v>0</v>
      </c>
      <c r="AH90" s="325">
        <f>SUM(AH6:AH89)</f>
        <v>0</v>
      </c>
      <c r="AI90" s="325">
        <f>SUM(AI6:AI89)</f>
        <v>0</v>
      </c>
      <c r="AJ90" s="326">
        <f>SUM(AJ6:AJ89)</f>
        <v>0</v>
      </c>
    </row>
    <row r="91" spans="2:36" s="75" customFormat="1" x14ac:dyDescent="0.2">
      <c r="B91" s="5588" t="s">
        <v>0</v>
      </c>
      <c r="C91" s="5588"/>
      <c r="D91" s="5588"/>
    </row>
    <row r="92" spans="2:36" x14ac:dyDescent="0.2">
      <c r="E92" s="76"/>
      <c r="F92" s="76"/>
      <c r="G92" s="76"/>
      <c r="H92" s="60"/>
      <c r="I92" s="76"/>
      <c r="J92" s="76"/>
      <c r="K92" s="76"/>
      <c r="L92" s="60"/>
      <c r="M92" s="76"/>
      <c r="N92" s="76"/>
      <c r="O92" s="76"/>
      <c r="P92" s="60"/>
      <c r="Q92" s="76"/>
      <c r="R92" s="76"/>
      <c r="S92" s="76"/>
      <c r="T92" s="60"/>
      <c r="U92" s="76"/>
      <c r="V92" s="76"/>
      <c r="W92" s="76"/>
      <c r="X92" s="60"/>
      <c r="Y92" s="76"/>
      <c r="Z92" s="76"/>
      <c r="AA92" s="76"/>
      <c r="AB92" s="60"/>
    </row>
  </sheetData>
  <mergeCells count="49">
    <mergeCell ref="E5:E6"/>
    <mergeCell ref="F5:F6"/>
    <mergeCell ref="G5:G6"/>
    <mergeCell ref="K5:K6"/>
    <mergeCell ref="B7:B28"/>
    <mergeCell ref="C7:C11"/>
    <mergeCell ref="H5:H6"/>
    <mergeCell ref="I5:I6"/>
    <mergeCell ref="J5:J6"/>
    <mergeCell ref="B90:D90"/>
    <mergeCell ref="B91:D91"/>
    <mergeCell ref="B5:B6"/>
    <mergeCell ref="C5:C6"/>
    <mergeCell ref="D5:D6"/>
    <mergeCell ref="B29:B61"/>
    <mergeCell ref="B62:B89"/>
    <mergeCell ref="R5:R6"/>
    <mergeCell ref="S5:S6"/>
    <mergeCell ref="L5:L6"/>
    <mergeCell ref="M5:M6"/>
    <mergeCell ref="N5:N6"/>
    <mergeCell ref="P5:P6"/>
    <mergeCell ref="Q5:Q6"/>
    <mergeCell ref="AC5:AC6"/>
    <mergeCell ref="AD5:AD6"/>
    <mergeCell ref="AE5:AE6"/>
    <mergeCell ref="AF5:AF6"/>
    <mergeCell ref="T5:T6"/>
    <mergeCell ref="AA5:AA6"/>
    <mergeCell ref="AB5:AB6"/>
    <mergeCell ref="X5:X6"/>
    <mergeCell ref="Y5:Y6"/>
    <mergeCell ref="Z5:Z6"/>
    <mergeCell ref="AI5:AI6"/>
    <mergeCell ref="AJ5:AJ6"/>
    <mergeCell ref="C62:C76"/>
    <mergeCell ref="C77:C87"/>
    <mergeCell ref="C88:C89"/>
    <mergeCell ref="AG5:AG6"/>
    <mergeCell ref="AH5:AH6"/>
    <mergeCell ref="C12:C23"/>
    <mergeCell ref="C24:C28"/>
    <mergeCell ref="C29:C41"/>
    <mergeCell ref="C42:C52"/>
    <mergeCell ref="C53:C61"/>
    <mergeCell ref="U5:U6"/>
    <mergeCell ref="V5:V6"/>
    <mergeCell ref="W5:W6"/>
    <mergeCell ref="O5:O6"/>
  </mergeCells>
  <printOptions horizontalCentered="1" verticalCentered="1"/>
  <pageMargins left="0.39370078740157483" right="0.39370078740157483" top="0.51181102362204722" bottom="0.59055118110236227" header="0.43307086614173229" footer="0.31496062992125984"/>
  <pageSetup scale="40" orientation="portrait" horizontalDpi="1200" verticalDpi="1200" r:id="rId1"/>
  <headerFooter alignWithMargins="0">
    <oddHeader>&amp;LANEXO ESTADÍSTICO  2008&amp;CCOBERTURA EDUCATIVA&amp;R&amp;G</oddHeader>
    <oddFooter>&amp;R37</oddFooter>
  </headerFooter>
  <ignoredErrors>
    <ignoredError sqref="AB7:AB34 AB35:AB90" formulaRange="1"/>
  </ignoredErrors>
  <legacyDrawingHF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B1:AJ74"/>
  <sheetViews>
    <sheetView showGridLines="0" topLeftCell="I1" zoomScale="90" zoomScaleNormal="90" workbookViewId="0">
      <selection activeCell="C4" sqref="C4"/>
    </sheetView>
  </sheetViews>
  <sheetFormatPr baseColWidth="10" defaultRowHeight="12.75" x14ac:dyDescent="0.2"/>
  <cols>
    <col min="1" max="1" width="1.5703125" style="1" customWidth="1"/>
    <col min="2" max="2" width="16.7109375" style="1" customWidth="1"/>
    <col min="3" max="3" width="9.28515625" style="1" bestFit="1" customWidth="1"/>
    <col min="4" max="4" width="29.7109375" style="74" customWidth="1"/>
    <col min="5" max="8" width="7.5703125" style="74" customWidth="1"/>
    <col min="9" max="11" width="7.5703125" style="1" customWidth="1"/>
    <col min="12" max="12" width="7.5703125" style="27" customWidth="1"/>
    <col min="13" max="15" width="7.5703125" style="1" customWidth="1"/>
    <col min="16" max="16" width="7.5703125" style="27" customWidth="1"/>
    <col min="17" max="19" width="7.5703125" style="1" customWidth="1"/>
    <col min="20" max="20" width="7.5703125" style="27" customWidth="1"/>
    <col min="21" max="23" width="7.5703125" style="1" customWidth="1"/>
    <col min="24" max="24" width="7.5703125" style="27" customWidth="1"/>
    <col min="25" max="27" width="7.5703125" style="1" customWidth="1"/>
    <col min="28" max="28" width="7.7109375" style="1" customWidth="1"/>
    <col min="29" max="31" width="7.5703125" style="1" customWidth="1"/>
    <col min="32" max="36" width="7.7109375" style="1" customWidth="1"/>
    <col min="37" max="16384" width="11.42578125" style="1"/>
  </cols>
  <sheetData>
    <row r="1" spans="2:36" s="75" customFormat="1" ht="18" x14ac:dyDescent="0.2"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</row>
    <row r="2" spans="2:36" s="75" customFormat="1" ht="18" x14ac:dyDescent="0.2">
      <c r="B2" s="5604" t="s">
        <v>34</v>
      </c>
      <c r="C2" s="5604"/>
      <c r="D2" s="5604"/>
      <c r="E2" s="5604"/>
      <c r="F2" s="5604"/>
      <c r="G2" s="5604"/>
      <c r="H2" s="5604"/>
      <c r="I2" s="5604"/>
      <c r="J2" s="5604"/>
      <c r="K2" s="5604"/>
      <c r="L2" s="5604"/>
      <c r="M2" s="5604"/>
      <c r="N2" s="5604"/>
      <c r="O2" s="5604"/>
      <c r="P2" s="5604"/>
      <c r="Q2" s="5604"/>
      <c r="R2" s="5604"/>
      <c r="S2" s="5604"/>
      <c r="T2" s="5604"/>
      <c r="U2" s="5604"/>
      <c r="V2" s="5604"/>
      <c r="W2" s="5604"/>
      <c r="X2" s="5604"/>
      <c r="Y2" s="5604"/>
      <c r="Z2" s="5604"/>
      <c r="AA2" s="5604"/>
      <c r="AB2" s="5604"/>
    </row>
    <row r="3" spans="2:36" s="75" customFormat="1" ht="18" x14ac:dyDescent="0.2">
      <c r="B3" s="5604" t="s">
        <v>153</v>
      </c>
      <c r="C3" s="5604"/>
      <c r="D3" s="5604"/>
      <c r="E3" s="5604"/>
      <c r="F3" s="5604"/>
      <c r="G3" s="5604"/>
      <c r="H3" s="5604"/>
      <c r="I3" s="5604"/>
      <c r="J3" s="5604"/>
      <c r="K3" s="5604"/>
      <c r="L3" s="5604"/>
      <c r="M3" s="5604"/>
      <c r="N3" s="5604"/>
      <c r="O3" s="5604"/>
      <c r="P3" s="5604"/>
      <c r="Q3" s="5604"/>
      <c r="R3" s="5604"/>
      <c r="S3" s="5604"/>
      <c r="T3" s="5604"/>
      <c r="U3" s="5604"/>
      <c r="V3" s="5604"/>
      <c r="W3" s="5604"/>
      <c r="X3" s="5604"/>
      <c r="Y3" s="5604"/>
      <c r="Z3" s="5604"/>
      <c r="AA3" s="5604"/>
      <c r="AB3" s="5604"/>
    </row>
    <row r="4" spans="2:36" s="75" customFormat="1" ht="20.25" x14ac:dyDescent="0.2"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</row>
    <row r="5" spans="2:36" ht="12.75" customHeight="1" x14ac:dyDescent="0.2">
      <c r="B5" s="5589" t="s">
        <v>16</v>
      </c>
      <c r="C5" s="5589" t="s">
        <v>4</v>
      </c>
      <c r="D5" s="5589" t="s">
        <v>25</v>
      </c>
      <c r="E5" s="5607" t="s">
        <v>156</v>
      </c>
      <c r="F5" s="5607" t="s">
        <v>154</v>
      </c>
      <c r="G5" s="5607" t="s">
        <v>155</v>
      </c>
      <c r="H5" s="5607" t="s">
        <v>157</v>
      </c>
      <c r="I5" s="5601" t="s">
        <v>73</v>
      </c>
      <c r="J5" s="5601" t="s">
        <v>71</v>
      </c>
      <c r="K5" s="5601" t="s">
        <v>70</v>
      </c>
      <c r="L5" s="5605" t="s">
        <v>61</v>
      </c>
      <c r="M5" s="5601" t="s">
        <v>72</v>
      </c>
      <c r="N5" s="5601" t="s">
        <v>24</v>
      </c>
      <c r="O5" s="5601" t="s">
        <v>23</v>
      </c>
      <c r="P5" s="5601" t="s">
        <v>62</v>
      </c>
      <c r="Q5" s="5602" t="s">
        <v>69</v>
      </c>
      <c r="R5" s="5601" t="s">
        <v>59</v>
      </c>
      <c r="S5" s="5601" t="s">
        <v>21</v>
      </c>
      <c r="T5" s="5601" t="s">
        <v>63</v>
      </c>
      <c r="U5" s="5602" t="s">
        <v>22</v>
      </c>
      <c r="V5" s="5601" t="s">
        <v>17</v>
      </c>
      <c r="W5" s="5601" t="s">
        <v>18</v>
      </c>
      <c r="X5" s="5601" t="s">
        <v>64</v>
      </c>
      <c r="Y5" s="5599" t="s">
        <v>150</v>
      </c>
      <c r="Z5" s="5600" t="s">
        <v>148</v>
      </c>
      <c r="AA5" s="5600" t="s">
        <v>149</v>
      </c>
      <c r="AB5" s="5593" t="s">
        <v>151</v>
      </c>
      <c r="AC5" s="5600" t="s">
        <v>325</v>
      </c>
      <c r="AD5" s="5600" t="s">
        <v>324</v>
      </c>
      <c r="AE5" s="5600" t="s">
        <v>323</v>
      </c>
      <c r="AF5" s="5593" t="s">
        <v>327</v>
      </c>
      <c r="AG5" s="5599" t="s">
        <v>338</v>
      </c>
      <c r="AH5" s="5600" t="s">
        <v>335</v>
      </c>
      <c r="AI5" s="5600" t="s">
        <v>336</v>
      </c>
      <c r="AJ5" s="5593" t="s">
        <v>339</v>
      </c>
    </row>
    <row r="6" spans="2:36" ht="12.75" customHeight="1" x14ac:dyDescent="0.2">
      <c r="B6" s="5589"/>
      <c r="C6" s="5589"/>
      <c r="D6" s="5589"/>
      <c r="E6" s="5608"/>
      <c r="F6" s="5608"/>
      <c r="G6" s="5608"/>
      <c r="H6" s="5608"/>
      <c r="I6" s="5601"/>
      <c r="J6" s="5601"/>
      <c r="K6" s="5601"/>
      <c r="L6" s="5605"/>
      <c r="M6" s="5601"/>
      <c r="N6" s="5601"/>
      <c r="O6" s="5601"/>
      <c r="P6" s="5601"/>
      <c r="Q6" s="5602"/>
      <c r="R6" s="5601"/>
      <c r="S6" s="5601"/>
      <c r="T6" s="5601"/>
      <c r="U6" s="5602"/>
      <c r="V6" s="5601"/>
      <c r="W6" s="5601"/>
      <c r="X6" s="5601"/>
      <c r="Y6" s="5599"/>
      <c r="Z6" s="5600"/>
      <c r="AA6" s="5600"/>
      <c r="AB6" s="5594"/>
      <c r="AC6" s="5600"/>
      <c r="AD6" s="5600"/>
      <c r="AE6" s="5600"/>
      <c r="AF6" s="5594"/>
      <c r="AG6" s="5599"/>
      <c r="AH6" s="5600"/>
      <c r="AI6" s="5600"/>
      <c r="AJ6" s="5594"/>
    </row>
    <row r="7" spans="2:36" ht="12.75" customHeight="1" x14ac:dyDescent="0.2">
      <c r="D7" s="1"/>
      <c r="E7" s="1"/>
      <c r="F7" s="1"/>
      <c r="G7" s="1"/>
      <c r="H7" s="1"/>
      <c r="L7" s="1"/>
      <c r="P7" s="1"/>
      <c r="T7" s="1"/>
      <c r="X7" s="1"/>
    </row>
    <row r="8" spans="2:36" ht="12.75" customHeight="1" x14ac:dyDescent="0.2">
      <c r="B8" s="5596" t="s">
        <v>3</v>
      </c>
      <c r="C8" s="5590" t="s">
        <v>5</v>
      </c>
      <c r="D8" s="283" t="s">
        <v>26</v>
      </c>
      <c r="E8" s="357"/>
      <c r="F8" s="356"/>
      <c r="G8" s="356"/>
      <c r="H8" s="358"/>
      <c r="I8" s="286"/>
      <c r="J8" s="284"/>
      <c r="K8" s="284"/>
      <c r="L8" s="285"/>
      <c r="M8" s="286"/>
      <c r="N8" s="284"/>
      <c r="O8" s="284"/>
      <c r="P8" s="287"/>
      <c r="Q8" s="284"/>
      <c r="R8" s="284"/>
      <c r="S8" s="284"/>
      <c r="T8" s="287"/>
      <c r="U8" s="284"/>
      <c r="V8" s="284"/>
      <c r="W8" s="284"/>
      <c r="X8" s="287"/>
      <c r="Y8" s="288"/>
      <c r="Z8" s="289"/>
      <c r="AA8" s="289"/>
      <c r="AB8" s="359"/>
      <c r="AC8" s="288"/>
      <c r="AD8" s="289"/>
      <c r="AE8" s="289"/>
      <c r="AF8" s="360"/>
      <c r="AG8" s="288"/>
      <c r="AH8" s="289"/>
      <c r="AI8" s="289"/>
      <c r="AJ8" s="360"/>
    </row>
    <row r="9" spans="2:36" ht="12.75" customHeight="1" x14ac:dyDescent="0.2">
      <c r="B9" s="5597"/>
      <c r="C9" s="5591"/>
      <c r="D9" s="291" t="s">
        <v>27</v>
      </c>
      <c r="E9" s="339">
        <v>17</v>
      </c>
      <c r="F9" s="340">
        <v>6</v>
      </c>
      <c r="G9" s="340">
        <v>5</v>
      </c>
      <c r="H9" s="341">
        <v>28</v>
      </c>
      <c r="I9" s="294">
        <v>4</v>
      </c>
      <c r="J9" s="292">
        <v>3</v>
      </c>
      <c r="K9" s="292">
        <v>18</v>
      </c>
      <c r="L9" s="293">
        <v>25</v>
      </c>
      <c r="M9" s="294">
        <v>5</v>
      </c>
      <c r="N9" s="292">
        <v>10</v>
      </c>
      <c r="O9" s="292">
        <v>12</v>
      </c>
      <c r="P9" s="295">
        <v>27</v>
      </c>
      <c r="Q9" s="292">
        <v>3</v>
      </c>
      <c r="R9" s="292">
        <v>2</v>
      </c>
      <c r="S9" s="292">
        <v>9</v>
      </c>
      <c r="T9" s="295">
        <v>14</v>
      </c>
      <c r="U9" s="292">
        <v>0</v>
      </c>
      <c r="V9" s="292">
        <v>9</v>
      </c>
      <c r="W9" s="292">
        <v>7</v>
      </c>
      <c r="X9" s="295">
        <v>16</v>
      </c>
      <c r="Y9" s="296">
        <v>10</v>
      </c>
      <c r="Z9" s="297">
        <v>2</v>
      </c>
      <c r="AA9" s="297">
        <v>6</v>
      </c>
      <c r="AB9" s="342">
        <v>18</v>
      </c>
      <c r="AC9" s="296">
        <v>9</v>
      </c>
      <c r="AD9" s="297"/>
      <c r="AE9" s="297"/>
      <c r="AF9" s="343">
        <f>SUM(AC9:AE9)</f>
        <v>9</v>
      </c>
      <c r="AG9" s="296"/>
      <c r="AH9" s="297"/>
      <c r="AI9" s="297"/>
      <c r="AJ9" s="343">
        <f>SUM(AG9:AI9)</f>
        <v>0</v>
      </c>
    </row>
    <row r="10" spans="2:36" s="27" customFormat="1" ht="12.75" customHeight="1" x14ac:dyDescent="0.2">
      <c r="B10" s="5597"/>
      <c r="C10" s="5591"/>
      <c r="D10" s="291" t="s">
        <v>28</v>
      </c>
      <c r="E10" s="339">
        <v>0</v>
      </c>
      <c r="F10" s="340">
        <v>0</v>
      </c>
      <c r="G10" s="340">
        <v>0</v>
      </c>
      <c r="H10" s="341">
        <v>0</v>
      </c>
      <c r="I10" s="294">
        <v>1</v>
      </c>
      <c r="J10" s="292">
        <v>0</v>
      </c>
      <c r="K10" s="292">
        <v>1</v>
      </c>
      <c r="L10" s="293">
        <v>2</v>
      </c>
      <c r="M10" s="294">
        <v>0</v>
      </c>
      <c r="N10" s="292">
        <v>0</v>
      </c>
      <c r="O10" s="292">
        <v>1</v>
      </c>
      <c r="P10" s="295">
        <v>1</v>
      </c>
      <c r="Q10" s="292">
        <v>0</v>
      </c>
      <c r="R10" s="292">
        <v>1</v>
      </c>
      <c r="S10" s="292">
        <v>0</v>
      </c>
      <c r="T10" s="295">
        <v>1</v>
      </c>
      <c r="U10" s="292">
        <v>0</v>
      </c>
      <c r="V10" s="292">
        <v>0</v>
      </c>
      <c r="W10" s="292">
        <v>1</v>
      </c>
      <c r="X10" s="295">
        <v>1</v>
      </c>
      <c r="Y10" s="296">
        <v>1</v>
      </c>
      <c r="Z10" s="297">
        <v>1</v>
      </c>
      <c r="AA10" s="297">
        <v>0</v>
      </c>
      <c r="AB10" s="342">
        <v>2</v>
      </c>
      <c r="AC10" s="296">
        <v>1</v>
      </c>
      <c r="AD10" s="297"/>
      <c r="AE10" s="297"/>
      <c r="AF10" s="343">
        <f>SUM(AC10:AE10)</f>
        <v>1</v>
      </c>
      <c r="AG10" s="296"/>
      <c r="AH10" s="297"/>
      <c r="AI10" s="297"/>
      <c r="AJ10" s="343">
        <f>SUM(AG10:AI10)</f>
        <v>0</v>
      </c>
    </row>
    <row r="11" spans="2:36" s="27" customFormat="1" ht="12.75" customHeight="1" x14ac:dyDescent="0.2">
      <c r="B11" s="5597"/>
      <c r="C11" s="5591"/>
      <c r="D11" s="430" t="s">
        <v>13</v>
      </c>
      <c r="E11" s="431">
        <v>17</v>
      </c>
      <c r="F11" s="432">
        <v>6</v>
      </c>
      <c r="G11" s="432">
        <v>5</v>
      </c>
      <c r="H11" s="433">
        <v>28</v>
      </c>
      <c r="I11" s="434">
        <v>5</v>
      </c>
      <c r="J11" s="435">
        <v>3</v>
      </c>
      <c r="K11" s="435">
        <v>19</v>
      </c>
      <c r="L11" s="435">
        <v>27</v>
      </c>
      <c r="M11" s="434">
        <v>5</v>
      </c>
      <c r="N11" s="435">
        <v>10</v>
      </c>
      <c r="O11" s="435">
        <v>13</v>
      </c>
      <c r="P11" s="436">
        <v>28</v>
      </c>
      <c r="Q11" s="435">
        <v>3</v>
      </c>
      <c r="R11" s="435">
        <v>3</v>
      </c>
      <c r="S11" s="435">
        <v>9</v>
      </c>
      <c r="T11" s="436">
        <v>15</v>
      </c>
      <c r="U11" s="435">
        <v>0</v>
      </c>
      <c r="V11" s="435">
        <v>9</v>
      </c>
      <c r="W11" s="435">
        <v>8</v>
      </c>
      <c r="X11" s="436">
        <v>17</v>
      </c>
      <c r="Y11" s="437">
        <v>11</v>
      </c>
      <c r="Z11" s="438">
        <v>3</v>
      </c>
      <c r="AA11" s="438">
        <v>6</v>
      </c>
      <c r="AB11" s="438">
        <v>20</v>
      </c>
      <c r="AC11" s="437">
        <f t="shared" ref="AC11:AJ11" si="0">SUM(AC8:AC10)</f>
        <v>10</v>
      </c>
      <c r="AD11" s="438">
        <f t="shared" si="0"/>
        <v>0</v>
      </c>
      <c r="AE11" s="438">
        <f t="shared" si="0"/>
        <v>0</v>
      </c>
      <c r="AF11" s="439">
        <f t="shared" si="0"/>
        <v>10</v>
      </c>
      <c r="AG11" s="437">
        <f t="shared" si="0"/>
        <v>0</v>
      </c>
      <c r="AH11" s="438">
        <f t="shared" si="0"/>
        <v>0</v>
      </c>
      <c r="AI11" s="438">
        <f t="shared" si="0"/>
        <v>0</v>
      </c>
      <c r="AJ11" s="439">
        <f t="shared" si="0"/>
        <v>0</v>
      </c>
    </row>
    <row r="12" spans="2:36" x14ac:dyDescent="0.2">
      <c r="B12" s="5597"/>
      <c r="C12" s="5590" t="s">
        <v>6</v>
      </c>
      <c r="D12" s="344"/>
      <c r="E12" s="345"/>
      <c r="F12" s="346"/>
      <c r="G12" s="346"/>
      <c r="H12" s="347"/>
      <c r="I12" s="348"/>
      <c r="J12" s="349"/>
      <c r="K12" s="349"/>
      <c r="L12" s="350"/>
      <c r="M12" s="348"/>
      <c r="N12" s="349"/>
      <c r="O12" s="349"/>
      <c r="P12" s="351"/>
      <c r="Q12" s="349"/>
      <c r="R12" s="349"/>
      <c r="S12" s="349"/>
      <c r="T12" s="351"/>
      <c r="U12" s="349"/>
      <c r="V12" s="349"/>
      <c r="W12" s="349"/>
      <c r="X12" s="351"/>
      <c r="Y12" s="296"/>
      <c r="Z12" s="297"/>
      <c r="AA12" s="297"/>
      <c r="AB12" s="342"/>
      <c r="AC12" s="296"/>
      <c r="AD12" s="297"/>
      <c r="AE12" s="297"/>
      <c r="AF12" s="343"/>
      <c r="AG12" s="296"/>
      <c r="AH12" s="297"/>
      <c r="AI12" s="297"/>
      <c r="AJ12" s="343"/>
    </row>
    <row r="13" spans="2:36" x14ac:dyDescent="0.2">
      <c r="B13" s="5597"/>
      <c r="C13" s="5591"/>
      <c r="D13" s="291" t="s">
        <v>26</v>
      </c>
      <c r="E13" s="339">
        <v>6</v>
      </c>
      <c r="F13" s="340">
        <v>0</v>
      </c>
      <c r="G13" s="340">
        <v>2</v>
      </c>
      <c r="H13" s="341">
        <v>8</v>
      </c>
      <c r="I13" s="294">
        <v>0</v>
      </c>
      <c r="J13" s="292">
        <v>1</v>
      </c>
      <c r="K13" s="292">
        <v>10</v>
      </c>
      <c r="L13" s="293">
        <v>11</v>
      </c>
      <c r="M13" s="294">
        <v>0</v>
      </c>
      <c r="N13" s="292">
        <v>1</v>
      </c>
      <c r="O13" s="292">
        <v>10</v>
      </c>
      <c r="P13" s="295">
        <v>11</v>
      </c>
      <c r="Q13" s="292">
        <v>0</v>
      </c>
      <c r="R13" s="292">
        <v>0</v>
      </c>
      <c r="S13" s="292">
        <v>2</v>
      </c>
      <c r="T13" s="295">
        <v>2</v>
      </c>
      <c r="U13" s="292">
        <v>0</v>
      </c>
      <c r="V13" s="292">
        <v>0</v>
      </c>
      <c r="W13" s="292">
        <v>9</v>
      </c>
      <c r="X13" s="295">
        <v>9</v>
      </c>
      <c r="Y13" s="296">
        <v>4</v>
      </c>
      <c r="Z13" s="297">
        <v>2</v>
      </c>
      <c r="AA13" s="297">
        <v>6</v>
      </c>
      <c r="AB13" s="342">
        <v>12</v>
      </c>
      <c r="AC13" s="296"/>
      <c r="AD13" s="297"/>
      <c r="AE13" s="297"/>
      <c r="AF13" s="343"/>
      <c r="AG13" s="296"/>
      <c r="AH13" s="297"/>
      <c r="AI13" s="297"/>
      <c r="AJ13" s="343"/>
    </row>
    <row r="14" spans="2:36" x14ac:dyDescent="0.2">
      <c r="B14" s="5597"/>
      <c r="C14" s="5591"/>
      <c r="D14" s="291" t="s">
        <v>27</v>
      </c>
      <c r="E14" s="339">
        <v>10</v>
      </c>
      <c r="F14" s="340">
        <v>2</v>
      </c>
      <c r="G14" s="340">
        <v>3</v>
      </c>
      <c r="H14" s="341">
        <v>15</v>
      </c>
      <c r="I14" s="294">
        <v>5</v>
      </c>
      <c r="J14" s="292">
        <v>1</v>
      </c>
      <c r="K14" s="292">
        <v>15</v>
      </c>
      <c r="L14" s="293">
        <v>21</v>
      </c>
      <c r="M14" s="294">
        <v>1</v>
      </c>
      <c r="N14" s="292">
        <v>0</v>
      </c>
      <c r="O14" s="292">
        <v>4</v>
      </c>
      <c r="P14" s="295">
        <v>5</v>
      </c>
      <c r="Q14" s="292">
        <v>3</v>
      </c>
      <c r="R14" s="292">
        <v>4</v>
      </c>
      <c r="S14" s="292">
        <v>6</v>
      </c>
      <c r="T14" s="295">
        <v>13</v>
      </c>
      <c r="U14" s="292">
        <v>1</v>
      </c>
      <c r="V14" s="292">
        <v>0</v>
      </c>
      <c r="W14" s="292">
        <v>0</v>
      </c>
      <c r="X14" s="295">
        <v>1</v>
      </c>
      <c r="Y14" s="296">
        <v>9</v>
      </c>
      <c r="Z14" s="297">
        <v>1</v>
      </c>
      <c r="AA14" s="297">
        <v>11</v>
      </c>
      <c r="AB14" s="342">
        <v>21</v>
      </c>
      <c r="AC14" s="296">
        <v>4</v>
      </c>
      <c r="AD14" s="297"/>
      <c r="AE14" s="297"/>
      <c r="AF14" s="343">
        <f>SUM(AC14:AE14)</f>
        <v>4</v>
      </c>
      <c r="AG14" s="296"/>
      <c r="AH14" s="297"/>
      <c r="AI14" s="297"/>
      <c r="AJ14" s="343">
        <f>SUM(AG14:AI14)</f>
        <v>0</v>
      </c>
    </row>
    <row r="15" spans="2:36" x14ac:dyDescent="0.2">
      <c r="B15" s="5597"/>
      <c r="C15" s="5591"/>
      <c r="D15" s="291" t="s">
        <v>28</v>
      </c>
      <c r="E15" s="339">
        <v>0</v>
      </c>
      <c r="F15" s="340">
        <v>0</v>
      </c>
      <c r="G15" s="340">
        <v>0</v>
      </c>
      <c r="H15" s="341">
        <v>0</v>
      </c>
      <c r="I15" s="294">
        <v>0</v>
      </c>
      <c r="J15" s="292">
        <v>0</v>
      </c>
      <c r="K15" s="292">
        <v>0</v>
      </c>
      <c r="L15" s="293">
        <v>0</v>
      </c>
      <c r="M15" s="294">
        <v>0</v>
      </c>
      <c r="N15" s="292">
        <v>0</v>
      </c>
      <c r="O15" s="292">
        <v>1</v>
      </c>
      <c r="P15" s="295">
        <v>1</v>
      </c>
      <c r="Q15" s="292">
        <v>0</v>
      </c>
      <c r="R15" s="292">
        <v>0</v>
      </c>
      <c r="S15" s="292">
        <v>0</v>
      </c>
      <c r="T15" s="295">
        <v>0</v>
      </c>
      <c r="U15" s="292">
        <v>0</v>
      </c>
      <c r="V15" s="292">
        <v>0</v>
      </c>
      <c r="W15" s="292">
        <v>0</v>
      </c>
      <c r="X15" s="295">
        <v>0</v>
      </c>
      <c r="Y15" s="296">
        <v>0</v>
      </c>
      <c r="Z15" s="297">
        <v>0</v>
      </c>
      <c r="AA15" s="297">
        <v>0</v>
      </c>
      <c r="AB15" s="342">
        <v>0</v>
      </c>
      <c r="AC15" s="296">
        <v>1</v>
      </c>
      <c r="AD15" s="297"/>
      <c r="AE15" s="297"/>
      <c r="AF15" s="343">
        <f>SUM(AC15:AE15)</f>
        <v>1</v>
      </c>
      <c r="AG15" s="296"/>
      <c r="AH15" s="297"/>
      <c r="AI15" s="297"/>
      <c r="AJ15" s="343">
        <f>SUM(AG15:AI15)</f>
        <v>0</v>
      </c>
    </row>
    <row r="16" spans="2:36" s="27" customFormat="1" x14ac:dyDescent="0.2">
      <c r="B16" s="5597"/>
      <c r="C16" s="5592"/>
      <c r="D16" s="430" t="s">
        <v>14</v>
      </c>
      <c r="E16" s="431">
        <v>16</v>
      </c>
      <c r="F16" s="432">
        <v>2</v>
      </c>
      <c r="G16" s="432">
        <v>5</v>
      </c>
      <c r="H16" s="433">
        <v>23</v>
      </c>
      <c r="I16" s="434">
        <v>5</v>
      </c>
      <c r="J16" s="435">
        <v>2</v>
      </c>
      <c r="K16" s="435">
        <v>25</v>
      </c>
      <c r="L16" s="435">
        <v>32</v>
      </c>
      <c r="M16" s="434">
        <v>1</v>
      </c>
      <c r="N16" s="435">
        <v>1</v>
      </c>
      <c r="O16" s="435">
        <v>15</v>
      </c>
      <c r="P16" s="436">
        <v>17</v>
      </c>
      <c r="Q16" s="435">
        <v>3</v>
      </c>
      <c r="R16" s="435">
        <v>4</v>
      </c>
      <c r="S16" s="435">
        <v>8</v>
      </c>
      <c r="T16" s="436">
        <v>15</v>
      </c>
      <c r="U16" s="435">
        <v>1</v>
      </c>
      <c r="V16" s="435">
        <v>0</v>
      </c>
      <c r="W16" s="435">
        <v>9</v>
      </c>
      <c r="X16" s="436">
        <v>10</v>
      </c>
      <c r="Y16" s="437">
        <v>13</v>
      </c>
      <c r="Z16" s="438">
        <v>3</v>
      </c>
      <c r="AA16" s="438">
        <v>17</v>
      </c>
      <c r="AB16" s="438">
        <v>33</v>
      </c>
      <c r="AC16" s="437">
        <f>SUM(AC13:AC15)</f>
        <v>5</v>
      </c>
      <c r="AD16" s="438">
        <f>SUM(AD13:AD15)</f>
        <v>0</v>
      </c>
      <c r="AE16" s="438">
        <f>SUM(AE13:AE15)</f>
        <v>0</v>
      </c>
      <c r="AF16" s="439">
        <f>SUM(AC16:AE16)</f>
        <v>5</v>
      </c>
      <c r="AG16" s="437">
        <f>SUM(AG13:AG15)</f>
        <v>0</v>
      </c>
      <c r="AH16" s="438">
        <f>SUM(AH13:AH15)</f>
        <v>0</v>
      </c>
      <c r="AI16" s="438">
        <f>SUM(AI13:AI15)</f>
        <v>0</v>
      </c>
      <c r="AJ16" s="439">
        <f>SUM(AG16:AI16)</f>
        <v>0</v>
      </c>
    </row>
    <row r="17" spans="2:36" x14ac:dyDescent="0.2">
      <c r="B17" s="5597"/>
      <c r="C17" s="5591" t="s">
        <v>7</v>
      </c>
      <c r="D17" s="344"/>
      <c r="E17" s="345"/>
      <c r="F17" s="346"/>
      <c r="G17" s="346"/>
      <c r="H17" s="347"/>
      <c r="I17" s="348"/>
      <c r="J17" s="349"/>
      <c r="K17" s="349"/>
      <c r="L17" s="350"/>
      <c r="M17" s="348"/>
      <c r="N17" s="349"/>
      <c r="O17" s="349"/>
      <c r="P17" s="351"/>
      <c r="Q17" s="349"/>
      <c r="R17" s="349"/>
      <c r="S17" s="349"/>
      <c r="T17" s="351"/>
      <c r="U17" s="349"/>
      <c r="V17" s="349"/>
      <c r="W17" s="349"/>
      <c r="X17" s="351"/>
      <c r="Y17" s="296"/>
      <c r="Z17" s="297"/>
      <c r="AA17" s="297"/>
      <c r="AB17" s="342"/>
      <c r="AC17" s="296"/>
      <c r="AD17" s="297"/>
      <c r="AE17" s="297"/>
      <c r="AF17" s="343"/>
      <c r="AG17" s="296"/>
      <c r="AH17" s="297"/>
      <c r="AI17" s="297"/>
      <c r="AJ17" s="343"/>
    </row>
    <row r="18" spans="2:36" x14ac:dyDescent="0.2">
      <c r="B18" s="5597"/>
      <c r="C18" s="5591"/>
      <c r="D18" s="291" t="s">
        <v>26</v>
      </c>
      <c r="E18" s="339">
        <v>21</v>
      </c>
      <c r="F18" s="340">
        <v>2</v>
      </c>
      <c r="G18" s="340">
        <v>11</v>
      </c>
      <c r="H18" s="341">
        <v>34</v>
      </c>
      <c r="I18" s="294">
        <v>0</v>
      </c>
      <c r="J18" s="292">
        <v>0</v>
      </c>
      <c r="K18" s="292">
        <v>17</v>
      </c>
      <c r="L18" s="293">
        <v>17</v>
      </c>
      <c r="M18" s="294">
        <v>0</v>
      </c>
      <c r="N18" s="292">
        <v>0</v>
      </c>
      <c r="O18" s="292">
        <v>4</v>
      </c>
      <c r="P18" s="295">
        <v>4</v>
      </c>
      <c r="Q18" s="292">
        <v>0</v>
      </c>
      <c r="R18" s="292">
        <v>3</v>
      </c>
      <c r="S18" s="292">
        <v>13</v>
      </c>
      <c r="T18" s="295">
        <v>16</v>
      </c>
      <c r="U18" s="292">
        <v>0</v>
      </c>
      <c r="V18" s="292">
        <v>0</v>
      </c>
      <c r="W18" s="292">
        <v>8</v>
      </c>
      <c r="X18" s="295">
        <v>8</v>
      </c>
      <c r="Y18" s="296">
        <v>0</v>
      </c>
      <c r="Z18" s="297">
        <v>1</v>
      </c>
      <c r="AA18" s="297">
        <v>21</v>
      </c>
      <c r="AB18" s="342">
        <v>22</v>
      </c>
      <c r="AC18" s="296"/>
      <c r="AD18" s="297"/>
      <c r="AE18" s="297"/>
      <c r="AF18" s="343"/>
      <c r="AG18" s="296"/>
      <c r="AH18" s="297"/>
      <c r="AI18" s="297"/>
      <c r="AJ18" s="343"/>
    </row>
    <row r="19" spans="2:36" x14ac:dyDescent="0.2">
      <c r="B19" s="5597"/>
      <c r="C19" s="5591"/>
      <c r="D19" s="291" t="s">
        <v>27</v>
      </c>
      <c r="E19" s="339">
        <v>9</v>
      </c>
      <c r="F19" s="340">
        <v>7</v>
      </c>
      <c r="G19" s="340">
        <v>2</v>
      </c>
      <c r="H19" s="341">
        <v>18</v>
      </c>
      <c r="I19" s="294">
        <v>0</v>
      </c>
      <c r="J19" s="292">
        <v>0</v>
      </c>
      <c r="K19" s="292">
        <v>13</v>
      </c>
      <c r="L19" s="293">
        <v>13</v>
      </c>
      <c r="M19" s="294">
        <v>0</v>
      </c>
      <c r="N19" s="292">
        <v>0</v>
      </c>
      <c r="O19" s="292">
        <v>4</v>
      </c>
      <c r="P19" s="295">
        <v>4</v>
      </c>
      <c r="Q19" s="292">
        <v>1</v>
      </c>
      <c r="R19" s="292">
        <v>11</v>
      </c>
      <c r="S19" s="292">
        <v>1</v>
      </c>
      <c r="T19" s="295">
        <v>13</v>
      </c>
      <c r="U19" s="292">
        <v>0</v>
      </c>
      <c r="V19" s="292">
        <v>3</v>
      </c>
      <c r="W19" s="292">
        <v>2</v>
      </c>
      <c r="X19" s="295">
        <v>5</v>
      </c>
      <c r="Y19" s="296">
        <v>2</v>
      </c>
      <c r="Z19" s="297">
        <v>0</v>
      </c>
      <c r="AA19" s="297">
        <v>18</v>
      </c>
      <c r="AB19" s="342">
        <v>20</v>
      </c>
      <c r="AC19" s="296"/>
      <c r="AD19" s="297"/>
      <c r="AE19" s="297"/>
      <c r="AF19" s="343"/>
      <c r="AG19" s="296"/>
      <c r="AH19" s="297"/>
      <c r="AI19" s="297"/>
      <c r="AJ19" s="343"/>
    </row>
    <row r="20" spans="2:36" x14ac:dyDescent="0.2">
      <c r="B20" s="5597"/>
      <c r="C20" s="5591"/>
      <c r="D20" s="291" t="s">
        <v>28</v>
      </c>
      <c r="E20" s="339">
        <v>0</v>
      </c>
      <c r="F20" s="340">
        <v>0</v>
      </c>
      <c r="G20" s="340">
        <v>9</v>
      </c>
      <c r="H20" s="341">
        <v>9</v>
      </c>
      <c r="I20" s="294">
        <v>0</v>
      </c>
      <c r="J20" s="292">
        <v>1</v>
      </c>
      <c r="K20" s="292">
        <v>0</v>
      </c>
      <c r="L20" s="293">
        <v>1</v>
      </c>
      <c r="M20" s="294">
        <v>0</v>
      </c>
      <c r="N20" s="292">
        <v>0</v>
      </c>
      <c r="O20" s="292">
        <v>4</v>
      </c>
      <c r="P20" s="295">
        <v>4</v>
      </c>
      <c r="Q20" s="292">
        <v>0</v>
      </c>
      <c r="R20" s="292">
        <v>0</v>
      </c>
      <c r="S20" s="292">
        <v>3</v>
      </c>
      <c r="T20" s="295">
        <v>3</v>
      </c>
      <c r="U20" s="292">
        <v>0</v>
      </c>
      <c r="V20" s="292">
        <v>0</v>
      </c>
      <c r="W20" s="292">
        <v>0</v>
      </c>
      <c r="X20" s="295">
        <v>0</v>
      </c>
      <c r="Y20" s="296">
        <v>0</v>
      </c>
      <c r="Z20" s="297">
        <v>0</v>
      </c>
      <c r="AA20" s="297">
        <v>0</v>
      </c>
      <c r="AB20" s="342">
        <v>0</v>
      </c>
      <c r="AC20" s="296"/>
      <c r="AD20" s="297"/>
      <c r="AE20" s="297"/>
      <c r="AF20" s="343"/>
      <c r="AG20" s="296"/>
      <c r="AH20" s="297"/>
      <c r="AI20" s="297"/>
      <c r="AJ20" s="343"/>
    </row>
    <row r="21" spans="2:36" s="27" customFormat="1" x14ac:dyDescent="0.2">
      <c r="B21" s="5597"/>
      <c r="C21" s="5591"/>
      <c r="D21" s="430" t="s">
        <v>15</v>
      </c>
      <c r="E21" s="431">
        <v>30</v>
      </c>
      <c r="F21" s="432">
        <v>9</v>
      </c>
      <c r="G21" s="432">
        <v>22</v>
      </c>
      <c r="H21" s="433">
        <v>61</v>
      </c>
      <c r="I21" s="434">
        <v>0</v>
      </c>
      <c r="J21" s="435">
        <v>1</v>
      </c>
      <c r="K21" s="435">
        <v>30</v>
      </c>
      <c r="L21" s="435">
        <v>31</v>
      </c>
      <c r="M21" s="434">
        <v>0</v>
      </c>
      <c r="N21" s="435">
        <v>0</v>
      </c>
      <c r="O21" s="435">
        <v>12</v>
      </c>
      <c r="P21" s="436">
        <v>12</v>
      </c>
      <c r="Q21" s="435">
        <v>1</v>
      </c>
      <c r="R21" s="435">
        <v>14</v>
      </c>
      <c r="S21" s="435">
        <v>17</v>
      </c>
      <c r="T21" s="436">
        <v>32</v>
      </c>
      <c r="U21" s="435">
        <v>0</v>
      </c>
      <c r="V21" s="435">
        <v>3</v>
      </c>
      <c r="W21" s="435">
        <v>10</v>
      </c>
      <c r="X21" s="436">
        <v>13</v>
      </c>
      <c r="Y21" s="437">
        <v>2</v>
      </c>
      <c r="Z21" s="438">
        <v>1</v>
      </c>
      <c r="AA21" s="438">
        <v>39</v>
      </c>
      <c r="AB21" s="438">
        <v>42</v>
      </c>
      <c r="AC21" s="437"/>
      <c r="AD21" s="438"/>
      <c r="AE21" s="438"/>
      <c r="AF21" s="439"/>
      <c r="AG21" s="437"/>
      <c r="AH21" s="438"/>
      <c r="AI21" s="438"/>
      <c r="AJ21" s="439"/>
    </row>
    <row r="22" spans="2:36" x14ac:dyDescent="0.2">
      <c r="B22" s="5597"/>
      <c r="C22" s="5596" t="s">
        <v>16</v>
      </c>
      <c r="D22" s="341"/>
      <c r="E22" s="339"/>
      <c r="F22" s="340"/>
      <c r="G22" s="340"/>
      <c r="H22" s="341"/>
      <c r="I22" s="348"/>
      <c r="J22" s="349"/>
      <c r="K22" s="349"/>
      <c r="L22" s="350"/>
      <c r="M22" s="348"/>
      <c r="N22" s="349"/>
      <c r="O22" s="349"/>
      <c r="P22" s="351"/>
      <c r="Q22" s="349"/>
      <c r="R22" s="349"/>
      <c r="S22" s="349"/>
      <c r="T22" s="351"/>
      <c r="U22" s="349"/>
      <c r="V22" s="349"/>
      <c r="W22" s="349"/>
      <c r="X22" s="351"/>
      <c r="Y22" s="296"/>
      <c r="Z22" s="297"/>
      <c r="AA22" s="297"/>
      <c r="AB22" s="342"/>
      <c r="AC22" s="352"/>
      <c r="AD22" s="297"/>
      <c r="AE22" s="297"/>
      <c r="AF22" s="343"/>
      <c r="AG22" s="352"/>
      <c r="AH22" s="297"/>
      <c r="AI22" s="297"/>
      <c r="AJ22" s="343"/>
    </row>
    <row r="23" spans="2:36" x14ac:dyDescent="0.2">
      <c r="B23" s="5597"/>
      <c r="C23" s="5597"/>
      <c r="D23" s="341" t="s">
        <v>26</v>
      </c>
      <c r="E23" s="339">
        <v>27</v>
      </c>
      <c r="F23" s="340">
        <v>2</v>
      </c>
      <c r="G23" s="340">
        <v>13</v>
      </c>
      <c r="H23" s="341">
        <v>42</v>
      </c>
      <c r="I23" s="294">
        <f t="shared" ref="I23:X23" si="1">I8+I13+I18</f>
        <v>0</v>
      </c>
      <c r="J23" s="292">
        <f t="shared" si="1"/>
        <v>1</v>
      </c>
      <c r="K23" s="292">
        <f t="shared" si="1"/>
        <v>27</v>
      </c>
      <c r="L23" s="293">
        <f t="shared" si="1"/>
        <v>28</v>
      </c>
      <c r="M23" s="294">
        <f t="shared" si="1"/>
        <v>0</v>
      </c>
      <c r="N23" s="292">
        <f t="shared" si="1"/>
        <v>1</v>
      </c>
      <c r="O23" s="292">
        <f t="shared" si="1"/>
        <v>14</v>
      </c>
      <c r="P23" s="295">
        <f t="shared" si="1"/>
        <v>15</v>
      </c>
      <c r="Q23" s="292">
        <f t="shared" si="1"/>
        <v>0</v>
      </c>
      <c r="R23" s="292">
        <f t="shared" si="1"/>
        <v>3</v>
      </c>
      <c r="S23" s="292">
        <f t="shared" si="1"/>
        <v>15</v>
      </c>
      <c r="T23" s="295">
        <f t="shared" si="1"/>
        <v>18</v>
      </c>
      <c r="U23" s="292">
        <f t="shared" si="1"/>
        <v>0</v>
      </c>
      <c r="V23" s="292">
        <f t="shared" si="1"/>
        <v>0</v>
      </c>
      <c r="W23" s="292">
        <f t="shared" si="1"/>
        <v>17</v>
      </c>
      <c r="X23" s="295">
        <f t="shared" si="1"/>
        <v>17</v>
      </c>
      <c r="Y23" s="296">
        <v>4</v>
      </c>
      <c r="Z23" s="297">
        <v>3</v>
      </c>
      <c r="AA23" s="297">
        <v>27</v>
      </c>
      <c r="AB23" s="297">
        <v>34</v>
      </c>
      <c r="AC23" s="296">
        <f>SUM(AC8,AC13,AC18)</f>
        <v>0</v>
      </c>
      <c r="AD23" s="297"/>
      <c r="AE23" s="297"/>
      <c r="AF23" s="343">
        <f>SUM(AC23:AE23)</f>
        <v>0</v>
      </c>
      <c r="AG23" s="296">
        <f>SUM(AG8,AG13,AG18)</f>
        <v>0</v>
      </c>
      <c r="AH23" s="297"/>
      <c r="AI23" s="297"/>
      <c r="AJ23" s="343">
        <f>SUM(AG23:AI23)</f>
        <v>0</v>
      </c>
    </row>
    <row r="24" spans="2:36" x14ac:dyDescent="0.2">
      <c r="B24" s="5597"/>
      <c r="C24" s="5597"/>
      <c r="D24" s="341" t="s">
        <v>27</v>
      </c>
      <c r="E24" s="339">
        <v>36</v>
      </c>
      <c r="F24" s="340">
        <v>15</v>
      </c>
      <c r="G24" s="340">
        <v>10</v>
      </c>
      <c r="H24" s="341">
        <v>61</v>
      </c>
      <c r="I24" s="294">
        <f t="shared" ref="I24:X24" si="2">I9+I14+I19</f>
        <v>9</v>
      </c>
      <c r="J24" s="292">
        <f t="shared" si="2"/>
        <v>4</v>
      </c>
      <c r="K24" s="292">
        <f t="shared" si="2"/>
        <v>46</v>
      </c>
      <c r="L24" s="293">
        <f t="shared" si="2"/>
        <v>59</v>
      </c>
      <c r="M24" s="294">
        <f t="shared" si="2"/>
        <v>6</v>
      </c>
      <c r="N24" s="292">
        <f t="shared" si="2"/>
        <v>10</v>
      </c>
      <c r="O24" s="292">
        <f t="shared" si="2"/>
        <v>20</v>
      </c>
      <c r="P24" s="295">
        <f t="shared" si="2"/>
        <v>36</v>
      </c>
      <c r="Q24" s="292">
        <f t="shared" si="2"/>
        <v>7</v>
      </c>
      <c r="R24" s="292">
        <f t="shared" si="2"/>
        <v>17</v>
      </c>
      <c r="S24" s="292">
        <f t="shared" si="2"/>
        <v>16</v>
      </c>
      <c r="T24" s="295">
        <f t="shared" si="2"/>
        <v>40</v>
      </c>
      <c r="U24" s="292">
        <f t="shared" si="2"/>
        <v>1</v>
      </c>
      <c r="V24" s="292">
        <f t="shared" si="2"/>
        <v>12</v>
      </c>
      <c r="W24" s="292">
        <f t="shared" si="2"/>
        <v>9</v>
      </c>
      <c r="X24" s="295">
        <f t="shared" si="2"/>
        <v>22</v>
      </c>
      <c r="Y24" s="296">
        <v>21</v>
      </c>
      <c r="Z24" s="297">
        <v>3</v>
      </c>
      <c r="AA24" s="297">
        <v>35</v>
      </c>
      <c r="AB24" s="297">
        <v>59</v>
      </c>
      <c r="AC24" s="296">
        <f>SUM(AC9,AC14,AC19)</f>
        <v>13</v>
      </c>
      <c r="AD24" s="297"/>
      <c r="AE24" s="297"/>
      <c r="AF24" s="343">
        <f>SUM(AC24:AE24)</f>
        <v>13</v>
      </c>
      <c r="AG24" s="296">
        <f>SUM(AG9,AG14,AG19)</f>
        <v>0</v>
      </c>
      <c r="AH24" s="297"/>
      <c r="AI24" s="297"/>
      <c r="AJ24" s="343">
        <f>SUM(AG24:AI24)</f>
        <v>0</v>
      </c>
    </row>
    <row r="25" spans="2:36" x14ac:dyDescent="0.2">
      <c r="B25" s="5597"/>
      <c r="C25" s="5597"/>
      <c r="D25" s="363" t="s">
        <v>28</v>
      </c>
      <c r="E25" s="361">
        <v>0</v>
      </c>
      <c r="F25" s="362">
        <v>0</v>
      </c>
      <c r="G25" s="362">
        <v>9</v>
      </c>
      <c r="H25" s="363">
        <v>9</v>
      </c>
      <c r="I25" s="364">
        <f t="shared" ref="I25:X25" si="3">I10+I15+I20</f>
        <v>1</v>
      </c>
      <c r="J25" s="365">
        <f t="shared" si="3"/>
        <v>1</v>
      </c>
      <c r="K25" s="365">
        <f t="shared" si="3"/>
        <v>1</v>
      </c>
      <c r="L25" s="366">
        <f t="shared" si="3"/>
        <v>3</v>
      </c>
      <c r="M25" s="364">
        <f t="shared" si="3"/>
        <v>0</v>
      </c>
      <c r="N25" s="365">
        <f t="shared" si="3"/>
        <v>0</v>
      </c>
      <c r="O25" s="365">
        <f t="shared" si="3"/>
        <v>6</v>
      </c>
      <c r="P25" s="367">
        <f t="shared" si="3"/>
        <v>6</v>
      </c>
      <c r="Q25" s="365">
        <f t="shared" si="3"/>
        <v>0</v>
      </c>
      <c r="R25" s="365">
        <f t="shared" si="3"/>
        <v>1</v>
      </c>
      <c r="S25" s="365">
        <f t="shared" si="3"/>
        <v>3</v>
      </c>
      <c r="T25" s="367">
        <f t="shared" si="3"/>
        <v>4</v>
      </c>
      <c r="U25" s="365">
        <f t="shared" si="3"/>
        <v>0</v>
      </c>
      <c r="V25" s="365">
        <f t="shared" si="3"/>
        <v>0</v>
      </c>
      <c r="W25" s="365">
        <f t="shared" si="3"/>
        <v>1</v>
      </c>
      <c r="X25" s="367">
        <f t="shared" si="3"/>
        <v>1</v>
      </c>
      <c r="Y25" s="368">
        <v>1</v>
      </c>
      <c r="Z25" s="369">
        <v>1</v>
      </c>
      <c r="AA25" s="369">
        <v>0</v>
      </c>
      <c r="AB25" s="369">
        <v>2</v>
      </c>
      <c r="AC25" s="368">
        <f>SUM(AC10,AC15,AC20)</f>
        <v>2</v>
      </c>
      <c r="AD25" s="369"/>
      <c r="AE25" s="369"/>
      <c r="AF25" s="370">
        <f>SUM(AC25:AE25)</f>
        <v>2</v>
      </c>
      <c r="AG25" s="368">
        <f>SUM(AG10,AG15,AG20)</f>
        <v>0</v>
      </c>
      <c r="AH25" s="369"/>
      <c r="AI25" s="369"/>
      <c r="AJ25" s="370">
        <f>SUM(AG25:AI25)</f>
        <v>0</v>
      </c>
    </row>
    <row r="26" spans="2:36" s="38" customFormat="1" ht="15" x14ac:dyDescent="0.2">
      <c r="B26" s="5598"/>
      <c r="C26" s="5598"/>
      <c r="D26" s="392" t="s">
        <v>12</v>
      </c>
      <c r="E26" s="390">
        <v>63</v>
      </c>
      <c r="F26" s="391">
        <v>17</v>
      </c>
      <c r="G26" s="391">
        <v>32</v>
      </c>
      <c r="H26" s="392">
        <v>112</v>
      </c>
      <c r="I26" s="281">
        <f t="shared" ref="I26:X26" si="4">SUM(I23:I25)</f>
        <v>10</v>
      </c>
      <c r="J26" s="280">
        <f t="shared" si="4"/>
        <v>6</v>
      </c>
      <c r="K26" s="280">
        <f t="shared" si="4"/>
        <v>74</v>
      </c>
      <c r="L26" s="280">
        <f t="shared" si="4"/>
        <v>90</v>
      </c>
      <c r="M26" s="281">
        <f t="shared" si="4"/>
        <v>6</v>
      </c>
      <c r="N26" s="280">
        <f t="shared" si="4"/>
        <v>11</v>
      </c>
      <c r="O26" s="280">
        <f t="shared" si="4"/>
        <v>40</v>
      </c>
      <c r="P26" s="282">
        <f t="shared" si="4"/>
        <v>57</v>
      </c>
      <c r="Q26" s="280">
        <f t="shared" si="4"/>
        <v>7</v>
      </c>
      <c r="R26" s="280">
        <f t="shared" si="4"/>
        <v>21</v>
      </c>
      <c r="S26" s="280">
        <f t="shared" si="4"/>
        <v>34</v>
      </c>
      <c r="T26" s="282">
        <f t="shared" si="4"/>
        <v>62</v>
      </c>
      <c r="U26" s="280">
        <f t="shared" si="4"/>
        <v>1</v>
      </c>
      <c r="V26" s="280">
        <f t="shared" si="4"/>
        <v>12</v>
      </c>
      <c r="W26" s="280">
        <f t="shared" si="4"/>
        <v>27</v>
      </c>
      <c r="X26" s="282">
        <f t="shared" si="4"/>
        <v>40</v>
      </c>
      <c r="Y26" s="259">
        <v>26</v>
      </c>
      <c r="Z26" s="260">
        <v>7</v>
      </c>
      <c r="AA26" s="260">
        <v>62</v>
      </c>
      <c r="AB26" s="260">
        <v>95</v>
      </c>
      <c r="AC26" s="259">
        <f t="shared" ref="AC26:AJ26" si="5">SUM(AC23:AC25)</f>
        <v>15</v>
      </c>
      <c r="AD26" s="260">
        <f t="shared" si="5"/>
        <v>0</v>
      </c>
      <c r="AE26" s="260">
        <f t="shared" si="5"/>
        <v>0</v>
      </c>
      <c r="AF26" s="261">
        <f t="shared" si="5"/>
        <v>15</v>
      </c>
      <c r="AG26" s="259">
        <f t="shared" si="5"/>
        <v>0</v>
      </c>
      <c r="AH26" s="260">
        <f t="shared" si="5"/>
        <v>0</v>
      </c>
      <c r="AI26" s="260">
        <f t="shared" si="5"/>
        <v>0</v>
      </c>
      <c r="AJ26" s="261">
        <f t="shared" si="5"/>
        <v>0</v>
      </c>
    </row>
    <row r="27" spans="2:36" x14ac:dyDescent="0.2">
      <c r="D27" s="1"/>
      <c r="E27" s="1"/>
      <c r="F27" s="1"/>
      <c r="G27" s="1"/>
      <c r="H27" s="1"/>
      <c r="L27" s="1"/>
      <c r="P27" s="1"/>
      <c r="T27" s="1"/>
      <c r="X27" s="1"/>
    </row>
    <row r="28" spans="2:36" x14ac:dyDescent="0.2">
      <c r="B28" s="5596" t="s">
        <v>75</v>
      </c>
      <c r="C28" s="5590" t="s">
        <v>5</v>
      </c>
      <c r="D28" s="283" t="s">
        <v>26</v>
      </c>
      <c r="E28" s="357"/>
      <c r="F28" s="356"/>
      <c r="G28" s="356"/>
      <c r="H28" s="358"/>
      <c r="I28" s="286"/>
      <c r="J28" s="284"/>
      <c r="K28" s="284"/>
      <c r="L28" s="285"/>
      <c r="M28" s="286"/>
      <c r="N28" s="284"/>
      <c r="O28" s="284"/>
      <c r="P28" s="287"/>
      <c r="Q28" s="284"/>
      <c r="R28" s="284"/>
      <c r="S28" s="284"/>
      <c r="T28" s="287"/>
      <c r="U28" s="284"/>
      <c r="V28" s="284"/>
      <c r="W28" s="284"/>
      <c r="X28" s="287"/>
      <c r="Y28" s="288"/>
      <c r="Z28" s="289"/>
      <c r="AA28" s="289"/>
      <c r="AB28" s="359"/>
      <c r="AC28" s="288"/>
      <c r="AD28" s="289"/>
      <c r="AE28" s="289"/>
      <c r="AF28" s="360"/>
      <c r="AG28" s="288"/>
      <c r="AH28" s="289"/>
      <c r="AI28" s="289"/>
      <c r="AJ28" s="360"/>
    </row>
    <row r="29" spans="2:36" x14ac:dyDescent="0.2">
      <c r="B29" s="5597"/>
      <c r="C29" s="5591"/>
      <c r="D29" s="291" t="s">
        <v>27</v>
      </c>
      <c r="E29" s="339">
        <v>5</v>
      </c>
      <c r="F29" s="340">
        <v>4</v>
      </c>
      <c r="G29" s="340">
        <v>11</v>
      </c>
      <c r="H29" s="341">
        <v>20</v>
      </c>
      <c r="I29" s="294">
        <v>5</v>
      </c>
      <c r="J29" s="292">
        <v>5</v>
      </c>
      <c r="K29" s="292">
        <v>9</v>
      </c>
      <c r="L29" s="293">
        <v>19</v>
      </c>
      <c r="M29" s="294">
        <v>6</v>
      </c>
      <c r="N29" s="292">
        <v>1</v>
      </c>
      <c r="O29" s="292">
        <v>5</v>
      </c>
      <c r="P29" s="295">
        <v>12</v>
      </c>
      <c r="Q29" s="292">
        <v>6</v>
      </c>
      <c r="R29" s="292">
        <v>2</v>
      </c>
      <c r="S29" s="292">
        <v>9</v>
      </c>
      <c r="T29" s="295">
        <v>17</v>
      </c>
      <c r="U29" s="292">
        <v>1</v>
      </c>
      <c r="V29" s="292">
        <v>9</v>
      </c>
      <c r="W29" s="292">
        <v>8</v>
      </c>
      <c r="X29" s="295">
        <v>18</v>
      </c>
      <c r="Y29" s="296">
        <v>2</v>
      </c>
      <c r="Z29" s="297">
        <v>4</v>
      </c>
      <c r="AA29" s="297">
        <v>10</v>
      </c>
      <c r="AB29" s="342">
        <v>16</v>
      </c>
      <c r="AC29" s="296">
        <v>6</v>
      </c>
      <c r="AD29" s="297">
        <v>2</v>
      </c>
      <c r="AE29" s="297">
        <v>22</v>
      </c>
      <c r="AF29" s="343">
        <f>SUM(AC29:AE29)</f>
        <v>30</v>
      </c>
      <c r="AG29" s="296"/>
      <c r="AH29" s="297"/>
      <c r="AI29" s="297"/>
      <c r="AJ29" s="343">
        <f>SUM(AG29:AI29)</f>
        <v>0</v>
      </c>
    </row>
    <row r="30" spans="2:36" x14ac:dyDescent="0.2">
      <c r="B30" s="5597"/>
      <c r="C30" s="5591"/>
      <c r="D30" s="291" t="s">
        <v>28</v>
      </c>
      <c r="E30" s="339">
        <v>3</v>
      </c>
      <c r="F30" s="340">
        <v>6</v>
      </c>
      <c r="G30" s="340">
        <v>5</v>
      </c>
      <c r="H30" s="341">
        <v>14</v>
      </c>
      <c r="I30" s="294">
        <v>2</v>
      </c>
      <c r="J30" s="292">
        <v>4</v>
      </c>
      <c r="K30" s="292">
        <v>4</v>
      </c>
      <c r="L30" s="293">
        <v>10</v>
      </c>
      <c r="M30" s="294">
        <v>3</v>
      </c>
      <c r="N30" s="292">
        <v>4</v>
      </c>
      <c r="O30" s="292">
        <v>0</v>
      </c>
      <c r="P30" s="295">
        <v>7</v>
      </c>
      <c r="Q30" s="292">
        <v>0</v>
      </c>
      <c r="R30" s="292">
        <v>0</v>
      </c>
      <c r="S30" s="292">
        <v>1</v>
      </c>
      <c r="T30" s="295">
        <v>1</v>
      </c>
      <c r="U30" s="292">
        <v>1</v>
      </c>
      <c r="V30" s="292">
        <v>1</v>
      </c>
      <c r="W30" s="292">
        <v>6</v>
      </c>
      <c r="X30" s="295">
        <v>8</v>
      </c>
      <c r="Y30" s="296">
        <v>8</v>
      </c>
      <c r="Z30" s="297">
        <v>2</v>
      </c>
      <c r="AA30" s="297">
        <v>12</v>
      </c>
      <c r="AB30" s="342">
        <v>22</v>
      </c>
      <c r="AC30" s="296">
        <v>2</v>
      </c>
      <c r="AD30" s="297"/>
      <c r="AE30" s="297">
        <v>7</v>
      </c>
      <c r="AF30" s="343">
        <f>SUM(AC30:AE30)</f>
        <v>9</v>
      </c>
      <c r="AG30" s="296"/>
      <c r="AH30" s="297"/>
      <c r="AI30" s="297"/>
      <c r="AJ30" s="343">
        <f>SUM(AG30:AI30)</f>
        <v>0</v>
      </c>
    </row>
    <row r="31" spans="2:36" s="27" customFormat="1" x14ac:dyDescent="0.2">
      <c r="B31" s="5597"/>
      <c r="C31" s="5603"/>
      <c r="D31" s="430" t="s">
        <v>13</v>
      </c>
      <c r="E31" s="431">
        <v>8</v>
      </c>
      <c r="F31" s="432">
        <v>10</v>
      </c>
      <c r="G31" s="432">
        <v>16</v>
      </c>
      <c r="H31" s="433">
        <v>34</v>
      </c>
      <c r="I31" s="434">
        <v>7</v>
      </c>
      <c r="J31" s="435">
        <v>9</v>
      </c>
      <c r="K31" s="435">
        <v>13</v>
      </c>
      <c r="L31" s="435">
        <v>29</v>
      </c>
      <c r="M31" s="434">
        <v>9</v>
      </c>
      <c r="N31" s="435">
        <v>5</v>
      </c>
      <c r="O31" s="435">
        <v>5</v>
      </c>
      <c r="P31" s="436">
        <v>19</v>
      </c>
      <c r="Q31" s="435">
        <v>6</v>
      </c>
      <c r="R31" s="435">
        <v>2</v>
      </c>
      <c r="S31" s="435">
        <v>10</v>
      </c>
      <c r="T31" s="436">
        <v>18</v>
      </c>
      <c r="U31" s="435">
        <v>2</v>
      </c>
      <c r="V31" s="435">
        <v>10</v>
      </c>
      <c r="W31" s="435">
        <v>14</v>
      </c>
      <c r="X31" s="436">
        <v>26</v>
      </c>
      <c r="Y31" s="437">
        <v>10</v>
      </c>
      <c r="Z31" s="438">
        <v>6</v>
      </c>
      <c r="AA31" s="438">
        <v>22</v>
      </c>
      <c r="AB31" s="438">
        <v>38</v>
      </c>
      <c r="AC31" s="437">
        <f t="shared" ref="AC31:AJ31" si="6">SUM(AC28:AC30)</f>
        <v>8</v>
      </c>
      <c r="AD31" s="438">
        <f t="shared" si="6"/>
        <v>2</v>
      </c>
      <c r="AE31" s="438">
        <f t="shared" si="6"/>
        <v>29</v>
      </c>
      <c r="AF31" s="439">
        <f t="shared" si="6"/>
        <v>39</v>
      </c>
      <c r="AG31" s="437">
        <f t="shared" si="6"/>
        <v>0</v>
      </c>
      <c r="AH31" s="438">
        <f t="shared" si="6"/>
        <v>0</v>
      </c>
      <c r="AI31" s="438">
        <f t="shared" si="6"/>
        <v>0</v>
      </c>
      <c r="AJ31" s="439">
        <f t="shared" si="6"/>
        <v>0</v>
      </c>
    </row>
    <row r="32" spans="2:36" x14ac:dyDescent="0.2">
      <c r="B32" s="5597"/>
      <c r="C32" s="5595" t="s">
        <v>6</v>
      </c>
      <c r="D32" s="344"/>
      <c r="E32" s="345"/>
      <c r="F32" s="346"/>
      <c r="G32" s="346"/>
      <c r="H32" s="347"/>
      <c r="I32" s="294"/>
      <c r="J32" s="292"/>
      <c r="K32" s="292"/>
      <c r="L32" s="293"/>
      <c r="M32" s="294"/>
      <c r="N32" s="292"/>
      <c r="O32" s="292"/>
      <c r="P32" s="295"/>
      <c r="Q32" s="292"/>
      <c r="R32" s="292"/>
      <c r="S32" s="292"/>
      <c r="T32" s="295"/>
      <c r="U32" s="292"/>
      <c r="V32" s="292"/>
      <c r="W32" s="292"/>
      <c r="X32" s="295"/>
      <c r="Y32" s="296"/>
      <c r="Z32" s="297"/>
      <c r="AA32" s="297"/>
      <c r="AB32" s="342"/>
      <c r="AC32" s="296"/>
      <c r="AD32" s="297"/>
      <c r="AE32" s="297"/>
      <c r="AF32" s="343"/>
      <c r="AG32" s="296"/>
      <c r="AH32" s="297"/>
      <c r="AI32" s="297"/>
      <c r="AJ32" s="343"/>
    </row>
    <row r="33" spans="2:36" x14ac:dyDescent="0.2">
      <c r="B33" s="5597"/>
      <c r="C33" s="5591"/>
      <c r="D33" s="291" t="s">
        <v>26</v>
      </c>
      <c r="E33" s="339">
        <v>0</v>
      </c>
      <c r="F33" s="340">
        <v>0</v>
      </c>
      <c r="G33" s="340">
        <v>4</v>
      </c>
      <c r="H33" s="341">
        <v>4</v>
      </c>
      <c r="I33" s="294">
        <v>9</v>
      </c>
      <c r="J33" s="292">
        <v>0</v>
      </c>
      <c r="K33" s="292">
        <v>9</v>
      </c>
      <c r="L33" s="293">
        <v>18</v>
      </c>
      <c r="M33" s="294">
        <v>0</v>
      </c>
      <c r="N33" s="292">
        <v>3</v>
      </c>
      <c r="O33" s="292">
        <v>1</v>
      </c>
      <c r="P33" s="295">
        <v>4</v>
      </c>
      <c r="Q33" s="292">
        <v>12</v>
      </c>
      <c r="R33" s="292">
        <v>3</v>
      </c>
      <c r="S33" s="292">
        <v>4</v>
      </c>
      <c r="T33" s="295">
        <v>19</v>
      </c>
      <c r="U33" s="292">
        <v>0</v>
      </c>
      <c r="V33" s="292">
        <v>0</v>
      </c>
      <c r="W33" s="292">
        <v>0</v>
      </c>
      <c r="X33" s="295">
        <v>0</v>
      </c>
      <c r="Y33" s="296">
        <v>11</v>
      </c>
      <c r="Z33" s="297">
        <v>9</v>
      </c>
      <c r="AA33" s="297">
        <v>2</v>
      </c>
      <c r="AB33" s="342">
        <v>22</v>
      </c>
      <c r="AC33" s="296">
        <v>27</v>
      </c>
      <c r="AD33" s="297"/>
      <c r="AE33" s="297"/>
      <c r="AF33" s="343">
        <f>SUM(AC33:AE33)</f>
        <v>27</v>
      </c>
      <c r="AG33" s="296"/>
      <c r="AH33" s="297"/>
      <c r="AI33" s="297"/>
      <c r="AJ33" s="343">
        <f>SUM(AG33:AI33)</f>
        <v>0</v>
      </c>
    </row>
    <row r="34" spans="2:36" x14ac:dyDescent="0.2">
      <c r="B34" s="5597"/>
      <c r="C34" s="5591"/>
      <c r="D34" s="291" t="s">
        <v>27</v>
      </c>
      <c r="E34" s="339">
        <v>2</v>
      </c>
      <c r="F34" s="340">
        <v>2</v>
      </c>
      <c r="G34" s="340">
        <v>11</v>
      </c>
      <c r="H34" s="341">
        <v>15</v>
      </c>
      <c r="I34" s="294">
        <v>11</v>
      </c>
      <c r="J34" s="292">
        <v>5</v>
      </c>
      <c r="K34" s="292">
        <v>47</v>
      </c>
      <c r="L34" s="293">
        <v>63</v>
      </c>
      <c r="M34" s="294">
        <v>5</v>
      </c>
      <c r="N34" s="292">
        <v>2</v>
      </c>
      <c r="O34" s="292">
        <v>7</v>
      </c>
      <c r="P34" s="295">
        <v>14</v>
      </c>
      <c r="Q34" s="292">
        <v>6</v>
      </c>
      <c r="R34" s="292">
        <v>1</v>
      </c>
      <c r="S34" s="292">
        <v>23</v>
      </c>
      <c r="T34" s="295">
        <v>30</v>
      </c>
      <c r="U34" s="292">
        <v>0</v>
      </c>
      <c r="V34" s="292">
        <v>0</v>
      </c>
      <c r="W34" s="292">
        <v>8</v>
      </c>
      <c r="X34" s="295">
        <v>8</v>
      </c>
      <c r="Y34" s="296">
        <v>0</v>
      </c>
      <c r="Z34" s="297">
        <v>0</v>
      </c>
      <c r="AA34" s="297">
        <v>3</v>
      </c>
      <c r="AB34" s="342">
        <v>3</v>
      </c>
      <c r="AC34" s="296">
        <v>30</v>
      </c>
      <c r="AD34" s="297">
        <v>1</v>
      </c>
      <c r="AE34" s="297">
        <v>10</v>
      </c>
      <c r="AF34" s="343">
        <f>SUM(AC34:AE34)</f>
        <v>41</v>
      </c>
      <c r="AG34" s="296"/>
      <c r="AH34" s="297"/>
      <c r="AI34" s="297"/>
      <c r="AJ34" s="343">
        <f>SUM(AG34:AI34)</f>
        <v>0</v>
      </c>
    </row>
    <row r="35" spans="2:36" x14ac:dyDescent="0.2">
      <c r="B35" s="5597"/>
      <c r="C35" s="5591"/>
      <c r="D35" s="291" t="s">
        <v>28</v>
      </c>
      <c r="E35" s="339">
        <v>5</v>
      </c>
      <c r="F35" s="340">
        <v>1</v>
      </c>
      <c r="G35" s="340">
        <v>19</v>
      </c>
      <c r="H35" s="341">
        <v>25</v>
      </c>
      <c r="I35" s="294">
        <v>7</v>
      </c>
      <c r="J35" s="292">
        <v>4</v>
      </c>
      <c r="K35" s="292">
        <v>23</v>
      </c>
      <c r="L35" s="293">
        <v>34</v>
      </c>
      <c r="M35" s="294">
        <v>5</v>
      </c>
      <c r="N35" s="292">
        <v>2</v>
      </c>
      <c r="O35" s="292">
        <v>10</v>
      </c>
      <c r="P35" s="295">
        <v>17</v>
      </c>
      <c r="Q35" s="292">
        <v>17</v>
      </c>
      <c r="R35" s="292">
        <v>2</v>
      </c>
      <c r="S35" s="292">
        <v>22</v>
      </c>
      <c r="T35" s="295">
        <v>41</v>
      </c>
      <c r="U35" s="292">
        <v>0</v>
      </c>
      <c r="V35" s="292">
        <v>13</v>
      </c>
      <c r="W35" s="292">
        <v>10</v>
      </c>
      <c r="X35" s="295">
        <v>23</v>
      </c>
      <c r="Y35" s="296">
        <v>4</v>
      </c>
      <c r="Z35" s="297">
        <v>1</v>
      </c>
      <c r="AA35" s="297">
        <v>18</v>
      </c>
      <c r="AB35" s="342">
        <v>23</v>
      </c>
      <c r="AC35" s="296">
        <v>7</v>
      </c>
      <c r="AD35" s="297"/>
      <c r="AE35" s="297">
        <v>12</v>
      </c>
      <c r="AF35" s="343">
        <f>SUM(AC35:AE35)</f>
        <v>19</v>
      </c>
      <c r="AG35" s="296"/>
      <c r="AH35" s="297"/>
      <c r="AI35" s="297"/>
      <c r="AJ35" s="343">
        <f>SUM(AG35:AI35)</f>
        <v>0</v>
      </c>
    </row>
    <row r="36" spans="2:36" s="27" customFormat="1" x14ac:dyDescent="0.2">
      <c r="B36" s="5597"/>
      <c r="C36" s="5603"/>
      <c r="D36" s="430" t="s">
        <v>14</v>
      </c>
      <c r="E36" s="431">
        <v>7</v>
      </c>
      <c r="F36" s="432">
        <v>3</v>
      </c>
      <c r="G36" s="432">
        <v>34</v>
      </c>
      <c r="H36" s="433">
        <v>44</v>
      </c>
      <c r="I36" s="434">
        <v>27</v>
      </c>
      <c r="J36" s="435">
        <v>9</v>
      </c>
      <c r="K36" s="435">
        <v>79</v>
      </c>
      <c r="L36" s="435">
        <v>115</v>
      </c>
      <c r="M36" s="434">
        <v>10</v>
      </c>
      <c r="N36" s="435">
        <v>7</v>
      </c>
      <c r="O36" s="435">
        <v>18</v>
      </c>
      <c r="P36" s="436">
        <v>35</v>
      </c>
      <c r="Q36" s="435">
        <v>35</v>
      </c>
      <c r="R36" s="435">
        <v>6</v>
      </c>
      <c r="S36" s="435">
        <v>49</v>
      </c>
      <c r="T36" s="436">
        <v>90</v>
      </c>
      <c r="U36" s="435">
        <v>0</v>
      </c>
      <c r="V36" s="435">
        <v>13</v>
      </c>
      <c r="W36" s="435">
        <v>18</v>
      </c>
      <c r="X36" s="436">
        <v>31</v>
      </c>
      <c r="Y36" s="437">
        <v>15</v>
      </c>
      <c r="Z36" s="438">
        <v>10</v>
      </c>
      <c r="AA36" s="438">
        <v>23</v>
      </c>
      <c r="AB36" s="438">
        <v>48</v>
      </c>
      <c r="AC36" s="437">
        <f t="shared" ref="AC36:AJ36" si="7">SUM(AC33:AC35)</f>
        <v>64</v>
      </c>
      <c r="AD36" s="438">
        <f t="shared" si="7"/>
        <v>1</v>
      </c>
      <c r="AE36" s="438">
        <f t="shared" si="7"/>
        <v>22</v>
      </c>
      <c r="AF36" s="439">
        <f t="shared" si="7"/>
        <v>87</v>
      </c>
      <c r="AG36" s="437">
        <f t="shared" si="7"/>
        <v>0</v>
      </c>
      <c r="AH36" s="438">
        <f t="shared" si="7"/>
        <v>0</v>
      </c>
      <c r="AI36" s="438">
        <f t="shared" si="7"/>
        <v>0</v>
      </c>
      <c r="AJ36" s="439">
        <f t="shared" si="7"/>
        <v>0</v>
      </c>
    </row>
    <row r="37" spans="2:36" x14ac:dyDescent="0.2">
      <c r="B37" s="5597"/>
      <c r="C37" s="5595" t="s">
        <v>11</v>
      </c>
      <c r="D37" s="344"/>
      <c r="E37" s="345"/>
      <c r="F37" s="346"/>
      <c r="G37" s="346"/>
      <c r="H37" s="347"/>
      <c r="I37" s="294"/>
      <c r="J37" s="292"/>
      <c r="K37" s="292"/>
      <c r="L37" s="293"/>
      <c r="M37" s="294"/>
      <c r="N37" s="292"/>
      <c r="O37" s="292"/>
      <c r="P37" s="295"/>
      <c r="Q37" s="292"/>
      <c r="R37" s="292"/>
      <c r="S37" s="292"/>
      <c r="T37" s="295"/>
      <c r="U37" s="292"/>
      <c r="V37" s="292"/>
      <c r="W37" s="292"/>
      <c r="X37" s="295"/>
      <c r="Y37" s="296"/>
      <c r="Z37" s="297"/>
      <c r="AA37" s="297"/>
      <c r="AB37" s="342"/>
      <c r="AC37" s="296"/>
      <c r="AD37" s="297"/>
      <c r="AE37" s="297"/>
      <c r="AF37" s="343"/>
      <c r="AG37" s="296"/>
      <c r="AH37" s="297"/>
      <c r="AI37" s="297"/>
      <c r="AJ37" s="343"/>
    </row>
    <row r="38" spans="2:36" x14ac:dyDescent="0.2">
      <c r="B38" s="5597"/>
      <c r="C38" s="5591"/>
      <c r="D38" s="291" t="s">
        <v>26</v>
      </c>
      <c r="E38" s="339">
        <v>0</v>
      </c>
      <c r="F38" s="340">
        <v>0</v>
      </c>
      <c r="G38" s="340">
        <v>8</v>
      </c>
      <c r="H38" s="341">
        <v>8</v>
      </c>
      <c r="I38" s="294">
        <v>0</v>
      </c>
      <c r="J38" s="292">
        <v>1</v>
      </c>
      <c r="K38" s="292">
        <v>6</v>
      </c>
      <c r="L38" s="293">
        <v>7</v>
      </c>
      <c r="M38" s="294">
        <v>0</v>
      </c>
      <c r="N38" s="292">
        <v>0</v>
      </c>
      <c r="O38" s="292">
        <v>1</v>
      </c>
      <c r="P38" s="295">
        <v>1</v>
      </c>
      <c r="Q38" s="292">
        <v>2</v>
      </c>
      <c r="R38" s="292">
        <v>1</v>
      </c>
      <c r="S38" s="292">
        <v>11</v>
      </c>
      <c r="T38" s="295">
        <v>14</v>
      </c>
      <c r="U38" s="292">
        <v>0</v>
      </c>
      <c r="V38" s="292">
        <v>0</v>
      </c>
      <c r="W38" s="292">
        <v>11</v>
      </c>
      <c r="X38" s="295">
        <v>11</v>
      </c>
      <c r="Y38" s="296">
        <v>3</v>
      </c>
      <c r="Z38" s="297">
        <v>2</v>
      </c>
      <c r="AA38" s="297">
        <v>7</v>
      </c>
      <c r="AB38" s="342">
        <v>12</v>
      </c>
      <c r="AC38" s="296"/>
      <c r="AD38" s="297"/>
      <c r="AE38" s="297">
        <v>6</v>
      </c>
      <c r="AF38" s="343">
        <f>SUM(AC38:AE38)</f>
        <v>6</v>
      </c>
      <c r="AG38" s="296"/>
      <c r="AH38" s="297"/>
      <c r="AI38" s="297"/>
      <c r="AJ38" s="343">
        <f>SUM(AG38:AI38)</f>
        <v>0</v>
      </c>
    </row>
    <row r="39" spans="2:36" x14ac:dyDescent="0.2">
      <c r="B39" s="5597"/>
      <c r="C39" s="5591"/>
      <c r="D39" s="291" t="s">
        <v>27</v>
      </c>
      <c r="E39" s="339">
        <v>2</v>
      </c>
      <c r="F39" s="340">
        <v>0</v>
      </c>
      <c r="G39" s="340">
        <v>10</v>
      </c>
      <c r="H39" s="341">
        <v>12</v>
      </c>
      <c r="I39" s="294">
        <v>6</v>
      </c>
      <c r="J39" s="292">
        <v>0</v>
      </c>
      <c r="K39" s="292">
        <v>7</v>
      </c>
      <c r="L39" s="293">
        <v>13</v>
      </c>
      <c r="M39" s="294">
        <v>1</v>
      </c>
      <c r="N39" s="292">
        <v>0</v>
      </c>
      <c r="O39" s="292">
        <v>3</v>
      </c>
      <c r="P39" s="295">
        <v>4</v>
      </c>
      <c r="Q39" s="292">
        <v>0</v>
      </c>
      <c r="R39" s="292">
        <v>3</v>
      </c>
      <c r="S39" s="292">
        <v>2</v>
      </c>
      <c r="T39" s="295">
        <v>5</v>
      </c>
      <c r="U39" s="292">
        <v>0</v>
      </c>
      <c r="V39" s="292">
        <v>1</v>
      </c>
      <c r="W39" s="292">
        <v>6</v>
      </c>
      <c r="X39" s="295">
        <v>7</v>
      </c>
      <c r="Y39" s="296">
        <v>1</v>
      </c>
      <c r="Z39" s="297">
        <v>1</v>
      </c>
      <c r="AA39" s="297">
        <v>1</v>
      </c>
      <c r="AB39" s="342">
        <v>3</v>
      </c>
      <c r="AC39" s="296">
        <v>1</v>
      </c>
      <c r="AD39" s="297"/>
      <c r="AE39" s="297">
        <v>9</v>
      </c>
      <c r="AF39" s="343">
        <f>SUM(AC39:AE39)</f>
        <v>10</v>
      </c>
      <c r="AG39" s="296"/>
      <c r="AH39" s="297"/>
      <c r="AI39" s="297"/>
      <c r="AJ39" s="343">
        <f>SUM(AG39:AI39)</f>
        <v>0</v>
      </c>
    </row>
    <row r="40" spans="2:36" x14ac:dyDescent="0.2">
      <c r="B40" s="5597"/>
      <c r="C40" s="5591"/>
      <c r="D40" s="291" t="s">
        <v>28</v>
      </c>
      <c r="E40" s="339">
        <v>2</v>
      </c>
      <c r="F40" s="340">
        <v>0</v>
      </c>
      <c r="G40" s="340">
        <v>9</v>
      </c>
      <c r="H40" s="341">
        <v>11</v>
      </c>
      <c r="I40" s="294">
        <v>2</v>
      </c>
      <c r="J40" s="292">
        <v>0</v>
      </c>
      <c r="K40" s="292">
        <v>7</v>
      </c>
      <c r="L40" s="293">
        <v>9</v>
      </c>
      <c r="M40" s="294">
        <v>0</v>
      </c>
      <c r="N40" s="292">
        <v>0</v>
      </c>
      <c r="O40" s="292">
        <v>11</v>
      </c>
      <c r="P40" s="295">
        <v>11</v>
      </c>
      <c r="Q40" s="292">
        <v>1</v>
      </c>
      <c r="R40" s="292">
        <v>0</v>
      </c>
      <c r="S40" s="292">
        <v>9</v>
      </c>
      <c r="T40" s="295">
        <v>10</v>
      </c>
      <c r="U40" s="292">
        <v>0</v>
      </c>
      <c r="V40" s="292">
        <v>1</v>
      </c>
      <c r="W40" s="292">
        <v>16</v>
      </c>
      <c r="X40" s="295">
        <v>17</v>
      </c>
      <c r="Y40" s="296">
        <v>6</v>
      </c>
      <c r="Z40" s="297">
        <v>0</v>
      </c>
      <c r="AA40" s="297">
        <v>2</v>
      </c>
      <c r="AB40" s="342">
        <v>8</v>
      </c>
      <c r="AC40" s="296">
        <v>3</v>
      </c>
      <c r="AD40" s="297"/>
      <c r="AE40" s="297">
        <v>1</v>
      </c>
      <c r="AF40" s="343">
        <f>SUM(AC40:AE40)</f>
        <v>4</v>
      </c>
      <c r="AG40" s="296"/>
      <c r="AH40" s="297"/>
      <c r="AI40" s="297"/>
      <c r="AJ40" s="343">
        <f>SUM(AG40:AI40)</f>
        <v>0</v>
      </c>
    </row>
    <row r="41" spans="2:36" s="27" customFormat="1" x14ac:dyDescent="0.2">
      <c r="B41" s="5597"/>
      <c r="C41" s="5591"/>
      <c r="D41" s="430" t="s">
        <v>30</v>
      </c>
      <c r="E41" s="431">
        <v>4</v>
      </c>
      <c r="F41" s="432">
        <v>0</v>
      </c>
      <c r="G41" s="432">
        <v>27</v>
      </c>
      <c r="H41" s="433">
        <v>31</v>
      </c>
      <c r="I41" s="434">
        <v>8</v>
      </c>
      <c r="J41" s="435">
        <v>1</v>
      </c>
      <c r="K41" s="435">
        <v>20</v>
      </c>
      <c r="L41" s="435">
        <v>29</v>
      </c>
      <c r="M41" s="434">
        <v>1</v>
      </c>
      <c r="N41" s="435">
        <v>0</v>
      </c>
      <c r="O41" s="435">
        <v>15</v>
      </c>
      <c r="P41" s="436">
        <v>16</v>
      </c>
      <c r="Q41" s="435">
        <v>3</v>
      </c>
      <c r="R41" s="435">
        <v>4</v>
      </c>
      <c r="S41" s="435">
        <v>22</v>
      </c>
      <c r="T41" s="436">
        <v>29</v>
      </c>
      <c r="U41" s="435">
        <v>0</v>
      </c>
      <c r="V41" s="435">
        <v>2</v>
      </c>
      <c r="W41" s="435">
        <v>33</v>
      </c>
      <c r="X41" s="436">
        <v>35</v>
      </c>
      <c r="Y41" s="437">
        <v>10</v>
      </c>
      <c r="Z41" s="438">
        <v>3</v>
      </c>
      <c r="AA41" s="438">
        <v>10</v>
      </c>
      <c r="AB41" s="438">
        <v>23</v>
      </c>
      <c r="AC41" s="437">
        <f t="shared" ref="AC41:AJ41" si="8">SUM(AC38:AC40)</f>
        <v>4</v>
      </c>
      <c r="AD41" s="438">
        <f t="shared" si="8"/>
        <v>0</v>
      </c>
      <c r="AE41" s="438">
        <f t="shared" si="8"/>
        <v>16</v>
      </c>
      <c r="AF41" s="439">
        <f t="shared" si="8"/>
        <v>20</v>
      </c>
      <c r="AG41" s="437">
        <f t="shared" si="8"/>
        <v>0</v>
      </c>
      <c r="AH41" s="438">
        <f t="shared" si="8"/>
        <v>0</v>
      </c>
      <c r="AI41" s="438">
        <f t="shared" si="8"/>
        <v>0</v>
      </c>
      <c r="AJ41" s="439">
        <f t="shared" si="8"/>
        <v>0</v>
      </c>
    </row>
    <row r="42" spans="2:36" x14ac:dyDescent="0.2">
      <c r="B42" s="5597"/>
      <c r="C42" s="5596" t="s">
        <v>16</v>
      </c>
      <c r="D42" s="341"/>
      <c r="E42" s="339"/>
      <c r="F42" s="340"/>
      <c r="G42" s="340"/>
      <c r="H42" s="341"/>
      <c r="I42" s="294"/>
      <c r="J42" s="292"/>
      <c r="K42" s="292"/>
      <c r="L42" s="293"/>
      <c r="M42" s="294"/>
      <c r="N42" s="292"/>
      <c r="O42" s="292"/>
      <c r="P42" s="295"/>
      <c r="Q42" s="292"/>
      <c r="R42" s="292"/>
      <c r="S42" s="292"/>
      <c r="T42" s="295"/>
      <c r="U42" s="292"/>
      <c r="V42" s="292"/>
      <c r="W42" s="292"/>
      <c r="X42" s="295"/>
      <c r="Y42" s="296"/>
      <c r="Z42" s="297"/>
      <c r="AA42" s="297"/>
      <c r="AB42" s="342"/>
      <c r="AC42" s="296"/>
      <c r="AD42" s="297"/>
      <c r="AE42" s="297"/>
      <c r="AF42" s="343"/>
      <c r="AG42" s="296"/>
      <c r="AH42" s="297"/>
      <c r="AI42" s="297"/>
      <c r="AJ42" s="343"/>
    </row>
    <row r="43" spans="2:36" x14ac:dyDescent="0.2">
      <c r="B43" s="5597"/>
      <c r="C43" s="5597"/>
      <c r="D43" s="341" t="s">
        <v>26</v>
      </c>
      <c r="E43" s="339">
        <v>0</v>
      </c>
      <c r="F43" s="340">
        <v>0</v>
      </c>
      <c r="G43" s="340">
        <v>12</v>
      </c>
      <c r="H43" s="341">
        <v>12</v>
      </c>
      <c r="I43" s="294">
        <f t="shared" ref="I43:X43" si="9">I28+I33+I38</f>
        <v>9</v>
      </c>
      <c r="J43" s="292">
        <f t="shared" si="9"/>
        <v>1</v>
      </c>
      <c r="K43" s="292">
        <f t="shared" si="9"/>
        <v>15</v>
      </c>
      <c r="L43" s="293">
        <f t="shared" si="9"/>
        <v>25</v>
      </c>
      <c r="M43" s="294">
        <f t="shared" si="9"/>
        <v>0</v>
      </c>
      <c r="N43" s="292">
        <f t="shared" si="9"/>
        <v>3</v>
      </c>
      <c r="O43" s="292">
        <f t="shared" si="9"/>
        <v>2</v>
      </c>
      <c r="P43" s="295">
        <f t="shared" si="9"/>
        <v>5</v>
      </c>
      <c r="Q43" s="292">
        <f t="shared" si="9"/>
        <v>14</v>
      </c>
      <c r="R43" s="292">
        <f t="shared" si="9"/>
        <v>4</v>
      </c>
      <c r="S43" s="292">
        <f t="shared" si="9"/>
        <v>15</v>
      </c>
      <c r="T43" s="295">
        <f t="shared" si="9"/>
        <v>33</v>
      </c>
      <c r="U43" s="292">
        <f t="shared" si="9"/>
        <v>0</v>
      </c>
      <c r="V43" s="292">
        <f t="shared" si="9"/>
        <v>0</v>
      </c>
      <c r="W43" s="292">
        <f t="shared" si="9"/>
        <v>11</v>
      </c>
      <c r="X43" s="295">
        <f t="shared" si="9"/>
        <v>11</v>
      </c>
      <c r="Y43" s="296">
        <v>14</v>
      </c>
      <c r="Z43" s="297">
        <v>11</v>
      </c>
      <c r="AA43" s="297">
        <v>9</v>
      </c>
      <c r="AB43" s="297">
        <v>34</v>
      </c>
      <c r="AC43" s="296">
        <f t="shared" ref="AC43:AJ45" si="10">SUM(AC28,AC33,AC38)</f>
        <v>27</v>
      </c>
      <c r="AD43" s="297">
        <f t="shared" si="10"/>
        <v>0</v>
      </c>
      <c r="AE43" s="297">
        <f t="shared" si="10"/>
        <v>6</v>
      </c>
      <c r="AF43" s="298">
        <f t="shared" si="10"/>
        <v>33</v>
      </c>
      <c r="AG43" s="296">
        <f t="shared" si="10"/>
        <v>0</v>
      </c>
      <c r="AH43" s="297">
        <f t="shared" si="10"/>
        <v>0</v>
      </c>
      <c r="AI43" s="297">
        <f t="shared" si="10"/>
        <v>0</v>
      </c>
      <c r="AJ43" s="298">
        <f t="shared" si="10"/>
        <v>0</v>
      </c>
    </row>
    <row r="44" spans="2:36" x14ac:dyDescent="0.2">
      <c r="B44" s="5597"/>
      <c r="C44" s="5597"/>
      <c r="D44" s="341" t="s">
        <v>27</v>
      </c>
      <c r="E44" s="339">
        <v>9</v>
      </c>
      <c r="F44" s="340">
        <v>6</v>
      </c>
      <c r="G44" s="340">
        <v>32</v>
      </c>
      <c r="H44" s="341">
        <v>47</v>
      </c>
      <c r="I44" s="294">
        <f t="shared" ref="I44:X44" si="11">I29+I34+I39</f>
        <v>22</v>
      </c>
      <c r="J44" s="292">
        <f t="shared" si="11"/>
        <v>10</v>
      </c>
      <c r="K44" s="292">
        <f t="shared" si="11"/>
        <v>63</v>
      </c>
      <c r="L44" s="293">
        <f t="shared" si="11"/>
        <v>95</v>
      </c>
      <c r="M44" s="294">
        <f t="shared" si="11"/>
        <v>12</v>
      </c>
      <c r="N44" s="292">
        <f t="shared" si="11"/>
        <v>3</v>
      </c>
      <c r="O44" s="292">
        <f t="shared" si="11"/>
        <v>15</v>
      </c>
      <c r="P44" s="295">
        <f t="shared" si="11"/>
        <v>30</v>
      </c>
      <c r="Q44" s="292">
        <f t="shared" si="11"/>
        <v>12</v>
      </c>
      <c r="R44" s="292">
        <f t="shared" si="11"/>
        <v>6</v>
      </c>
      <c r="S44" s="292">
        <f t="shared" si="11"/>
        <v>34</v>
      </c>
      <c r="T44" s="295">
        <f t="shared" si="11"/>
        <v>52</v>
      </c>
      <c r="U44" s="292">
        <f t="shared" si="11"/>
        <v>1</v>
      </c>
      <c r="V44" s="292">
        <f t="shared" si="11"/>
        <v>10</v>
      </c>
      <c r="W44" s="292">
        <f t="shared" si="11"/>
        <v>22</v>
      </c>
      <c r="X44" s="295">
        <f t="shared" si="11"/>
        <v>33</v>
      </c>
      <c r="Y44" s="296">
        <v>3</v>
      </c>
      <c r="Z44" s="297">
        <v>5</v>
      </c>
      <c r="AA44" s="297">
        <v>14</v>
      </c>
      <c r="AB44" s="297">
        <v>22</v>
      </c>
      <c r="AC44" s="296">
        <f t="shared" si="10"/>
        <v>37</v>
      </c>
      <c r="AD44" s="297">
        <f t="shared" si="10"/>
        <v>3</v>
      </c>
      <c r="AE44" s="297">
        <f t="shared" si="10"/>
        <v>41</v>
      </c>
      <c r="AF44" s="298">
        <f t="shared" si="10"/>
        <v>81</v>
      </c>
      <c r="AG44" s="296">
        <f t="shared" si="10"/>
        <v>0</v>
      </c>
      <c r="AH44" s="297">
        <f t="shared" si="10"/>
        <v>0</v>
      </c>
      <c r="AI44" s="297">
        <f t="shared" si="10"/>
        <v>0</v>
      </c>
      <c r="AJ44" s="298">
        <f t="shared" si="10"/>
        <v>0</v>
      </c>
    </row>
    <row r="45" spans="2:36" x14ac:dyDescent="0.2">
      <c r="B45" s="5597"/>
      <c r="C45" s="5597"/>
      <c r="D45" s="363" t="s">
        <v>28</v>
      </c>
      <c r="E45" s="361">
        <v>10</v>
      </c>
      <c r="F45" s="362">
        <v>7</v>
      </c>
      <c r="G45" s="362">
        <v>33</v>
      </c>
      <c r="H45" s="363">
        <v>50</v>
      </c>
      <c r="I45" s="364">
        <f t="shared" ref="I45:X45" si="12">I30+I35+I40</f>
        <v>11</v>
      </c>
      <c r="J45" s="365">
        <f t="shared" si="12"/>
        <v>8</v>
      </c>
      <c r="K45" s="365">
        <f t="shared" si="12"/>
        <v>34</v>
      </c>
      <c r="L45" s="366">
        <f t="shared" si="12"/>
        <v>53</v>
      </c>
      <c r="M45" s="364">
        <f t="shared" si="12"/>
        <v>8</v>
      </c>
      <c r="N45" s="365">
        <f t="shared" si="12"/>
        <v>6</v>
      </c>
      <c r="O45" s="365">
        <f t="shared" si="12"/>
        <v>21</v>
      </c>
      <c r="P45" s="367">
        <f t="shared" si="12"/>
        <v>35</v>
      </c>
      <c r="Q45" s="365">
        <f t="shared" si="12"/>
        <v>18</v>
      </c>
      <c r="R45" s="365">
        <f t="shared" si="12"/>
        <v>2</v>
      </c>
      <c r="S45" s="365">
        <f t="shared" si="12"/>
        <v>32</v>
      </c>
      <c r="T45" s="367">
        <f t="shared" si="12"/>
        <v>52</v>
      </c>
      <c r="U45" s="365">
        <f t="shared" si="12"/>
        <v>1</v>
      </c>
      <c r="V45" s="365">
        <f t="shared" si="12"/>
        <v>15</v>
      </c>
      <c r="W45" s="365">
        <f t="shared" si="12"/>
        <v>32</v>
      </c>
      <c r="X45" s="367">
        <f t="shared" si="12"/>
        <v>48</v>
      </c>
      <c r="Y45" s="368">
        <v>18</v>
      </c>
      <c r="Z45" s="369">
        <v>3</v>
      </c>
      <c r="AA45" s="369">
        <v>32</v>
      </c>
      <c r="AB45" s="369">
        <v>53</v>
      </c>
      <c r="AC45" s="368">
        <f t="shared" si="10"/>
        <v>12</v>
      </c>
      <c r="AD45" s="369">
        <f t="shared" si="10"/>
        <v>0</v>
      </c>
      <c r="AE45" s="369">
        <f t="shared" si="10"/>
        <v>20</v>
      </c>
      <c r="AF45" s="371">
        <f t="shared" si="10"/>
        <v>32</v>
      </c>
      <c r="AG45" s="368">
        <f t="shared" si="10"/>
        <v>0</v>
      </c>
      <c r="AH45" s="369">
        <f t="shared" si="10"/>
        <v>0</v>
      </c>
      <c r="AI45" s="369">
        <f t="shared" si="10"/>
        <v>0</v>
      </c>
      <c r="AJ45" s="371">
        <f t="shared" si="10"/>
        <v>0</v>
      </c>
    </row>
    <row r="46" spans="2:36" s="27" customFormat="1" ht="15" x14ac:dyDescent="0.2">
      <c r="B46" s="5598"/>
      <c r="C46" s="5598"/>
      <c r="D46" s="392" t="s">
        <v>12</v>
      </c>
      <c r="E46" s="390">
        <v>19</v>
      </c>
      <c r="F46" s="391">
        <v>13</v>
      </c>
      <c r="G46" s="391">
        <v>77</v>
      </c>
      <c r="H46" s="392">
        <v>109</v>
      </c>
      <c r="I46" s="281">
        <f t="shared" ref="I46:X46" si="13">SUM(I43:I45)</f>
        <v>42</v>
      </c>
      <c r="J46" s="280">
        <f t="shared" si="13"/>
        <v>19</v>
      </c>
      <c r="K46" s="280">
        <f t="shared" si="13"/>
        <v>112</v>
      </c>
      <c r="L46" s="280">
        <f t="shared" si="13"/>
        <v>173</v>
      </c>
      <c r="M46" s="281">
        <f t="shared" si="13"/>
        <v>20</v>
      </c>
      <c r="N46" s="280">
        <f t="shared" si="13"/>
        <v>12</v>
      </c>
      <c r="O46" s="280">
        <f t="shared" si="13"/>
        <v>38</v>
      </c>
      <c r="P46" s="282">
        <f t="shared" si="13"/>
        <v>70</v>
      </c>
      <c r="Q46" s="280">
        <f t="shared" si="13"/>
        <v>44</v>
      </c>
      <c r="R46" s="280">
        <f t="shared" si="13"/>
        <v>12</v>
      </c>
      <c r="S46" s="280">
        <f t="shared" si="13"/>
        <v>81</v>
      </c>
      <c r="T46" s="282">
        <f t="shared" si="13"/>
        <v>137</v>
      </c>
      <c r="U46" s="280">
        <f t="shared" si="13"/>
        <v>2</v>
      </c>
      <c r="V46" s="280">
        <f t="shared" si="13"/>
        <v>25</v>
      </c>
      <c r="W46" s="280">
        <f t="shared" si="13"/>
        <v>65</v>
      </c>
      <c r="X46" s="282">
        <f t="shared" si="13"/>
        <v>92</v>
      </c>
      <c r="Y46" s="259">
        <v>35</v>
      </c>
      <c r="Z46" s="260">
        <v>19</v>
      </c>
      <c r="AA46" s="260">
        <v>55</v>
      </c>
      <c r="AB46" s="260">
        <v>109</v>
      </c>
      <c r="AC46" s="259">
        <f t="shared" ref="AC46:AJ46" si="14">SUM(AC43:AC45)</f>
        <v>76</v>
      </c>
      <c r="AD46" s="260">
        <f t="shared" si="14"/>
        <v>3</v>
      </c>
      <c r="AE46" s="260">
        <f t="shared" si="14"/>
        <v>67</v>
      </c>
      <c r="AF46" s="261">
        <f t="shared" si="14"/>
        <v>146</v>
      </c>
      <c r="AG46" s="259">
        <f t="shared" si="14"/>
        <v>0</v>
      </c>
      <c r="AH46" s="260">
        <f t="shared" si="14"/>
        <v>0</v>
      </c>
      <c r="AI46" s="260">
        <f t="shared" si="14"/>
        <v>0</v>
      </c>
      <c r="AJ46" s="261">
        <f t="shared" si="14"/>
        <v>0</v>
      </c>
    </row>
    <row r="47" spans="2:36" x14ac:dyDescent="0.2">
      <c r="D47" s="1"/>
      <c r="E47" s="1"/>
      <c r="F47" s="1"/>
      <c r="G47" s="1"/>
      <c r="H47" s="1"/>
      <c r="L47" s="1"/>
      <c r="P47" s="1"/>
      <c r="T47" s="1"/>
      <c r="X47" s="1"/>
    </row>
    <row r="48" spans="2:36" x14ac:dyDescent="0.2">
      <c r="B48" s="5596" t="s">
        <v>10</v>
      </c>
      <c r="C48" s="5590" t="s">
        <v>6</v>
      </c>
      <c r="D48" s="283" t="s">
        <v>26</v>
      </c>
      <c r="E48" s="357">
        <v>6</v>
      </c>
      <c r="F48" s="356">
        <v>0</v>
      </c>
      <c r="G48" s="356">
        <v>0</v>
      </c>
      <c r="H48" s="358">
        <v>6</v>
      </c>
      <c r="I48" s="286">
        <v>0</v>
      </c>
      <c r="J48" s="284">
        <v>0</v>
      </c>
      <c r="K48" s="284">
        <v>11</v>
      </c>
      <c r="L48" s="285">
        <v>11</v>
      </c>
      <c r="M48" s="286">
        <v>0</v>
      </c>
      <c r="N48" s="284">
        <v>0</v>
      </c>
      <c r="O48" s="284">
        <v>0</v>
      </c>
      <c r="P48" s="287">
        <v>0</v>
      </c>
      <c r="Q48" s="284">
        <v>1</v>
      </c>
      <c r="R48" s="284">
        <v>0</v>
      </c>
      <c r="S48" s="284">
        <v>5</v>
      </c>
      <c r="T48" s="287">
        <v>6</v>
      </c>
      <c r="U48" s="284">
        <v>0</v>
      </c>
      <c r="V48" s="284">
        <v>0</v>
      </c>
      <c r="W48" s="284">
        <v>0</v>
      </c>
      <c r="X48" s="287">
        <v>0</v>
      </c>
      <c r="Y48" s="288">
        <v>0</v>
      </c>
      <c r="Z48" s="289">
        <v>0</v>
      </c>
      <c r="AA48" s="289">
        <v>4</v>
      </c>
      <c r="AB48" s="359">
        <v>4</v>
      </c>
      <c r="AC48" s="288"/>
      <c r="AD48" s="289"/>
      <c r="AE48" s="289"/>
      <c r="AF48" s="360"/>
      <c r="AG48" s="288"/>
      <c r="AH48" s="289"/>
      <c r="AI48" s="289"/>
      <c r="AJ48" s="360"/>
    </row>
    <row r="49" spans="2:36" x14ac:dyDescent="0.2">
      <c r="B49" s="5597"/>
      <c r="C49" s="5591"/>
      <c r="D49" s="291" t="s">
        <v>27</v>
      </c>
      <c r="E49" s="339">
        <v>45</v>
      </c>
      <c r="F49" s="340">
        <v>15</v>
      </c>
      <c r="G49" s="340">
        <v>8</v>
      </c>
      <c r="H49" s="341">
        <v>68</v>
      </c>
      <c r="I49" s="294">
        <v>5</v>
      </c>
      <c r="J49" s="292">
        <v>15</v>
      </c>
      <c r="K49" s="292">
        <v>39</v>
      </c>
      <c r="L49" s="293">
        <v>59</v>
      </c>
      <c r="M49" s="294">
        <v>12</v>
      </c>
      <c r="N49" s="292">
        <v>4</v>
      </c>
      <c r="O49" s="292">
        <v>5</v>
      </c>
      <c r="P49" s="295">
        <v>21</v>
      </c>
      <c r="Q49" s="292">
        <v>3</v>
      </c>
      <c r="R49" s="292">
        <v>33</v>
      </c>
      <c r="S49" s="292">
        <v>41</v>
      </c>
      <c r="T49" s="295">
        <v>77</v>
      </c>
      <c r="U49" s="292">
        <v>1</v>
      </c>
      <c r="V49" s="292">
        <v>15</v>
      </c>
      <c r="W49" s="292">
        <v>13</v>
      </c>
      <c r="X49" s="295">
        <v>29</v>
      </c>
      <c r="Y49" s="296">
        <v>2</v>
      </c>
      <c r="Z49" s="297">
        <v>2</v>
      </c>
      <c r="AA49" s="297">
        <v>57</v>
      </c>
      <c r="AB49" s="342">
        <v>61</v>
      </c>
      <c r="AC49" s="296"/>
      <c r="AD49" s="297"/>
      <c r="AE49" s="297"/>
      <c r="AF49" s="343"/>
      <c r="AG49" s="296"/>
      <c r="AH49" s="297"/>
      <c r="AI49" s="297"/>
      <c r="AJ49" s="343"/>
    </row>
    <row r="50" spans="2:36" x14ac:dyDescent="0.2">
      <c r="B50" s="5597"/>
      <c r="C50" s="5591"/>
      <c r="D50" s="291" t="s">
        <v>28</v>
      </c>
      <c r="E50" s="339">
        <v>27</v>
      </c>
      <c r="F50" s="340">
        <v>13</v>
      </c>
      <c r="G50" s="340">
        <v>0</v>
      </c>
      <c r="H50" s="341">
        <v>40</v>
      </c>
      <c r="I50" s="294">
        <v>1</v>
      </c>
      <c r="J50" s="292">
        <v>5</v>
      </c>
      <c r="K50" s="292">
        <v>0</v>
      </c>
      <c r="L50" s="293">
        <v>6</v>
      </c>
      <c r="M50" s="294">
        <v>29</v>
      </c>
      <c r="N50" s="292">
        <v>0</v>
      </c>
      <c r="O50" s="292">
        <v>1</v>
      </c>
      <c r="P50" s="295">
        <v>30</v>
      </c>
      <c r="Q50" s="292">
        <v>0</v>
      </c>
      <c r="R50" s="292">
        <v>8</v>
      </c>
      <c r="S50" s="292">
        <v>0</v>
      </c>
      <c r="T50" s="295">
        <v>8</v>
      </c>
      <c r="U50" s="292">
        <v>1</v>
      </c>
      <c r="V50" s="292">
        <v>14</v>
      </c>
      <c r="W50" s="292">
        <v>0</v>
      </c>
      <c r="X50" s="295">
        <v>15</v>
      </c>
      <c r="Y50" s="296">
        <v>10</v>
      </c>
      <c r="Z50" s="297">
        <v>0</v>
      </c>
      <c r="AA50" s="297">
        <v>0</v>
      </c>
      <c r="AB50" s="342">
        <v>10</v>
      </c>
      <c r="AC50" s="296">
        <v>23</v>
      </c>
      <c r="AD50" s="297"/>
      <c r="AE50" s="297"/>
      <c r="AF50" s="343">
        <v>23</v>
      </c>
      <c r="AG50" s="296"/>
      <c r="AH50" s="297"/>
      <c r="AI50" s="297"/>
      <c r="AJ50" s="343"/>
    </row>
    <row r="51" spans="2:36" s="27" customFormat="1" x14ac:dyDescent="0.2">
      <c r="B51" s="5597"/>
      <c r="C51" s="5592"/>
      <c r="D51" s="430" t="s">
        <v>14</v>
      </c>
      <c r="E51" s="431">
        <v>78</v>
      </c>
      <c r="F51" s="432">
        <v>28</v>
      </c>
      <c r="G51" s="432">
        <v>8</v>
      </c>
      <c r="H51" s="433">
        <v>114</v>
      </c>
      <c r="I51" s="434">
        <v>6</v>
      </c>
      <c r="J51" s="435">
        <v>20</v>
      </c>
      <c r="K51" s="435">
        <v>50</v>
      </c>
      <c r="L51" s="435">
        <v>76</v>
      </c>
      <c r="M51" s="434">
        <v>41</v>
      </c>
      <c r="N51" s="435">
        <v>4</v>
      </c>
      <c r="O51" s="435">
        <v>6</v>
      </c>
      <c r="P51" s="436">
        <v>51</v>
      </c>
      <c r="Q51" s="435">
        <v>4</v>
      </c>
      <c r="R51" s="435">
        <v>41</v>
      </c>
      <c r="S51" s="435">
        <v>46</v>
      </c>
      <c r="T51" s="436">
        <v>91</v>
      </c>
      <c r="U51" s="435">
        <v>2</v>
      </c>
      <c r="V51" s="435">
        <v>29</v>
      </c>
      <c r="W51" s="435">
        <v>13</v>
      </c>
      <c r="X51" s="436">
        <v>44</v>
      </c>
      <c r="Y51" s="437">
        <v>12</v>
      </c>
      <c r="Z51" s="438">
        <v>2</v>
      </c>
      <c r="AA51" s="438">
        <v>61</v>
      </c>
      <c r="AB51" s="438">
        <v>75</v>
      </c>
      <c r="AC51" s="437"/>
      <c r="AD51" s="438"/>
      <c r="AE51" s="438"/>
      <c r="AF51" s="439"/>
      <c r="AG51" s="437"/>
      <c r="AH51" s="438"/>
      <c r="AI51" s="438"/>
      <c r="AJ51" s="439"/>
    </row>
    <row r="52" spans="2:36" x14ac:dyDescent="0.2">
      <c r="B52" s="5597"/>
      <c r="C52" s="5590" t="s">
        <v>11</v>
      </c>
      <c r="D52" s="344"/>
      <c r="E52" s="345"/>
      <c r="F52" s="346"/>
      <c r="G52" s="346"/>
      <c r="H52" s="347"/>
      <c r="I52" s="294"/>
      <c r="J52" s="292"/>
      <c r="K52" s="292"/>
      <c r="L52" s="293"/>
      <c r="M52" s="294"/>
      <c r="N52" s="292"/>
      <c r="O52" s="292"/>
      <c r="P52" s="295"/>
      <c r="Q52" s="292"/>
      <c r="R52" s="292"/>
      <c r="S52" s="292"/>
      <c r="T52" s="295"/>
      <c r="U52" s="292"/>
      <c r="V52" s="292"/>
      <c r="W52" s="292"/>
      <c r="X52" s="295"/>
      <c r="Y52" s="296"/>
      <c r="Z52" s="297"/>
      <c r="AA52" s="297"/>
      <c r="AB52" s="342"/>
      <c r="AC52" s="296"/>
      <c r="AD52" s="297"/>
      <c r="AE52" s="297"/>
      <c r="AF52" s="343"/>
      <c r="AG52" s="296"/>
      <c r="AH52" s="297"/>
      <c r="AI52" s="297"/>
      <c r="AJ52" s="343"/>
    </row>
    <row r="53" spans="2:36" x14ac:dyDescent="0.2">
      <c r="B53" s="5597"/>
      <c r="C53" s="5591"/>
      <c r="D53" s="291" t="s">
        <v>26</v>
      </c>
      <c r="E53" s="339">
        <v>4</v>
      </c>
      <c r="F53" s="340">
        <v>0</v>
      </c>
      <c r="G53" s="340">
        <v>4</v>
      </c>
      <c r="H53" s="341">
        <v>8</v>
      </c>
      <c r="I53" s="294">
        <v>0</v>
      </c>
      <c r="J53" s="292">
        <v>0</v>
      </c>
      <c r="K53" s="292">
        <v>0</v>
      </c>
      <c r="L53" s="293">
        <v>0</v>
      </c>
      <c r="M53" s="294">
        <v>1</v>
      </c>
      <c r="N53" s="292">
        <v>0</v>
      </c>
      <c r="O53" s="292">
        <v>0</v>
      </c>
      <c r="P53" s="295">
        <v>1</v>
      </c>
      <c r="Q53" s="292">
        <v>1</v>
      </c>
      <c r="R53" s="292">
        <v>0</v>
      </c>
      <c r="S53" s="292">
        <v>0</v>
      </c>
      <c r="T53" s="295">
        <v>1</v>
      </c>
      <c r="U53" s="292">
        <v>0</v>
      </c>
      <c r="V53" s="292">
        <v>0</v>
      </c>
      <c r="W53" s="292">
        <v>0</v>
      </c>
      <c r="X53" s="295">
        <v>0</v>
      </c>
      <c r="Y53" s="296">
        <v>1</v>
      </c>
      <c r="Z53" s="297">
        <v>0</v>
      </c>
      <c r="AA53" s="297">
        <v>0</v>
      </c>
      <c r="AB53" s="342">
        <v>1</v>
      </c>
      <c r="AC53" s="296"/>
      <c r="AD53" s="297"/>
      <c r="AE53" s="297"/>
      <c r="AF53" s="343"/>
      <c r="AG53" s="296"/>
      <c r="AH53" s="297"/>
      <c r="AI53" s="297"/>
      <c r="AJ53" s="343"/>
    </row>
    <row r="54" spans="2:36" x14ac:dyDescent="0.2">
      <c r="B54" s="5597"/>
      <c r="C54" s="5591"/>
      <c r="D54" s="291" t="s">
        <v>27</v>
      </c>
      <c r="E54" s="339">
        <v>15</v>
      </c>
      <c r="F54" s="340">
        <v>12</v>
      </c>
      <c r="G54" s="340">
        <v>4</v>
      </c>
      <c r="H54" s="341">
        <v>31</v>
      </c>
      <c r="I54" s="294">
        <v>6</v>
      </c>
      <c r="J54" s="292">
        <v>6</v>
      </c>
      <c r="K54" s="292">
        <v>4</v>
      </c>
      <c r="L54" s="293">
        <v>16</v>
      </c>
      <c r="M54" s="294">
        <v>3</v>
      </c>
      <c r="N54" s="292">
        <v>10</v>
      </c>
      <c r="O54" s="292">
        <v>12</v>
      </c>
      <c r="P54" s="295">
        <v>25</v>
      </c>
      <c r="Q54" s="292">
        <v>8</v>
      </c>
      <c r="R54" s="292">
        <v>10</v>
      </c>
      <c r="S54" s="292">
        <v>16</v>
      </c>
      <c r="T54" s="295">
        <v>34</v>
      </c>
      <c r="U54" s="292">
        <v>1</v>
      </c>
      <c r="V54" s="292">
        <v>10</v>
      </c>
      <c r="W54" s="292">
        <v>19</v>
      </c>
      <c r="X54" s="295">
        <v>30</v>
      </c>
      <c r="Y54" s="296">
        <v>1</v>
      </c>
      <c r="Z54" s="297">
        <v>8</v>
      </c>
      <c r="AA54" s="297">
        <v>5</v>
      </c>
      <c r="AB54" s="342">
        <v>14</v>
      </c>
      <c r="AC54" s="296">
        <v>2</v>
      </c>
      <c r="AD54" s="297"/>
      <c r="AE54" s="297"/>
      <c r="AF54" s="343">
        <v>2</v>
      </c>
      <c r="AG54" s="296"/>
      <c r="AH54" s="297"/>
      <c r="AI54" s="297"/>
      <c r="AJ54" s="343"/>
    </row>
    <row r="55" spans="2:36" x14ac:dyDescent="0.2">
      <c r="B55" s="5597"/>
      <c r="C55" s="5591"/>
      <c r="D55" s="291" t="s">
        <v>28</v>
      </c>
      <c r="E55" s="339">
        <v>1</v>
      </c>
      <c r="F55" s="340">
        <v>0</v>
      </c>
      <c r="G55" s="340">
        <v>7</v>
      </c>
      <c r="H55" s="341">
        <v>8</v>
      </c>
      <c r="I55" s="294">
        <v>0</v>
      </c>
      <c r="J55" s="292">
        <v>0</v>
      </c>
      <c r="K55" s="292">
        <v>4</v>
      </c>
      <c r="L55" s="293">
        <v>4</v>
      </c>
      <c r="M55" s="294">
        <v>0</v>
      </c>
      <c r="N55" s="292">
        <v>0</v>
      </c>
      <c r="O55" s="292">
        <v>2</v>
      </c>
      <c r="P55" s="295">
        <v>2</v>
      </c>
      <c r="Q55" s="292">
        <v>0</v>
      </c>
      <c r="R55" s="292">
        <v>0</v>
      </c>
      <c r="S55" s="292">
        <v>3</v>
      </c>
      <c r="T55" s="295">
        <v>3</v>
      </c>
      <c r="U55" s="292">
        <v>0</v>
      </c>
      <c r="V55" s="292">
        <v>0</v>
      </c>
      <c r="W55" s="292">
        <v>7</v>
      </c>
      <c r="X55" s="295">
        <v>7</v>
      </c>
      <c r="Y55" s="296">
        <v>4</v>
      </c>
      <c r="Z55" s="297">
        <v>0</v>
      </c>
      <c r="AA55" s="297">
        <v>7</v>
      </c>
      <c r="AB55" s="342">
        <v>11</v>
      </c>
      <c r="AC55" s="296">
        <v>3</v>
      </c>
      <c r="AD55" s="297"/>
      <c r="AE55" s="297"/>
      <c r="AF55" s="343">
        <v>3</v>
      </c>
      <c r="AG55" s="296"/>
      <c r="AH55" s="297"/>
      <c r="AI55" s="297"/>
      <c r="AJ55" s="343"/>
    </row>
    <row r="56" spans="2:36" s="27" customFormat="1" x14ac:dyDescent="0.2">
      <c r="B56" s="5597"/>
      <c r="C56" s="5592"/>
      <c r="D56" s="430" t="s">
        <v>30</v>
      </c>
      <c r="E56" s="431">
        <v>20</v>
      </c>
      <c r="F56" s="432">
        <v>12</v>
      </c>
      <c r="G56" s="432">
        <v>15</v>
      </c>
      <c r="H56" s="433">
        <v>47</v>
      </c>
      <c r="I56" s="434">
        <v>6</v>
      </c>
      <c r="J56" s="435">
        <v>6</v>
      </c>
      <c r="K56" s="435">
        <v>8</v>
      </c>
      <c r="L56" s="435">
        <v>20</v>
      </c>
      <c r="M56" s="434">
        <v>4</v>
      </c>
      <c r="N56" s="435">
        <v>10</v>
      </c>
      <c r="O56" s="435">
        <v>14</v>
      </c>
      <c r="P56" s="436">
        <v>28</v>
      </c>
      <c r="Q56" s="435">
        <v>9</v>
      </c>
      <c r="R56" s="435">
        <v>10</v>
      </c>
      <c r="S56" s="435">
        <v>19</v>
      </c>
      <c r="T56" s="436">
        <v>38</v>
      </c>
      <c r="U56" s="435">
        <v>1</v>
      </c>
      <c r="V56" s="435">
        <v>10</v>
      </c>
      <c r="W56" s="435">
        <v>26</v>
      </c>
      <c r="X56" s="436">
        <v>37</v>
      </c>
      <c r="Y56" s="437">
        <v>6</v>
      </c>
      <c r="Z56" s="438">
        <v>8</v>
      </c>
      <c r="AA56" s="438">
        <v>12</v>
      </c>
      <c r="AB56" s="438">
        <v>26</v>
      </c>
      <c r="AC56" s="437"/>
      <c r="AD56" s="438"/>
      <c r="AE56" s="438"/>
      <c r="AF56" s="439"/>
      <c r="AG56" s="437"/>
      <c r="AH56" s="438"/>
      <c r="AI56" s="438"/>
      <c r="AJ56" s="439"/>
    </row>
    <row r="57" spans="2:36" x14ac:dyDescent="0.2">
      <c r="B57" s="5597"/>
      <c r="C57" s="5590" t="s">
        <v>7</v>
      </c>
      <c r="D57" s="344"/>
      <c r="E57" s="345"/>
      <c r="F57" s="346"/>
      <c r="G57" s="346"/>
      <c r="H57" s="347"/>
      <c r="I57" s="294"/>
      <c r="J57" s="292"/>
      <c r="K57" s="292"/>
      <c r="L57" s="293"/>
      <c r="M57" s="294"/>
      <c r="N57" s="292"/>
      <c r="O57" s="292"/>
      <c r="P57" s="295"/>
      <c r="Q57" s="292"/>
      <c r="R57" s="292"/>
      <c r="S57" s="292"/>
      <c r="T57" s="295"/>
      <c r="U57" s="292"/>
      <c r="V57" s="292"/>
      <c r="W57" s="292"/>
      <c r="X57" s="295"/>
      <c r="Y57" s="296"/>
      <c r="Z57" s="297"/>
      <c r="AA57" s="297"/>
      <c r="AB57" s="342"/>
      <c r="AC57" s="296"/>
      <c r="AD57" s="297"/>
      <c r="AE57" s="297"/>
      <c r="AF57" s="343"/>
      <c r="AG57" s="296"/>
      <c r="AH57" s="297"/>
      <c r="AI57" s="297"/>
      <c r="AJ57" s="343"/>
    </row>
    <row r="58" spans="2:36" x14ac:dyDescent="0.2">
      <c r="B58" s="5597"/>
      <c r="C58" s="5591"/>
      <c r="D58" s="291" t="s">
        <v>26</v>
      </c>
      <c r="E58" s="339"/>
      <c r="F58" s="340"/>
      <c r="G58" s="340"/>
      <c r="H58" s="341"/>
      <c r="I58" s="294"/>
      <c r="J58" s="292"/>
      <c r="K58" s="292"/>
      <c r="L58" s="293"/>
      <c r="M58" s="294"/>
      <c r="N58" s="292"/>
      <c r="O58" s="292"/>
      <c r="P58" s="295"/>
      <c r="Q58" s="292"/>
      <c r="R58" s="292"/>
      <c r="S58" s="292"/>
      <c r="T58" s="295"/>
      <c r="U58" s="292"/>
      <c r="V58" s="292"/>
      <c r="W58" s="292"/>
      <c r="X58" s="295"/>
      <c r="Y58" s="296"/>
      <c r="Z58" s="297"/>
      <c r="AA58" s="297"/>
      <c r="AB58" s="342"/>
      <c r="AC58" s="296"/>
      <c r="AD58" s="297"/>
      <c r="AE58" s="297"/>
      <c r="AF58" s="343"/>
      <c r="AG58" s="296"/>
      <c r="AH58" s="297"/>
      <c r="AI58" s="297"/>
      <c r="AJ58" s="343"/>
    </row>
    <row r="59" spans="2:36" x14ac:dyDescent="0.2">
      <c r="B59" s="5597"/>
      <c r="C59" s="5591"/>
      <c r="D59" s="291" t="s">
        <v>27</v>
      </c>
      <c r="E59" s="339">
        <v>0</v>
      </c>
      <c r="F59" s="340">
        <v>0</v>
      </c>
      <c r="G59" s="340">
        <v>0</v>
      </c>
      <c r="H59" s="341">
        <v>0</v>
      </c>
      <c r="I59" s="294">
        <v>0</v>
      </c>
      <c r="J59" s="292">
        <v>16</v>
      </c>
      <c r="K59" s="292">
        <v>0</v>
      </c>
      <c r="L59" s="293">
        <v>16</v>
      </c>
      <c r="M59" s="294">
        <v>0</v>
      </c>
      <c r="N59" s="292">
        <v>0</v>
      </c>
      <c r="O59" s="292">
        <v>0</v>
      </c>
      <c r="P59" s="295">
        <v>0</v>
      </c>
      <c r="Q59" s="292">
        <v>0</v>
      </c>
      <c r="R59" s="292">
        <v>0</v>
      </c>
      <c r="S59" s="292">
        <v>6</v>
      </c>
      <c r="T59" s="295">
        <v>6</v>
      </c>
      <c r="U59" s="292">
        <v>0</v>
      </c>
      <c r="V59" s="292">
        <v>0</v>
      </c>
      <c r="W59" s="292">
        <v>2</v>
      </c>
      <c r="X59" s="295">
        <v>2</v>
      </c>
      <c r="Y59" s="296">
        <v>0</v>
      </c>
      <c r="Z59" s="297">
        <v>0</v>
      </c>
      <c r="AA59" s="297">
        <v>0</v>
      </c>
      <c r="AB59" s="342">
        <v>0</v>
      </c>
      <c r="AC59" s="296"/>
      <c r="AD59" s="297"/>
      <c r="AE59" s="297"/>
      <c r="AF59" s="343"/>
      <c r="AG59" s="296"/>
      <c r="AH59" s="297"/>
      <c r="AI59" s="297"/>
      <c r="AJ59" s="343"/>
    </row>
    <row r="60" spans="2:36" x14ac:dyDescent="0.2">
      <c r="B60" s="5597"/>
      <c r="C60" s="5591"/>
      <c r="D60" s="291" t="s">
        <v>28</v>
      </c>
      <c r="E60" s="339">
        <v>0</v>
      </c>
      <c r="F60" s="340">
        <v>0</v>
      </c>
      <c r="G60" s="340">
        <v>0</v>
      </c>
      <c r="H60" s="341">
        <v>0</v>
      </c>
      <c r="I60" s="294">
        <v>0</v>
      </c>
      <c r="J60" s="292">
        <v>0</v>
      </c>
      <c r="K60" s="292">
        <v>0</v>
      </c>
      <c r="L60" s="293">
        <v>0</v>
      </c>
      <c r="M60" s="294">
        <v>0</v>
      </c>
      <c r="N60" s="292">
        <v>0</v>
      </c>
      <c r="O60" s="292">
        <v>0</v>
      </c>
      <c r="P60" s="295">
        <v>0</v>
      </c>
      <c r="Q60" s="292">
        <v>0</v>
      </c>
      <c r="R60" s="292">
        <v>0</v>
      </c>
      <c r="S60" s="292">
        <v>0</v>
      </c>
      <c r="T60" s="295">
        <v>0</v>
      </c>
      <c r="U60" s="292">
        <v>0</v>
      </c>
      <c r="V60" s="292">
        <v>0</v>
      </c>
      <c r="W60" s="292">
        <v>0</v>
      </c>
      <c r="X60" s="295">
        <v>0</v>
      </c>
      <c r="Y60" s="296">
        <v>0</v>
      </c>
      <c r="Z60" s="297">
        <v>8</v>
      </c>
      <c r="AA60" s="297">
        <v>3</v>
      </c>
      <c r="AB60" s="342">
        <v>11</v>
      </c>
      <c r="AC60" s="296"/>
      <c r="AD60" s="297"/>
      <c r="AE60" s="297"/>
      <c r="AF60" s="343"/>
      <c r="AG60" s="296"/>
      <c r="AH60" s="297"/>
      <c r="AI60" s="297"/>
      <c r="AJ60" s="343"/>
    </row>
    <row r="61" spans="2:36" s="27" customFormat="1" x14ac:dyDescent="0.2">
      <c r="B61" s="5597"/>
      <c r="C61" s="5592"/>
      <c r="D61" s="430" t="s">
        <v>15</v>
      </c>
      <c r="E61" s="431">
        <v>0</v>
      </c>
      <c r="F61" s="432">
        <v>0</v>
      </c>
      <c r="G61" s="432">
        <v>0</v>
      </c>
      <c r="H61" s="433">
        <v>0</v>
      </c>
      <c r="I61" s="434">
        <v>0</v>
      </c>
      <c r="J61" s="435">
        <v>16</v>
      </c>
      <c r="K61" s="435">
        <v>0</v>
      </c>
      <c r="L61" s="435">
        <v>16</v>
      </c>
      <c r="M61" s="434">
        <v>0</v>
      </c>
      <c r="N61" s="435">
        <v>0</v>
      </c>
      <c r="O61" s="435">
        <v>0</v>
      </c>
      <c r="P61" s="436">
        <v>0</v>
      </c>
      <c r="Q61" s="435">
        <v>0</v>
      </c>
      <c r="R61" s="435">
        <v>0</v>
      </c>
      <c r="S61" s="435">
        <v>6</v>
      </c>
      <c r="T61" s="436">
        <v>6</v>
      </c>
      <c r="U61" s="435">
        <v>0</v>
      </c>
      <c r="V61" s="435">
        <v>0</v>
      </c>
      <c r="W61" s="435">
        <v>2</v>
      </c>
      <c r="X61" s="436">
        <v>2</v>
      </c>
      <c r="Y61" s="437">
        <v>0</v>
      </c>
      <c r="Z61" s="438">
        <v>8</v>
      </c>
      <c r="AA61" s="438">
        <v>3</v>
      </c>
      <c r="AB61" s="438">
        <v>11</v>
      </c>
      <c r="AC61" s="437"/>
      <c r="AD61" s="438"/>
      <c r="AE61" s="438"/>
      <c r="AF61" s="439"/>
      <c r="AG61" s="437"/>
      <c r="AH61" s="438"/>
      <c r="AI61" s="438"/>
      <c r="AJ61" s="439"/>
    </row>
    <row r="62" spans="2:36" x14ac:dyDescent="0.2">
      <c r="B62" s="5597"/>
      <c r="C62" s="5596" t="s">
        <v>16</v>
      </c>
      <c r="D62" s="341"/>
      <c r="E62" s="339"/>
      <c r="F62" s="340"/>
      <c r="G62" s="340"/>
      <c r="H62" s="341"/>
      <c r="I62" s="294"/>
      <c r="J62" s="292"/>
      <c r="K62" s="292"/>
      <c r="L62" s="293"/>
      <c r="M62" s="294"/>
      <c r="N62" s="292"/>
      <c r="O62" s="292"/>
      <c r="P62" s="295"/>
      <c r="Q62" s="292"/>
      <c r="R62" s="292"/>
      <c r="S62" s="292"/>
      <c r="T62" s="295"/>
      <c r="U62" s="292"/>
      <c r="V62" s="292"/>
      <c r="W62" s="292"/>
      <c r="X62" s="295"/>
      <c r="Y62" s="296"/>
      <c r="Z62" s="297"/>
      <c r="AA62" s="297"/>
      <c r="AB62" s="342"/>
      <c r="AC62" s="296"/>
      <c r="AD62" s="297"/>
      <c r="AE62" s="297"/>
      <c r="AF62" s="343"/>
      <c r="AG62" s="296"/>
      <c r="AH62" s="297"/>
      <c r="AI62" s="297"/>
      <c r="AJ62" s="343"/>
    </row>
    <row r="63" spans="2:36" x14ac:dyDescent="0.2">
      <c r="B63" s="5597"/>
      <c r="C63" s="5597"/>
      <c r="D63" s="341" t="s">
        <v>26</v>
      </c>
      <c r="E63" s="339">
        <v>10</v>
      </c>
      <c r="F63" s="340">
        <v>0</v>
      </c>
      <c r="G63" s="340">
        <v>4</v>
      </c>
      <c r="H63" s="341">
        <v>14</v>
      </c>
      <c r="I63" s="294">
        <f t="shared" ref="I63:X63" si="15">I48+I53+I58</f>
        <v>0</v>
      </c>
      <c r="J63" s="292">
        <f t="shared" si="15"/>
        <v>0</v>
      </c>
      <c r="K63" s="292">
        <f t="shared" si="15"/>
        <v>11</v>
      </c>
      <c r="L63" s="293">
        <f t="shared" si="15"/>
        <v>11</v>
      </c>
      <c r="M63" s="294">
        <f t="shared" si="15"/>
        <v>1</v>
      </c>
      <c r="N63" s="292">
        <f t="shared" si="15"/>
        <v>0</v>
      </c>
      <c r="O63" s="292">
        <f t="shared" si="15"/>
        <v>0</v>
      </c>
      <c r="P63" s="295">
        <f t="shared" si="15"/>
        <v>1</v>
      </c>
      <c r="Q63" s="292">
        <f t="shared" si="15"/>
        <v>2</v>
      </c>
      <c r="R63" s="292">
        <f t="shared" si="15"/>
        <v>0</v>
      </c>
      <c r="S63" s="292">
        <f t="shared" si="15"/>
        <v>5</v>
      </c>
      <c r="T63" s="295">
        <f t="shared" si="15"/>
        <v>7</v>
      </c>
      <c r="U63" s="292">
        <f t="shared" si="15"/>
        <v>0</v>
      </c>
      <c r="V63" s="292">
        <f t="shared" si="15"/>
        <v>0</v>
      </c>
      <c r="W63" s="292">
        <f t="shared" si="15"/>
        <v>0</v>
      </c>
      <c r="X63" s="295">
        <f t="shared" si="15"/>
        <v>0</v>
      </c>
      <c r="Y63" s="296">
        <v>1</v>
      </c>
      <c r="Z63" s="297">
        <v>0</v>
      </c>
      <c r="AA63" s="297">
        <v>4</v>
      </c>
      <c r="AB63" s="297">
        <v>5</v>
      </c>
      <c r="AC63" s="296"/>
      <c r="AD63" s="297"/>
      <c r="AE63" s="297"/>
      <c r="AF63" s="298"/>
      <c r="AG63" s="296"/>
      <c r="AH63" s="297"/>
      <c r="AI63" s="297"/>
      <c r="AJ63" s="298"/>
    </row>
    <row r="64" spans="2:36" x14ac:dyDescent="0.2">
      <c r="B64" s="5597"/>
      <c r="C64" s="5597"/>
      <c r="D64" s="341" t="s">
        <v>27</v>
      </c>
      <c r="E64" s="339">
        <v>60</v>
      </c>
      <c r="F64" s="340">
        <v>27</v>
      </c>
      <c r="G64" s="340">
        <v>12</v>
      </c>
      <c r="H64" s="341">
        <v>99</v>
      </c>
      <c r="I64" s="294">
        <f t="shared" ref="I64:X64" si="16">I49+I54+I59</f>
        <v>11</v>
      </c>
      <c r="J64" s="292">
        <f t="shared" si="16"/>
        <v>37</v>
      </c>
      <c r="K64" s="292">
        <f t="shared" si="16"/>
        <v>43</v>
      </c>
      <c r="L64" s="293">
        <f t="shared" si="16"/>
        <v>91</v>
      </c>
      <c r="M64" s="294">
        <f t="shared" si="16"/>
        <v>15</v>
      </c>
      <c r="N64" s="292">
        <f t="shared" si="16"/>
        <v>14</v>
      </c>
      <c r="O64" s="292">
        <f t="shared" si="16"/>
        <v>17</v>
      </c>
      <c r="P64" s="295">
        <f t="shared" si="16"/>
        <v>46</v>
      </c>
      <c r="Q64" s="292">
        <f t="shared" si="16"/>
        <v>11</v>
      </c>
      <c r="R64" s="292">
        <f t="shared" si="16"/>
        <v>43</v>
      </c>
      <c r="S64" s="292">
        <f t="shared" si="16"/>
        <v>63</v>
      </c>
      <c r="T64" s="295">
        <f t="shared" si="16"/>
        <v>117</v>
      </c>
      <c r="U64" s="292">
        <f t="shared" si="16"/>
        <v>2</v>
      </c>
      <c r="V64" s="292">
        <f t="shared" si="16"/>
        <v>25</v>
      </c>
      <c r="W64" s="292">
        <f t="shared" si="16"/>
        <v>34</v>
      </c>
      <c r="X64" s="295">
        <f t="shared" si="16"/>
        <v>61</v>
      </c>
      <c r="Y64" s="296">
        <v>3</v>
      </c>
      <c r="Z64" s="297">
        <v>10</v>
      </c>
      <c r="AA64" s="297">
        <v>62</v>
      </c>
      <c r="AB64" s="297">
        <v>75</v>
      </c>
      <c r="AC64" s="296">
        <v>2</v>
      </c>
      <c r="AD64" s="297"/>
      <c r="AE64" s="297"/>
      <c r="AF64" s="298">
        <v>2</v>
      </c>
      <c r="AG64" s="296"/>
      <c r="AH64" s="297"/>
      <c r="AI64" s="297"/>
      <c r="AJ64" s="298"/>
    </row>
    <row r="65" spans="2:36" x14ac:dyDescent="0.2">
      <c r="B65" s="5597"/>
      <c r="C65" s="5597"/>
      <c r="D65" s="363" t="s">
        <v>28</v>
      </c>
      <c r="E65" s="361">
        <v>28</v>
      </c>
      <c r="F65" s="362">
        <v>13</v>
      </c>
      <c r="G65" s="362">
        <v>7</v>
      </c>
      <c r="H65" s="363">
        <v>48</v>
      </c>
      <c r="I65" s="364">
        <f t="shared" ref="I65:X65" si="17">I50+I55+I60</f>
        <v>1</v>
      </c>
      <c r="J65" s="365">
        <f t="shared" si="17"/>
        <v>5</v>
      </c>
      <c r="K65" s="365">
        <f t="shared" si="17"/>
        <v>4</v>
      </c>
      <c r="L65" s="366">
        <f t="shared" si="17"/>
        <v>10</v>
      </c>
      <c r="M65" s="364">
        <f t="shared" si="17"/>
        <v>29</v>
      </c>
      <c r="N65" s="365">
        <f t="shared" si="17"/>
        <v>0</v>
      </c>
      <c r="O65" s="365">
        <f t="shared" si="17"/>
        <v>3</v>
      </c>
      <c r="P65" s="367">
        <f t="shared" si="17"/>
        <v>32</v>
      </c>
      <c r="Q65" s="365">
        <f t="shared" si="17"/>
        <v>0</v>
      </c>
      <c r="R65" s="365">
        <f t="shared" si="17"/>
        <v>8</v>
      </c>
      <c r="S65" s="365">
        <f t="shared" si="17"/>
        <v>3</v>
      </c>
      <c r="T65" s="367">
        <f t="shared" si="17"/>
        <v>11</v>
      </c>
      <c r="U65" s="365">
        <f t="shared" si="17"/>
        <v>1</v>
      </c>
      <c r="V65" s="365">
        <f t="shared" si="17"/>
        <v>14</v>
      </c>
      <c r="W65" s="365">
        <f t="shared" si="17"/>
        <v>7</v>
      </c>
      <c r="X65" s="367">
        <f t="shared" si="17"/>
        <v>22</v>
      </c>
      <c r="Y65" s="368">
        <v>14</v>
      </c>
      <c r="Z65" s="369">
        <v>8</v>
      </c>
      <c r="AA65" s="369">
        <v>10</v>
      </c>
      <c r="AB65" s="369">
        <v>32</v>
      </c>
      <c r="AC65" s="368">
        <v>26</v>
      </c>
      <c r="AD65" s="369"/>
      <c r="AE65" s="369"/>
      <c r="AF65" s="371">
        <v>26</v>
      </c>
      <c r="AG65" s="368"/>
      <c r="AH65" s="369"/>
      <c r="AI65" s="369"/>
      <c r="AJ65" s="371"/>
    </row>
    <row r="66" spans="2:36" s="27" customFormat="1" ht="15" x14ac:dyDescent="0.2">
      <c r="B66" s="5598"/>
      <c r="C66" s="5598"/>
      <c r="D66" s="392" t="s">
        <v>12</v>
      </c>
      <c r="E66" s="390">
        <v>98</v>
      </c>
      <c r="F66" s="391">
        <v>40</v>
      </c>
      <c r="G66" s="391">
        <v>23</v>
      </c>
      <c r="H66" s="392">
        <v>161</v>
      </c>
      <c r="I66" s="281">
        <f t="shared" ref="I66:X66" si="18">SUM(I63:I65)</f>
        <v>12</v>
      </c>
      <c r="J66" s="280">
        <f t="shared" si="18"/>
        <v>42</v>
      </c>
      <c r="K66" s="280">
        <f t="shared" si="18"/>
        <v>58</v>
      </c>
      <c r="L66" s="280">
        <f t="shared" si="18"/>
        <v>112</v>
      </c>
      <c r="M66" s="281">
        <f t="shared" si="18"/>
        <v>45</v>
      </c>
      <c r="N66" s="280">
        <f t="shared" si="18"/>
        <v>14</v>
      </c>
      <c r="O66" s="280">
        <f t="shared" si="18"/>
        <v>20</v>
      </c>
      <c r="P66" s="282">
        <f t="shared" si="18"/>
        <v>79</v>
      </c>
      <c r="Q66" s="280">
        <f t="shared" si="18"/>
        <v>13</v>
      </c>
      <c r="R66" s="280">
        <f t="shared" si="18"/>
        <v>51</v>
      </c>
      <c r="S66" s="280">
        <f t="shared" si="18"/>
        <v>71</v>
      </c>
      <c r="T66" s="282">
        <f t="shared" si="18"/>
        <v>135</v>
      </c>
      <c r="U66" s="280">
        <f t="shared" si="18"/>
        <v>3</v>
      </c>
      <c r="V66" s="280">
        <f t="shared" si="18"/>
        <v>39</v>
      </c>
      <c r="W66" s="280">
        <f t="shared" si="18"/>
        <v>41</v>
      </c>
      <c r="X66" s="282">
        <f t="shared" si="18"/>
        <v>83</v>
      </c>
      <c r="Y66" s="259">
        <v>18</v>
      </c>
      <c r="Z66" s="260">
        <v>18</v>
      </c>
      <c r="AA66" s="260">
        <v>76</v>
      </c>
      <c r="AB66" s="260">
        <v>112</v>
      </c>
      <c r="AC66" s="259">
        <v>28</v>
      </c>
      <c r="AD66" s="260"/>
      <c r="AE66" s="260"/>
      <c r="AF66" s="261">
        <v>28</v>
      </c>
      <c r="AG66" s="259"/>
      <c r="AH66" s="260"/>
      <c r="AI66" s="260"/>
      <c r="AJ66" s="261"/>
    </row>
    <row r="67" spans="2:36" x14ac:dyDescent="0.2">
      <c r="D67" s="1"/>
      <c r="E67" s="1"/>
      <c r="F67" s="1"/>
      <c r="G67" s="1"/>
      <c r="H67" s="1"/>
      <c r="L67" s="1"/>
      <c r="P67" s="1"/>
      <c r="T67" s="1"/>
      <c r="X67" s="1"/>
    </row>
    <row r="68" spans="2:36" x14ac:dyDescent="0.2">
      <c r="B68" s="5609" t="s">
        <v>60</v>
      </c>
      <c r="C68" s="5610"/>
      <c r="D68" s="283" t="s">
        <v>26</v>
      </c>
      <c r="E68" s="357">
        <v>37</v>
      </c>
      <c r="F68" s="356">
        <v>2</v>
      </c>
      <c r="G68" s="356">
        <v>29</v>
      </c>
      <c r="H68" s="358">
        <v>68</v>
      </c>
      <c r="I68" s="286">
        <f t="shared" ref="I68:X68" si="19">I23+I43+I63</f>
        <v>9</v>
      </c>
      <c r="J68" s="284">
        <f t="shared" si="19"/>
        <v>2</v>
      </c>
      <c r="K68" s="284">
        <f t="shared" si="19"/>
        <v>53</v>
      </c>
      <c r="L68" s="285">
        <f t="shared" si="19"/>
        <v>64</v>
      </c>
      <c r="M68" s="286">
        <f t="shared" si="19"/>
        <v>1</v>
      </c>
      <c r="N68" s="284">
        <f t="shared" si="19"/>
        <v>4</v>
      </c>
      <c r="O68" s="284">
        <f t="shared" si="19"/>
        <v>16</v>
      </c>
      <c r="P68" s="287">
        <f t="shared" si="19"/>
        <v>21</v>
      </c>
      <c r="Q68" s="284">
        <f t="shared" si="19"/>
        <v>16</v>
      </c>
      <c r="R68" s="284">
        <f t="shared" si="19"/>
        <v>7</v>
      </c>
      <c r="S68" s="284">
        <f t="shared" si="19"/>
        <v>35</v>
      </c>
      <c r="T68" s="287">
        <f t="shared" si="19"/>
        <v>58</v>
      </c>
      <c r="U68" s="284">
        <f t="shared" si="19"/>
        <v>0</v>
      </c>
      <c r="V68" s="284">
        <f t="shared" si="19"/>
        <v>0</v>
      </c>
      <c r="W68" s="284">
        <f t="shared" si="19"/>
        <v>28</v>
      </c>
      <c r="X68" s="287">
        <f t="shared" si="19"/>
        <v>28</v>
      </c>
      <c r="Y68" s="288">
        <v>19</v>
      </c>
      <c r="Z68" s="289">
        <v>14</v>
      </c>
      <c r="AA68" s="289">
        <v>40</v>
      </c>
      <c r="AB68" s="289">
        <v>73</v>
      </c>
      <c r="AC68" s="288">
        <f t="shared" ref="AC68:AI70" si="20">SUM(AC23,AC43,AC63)</f>
        <v>27</v>
      </c>
      <c r="AD68" s="289">
        <f t="shared" si="20"/>
        <v>0</v>
      </c>
      <c r="AE68" s="289">
        <f t="shared" si="20"/>
        <v>6</v>
      </c>
      <c r="AF68" s="290">
        <f t="shared" si="20"/>
        <v>33</v>
      </c>
      <c r="AG68" s="288">
        <f t="shared" si="20"/>
        <v>0</v>
      </c>
      <c r="AH68" s="289">
        <f t="shared" si="20"/>
        <v>0</v>
      </c>
      <c r="AI68" s="289">
        <f t="shared" si="20"/>
        <v>0</v>
      </c>
      <c r="AJ68" s="290"/>
    </row>
    <row r="69" spans="2:36" x14ac:dyDescent="0.2">
      <c r="B69" s="5611"/>
      <c r="C69" s="5612"/>
      <c r="D69" s="291" t="s">
        <v>27</v>
      </c>
      <c r="E69" s="339">
        <v>105</v>
      </c>
      <c r="F69" s="340">
        <v>48</v>
      </c>
      <c r="G69" s="340">
        <v>54</v>
      </c>
      <c r="H69" s="341">
        <v>207</v>
      </c>
      <c r="I69" s="294">
        <f t="shared" ref="I69:X69" si="21">I24+I44+I64</f>
        <v>42</v>
      </c>
      <c r="J69" s="292">
        <f t="shared" si="21"/>
        <v>51</v>
      </c>
      <c r="K69" s="292">
        <f t="shared" si="21"/>
        <v>152</v>
      </c>
      <c r="L69" s="293">
        <f t="shared" si="21"/>
        <v>245</v>
      </c>
      <c r="M69" s="294">
        <f t="shared" si="21"/>
        <v>33</v>
      </c>
      <c r="N69" s="292">
        <f t="shared" si="21"/>
        <v>27</v>
      </c>
      <c r="O69" s="292">
        <f t="shared" si="21"/>
        <v>52</v>
      </c>
      <c r="P69" s="295">
        <f t="shared" si="21"/>
        <v>112</v>
      </c>
      <c r="Q69" s="292">
        <f t="shared" si="21"/>
        <v>30</v>
      </c>
      <c r="R69" s="292">
        <f t="shared" si="21"/>
        <v>66</v>
      </c>
      <c r="S69" s="292">
        <f t="shared" si="21"/>
        <v>113</v>
      </c>
      <c r="T69" s="295">
        <f t="shared" si="21"/>
        <v>209</v>
      </c>
      <c r="U69" s="292">
        <f t="shared" si="21"/>
        <v>4</v>
      </c>
      <c r="V69" s="292">
        <f t="shared" si="21"/>
        <v>47</v>
      </c>
      <c r="W69" s="292">
        <f t="shared" si="21"/>
        <v>65</v>
      </c>
      <c r="X69" s="295">
        <f t="shared" si="21"/>
        <v>116</v>
      </c>
      <c r="Y69" s="296">
        <v>27</v>
      </c>
      <c r="Z69" s="297">
        <v>18</v>
      </c>
      <c r="AA69" s="297">
        <v>111</v>
      </c>
      <c r="AB69" s="297">
        <v>156</v>
      </c>
      <c r="AC69" s="296">
        <f t="shared" si="20"/>
        <v>52</v>
      </c>
      <c r="AD69" s="297">
        <f t="shared" si="20"/>
        <v>3</v>
      </c>
      <c r="AE69" s="297">
        <f t="shared" si="20"/>
        <v>41</v>
      </c>
      <c r="AF69" s="298">
        <f t="shared" si="20"/>
        <v>96</v>
      </c>
      <c r="AG69" s="296">
        <f t="shared" si="20"/>
        <v>0</v>
      </c>
      <c r="AH69" s="297">
        <f t="shared" si="20"/>
        <v>0</v>
      </c>
      <c r="AI69" s="297">
        <f t="shared" si="20"/>
        <v>0</v>
      </c>
      <c r="AJ69" s="298"/>
    </row>
    <row r="70" spans="2:36" x14ac:dyDescent="0.2">
      <c r="B70" s="5611"/>
      <c r="C70" s="5612"/>
      <c r="D70" s="299" t="s">
        <v>28</v>
      </c>
      <c r="E70" s="353">
        <v>38</v>
      </c>
      <c r="F70" s="354">
        <v>20</v>
      </c>
      <c r="G70" s="354">
        <v>49</v>
      </c>
      <c r="H70" s="355">
        <v>107</v>
      </c>
      <c r="I70" s="302">
        <f t="shared" ref="I70:X70" si="22">I25+I45+I65</f>
        <v>13</v>
      </c>
      <c r="J70" s="300">
        <f t="shared" si="22"/>
        <v>14</v>
      </c>
      <c r="K70" s="300">
        <f t="shared" si="22"/>
        <v>39</v>
      </c>
      <c r="L70" s="301">
        <f t="shared" si="22"/>
        <v>66</v>
      </c>
      <c r="M70" s="302">
        <f t="shared" si="22"/>
        <v>37</v>
      </c>
      <c r="N70" s="300">
        <f t="shared" si="22"/>
        <v>6</v>
      </c>
      <c r="O70" s="300">
        <f t="shared" si="22"/>
        <v>30</v>
      </c>
      <c r="P70" s="303">
        <f t="shared" si="22"/>
        <v>73</v>
      </c>
      <c r="Q70" s="300">
        <f t="shared" si="22"/>
        <v>18</v>
      </c>
      <c r="R70" s="300">
        <f t="shared" si="22"/>
        <v>11</v>
      </c>
      <c r="S70" s="300">
        <f t="shared" si="22"/>
        <v>38</v>
      </c>
      <c r="T70" s="303">
        <f t="shared" si="22"/>
        <v>67</v>
      </c>
      <c r="U70" s="300">
        <f t="shared" si="22"/>
        <v>2</v>
      </c>
      <c r="V70" s="300">
        <f t="shared" si="22"/>
        <v>29</v>
      </c>
      <c r="W70" s="300">
        <f t="shared" si="22"/>
        <v>40</v>
      </c>
      <c r="X70" s="303">
        <f t="shared" si="22"/>
        <v>71</v>
      </c>
      <c r="Y70" s="304">
        <v>33</v>
      </c>
      <c r="Z70" s="305">
        <v>12</v>
      </c>
      <c r="AA70" s="305">
        <v>42</v>
      </c>
      <c r="AB70" s="305">
        <v>87</v>
      </c>
      <c r="AC70" s="304">
        <f t="shared" si="20"/>
        <v>40</v>
      </c>
      <c r="AD70" s="305">
        <f t="shared" si="20"/>
        <v>0</v>
      </c>
      <c r="AE70" s="305">
        <f t="shared" si="20"/>
        <v>20</v>
      </c>
      <c r="AF70" s="306">
        <f t="shared" si="20"/>
        <v>60</v>
      </c>
      <c r="AG70" s="304">
        <f t="shared" si="20"/>
        <v>0</v>
      </c>
      <c r="AH70" s="305">
        <f t="shared" si="20"/>
        <v>0</v>
      </c>
      <c r="AI70" s="305">
        <f t="shared" si="20"/>
        <v>0</v>
      </c>
      <c r="AJ70" s="306"/>
    </row>
    <row r="71" spans="2:36" s="38" customFormat="1" ht="15" x14ac:dyDescent="0.2">
      <c r="B71" s="5613"/>
      <c r="C71" s="5614"/>
      <c r="D71" s="392" t="s">
        <v>12</v>
      </c>
      <c r="E71" s="307">
        <v>180</v>
      </c>
      <c r="F71" s="307">
        <v>70</v>
      </c>
      <c r="G71" s="307">
        <v>132</v>
      </c>
      <c r="H71" s="307">
        <v>382</v>
      </c>
      <c r="I71" s="281">
        <f t="shared" ref="I71:X71" si="23">SUM(I68:I70)</f>
        <v>64</v>
      </c>
      <c r="J71" s="280">
        <f t="shared" si="23"/>
        <v>67</v>
      </c>
      <c r="K71" s="280">
        <f t="shared" si="23"/>
        <v>244</v>
      </c>
      <c r="L71" s="280">
        <f t="shared" si="23"/>
        <v>375</v>
      </c>
      <c r="M71" s="281">
        <f t="shared" si="23"/>
        <v>71</v>
      </c>
      <c r="N71" s="280">
        <f t="shared" si="23"/>
        <v>37</v>
      </c>
      <c r="O71" s="280">
        <f t="shared" si="23"/>
        <v>98</v>
      </c>
      <c r="P71" s="282">
        <f t="shared" si="23"/>
        <v>206</v>
      </c>
      <c r="Q71" s="280">
        <f t="shared" si="23"/>
        <v>64</v>
      </c>
      <c r="R71" s="280">
        <f t="shared" si="23"/>
        <v>84</v>
      </c>
      <c r="S71" s="280">
        <f t="shared" si="23"/>
        <v>186</v>
      </c>
      <c r="T71" s="282">
        <f t="shared" si="23"/>
        <v>334</v>
      </c>
      <c r="U71" s="280">
        <f t="shared" si="23"/>
        <v>6</v>
      </c>
      <c r="V71" s="280">
        <f t="shared" si="23"/>
        <v>76</v>
      </c>
      <c r="W71" s="280">
        <f t="shared" si="23"/>
        <v>133</v>
      </c>
      <c r="X71" s="282">
        <f t="shared" si="23"/>
        <v>215</v>
      </c>
      <c r="Y71" s="259">
        <v>79</v>
      </c>
      <c r="Z71" s="260">
        <v>44</v>
      </c>
      <c r="AA71" s="260">
        <v>193</v>
      </c>
      <c r="AB71" s="260">
        <v>316</v>
      </c>
      <c r="AC71" s="259">
        <f t="shared" ref="AC71:AI71" si="24">SUM(AC68:AC70)</f>
        <v>119</v>
      </c>
      <c r="AD71" s="260">
        <f t="shared" si="24"/>
        <v>3</v>
      </c>
      <c r="AE71" s="260">
        <f t="shared" si="24"/>
        <v>67</v>
      </c>
      <c r="AF71" s="261">
        <f t="shared" si="24"/>
        <v>189</v>
      </c>
      <c r="AG71" s="259">
        <f t="shared" si="24"/>
        <v>0</v>
      </c>
      <c r="AH71" s="260">
        <f t="shared" si="24"/>
        <v>0</v>
      </c>
      <c r="AI71" s="260">
        <f t="shared" si="24"/>
        <v>0</v>
      </c>
      <c r="AJ71" s="261"/>
    </row>
    <row r="72" spans="2:36" x14ac:dyDescent="0.2">
      <c r="B72" s="5606" t="s">
        <v>0</v>
      </c>
      <c r="C72" s="5606"/>
      <c r="D72" s="5606"/>
      <c r="E72" s="45"/>
      <c r="F72" s="45"/>
      <c r="G72" s="45"/>
      <c r="H72" s="45"/>
      <c r="I72" s="26"/>
      <c r="J72" s="26"/>
      <c r="K72" s="26"/>
      <c r="L72" s="61"/>
      <c r="M72" s="26"/>
      <c r="N72" s="26"/>
      <c r="O72" s="26"/>
      <c r="P72" s="61"/>
      <c r="Q72" s="26"/>
      <c r="R72" s="26"/>
      <c r="S72" s="26"/>
      <c r="T72" s="61"/>
      <c r="U72" s="26"/>
      <c r="V72" s="26"/>
      <c r="W72" s="26"/>
      <c r="X72" s="61"/>
    </row>
    <row r="73" spans="2:36" s="47" customFormat="1" x14ac:dyDescent="0.2">
      <c r="D73" s="63"/>
      <c r="E73" s="63"/>
      <c r="F73" s="63"/>
      <c r="G73" s="63"/>
      <c r="H73" s="63"/>
      <c r="L73" s="75"/>
      <c r="P73" s="75"/>
      <c r="T73" s="75"/>
      <c r="X73" s="75"/>
    </row>
    <row r="74" spans="2:36" x14ac:dyDescent="0.2">
      <c r="I74" s="76"/>
      <c r="J74" s="76"/>
      <c r="K74" s="76"/>
      <c r="L74" s="60"/>
      <c r="M74" s="76"/>
      <c r="N74" s="76"/>
      <c r="O74" s="76"/>
      <c r="P74" s="60"/>
      <c r="Q74" s="76"/>
      <c r="R74" s="76"/>
      <c r="S74" s="76"/>
      <c r="T74" s="60"/>
      <c r="U74" s="76"/>
      <c r="V74" s="76"/>
      <c r="W74" s="76"/>
      <c r="X74" s="60"/>
    </row>
  </sheetData>
  <mergeCells count="54">
    <mergeCell ref="B72:D72"/>
    <mergeCell ref="B5:B6"/>
    <mergeCell ref="C5:C6"/>
    <mergeCell ref="D5:D6"/>
    <mergeCell ref="I5:I6"/>
    <mergeCell ref="H5:H6"/>
    <mergeCell ref="G5:G6"/>
    <mergeCell ref="F5:F6"/>
    <mergeCell ref="E5:E6"/>
    <mergeCell ref="B68:C71"/>
    <mergeCell ref="B8:B26"/>
    <mergeCell ref="B28:B46"/>
    <mergeCell ref="B48:B66"/>
    <mergeCell ref="C8:C11"/>
    <mergeCell ref="C12:C16"/>
    <mergeCell ref="C17:C21"/>
    <mergeCell ref="B2:AB2"/>
    <mergeCell ref="R5:R6"/>
    <mergeCell ref="J5:J6"/>
    <mergeCell ref="U5:U6"/>
    <mergeCell ref="P5:P6"/>
    <mergeCell ref="B3:AB3"/>
    <mergeCell ref="S5:S6"/>
    <mergeCell ref="O5:O6"/>
    <mergeCell ref="L5:L6"/>
    <mergeCell ref="C57:C61"/>
    <mergeCell ref="C62:C66"/>
    <mergeCell ref="AG5:AG6"/>
    <mergeCell ref="AH5:AH6"/>
    <mergeCell ref="AI5:AI6"/>
    <mergeCell ref="AC5:AC6"/>
    <mergeCell ref="AD5:AD6"/>
    <mergeCell ref="AE5:AE6"/>
    <mergeCell ref="AF5:AF6"/>
    <mergeCell ref="V5:V6"/>
    <mergeCell ref="T5:T6"/>
    <mergeCell ref="Q5:Q6"/>
    <mergeCell ref="X5:X6"/>
    <mergeCell ref="C22:C26"/>
    <mergeCell ref="C28:C31"/>
    <mergeCell ref="C32:C36"/>
    <mergeCell ref="C48:C51"/>
    <mergeCell ref="C52:C56"/>
    <mergeCell ref="AJ5:AJ6"/>
    <mergeCell ref="C37:C41"/>
    <mergeCell ref="C42:C46"/>
    <mergeCell ref="Y5:Y6"/>
    <mergeCell ref="Z5:Z6"/>
    <mergeCell ref="AA5:AA6"/>
    <mergeCell ref="AB5:AB6"/>
    <mergeCell ref="K5:K6"/>
    <mergeCell ref="N5:N6"/>
    <mergeCell ref="M5:M6"/>
    <mergeCell ref="W5:W6"/>
  </mergeCells>
  <phoneticPr fontId="69" type="noConversion"/>
  <printOptions horizontalCentered="1" verticalCentered="1"/>
  <pageMargins left="0.39370078740157483" right="0.39370078740157483" top="0.51181102362204722" bottom="0.59055118110236227" header="0.43307086614173229" footer="0.31496062992125984"/>
  <pageSetup scale="50" orientation="landscape" horizontalDpi="1200" verticalDpi="1200" r:id="rId1"/>
  <headerFooter alignWithMargins="0">
    <oddHeader>&amp;LANEXO ESTADÍSTICO 2008&amp;CCOBERTURA EDUCATIVA&amp;R&amp;G</oddHeader>
    <oddFooter>&amp;R38</oddFooter>
  </headerFooter>
  <ignoredErrors>
    <ignoredError sqref="AF9:AF15 AF29:AF35 AF38:AF40" formulaRange="1"/>
  </ignoredErrors>
  <legacyDrawingHF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Q138"/>
  <sheetViews>
    <sheetView showGridLines="0" zoomScaleNormal="100" zoomScaleSheetLayoutView="100" workbookViewId="0">
      <pane xSplit="4" ySplit="4" topLeftCell="O32" activePane="bottomRight" state="frozen"/>
      <selection pane="topRight" activeCell="E1" sqref="E1"/>
      <selection pane="bottomLeft" activeCell="A5" sqref="A5"/>
      <selection pane="bottomRight" activeCell="Q29" sqref="Q29"/>
    </sheetView>
  </sheetViews>
  <sheetFormatPr baseColWidth="10" defaultColWidth="1.5703125" defaultRowHeight="12.75" x14ac:dyDescent="0.2"/>
  <cols>
    <col min="1" max="1" width="10.85546875" style="209" customWidth="1"/>
    <col min="2" max="2" width="10.42578125" style="209" customWidth="1"/>
    <col min="3" max="3" width="10.5703125" style="209" customWidth="1"/>
    <col min="4" max="4" width="90.42578125" style="209" bestFit="1" customWidth="1"/>
    <col min="5" max="11" width="8.7109375" style="209" customWidth="1"/>
    <col min="12" max="15" width="8.85546875" style="209" customWidth="1"/>
    <col min="16" max="17" width="9.7109375" style="209" customWidth="1"/>
    <col min="18" max="256" width="11.42578125" style="209" customWidth="1"/>
    <col min="257" max="257" width="1.5703125" style="209"/>
    <col min="258" max="258" width="16.5703125" style="209" bestFit="1" customWidth="1"/>
    <col min="259" max="259" width="11.28515625" style="209" customWidth="1"/>
    <col min="260" max="260" width="77" style="209" customWidth="1"/>
    <col min="261" max="267" width="8.7109375" style="209" customWidth="1"/>
    <col min="268" max="268" width="8.85546875" style="209" customWidth="1"/>
    <col min="269" max="512" width="11.42578125" style="209" customWidth="1"/>
    <col min="513" max="513" width="1.5703125" style="209"/>
    <col min="514" max="514" width="16.5703125" style="209" bestFit="1" customWidth="1"/>
    <col min="515" max="515" width="11.28515625" style="209" customWidth="1"/>
    <col min="516" max="516" width="77" style="209" customWidth="1"/>
    <col min="517" max="523" width="8.7109375" style="209" customWidth="1"/>
    <col min="524" max="524" width="8.85546875" style="209" customWidth="1"/>
    <col min="525" max="768" width="11.42578125" style="209" customWidth="1"/>
    <col min="769" max="769" width="1.5703125" style="209"/>
    <col min="770" max="770" width="16.5703125" style="209" bestFit="1" customWidth="1"/>
    <col min="771" max="771" width="11.28515625" style="209" customWidth="1"/>
    <col min="772" max="772" width="77" style="209" customWidth="1"/>
    <col min="773" max="779" width="8.7109375" style="209" customWidth="1"/>
    <col min="780" max="780" width="8.85546875" style="209" customWidth="1"/>
    <col min="781" max="1024" width="11.42578125" style="209" customWidth="1"/>
    <col min="1025" max="1025" width="1.5703125" style="209"/>
    <col min="1026" max="1026" width="16.5703125" style="209" bestFit="1" customWidth="1"/>
    <col min="1027" max="1027" width="11.28515625" style="209" customWidth="1"/>
    <col min="1028" max="1028" width="77" style="209" customWidth="1"/>
    <col min="1029" max="1035" width="8.7109375" style="209" customWidth="1"/>
    <col min="1036" max="1036" width="8.85546875" style="209" customWidth="1"/>
    <col min="1037" max="1280" width="11.42578125" style="209" customWidth="1"/>
    <col min="1281" max="1281" width="1.5703125" style="209"/>
    <col min="1282" max="1282" width="16.5703125" style="209" bestFit="1" customWidth="1"/>
    <col min="1283" max="1283" width="11.28515625" style="209" customWidth="1"/>
    <col min="1284" max="1284" width="77" style="209" customWidth="1"/>
    <col min="1285" max="1291" width="8.7109375" style="209" customWidth="1"/>
    <col min="1292" max="1292" width="8.85546875" style="209" customWidth="1"/>
    <col min="1293" max="1536" width="11.42578125" style="209" customWidth="1"/>
    <col min="1537" max="1537" width="1.5703125" style="209"/>
    <col min="1538" max="1538" width="16.5703125" style="209" bestFit="1" customWidth="1"/>
    <col min="1539" max="1539" width="11.28515625" style="209" customWidth="1"/>
    <col min="1540" max="1540" width="77" style="209" customWidth="1"/>
    <col min="1541" max="1547" width="8.7109375" style="209" customWidth="1"/>
    <col min="1548" max="1548" width="8.85546875" style="209" customWidth="1"/>
    <col min="1549" max="1792" width="11.42578125" style="209" customWidth="1"/>
    <col min="1793" max="1793" width="1.5703125" style="209"/>
    <col min="1794" max="1794" width="16.5703125" style="209" bestFit="1" customWidth="1"/>
    <col min="1795" max="1795" width="11.28515625" style="209" customWidth="1"/>
    <col min="1796" max="1796" width="77" style="209" customWidth="1"/>
    <col min="1797" max="1803" width="8.7109375" style="209" customWidth="1"/>
    <col min="1804" max="1804" width="8.85546875" style="209" customWidth="1"/>
    <col min="1805" max="2048" width="11.42578125" style="209" customWidth="1"/>
    <col min="2049" max="2049" width="1.5703125" style="209"/>
    <col min="2050" max="2050" width="16.5703125" style="209" bestFit="1" customWidth="1"/>
    <col min="2051" max="2051" width="11.28515625" style="209" customWidth="1"/>
    <col min="2052" max="2052" width="77" style="209" customWidth="1"/>
    <col min="2053" max="2059" width="8.7109375" style="209" customWidth="1"/>
    <col min="2060" max="2060" width="8.85546875" style="209" customWidth="1"/>
    <col min="2061" max="2304" width="11.42578125" style="209" customWidth="1"/>
    <col min="2305" max="2305" width="1.5703125" style="209"/>
    <col min="2306" max="2306" width="16.5703125" style="209" bestFit="1" customWidth="1"/>
    <col min="2307" max="2307" width="11.28515625" style="209" customWidth="1"/>
    <col min="2308" max="2308" width="77" style="209" customWidth="1"/>
    <col min="2309" max="2315" width="8.7109375" style="209" customWidth="1"/>
    <col min="2316" max="2316" width="8.85546875" style="209" customWidth="1"/>
    <col min="2317" max="2560" width="11.42578125" style="209" customWidth="1"/>
    <col min="2561" max="2561" width="1.5703125" style="209"/>
    <col min="2562" max="2562" width="16.5703125" style="209" bestFit="1" customWidth="1"/>
    <col min="2563" max="2563" width="11.28515625" style="209" customWidth="1"/>
    <col min="2564" max="2564" width="77" style="209" customWidth="1"/>
    <col min="2565" max="2571" width="8.7109375" style="209" customWidth="1"/>
    <col min="2572" max="2572" width="8.85546875" style="209" customWidth="1"/>
    <col min="2573" max="2816" width="11.42578125" style="209" customWidth="1"/>
    <col min="2817" max="2817" width="1.5703125" style="209"/>
    <col min="2818" max="2818" width="16.5703125" style="209" bestFit="1" customWidth="1"/>
    <col min="2819" max="2819" width="11.28515625" style="209" customWidth="1"/>
    <col min="2820" max="2820" width="77" style="209" customWidth="1"/>
    <col min="2821" max="2827" width="8.7109375" style="209" customWidth="1"/>
    <col min="2828" max="2828" width="8.85546875" style="209" customWidth="1"/>
    <col min="2829" max="3072" width="11.42578125" style="209" customWidth="1"/>
    <col min="3073" max="3073" width="1.5703125" style="209"/>
    <col min="3074" max="3074" width="16.5703125" style="209" bestFit="1" customWidth="1"/>
    <col min="3075" max="3075" width="11.28515625" style="209" customWidth="1"/>
    <col min="3076" max="3076" width="77" style="209" customWidth="1"/>
    <col min="3077" max="3083" width="8.7109375" style="209" customWidth="1"/>
    <col min="3084" max="3084" width="8.85546875" style="209" customWidth="1"/>
    <col min="3085" max="3328" width="11.42578125" style="209" customWidth="1"/>
    <col min="3329" max="3329" width="1.5703125" style="209"/>
    <col min="3330" max="3330" width="16.5703125" style="209" bestFit="1" customWidth="1"/>
    <col min="3331" max="3331" width="11.28515625" style="209" customWidth="1"/>
    <col min="3332" max="3332" width="77" style="209" customWidth="1"/>
    <col min="3333" max="3339" width="8.7109375" style="209" customWidth="1"/>
    <col min="3340" max="3340" width="8.85546875" style="209" customWidth="1"/>
    <col min="3341" max="3584" width="11.42578125" style="209" customWidth="1"/>
    <col min="3585" max="3585" width="1.5703125" style="209"/>
    <col min="3586" max="3586" width="16.5703125" style="209" bestFit="1" customWidth="1"/>
    <col min="3587" max="3587" width="11.28515625" style="209" customWidth="1"/>
    <col min="3588" max="3588" width="77" style="209" customWidth="1"/>
    <col min="3589" max="3595" width="8.7109375" style="209" customWidth="1"/>
    <col min="3596" max="3596" width="8.85546875" style="209" customWidth="1"/>
    <col min="3597" max="3840" width="11.42578125" style="209" customWidth="1"/>
    <col min="3841" max="3841" width="1.5703125" style="209"/>
    <col min="3842" max="3842" width="16.5703125" style="209" bestFit="1" customWidth="1"/>
    <col min="3843" max="3843" width="11.28515625" style="209" customWidth="1"/>
    <col min="3844" max="3844" width="77" style="209" customWidth="1"/>
    <col min="3845" max="3851" width="8.7109375" style="209" customWidth="1"/>
    <col min="3852" max="3852" width="8.85546875" style="209" customWidth="1"/>
    <col min="3853" max="4096" width="11.42578125" style="209" customWidth="1"/>
    <col min="4097" max="4097" width="1.5703125" style="209"/>
    <col min="4098" max="4098" width="16.5703125" style="209" bestFit="1" customWidth="1"/>
    <col min="4099" max="4099" width="11.28515625" style="209" customWidth="1"/>
    <col min="4100" max="4100" width="77" style="209" customWidth="1"/>
    <col min="4101" max="4107" width="8.7109375" style="209" customWidth="1"/>
    <col min="4108" max="4108" width="8.85546875" style="209" customWidth="1"/>
    <col min="4109" max="4352" width="11.42578125" style="209" customWidth="1"/>
    <col min="4353" max="4353" width="1.5703125" style="209"/>
    <col min="4354" max="4354" width="16.5703125" style="209" bestFit="1" customWidth="1"/>
    <col min="4355" max="4355" width="11.28515625" style="209" customWidth="1"/>
    <col min="4356" max="4356" width="77" style="209" customWidth="1"/>
    <col min="4357" max="4363" width="8.7109375" style="209" customWidth="1"/>
    <col min="4364" max="4364" width="8.85546875" style="209" customWidth="1"/>
    <col min="4365" max="4608" width="11.42578125" style="209" customWidth="1"/>
    <col min="4609" max="4609" width="1.5703125" style="209"/>
    <col min="4610" max="4610" width="16.5703125" style="209" bestFit="1" customWidth="1"/>
    <col min="4611" max="4611" width="11.28515625" style="209" customWidth="1"/>
    <col min="4612" max="4612" width="77" style="209" customWidth="1"/>
    <col min="4613" max="4619" width="8.7109375" style="209" customWidth="1"/>
    <col min="4620" max="4620" width="8.85546875" style="209" customWidth="1"/>
    <col min="4621" max="4864" width="11.42578125" style="209" customWidth="1"/>
    <col min="4865" max="4865" width="1.5703125" style="209"/>
    <col min="4866" max="4866" width="16.5703125" style="209" bestFit="1" customWidth="1"/>
    <col min="4867" max="4867" width="11.28515625" style="209" customWidth="1"/>
    <col min="4868" max="4868" width="77" style="209" customWidth="1"/>
    <col min="4869" max="4875" width="8.7109375" style="209" customWidth="1"/>
    <col min="4876" max="4876" width="8.85546875" style="209" customWidth="1"/>
    <col min="4877" max="5120" width="11.42578125" style="209" customWidth="1"/>
    <col min="5121" max="5121" width="1.5703125" style="209"/>
    <col min="5122" max="5122" width="16.5703125" style="209" bestFit="1" customWidth="1"/>
    <col min="5123" max="5123" width="11.28515625" style="209" customWidth="1"/>
    <col min="5124" max="5124" width="77" style="209" customWidth="1"/>
    <col min="5125" max="5131" width="8.7109375" style="209" customWidth="1"/>
    <col min="5132" max="5132" width="8.85546875" style="209" customWidth="1"/>
    <col min="5133" max="5376" width="11.42578125" style="209" customWidth="1"/>
    <col min="5377" max="5377" width="1.5703125" style="209"/>
    <col min="5378" max="5378" width="16.5703125" style="209" bestFit="1" customWidth="1"/>
    <col min="5379" max="5379" width="11.28515625" style="209" customWidth="1"/>
    <col min="5380" max="5380" width="77" style="209" customWidth="1"/>
    <col min="5381" max="5387" width="8.7109375" style="209" customWidth="1"/>
    <col min="5388" max="5388" width="8.85546875" style="209" customWidth="1"/>
    <col min="5389" max="5632" width="11.42578125" style="209" customWidth="1"/>
    <col min="5633" max="5633" width="1.5703125" style="209"/>
    <col min="5634" max="5634" width="16.5703125" style="209" bestFit="1" customWidth="1"/>
    <col min="5635" max="5635" width="11.28515625" style="209" customWidth="1"/>
    <col min="5636" max="5636" width="77" style="209" customWidth="1"/>
    <col min="5637" max="5643" width="8.7109375" style="209" customWidth="1"/>
    <col min="5644" max="5644" width="8.85546875" style="209" customWidth="1"/>
    <col min="5645" max="5888" width="11.42578125" style="209" customWidth="1"/>
    <col min="5889" max="5889" width="1.5703125" style="209"/>
    <col min="5890" max="5890" width="16.5703125" style="209" bestFit="1" customWidth="1"/>
    <col min="5891" max="5891" width="11.28515625" style="209" customWidth="1"/>
    <col min="5892" max="5892" width="77" style="209" customWidth="1"/>
    <col min="5893" max="5899" width="8.7109375" style="209" customWidth="1"/>
    <col min="5900" max="5900" width="8.85546875" style="209" customWidth="1"/>
    <col min="5901" max="6144" width="11.42578125" style="209" customWidth="1"/>
    <col min="6145" max="6145" width="1.5703125" style="209"/>
    <col min="6146" max="6146" width="16.5703125" style="209" bestFit="1" customWidth="1"/>
    <col min="6147" max="6147" width="11.28515625" style="209" customWidth="1"/>
    <col min="6148" max="6148" width="77" style="209" customWidth="1"/>
    <col min="6149" max="6155" width="8.7109375" style="209" customWidth="1"/>
    <col min="6156" max="6156" width="8.85546875" style="209" customWidth="1"/>
    <col min="6157" max="6400" width="11.42578125" style="209" customWidth="1"/>
    <col min="6401" max="6401" width="1.5703125" style="209"/>
    <col min="6402" max="6402" width="16.5703125" style="209" bestFit="1" customWidth="1"/>
    <col min="6403" max="6403" width="11.28515625" style="209" customWidth="1"/>
    <col min="6404" max="6404" width="77" style="209" customWidth="1"/>
    <col min="6405" max="6411" width="8.7109375" style="209" customWidth="1"/>
    <col min="6412" max="6412" width="8.85546875" style="209" customWidth="1"/>
    <col min="6413" max="6656" width="11.42578125" style="209" customWidth="1"/>
    <col min="6657" max="6657" width="1.5703125" style="209"/>
    <col min="6658" max="6658" width="16.5703125" style="209" bestFit="1" customWidth="1"/>
    <col min="6659" max="6659" width="11.28515625" style="209" customWidth="1"/>
    <col min="6660" max="6660" width="77" style="209" customWidth="1"/>
    <col min="6661" max="6667" width="8.7109375" style="209" customWidth="1"/>
    <col min="6668" max="6668" width="8.85546875" style="209" customWidth="1"/>
    <col min="6669" max="6912" width="11.42578125" style="209" customWidth="1"/>
    <col min="6913" max="6913" width="1.5703125" style="209"/>
    <col min="6914" max="6914" width="16.5703125" style="209" bestFit="1" customWidth="1"/>
    <col min="6915" max="6915" width="11.28515625" style="209" customWidth="1"/>
    <col min="6916" max="6916" width="77" style="209" customWidth="1"/>
    <col min="6917" max="6923" width="8.7109375" style="209" customWidth="1"/>
    <col min="6924" max="6924" width="8.85546875" style="209" customWidth="1"/>
    <col min="6925" max="7168" width="11.42578125" style="209" customWidth="1"/>
    <col min="7169" max="7169" width="1.5703125" style="209"/>
    <col min="7170" max="7170" width="16.5703125" style="209" bestFit="1" customWidth="1"/>
    <col min="7171" max="7171" width="11.28515625" style="209" customWidth="1"/>
    <col min="7172" max="7172" width="77" style="209" customWidth="1"/>
    <col min="7173" max="7179" width="8.7109375" style="209" customWidth="1"/>
    <col min="7180" max="7180" width="8.85546875" style="209" customWidth="1"/>
    <col min="7181" max="7424" width="11.42578125" style="209" customWidth="1"/>
    <col min="7425" max="7425" width="1.5703125" style="209"/>
    <col min="7426" max="7426" width="16.5703125" style="209" bestFit="1" customWidth="1"/>
    <col min="7427" max="7427" width="11.28515625" style="209" customWidth="1"/>
    <col min="7428" max="7428" width="77" style="209" customWidth="1"/>
    <col min="7429" max="7435" width="8.7109375" style="209" customWidth="1"/>
    <col min="7436" max="7436" width="8.85546875" style="209" customWidth="1"/>
    <col min="7437" max="7680" width="11.42578125" style="209" customWidth="1"/>
    <col min="7681" max="7681" width="1.5703125" style="209"/>
    <col min="7682" max="7682" width="16.5703125" style="209" bestFit="1" customWidth="1"/>
    <col min="7683" max="7683" width="11.28515625" style="209" customWidth="1"/>
    <col min="7684" max="7684" width="77" style="209" customWidth="1"/>
    <col min="7685" max="7691" width="8.7109375" style="209" customWidth="1"/>
    <col min="7692" max="7692" width="8.85546875" style="209" customWidth="1"/>
    <col min="7693" max="7936" width="11.42578125" style="209" customWidth="1"/>
    <col min="7937" max="7937" width="1.5703125" style="209"/>
    <col min="7938" max="7938" width="16.5703125" style="209" bestFit="1" customWidth="1"/>
    <col min="7939" max="7939" width="11.28515625" style="209" customWidth="1"/>
    <col min="7940" max="7940" width="77" style="209" customWidth="1"/>
    <col min="7941" max="7947" width="8.7109375" style="209" customWidth="1"/>
    <col min="7948" max="7948" width="8.85546875" style="209" customWidth="1"/>
    <col min="7949" max="8192" width="11.42578125" style="209" customWidth="1"/>
    <col min="8193" max="8193" width="1.5703125" style="209"/>
    <col min="8194" max="8194" width="16.5703125" style="209" bestFit="1" customWidth="1"/>
    <col min="8195" max="8195" width="11.28515625" style="209" customWidth="1"/>
    <col min="8196" max="8196" width="77" style="209" customWidth="1"/>
    <col min="8197" max="8203" width="8.7109375" style="209" customWidth="1"/>
    <col min="8204" max="8204" width="8.85546875" style="209" customWidth="1"/>
    <col min="8205" max="8448" width="11.42578125" style="209" customWidth="1"/>
    <col min="8449" max="8449" width="1.5703125" style="209"/>
    <col min="8450" max="8450" width="16.5703125" style="209" bestFit="1" customWidth="1"/>
    <col min="8451" max="8451" width="11.28515625" style="209" customWidth="1"/>
    <col min="8452" max="8452" width="77" style="209" customWidth="1"/>
    <col min="8453" max="8459" width="8.7109375" style="209" customWidth="1"/>
    <col min="8460" max="8460" width="8.85546875" style="209" customWidth="1"/>
    <col min="8461" max="8704" width="11.42578125" style="209" customWidth="1"/>
    <col min="8705" max="8705" width="1.5703125" style="209"/>
    <col min="8706" max="8706" width="16.5703125" style="209" bestFit="1" customWidth="1"/>
    <col min="8707" max="8707" width="11.28515625" style="209" customWidth="1"/>
    <col min="8708" max="8708" width="77" style="209" customWidth="1"/>
    <col min="8709" max="8715" width="8.7109375" style="209" customWidth="1"/>
    <col min="8716" max="8716" width="8.85546875" style="209" customWidth="1"/>
    <col min="8717" max="8960" width="11.42578125" style="209" customWidth="1"/>
    <col min="8961" max="8961" width="1.5703125" style="209"/>
    <col min="8962" max="8962" width="16.5703125" style="209" bestFit="1" customWidth="1"/>
    <col min="8963" max="8963" width="11.28515625" style="209" customWidth="1"/>
    <col min="8964" max="8964" width="77" style="209" customWidth="1"/>
    <col min="8965" max="8971" width="8.7109375" style="209" customWidth="1"/>
    <col min="8972" max="8972" width="8.85546875" style="209" customWidth="1"/>
    <col min="8973" max="9216" width="11.42578125" style="209" customWidth="1"/>
    <col min="9217" max="9217" width="1.5703125" style="209"/>
    <col min="9218" max="9218" width="16.5703125" style="209" bestFit="1" customWidth="1"/>
    <col min="9219" max="9219" width="11.28515625" style="209" customWidth="1"/>
    <col min="9220" max="9220" width="77" style="209" customWidth="1"/>
    <col min="9221" max="9227" width="8.7109375" style="209" customWidth="1"/>
    <col min="9228" max="9228" width="8.85546875" style="209" customWidth="1"/>
    <col min="9229" max="9472" width="11.42578125" style="209" customWidth="1"/>
    <col min="9473" max="9473" width="1.5703125" style="209"/>
    <col min="9474" max="9474" width="16.5703125" style="209" bestFit="1" customWidth="1"/>
    <col min="9475" max="9475" width="11.28515625" style="209" customWidth="1"/>
    <col min="9476" max="9476" width="77" style="209" customWidth="1"/>
    <col min="9477" max="9483" width="8.7109375" style="209" customWidth="1"/>
    <col min="9484" max="9484" width="8.85546875" style="209" customWidth="1"/>
    <col min="9485" max="9728" width="11.42578125" style="209" customWidth="1"/>
    <col min="9729" max="9729" width="1.5703125" style="209"/>
    <col min="9730" max="9730" width="16.5703125" style="209" bestFit="1" customWidth="1"/>
    <col min="9731" max="9731" width="11.28515625" style="209" customWidth="1"/>
    <col min="9732" max="9732" width="77" style="209" customWidth="1"/>
    <col min="9733" max="9739" width="8.7109375" style="209" customWidth="1"/>
    <col min="9740" max="9740" width="8.85546875" style="209" customWidth="1"/>
    <col min="9741" max="9984" width="11.42578125" style="209" customWidth="1"/>
    <col min="9985" max="9985" width="1.5703125" style="209"/>
    <col min="9986" max="9986" width="16.5703125" style="209" bestFit="1" customWidth="1"/>
    <col min="9987" max="9987" width="11.28515625" style="209" customWidth="1"/>
    <col min="9988" max="9988" width="77" style="209" customWidth="1"/>
    <col min="9989" max="9995" width="8.7109375" style="209" customWidth="1"/>
    <col min="9996" max="9996" width="8.85546875" style="209" customWidth="1"/>
    <col min="9997" max="10240" width="11.42578125" style="209" customWidth="1"/>
    <col min="10241" max="10241" width="1.5703125" style="209"/>
    <col min="10242" max="10242" width="16.5703125" style="209" bestFit="1" customWidth="1"/>
    <col min="10243" max="10243" width="11.28515625" style="209" customWidth="1"/>
    <col min="10244" max="10244" width="77" style="209" customWidth="1"/>
    <col min="10245" max="10251" width="8.7109375" style="209" customWidth="1"/>
    <col min="10252" max="10252" width="8.85546875" style="209" customWidth="1"/>
    <col min="10253" max="10496" width="11.42578125" style="209" customWidth="1"/>
    <col min="10497" max="10497" width="1.5703125" style="209"/>
    <col min="10498" max="10498" width="16.5703125" style="209" bestFit="1" customWidth="1"/>
    <col min="10499" max="10499" width="11.28515625" style="209" customWidth="1"/>
    <col min="10500" max="10500" width="77" style="209" customWidth="1"/>
    <col min="10501" max="10507" width="8.7109375" style="209" customWidth="1"/>
    <col min="10508" max="10508" width="8.85546875" style="209" customWidth="1"/>
    <col min="10509" max="10752" width="11.42578125" style="209" customWidth="1"/>
    <col min="10753" max="10753" width="1.5703125" style="209"/>
    <col min="10754" max="10754" width="16.5703125" style="209" bestFit="1" customWidth="1"/>
    <col min="10755" max="10755" width="11.28515625" style="209" customWidth="1"/>
    <col min="10756" max="10756" width="77" style="209" customWidth="1"/>
    <col min="10757" max="10763" width="8.7109375" style="209" customWidth="1"/>
    <col min="10764" max="10764" width="8.85546875" style="209" customWidth="1"/>
    <col min="10765" max="11008" width="11.42578125" style="209" customWidth="1"/>
    <col min="11009" max="11009" width="1.5703125" style="209"/>
    <col min="11010" max="11010" width="16.5703125" style="209" bestFit="1" customWidth="1"/>
    <col min="11011" max="11011" width="11.28515625" style="209" customWidth="1"/>
    <col min="11012" max="11012" width="77" style="209" customWidth="1"/>
    <col min="11013" max="11019" width="8.7109375" style="209" customWidth="1"/>
    <col min="11020" max="11020" width="8.85546875" style="209" customWidth="1"/>
    <col min="11021" max="11264" width="11.42578125" style="209" customWidth="1"/>
    <col min="11265" max="11265" width="1.5703125" style="209"/>
    <col min="11266" max="11266" width="16.5703125" style="209" bestFit="1" customWidth="1"/>
    <col min="11267" max="11267" width="11.28515625" style="209" customWidth="1"/>
    <col min="11268" max="11268" width="77" style="209" customWidth="1"/>
    <col min="11269" max="11275" width="8.7109375" style="209" customWidth="1"/>
    <col min="11276" max="11276" width="8.85546875" style="209" customWidth="1"/>
    <col min="11277" max="11520" width="11.42578125" style="209" customWidth="1"/>
    <col min="11521" max="11521" width="1.5703125" style="209"/>
    <col min="11522" max="11522" width="16.5703125" style="209" bestFit="1" customWidth="1"/>
    <col min="11523" max="11523" width="11.28515625" style="209" customWidth="1"/>
    <col min="11524" max="11524" width="77" style="209" customWidth="1"/>
    <col min="11525" max="11531" width="8.7109375" style="209" customWidth="1"/>
    <col min="11532" max="11532" width="8.85546875" style="209" customWidth="1"/>
    <col min="11533" max="11776" width="11.42578125" style="209" customWidth="1"/>
    <col min="11777" max="11777" width="1.5703125" style="209"/>
    <col min="11778" max="11778" width="16.5703125" style="209" bestFit="1" customWidth="1"/>
    <col min="11779" max="11779" width="11.28515625" style="209" customWidth="1"/>
    <col min="11780" max="11780" width="77" style="209" customWidth="1"/>
    <col min="11781" max="11787" width="8.7109375" style="209" customWidth="1"/>
    <col min="11788" max="11788" width="8.85546875" style="209" customWidth="1"/>
    <col min="11789" max="12032" width="11.42578125" style="209" customWidth="1"/>
    <col min="12033" max="12033" width="1.5703125" style="209"/>
    <col min="12034" max="12034" width="16.5703125" style="209" bestFit="1" customWidth="1"/>
    <col min="12035" max="12035" width="11.28515625" style="209" customWidth="1"/>
    <col min="12036" max="12036" width="77" style="209" customWidth="1"/>
    <col min="12037" max="12043" width="8.7109375" style="209" customWidth="1"/>
    <col min="12044" max="12044" width="8.85546875" style="209" customWidth="1"/>
    <col min="12045" max="12288" width="11.42578125" style="209" customWidth="1"/>
    <col min="12289" max="12289" width="1.5703125" style="209"/>
    <col min="12290" max="12290" width="16.5703125" style="209" bestFit="1" customWidth="1"/>
    <col min="12291" max="12291" width="11.28515625" style="209" customWidth="1"/>
    <col min="12292" max="12292" width="77" style="209" customWidth="1"/>
    <col min="12293" max="12299" width="8.7109375" style="209" customWidth="1"/>
    <col min="12300" max="12300" width="8.85546875" style="209" customWidth="1"/>
    <col min="12301" max="12544" width="11.42578125" style="209" customWidth="1"/>
    <col min="12545" max="12545" width="1.5703125" style="209"/>
    <col min="12546" max="12546" width="16.5703125" style="209" bestFit="1" customWidth="1"/>
    <col min="12547" max="12547" width="11.28515625" style="209" customWidth="1"/>
    <col min="12548" max="12548" width="77" style="209" customWidth="1"/>
    <col min="12549" max="12555" width="8.7109375" style="209" customWidth="1"/>
    <col min="12556" max="12556" width="8.85546875" style="209" customWidth="1"/>
    <col min="12557" max="12800" width="11.42578125" style="209" customWidth="1"/>
    <col min="12801" max="12801" width="1.5703125" style="209"/>
    <col min="12802" max="12802" width="16.5703125" style="209" bestFit="1" customWidth="1"/>
    <col min="12803" max="12803" width="11.28515625" style="209" customWidth="1"/>
    <col min="12804" max="12804" width="77" style="209" customWidth="1"/>
    <col min="12805" max="12811" width="8.7109375" style="209" customWidth="1"/>
    <col min="12812" max="12812" width="8.85546875" style="209" customWidth="1"/>
    <col min="12813" max="13056" width="11.42578125" style="209" customWidth="1"/>
    <col min="13057" max="13057" width="1.5703125" style="209"/>
    <col min="13058" max="13058" width="16.5703125" style="209" bestFit="1" customWidth="1"/>
    <col min="13059" max="13059" width="11.28515625" style="209" customWidth="1"/>
    <col min="13060" max="13060" width="77" style="209" customWidth="1"/>
    <col min="13061" max="13067" width="8.7109375" style="209" customWidth="1"/>
    <col min="13068" max="13068" width="8.85546875" style="209" customWidth="1"/>
    <col min="13069" max="13312" width="11.42578125" style="209" customWidth="1"/>
    <col min="13313" max="13313" width="1.5703125" style="209"/>
    <col min="13314" max="13314" width="16.5703125" style="209" bestFit="1" customWidth="1"/>
    <col min="13315" max="13315" width="11.28515625" style="209" customWidth="1"/>
    <col min="13316" max="13316" width="77" style="209" customWidth="1"/>
    <col min="13317" max="13323" width="8.7109375" style="209" customWidth="1"/>
    <col min="13324" max="13324" width="8.85546875" style="209" customWidth="1"/>
    <col min="13325" max="13568" width="11.42578125" style="209" customWidth="1"/>
    <col min="13569" max="13569" width="1.5703125" style="209"/>
    <col min="13570" max="13570" width="16.5703125" style="209" bestFit="1" customWidth="1"/>
    <col min="13571" max="13571" width="11.28515625" style="209" customWidth="1"/>
    <col min="13572" max="13572" width="77" style="209" customWidth="1"/>
    <col min="13573" max="13579" width="8.7109375" style="209" customWidth="1"/>
    <col min="13580" max="13580" width="8.85546875" style="209" customWidth="1"/>
    <col min="13581" max="13824" width="11.42578125" style="209" customWidth="1"/>
    <col min="13825" max="13825" width="1.5703125" style="209"/>
    <col min="13826" max="13826" width="16.5703125" style="209" bestFit="1" customWidth="1"/>
    <col min="13827" max="13827" width="11.28515625" style="209" customWidth="1"/>
    <col min="13828" max="13828" width="77" style="209" customWidth="1"/>
    <col min="13829" max="13835" width="8.7109375" style="209" customWidth="1"/>
    <col min="13836" max="13836" width="8.85546875" style="209" customWidth="1"/>
    <col min="13837" max="14080" width="11.42578125" style="209" customWidth="1"/>
    <col min="14081" max="14081" width="1.5703125" style="209"/>
    <col min="14082" max="14082" width="16.5703125" style="209" bestFit="1" customWidth="1"/>
    <col min="14083" max="14083" width="11.28515625" style="209" customWidth="1"/>
    <col min="14084" max="14084" width="77" style="209" customWidth="1"/>
    <col min="14085" max="14091" width="8.7109375" style="209" customWidth="1"/>
    <col min="14092" max="14092" width="8.85546875" style="209" customWidth="1"/>
    <col min="14093" max="14336" width="11.42578125" style="209" customWidth="1"/>
    <col min="14337" max="14337" width="1.5703125" style="209"/>
    <col min="14338" max="14338" width="16.5703125" style="209" bestFit="1" customWidth="1"/>
    <col min="14339" max="14339" width="11.28515625" style="209" customWidth="1"/>
    <col min="14340" max="14340" width="77" style="209" customWidth="1"/>
    <col min="14341" max="14347" width="8.7109375" style="209" customWidth="1"/>
    <col min="14348" max="14348" width="8.85546875" style="209" customWidth="1"/>
    <col min="14349" max="14592" width="11.42578125" style="209" customWidth="1"/>
    <col min="14593" max="14593" width="1.5703125" style="209"/>
    <col min="14594" max="14594" width="16.5703125" style="209" bestFit="1" customWidth="1"/>
    <col min="14595" max="14595" width="11.28515625" style="209" customWidth="1"/>
    <col min="14596" max="14596" width="77" style="209" customWidth="1"/>
    <col min="14597" max="14603" width="8.7109375" style="209" customWidth="1"/>
    <col min="14604" max="14604" width="8.85546875" style="209" customWidth="1"/>
    <col min="14605" max="14848" width="11.42578125" style="209" customWidth="1"/>
    <col min="14849" max="14849" width="1.5703125" style="209"/>
    <col min="14850" max="14850" width="16.5703125" style="209" bestFit="1" customWidth="1"/>
    <col min="14851" max="14851" width="11.28515625" style="209" customWidth="1"/>
    <col min="14852" max="14852" width="77" style="209" customWidth="1"/>
    <col min="14853" max="14859" width="8.7109375" style="209" customWidth="1"/>
    <col min="14860" max="14860" width="8.85546875" style="209" customWidth="1"/>
    <col min="14861" max="15104" width="11.42578125" style="209" customWidth="1"/>
    <col min="15105" max="15105" width="1.5703125" style="209"/>
    <col min="15106" max="15106" width="16.5703125" style="209" bestFit="1" customWidth="1"/>
    <col min="15107" max="15107" width="11.28515625" style="209" customWidth="1"/>
    <col min="15108" max="15108" width="77" style="209" customWidth="1"/>
    <col min="15109" max="15115" width="8.7109375" style="209" customWidth="1"/>
    <col min="15116" max="15116" width="8.85546875" style="209" customWidth="1"/>
    <col min="15117" max="15360" width="11.42578125" style="209" customWidth="1"/>
    <col min="15361" max="15361" width="1.5703125" style="209"/>
    <col min="15362" max="15362" width="16.5703125" style="209" bestFit="1" customWidth="1"/>
    <col min="15363" max="15363" width="11.28515625" style="209" customWidth="1"/>
    <col min="15364" max="15364" width="77" style="209" customWidth="1"/>
    <col min="15365" max="15371" width="8.7109375" style="209" customWidth="1"/>
    <col min="15372" max="15372" width="8.85546875" style="209" customWidth="1"/>
    <col min="15373" max="15616" width="11.42578125" style="209" customWidth="1"/>
    <col min="15617" max="15617" width="1.5703125" style="209"/>
    <col min="15618" max="15618" width="16.5703125" style="209" bestFit="1" customWidth="1"/>
    <col min="15619" max="15619" width="11.28515625" style="209" customWidth="1"/>
    <col min="15620" max="15620" width="77" style="209" customWidth="1"/>
    <col min="15621" max="15627" width="8.7109375" style="209" customWidth="1"/>
    <col min="15628" max="15628" width="8.85546875" style="209" customWidth="1"/>
    <col min="15629" max="15872" width="11.42578125" style="209" customWidth="1"/>
    <col min="15873" max="15873" width="1.5703125" style="209"/>
    <col min="15874" max="15874" width="16.5703125" style="209" bestFit="1" customWidth="1"/>
    <col min="15875" max="15875" width="11.28515625" style="209" customWidth="1"/>
    <col min="15876" max="15876" width="77" style="209" customWidth="1"/>
    <col min="15877" max="15883" width="8.7109375" style="209" customWidth="1"/>
    <col min="15884" max="15884" width="8.85546875" style="209" customWidth="1"/>
    <col min="15885" max="16128" width="11.42578125" style="209" customWidth="1"/>
    <col min="16129" max="16129" width="1.5703125" style="209"/>
    <col min="16130" max="16130" width="16.5703125" style="209" bestFit="1" customWidth="1"/>
    <col min="16131" max="16131" width="11.28515625" style="209" customWidth="1"/>
    <col min="16132" max="16132" width="77" style="209" customWidth="1"/>
    <col min="16133" max="16139" width="8.7109375" style="209" customWidth="1"/>
    <col min="16140" max="16140" width="8.85546875" style="209" customWidth="1"/>
    <col min="16141" max="16384" width="11.42578125" style="209" customWidth="1"/>
  </cols>
  <sheetData>
    <row r="1" spans="1:17" ht="48" customHeight="1" x14ac:dyDescent="0.2">
      <c r="A1" s="5615" t="s">
        <v>1367</v>
      </c>
      <c r="B1" s="5615"/>
      <c r="C1" s="5615"/>
      <c r="D1" s="1573"/>
      <c r="E1" s="1573"/>
      <c r="F1" s="1573"/>
      <c r="G1" s="1573"/>
      <c r="H1" s="1573"/>
      <c r="I1" s="1573"/>
      <c r="J1" s="1573"/>
      <c r="K1" s="1573"/>
      <c r="L1" s="1573"/>
    </row>
    <row r="2" spans="1:17" ht="15.75" customHeight="1" x14ac:dyDescent="0.2"/>
    <row r="3" spans="1:17" ht="27.75" customHeight="1" x14ac:dyDescent="0.2">
      <c r="A3" s="2172" t="s">
        <v>16</v>
      </c>
      <c r="B3" s="2172" t="s">
        <v>4</v>
      </c>
      <c r="C3" s="4372" t="s">
        <v>144</v>
      </c>
      <c r="D3" s="4372" t="s">
        <v>351</v>
      </c>
      <c r="E3" s="1572">
        <v>2003</v>
      </c>
      <c r="F3" s="1572">
        <v>2004</v>
      </c>
      <c r="G3" s="1572">
        <v>2005</v>
      </c>
      <c r="H3" s="1572">
        <v>2006</v>
      </c>
      <c r="I3" s="1572">
        <v>2007</v>
      </c>
      <c r="J3" s="1572">
        <v>2008</v>
      </c>
      <c r="K3" s="1572">
        <v>2009</v>
      </c>
      <c r="L3" s="1572">
        <v>2010</v>
      </c>
      <c r="M3" s="1572">
        <v>2011</v>
      </c>
      <c r="N3" s="1572">
        <v>2012</v>
      </c>
      <c r="O3" s="1572">
        <v>2013</v>
      </c>
      <c r="P3" s="1572">
        <v>2014</v>
      </c>
      <c r="Q3" s="1572">
        <v>2015</v>
      </c>
    </row>
    <row r="4" spans="1:17" ht="15" hidden="1" customHeight="1" x14ac:dyDescent="0.25">
      <c r="A4" s="5533" t="s">
        <v>446</v>
      </c>
      <c r="B4" s="5489" t="s">
        <v>5</v>
      </c>
      <c r="C4" s="1206" t="s">
        <v>528</v>
      </c>
      <c r="D4" s="1241" t="s">
        <v>574</v>
      </c>
      <c r="E4" s="1242"/>
      <c r="F4" s="1243"/>
      <c r="G4" s="1243"/>
      <c r="H4" s="1243"/>
      <c r="I4" s="1243"/>
      <c r="J4" s="1243"/>
      <c r="K4" s="1243"/>
      <c r="L4" s="1243"/>
      <c r="M4" s="1243"/>
      <c r="N4" s="1243"/>
      <c r="O4" s="1243"/>
      <c r="P4" s="1243"/>
      <c r="Q4" s="1243"/>
    </row>
    <row r="5" spans="1:17" ht="14.25" customHeight="1" x14ac:dyDescent="0.25">
      <c r="A5" s="5534"/>
      <c r="B5" s="5470"/>
      <c r="C5" s="5539" t="s">
        <v>527</v>
      </c>
      <c r="D5" s="1244" t="s">
        <v>575</v>
      </c>
      <c r="E5" s="1245">
        <v>77</v>
      </c>
      <c r="F5" s="1246">
        <v>80</v>
      </c>
      <c r="G5" s="1246">
        <v>77</v>
      </c>
      <c r="H5" s="1246">
        <v>88</v>
      </c>
      <c r="I5" s="1246">
        <v>77</v>
      </c>
      <c r="J5" s="1246">
        <v>54</v>
      </c>
      <c r="K5" s="1246">
        <v>67</v>
      </c>
      <c r="L5" s="1246">
        <v>74</v>
      </c>
      <c r="M5" s="1246">
        <v>74</v>
      </c>
      <c r="N5" s="1246">
        <v>65</v>
      </c>
      <c r="O5" s="1246">
        <v>72</v>
      </c>
      <c r="P5" s="1246">
        <v>96</v>
      </c>
      <c r="Q5" s="1246">
        <v>98</v>
      </c>
    </row>
    <row r="6" spans="1:17" ht="14.25" customHeight="1" x14ac:dyDescent="0.25">
      <c r="A6" s="5534"/>
      <c r="B6" s="5470"/>
      <c r="C6" s="5540"/>
      <c r="D6" s="1247" t="s">
        <v>136</v>
      </c>
      <c r="E6" s="1245">
        <v>13</v>
      </c>
      <c r="F6" s="1246">
        <v>17</v>
      </c>
      <c r="G6" s="1246">
        <v>23</v>
      </c>
      <c r="H6" s="1246">
        <v>21</v>
      </c>
      <c r="I6" s="1246">
        <v>25</v>
      </c>
      <c r="J6" s="1246">
        <v>21</v>
      </c>
      <c r="K6" s="1246">
        <v>22</v>
      </c>
      <c r="L6" s="1246">
        <v>27</v>
      </c>
      <c r="M6" s="1246">
        <v>38</v>
      </c>
      <c r="N6" s="1246">
        <v>39</v>
      </c>
      <c r="O6" s="1246">
        <v>43</v>
      </c>
      <c r="P6" s="1246">
        <v>47</v>
      </c>
      <c r="Q6" s="1246">
        <v>49</v>
      </c>
    </row>
    <row r="7" spans="1:17" ht="14.25" customHeight="1" x14ac:dyDescent="0.25">
      <c r="A7" s="5534"/>
      <c r="B7" s="5470"/>
      <c r="C7" s="5540"/>
      <c r="D7" s="1248" t="s">
        <v>634</v>
      </c>
      <c r="E7" s="1249"/>
      <c r="F7" s="1250"/>
      <c r="G7" s="1250"/>
      <c r="H7" s="1250"/>
      <c r="I7" s="1250"/>
      <c r="J7" s="1250"/>
      <c r="K7" s="1250"/>
      <c r="L7" s="1250"/>
      <c r="M7" s="1250"/>
      <c r="N7" s="1250">
        <v>12</v>
      </c>
      <c r="O7" s="1250">
        <v>21</v>
      </c>
      <c r="P7" s="1250">
        <v>36</v>
      </c>
      <c r="Q7" s="1250">
        <v>41</v>
      </c>
    </row>
    <row r="8" spans="1:17" ht="14.25" customHeight="1" x14ac:dyDescent="0.25">
      <c r="A8" s="5534"/>
      <c r="B8" s="5470"/>
      <c r="C8" s="5540"/>
      <c r="D8" s="1248" t="s">
        <v>635</v>
      </c>
      <c r="E8" s="1249"/>
      <c r="F8" s="1250"/>
      <c r="G8" s="1250"/>
      <c r="H8" s="1250"/>
      <c r="I8" s="1250"/>
      <c r="J8" s="1250"/>
      <c r="K8" s="1250"/>
      <c r="L8" s="1250"/>
      <c r="M8" s="1250"/>
      <c r="N8" s="1250">
        <v>4</v>
      </c>
      <c r="O8" s="1250">
        <v>8</v>
      </c>
      <c r="P8" s="1250">
        <v>11</v>
      </c>
      <c r="Q8" s="1250">
        <v>14</v>
      </c>
    </row>
    <row r="9" spans="1:17" ht="14.25" customHeight="1" x14ac:dyDescent="0.25">
      <c r="A9" s="5534"/>
      <c r="B9" s="5470"/>
      <c r="C9" s="5541"/>
      <c r="D9" s="1248" t="s">
        <v>135</v>
      </c>
      <c r="E9" s="1249">
        <v>39</v>
      </c>
      <c r="F9" s="1250">
        <v>31</v>
      </c>
      <c r="G9" s="1250">
        <v>28</v>
      </c>
      <c r="H9" s="1250">
        <v>16</v>
      </c>
      <c r="I9" s="1250">
        <v>13</v>
      </c>
      <c r="J9" s="1250">
        <v>10</v>
      </c>
      <c r="K9" s="1250">
        <v>26</v>
      </c>
      <c r="L9" s="1250">
        <v>30</v>
      </c>
      <c r="M9" s="1250">
        <v>24</v>
      </c>
      <c r="N9" s="1250">
        <v>11</v>
      </c>
      <c r="O9" s="1250">
        <v>9</v>
      </c>
      <c r="P9" s="1250">
        <v>4</v>
      </c>
      <c r="Q9" s="1250">
        <v>7</v>
      </c>
    </row>
    <row r="10" spans="1:17" ht="15" customHeight="1" x14ac:dyDescent="0.25">
      <c r="A10" s="5534"/>
      <c r="B10" s="5619"/>
      <c r="C10" s="5539" t="s">
        <v>526</v>
      </c>
      <c r="D10" s="1274" t="s">
        <v>576</v>
      </c>
      <c r="E10" s="1249">
        <v>25</v>
      </c>
      <c r="F10" s="1250">
        <v>25</v>
      </c>
      <c r="G10" s="1250">
        <v>26</v>
      </c>
      <c r="H10" s="1250">
        <v>16</v>
      </c>
      <c r="I10" s="1250">
        <v>25</v>
      </c>
      <c r="J10" s="1250">
        <v>35</v>
      </c>
      <c r="K10" s="1250">
        <v>32</v>
      </c>
      <c r="L10" s="1250">
        <v>30</v>
      </c>
      <c r="M10" s="1250">
        <v>35</v>
      </c>
      <c r="N10" s="1250">
        <v>27</v>
      </c>
      <c r="O10" s="1250">
        <v>24</v>
      </c>
      <c r="P10" s="1250">
        <v>26</v>
      </c>
      <c r="Q10" s="1250">
        <v>27</v>
      </c>
    </row>
    <row r="11" spans="1:17" ht="15" customHeight="1" x14ac:dyDescent="0.25">
      <c r="A11" s="5534"/>
      <c r="B11" s="5619"/>
      <c r="C11" s="5540"/>
      <c r="D11" s="1274" t="s">
        <v>137</v>
      </c>
      <c r="E11" s="1245">
        <v>6</v>
      </c>
      <c r="F11" s="1246">
        <v>7</v>
      </c>
      <c r="G11" s="1246">
        <v>9</v>
      </c>
      <c r="H11" s="1246">
        <v>11</v>
      </c>
      <c r="I11" s="1246">
        <v>10</v>
      </c>
      <c r="J11" s="1246">
        <v>10</v>
      </c>
      <c r="K11" s="1246">
        <v>10</v>
      </c>
      <c r="L11" s="1246">
        <v>10</v>
      </c>
      <c r="M11" s="1246">
        <v>7</v>
      </c>
      <c r="N11" s="1246">
        <v>6</v>
      </c>
      <c r="O11" s="1246">
        <v>6</v>
      </c>
      <c r="P11" s="1246">
        <v>5</v>
      </c>
      <c r="Q11" s="1246">
        <v>5</v>
      </c>
    </row>
    <row r="12" spans="1:17" ht="15" customHeight="1" x14ac:dyDescent="0.25">
      <c r="A12" s="5534"/>
      <c r="B12" s="5619"/>
      <c r="C12" s="5540"/>
      <c r="D12" s="1248" t="s">
        <v>634</v>
      </c>
      <c r="E12" s="1257"/>
      <c r="F12" s="1257"/>
      <c r="G12" s="1257"/>
      <c r="H12" s="1257"/>
      <c r="I12" s="1257"/>
      <c r="J12" s="1257"/>
      <c r="K12" s="1257"/>
      <c r="L12" s="1257"/>
      <c r="M12" s="1257"/>
      <c r="N12" s="1257"/>
      <c r="O12" s="1257">
        <v>3</v>
      </c>
      <c r="P12" s="1257">
        <v>3</v>
      </c>
      <c r="Q12" s="1257">
        <v>9</v>
      </c>
    </row>
    <row r="13" spans="1:17" ht="15" customHeight="1" x14ac:dyDescent="0.25">
      <c r="A13" s="5534"/>
      <c r="B13" s="5619"/>
      <c r="C13" s="5540"/>
      <c r="D13" s="1248" t="s">
        <v>635</v>
      </c>
      <c r="E13" s="1257"/>
      <c r="F13" s="1257"/>
      <c r="G13" s="1257"/>
      <c r="H13" s="1257"/>
      <c r="I13" s="1257"/>
      <c r="J13" s="1257"/>
      <c r="K13" s="1257"/>
      <c r="L13" s="1257"/>
      <c r="M13" s="1257"/>
      <c r="N13" s="1257"/>
      <c r="O13" s="1257">
        <v>2</v>
      </c>
      <c r="P13" s="1257">
        <v>2</v>
      </c>
      <c r="Q13" s="1257">
        <v>3</v>
      </c>
    </row>
    <row r="14" spans="1:17" ht="15" customHeight="1" x14ac:dyDescent="0.2">
      <c r="A14" s="5534"/>
      <c r="B14" s="5471"/>
      <c r="C14" s="1202"/>
      <c r="D14" s="1275" t="s">
        <v>160</v>
      </c>
      <c r="E14" s="1273">
        <f>SUM(E4:E11)</f>
        <v>160</v>
      </c>
      <c r="F14" s="1273">
        <f t="shared" ref="F14:N14" si="0">SUM(F4:F11)</f>
        <v>160</v>
      </c>
      <c r="G14" s="1273">
        <f t="shared" si="0"/>
        <v>163</v>
      </c>
      <c r="H14" s="1273">
        <f t="shared" si="0"/>
        <v>152</v>
      </c>
      <c r="I14" s="1273">
        <f t="shared" si="0"/>
        <v>150</v>
      </c>
      <c r="J14" s="1273">
        <f t="shared" si="0"/>
        <v>130</v>
      </c>
      <c r="K14" s="1273">
        <f t="shared" si="0"/>
        <v>157</v>
      </c>
      <c r="L14" s="1273">
        <f t="shared" si="0"/>
        <v>171</v>
      </c>
      <c r="M14" s="1273">
        <f t="shared" si="0"/>
        <v>178</v>
      </c>
      <c r="N14" s="1273">
        <f t="shared" si="0"/>
        <v>164</v>
      </c>
      <c r="O14" s="1273">
        <f>SUM(O4:O13)</f>
        <v>188</v>
      </c>
      <c r="P14" s="1273">
        <f>SUM(P4:P13)</f>
        <v>230</v>
      </c>
      <c r="Q14" s="1273">
        <f>SUM(Q5:Q13)</f>
        <v>253</v>
      </c>
    </row>
    <row r="15" spans="1:17" ht="15" customHeight="1" x14ac:dyDescent="0.25">
      <c r="A15" s="5534"/>
      <c r="B15" s="5457" t="s">
        <v>6</v>
      </c>
      <c r="C15" s="5455" t="s">
        <v>528</v>
      </c>
      <c r="D15" s="1253" t="s">
        <v>367</v>
      </c>
      <c r="E15" s="1254">
        <v>44</v>
      </c>
      <c r="F15" s="1255">
        <v>46</v>
      </c>
      <c r="G15" s="1255">
        <v>41</v>
      </c>
      <c r="H15" s="1255">
        <v>35</v>
      </c>
      <c r="I15" s="1255">
        <v>35</v>
      </c>
      <c r="J15" s="1255">
        <v>35</v>
      </c>
      <c r="K15" s="1255">
        <v>36</v>
      </c>
      <c r="L15" s="1255">
        <v>29</v>
      </c>
      <c r="M15" s="1255">
        <v>31</v>
      </c>
      <c r="N15" s="1255">
        <v>35</v>
      </c>
      <c r="O15" s="1255">
        <v>36</v>
      </c>
      <c r="P15" s="1255">
        <v>37</v>
      </c>
      <c r="Q15" s="1255">
        <v>40</v>
      </c>
    </row>
    <row r="16" spans="1:17" ht="15" customHeight="1" x14ac:dyDescent="0.25">
      <c r="A16" s="5534"/>
      <c r="B16" s="5458"/>
      <c r="C16" s="5456"/>
      <c r="D16" s="1244" t="s">
        <v>360</v>
      </c>
      <c r="E16" s="1245"/>
      <c r="F16" s="1246">
        <v>18</v>
      </c>
      <c r="G16" s="1246">
        <v>26</v>
      </c>
      <c r="H16" s="1246">
        <v>27</v>
      </c>
      <c r="I16" s="1246">
        <v>30</v>
      </c>
      <c r="J16" s="1246">
        <v>24</v>
      </c>
      <c r="K16" s="1246">
        <v>12</v>
      </c>
      <c r="L16" s="1246">
        <v>12</v>
      </c>
      <c r="M16" s="1246">
        <v>21</v>
      </c>
      <c r="N16" s="1246">
        <v>10</v>
      </c>
      <c r="O16" s="1246">
        <v>11</v>
      </c>
      <c r="P16" s="1246">
        <v>9</v>
      </c>
      <c r="Q16" s="1246">
        <v>9</v>
      </c>
    </row>
    <row r="17" spans="1:17" ht="15" customHeight="1" x14ac:dyDescent="0.25">
      <c r="A17" s="5534"/>
      <c r="B17" s="5458"/>
      <c r="C17" s="5465"/>
      <c r="D17" s="1244" t="s">
        <v>782</v>
      </c>
      <c r="E17" s="1245"/>
      <c r="F17" s="1246"/>
      <c r="G17" s="1246"/>
      <c r="H17" s="1246"/>
      <c r="I17" s="1246">
        <v>5</v>
      </c>
      <c r="J17" s="1246"/>
      <c r="K17" s="1246"/>
      <c r="L17" s="1246"/>
      <c r="M17" s="1246"/>
      <c r="N17" s="1246">
        <v>2</v>
      </c>
      <c r="O17" s="1246"/>
      <c r="P17" s="1246"/>
      <c r="Q17" s="1246"/>
    </row>
    <row r="18" spans="1:17" ht="15" customHeight="1" x14ac:dyDescent="0.25">
      <c r="A18" s="5534"/>
      <c r="B18" s="5458"/>
      <c r="C18" s="5455" t="s">
        <v>527</v>
      </c>
      <c r="D18" s="1244" t="s">
        <v>539</v>
      </c>
      <c r="E18" s="1245"/>
      <c r="F18" s="1246"/>
      <c r="G18" s="1246"/>
      <c r="H18" s="1246"/>
      <c r="I18" s="1246">
        <v>10</v>
      </c>
      <c r="J18" s="1246">
        <v>11</v>
      </c>
      <c r="K18" s="1246">
        <v>23</v>
      </c>
      <c r="L18" s="1246">
        <v>21</v>
      </c>
      <c r="M18" s="1246">
        <v>22</v>
      </c>
      <c r="N18" s="1246">
        <v>8</v>
      </c>
      <c r="O18" s="1246">
        <v>20</v>
      </c>
      <c r="P18" s="1246">
        <v>18</v>
      </c>
      <c r="Q18" s="1246">
        <v>17</v>
      </c>
    </row>
    <row r="19" spans="1:17" ht="15" customHeight="1" x14ac:dyDescent="0.25">
      <c r="A19" s="5534"/>
      <c r="B19" s="5458"/>
      <c r="C19" s="5456"/>
      <c r="D19" s="1244" t="s">
        <v>368</v>
      </c>
      <c r="E19" s="1245">
        <v>18</v>
      </c>
      <c r="F19" s="1246">
        <v>41</v>
      </c>
      <c r="G19" s="1246">
        <v>21</v>
      </c>
      <c r="H19" s="1246">
        <v>17</v>
      </c>
      <c r="I19" s="1246"/>
      <c r="J19" s="1246">
        <v>1</v>
      </c>
      <c r="K19" s="1246"/>
      <c r="L19" s="1246">
        <v>2</v>
      </c>
      <c r="M19" s="1246">
        <v>3</v>
      </c>
      <c r="N19" s="1246"/>
      <c r="O19" s="1246"/>
      <c r="P19" s="1246"/>
      <c r="Q19" s="1246"/>
    </row>
    <row r="20" spans="1:17" ht="15" customHeight="1" x14ac:dyDescent="0.25">
      <c r="A20" s="5534"/>
      <c r="B20" s="5458"/>
      <c r="C20" s="5456"/>
      <c r="D20" s="1247" t="s">
        <v>139</v>
      </c>
      <c r="E20" s="1245"/>
      <c r="F20" s="1246"/>
      <c r="G20" s="1246">
        <v>1</v>
      </c>
      <c r="H20" s="1246">
        <v>2</v>
      </c>
      <c r="I20" s="1246">
        <v>11</v>
      </c>
      <c r="J20" s="1246"/>
      <c r="K20" s="1246"/>
      <c r="L20" s="1246"/>
      <c r="M20" s="1246">
        <v>1</v>
      </c>
      <c r="N20" s="1246">
        <v>1</v>
      </c>
      <c r="O20" s="1246"/>
      <c r="P20" s="1246"/>
      <c r="Q20" s="1246"/>
    </row>
    <row r="21" spans="1:17" ht="15" customHeight="1" x14ac:dyDescent="0.25">
      <c r="A21" s="5534"/>
      <c r="B21" s="5458"/>
      <c r="C21" s="5456"/>
      <c r="D21" s="1244" t="s">
        <v>369</v>
      </c>
      <c r="E21" s="1245"/>
      <c r="F21" s="1246"/>
      <c r="G21" s="1246">
        <v>20</v>
      </c>
      <c r="H21" s="1246">
        <v>19</v>
      </c>
      <c r="I21" s="1246">
        <v>41</v>
      </c>
      <c r="J21" s="1246">
        <v>25</v>
      </c>
      <c r="K21" s="1246">
        <v>37</v>
      </c>
      <c r="L21" s="1246">
        <v>16</v>
      </c>
      <c r="M21" s="1246">
        <v>13</v>
      </c>
      <c r="N21" s="1246">
        <v>16</v>
      </c>
      <c r="O21" s="1246">
        <v>14</v>
      </c>
      <c r="P21" s="1246">
        <v>32</v>
      </c>
      <c r="Q21" s="1246">
        <v>42</v>
      </c>
    </row>
    <row r="22" spans="1:17" ht="15" customHeight="1" x14ac:dyDescent="0.25">
      <c r="A22" s="5534"/>
      <c r="B22" s="5458"/>
      <c r="C22" s="5456"/>
      <c r="D22" s="1244" t="s">
        <v>141</v>
      </c>
      <c r="E22" s="1245">
        <v>18</v>
      </c>
      <c r="F22" s="1246">
        <v>17</v>
      </c>
      <c r="G22" s="1246">
        <v>17</v>
      </c>
      <c r="H22" s="1246">
        <v>9</v>
      </c>
      <c r="I22" s="1246">
        <v>20</v>
      </c>
      <c r="J22" s="1246">
        <v>28</v>
      </c>
      <c r="K22" s="1246">
        <v>32</v>
      </c>
      <c r="L22" s="1246">
        <v>25</v>
      </c>
      <c r="M22" s="1246">
        <v>37</v>
      </c>
      <c r="N22" s="1246">
        <v>37</v>
      </c>
      <c r="O22" s="1246">
        <v>43</v>
      </c>
      <c r="P22" s="1246">
        <v>42</v>
      </c>
      <c r="Q22" s="1246">
        <v>33</v>
      </c>
    </row>
    <row r="23" spans="1:17" ht="15" customHeight="1" x14ac:dyDescent="0.25">
      <c r="A23" s="5534"/>
      <c r="B23" s="5458"/>
      <c r="C23" s="5456"/>
      <c r="D23" s="1256" t="s">
        <v>422</v>
      </c>
      <c r="E23" s="1249"/>
      <c r="F23" s="1250"/>
      <c r="G23" s="1250"/>
      <c r="H23" s="1250"/>
      <c r="I23" s="1250"/>
      <c r="J23" s="1250"/>
      <c r="K23" s="1250"/>
      <c r="L23" s="1250"/>
      <c r="M23" s="1250"/>
      <c r="N23" s="1250">
        <v>8</v>
      </c>
      <c r="O23" s="1250">
        <v>12</v>
      </c>
      <c r="P23" s="1250">
        <v>29</v>
      </c>
      <c r="Q23" s="1250">
        <v>19</v>
      </c>
    </row>
    <row r="24" spans="1:17" ht="15" customHeight="1" x14ac:dyDescent="0.25">
      <c r="A24" s="5534"/>
      <c r="B24" s="5458"/>
      <c r="C24" s="5465"/>
      <c r="D24" s="1256" t="s">
        <v>140</v>
      </c>
      <c r="E24" s="1245">
        <v>21</v>
      </c>
      <c r="F24" s="1246">
        <v>11</v>
      </c>
      <c r="G24" s="1246">
        <v>7</v>
      </c>
      <c r="H24" s="1246">
        <v>15</v>
      </c>
      <c r="I24" s="1246">
        <v>15</v>
      </c>
      <c r="J24" s="1246">
        <v>18</v>
      </c>
      <c r="K24" s="1246">
        <v>33</v>
      </c>
      <c r="L24" s="1246">
        <v>18</v>
      </c>
      <c r="M24" s="1246">
        <v>40</v>
      </c>
      <c r="N24" s="1246">
        <v>26</v>
      </c>
      <c r="O24" s="1246">
        <v>49</v>
      </c>
      <c r="P24" s="1246">
        <v>26</v>
      </c>
      <c r="Q24" s="1246">
        <v>32</v>
      </c>
    </row>
    <row r="25" spans="1:17" ht="15" customHeight="1" x14ac:dyDescent="0.25">
      <c r="A25" s="5534"/>
      <c r="B25" s="5458"/>
      <c r="C25" s="5455" t="s">
        <v>526</v>
      </c>
      <c r="D25" s="1244" t="s">
        <v>539</v>
      </c>
      <c r="E25" s="1245"/>
      <c r="F25" s="1246"/>
      <c r="G25" s="1246"/>
      <c r="H25" s="1246"/>
      <c r="I25" s="1246">
        <v>16</v>
      </c>
      <c r="J25" s="1246">
        <v>12</v>
      </c>
      <c r="K25" s="1246">
        <v>18</v>
      </c>
      <c r="L25" s="1246">
        <v>18</v>
      </c>
      <c r="M25" s="1246">
        <v>17</v>
      </c>
      <c r="N25" s="1246">
        <v>15</v>
      </c>
      <c r="O25" s="1246">
        <v>24</v>
      </c>
      <c r="P25" s="1246">
        <v>24</v>
      </c>
      <c r="Q25" s="1246">
        <v>26</v>
      </c>
    </row>
    <row r="26" spans="1:17" ht="15" customHeight="1" x14ac:dyDescent="0.25">
      <c r="A26" s="5534"/>
      <c r="B26" s="5458"/>
      <c r="C26" s="5456"/>
      <c r="D26" s="1247" t="s">
        <v>143</v>
      </c>
      <c r="E26" s="1245">
        <v>7</v>
      </c>
      <c r="F26" s="1246">
        <v>9</v>
      </c>
      <c r="G26" s="1246">
        <v>5</v>
      </c>
      <c r="H26" s="1246">
        <v>5</v>
      </c>
      <c r="I26" s="1246">
        <v>23</v>
      </c>
      <c r="J26" s="1246">
        <v>7</v>
      </c>
      <c r="K26" s="1246">
        <v>7</v>
      </c>
      <c r="L26" s="1246">
        <v>3</v>
      </c>
      <c r="M26" s="1246">
        <v>3</v>
      </c>
      <c r="N26" s="1246">
        <v>2</v>
      </c>
      <c r="O26" s="1246">
        <v>1</v>
      </c>
      <c r="P26" s="1246">
        <v>1</v>
      </c>
      <c r="Q26" s="1246"/>
    </row>
    <row r="27" spans="1:17" ht="15" customHeight="1" x14ac:dyDescent="0.25">
      <c r="A27" s="5534"/>
      <c r="B27" s="5458"/>
      <c r="C27" s="5456"/>
      <c r="D27" s="1244" t="s">
        <v>142</v>
      </c>
      <c r="E27" s="1245"/>
      <c r="F27" s="1246"/>
      <c r="G27" s="1246">
        <v>12</v>
      </c>
      <c r="H27" s="1246">
        <v>12</v>
      </c>
      <c r="I27" s="1246">
        <v>22</v>
      </c>
      <c r="J27" s="1246">
        <v>21</v>
      </c>
      <c r="K27" s="1246">
        <v>14</v>
      </c>
      <c r="L27" s="1246">
        <v>33</v>
      </c>
      <c r="M27" s="1246">
        <v>25</v>
      </c>
      <c r="N27" s="1246">
        <v>29</v>
      </c>
      <c r="O27" s="1246">
        <v>29</v>
      </c>
      <c r="P27" s="1246">
        <v>26</v>
      </c>
      <c r="Q27" s="1246">
        <v>24</v>
      </c>
    </row>
    <row r="28" spans="1:17" ht="15" customHeight="1" x14ac:dyDescent="0.2">
      <c r="A28" s="5534"/>
      <c r="B28" s="5460"/>
      <c r="C28" s="1272"/>
      <c r="D28" s="1277" t="s">
        <v>160</v>
      </c>
      <c r="E28" s="1276">
        <f t="shared" ref="E28:N28" si="1">SUM(E15:E27)</f>
        <v>108</v>
      </c>
      <c r="F28" s="1276">
        <f t="shared" si="1"/>
        <v>142</v>
      </c>
      <c r="G28" s="1276">
        <f t="shared" si="1"/>
        <v>150</v>
      </c>
      <c r="H28" s="1276">
        <f t="shared" si="1"/>
        <v>141</v>
      </c>
      <c r="I28" s="1276">
        <f t="shared" si="1"/>
        <v>228</v>
      </c>
      <c r="J28" s="1276">
        <f t="shared" si="1"/>
        <v>182</v>
      </c>
      <c r="K28" s="1276">
        <f t="shared" si="1"/>
        <v>212</v>
      </c>
      <c r="L28" s="1276">
        <f t="shared" si="1"/>
        <v>177</v>
      </c>
      <c r="M28" s="1276">
        <f t="shared" si="1"/>
        <v>213</v>
      </c>
      <c r="N28" s="1276">
        <f t="shared" si="1"/>
        <v>189</v>
      </c>
      <c r="O28" s="1276">
        <f>SUM(O15:O27)</f>
        <v>239</v>
      </c>
      <c r="P28" s="1276">
        <f>SUM(P15:P27)</f>
        <v>244</v>
      </c>
      <c r="Q28" s="1276">
        <f>SUM(Q15:Q27)</f>
        <v>242</v>
      </c>
    </row>
    <row r="29" spans="1:17" ht="15" customHeight="1" x14ac:dyDescent="0.25">
      <c r="A29" s="5534"/>
      <c r="B29" s="5457" t="s">
        <v>7</v>
      </c>
      <c r="C29" s="2384" t="s">
        <v>528</v>
      </c>
      <c r="D29" s="1241" t="s">
        <v>362</v>
      </c>
      <c r="E29" s="1257">
        <v>43</v>
      </c>
      <c r="F29" s="1258">
        <v>37</v>
      </c>
      <c r="G29" s="1258">
        <v>29</v>
      </c>
      <c r="H29" s="1258">
        <v>34</v>
      </c>
      <c r="I29" s="1258">
        <v>61</v>
      </c>
      <c r="J29" s="1258">
        <v>64</v>
      </c>
      <c r="K29" s="1258">
        <v>103</v>
      </c>
      <c r="L29" s="1258">
        <v>102</v>
      </c>
      <c r="M29" s="1258">
        <v>20</v>
      </c>
      <c r="N29" s="1258">
        <v>95</v>
      </c>
      <c r="O29" s="1258">
        <v>23</v>
      </c>
      <c r="P29" s="1258">
        <v>70</v>
      </c>
      <c r="Q29" s="1258">
        <v>24</v>
      </c>
    </row>
    <row r="30" spans="1:17" ht="15" customHeight="1" x14ac:dyDescent="0.25">
      <c r="A30" s="5534"/>
      <c r="B30" s="5458"/>
      <c r="C30" s="5466" t="s">
        <v>527</v>
      </c>
      <c r="D30" s="1244" t="s">
        <v>363</v>
      </c>
      <c r="E30" s="1245">
        <v>45</v>
      </c>
      <c r="F30" s="1246">
        <v>37</v>
      </c>
      <c r="G30" s="1246">
        <v>48</v>
      </c>
      <c r="H30" s="1246">
        <v>55</v>
      </c>
      <c r="I30" s="1246">
        <v>51</v>
      </c>
      <c r="J30" s="1246">
        <v>55</v>
      </c>
      <c r="K30" s="1246">
        <v>47</v>
      </c>
      <c r="L30" s="1246">
        <v>87</v>
      </c>
      <c r="M30" s="1246">
        <v>108</v>
      </c>
      <c r="N30" s="1246">
        <v>79</v>
      </c>
      <c r="O30" s="1246">
        <v>102</v>
      </c>
      <c r="P30" s="1246">
        <v>74</v>
      </c>
      <c r="Q30" s="1246">
        <v>38</v>
      </c>
    </row>
    <row r="31" spans="1:17" ht="15" customHeight="1" x14ac:dyDescent="0.25">
      <c r="A31" s="5534"/>
      <c r="B31" s="5458"/>
      <c r="C31" s="5456"/>
      <c r="D31" s="1244" t="s">
        <v>1394</v>
      </c>
      <c r="E31" s="1245"/>
      <c r="F31" s="1246"/>
      <c r="G31" s="1246"/>
      <c r="H31" s="1246"/>
      <c r="I31" s="1246"/>
      <c r="J31" s="1246"/>
      <c r="K31" s="1246"/>
      <c r="L31" s="1246"/>
      <c r="M31" s="1246"/>
      <c r="N31" s="1246"/>
      <c r="O31" s="1246"/>
      <c r="P31" s="1246"/>
      <c r="Q31" s="1246">
        <v>16</v>
      </c>
    </row>
    <row r="32" spans="1:17" ht="15" customHeight="1" x14ac:dyDescent="0.25">
      <c r="A32" s="5534"/>
      <c r="B32" s="5458"/>
      <c r="C32" s="5456"/>
      <c r="D32" s="1244" t="s">
        <v>1395</v>
      </c>
      <c r="E32" s="1245"/>
      <c r="F32" s="1246"/>
      <c r="G32" s="1246"/>
      <c r="H32" s="1246"/>
      <c r="I32" s="1246"/>
      <c r="J32" s="1246"/>
      <c r="K32" s="1246"/>
      <c r="L32" s="1246"/>
      <c r="M32" s="1246"/>
      <c r="N32" s="1246"/>
      <c r="O32" s="1246"/>
      <c r="P32" s="1246"/>
      <c r="Q32" s="1246">
        <v>14</v>
      </c>
    </row>
    <row r="33" spans="1:17" ht="15" customHeight="1" x14ac:dyDescent="0.25">
      <c r="A33" s="5534"/>
      <c r="B33" s="5458"/>
      <c r="C33" s="5456"/>
      <c r="D33" s="1244" t="s">
        <v>1396</v>
      </c>
      <c r="E33" s="1245"/>
      <c r="F33" s="1246"/>
      <c r="G33" s="1246"/>
      <c r="H33" s="1246"/>
      <c r="I33" s="1246"/>
      <c r="J33" s="1246"/>
      <c r="K33" s="1246"/>
      <c r="L33" s="1246"/>
      <c r="M33" s="1246"/>
      <c r="N33" s="1246"/>
      <c r="O33" s="1246"/>
      <c r="P33" s="1246"/>
      <c r="Q33" s="1246">
        <v>21</v>
      </c>
    </row>
    <row r="34" spans="1:17" ht="15" customHeight="1" x14ac:dyDescent="0.25">
      <c r="A34" s="5534"/>
      <c r="B34" s="5458"/>
      <c r="C34" s="5456"/>
      <c r="D34" s="1244" t="s">
        <v>1397</v>
      </c>
      <c r="E34" s="1245"/>
      <c r="F34" s="1246"/>
      <c r="G34" s="1246"/>
      <c r="H34" s="1246"/>
      <c r="I34" s="1246"/>
      <c r="J34" s="1246"/>
      <c r="K34" s="1246"/>
      <c r="L34" s="1246"/>
      <c r="M34" s="1246"/>
      <c r="N34" s="1246"/>
      <c r="O34" s="1246"/>
      <c r="P34" s="1246"/>
      <c r="Q34" s="1246">
        <v>9</v>
      </c>
    </row>
    <row r="35" spans="1:17" ht="15" customHeight="1" x14ac:dyDescent="0.25">
      <c r="A35" s="5534"/>
      <c r="B35" s="5458"/>
      <c r="C35" s="5456"/>
      <c r="D35" s="1244" t="s">
        <v>1398</v>
      </c>
      <c r="E35" s="1245"/>
      <c r="F35" s="1246"/>
      <c r="G35" s="1246"/>
      <c r="H35" s="1246"/>
      <c r="I35" s="1246"/>
      <c r="J35" s="1246"/>
      <c r="K35" s="1246"/>
      <c r="L35" s="1246"/>
      <c r="M35" s="1246"/>
      <c r="N35" s="1246"/>
      <c r="O35" s="1246"/>
      <c r="P35" s="1246"/>
      <c r="Q35" s="1246">
        <v>12</v>
      </c>
    </row>
    <row r="36" spans="1:17" ht="15" customHeight="1" x14ac:dyDescent="0.25">
      <c r="A36" s="5534"/>
      <c r="B36" s="5458"/>
      <c r="C36" s="5465"/>
      <c r="D36" s="1244" t="s">
        <v>1399</v>
      </c>
      <c r="E36" s="1245"/>
      <c r="F36" s="1246"/>
      <c r="G36" s="1246"/>
      <c r="H36" s="1246"/>
      <c r="I36" s="1246"/>
      <c r="J36" s="1246"/>
      <c r="K36" s="1246"/>
      <c r="L36" s="1246"/>
      <c r="M36" s="1246"/>
      <c r="N36" s="1246"/>
      <c r="O36" s="1246"/>
      <c r="P36" s="1246"/>
      <c r="Q36" s="1246">
        <v>7</v>
      </c>
    </row>
    <row r="37" spans="1:17" ht="15" customHeight="1" x14ac:dyDescent="0.25">
      <c r="A37" s="5534"/>
      <c r="B37" s="5458"/>
      <c r="C37" s="5466" t="s">
        <v>526</v>
      </c>
      <c r="D37" s="1256" t="s">
        <v>364</v>
      </c>
      <c r="E37" s="1245">
        <v>18</v>
      </c>
      <c r="F37" s="1246">
        <v>5</v>
      </c>
      <c r="G37" s="1246">
        <v>8</v>
      </c>
      <c r="H37" s="1246">
        <v>13</v>
      </c>
      <c r="I37" s="1246">
        <v>20</v>
      </c>
      <c r="J37" s="1246">
        <v>31</v>
      </c>
      <c r="K37" s="1246">
        <v>34</v>
      </c>
      <c r="L37" s="1246">
        <v>62</v>
      </c>
      <c r="M37" s="1246">
        <v>56</v>
      </c>
      <c r="N37" s="1246">
        <v>63</v>
      </c>
      <c r="O37" s="1246">
        <v>55</v>
      </c>
      <c r="P37" s="1246">
        <v>80</v>
      </c>
      <c r="Q37" s="1246">
        <v>15</v>
      </c>
    </row>
    <row r="38" spans="1:17" ht="15" customHeight="1" x14ac:dyDescent="0.25">
      <c r="A38" s="5534"/>
      <c r="B38" s="5458"/>
      <c r="C38" s="5456"/>
      <c r="D38" s="1244" t="s">
        <v>1394</v>
      </c>
      <c r="E38" s="4374"/>
      <c r="F38" s="4375"/>
      <c r="G38" s="4375"/>
      <c r="H38" s="4375"/>
      <c r="I38" s="4375"/>
      <c r="J38" s="4375"/>
      <c r="K38" s="4375"/>
      <c r="L38" s="4375"/>
      <c r="M38" s="4375"/>
      <c r="N38" s="1246"/>
      <c r="O38" s="1246"/>
      <c r="P38" s="1246"/>
      <c r="Q38" s="1246">
        <v>4</v>
      </c>
    </row>
    <row r="39" spans="1:17" ht="15" customHeight="1" x14ac:dyDescent="0.25">
      <c r="A39" s="5534"/>
      <c r="B39" s="5458"/>
      <c r="C39" s="5456"/>
      <c r="D39" s="1244" t="s">
        <v>1395</v>
      </c>
      <c r="E39" s="4374"/>
      <c r="F39" s="4375"/>
      <c r="G39" s="4375"/>
      <c r="H39" s="4375"/>
      <c r="I39" s="4375"/>
      <c r="J39" s="4375"/>
      <c r="K39" s="4375"/>
      <c r="L39" s="4375"/>
      <c r="M39" s="4375"/>
      <c r="N39" s="1246"/>
      <c r="O39" s="1246"/>
      <c r="P39" s="1246"/>
      <c r="Q39" s="1246">
        <v>9</v>
      </c>
    </row>
    <row r="40" spans="1:17" ht="15" customHeight="1" x14ac:dyDescent="0.25">
      <c r="A40" s="5534"/>
      <c r="B40" s="5458"/>
      <c r="C40" s="5456"/>
      <c r="D40" s="1244" t="s">
        <v>1396</v>
      </c>
      <c r="E40" s="4374"/>
      <c r="F40" s="4375"/>
      <c r="G40" s="4375"/>
      <c r="H40" s="4375"/>
      <c r="I40" s="4375"/>
      <c r="J40" s="4375"/>
      <c r="K40" s="4375"/>
      <c r="L40" s="4375"/>
      <c r="M40" s="4375"/>
      <c r="N40" s="1246"/>
      <c r="O40" s="1246"/>
      <c r="P40" s="1246"/>
      <c r="Q40" s="1246">
        <v>23</v>
      </c>
    </row>
    <row r="41" spans="1:17" ht="15" customHeight="1" x14ac:dyDescent="0.25">
      <c r="A41" s="5534"/>
      <c r="B41" s="5458"/>
      <c r="C41" s="5456"/>
      <c r="D41" s="1244" t="s">
        <v>1397</v>
      </c>
      <c r="E41" s="4374"/>
      <c r="F41" s="4375"/>
      <c r="G41" s="4375"/>
      <c r="H41" s="4375"/>
      <c r="I41" s="4375"/>
      <c r="J41" s="4375"/>
      <c r="K41" s="4375"/>
      <c r="L41" s="4375"/>
      <c r="M41" s="4375"/>
      <c r="N41" s="1246"/>
      <c r="O41" s="1246"/>
      <c r="P41" s="1246"/>
      <c r="Q41" s="1246">
        <v>2</v>
      </c>
    </row>
    <row r="42" spans="1:17" ht="15" customHeight="1" x14ac:dyDescent="0.25">
      <c r="A42" s="5534"/>
      <c r="B42" s="5458"/>
      <c r="C42" s="5456"/>
      <c r="D42" s="1244" t="s">
        <v>1398</v>
      </c>
      <c r="E42" s="4374"/>
      <c r="F42" s="4375"/>
      <c r="G42" s="4375"/>
      <c r="H42" s="4375"/>
      <c r="I42" s="4375"/>
      <c r="J42" s="4375"/>
      <c r="K42" s="4375"/>
      <c r="L42" s="4375"/>
      <c r="M42" s="4375"/>
      <c r="N42" s="1246"/>
      <c r="O42" s="1246"/>
      <c r="P42" s="1246"/>
      <c r="Q42" s="1246">
        <v>18</v>
      </c>
    </row>
    <row r="43" spans="1:17" ht="15" customHeight="1" x14ac:dyDescent="0.25">
      <c r="A43" s="5534"/>
      <c r="B43" s="5458"/>
      <c r="C43" s="5465"/>
      <c r="D43" s="1244" t="s">
        <v>1399</v>
      </c>
      <c r="E43" s="4374"/>
      <c r="F43" s="4375"/>
      <c r="G43" s="4375"/>
      <c r="H43" s="4375"/>
      <c r="I43" s="4375"/>
      <c r="J43" s="4375"/>
      <c r="K43" s="4375"/>
      <c r="L43" s="4375"/>
      <c r="M43" s="4375"/>
      <c r="N43" s="1246"/>
      <c r="O43" s="1246"/>
      <c r="P43" s="1246"/>
      <c r="Q43" s="4375">
        <v>0</v>
      </c>
    </row>
    <row r="44" spans="1:17" ht="15" customHeight="1" x14ac:dyDescent="0.2">
      <c r="A44" s="5534"/>
      <c r="B44" s="5460"/>
      <c r="C44" s="1134"/>
      <c r="D44" s="1278" t="s">
        <v>160</v>
      </c>
      <c r="E44" s="1276">
        <f>SUM(E29:E37)</f>
        <v>106</v>
      </c>
      <c r="F44" s="1276">
        <f t="shared" ref="F44:N44" si="2">SUM(F29:F37)</f>
        <v>79</v>
      </c>
      <c r="G44" s="1276">
        <f t="shared" si="2"/>
        <v>85</v>
      </c>
      <c r="H44" s="1276">
        <f t="shared" si="2"/>
        <v>102</v>
      </c>
      <c r="I44" s="1276">
        <f t="shared" si="2"/>
        <v>132</v>
      </c>
      <c r="J44" s="1276">
        <f t="shared" si="2"/>
        <v>150</v>
      </c>
      <c r="K44" s="1276">
        <f t="shared" si="2"/>
        <v>184</v>
      </c>
      <c r="L44" s="1276">
        <f t="shared" si="2"/>
        <v>251</v>
      </c>
      <c r="M44" s="1276">
        <f t="shared" si="2"/>
        <v>184</v>
      </c>
      <c r="N44" s="1276">
        <f t="shared" si="2"/>
        <v>237</v>
      </c>
      <c r="O44" s="1276">
        <f>SUM(O29:O37)</f>
        <v>180</v>
      </c>
      <c r="P44" s="1276">
        <f>SUM(P29:P37)</f>
        <v>224</v>
      </c>
      <c r="Q44" s="1276">
        <f>SUM(Q29:Q43)</f>
        <v>212</v>
      </c>
    </row>
    <row r="45" spans="1:17" ht="15" customHeight="1" x14ac:dyDescent="0.2">
      <c r="A45" s="5535"/>
      <c r="B45" s="2671"/>
      <c r="C45" s="2661"/>
      <c r="D45" s="2679" t="s">
        <v>529</v>
      </c>
      <c r="E45" s="2670">
        <f t="shared" ref="E45:N45" si="3">SUM(E14,E28,E44)</f>
        <v>374</v>
      </c>
      <c r="F45" s="2670">
        <f t="shared" si="3"/>
        <v>381</v>
      </c>
      <c r="G45" s="2670">
        <f t="shared" si="3"/>
        <v>398</v>
      </c>
      <c r="H45" s="2670">
        <f t="shared" si="3"/>
        <v>395</v>
      </c>
      <c r="I45" s="2670">
        <f t="shared" si="3"/>
        <v>510</v>
      </c>
      <c r="J45" s="2670">
        <f t="shared" si="3"/>
        <v>462</v>
      </c>
      <c r="K45" s="2670">
        <f t="shared" si="3"/>
        <v>553</v>
      </c>
      <c r="L45" s="2670">
        <f t="shared" si="3"/>
        <v>599</v>
      </c>
      <c r="M45" s="2670">
        <f t="shared" si="3"/>
        <v>575</v>
      </c>
      <c r="N45" s="2670">
        <f t="shared" si="3"/>
        <v>590</v>
      </c>
      <c r="O45" s="2670">
        <f>SUM(O14,O28,O44)</f>
        <v>607</v>
      </c>
      <c r="P45" s="2670">
        <f>SUM(P14,P28,P44)</f>
        <v>698</v>
      </c>
      <c r="Q45" s="2670">
        <f>SUM(Q14,Q28,Q44)</f>
        <v>707</v>
      </c>
    </row>
    <row r="46" spans="1:17" ht="15" customHeight="1" x14ac:dyDescent="0.25">
      <c r="A46" s="5543" t="s">
        <v>447</v>
      </c>
      <c r="B46" s="5461" t="s">
        <v>5</v>
      </c>
      <c r="C46" s="5455" t="s">
        <v>527</v>
      </c>
      <c r="D46" s="1259" t="s">
        <v>548</v>
      </c>
      <c r="E46" s="1254">
        <v>6</v>
      </c>
      <c r="F46" s="1255">
        <v>3</v>
      </c>
      <c r="G46" s="1255">
        <v>5</v>
      </c>
      <c r="H46" s="1255">
        <v>10</v>
      </c>
      <c r="I46" s="1255">
        <v>13</v>
      </c>
      <c r="J46" s="1255">
        <v>16</v>
      </c>
      <c r="K46" s="1255">
        <v>15</v>
      </c>
      <c r="L46" s="1255">
        <v>12</v>
      </c>
      <c r="M46" s="1255">
        <v>16</v>
      </c>
      <c r="N46" s="1255">
        <v>29</v>
      </c>
      <c r="O46" s="1255">
        <v>30</v>
      </c>
      <c r="P46" s="1255">
        <v>30</v>
      </c>
      <c r="Q46" s="1255">
        <v>36</v>
      </c>
    </row>
    <row r="47" spans="1:17" ht="15" customHeight="1" x14ac:dyDescent="0.25">
      <c r="A47" s="5544"/>
      <c r="B47" s="5462"/>
      <c r="C47" s="5456"/>
      <c r="D47" s="1247" t="s">
        <v>549</v>
      </c>
      <c r="E47" s="1260">
        <v>13</v>
      </c>
      <c r="F47" s="1261">
        <v>25</v>
      </c>
      <c r="G47" s="1261">
        <v>50</v>
      </c>
      <c r="H47" s="1261">
        <v>58</v>
      </c>
      <c r="I47" s="1261">
        <v>60</v>
      </c>
      <c r="J47" s="1261">
        <v>70</v>
      </c>
      <c r="K47" s="1261">
        <v>78</v>
      </c>
      <c r="L47" s="1261">
        <v>52</v>
      </c>
      <c r="M47" s="1261">
        <v>72</v>
      </c>
      <c r="N47" s="1261">
        <v>96</v>
      </c>
      <c r="O47" s="1261">
        <v>74</v>
      </c>
      <c r="P47" s="1261">
        <v>82</v>
      </c>
      <c r="Q47" s="1261">
        <v>79</v>
      </c>
    </row>
    <row r="48" spans="1:17" ht="15" customHeight="1" x14ac:dyDescent="0.25">
      <c r="A48" s="5544"/>
      <c r="B48" s="5462"/>
      <c r="C48" s="5456"/>
      <c r="D48" s="1247" t="s">
        <v>550</v>
      </c>
      <c r="E48" s="1260">
        <v>14</v>
      </c>
      <c r="F48" s="1261">
        <v>17</v>
      </c>
      <c r="G48" s="1261">
        <v>18</v>
      </c>
      <c r="H48" s="1261">
        <v>15</v>
      </c>
      <c r="I48" s="1261">
        <v>18</v>
      </c>
      <c r="J48" s="1261">
        <v>20</v>
      </c>
      <c r="K48" s="1261">
        <v>26</v>
      </c>
      <c r="L48" s="1261">
        <v>18</v>
      </c>
      <c r="M48" s="1261">
        <v>17</v>
      </c>
      <c r="N48" s="1261">
        <v>68</v>
      </c>
      <c r="O48" s="1261">
        <v>18</v>
      </c>
      <c r="P48" s="1261">
        <v>20</v>
      </c>
      <c r="Q48" s="1261">
        <v>22</v>
      </c>
    </row>
    <row r="49" spans="1:17" ht="15" customHeight="1" x14ac:dyDescent="0.25">
      <c r="A49" s="5544"/>
      <c r="B49" s="5462"/>
      <c r="C49" s="5456"/>
      <c r="D49" s="1247" t="s">
        <v>551</v>
      </c>
      <c r="E49" s="1260">
        <v>28</v>
      </c>
      <c r="F49" s="1261">
        <v>24</v>
      </c>
      <c r="G49" s="1261">
        <v>24</v>
      </c>
      <c r="H49" s="1261">
        <v>24</v>
      </c>
      <c r="I49" s="1261">
        <v>21</v>
      </c>
      <c r="J49" s="1261">
        <v>24</v>
      </c>
      <c r="K49" s="1261">
        <v>33</v>
      </c>
      <c r="L49" s="1261">
        <v>38</v>
      </c>
      <c r="M49" s="1261">
        <v>30</v>
      </c>
      <c r="N49" s="1261">
        <v>36</v>
      </c>
      <c r="O49" s="1261">
        <v>31</v>
      </c>
      <c r="P49" s="1261">
        <v>26</v>
      </c>
      <c r="Q49" s="1261">
        <v>32</v>
      </c>
    </row>
    <row r="50" spans="1:17" ht="15" customHeight="1" x14ac:dyDescent="0.25">
      <c r="A50" s="5544"/>
      <c r="B50" s="5462"/>
      <c r="C50" s="5456"/>
      <c r="D50" s="1247" t="s">
        <v>552</v>
      </c>
      <c r="E50" s="1260">
        <v>22</v>
      </c>
      <c r="F50" s="1261">
        <v>30</v>
      </c>
      <c r="G50" s="1261">
        <v>45</v>
      </c>
      <c r="H50" s="1261">
        <v>51</v>
      </c>
      <c r="I50" s="1261">
        <v>60</v>
      </c>
      <c r="J50" s="1261">
        <v>61</v>
      </c>
      <c r="K50" s="1261">
        <v>55</v>
      </c>
      <c r="L50" s="1261">
        <v>52</v>
      </c>
      <c r="M50" s="1261">
        <v>58</v>
      </c>
      <c r="N50" s="1261">
        <v>56</v>
      </c>
      <c r="O50" s="1261">
        <v>43</v>
      </c>
      <c r="P50" s="1261">
        <v>32</v>
      </c>
      <c r="Q50" s="1261">
        <v>26</v>
      </c>
    </row>
    <row r="51" spans="1:17" ht="15" customHeight="1" x14ac:dyDescent="0.25">
      <c r="A51" s="5544"/>
      <c r="B51" s="5462"/>
      <c r="C51" s="5456"/>
      <c r="D51" s="1247" t="s">
        <v>68</v>
      </c>
      <c r="E51" s="1260"/>
      <c r="F51" s="1261"/>
      <c r="G51" s="1261">
        <v>11</v>
      </c>
      <c r="H51" s="1261">
        <v>21</v>
      </c>
      <c r="I51" s="1261">
        <v>25</v>
      </c>
      <c r="J51" s="1261">
        <v>28</v>
      </c>
      <c r="K51" s="1261">
        <v>37</v>
      </c>
      <c r="L51" s="1261">
        <v>48</v>
      </c>
      <c r="M51" s="1261">
        <v>58</v>
      </c>
      <c r="N51" s="1261">
        <v>60</v>
      </c>
      <c r="O51" s="1261">
        <v>52</v>
      </c>
      <c r="P51" s="1261">
        <v>47</v>
      </c>
      <c r="Q51" s="1261">
        <v>41</v>
      </c>
    </row>
    <row r="52" spans="1:17" ht="15" customHeight="1" x14ac:dyDescent="0.25">
      <c r="A52" s="5544"/>
      <c r="B52" s="5462"/>
      <c r="C52" s="5465"/>
      <c r="D52" s="1247" t="s">
        <v>783</v>
      </c>
      <c r="E52" s="1260"/>
      <c r="F52" s="1261"/>
      <c r="G52" s="1261"/>
      <c r="H52" s="1261"/>
      <c r="I52" s="1261"/>
      <c r="J52" s="1261"/>
      <c r="K52" s="1261"/>
      <c r="L52" s="1261"/>
      <c r="M52" s="1261"/>
      <c r="N52" s="1261"/>
      <c r="O52" s="1261">
        <v>25</v>
      </c>
      <c r="P52" s="1261">
        <v>33</v>
      </c>
      <c r="Q52" s="1261">
        <v>44</v>
      </c>
    </row>
    <row r="53" spans="1:17" ht="15" customHeight="1" x14ac:dyDescent="0.25">
      <c r="A53" s="5544"/>
      <c r="B53" s="5462"/>
      <c r="C53" s="5455" t="s">
        <v>526</v>
      </c>
      <c r="D53" s="1247" t="s">
        <v>548</v>
      </c>
      <c r="E53" s="1245">
        <v>34</v>
      </c>
      <c r="F53" s="1246">
        <v>35</v>
      </c>
      <c r="G53" s="1246">
        <v>36</v>
      </c>
      <c r="H53" s="1246">
        <v>35</v>
      </c>
      <c r="I53" s="1246">
        <v>38</v>
      </c>
      <c r="J53" s="1246">
        <v>32</v>
      </c>
      <c r="K53" s="1246">
        <v>32</v>
      </c>
      <c r="L53" s="1246">
        <v>30</v>
      </c>
      <c r="M53" s="1246">
        <v>27</v>
      </c>
      <c r="N53" s="1246">
        <v>19</v>
      </c>
      <c r="O53" s="1246">
        <v>24</v>
      </c>
      <c r="P53" s="1246">
        <v>26</v>
      </c>
      <c r="Q53" s="1246">
        <v>27</v>
      </c>
    </row>
    <row r="54" spans="1:17" ht="15" customHeight="1" x14ac:dyDescent="0.25">
      <c r="A54" s="5544"/>
      <c r="B54" s="5462"/>
      <c r="C54" s="5456"/>
      <c r="D54" s="1247" t="s">
        <v>549</v>
      </c>
      <c r="E54" s="1260">
        <v>20</v>
      </c>
      <c r="F54" s="1261">
        <v>28</v>
      </c>
      <c r="G54" s="1261">
        <v>32</v>
      </c>
      <c r="H54" s="1261">
        <v>34</v>
      </c>
      <c r="I54" s="1261">
        <v>34</v>
      </c>
      <c r="J54" s="1261">
        <v>37</v>
      </c>
      <c r="K54" s="1261">
        <v>30</v>
      </c>
      <c r="L54" s="1261">
        <v>51</v>
      </c>
      <c r="M54" s="1261">
        <v>58</v>
      </c>
      <c r="N54" s="1261">
        <v>43</v>
      </c>
      <c r="O54" s="1261">
        <v>62</v>
      </c>
      <c r="P54" s="1261">
        <v>61</v>
      </c>
      <c r="Q54" s="1261">
        <v>63</v>
      </c>
    </row>
    <row r="55" spans="1:17" ht="15" customHeight="1" x14ac:dyDescent="0.25">
      <c r="A55" s="5544"/>
      <c r="B55" s="5462"/>
      <c r="C55" s="5456"/>
      <c r="D55" s="1247" t="s">
        <v>550</v>
      </c>
      <c r="E55" s="1260">
        <v>85</v>
      </c>
      <c r="F55" s="1261">
        <v>92</v>
      </c>
      <c r="G55" s="1261">
        <v>101</v>
      </c>
      <c r="H55" s="1261">
        <v>97</v>
      </c>
      <c r="I55" s="1261">
        <v>95</v>
      </c>
      <c r="J55" s="1261">
        <v>79</v>
      </c>
      <c r="K55" s="1261">
        <v>71</v>
      </c>
      <c r="L55" s="1261">
        <v>90</v>
      </c>
      <c r="M55" s="1261">
        <v>93</v>
      </c>
      <c r="N55" s="1261">
        <v>49</v>
      </c>
      <c r="O55" s="1261">
        <v>100</v>
      </c>
      <c r="P55" s="1261">
        <v>104</v>
      </c>
      <c r="Q55" s="1261">
        <v>86</v>
      </c>
    </row>
    <row r="56" spans="1:17" ht="15" customHeight="1" x14ac:dyDescent="0.25">
      <c r="A56" s="5544"/>
      <c r="B56" s="5462"/>
      <c r="C56" s="5456"/>
      <c r="D56" s="1247" t="s">
        <v>551</v>
      </c>
      <c r="E56" s="1260">
        <v>57</v>
      </c>
      <c r="F56" s="1261">
        <v>58</v>
      </c>
      <c r="G56" s="1261">
        <v>60</v>
      </c>
      <c r="H56" s="1261">
        <v>54</v>
      </c>
      <c r="I56" s="1261">
        <v>53</v>
      </c>
      <c r="J56" s="1261">
        <v>42</v>
      </c>
      <c r="K56" s="1261">
        <v>40</v>
      </c>
      <c r="L56" s="1261">
        <v>34</v>
      </c>
      <c r="M56" s="1261">
        <v>43</v>
      </c>
      <c r="N56" s="1261">
        <v>40</v>
      </c>
      <c r="O56" s="1261">
        <v>41</v>
      </c>
      <c r="P56" s="1261">
        <v>37</v>
      </c>
      <c r="Q56" s="1261">
        <v>41</v>
      </c>
    </row>
    <row r="57" spans="1:17" ht="15" customHeight="1" x14ac:dyDescent="0.25">
      <c r="A57" s="5544"/>
      <c r="B57" s="5462"/>
      <c r="C57" s="5456"/>
      <c r="D57" s="1247" t="s">
        <v>552</v>
      </c>
      <c r="E57" s="1260">
        <v>17</v>
      </c>
      <c r="F57" s="1261">
        <v>13</v>
      </c>
      <c r="G57" s="1261">
        <v>15</v>
      </c>
      <c r="H57" s="1261">
        <v>19</v>
      </c>
      <c r="I57" s="1261">
        <v>15</v>
      </c>
      <c r="J57" s="1261">
        <v>15</v>
      </c>
      <c r="K57" s="1261">
        <v>14</v>
      </c>
      <c r="L57" s="1261">
        <v>21</v>
      </c>
      <c r="M57" s="1261">
        <v>19</v>
      </c>
      <c r="N57" s="1261">
        <v>18</v>
      </c>
      <c r="O57" s="1261">
        <v>27</v>
      </c>
      <c r="P57" s="1261">
        <v>29</v>
      </c>
      <c r="Q57" s="1261">
        <v>32</v>
      </c>
    </row>
    <row r="58" spans="1:17" ht="15" customHeight="1" x14ac:dyDescent="0.25">
      <c r="A58" s="5544"/>
      <c r="B58" s="5462"/>
      <c r="C58" s="5456"/>
      <c r="D58" s="1247" t="s">
        <v>374</v>
      </c>
      <c r="E58" s="1251"/>
      <c r="F58" s="1252"/>
      <c r="G58" s="1252"/>
      <c r="H58" s="1252"/>
      <c r="I58" s="1252"/>
      <c r="J58" s="1252"/>
      <c r="K58" s="1252"/>
      <c r="L58" s="1252"/>
      <c r="M58" s="1252">
        <v>6</v>
      </c>
      <c r="N58" s="1252">
        <v>6</v>
      </c>
      <c r="O58" s="1252">
        <v>24</v>
      </c>
      <c r="P58" s="1252">
        <v>31</v>
      </c>
      <c r="Q58" s="1252">
        <v>29</v>
      </c>
    </row>
    <row r="59" spans="1:17" ht="15" customHeight="1" x14ac:dyDescent="0.25">
      <c r="A59" s="5544"/>
      <c r="B59" s="5462"/>
      <c r="C59" s="5456"/>
      <c r="D59" s="1247" t="s">
        <v>365</v>
      </c>
      <c r="E59" s="1260">
        <v>47</v>
      </c>
      <c r="F59" s="1261">
        <v>24</v>
      </c>
      <c r="G59" s="1261">
        <v>4</v>
      </c>
      <c r="H59" s="1261">
        <v>2</v>
      </c>
      <c r="I59" s="1261"/>
      <c r="J59" s="1261">
        <v>2</v>
      </c>
      <c r="K59" s="1261">
        <v>10</v>
      </c>
      <c r="L59" s="1261">
        <v>8</v>
      </c>
      <c r="M59" s="1261"/>
      <c r="N59" s="1261"/>
      <c r="O59" s="1261"/>
      <c r="P59" s="1261"/>
      <c r="Q59" s="1261"/>
    </row>
    <row r="60" spans="1:17" ht="15" customHeight="1" x14ac:dyDescent="0.25">
      <c r="A60" s="5544"/>
      <c r="B60" s="5462"/>
      <c r="C60" s="1203"/>
      <c r="D60" s="1247" t="s">
        <v>783</v>
      </c>
      <c r="E60" s="1260"/>
      <c r="F60" s="1261"/>
      <c r="G60" s="1261"/>
      <c r="H60" s="1261"/>
      <c r="I60" s="1261"/>
      <c r="J60" s="1261"/>
      <c r="K60" s="1261"/>
      <c r="L60" s="1261"/>
      <c r="M60" s="1261"/>
      <c r="N60" s="1261"/>
      <c r="O60" s="1261">
        <v>5</v>
      </c>
      <c r="P60" s="1261">
        <v>8</v>
      </c>
      <c r="Q60" s="1261">
        <v>10</v>
      </c>
    </row>
    <row r="61" spans="1:17" ht="15" customHeight="1" x14ac:dyDescent="0.2">
      <c r="A61" s="5544"/>
      <c r="B61" s="5464"/>
      <c r="C61" s="1272"/>
      <c r="D61" s="1277" t="s">
        <v>160</v>
      </c>
      <c r="E61" s="1276">
        <f>SUM(E46:E59)</f>
        <v>343</v>
      </c>
      <c r="F61" s="1276">
        <f t="shared" ref="F61:N61" si="4">SUM(F46:F59)</f>
        <v>349</v>
      </c>
      <c r="G61" s="1276">
        <f t="shared" si="4"/>
        <v>401</v>
      </c>
      <c r="H61" s="1276">
        <f t="shared" si="4"/>
        <v>420</v>
      </c>
      <c r="I61" s="1276">
        <f t="shared" si="4"/>
        <v>432</v>
      </c>
      <c r="J61" s="1276">
        <f t="shared" si="4"/>
        <v>426</v>
      </c>
      <c r="K61" s="1276">
        <f t="shared" si="4"/>
        <v>441</v>
      </c>
      <c r="L61" s="1276">
        <f t="shared" si="4"/>
        <v>454</v>
      </c>
      <c r="M61" s="1276">
        <f t="shared" si="4"/>
        <v>497</v>
      </c>
      <c r="N61" s="1276">
        <f t="shared" si="4"/>
        <v>520</v>
      </c>
      <c r="O61" s="1276">
        <f>SUM(O46:O60)</f>
        <v>556</v>
      </c>
      <c r="P61" s="1276">
        <f>SUM(P46:P60)</f>
        <v>566</v>
      </c>
      <c r="Q61" s="1276">
        <f>SUM(Q46:Q60)</f>
        <v>568</v>
      </c>
    </row>
    <row r="62" spans="1:17" ht="15" customHeight="1" x14ac:dyDescent="0.25">
      <c r="A62" s="5544"/>
      <c r="B62" s="5473" t="s">
        <v>6</v>
      </c>
      <c r="C62" s="1091" t="s">
        <v>528</v>
      </c>
      <c r="D62" s="1264" t="s">
        <v>78</v>
      </c>
      <c r="E62" s="1242">
        <v>47</v>
      </c>
      <c r="F62" s="1243">
        <v>114</v>
      </c>
      <c r="G62" s="1243">
        <v>74</v>
      </c>
      <c r="H62" s="1243">
        <v>86</v>
      </c>
      <c r="I62" s="1243">
        <v>109</v>
      </c>
      <c r="J62" s="1243">
        <v>101</v>
      </c>
      <c r="K62" s="1243">
        <v>118</v>
      </c>
      <c r="L62" s="1243">
        <v>169</v>
      </c>
      <c r="M62" s="1255">
        <v>153</v>
      </c>
      <c r="N62" s="1255">
        <v>83</v>
      </c>
      <c r="O62" s="1255">
        <v>36</v>
      </c>
      <c r="P62" s="1255">
        <v>44</v>
      </c>
      <c r="Q62" s="1255">
        <v>59</v>
      </c>
    </row>
    <row r="63" spans="1:17" ht="15" customHeight="1" x14ac:dyDescent="0.25">
      <c r="A63" s="5544"/>
      <c r="B63" s="5474"/>
      <c r="C63" s="5539" t="s">
        <v>527</v>
      </c>
      <c r="D63" s="1247" t="s">
        <v>80</v>
      </c>
      <c r="E63" s="1260">
        <v>9</v>
      </c>
      <c r="F63" s="1261">
        <v>7</v>
      </c>
      <c r="G63" s="1261">
        <v>11</v>
      </c>
      <c r="H63" s="1261">
        <v>10</v>
      </c>
      <c r="I63" s="1261">
        <v>11</v>
      </c>
      <c r="J63" s="1261">
        <v>21</v>
      </c>
      <c r="K63" s="1261">
        <v>19</v>
      </c>
      <c r="L63" s="1261">
        <v>16</v>
      </c>
      <c r="M63" s="1246">
        <v>4</v>
      </c>
      <c r="N63" s="1246">
        <v>15</v>
      </c>
      <c r="O63" s="1246">
        <v>15</v>
      </c>
      <c r="P63" s="1246">
        <v>4</v>
      </c>
      <c r="Q63" s="1246">
        <v>15</v>
      </c>
    </row>
    <row r="64" spans="1:17" ht="15" customHeight="1" x14ac:dyDescent="0.25">
      <c r="A64" s="5544"/>
      <c r="B64" s="5474"/>
      <c r="C64" s="5540"/>
      <c r="D64" s="1247" t="s">
        <v>383</v>
      </c>
      <c r="E64" s="1260"/>
      <c r="F64" s="1261"/>
      <c r="G64" s="1261"/>
      <c r="H64" s="1261"/>
      <c r="I64" s="1261"/>
      <c r="J64" s="1261"/>
      <c r="K64" s="1261">
        <v>1</v>
      </c>
      <c r="L64" s="1261">
        <v>1</v>
      </c>
      <c r="M64" s="1261">
        <v>1</v>
      </c>
      <c r="N64" s="1261"/>
      <c r="O64" s="1261"/>
      <c r="P64" s="1261"/>
      <c r="Q64" s="1261"/>
    </row>
    <row r="65" spans="1:17" ht="15" customHeight="1" x14ac:dyDescent="0.25">
      <c r="A65" s="5544"/>
      <c r="B65" s="5474"/>
      <c r="C65" s="5540"/>
      <c r="D65" s="1247" t="s">
        <v>366</v>
      </c>
      <c r="E65" s="1260"/>
      <c r="F65" s="1261"/>
      <c r="G65" s="1261"/>
      <c r="H65" s="1261"/>
      <c r="I65" s="1261"/>
      <c r="J65" s="1261"/>
      <c r="K65" s="1261">
        <v>1</v>
      </c>
      <c r="L65" s="1261"/>
      <c r="M65" s="1261"/>
      <c r="N65" s="1261"/>
      <c r="O65" s="1261"/>
      <c r="P65" s="1261"/>
      <c r="Q65" s="1261"/>
    </row>
    <row r="66" spans="1:17" ht="15" customHeight="1" x14ac:dyDescent="0.25">
      <c r="A66" s="5544"/>
      <c r="B66" s="5474"/>
      <c r="C66" s="5540"/>
      <c r="D66" s="1247" t="s">
        <v>81</v>
      </c>
      <c r="E66" s="1260">
        <v>26</v>
      </c>
      <c r="F66" s="1261">
        <v>19</v>
      </c>
      <c r="G66" s="1261">
        <v>28</v>
      </c>
      <c r="H66" s="1261">
        <v>19</v>
      </c>
      <c r="I66" s="1261">
        <v>28</v>
      </c>
      <c r="J66" s="1261">
        <v>41</v>
      </c>
      <c r="K66" s="1261">
        <v>50</v>
      </c>
      <c r="L66" s="1261">
        <v>32</v>
      </c>
      <c r="M66" s="1261">
        <v>43</v>
      </c>
      <c r="N66" s="1261">
        <v>32</v>
      </c>
      <c r="O66" s="1261">
        <v>22</v>
      </c>
      <c r="P66" s="1261">
        <v>33</v>
      </c>
      <c r="Q66" s="1261">
        <v>46</v>
      </c>
    </row>
    <row r="67" spans="1:17" ht="15" customHeight="1" x14ac:dyDescent="0.25">
      <c r="A67" s="5544"/>
      <c r="B67" s="5474"/>
      <c r="C67" s="5540"/>
      <c r="D67" s="1247" t="s">
        <v>79</v>
      </c>
      <c r="E67" s="1260">
        <v>64</v>
      </c>
      <c r="F67" s="1261">
        <v>47</v>
      </c>
      <c r="G67" s="1261">
        <v>78</v>
      </c>
      <c r="H67" s="1261">
        <v>63</v>
      </c>
      <c r="I67" s="1261">
        <v>98</v>
      </c>
      <c r="J67" s="1261">
        <v>156</v>
      </c>
      <c r="K67" s="1261">
        <v>161</v>
      </c>
      <c r="L67" s="1261">
        <v>191</v>
      </c>
      <c r="M67" s="1261">
        <v>153</v>
      </c>
      <c r="N67" s="1261">
        <v>142</v>
      </c>
      <c r="O67" s="1261">
        <v>101</v>
      </c>
      <c r="P67" s="1261">
        <v>131</v>
      </c>
      <c r="Q67" s="1261">
        <v>82</v>
      </c>
    </row>
    <row r="68" spans="1:17" ht="15" customHeight="1" x14ac:dyDescent="0.25">
      <c r="A68" s="5544"/>
      <c r="B68" s="5474"/>
      <c r="C68" s="5540"/>
      <c r="D68" s="1247" t="s">
        <v>82</v>
      </c>
      <c r="E68" s="1260">
        <v>38</v>
      </c>
      <c r="F68" s="1261">
        <v>50</v>
      </c>
      <c r="G68" s="1261">
        <v>37</v>
      </c>
      <c r="H68" s="1261">
        <v>58</v>
      </c>
      <c r="I68" s="1261">
        <v>51</v>
      </c>
      <c r="J68" s="1261">
        <v>69</v>
      </c>
      <c r="K68" s="1261">
        <v>43</v>
      </c>
      <c r="L68" s="1261">
        <v>58</v>
      </c>
      <c r="M68" s="1261">
        <v>44</v>
      </c>
      <c r="N68" s="1261">
        <v>52</v>
      </c>
      <c r="O68" s="1261">
        <v>30</v>
      </c>
      <c r="P68" s="1261">
        <v>36</v>
      </c>
      <c r="Q68" s="1261">
        <v>25</v>
      </c>
    </row>
    <row r="69" spans="1:17" ht="15" customHeight="1" x14ac:dyDescent="0.25">
      <c r="A69" s="5544"/>
      <c r="B69" s="5474"/>
      <c r="C69" s="5541"/>
      <c r="D69" s="1244" t="s">
        <v>139</v>
      </c>
      <c r="E69" s="1260"/>
      <c r="F69" s="1261">
        <v>2</v>
      </c>
      <c r="G69" s="1261">
        <v>8</v>
      </c>
      <c r="H69" s="1261">
        <v>6</v>
      </c>
      <c r="I69" s="1261">
        <v>1</v>
      </c>
      <c r="J69" s="1261">
        <v>14</v>
      </c>
      <c r="K69" s="1261">
        <v>8</v>
      </c>
      <c r="L69" s="1261">
        <v>24</v>
      </c>
      <c r="M69" s="1261">
        <v>29</v>
      </c>
      <c r="N69" s="1261">
        <v>28</v>
      </c>
      <c r="O69" s="1261">
        <v>40</v>
      </c>
      <c r="P69" s="1261">
        <v>34</v>
      </c>
      <c r="Q69" s="1261">
        <v>23</v>
      </c>
    </row>
    <row r="70" spans="1:17" ht="15" customHeight="1" x14ac:dyDescent="0.25">
      <c r="A70" s="5544"/>
      <c r="B70" s="5474"/>
      <c r="C70" s="5539" t="s">
        <v>526</v>
      </c>
      <c r="D70" s="1247" t="s">
        <v>84</v>
      </c>
      <c r="E70" s="1260">
        <v>69</v>
      </c>
      <c r="F70" s="1261">
        <v>64</v>
      </c>
      <c r="G70" s="1261">
        <v>67</v>
      </c>
      <c r="H70" s="1261">
        <v>54</v>
      </c>
      <c r="I70" s="1261">
        <v>51</v>
      </c>
      <c r="J70" s="1261">
        <v>56</v>
      </c>
      <c r="K70" s="1261">
        <v>66</v>
      </c>
      <c r="L70" s="1261">
        <v>79</v>
      </c>
      <c r="M70" s="1261">
        <v>76</v>
      </c>
      <c r="N70" s="1261">
        <v>71</v>
      </c>
      <c r="O70" s="1261">
        <v>69</v>
      </c>
      <c r="P70" s="1261">
        <v>76</v>
      </c>
      <c r="Q70" s="1261">
        <v>63</v>
      </c>
    </row>
    <row r="71" spans="1:17" ht="15" customHeight="1" x14ac:dyDescent="0.25">
      <c r="A71" s="5544"/>
      <c r="B71" s="5474"/>
      <c r="C71" s="5540"/>
      <c r="D71" s="1247" t="s">
        <v>85</v>
      </c>
      <c r="E71" s="1260">
        <v>92</v>
      </c>
      <c r="F71" s="1261">
        <v>111</v>
      </c>
      <c r="G71" s="1261">
        <v>88</v>
      </c>
      <c r="H71" s="1261">
        <v>88</v>
      </c>
      <c r="I71" s="1261">
        <v>75</v>
      </c>
      <c r="J71" s="1261">
        <v>57</v>
      </c>
      <c r="K71" s="1261">
        <v>57</v>
      </c>
      <c r="L71" s="1261">
        <v>77</v>
      </c>
      <c r="M71" s="1261">
        <v>84</v>
      </c>
      <c r="N71" s="1261">
        <v>81</v>
      </c>
      <c r="O71" s="1261">
        <v>77</v>
      </c>
      <c r="P71" s="1261">
        <v>73</v>
      </c>
      <c r="Q71" s="1261">
        <v>53</v>
      </c>
    </row>
    <row r="72" spans="1:17" ht="15" customHeight="1" x14ac:dyDescent="0.25">
      <c r="A72" s="5544"/>
      <c r="B72" s="5474"/>
      <c r="C72" s="5540"/>
      <c r="D72" s="1247" t="s">
        <v>83</v>
      </c>
      <c r="E72" s="1260">
        <v>44</v>
      </c>
      <c r="F72" s="1261">
        <v>33</v>
      </c>
      <c r="G72" s="1261">
        <v>20</v>
      </c>
      <c r="H72" s="1261">
        <v>25</v>
      </c>
      <c r="I72" s="1261">
        <v>38</v>
      </c>
      <c r="J72" s="1261">
        <v>70</v>
      </c>
      <c r="K72" s="1261">
        <v>94</v>
      </c>
      <c r="L72" s="1261">
        <v>121</v>
      </c>
      <c r="M72" s="1261">
        <v>137</v>
      </c>
      <c r="N72" s="1261">
        <v>142</v>
      </c>
      <c r="O72" s="1261">
        <v>139</v>
      </c>
      <c r="P72" s="1261">
        <v>140</v>
      </c>
      <c r="Q72" s="1261">
        <v>135</v>
      </c>
    </row>
    <row r="73" spans="1:17" ht="15" customHeight="1" x14ac:dyDescent="0.25">
      <c r="A73" s="5544"/>
      <c r="B73" s="5474"/>
      <c r="C73" s="5540"/>
      <c r="D73" s="1247" t="s">
        <v>86</v>
      </c>
      <c r="E73" s="1260">
        <v>53</v>
      </c>
      <c r="F73" s="1261">
        <v>57</v>
      </c>
      <c r="G73" s="1261">
        <v>47</v>
      </c>
      <c r="H73" s="1261">
        <v>49</v>
      </c>
      <c r="I73" s="1261">
        <v>43</v>
      </c>
      <c r="J73" s="1261">
        <v>55</v>
      </c>
      <c r="K73" s="1261">
        <v>52</v>
      </c>
      <c r="L73" s="1261">
        <v>64</v>
      </c>
      <c r="M73" s="1261">
        <v>53</v>
      </c>
      <c r="N73" s="1261">
        <v>67</v>
      </c>
      <c r="O73" s="1261">
        <v>52</v>
      </c>
      <c r="P73" s="1261">
        <v>71</v>
      </c>
      <c r="Q73" s="1261">
        <v>60</v>
      </c>
    </row>
    <row r="74" spans="1:17" ht="15" customHeight="1" x14ac:dyDescent="0.25">
      <c r="A74" s="5544"/>
      <c r="B74" s="5474"/>
      <c r="C74" s="5540"/>
      <c r="D74" s="1248" t="s">
        <v>143</v>
      </c>
      <c r="E74" s="1262">
        <v>4</v>
      </c>
      <c r="F74" s="1263">
        <v>14</v>
      </c>
      <c r="G74" s="1263">
        <v>26</v>
      </c>
      <c r="H74" s="1263">
        <v>8</v>
      </c>
      <c r="I74" s="1263">
        <v>5</v>
      </c>
      <c r="J74" s="1263">
        <v>9</v>
      </c>
      <c r="K74" s="1263">
        <v>15</v>
      </c>
      <c r="L74" s="1263">
        <v>34</v>
      </c>
      <c r="M74" s="1263">
        <v>48</v>
      </c>
      <c r="N74" s="1263">
        <v>56</v>
      </c>
      <c r="O74" s="1263">
        <v>68</v>
      </c>
      <c r="P74" s="1263">
        <v>72</v>
      </c>
      <c r="Q74" s="1263">
        <v>79</v>
      </c>
    </row>
    <row r="75" spans="1:17" ht="15" customHeight="1" x14ac:dyDescent="0.2">
      <c r="A75" s="5544"/>
      <c r="B75" s="5474"/>
      <c r="C75" s="1272"/>
      <c r="D75" s="1278" t="s">
        <v>160</v>
      </c>
      <c r="E75" s="1276">
        <f>SUM(E62:E74)</f>
        <v>446</v>
      </c>
      <c r="F75" s="1276">
        <f t="shared" ref="F75:N75" si="5">SUM(F62:F74)</f>
        <v>518</v>
      </c>
      <c r="G75" s="1276">
        <f t="shared" si="5"/>
        <v>484</v>
      </c>
      <c r="H75" s="1276">
        <f t="shared" si="5"/>
        <v>466</v>
      </c>
      <c r="I75" s="1276">
        <f t="shared" si="5"/>
        <v>510</v>
      </c>
      <c r="J75" s="1276">
        <f t="shared" si="5"/>
        <v>649</v>
      </c>
      <c r="K75" s="1276">
        <f t="shared" si="5"/>
        <v>685</v>
      </c>
      <c r="L75" s="1276">
        <f t="shared" si="5"/>
        <v>866</v>
      </c>
      <c r="M75" s="1276">
        <f t="shared" si="5"/>
        <v>825</v>
      </c>
      <c r="N75" s="1276">
        <f t="shared" si="5"/>
        <v>769</v>
      </c>
      <c r="O75" s="1276">
        <f>SUM(O62:O74)</f>
        <v>649</v>
      </c>
      <c r="P75" s="1276">
        <f>SUM(P62:P74)</f>
        <v>714</v>
      </c>
      <c r="Q75" s="1276">
        <f>SUM(Q62:Q74)</f>
        <v>640</v>
      </c>
    </row>
    <row r="76" spans="1:17" ht="15" customHeight="1" x14ac:dyDescent="0.25">
      <c r="A76" s="5544"/>
      <c r="B76" s="5473" t="s">
        <v>11</v>
      </c>
      <c r="C76" s="5539" t="s">
        <v>528</v>
      </c>
      <c r="D76" s="1253" t="s">
        <v>56</v>
      </c>
      <c r="E76" s="1265">
        <v>12</v>
      </c>
      <c r="F76" s="1266">
        <v>12</v>
      </c>
      <c r="G76" s="1266">
        <v>17</v>
      </c>
      <c r="H76" s="1266">
        <v>35</v>
      </c>
      <c r="I76" s="1266">
        <v>36</v>
      </c>
      <c r="J76" s="1266">
        <v>33</v>
      </c>
      <c r="K76" s="1266">
        <v>33</v>
      </c>
      <c r="L76" s="1266">
        <v>40</v>
      </c>
      <c r="M76" s="1266">
        <v>43</v>
      </c>
      <c r="N76" s="1266">
        <v>42</v>
      </c>
      <c r="O76" s="1266">
        <v>35</v>
      </c>
      <c r="P76" s="1266">
        <v>28</v>
      </c>
      <c r="Q76" s="1266">
        <v>34</v>
      </c>
    </row>
    <row r="77" spans="1:17" ht="15" customHeight="1" x14ac:dyDescent="0.25">
      <c r="A77" s="5544"/>
      <c r="B77" s="5474"/>
      <c r="C77" s="5540"/>
      <c r="D77" s="1244" t="s">
        <v>57</v>
      </c>
      <c r="E77" s="1260">
        <v>41</v>
      </c>
      <c r="F77" s="1261">
        <v>38</v>
      </c>
      <c r="G77" s="1261">
        <v>34</v>
      </c>
      <c r="H77" s="1261">
        <v>19</v>
      </c>
      <c r="I77" s="1261">
        <v>31</v>
      </c>
      <c r="J77" s="1261">
        <v>28</v>
      </c>
      <c r="K77" s="1261">
        <v>30</v>
      </c>
      <c r="L77" s="1261">
        <v>23</v>
      </c>
      <c r="M77" s="1261">
        <v>23</v>
      </c>
      <c r="N77" s="1261">
        <v>23</v>
      </c>
      <c r="O77" s="1261">
        <v>28</v>
      </c>
      <c r="P77" s="1261">
        <v>27</v>
      </c>
      <c r="Q77" s="1261">
        <v>17</v>
      </c>
    </row>
    <row r="78" spans="1:17" ht="15" customHeight="1" x14ac:dyDescent="0.25">
      <c r="A78" s="5544"/>
      <c r="B78" s="5474"/>
      <c r="C78" s="5539" t="s">
        <v>527</v>
      </c>
      <c r="D78" s="1247" t="s">
        <v>557</v>
      </c>
      <c r="E78" s="1260">
        <v>63</v>
      </c>
      <c r="F78" s="1261">
        <v>51</v>
      </c>
      <c r="G78" s="1261">
        <v>44</v>
      </c>
      <c r="H78" s="1261">
        <v>51</v>
      </c>
      <c r="I78" s="1261">
        <v>68</v>
      </c>
      <c r="J78" s="1261">
        <v>60</v>
      </c>
      <c r="K78" s="1261">
        <v>77</v>
      </c>
      <c r="L78" s="1261">
        <v>59</v>
      </c>
      <c r="M78" s="1261">
        <v>53</v>
      </c>
      <c r="N78" s="1261">
        <v>56</v>
      </c>
      <c r="O78" s="1261">
        <v>62</v>
      </c>
      <c r="P78" s="1261">
        <v>69</v>
      </c>
      <c r="Q78" s="1261">
        <v>65</v>
      </c>
    </row>
    <row r="79" spans="1:17" ht="15" customHeight="1" x14ac:dyDescent="0.25">
      <c r="A79" s="5544"/>
      <c r="B79" s="5474"/>
      <c r="C79" s="5540"/>
      <c r="D79" s="1244" t="s">
        <v>386</v>
      </c>
      <c r="E79" s="1260">
        <v>5</v>
      </c>
      <c r="F79" s="1261">
        <v>1</v>
      </c>
      <c r="G79" s="1261"/>
      <c r="H79" s="1261"/>
      <c r="I79" s="1261"/>
      <c r="J79" s="1261"/>
      <c r="K79" s="1261">
        <v>1</v>
      </c>
      <c r="L79" s="1261">
        <v>1</v>
      </c>
      <c r="M79" s="1261"/>
      <c r="N79" s="1261">
        <v>16</v>
      </c>
      <c r="O79" s="1261">
        <v>26</v>
      </c>
      <c r="P79" s="1261">
        <v>41</v>
      </c>
      <c r="Q79" s="1261">
        <v>41</v>
      </c>
    </row>
    <row r="80" spans="1:17" ht="15" customHeight="1" x14ac:dyDescent="0.25">
      <c r="A80" s="5544"/>
      <c r="B80" s="5474"/>
      <c r="C80" s="5540"/>
      <c r="D80" s="1247" t="s">
        <v>558</v>
      </c>
      <c r="E80" s="1260">
        <v>24</v>
      </c>
      <c r="F80" s="1261">
        <v>24</v>
      </c>
      <c r="G80" s="1261">
        <v>26</v>
      </c>
      <c r="H80" s="1261">
        <v>24</v>
      </c>
      <c r="I80" s="1261">
        <v>35</v>
      </c>
      <c r="J80" s="1261">
        <v>44</v>
      </c>
      <c r="K80" s="1261">
        <v>60</v>
      </c>
      <c r="L80" s="1261">
        <v>63</v>
      </c>
      <c r="M80" s="1261">
        <v>71</v>
      </c>
      <c r="N80" s="1261">
        <v>71</v>
      </c>
      <c r="O80" s="1261">
        <v>62</v>
      </c>
      <c r="P80" s="1261">
        <v>55</v>
      </c>
      <c r="Q80" s="1261">
        <v>48</v>
      </c>
    </row>
    <row r="81" spans="1:17" ht="15" customHeight="1" x14ac:dyDescent="0.25">
      <c r="A81" s="5544"/>
      <c r="B81" s="5474"/>
      <c r="C81" s="5541"/>
      <c r="D81" s="1244" t="s">
        <v>87</v>
      </c>
      <c r="E81" s="1260">
        <v>41</v>
      </c>
      <c r="F81" s="1261">
        <v>42</v>
      </c>
      <c r="G81" s="1261">
        <v>32</v>
      </c>
      <c r="H81" s="1261">
        <v>28</v>
      </c>
      <c r="I81" s="1261">
        <v>34</v>
      </c>
      <c r="J81" s="1261">
        <v>54</v>
      </c>
      <c r="K81" s="1261">
        <v>57</v>
      </c>
      <c r="L81" s="1261">
        <v>58</v>
      </c>
      <c r="M81" s="1261">
        <v>74</v>
      </c>
      <c r="N81" s="1261">
        <v>66</v>
      </c>
      <c r="O81" s="1261">
        <v>83</v>
      </c>
      <c r="P81" s="1261">
        <v>84</v>
      </c>
      <c r="Q81" s="1261">
        <v>87</v>
      </c>
    </row>
    <row r="82" spans="1:17" ht="15" customHeight="1" x14ac:dyDescent="0.25">
      <c r="A82" s="5544"/>
      <c r="B82" s="5474"/>
      <c r="C82" s="5539" t="s">
        <v>526</v>
      </c>
      <c r="D82" s="1247" t="s">
        <v>557</v>
      </c>
      <c r="E82" s="1260">
        <v>57</v>
      </c>
      <c r="F82" s="1261">
        <v>66</v>
      </c>
      <c r="G82" s="1261">
        <v>71</v>
      </c>
      <c r="H82" s="1261">
        <v>77</v>
      </c>
      <c r="I82" s="1261">
        <v>73</v>
      </c>
      <c r="J82" s="1261">
        <v>79</v>
      </c>
      <c r="K82" s="1261">
        <v>83</v>
      </c>
      <c r="L82" s="1261">
        <v>105</v>
      </c>
      <c r="M82" s="1261">
        <v>111</v>
      </c>
      <c r="N82" s="1261">
        <v>115</v>
      </c>
      <c r="O82" s="1261">
        <v>115</v>
      </c>
      <c r="P82" s="1261">
        <v>115</v>
      </c>
      <c r="Q82" s="1261">
        <v>116</v>
      </c>
    </row>
    <row r="83" spans="1:17" ht="15" customHeight="1" x14ac:dyDescent="0.25">
      <c r="A83" s="5544"/>
      <c r="B83" s="5474"/>
      <c r="C83" s="5540"/>
      <c r="D83" s="1247" t="s">
        <v>558</v>
      </c>
      <c r="E83" s="1260">
        <v>21</v>
      </c>
      <c r="F83" s="1261">
        <v>26</v>
      </c>
      <c r="G83" s="1261">
        <v>35</v>
      </c>
      <c r="H83" s="1261">
        <v>33</v>
      </c>
      <c r="I83" s="1261">
        <v>37</v>
      </c>
      <c r="J83" s="1261">
        <v>40</v>
      </c>
      <c r="K83" s="1261">
        <v>36</v>
      </c>
      <c r="L83" s="1261">
        <v>47</v>
      </c>
      <c r="M83" s="1261">
        <v>55</v>
      </c>
      <c r="N83" s="1261">
        <v>67</v>
      </c>
      <c r="O83" s="1261">
        <v>70</v>
      </c>
      <c r="P83" s="1261">
        <v>74</v>
      </c>
      <c r="Q83" s="1261">
        <v>74</v>
      </c>
    </row>
    <row r="84" spans="1:17" ht="15" customHeight="1" x14ac:dyDescent="0.25">
      <c r="A84" s="5544"/>
      <c r="B84" s="5474"/>
      <c r="C84" s="5540"/>
      <c r="D84" s="1248" t="s">
        <v>389</v>
      </c>
      <c r="E84" s="1262">
        <v>89</v>
      </c>
      <c r="F84" s="1263">
        <v>82</v>
      </c>
      <c r="G84" s="1263">
        <v>69</v>
      </c>
      <c r="H84" s="1263">
        <v>57</v>
      </c>
      <c r="I84" s="1263">
        <v>58</v>
      </c>
      <c r="J84" s="1263">
        <v>46</v>
      </c>
      <c r="K84" s="1263">
        <v>60</v>
      </c>
      <c r="L84" s="1263">
        <v>65</v>
      </c>
      <c r="M84" s="1263">
        <v>69</v>
      </c>
      <c r="N84" s="1263">
        <v>81</v>
      </c>
      <c r="O84" s="1263">
        <v>87</v>
      </c>
      <c r="P84" s="1263">
        <v>102</v>
      </c>
      <c r="Q84" s="1263">
        <v>112</v>
      </c>
    </row>
    <row r="85" spans="1:17" ht="15" customHeight="1" x14ac:dyDescent="0.2">
      <c r="A85" s="5544"/>
      <c r="B85" s="5475"/>
      <c r="C85" s="1134"/>
      <c r="D85" s="1278" t="s">
        <v>160</v>
      </c>
      <c r="E85" s="1276">
        <f>SUM(E76:E84)</f>
        <v>353</v>
      </c>
      <c r="F85" s="1276">
        <f t="shared" ref="F85:N85" si="6">SUM(F76:F84)</f>
        <v>342</v>
      </c>
      <c r="G85" s="1276">
        <f t="shared" si="6"/>
        <v>328</v>
      </c>
      <c r="H85" s="1276">
        <f t="shared" si="6"/>
        <v>324</v>
      </c>
      <c r="I85" s="1276">
        <f t="shared" si="6"/>
        <v>372</v>
      </c>
      <c r="J85" s="1276">
        <f t="shared" si="6"/>
        <v>384</v>
      </c>
      <c r="K85" s="1276">
        <f t="shared" si="6"/>
        <v>437</v>
      </c>
      <c r="L85" s="1276">
        <f t="shared" si="6"/>
        <v>461</v>
      </c>
      <c r="M85" s="1276">
        <f t="shared" si="6"/>
        <v>499</v>
      </c>
      <c r="N85" s="1276">
        <f t="shared" si="6"/>
        <v>537</v>
      </c>
      <c r="O85" s="1276">
        <f>SUM(O76:O84)</f>
        <v>568</v>
      </c>
      <c r="P85" s="1276">
        <f>SUM(P76:P84)</f>
        <v>595</v>
      </c>
      <c r="Q85" s="1276">
        <f>SUM(Q76:Q84)</f>
        <v>594</v>
      </c>
    </row>
    <row r="86" spans="1:17" ht="15" customHeight="1" x14ac:dyDescent="0.2">
      <c r="A86" s="5545"/>
      <c r="B86" s="2642"/>
      <c r="C86" s="2643"/>
      <c r="D86" s="2678" t="s">
        <v>530</v>
      </c>
      <c r="E86" s="2672">
        <f>SUM(E85,E75,E61)</f>
        <v>1142</v>
      </c>
      <c r="F86" s="2672">
        <f t="shared" ref="F86:N86" si="7">SUM(F85,F75,F61)</f>
        <v>1209</v>
      </c>
      <c r="G86" s="2672">
        <f t="shared" si="7"/>
        <v>1213</v>
      </c>
      <c r="H86" s="2672">
        <f t="shared" si="7"/>
        <v>1210</v>
      </c>
      <c r="I86" s="2672">
        <f t="shared" si="7"/>
        <v>1314</v>
      </c>
      <c r="J86" s="2672">
        <f t="shared" si="7"/>
        <v>1459</v>
      </c>
      <c r="K86" s="2672">
        <f t="shared" si="7"/>
        <v>1563</v>
      </c>
      <c r="L86" s="2672">
        <f t="shared" si="7"/>
        <v>1781</v>
      </c>
      <c r="M86" s="2672">
        <f t="shared" si="7"/>
        <v>1821</v>
      </c>
      <c r="N86" s="2672">
        <f t="shared" si="7"/>
        <v>1826</v>
      </c>
      <c r="O86" s="2672">
        <f>SUM(O85,O75,O61)</f>
        <v>1773</v>
      </c>
      <c r="P86" s="2672">
        <f>SUM(P85,P75,P61)</f>
        <v>1875</v>
      </c>
      <c r="Q86" s="2672">
        <f>SUM(Q85,Q75,Q61)</f>
        <v>1802</v>
      </c>
    </row>
    <row r="87" spans="1:17" ht="15" customHeight="1" x14ac:dyDescent="0.25">
      <c r="A87" s="5616" t="s">
        <v>448</v>
      </c>
      <c r="B87" s="5478" t="s">
        <v>6</v>
      </c>
      <c r="C87" s="5539" t="s">
        <v>528</v>
      </c>
      <c r="D87" s="1264" t="s">
        <v>58</v>
      </c>
      <c r="E87" s="1242">
        <v>7</v>
      </c>
      <c r="F87" s="1243">
        <v>5</v>
      </c>
      <c r="G87" s="1243">
        <v>3</v>
      </c>
      <c r="H87" s="1243">
        <v>5</v>
      </c>
      <c r="I87" s="1243">
        <v>20</v>
      </c>
      <c r="J87" s="1243">
        <v>25</v>
      </c>
      <c r="K87" s="1243">
        <v>20</v>
      </c>
      <c r="L87" s="1243">
        <v>19</v>
      </c>
      <c r="M87" s="1243">
        <v>1</v>
      </c>
      <c r="N87" s="1243"/>
      <c r="O87" s="1243"/>
      <c r="P87" s="1243"/>
      <c r="Q87" s="1243"/>
    </row>
    <row r="88" spans="1:17" ht="15" customHeight="1" x14ac:dyDescent="0.25">
      <c r="A88" s="5617"/>
      <c r="B88" s="5479"/>
      <c r="C88" s="5540"/>
      <c r="D88" s="1259" t="s">
        <v>423</v>
      </c>
      <c r="E88" s="1265"/>
      <c r="F88" s="1266"/>
      <c r="G88" s="1266"/>
      <c r="H88" s="1266"/>
      <c r="I88" s="1266"/>
      <c r="J88" s="1266"/>
      <c r="K88" s="1266"/>
      <c r="L88" s="1266"/>
      <c r="M88" s="1266"/>
      <c r="N88" s="1266">
        <v>17</v>
      </c>
      <c r="O88" s="1266"/>
      <c r="P88" s="1266"/>
      <c r="Q88" s="1266"/>
    </row>
    <row r="89" spans="1:17" ht="15" customHeight="1" x14ac:dyDescent="0.25">
      <c r="A89" s="5617"/>
      <c r="B89" s="5479"/>
      <c r="C89" s="5541"/>
      <c r="D89" s="1247" t="s">
        <v>390</v>
      </c>
      <c r="E89" s="1260">
        <v>17</v>
      </c>
      <c r="F89" s="1261">
        <v>1</v>
      </c>
      <c r="G89" s="1261">
        <v>1</v>
      </c>
      <c r="H89" s="1261"/>
      <c r="I89" s="1261">
        <v>1</v>
      </c>
      <c r="J89" s="1261"/>
      <c r="K89" s="1261">
        <v>2</v>
      </c>
      <c r="L89" s="1261"/>
      <c r="M89" s="1261">
        <v>35</v>
      </c>
      <c r="N89" s="1261">
        <v>39</v>
      </c>
      <c r="O89" s="1261">
        <v>34</v>
      </c>
      <c r="P89" s="1261">
        <v>2</v>
      </c>
      <c r="Q89" s="1261"/>
    </row>
    <row r="90" spans="1:17" ht="15" customHeight="1" x14ac:dyDescent="0.25">
      <c r="A90" s="5617"/>
      <c r="B90" s="5479"/>
      <c r="C90" s="5539" t="s">
        <v>527</v>
      </c>
      <c r="D90" s="1247" t="s">
        <v>89</v>
      </c>
      <c r="E90" s="1260">
        <v>14</v>
      </c>
      <c r="F90" s="1261">
        <v>34</v>
      </c>
      <c r="G90" s="1261">
        <v>20</v>
      </c>
      <c r="H90" s="1261">
        <v>32</v>
      </c>
      <c r="I90" s="1261">
        <v>12</v>
      </c>
      <c r="J90" s="1261">
        <v>21</v>
      </c>
      <c r="K90" s="1261">
        <v>9</v>
      </c>
      <c r="L90" s="1261">
        <v>18</v>
      </c>
      <c r="M90" s="1261">
        <v>20</v>
      </c>
      <c r="N90" s="1261">
        <v>23</v>
      </c>
      <c r="O90" s="1261">
        <v>23</v>
      </c>
      <c r="P90" s="1261">
        <v>45</v>
      </c>
      <c r="Q90" s="1261">
        <v>22</v>
      </c>
    </row>
    <row r="91" spans="1:17" ht="15" customHeight="1" x14ac:dyDescent="0.25">
      <c r="A91" s="5617"/>
      <c r="B91" s="5479"/>
      <c r="C91" s="5540"/>
      <c r="D91" s="1247" t="s">
        <v>391</v>
      </c>
      <c r="E91" s="1260">
        <v>46</v>
      </c>
      <c r="F91" s="1261">
        <v>29</v>
      </c>
      <c r="G91" s="1261">
        <v>55</v>
      </c>
      <c r="H91" s="1261">
        <v>32</v>
      </c>
      <c r="I91" s="1261">
        <v>71</v>
      </c>
      <c r="J91" s="1261">
        <v>37</v>
      </c>
      <c r="K91" s="1261">
        <v>74</v>
      </c>
      <c r="L91" s="1261">
        <v>41</v>
      </c>
      <c r="M91" s="1261">
        <v>39</v>
      </c>
      <c r="N91" s="1261">
        <v>1</v>
      </c>
      <c r="O91" s="1261">
        <v>40</v>
      </c>
      <c r="P91" s="1261">
        <v>33</v>
      </c>
      <c r="Q91" s="1261">
        <v>66</v>
      </c>
    </row>
    <row r="92" spans="1:17" ht="15" customHeight="1" x14ac:dyDescent="0.25">
      <c r="A92" s="5617"/>
      <c r="B92" s="5479"/>
      <c r="C92" s="5540"/>
      <c r="D92" s="1244" t="s">
        <v>392</v>
      </c>
      <c r="E92" s="1260">
        <v>18</v>
      </c>
      <c r="F92" s="1261">
        <v>36</v>
      </c>
      <c r="G92" s="1261">
        <v>27</v>
      </c>
      <c r="H92" s="1261">
        <v>39</v>
      </c>
      <c r="I92" s="1261">
        <v>26</v>
      </c>
      <c r="J92" s="1261">
        <v>54</v>
      </c>
      <c r="K92" s="1261">
        <v>40</v>
      </c>
      <c r="L92" s="1261">
        <v>60</v>
      </c>
      <c r="M92" s="1261">
        <v>37</v>
      </c>
      <c r="N92" s="1261">
        <v>72</v>
      </c>
      <c r="O92" s="1261">
        <v>47</v>
      </c>
      <c r="P92" s="1261">
        <v>66</v>
      </c>
      <c r="Q92" s="1261">
        <v>34</v>
      </c>
    </row>
    <row r="93" spans="1:17" ht="15" customHeight="1" x14ac:dyDescent="0.25">
      <c r="A93" s="5617"/>
      <c r="B93" s="5479"/>
      <c r="C93" s="5540"/>
      <c r="D93" s="1244" t="s">
        <v>393</v>
      </c>
      <c r="E93" s="1260">
        <v>23</v>
      </c>
      <c r="F93" s="1261">
        <v>41</v>
      </c>
      <c r="G93" s="1261">
        <v>18</v>
      </c>
      <c r="H93" s="1261">
        <v>29</v>
      </c>
      <c r="I93" s="1261">
        <v>13</v>
      </c>
      <c r="J93" s="1261">
        <v>35</v>
      </c>
      <c r="K93" s="1261">
        <v>27</v>
      </c>
      <c r="L93" s="1261">
        <v>54</v>
      </c>
      <c r="M93" s="1261">
        <v>27</v>
      </c>
      <c r="N93" s="1261">
        <v>52</v>
      </c>
      <c r="O93" s="1261">
        <v>24</v>
      </c>
      <c r="P93" s="1261">
        <v>37</v>
      </c>
      <c r="Q93" s="1261">
        <v>15</v>
      </c>
    </row>
    <row r="94" spans="1:17" ht="15" customHeight="1" x14ac:dyDescent="0.25">
      <c r="A94" s="5617"/>
      <c r="B94" s="5479"/>
      <c r="C94" s="5540"/>
      <c r="D94" s="1244" t="s">
        <v>19</v>
      </c>
      <c r="E94" s="1260">
        <v>28</v>
      </c>
      <c r="F94" s="1261">
        <v>46</v>
      </c>
      <c r="G94" s="1261">
        <v>22</v>
      </c>
      <c r="H94" s="1261">
        <v>40</v>
      </c>
      <c r="I94" s="1261">
        <v>26</v>
      </c>
      <c r="J94" s="1261">
        <v>48</v>
      </c>
      <c r="K94" s="1261">
        <v>32</v>
      </c>
      <c r="L94" s="1261">
        <v>46</v>
      </c>
      <c r="M94" s="1261">
        <v>23</v>
      </c>
      <c r="N94" s="1261">
        <v>39</v>
      </c>
      <c r="O94" s="1261">
        <v>28</v>
      </c>
      <c r="P94" s="1261">
        <v>41</v>
      </c>
      <c r="Q94" s="1261">
        <v>21</v>
      </c>
    </row>
    <row r="95" spans="1:17" ht="15" customHeight="1" x14ac:dyDescent="0.25">
      <c r="A95" s="5617"/>
      <c r="B95" s="5479"/>
      <c r="C95" s="5540"/>
      <c r="D95" s="1244" t="s">
        <v>88</v>
      </c>
      <c r="E95" s="1260">
        <v>23</v>
      </c>
      <c r="F95" s="1261">
        <v>42</v>
      </c>
      <c r="G95" s="1261">
        <v>17</v>
      </c>
      <c r="H95" s="1261">
        <v>37</v>
      </c>
      <c r="I95" s="1261">
        <v>23</v>
      </c>
      <c r="J95" s="1261">
        <v>41</v>
      </c>
      <c r="K95" s="1261">
        <v>23</v>
      </c>
      <c r="L95" s="1261">
        <v>42</v>
      </c>
      <c r="M95" s="1261">
        <v>20</v>
      </c>
      <c r="N95" s="1261">
        <v>35</v>
      </c>
      <c r="O95" s="1261">
        <v>15</v>
      </c>
      <c r="P95" s="1261">
        <v>29</v>
      </c>
      <c r="Q95" s="1261">
        <v>19</v>
      </c>
    </row>
    <row r="96" spans="1:17" ht="15" customHeight="1" x14ac:dyDescent="0.25">
      <c r="A96" s="5617"/>
      <c r="B96" s="5479"/>
      <c r="C96" s="5540"/>
      <c r="D96" s="1244" t="s">
        <v>394</v>
      </c>
      <c r="E96" s="1260">
        <v>34</v>
      </c>
      <c r="F96" s="1261">
        <v>44</v>
      </c>
      <c r="G96" s="1261">
        <v>31</v>
      </c>
      <c r="H96" s="1261">
        <v>46</v>
      </c>
      <c r="I96" s="1261">
        <v>29</v>
      </c>
      <c r="J96" s="1261">
        <v>32</v>
      </c>
      <c r="K96" s="1261">
        <v>24</v>
      </c>
      <c r="L96" s="1261">
        <v>35</v>
      </c>
      <c r="M96" s="1261">
        <v>16</v>
      </c>
      <c r="N96" s="1261">
        <v>27</v>
      </c>
      <c r="O96" s="1261">
        <v>20</v>
      </c>
      <c r="P96" s="1261">
        <v>31</v>
      </c>
      <c r="Q96" s="1261">
        <v>25</v>
      </c>
    </row>
    <row r="97" spans="1:17" ht="15" customHeight="1" x14ac:dyDescent="0.25">
      <c r="A97" s="5617"/>
      <c r="B97" s="5479"/>
      <c r="C97" s="5540"/>
      <c r="D97" s="1247" t="s">
        <v>139</v>
      </c>
      <c r="E97" s="1260">
        <v>2</v>
      </c>
      <c r="F97" s="1261">
        <v>3</v>
      </c>
      <c r="G97" s="1261">
        <v>2</v>
      </c>
      <c r="H97" s="1261">
        <v>12</v>
      </c>
      <c r="I97" s="1261"/>
      <c r="J97" s="1261">
        <v>3</v>
      </c>
      <c r="K97" s="1261">
        <v>15</v>
      </c>
      <c r="L97" s="1261">
        <v>1</v>
      </c>
      <c r="M97" s="1261"/>
      <c r="N97" s="1261"/>
      <c r="O97" s="1261"/>
      <c r="P97" s="1261"/>
      <c r="Q97" s="1261"/>
    </row>
    <row r="98" spans="1:17" ht="15" customHeight="1" x14ac:dyDescent="0.25">
      <c r="A98" s="5617"/>
      <c r="B98" s="5479"/>
      <c r="C98" s="5541"/>
      <c r="D98" s="1248" t="s">
        <v>424</v>
      </c>
      <c r="E98" s="1251"/>
      <c r="F98" s="1252"/>
      <c r="G98" s="1252"/>
      <c r="H98" s="1252"/>
      <c r="I98" s="1252"/>
      <c r="J98" s="1252"/>
      <c r="K98" s="1252"/>
      <c r="L98" s="1252"/>
      <c r="M98" s="1252"/>
      <c r="N98" s="1252">
        <v>19</v>
      </c>
      <c r="O98" s="1252">
        <v>16</v>
      </c>
      <c r="P98" s="1252">
        <v>22</v>
      </c>
      <c r="Q98" s="1252">
        <v>20</v>
      </c>
    </row>
    <row r="99" spans="1:17" ht="15" customHeight="1" x14ac:dyDescent="0.25">
      <c r="A99" s="5617"/>
      <c r="B99" s="5479"/>
      <c r="C99" s="5539" t="s">
        <v>526</v>
      </c>
      <c r="D99" s="1247" t="s">
        <v>90</v>
      </c>
      <c r="E99" s="1260">
        <v>29</v>
      </c>
      <c r="F99" s="1261">
        <v>28</v>
      </c>
      <c r="G99" s="1261">
        <v>31</v>
      </c>
      <c r="H99" s="1261">
        <v>28</v>
      </c>
      <c r="I99" s="1261">
        <v>41</v>
      </c>
      <c r="J99" s="1261">
        <v>26</v>
      </c>
      <c r="K99" s="1261">
        <v>30</v>
      </c>
      <c r="L99" s="1261">
        <v>32</v>
      </c>
      <c r="M99" s="1261">
        <v>53</v>
      </c>
      <c r="N99" s="1261">
        <v>31</v>
      </c>
      <c r="O99" s="1261">
        <v>52</v>
      </c>
      <c r="P99" s="1261">
        <v>40</v>
      </c>
      <c r="Q99" s="1261">
        <v>63</v>
      </c>
    </row>
    <row r="100" spans="1:17" ht="15" customHeight="1" x14ac:dyDescent="0.25">
      <c r="A100" s="5617"/>
      <c r="B100" s="5479"/>
      <c r="C100" s="5540"/>
      <c r="D100" s="1247" t="s">
        <v>143</v>
      </c>
      <c r="E100" s="1260">
        <v>23</v>
      </c>
      <c r="F100" s="1261">
        <v>13</v>
      </c>
      <c r="G100" s="1261">
        <v>8</v>
      </c>
      <c r="H100" s="1261">
        <v>17</v>
      </c>
      <c r="I100" s="1261">
        <v>1</v>
      </c>
      <c r="J100" s="1261">
        <v>4</v>
      </c>
      <c r="K100" s="1261">
        <v>11</v>
      </c>
      <c r="L100" s="1261">
        <v>4</v>
      </c>
      <c r="M100" s="1261">
        <v>4</v>
      </c>
      <c r="N100" s="1261">
        <v>5</v>
      </c>
      <c r="O100" s="1261">
        <v>3</v>
      </c>
      <c r="P100" s="1261">
        <v>2</v>
      </c>
      <c r="Q100" s="1261"/>
    </row>
    <row r="101" spans="1:17" ht="15" customHeight="1" x14ac:dyDescent="0.25">
      <c r="A101" s="5617"/>
      <c r="B101" s="5479"/>
      <c r="C101" s="5540"/>
      <c r="D101" s="1248" t="s">
        <v>20</v>
      </c>
      <c r="E101" s="1262">
        <v>90</v>
      </c>
      <c r="F101" s="1263">
        <v>59</v>
      </c>
      <c r="G101" s="1263">
        <v>97</v>
      </c>
      <c r="H101" s="1263">
        <v>73</v>
      </c>
      <c r="I101" s="1263">
        <v>145</v>
      </c>
      <c r="J101" s="1263">
        <v>126</v>
      </c>
      <c r="K101" s="1263">
        <v>161</v>
      </c>
      <c r="L101" s="1263">
        <v>135</v>
      </c>
      <c r="M101" s="1263">
        <v>154</v>
      </c>
      <c r="N101" s="1263">
        <v>107</v>
      </c>
      <c r="O101" s="1263">
        <v>123</v>
      </c>
      <c r="P101" s="1263">
        <v>106</v>
      </c>
      <c r="Q101" s="1263">
        <v>120</v>
      </c>
    </row>
    <row r="102" spans="1:17" ht="15" customHeight="1" x14ac:dyDescent="0.2">
      <c r="A102" s="5617"/>
      <c r="B102" s="5480"/>
      <c r="C102" s="1134"/>
      <c r="D102" s="1278" t="s">
        <v>160</v>
      </c>
      <c r="E102" s="1276">
        <f>SUM(E87:E101)</f>
        <v>354</v>
      </c>
      <c r="F102" s="1276">
        <f t="shared" ref="F102:N102" si="8">SUM(F87:F101)</f>
        <v>381</v>
      </c>
      <c r="G102" s="1276">
        <f t="shared" si="8"/>
        <v>332</v>
      </c>
      <c r="H102" s="1276">
        <f t="shared" si="8"/>
        <v>390</v>
      </c>
      <c r="I102" s="1276">
        <f t="shared" si="8"/>
        <v>408</v>
      </c>
      <c r="J102" s="1276">
        <f t="shared" si="8"/>
        <v>452</v>
      </c>
      <c r="K102" s="1276">
        <f t="shared" si="8"/>
        <v>468</v>
      </c>
      <c r="L102" s="1276">
        <f t="shared" si="8"/>
        <v>487</v>
      </c>
      <c r="M102" s="1276">
        <f t="shared" si="8"/>
        <v>429</v>
      </c>
      <c r="N102" s="1276">
        <f t="shared" si="8"/>
        <v>467</v>
      </c>
      <c r="O102" s="1276">
        <f>SUM(O87:O101)</f>
        <v>425</v>
      </c>
      <c r="P102" s="1276">
        <f>SUM(P87:P101)</f>
        <v>454</v>
      </c>
      <c r="Q102" s="1276">
        <f>SUM(Q87:Q101)</f>
        <v>405</v>
      </c>
    </row>
    <row r="103" spans="1:17" ht="15" customHeight="1" x14ac:dyDescent="0.25">
      <c r="A103" s="5617"/>
      <c r="B103" s="5479" t="s">
        <v>11</v>
      </c>
      <c r="C103" s="5539" t="s">
        <v>528</v>
      </c>
      <c r="D103" s="1253" t="s">
        <v>395</v>
      </c>
      <c r="E103" s="1242">
        <v>8</v>
      </c>
      <c r="F103" s="1243">
        <v>11</v>
      </c>
      <c r="G103" s="1243"/>
      <c r="H103" s="1243">
        <v>13</v>
      </c>
      <c r="I103" s="1243">
        <v>8</v>
      </c>
      <c r="J103" s="1243">
        <v>12</v>
      </c>
      <c r="K103" s="1243">
        <v>11</v>
      </c>
      <c r="L103" s="1243"/>
      <c r="M103" s="1243">
        <v>16</v>
      </c>
      <c r="N103" s="1243">
        <v>1</v>
      </c>
      <c r="O103" s="1243">
        <v>12</v>
      </c>
      <c r="P103" s="1243"/>
      <c r="Q103" s="1243"/>
    </row>
    <row r="104" spans="1:17" ht="15" customHeight="1" x14ac:dyDescent="0.25">
      <c r="A104" s="5617"/>
      <c r="B104" s="5479"/>
      <c r="C104" s="5540"/>
      <c r="D104" s="1244" t="s">
        <v>397</v>
      </c>
      <c r="E104" s="1260">
        <v>4</v>
      </c>
      <c r="F104" s="1261"/>
      <c r="G104" s="1261"/>
      <c r="H104" s="1261"/>
      <c r="I104" s="1261"/>
      <c r="J104" s="1261"/>
      <c r="K104" s="1261"/>
      <c r="L104" s="1261"/>
      <c r="M104" s="1261"/>
      <c r="N104" s="1261"/>
      <c r="O104" s="1261"/>
      <c r="P104" s="1261"/>
      <c r="Q104" s="1261"/>
    </row>
    <row r="105" spans="1:17" ht="15" customHeight="1" x14ac:dyDescent="0.25">
      <c r="A105" s="5617"/>
      <c r="B105" s="5479"/>
      <c r="C105" s="5541"/>
      <c r="D105" s="1244" t="s">
        <v>91</v>
      </c>
      <c r="E105" s="1260"/>
      <c r="F105" s="1261"/>
      <c r="G105" s="1261"/>
      <c r="H105" s="1261"/>
      <c r="I105" s="1261"/>
      <c r="J105" s="1261"/>
      <c r="K105" s="1261"/>
      <c r="L105" s="1261"/>
      <c r="M105" s="1261">
        <v>20</v>
      </c>
      <c r="N105" s="1261">
        <v>16</v>
      </c>
      <c r="O105" s="1261">
        <v>1</v>
      </c>
      <c r="P105" s="1261"/>
      <c r="Q105" s="1261"/>
    </row>
    <row r="106" spans="1:17" ht="15" customHeight="1" x14ac:dyDescent="0.25">
      <c r="A106" s="5617"/>
      <c r="B106" s="5479"/>
      <c r="C106" s="5539" t="s">
        <v>527</v>
      </c>
      <c r="D106" s="1244" t="s">
        <v>396</v>
      </c>
      <c r="E106" s="1260"/>
      <c r="F106" s="1261"/>
      <c r="G106" s="1261"/>
      <c r="H106" s="1261"/>
      <c r="I106" s="1261"/>
      <c r="J106" s="1261"/>
      <c r="K106" s="1261"/>
      <c r="L106" s="1261">
        <v>6</v>
      </c>
      <c r="M106" s="1261">
        <v>1</v>
      </c>
      <c r="N106" s="1261">
        <v>9</v>
      </c>
      <c r="O106" s="1261">
        <v>7</v>
      </c>
      <c r="P106" s="1261">
        <v>8</v>
      </c>
      <c r="Q106" s="1261">
        <v>12</v>
      </c>
    </row>
    <row r="107" spans="1:17" ht="15" customHeight="1" x14ac:dyDescent="0.25">
      <c r="A107" s="5617"/>
      <c r="B107" s="5479"/>
      <c r="C107" s="5540"/>
      <c r="D107" s="1244" t="s">
        <v>94</v>
      </c>
      <c r="E107" s="1260">
        <v>32</v>
      </c>
      <c r="F107" s="1261">
        <v>14</v>
      </c>
      <c r="G107" s="1261">
        <v>26</v>
      </c>
      <c r="H107" s="1261">
        <v>12</v>
      </c>
      <c r="I107" s="1261">
        <v>27</v>
      </c>
      <c r="J107" s="1261">
        <v>16</v>
      </c>
      <c r="K107" s="1261">
        <v>31</v>
      </c>
      <c r="L107" s="1261">
        <v>16</v>
      </c>
      <c r="M107" s="1261">
        <v>14</v>
      </c>
      <c r="N107" s="1261">
        <v>6</v>
      </c>
      <c r="O107" s="1261">
        <v>31</v>
      </c>
      <c r="P107" s="1261">
        <v>11</v>
      </c>
      <c r="Q107" s="1261">
        <v>25</v>
      </c>
    </row>
    <row r="108" spans="1:17" ht="15" customHeight="1" x14ac:dyDescent="0.25">
      <c r="A108" s="5617"/>
      <c r="B108" s="5479"/>
      <c r="C108" s="5540"/>
      <c r="D108" s="1244" t="s">
        <v>93</v>
      </c>
      <c r="E108" s="1260">
        <v>24</v>
      </c>
      <c r="F108" s="1261">
        <v>19</v>
      </c>
      <c r="G108" s="1261">
        <v>27</v>
      </c>
      <c r="H108" s="1261">
        <v>38</v>
      </c>
      <c r="I108" s="1261">
        <v>34</v>
      </c>
      <c r="J108" s="1261">
        <v>36</v>
      </c>
      <c r="K108" s="1261">
        <v>43</v>
      </c>
      <c r="L108" s="1261">
        <v>46</v>
      </c>
      <c r="M108" s="1261">
        <v>43</v>
      </c>
      <c r="N108" s="1261">
        <v>42</v>
      </c>
      <c r="O108" s="1261">
        <v>50</v>
      </c>
      <c r="P108" s="1261">
        <v>45</v>
      </c>
      <c r="Q108" s="1261">
        <v>45</v>
      </c>
    </row>
    <row r="109" spans="1:17" ht="15" customHeight="1" x14ac:dyDescent="0.25">
      <c r="A109" s="5617"/>
      <c r="B109" s="5479"/>
      <c r="C109" s="5540"/>
      <c r="D109" s="1244" t="s">
        <v>398</v>
      </c>
      <c r="E109" s="1260">
        <v>17</v>
      </c>
      <c r="F109" s="1261">
        <v>6</v>
      </c>
      <c r="G109" s="1261">
        <v>12</v>
      </c>
      <c r="H109" s="1261">
        <v>21</v>
      </c>
      <c r="I109" s="1261">
        <v>15</v>
      </c>
      <c r="J109" s="1261">
        <v>19</v>
      </c>
      <c r="K109" s="1261">
        <v>9</v>
      </c>
      <c r="L109" s="1261">
        <v>16</v>
      </c>
      <c r="M109" s="1261">
        <v>24</v>
      </c>
      <c r="N109" s="1261">
        <v>18</v>
      </c>
      <c r="O109" s="1261">
        <v>26</v>
      </c>
      <c r="P109" s="1261">
        <v>10</v>
      </c>
      <c r="Q109" s="1261">
        <v>19</v>
      </c>
    </row>
    <row r="110" spans="1:17" ht="15" customHeight="1" x14ac:dyDescent="0.25">
      <c r="A110" s="5617"/>
      <c r="B110" s="5479"/>
      <c r="C110" s="5540"/>
      <c r="D110" s="1244" t="s">
        <v>443</v>
      </c>
      <c r="E110" s="1260">
        <v>17</v>
      </c>
      <c r="F110" s="1261">
        <v>10</v>
      </c>
      <c r="G110" s="1261">
        <v>15</v>
      </c>
      <c r="H110" s="1261">
        <v>5</v>
      </c>
      <c r="I110" s="1261">
        <v>15</v>
      </c>
      <c r="J110" s="1261">
        <v>9</v>
      </c>
      <c r="K110" s="1261">
        <v>8</v>
      </c>
      <c r="L110" s="1261">
        <v>6</v>
      </c>
      <c r="M110" s="1261">
        <v>6</v>
      </c>
      <c r="N110" s="1261">
        <v>11</v>
      </c>
      <c r="O110" s="1261">
        <v>6</v>
      </c>
      <c r="P110" s="1261">
        <v>4</v>
      </c>
      <c r="Q110" s="1261">
        <v>7</v>
      </c>
    </row>
    <row r="111" spans="1:17" ht="15" customHeight="1" x14ac:dyDescent="0.25">
      <c r="A111" s="5617"/>
      <c r="B111" s="5479"/>
      <c r="C111" s="5540"/>
      <c r="D111" s="1244" t="s">
        <v>95</v>
      </c>
      <c r="E111" s="1260">
        <v>28</v>
      </c>
      <c r="F111" s="1261">
        <v>23</v>
      </c>
      <c r="G111" s="1261">
        <v>34</v>
      </c>
      <c r="H111" s="1261">
        <v>30</v>
      </c>
      <c r="I111" s="1261">
        <v>32</v>
      </c>
      <c r="J111" s="1261">
        <v>40</v>
      </c>
      <c r="K111" s="1261">
        <v>54</v>
      </c>
      <c r="L111" s="1261">
        <v>50</v>
      </c>
      <c r="M111" s="1261">
        <v>41</v>
      </c>
      <c r="N111" s="1261">
        <v>37</v>
      </c>
      <c r="O111" s="1261">
        <v>43</v>
      </c>
      <c r="P111" s="1261">
        <v>48</v>
      </c>
      <c r="Q111" s="1261">
        <v>50</v>
      </c>
    </row>
    <row r="112" spans="1:17" ht="15" customHeight="1" x14ac:dyDescent="0.25">
      <c r="A112" s="5617"/>
      <c r="B112" s="5479"/>
      <c r="C112" s="5540"/>
      <c r="D112" s="1244" t="s">
        <v>92</v>
      </c>
      <c r="E112" s="1260">
        <v>26</v>
      </c>
      <c r="F112" s="1261">
        <v>22</v>
      </c>
      <c r="G112" s="1261">
        <v>40</v>
      </c>
      <c r="H112" s="1261">
        <v>49</v>
      </c>
      <c r="I112" s="1261">
        <v>57</v>
      </c>
      <c r="J112" s="1261">
        <v>50</v>
      </c>
      <c r="K112" s="1261">
        <v>50</v>
      </c>
      <c r="L112" s="1261">
        <v>60</v>
      </c>
      <c r="M112" s="1261">
        <v>64</v>
      </c>
      <c r="N112" s="1261">
        <v>70</v>
      </c>
      <c r="O112" s="1261">
        <v>79</v>
      </c>
      <c r="P112" s="1261">
        <v>76</v>
      </c>
      <c r="Q112" s="1261">
        <v>80</v>
      </c>
    </row>
    <row r="113" spans="1:17" ht="15" customHeight="1" x14ac:dyDescent="0.25">
      <c r="A113" s="5617"/>
      <c r="B113" s="5479"/>
      <c r="C113" s="5541"/>
      <c r="D113" s="1244" t="s">
        <v>781</v>
      </c>
      <c r="E113" s="1260"/>
      <c r="F113" s="1261"/>
      <c r="G113" s="1261"/>
      <c r="H113" s="1261"/>
      <c r="I113" s="1261"/>
      <c r="J113" s="1261"/>
      <c r="K113" s="1261"/>
      <c r="L113" s="1261"/>
      <c r="M113" s="1261"/>
      <c r="N113" s="1261"/>
      <c r="O113" s="1261"/>
      <c r="P113" s="1261">
        <v>10</v>
      </c>
      <c r="Q113" s="1261">
        <v>20</v>
      </c>
    </row>
    <row r="114" spans="1:17" ht="15" customHeight="1" x14ac:dyDescent="0.25">
      <c r="A114" s="5617"/>
      <c r="B114" s="5479"/>
      <c r="C114" s="5539" t="s">
        <v>526</v>
      </c>
      <c r="D114" s="1247" t="s">
        <v>361</v>
      </c>
      <c r="E114" s="1212">
        <v>66</v>
      </c>
      <c r="F114" s="1267">
        <v>51</v>
      </c>
      <c r="G114" s="1267">
        <v>47</v>
      </c>
      <c r="H114" s="1267">
        <v>47</v>
      </c>
      <c r="I114" s="1267">
        <v>55</v>
      </c>
      <c r="J114" s="1267">
        <v>55</v>
      </c>
      <c r="K114" s="1267">
        <v>61</v>
      </c>
      <c r="L114" s="1267">
        <v>69</v>
      </c>
      <c r="M114" s="1267">
        <v>76</v>
      </c>
      <c r="N114" s="1267">
        <v>73</v>
      </c>
      <c r="O114" s="1267">
        <v>71</v>
      </c>
      <c r="P114" s="1267">
        <v>70</v>
      </c>
      <c r="Q114" s="1267">
        <v>80</v>
      </c>
    </row>
    <row r="115" spans="1:17" ht="15" customHeight="1" x14ac:dyDescent="0.25">
      <c r="A115" s="5617"/>
      <c r="B115" s="5479"/>
      <c r="C115" s="5540"/>
      <c r="D115" s="1244" t="s">
        <v>96</v>
      </c>
      <c r="E115" s="1260">
        <v>11</v>
      </c>
      <c r="F115" s="1261">
        <v>14</v>
      </c>
      <c r="G115" s="1261">
        <v>25</v>
      </c>
      <c r="H115" s="1261">
        <v>34</v>
      </c>
      <c r="I115" s="1261">
        <v>43</v>
      </c>
      <c r="J115" s="1261">
        <v>34</v>
      </c>
      <c r="K115" s="1261">
        <v>43</v>
      </c>
      <c r="L115" s="1261">
        <v>41</v>
      </c>
      <c r="M115" s="1261">
        <v>28</v>
      </c>
      <c r="N115" s="1261">
        <v>41</v>
      </c>
      <c r="O115" s="1261">
        <v>38</v>
      </c>
      <c r="P115" s="1261">
        <v>41</v>
      </c>
      <c r="Q115" s="1261">
        <v>27</v>
      </c>
    </row>
    <row r="116" spans="1:17" ht="15" customHeight="1" x14ac:dyDescent="0.25">
      <c r="A116" s="5617"/>
      <c r="B116" s="5479"/>
      <c r="C116" s="5540"/>
      <c r="D116" s="1244" t="s">
        <v>594</v>
      </c>
      <c r="E116" s="1260"/>
      <c r="F116" s="1261"/>
      <c r="G116" s="1261"/>
      <c r="H116" s="1261"/>
      <c r="I116" s="1261"/>
      <c r="J116" s="1261"/>
      <c r="K116" s="1261"/>
      <c r="L116" s="1261"/>
      <c r="M116" s="1261"/>
      <c r="N116" s="1261"/>
      <c r="O116" s="1261">
        <v>9</v>
      </c>
      <c r="P116" s="1261">
        <v>16</v>
      </c>
      <c r="Q116" s="1261">
        <v>21</v>
      </c>
    </row>
    <row r="117" spans="1:17" ht="15" customHeight="1" x14ac:dyDescent="0.2">
      <c r="A117" s="5617"/>
      <c r="B117" s="5480"/>
      <c r="C117" s="1272"/>
      <c r="D117" s="1278" t="s">
        <v>160</v>
      </c>
      <c r="E117" s="1276">
        <f>SUM(E103:E115)</f>
        <v>233</v>
      </c>
      <c r="F117" s="1276">
        <f t="shared" ref="F117:N117" si="9">SUM(F103:F115)</f>
        <v>170</v>
      </c>
      <c r="G117" s="1276">
        <f t="shared" si="9"/>
        <v>226</v>
      </c>
      <c r="H117" s="1276">
        <f t="shared" si="9"/>
        <v>249</v>
      </c>
      <c r="I117" s="1276">
        <f t="shared" si="9"/>
        <v>286</v>
      </c>
      <c r="J117" s="1276">
        <f t="shared" si="9"/>
        <v>271</v>
      </c>
      <c r="K117" s="1276">
        <f t="shared" si="9"/>
        <v>310</v>
      </c>
      <c r="L117" s="1276">
        <f t="shared" si="9"/>
        <v>310</v>
      </c>
      <c r="M117" s="1276">
        <f t="shared" si="9"/>
        <v>333</v>
      </c>
      <c r="N117" s="1276">
        <f t="shared" si="9"/>
        <v>324</v>
      </c>
      <c r="O117" s="1276">
        <f>SUM(O103:O116)</f>
        <v>373</v>
      </c>
      <c r="P117" s="1276">
        <f>SUM(P103:P116)</f>
        <v>339</v>
      </c>
      <c r="Q117" s="1276">
        <f>SUM(Q103:Q116)</f>
        <v>386</v>
      </c>
    </row>
    <row r="118" spans="1:17" ht="15" customHeight="1" x14ac:dyDescent="0.25">
      <c r="A118" s="5617"/>
      <c r="B118" s="5478" t="s">
        <v>7</v>
      </c>
      <c r="C118" s="5539" t="s">
        <v>527</v>
      </c>
      <c r="D118" s="1264" t="s">
        <v>1</v>
      </c>
      <c r="E118" s="1265">
        <v>40</v>
      </c>
      <c r="F118" s="1266">
        <v>67</v>
      </c>
      <c r="G118" s="1266">
        <v>68</v>
      </c>
      <c r="H118" s="1266">
        <v>70</v>
      </c>
      <c r="I118" s="1266">
        <v>66</v>
      </c>
      <c r="J118" s="1266">
        <v>62</v>
      </c>
      <c r="K118" s="1266">
        <v>63</v>
      </c>
      <c r="L118" s="1266">
        <v>60</v>
      </c>
      <c r="M118" s="1266">
        <v>58</v>
      </c>
      <c r="N118" s="1266">
        <v>53</v>
      </c>
      <c r="O118" s="1266">
        <v>62</v>
      </c>
      <c r="P118" s="1266">
        <v>68</v>
      </c>
      <c r="Q118" s="1266">
        <v>72</v>
      </c>
    </row>
    <row r="119" spans="1:17" ht="15" customHeight="1" x14ac:dyDescent="0.25">
      <c r="A119" s="5617"/>
      <c r="B119" s="5479"/>
      <c r="C119" s="5540"/>
      <c r="D119" s="1244" t="s">
        <v>399</v>
      </c>
      <c r="E119" s="1260"/>
      <c r="F119" s="1261"/>
      <c r="G119" s="1261"/>
      <c r="H119" s="1261"/>
      <c r="I119" s="1261"/>
      <c r="J119" s="1261"/>
      <c r="K119" s="1261">
        <v>17</v>
      </c>
      <c r="L119" s="1261">
        <v>17</v>
      </c>
      <c r="M119" s="1261">
        <v>32</v>
      </c>
      <c r="N119" s="1261">
        <v>16</v>
      </c>
      <c r="O119" s="1261">
        <v>35</v>
      </c>
      <c r="P119" s="1261">
        <v>21</v>
      </c>
      <c r="Q119" s="1261">
        <v>42</v>
      </c>
    </row>
    <row r="120" spans="1:17" ht="15" customHeight="1" x14ac:dyDescent="0.25">
      <c r="A120" s="5617"/>
      <c r="B120" s="5479"/>
      <c r="C120" s="5541"/>
      <c r="D120" s="1248" t="s">
        <v>400</v>
      </c>
      <c r="E120" s="1262"/>
      <c r="F120" s="1263"/>
      <c r="G120" s="1263"/>
      <c r="H120" s="1263"/>
      <c r="I120" s="1263"/>
      <c r="J120" s="1263"/>
      <c r="K120" s="1263">
        <v>33</v>
      </c>
      <c r="L120" s="1263">
        <v>33</v>
      </c>
      <c r="M120" s="1263">
        <v>57</v>
      </c>
      <c r="N120" s="1263">
        <v>31</v>
      </c>
      <c r="O120" s="1263">
        <v>48</v>
      </c>
      <c r="P120" s="1263">
        <v>25</v>
      </c>
      <c r="Q120" s="1263">
        <v>45</v>
      </c>
    </row>
    <row r="121" spans="1:17" ht="15" customHeight="1" x14ac:dyDescent="0.25">
      <c r="A121" s="5617"/>
      <c r="B121" s="5479"/>
      <c r="C121" s="1204" t="s">
        <v>526</v>
      </c>
      <c r="D121" s="1244" t="s">
        <v>2</v>
      </c>
      <c r="E121" s="1260">
        <v>11</v>
      </c>
      <c r="F121" s="1261">
        <v>24</v>
      </c>
      <c r="G121" s="1261">
        <v>19</v>
      </c>
      <c r="H121" s="1261">
        <v>30</v>
      </c>
      <c r="I121" s="1261">
        <v>33</v>
      </c>
      <c r="J121" s="1261">
        <v>38</v>
      </c>
      <c r="K121" s="1261">
        <v>42</v>
      </c>
      <c r="L121" s="1261">
        <v>39</v>
      </c>
      <c r="M121" s="1261">
        <v>43</v>
      </c>
      <c r="N121" s="1261">
        <v>45</v>
      </c>
      <c r="O121" s="1261">
        <v>47</v>
      </c>
      <c r="P121" s="1261">
        <v>49</v>
      </c>
      <c r="Q121" s="1261">
        <v>40</v>
      </c>
    </row>
    <row r="122" spans="1:17" ht="15" customHeight="1" x14ac:dyDescent="0.2">
      <c r="A122" s="5617"/>
      <c r="B122" s="5480"/>
      <c r="C122" s="1134"/>
      <c r="D122" s="1278" t="s">
        <v>160</v>
      </c>
      <c r="E122" s="1276">
        <f>SUM(E118:E121)</f>
        <v>51</v>
      </c>
      <c r="F122" s="1276">
        <f t="shared" ref="F122:N122" si="10">SUM(F118:F121)</f>
        <v>91</v>
      </c>
      <c r="G122" s="1276">
        <f t="shared" si="10"/>
        <v>87</v>
      </c>
      <c r="H122" s="1276">
        <f t="shared" si="10"/>
        <v>100</v>
      </c>
      <c r="I122" s="1276">
        <f t="shared" si="10"/>
        <v>99</v>
      </c>
      <c r="J122" s="1276">
        <f t="shared" si="10"/>
        <v>100</v>
      </c>
      <c r="K122" s="1276">
        <f t="shared" si="10"/>
        <v>155</v>
      </c>
      <c r="L122" s="1276">
        <f t="shared" si="10"/>
        <v>149</v>
      </c>
      <c r="M122" s="1276">
        <f t="shared" si="10"/>
        <v>190</v>
      </c>
      <c r="N122" s="1276">
        <f t="shared" si="10"/>
        <v>145</v>
      </c>
      <c r="O122" s="1276">
        <f>SUM(O118:O121)</f>
        <v>192</v>
      </c>
      <c r="P122" s="1276">
        <f>SUM(P118:P121)</f>
        <v>163</v>
      </c>
      <c r="Q122" s="1276">
        <f>SUM(Q118:Q121)</f>
        <v>199</v>
      </c>
    </row>
    <row r="123" spans="1:17" ht="15" customHeight="1" x14ac:dyDescent="0.2">
      <c r="A123" s="5618"/>
      <c r="B123" s="2639"/>
      <c r="C123" s="2640"/>
      <c r="D123" s="2677" t="s">
        <v>531</v>
      </c>
      <c r="E123" s="2673">
        <f>SUM(E122,E117,E102)</f>
        <v>638</v>
      </c>
      <c r="F123" s="2673">
        <f t="shared" ref="F123:N123" si="11">SUM(F122,F117,F102)</f>
        <v>642</v>
      </c>
      <c r="G123" s="2673">
        <f t="shared" si="11"/>
        <v>645</v>
      </c>
      <c r="H123" s="2673">
        <f t="shared" si="11"/>
        <v>739</v>
      </c>
      <c r="I123" s="2673">
        <f t="shared" si="11"/>
        <v>793</v>
      </c>
      <c r="J123" s="2673">
        <f t="shared" si="11"/>
        <v>823</v>
      </c>
      <c r="K123" s="2673">
        <f t="shared" si="11"/>
        <v>933</v>
      </c>
      <c r="L123" s="2673">
        <f t="shared" si="11"/>
        <v>946</v>
      </c>
      <c r="M123" s="2673">
        <f t="shared" si="11"/>
        <v>952</v>
      </c>
      <c r="N123" s="2673">
        <f t="shared" si="11"/>
        <v>936</v>
      </c>
      <c r="O123" s="2673">
        <f>SUM(O122,O117,O102)</f>
        <v>990</v>
      </c>
      <c r="P123" s="2673">
        <f>SUM(P122,P117,P102)</f>
        <v>956</v>
      </c>
      <c r="Q123" s="2673">
        <f>SUM(Q122,Q117,Q102)</f>
        <v>990</v>
      </c>
    </row>
    <row r="124" spans="1:17" ht="15" customHeight="1" x14ac:dyDescent="0.25">
      <c r="A124" s="5536" t="s">
        <v>436</v>
      </c>
      <c r="B124" s="5483" t="s">
        <v>6</v>
      </c>
      <c r="C124" s="1206" t="s">
        <v>527</v>
      </c>
      <c r="D124" s="1268" t="s">
        <v>401</v>
      </c>
      <c r="E124" s="1269"/>
      <c r="F124" s="1270"/>
      <c r="G124" s="1270"/>
      <c r="H124" s="1270"/>
      <c r="I124" s="1270"/>
      <c r="J124" s="1270"/>
      <c r="K124" s="1270"/>
      <c r="L124" s="1270"/>
      <c r="M124" s="1270">
        <v>20</v>
      </c>
      <c r="N124" s="1270">
        <v>31</v>
      </c>
      <c r="O124" s="1270">
        <v>38</v>
      </c>
      <c r="P124" s="1270">
        <v>36</v>
      </c>
      <c r="Q124" s="1270">
        <v>36</v>
      </c>
    </row>
    <row r="125" spans="1:17" ht="15" customHeight="1" x14ac:dyDescent="0.25">
      <c r="A125" s="5537"/>
      <c r="B125" s="5484"/>
      <c r="C125" s="1098" t="s">
        <v>526</v>
      </c>
      <c r="D125" s="1248" t="s">
        <v>402</v>
      </c>
      <c r="E125" s="1262"/>
      <c r="F125" s="1263"/>
      <c r="G125" s="1263"/>
      <c r="H125" s="1263"/>
      <c r="I125" s="1263"/>
      <c r="J125" s="1263"/>
      <c r="K125" s="1263"/>
      <c r="L125" s="1263"/>
      <c r="M125" s="1263">
        <v>12</v>
      </c>
      <c r="N125" s="1263">
        <v>22</v>
      </c>
      <c r="O125" s="1263">
        <v>36</v>
      </c>
      <c r="P125" s="1263">
        <v>42</v>
      </c>
      <c r="Q125" s="1263">
        <v>56</v>
      </c>
    </row>
    <row r="126" spans="1:17" ht="15" customHeight="1" x14ac:dyDescent="0.2">
      <c r="A126" s="5537"/>
      <c r="B126" s="5485"/>
      <c r="C126" s="1279"/>
      <c r="D126" s="1278"/>
      <c r="E126" s="1276"/>
      <c r="F126" s="1276"/>
      <c r="G126" s="1276"/>
      <c r="H126" s="1276"/>
      <c r="I126" s="1276"/>
      <c r="J126" s="1276"/>
      <c r="K126" s="1276"/>
      <c r="L126" s="1276"/>
      <c r="M126" s="1276">
        <f>SUM(M124:M125)</f>
        <v>32</v>
      </c>
      <c r="N126" s="1276">
        <f>SUM(N124:N125)</f>
        <v>53</v>
      </c>
      <c r="O126" s="1276">
        <f>SUM(O124:O125)</f>
        <v>74</v>
      </c>
      <c r="P126" s="1276">
        <f>SUM(P124:P125)</f>
        <v>78</v>
      </c>
      <c r="Q126" s="1276">
        <f>SUM(Q124:Q125)</f>
        <v>92</v>
      </c>
    </row>
    <row r="127" spans="1:17" ht="15" customHeight="1" x14ac:dyDescent="0.25">
      <c r="A127" s="5537"/>
      <c r="B127" s="5483" t="s">
        <v>9</v>
      </c>
      <c r="C127" s="1097" t="s">
        <v>527</v>
      </c>
      <c r="D127" s="1248" t="s">
        <v>415</v>
      </c>
      <c r="E127" s="1262"/>
      <c r="F127" s="1263"/>
      <c r="G127" s="1263"/>
      <c r="H127" s="1263"/>
      <c r="I127" s="1263"/>
      <c r="J127" s="1263"/>
      <c r="K127" s="1263"/>
      <c r="L127" s="1263"/>
      <c r="M127" s="1263"/>
      <c r="N127" s="1263">
        <v>12</v>
      </c>
      <c r="O127" s="1263">
        <v>24</v>
      </c>
      <c r="P127" s="1263">
        <v>42</v>
      </c>
      <c r="Q127" s="1263">
        <v>50</v>
      </c>
    </row>
    <row r="128" spans="1:17" ht="15" customHeight="1" x14ac:dyDescent="0.2">
      <c r="A128" s="5537"/>
      <c r="B128" s="5485"/>
      <c r="C128" s="1279"/>
      <c r="D128" s="1278"/>
      <c r="E128" s="1276"/>
      <c r="F128" s="1276"/>
      <c r="G128" s="1276"/>
      <c r="H128" s="1276"/>
      <c r="I128" s="1276"/>
      <c r="J128" s="1276"/>
      <c r="K128" s="1276"/>
      <c r="L128" s="1276"/>
      <c r="M128" s="1276"/>
      <c r="N128" s="1276">
        <f>SUM(N127)</f>
        <v>12</v>
      </c>
      <c r="O128" s="1276">
        <f>SUM(O127)</f>
        <v>24</v>
      </c>
      <c r="P128" s="1276">
        <f>SUM(P127)</f>
        <v>42</v>
      </c>
      <c r="Q128" s="1276">
        <f>SUM(Q127)</f>
        <v>50</v>
      </c>
    </row>
    <row r="129" spans="1:17" ht="15" customHeight="1" x14ac:dyDescent="0.25">
      <c r="A129" s="5537"/>
      <c r="B129" s="5483" t="s">
        <v>74</v>
      </c>
      <c r="C129" s="1097" t="s">
        <v>528</v>
      </c>
      <c r="D129" s="1268" t="s">
        <v>425</v>
      </c>
      <c r="E129" s="1269"/>
      <c r="F129" s="1270"/>
      <c r="G129" s="1270"/>
      <c r="H129" s="1270"/>
      <c r="I129" s="1270"/>
      <c r="J129" s="1270"/>
      <c r="K129" s="1270"/>
      <c r="L129" s="1270"/>
      <c r="M129" s="1270"/>
      <c r="N129" s="1270">
        <v>3</v>
      </c>
      <c r="O129" s="1270">
        <v>5</v>
      </c>
      <c r="P129" s="1270">
        <v>4</v>
      </c>
      <c r="Q129" s="1270">
        <v>7</v>
      </c>
    </row>
    <row r="130" spans="1:17" ht="15" customHeight="1" x14ac:dyDescent="0.25">
      <c r="A130" s="5537"/>
      <c r="B130" s="5484"/>
      <c r="C130" s="1206" t="s">
        <v>527</v>
      </c>
      <c r="D130" s="1244" t="s">
        <v>426</v>
      </c>
      <c r="E130" s="1260"/>
      <c r="F130" s="1261"/>
      <c r="G130" s="1261"/>
      <c r="H130" s="1261"/>
      <c r="I130" s="1261"/>
      <c r="J130" s="1261"/>
      <c r="K130" s="1261"/>
      <c r="L130" s="1261"/>
      <c r="M130" s="1261"/>
      <c r="N130" s="1261">
        <v>9</v>
      </c>
      <c r="O130" s="1261">
        <v>22</v>
      </c>
      <c r="P130" s="1261">
        <v>34</v>
      </c>
      <c r="Q130" s="1261">
        <v>37</v>
      </c>
    </row>
    <row r="131" spans="1:17" ht="15" customHeight="1" x14ac:dyDescent="0.25">
      <c r="A131" s="5537"/>
      <c r="B131" s="5484"/>
      <c r="C131" s="1098" t="s">
        <v>526</v>
      </c>
      <c r="D131" s="1248" t="s">
        <v>427</v>
      </c>
      <c r="E131" s="1262"/>
      <c r="F131" s="1263"/>
      <c r="G131" s="1263"/>
      <c r="H131" s="1263"/>
      <c r="I131" s="1263"/>
      <c r="J131" s="1263"/>
      <c r="K131" s="1263"/>
      <c r="L131" s="1263"/>
      <c r="M131" s="1263"/>
      <c r="N131" s="1263">
        <v>7</v>
      </c>
      <c r="O131" s="1263">
        <v>13</v>
      </c>
      <c r="P131" s="1263">
        <v>21</v>
      </c>
      <c r="Q131" s="1263">
        <v>33</v>
      </c>
    </row>
    <row r="132" spans="1:17" ht="15" customHeight="1" x14ac:dyDescent="0.2">
      <c r="A132" s="5537"/>
      <c r="B132" s="5485"/>
      <c r="C132" s="1279"/>
      <c r="D132" s="1278"/>
      <c r="E132" s="1276"/>
      <c r="F132" s="1276"/>
      <c r="G132" s="1276"/>
      <c r="H132" s="1276"/>
      <c r="I132" s="1276"/>
      <c r="J132" s="1276"/>
      <c r="K132" s="1276"/>
      <c r="L132" s="1276"/>
      <c r="M132" s="1276"/>
      <c r="N132" s="1276">
        <f>SUM(N129:N131)</f>
        <v>19</v>
      </c>
      <c r="O132" s="1276">
        <f>SUM(O129:O131)</f>
        <v>40</v>
      </c>
      <c r="P132" s="1276">
        <f>SUM(P129:P131)</f>
        <v>59</v>
      </c>
      <c r="Q132" s="1276">
        <f>SUM(Q129:Q131)</f>
        <v>77</v>
      </c>
    </row>
    <row r="133" spans="1:17" ht="15" x14ac:dyDescent="0.2">
      <c r="A133" s="5538"/>
      <c r="B133" s="2674"/>
      <c r="C133" s="2675"/>
      <c r="D133" s="2676" t="s">
        <v>532</v>
      </c>
      <c r="E133" s="2599"/>
      <c r="F133" s="2599"/>
      <c r="G133" s="2599"/>
      <c r="H133" s="2599"/>
      <c r="I133" s="2599"/>
      <c r="J133" s="2599"/>
      <c r="K133" s="2599"/>
      <c r="L133" s="2599"/>
      <c r="M133" s="2599">
        <f>SUM(M126,M128,M132)</f>
        <v>32</v>
      </c>
      <c r="N133" s="2599">
        <f>SUM(N126,N128,N132)</f>
        <v>84</v>
      </c>
      <c r="O133" s="2599">
        <f>SUM(O126,O128,O132)</f>
        <v>138</v>
      </c>
      <c r="P133" s="2599">
        <f>SUM(P126,P128,P132)</f>
        <v>179</v>
      </c>
      <c r="Q133" s="2599">
        <f>SUM(Q126,Q128,Q132)</f>
        <v>219</v>
      </c>
    </row>
    <row r="135" spans="1:17" ht="15" customHeight="1" x14ac:dyDescent="0.2">
      <c r="A135" s="5025" t="s">
        <v>76</v>
      </c>
      <c r="B135" s="5026"/>
      <c r="C135" s="5026"/>
      <c r="D135" s="5027"/>
      <c r="E135" s="1271">
        <f t="shared" ref="E135:O135" si="12">SUM(E45,E86,E123,E133)</f>
        <v>2154</v>
      </c>
      <c r="F135" s="1271">
        <f t="shared" si="12"/>
        <v>2232</v>
      </c>
      <c r="G135" s="1271">
        <f t="shared" si="12"/>
        <v>2256</v>
      </c>
      <c r="H135" s="1271">
        <f t="shared" si="12"/>
        <v>2344</v>
      </c>
      <c r="I135" s="1271">
        <f t="shared" si="12"/>
        <v>2617</v>
      </c>
      <c r="J135" s="1271">
        <f t="shared" si="12"/>
        <v>2744</v>
      </c>
      <c r="K135" s="1271">
        <f t="shared" si="12"/>
        <v>3049</v>
      </c>
      <c r="L135" s="1271">
        <f t="shared" si="12"/>
        <v>3326</v>
      </c>
      <c r="M135" s="1271">
        <f t="shared" si="12"/>
        <v>3380</v>
      </c>
      <c r="N135" s="1271">
        <f t="shared" si="12"/>
        <v>3436</v>
      </c>
      <c r="O135" s="1271">
        <f t="shared" si="12"/>
        <v>3508</v>
      </c>
      <c r="P135" s="1271">
        <f>SUM(P45,P86,P123,P133)</f>
        <v>3708</v>
      </c>
      <c r="Q135" s="1271">
        <f>SUM(Q45,Q86,Q123,Q133)</f>
        <v>3718</v>
      </c>
    </row>
    <row r="138" spans="1:17" x14ac:dyDescent="0.2">
      <c r="B138" s="5493"/>
      <c r="C138" s="5493"/>
      <c r="D138" s="5493"/>
    </row>
  </sheetData>
  <mergeCells count="40">
    <mergeCell ref="C5:C9"/>
    <mergeCell ref="B46:B61"/>
    <mergeCell ref="B62:B75"/>
    <mergeCell ref="C99:C101"/>
    <mergeCell ref="A4:A45"/>
    <mergeCell ref="B29:B44"/>
    <mergeCell ref="B15:B28"/>
    <mergeCell ref="B4:B14"/>
    <mergeCell ref="C46:C52"/>
    <mergeCell ref="C15:C17"/>
    <mergeCell ref="C18:C24"/>
    <mergeCell ref="C25:C27"/>
    <mergeCell ref="C10:C13"/>
    <mergeCell ref="A46:A86"/>
    <mergeCell ref="C30:C36"/>
    <mergeCell ref="C90:C98"/>
    <mergeCell ref="C118:C120"/>
    <mergeCell ref="C53:C59"/>
    <mergeCell ref="C63:C69"/>
    <mergeCell ref="C70:C74"/>
    <mergeCell ref="C76:C77"/>
    <mergeCell ref="C114:C116"/>
    <mergeCell ref="C103:C105"/>
    <mergeCell ref="C106:C113"/>
    <mergeCell ref="C37:C43"/>
    <mergeCell ref="A1:C1"/>
    <mergeCell ref="A135:D135"/>
    <mergeCell ref="B138:D138"/>
    <mergeCell ref="B76:B85"/>
    <mergeCell ref="A124:A133"/>
    <mergeCell ref="B124:B126"/>
    <mergeCell ref="B127:B128"/>
    <mergeCell ref="B129:B132"/>
    <mergeCell ref="C78:C81"/>
    <mergeCell ref="C82:C84"/>
    <mergeCell ref="A87:A123"/>
    <mergeCell ref="B87:B102"/>
    <mergeCell ref="B103:B117"/>
    <mergeCell ref="B118:B122"/>
    <mergeCell ref="C87:C89"/>
  </mergeCells>
  <printOptions horizontalCentered="1" verticalCentered="1"/>
  <pageMargins left="0.39370078740157483" right="0.39370078740157483" top="0.27559055118110237" bottom="0.31496062992125984" header="0" footer="0.31496062992125984"/>
  <pageSetup scale="50" orientation="landscape" horizontalDpi="1200" verticalDpi="1200" r:id="rId1"/>
  <headerFooter alignWithMargins="0"/>
  <rowBreaks count="1" manualBreakCount="1">
    <brk id="86" max="16" man="1"/>
  </rowBreaks>
  <ignoredErrors>
    <ignoredError sqref="E14:P14" formulaRange="1"/>
  </ignoredError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B1:R308"/>
  <sheetViews>
    <sheetView showGridLines="0" topLeftCell="B1" zoomScaleNormal="100" zoomScaleSheetLayoutView="100" workbookViewId="0">
      <pane xSplit="2" ySplit="4" topLeftCell="D71" activePane="bottomRight" state="frozen"/>
      <selection activeCell="B1" sqref="B1"/>
      <selection pane="topRight" activeCell="D1" sqref="D1"/>
      <selection pane="bottomLeft" activeCell="B7" sqref="B7"/>
      <selection pane="bottomRight" activeCell="R25" sqref="R25"/>
    </sheetView>
  </sheetViews>
  <sheetFormatPr baseColWidth="10" defaultColWidth="1.5703125" defaultRowHeight="12.75" x14ac:dyDescent="0.2"/>
  <cols>
    <col min="1" max="1" width="7" style="209" customWidth="1"/>
    <col min="2" max="2" width="15.140625" style="209" customWidth="1"/>
    <col min="3" max="3" width="16.5703125" style="209" bestFit="1" customWidth="1"/>
    <col min="4" max="16" width="9.7109375" style="209" customWidth="1"/>
    <col min="17" max="255" width="11.42578125" style="209" customWidth="1"/>
    <col min="256" max="256" width="1.5703125" style="209"/>
    <col min="257" max="257" width="1.5703125" style="209" customWidth="1"/>
    <col min="258" max="258" width="15.7109375" style="209" customWidth="1"/>
    <col min="259" max="259" width="28.85546875" style="209" customWidth="1"/>
    <col min="260" max="264" width="12.7109375" style="209" customWidth="1"/>
    <col min="265" max="511" width="11.42578125" style="209" customWidth="1"/>
    <col min="512" max="512" width="1.5703125" style="209"/>
    <col min="513" max="513" width="1.5703125" style="209" customWidth="1"/>
    <col min="514" max="514" width="15.7109375" style="209" customWidth="1"/>
    <col min="515" max="515" width="28.85546875" style="209" customWidth="1"/>
    <col min="516" max="520" width="12.7109375" style="209" customWidth="1"/>
    <col min="521" max="767" width="11.42578125" style="209" customWidth="1"/>
    <col min="768" max="768" width="1.5703125" style="209"/>
    <col min="769" max="769" width="1.5703125" style="209" customWidth="1"/>
    <col min="770" max="770" width="15.7109375" style="209" customWidth="1"/>
    <col min="771" max="771" width="28.85546875" style="209" customWidth="1"/>
    <col min="772" max="776" width="12.7109375" style="209" customWidth="1"/>
    <col min="777" max="1023" width="11.42578125" style="209" customWidth="1"/>
    <col min="1024" max="1024" width="1.5703125" style="209"/>
    <col min="1025" max="1025" width="1.5703125" style="209" customWidth="1"/>
    <col min="1026" max="1026" width="15.7109375" style="209" customWidth="1"/>
    <col min="1027" max="1027" width="28.85546875" style="209" customWidth="1"/>
    <col min="1028" max="1032" width="12.7109375" style="209" customWidth="1"/>
    <col min="1033" max="1279" width="11.42578125" style="209" customWidth="1"/>
    <col min="1280" max="1280" width="1.5703125" style="209"/>
    <col min="1281" max="1281" width="1.5703125" style="209" customWidth="1"/>
    <col min="1282" max="1282" width="15.7109375" style="209" customWidth="1"/>
    <col min="1283" max="1283" width="28.85546875" style="209" customWidth="1"/>
    <col min="1284" max="1288" width="12.7109375" style="209" customWidth="1"/>
    <col min="1289" max="1535" width="11.42578125" style="209" customWidth="1"/>
    <col min="1536" max="1536" width="1.5703125" style="209"/>
    <col min="1537" max="1537" width="1.5703125" style="209" customWidth="1"/>
    <col min="1538" max="1538" width="15.7109375" style="209" customWidth="1"/>
    <col min="1539" max="1539" width="28.85546875" style="209" customWidth="1"/>
    <col min="1540" max="1544" width="12.7109375" style="209" customWidth="1"/>
    <col min="1545" max="1791" width="11.42578125" style="209" customWidth="1"/>
    <col min="1792" max="1792" width="1.5703125" style="209"/>
    <col min="1793" max="1793" width="1.5703125" style="209" customWidth="1"/>
    <col min="1794" max="1794" width="15.7109375" style="209" customWidth="1"/>
    <col min="1795" max="1795" width="28.85546875" style="209" customWidth="1"/>
    <col min="1796" max="1800" width="12.7109375" style="209" customWidth="1"/>
    <col min="1801" max="2047" width="11.42578125" style="209" customWidth="1"/>
    <col min="2048" max="2048" width="1.5703125" style="209"/>
    <col min="2049" max="2049" width="1.5703125" style="209" customWidth="1"/>
    <col min="2050" max="2050" width="15.7109375" style="209" customWidth="1"/>
    <col min="2051" max="2051" width="28.85546875" style="209" customWidth="1"/>
    <col min="2052" max="2056" width="12.7109375" style="209" customWidth="1"/>
    <col min="2057" max="2303" width="11.42578125" style="209" customWidth="1"/>
    <col min="2304" max="2304" width="1.5703125" style="209"/>
    <col min="2305" max="2305" width="1.5703125" style="209" customWidth="1"/>
    <col min="2306" max="2306" width="15.7109375" style="209" customWidth="1"/>
    <col min="2307" max="2307" width="28.85546875" style="209" customWidth="1"/>
    <col min="2308" max="2312" width="12.7109375" style="209" customWidth="1"/>
    <col min="2313" max="2559" width="11.42578125" style="209" customWidth="1"/>
    <col min="2560" max="2560" width="1.5703125" style="209"/>
    <col min="2561" max="2561" width="1.5703125" style="209" customWidth="1"/>
    <col min="2562" max="2562" width="15.7109375" style="209" customWidth="1"/>
    <col min="2563" max="2563" width="28.85546875" style="209" customWidth="1"/>
    <col min="2564" max="2568" width="12.7109375" style="209" customWidth="1"/>
    <col min="2569" max="2815" width="11.42578125" style="209" customWidth="1"/>
    <col min="2816" max="2816" width="1.5703125" style="209"/>
    <col min="2817" max="2817" width="1.5703125" style="209" customWidth="1"/>
    <col min="2818" max="2818" width="15.7109375" style="209" customWidth="1"/>
    <col min="2819" max="2819" width="28.85546875" style="209" customWidth="1"/>
    <col min="2820" max="2824" width="12.7109375" style="209" customWidth="1"/>
    <col min="2825" max="3071" width="11.42578125" style="209" customWidth="1"/>
    <col min="3072" max="3072" width="1.5703125" style="209"/>
    <col min="3073" max="3073" width="1.5703125" style="209" customWidth="1"/>
    <col min="3074" max="3074" width="15.7109375" style="209" customWidth="1"/>
    <col min="3075" max="3075" width="28.85546875" style="209" customWidth="1"/>
    <col min="3076" max="3080" width="12.7109375" style="209" customWidth="1"/>
    <col min="3081" max="3327" width="11.42578125" style="209" customWidth="1"/>
    <col min="3328" max="3328" width="1.5703125" style="209"/>
    <col min="3329" max="3329" width="1.5703125" style="209" customWidth="1"/>
    <col min="3330" max="3330" width="15.7109375" style="209" customWidth="1"/>
    <col min="3331" max="3331" width="28.85546875" style="209" customWidth="1"/>
    <col min="3332" max="3336" width="12.7109375" style="209" customWidth="1"/>
    <col min="3337" max="3583" width="11.42578125" style="209" customWidth="1"/>
    <col min="3584" max="3584" width="1.5703125" style="209"/>
    <col min="3585" max="3585" width="1.5703125" style="209" customWidth="1"/>
    <col min="3586" max="3586" width="15.7109375" style="209" customWidth="1"/>
    <col min="3587" max="3587" width="28.85546875" style="209" customWidth="1"/>
    <col min="3588" max="3592" width="12.7109375" style="209" customWidth="1"/>
    <col min="3593" max="3839" width="11.42578125" style="209" customWidth="1"/>
    <col min="3840" max="3840" width="1.5703125" style="209"/>
    <col min="3841" max="3841" width="1.5703125" style="209" customWidth="1"/>
    <col min="3842" max="3842" width="15.7109375" style="209" customWidth="1"/>
    <col min="3843" max="3843" width="28.85546875" style="209" customWidth="1"/>
    <col min="3844" max="3848" width="12.7109375" style="209" customWidth="1"/>
    <col min="3849" max="4095" width="11.42578125" style="209" customWidth="1"/>
    <col min="4096" max="4096" width="1.5703125" style="209"/>
    <col min="4097" max="4097" width="1.5703125" style="209" customWidth="1"/>
    <col min="4098" max="4098" width="15.7109375" style="209" customWidth="1"/>
    <col min="4099" max="4099" width="28.85546875" style="209" customWidth="1"/>
    <col min="4100" max="4104" width="12.7109375" style="209" customWidth="1"/>
    <col min="4105" max="4351" width="11.42578125" style="209" customWidth="1"/>
    <col min="4352" max="4352" width="1.5703125" style="209"/>
    <col min="4353" max="4353" width="1.5703125" style="209" customWidth="1"/>
    <col min="4354" max="4354" width="15.7109375" style="209" customWidth="1"/>
    <col min="4355" max="4355" width="28.85546875" style="209" customWidth="1"/>
    <col min="4356" max="4360" width="12.7109375" style="209" customWidth="1"/>
    <col min="4361" max="4607" width="11.42578125" style="209" customWidth="1"/>
    <col min="4608" max="4608" width="1.5703125" style="209"/>
    <col min="4609" max="4609" width="1.5703125" style="209" customWidth="1"/>
    <col min="4610" max="4610" width="15.7109375" style="209" customWidth="1"/>
    <col min="4611" max="4611" width="28.85546875" style="209" customWidth="1"/>
    <col min="4612" max="4616" width="12.7109375" style="209" customWidth="1"/>
    <col min="4617" max="4863" width="11.42578125" style="209" customWidth="1"/>
    <col min="4864" max="4864" width="1.5703125" style="209"/>
    <col min="4865" max="4865" width="1.5703125" style="209" customWidth="1"/>
    <col min="4866" max="4866" width="15.7109375" style="209" customWidth="1"/>
    <col min="4867" max="4867" width="28.85546875" style="209" customWidth="1"/>
    <col min="4868" max="4872" width="12.7109375" style="209" customWidth="1"/>
    <col min="4873" max="5119" width="11.42578125" style="209" customWidth="1"/>
    <col min="5120" max="5120" width="1.5703125" style="209"/>
    <col min="5121" max="5121" width="1.5703125" style="209" customWidth="1"/>
    <col min="5122" max="5122" width="15.7109375" style="209" customWidth="1"/>
    <col min="5123" max="5123" width="28.85546875" style="209" customWidth="1"/>
    <col min="5124" max="5128" width="12.7109375" style="209" customWidth="1"/>
    <col min="5129" max="5375" width="11.42578125" style="209" customWidth="1"/>
    <col min="5376" max="5376" width="1.5703125" style="209"/>
    <col min="5377" max="5377" width="1.5703125" style="209" customWidth="1"/>
    <col min="5378" max="5378" width="15.7109375" style="209" customWidth="1"/>
    <col min="5379" max="5379" width="28.85546875" style="209" customWidth="1"/>
    <col min="5380" max="5384" width="12.7109375" style="209" customWidth="1"/>
    <col min="5385" max="5631" width="11.42578125" style="209" customWidth="1"/>
    <col min="5632" max="5632" width="1.5703125" style="209"/>
    <col min="5633" max="5633" width="1.5703125" style="209" customWidth="1"/>
    <col min="5634" max="5634" width="15.7109375" style="209" customWidth="1"/>
    <col min="5635" max="5635" width="28.85546875" style="209" customWidth="1"/>
    <col min="5636" max="5640" width="12.7109375" style="209" customWidth="1"/>
    <col min="5641" max="5887" width="11.42578125" style="209" customWidth="1"/>
    <col min="5888" max="5888" width="1.5703125" style="209"/>
    <col min="5889" max="5889" width="1.5703125" style="209" customWidth="1"/>
    <col min="5890" max="5890" width="15.7109375" style="209" customWidth="1"/>
    <col min="5891" max="5891" width="28.85546875" style="209" customWidth="1"/>
    <col min="5892" max="5896" width="12.7109375" style="209" customWidth="1"/>
    <col min="5897" max="6143" width="11.42578125" style="209" customWidth="1"/>
    <col min="6144" max="6144" width="1.5703125" style="209"/>
    <col min="6145" max="6145" width="1.5703125" style="209" customWidth="1"/>
    <col min="6146" max="6146" width="15.7109375" style="209" customWidth="1"/>
    <col min="6147" max="6147" width="28.85546875" style="209" customWidth="1"/>
    <col min="6148" max="6152" width="12.7109375" style="209" customWidth="1"/>
    <col min="6153" max="6399" width="11.42578125" style="209" customWidth="1"/>
    <col min="6400" max="6400" width="1.5703125" style="209"/>
    <col min="6401" max="6401" width="1.5703125" style="209" customWidth="1"/>
    <col min="6402" max="6402" width="15.7109375" style="209" customWidth="1"/>
    <col min="6403" max="6403" width="28.85546875" style="209" customWidth="1"/>
    <col min="6404" max="6408" width="12.7109375" style="209" customWidth="1"/>
    <col min="6409" max="6655" width="11.42578125" style="209" customWidth="1"/>
    <col min="6656" max="6656" width="1.5703125" style="209"/>
    <col min="6657" max="6657" width="1.5703125" style="209" customWidth="1"/>
    <col min="6658" max="6658" width="15.7109375" style="209" customWidth="1"/>
    <col min="6659" max="6659" width="28.85546875" style="209" customWidth="1"/>
    <col min="6660" max="6664" width="12.7109375" style="209" customWidth="1"/>
    <col min="6665" max="6911" width="11.42578125" style="209" customWidth="1"/>
    <col min="6912" max="6912" width="1.5703125" style="209"/>
    <col min="6913" max="6913" width="1.5703125" style="209" customWidth="1"/>
    <col min="6914" max="6914" width="15.7109375" style="209" customWidth="1"/>
    <col min="6915" max="6915" width="28.85546875" style="209" customWidth="1"/>
    <col min="6916" max="6920" width="12.7109375" style="209" customWidth="1"/>
    <col min="6921" max="7167" width="11.42578125" style="209" customWidth="1"/>
    <col min="7168" max="7168" width="1.5703125" style="209"/>
    <col min="7169" max="7169" width="1.5703125" style="209" customWidth="1"/>
    <col min="7170" max="7170" width="15.7109375" style="209" customWidth="1"/>
    <col min="7171" max="7171" width="28.85546875" style="209" customWidth="1"/>
    <col min="7172" max="7176" width="12.7109375" style="209" customWidth="1"/>
    <col min="7177" max="7423" width="11.42578125" style="209" customWidth="1"/>
    <col min="7424" max="7424" width="1.5703125" style="209"/>
    <col min="7425" max="7425" width="1.5703125" style="209" customWidth="1"/>
    <col min="7426" max="7426" width="15.7109375" style="209" customWidth="1"/>
    <col min="7427" max="7427" width="28.85546875" style="209" customWidth="1"/>
    <col min="7428" max="7432" width="12.7109375" style="209" customWidth="1"/>
    <col min="7433" max="7679" width="11.42578125" style="209" customWidth="1"/>
    <col min="7680" max="7680" width="1.5703125" style="209"/>
    <col min="7681" max="7681" width="1.5703125" style="209" customWidth="1"/>
    <col min="7682" max="7682" width="15.7109375" style="209" customWidth="1"/>
    <col min="7683" max="7683" width="28.85546875" style="209" customWidth="1"/>
    <col min="7684" max="7688" width="12.7109375" style="209" customWidth="1"/>
    <col min="7689" max="7935" width="11.42578125" style="209" customWidth="1"/>
    <col min="7936" max="7936" width="1.5703125" style="209"/>
    <col min="7937" max="7937" width="1.5703125" style="209" customWidth="1"/>
    <col min="7938" max="7938" width="15.7109375" style="209" customWidth="1"/>
    <col min="7939" max="7939" width="28.85546875" style="209" customWidth="1"/>
    <col min="7940" max="7944" width="12.7109375" style="209" customWidth="1"/>
    <col min="7945" max="8191" width="11.42578125" style="209" customWidth="1"/>
    <col min="8192" max="8192" width="1.5703125" style="209"/>
    <col min="8193" max="8193" width="1.5703125" style="209" customWidth="1"/>
    <col min="8194" max="8194" width="15.7109375" style="209" customWidth="1"/>
    <col min="8195" max="8195" width="28.85546875" style="209" customWidth="1"/>
    <col min="8196" max="8200" width="12.7109375" style="209" customWidth="1"/>
    <col min="8201" max="8447" width="11.42578125" style="209" customWidth="1"/>
    <col min="8448" max="8448" width="1.5703125" style="209"/>
    <col min="8449" max="8449" width="1.5703125" style="209" customWidth="1"/>
    <col min="8450" max="8450" width="15.7109375" style="209" customWidth="1"/>
    <col min="8451" max="8451" width="28.85546875" style="209" customWidth="1"/>
    <col min="8452" max="8456" width="12.7109375" style="209" customWidth="1"/>
    <col min="8457" max="8703" width="11.42578125" style="209" customWidth="1"/>
    <col min="8704" max="8704" width="1.5703125" style="209"/>
    <col min="8705" max="8705" width="1.5703125" style="209" customWidth="1"/>
    <col min="8706" max="8706" width="15.7109375" style="209" customWidth="1"/>
    <col min="8707" max="8707" width="28.85546875" style="209" customWidth="1"/>
    <col min="8708" max="8712" width="12.7109375" style="209" customWidth="1"/>
    <col min="8713" max="8959" width="11.42578125" style="209" customWidth="1"/>
    <col min="8960" max="8960" width="1.5703125" style="209"/>
    <col min="8961" max="8961" width="1.5703125" style="209" customWidth="1"/>
    <col min="8962" max="8962" width="15.7109375" style="209" customWidth="1"/>
    <col min="8963" max="8963" width="28.85546875" style="209" customWidth="1"/>
    <col min="8964" max="8968" width="12.7109375" style="209" customWidth="1"/>
    <col min="8969" max="9215" width="11.42578125" style="209" customWidth="1"/>
    <col min="9216" max="9216" width="1.5703125" style="209"/>
    <col min="9217" max="9217" width="1.5703125" style="209" customWidth="1"/>
    <col min="9218" max="9218" width="15.7109375" style="209" customWidth="1"/>
    <col min="9219" max="9219" width="28.85546875" style="209" customWidth="1"/>
    <col min="9220" max="9224" width="12.7109375" style="209" customWidth="1"/>
    <col min="9225" max="9471" width="11.42578125" style="209" customWidth="1"/>
    <col min="9472" max="9472" width="1.5703125" style="209"/>
    <col min="9473" max="9473" width="1.5703125" style="209" customWidth="1"/>
    <col min="9474" max="9474" width="15.7109375" style="209" customWidth="1"/>
    <col min="9475" max="9475" width="28.85546875" style="209" customWidth="1"/>
    <col min="9476" max="9480" width="12.7109375" style="209" customWidth="1"/>
    <col min="9481" max="9727" width="11.42578125" style="209" customWidth="1"/>
    <col min="9728" max="9728" width="1.5703125" style="209"/>
    <col min="9729" max="9729" width="1.5703125" style="209" customWidth="1"/>
    <col min="9730" max="9730" width="15.7109375" style="209" customWidth="1"/>
    <col min="9731" max="9731" width="28.85546875" style="209" customWidth="1"/>
    <col min="9732" max="9736" width="12.7109375" style="209" customWidth="1"/>
    <col min="9737" max="9983" width="11.42578125" style="209" customWidth="1"/>
    <col min="9984" max="9984" width="1.5703125" style="209"/>
    <col min="9985" max="9985" width="1.5703125" style="209" customWidth="1"/>
    <col min="9986" max="9986" width="15.7109375" style="209" customWidth="1"/>
    <col min="9987" max="9987" width="28.85546875" style="209" customWidth="1"/>
    <col min="9988" max="9992" width="12.7109375" style="209" customWidth="1"/>
    <col min="9993" max="10239" width="11.42578125" style="209" customWidth="1"/>
    <col min="10240" max="10240" width="1.5703125" style="209"/>
    <col min="10241" max="10241" width="1.5703125" style="209" customWidth="1"/>
    <col min="10242" max="10242" width="15.7109375" style="209" customWidth="1"/>
    <col min="10243" max="10243" width="28.85546875" style="209" customWidth="1"/>
    <col min="10244" max="10248" width="12.7109375" style="209" customWidth="1"/>
    <col min="10249" max="10495" width="11.42578125" style="209" customWidth="1"/>
    <col min="10496" max="10496" width="1.5703125" style="209"/>
    <col min="10497" max="10497" width="1.5703125" style="209" customWidth="1"/>
    <col min="10498" max="10498" width="15.7109375" style="209" customWidth="1"/>
    <col min="10499" max="10499" width="28.85546875" style="209" customWidth="1"/>
    <col min="10500" max="10504" width="12.7109375" style="209" customWidth="1"/>
    <col min="10505" max="10751" width="11.42578125" style="209" customWidth="1"/>
    <col min="10752" max="10752" width="1.5703125" style="209"/>
    <col min="10753" max="10753" width="1.5703125" style="209" customWidth="1"/>
    <col min="10754" max="10754" width="15.7109375" style="209" customWidth="1"/>
    <col min="10755" max="10755" width="28.85546875" style="209" customWidth="1"/>
    <col min="10756" max="10760" width="12.7109375" style="209" customWidth="1"/>
    <col min="10761" max="11007" width="11.42578125" style="209" customWidth="1"/>
    <col min="11008" max="11008" width="1.5703125" style="209"/>
    <col min="11009" max="11009" width="1.5703125" style="209" customWidth="1"/>
    <col min="11010" max="11010" width="15.7109375" style="209" customWidth="1"/>
    <col min="11011" max="11011" width="28.85546875" style="209" customWidth="1"/>
    <col min="11012" max="11016" width="12.7109375" style="209" customWidth="1"/>
    <col min="11017" max="11263" width="11.42578125" style="209" customWidth="1"/>
    <col min="11264" max="11264" width="1.5703125" style="209"/>
    <col min="11265" max="11265" width="1.5703125" style="209" customWidth="1"/>
    <col min="11266" max="11266" width="15.7109375" style="209" customWidth="1"/>
    <col min="11267" max="11267" width="28.85546875" style="209" customWidth="1"/>
    <col min="11268" max="11272" width="12.7109375" style="209" customWidth="1"/>
    <col min="11273" max="11519" width="11.42578125" style="209" customWidth="1"/>
    <col min="11520" max="11520" width="1.5703125" style="209"/>
    <col min="11521" max="11521" width="1.5703125" style="209" customWidth="1"/>
    <col min="11522" max="11522" width="15.7109375" style="209" customWidth="1"/>
    <col min="11523" max="11523" width="28.85546875" style="209" customWidth="1"/>
    <col min="11524" max="11528" width="12.7109375" style="209" customWidth="1"/>
    <col min="11529" max="11775" width="11.42578125" style="209" customWidth="1"/>
    <col min="11776" max="11776" width="1.5703125" style="209"/>
    <col min="11777" max="11777" width="1.5703125" style="209" customWidth="1"/>
    <col min="11778" max="11778" width="15.7109375" style="209" customWidth="1"/>
    <col min="11779" max="11779" width="28.85546875" style="209" customWidth="1"/>
    <col min="11780" max="11784" width="12.7109375" style="209" customWidth="1"/>
    <col min="11785" max="12031" width="11.42578125" style="209" customWidth="1"/>
    <col min="12032" max="12032" width="1.5703125" style="209"/>
    <col min="12033" max="12033" width="1.5703125" style="209" customWidth="1"/>
    <col min="12034" max="12034" width="15.7109375" style="209" customWidth="1"/>
    <col min="12035" max="12035" width="28.85546875" style="209" customWidth="1"/>
    <col min="12036" max="12040" width="12.7109375" style="209" customWidth="1"/>
    <col min="12041" max="12287" width="11.42578125" style="209" customWidth="1"/>
    <col min="12288" max="12288" width="1.5703125" style="209"/>
    <col min="12289" max="12289" width="1.5703125" style="209" customWidth="1"/>
    <col min="12290" max="12290" width="15.7109375" style="209" customWidth="1"/>
    <col min="12291" max="12291" width="28.85546875" style="209" customWidth="1"/>
    <col min="12292" max="12296" width="12.7109375" style="209" customWidth="1"/>
    <col min="12297" max="12543" width="11.42578125" style="209" customWidth="1"/>
    <col min="12544" max="12544" width="1.5703125" style="209"/>
    <col min="12545" max="12545" width="1.5703125" style="209" customWidth="1"/>
    <col min="12546" max="12546" width="15.7109375" style="209" customWidth="1"/>
    <col min="12547" max="12547" width="28.85546875" style="209" customWidth="1"/>
    <col min="12548" max="12552" width="12.7109375" style="209" customWidth="1"/>
    <col min="12553" max="12799" width="11.42578125" style="209" customWidth="1"/>
    <col min="12800" max="12800" width="1.5703125" style="209"/>
    <col min="12801" max="12801" width="1.5703125" style="209" customWidth="1"/>
    <col min="12802" max="12802" width="15.7109375" style="209" customWidth="1"/>
    <col min="12803" max="12803" width="28.85546875" style="209" customWidth="1"/>
    <col min="12804" max="12808" width="12.7109375" style="209" customWidth="1"/>
    <col min="12809" max="13055" width="11.42578125" style="209" customWidth="1"/>
    <col min="13056" max="13056" width="1.5703125" style="209"/>
    <col min="13057" max="13057" width="1.5703125" style="209" customWidth="1"/>
    <col min="13058" max="13058" width="15.7109375" style="209" customWidth="1"/>
    <col min="13059" max="13059" width="28.85546875" style="209" customWidth="1"/>
    <col min="13060" max="13064" width="12.7109375" style="209" customWidth="1"/>
    <col min="13065" max="13311" width="11.42578125" style="209" customWidth="1"/>
    <col min="13312" max="13312" width="1.5703125" style="209"/>
    <col min="13313" max="13313" width="1.5703125" style="209" customWidth="1"/>
    <col min="13314" max="13314" width="15.7109375" style="209" customWidth="1"/>
    <col min="13315" max="13315" width="28.85546875" style="209" customWidth="1"/>
    <col min="13316" max="13320" width="12.7109375" style="209" customWidth="1"/>
    <col min="13321" max="13567" width="11.42578125" style="209" customWidth="1"/>
    <col min="13568" max="13568" width="1.5703125" style="209"/>
    <col min="13569" max="13569" width="1.5703125" style="209" customWidth="1"/>
    <col min="13570" max="13570" width="15.7109375" style="209" customWidth="1"/>
    <col min="13571" max="13571" width="28.85546875" style="209" customWidth="1"/>
    <col min="13572" max="13576" width="12.7109375" style="209" customWidth="1"/>
    <col min="13577" max="13823" width="11.42578125" style="209" customWidth="1"/>
    <col min="13824" max="13824" width="1.5703125" style="209"/>
    <col min="13825" max="13825" width="1.5703125" style="209" customWidth="1"/>
    <col min="13826" max="13826" width="15.7109375" style="209" customWidth="1"/>
    <col min="13827" max="13827" width="28.85546875" style="209" customWidth="1"/>
    <col min="13828" max="13832" width="12.7109375" style="209" customWidth="1"/>
    <col min="13833" max="14079" width="11.42578125" style="209" customWidth="1"/>
    <col min="14080" max="14080" width="1.5703125" style="209"/>
    <col min="14081" max="14081" width="1.5703125" style="209" customWidth="1"/>
    <col min="14082" max="14082" width="15.7109375" style="209" customWidth="1"/>
    <col min="14083" max="14083" width="28.85546875" style="209" customWidth="1"/>
    <col min="14084" max="14088" width="12.7109375" style="209" customWidth="1"/>
    <col min="14089" max="14335" width="11.42578125" style="209" customWidth="1"/>
    <col min="14336" max="14336" width="1.5703125" style="209"/>
    <col min="14337" max="14337" width="1.5703125" style="209" customWidth="1"/>
    <col min="14338" max="14338" width="15.7109375" style="209" customWidth="1"/>
    <col min="14339" max="14339" width="28.85546875" style="209" customWidth="1"/>
    <col min="14340" max="14344" width="12.7109375" style="209" customWidth="1"/>
    <col min="14345" max="14591" width="11.42578125" style="209" customWidth="1"/>
    <col min="14592" max="14592" width="1.5703125" style="209"/>
    <col min="14593" max="14593" width="1.5703125" style="209" customWidth="1"/>
    <col min="14594" max="14594" width="15.7109375" style="209" customWidth="1"/>
    <col min="14595" max="14595" width="28.85546875" style="209" customWidth="1"/>
    <col min="14596" max="14600" width="12.7109375" style="209" customWidth="1"/>
    <col min="14601" max="14847" width="11.42578125" style="209" customWidth="1"/>
    <col min="14848" max="14848" width="1.5703125" style="209"/>
    <col min="14849" max="14849" width="1.5703125" style="209" customWidth="1"/>
    <col min="14850" max="14850" width="15.7109375" style="209" customWidth="1"/>
    <col min="14851" max="14851" width="28.85546875" style="209" customWidth="1"/>
    <col min="14852" max="14856" width="12.7109375" style="209" customWidth="1"/>
    <col min="14857" max="15103" width="11.42578125" style="209" customWidth="1"/>
    <col min="15104" max="15104" width="1.5703125" style="209"/>
    <col min="15105" max="15105" width="1.5703125" style="209" customWidth="1"/>
    <col min="15106" max="15106" width="15.7109375" style="209" customWidth="1"/>
    <col min="15107" max="15107" width="28.85546875" style="209" customWidth="1"/>
    <col min="15108" max="15112" width="12.7109375" style="209" customWidth="1"/>
    <col min="15113" max="15359" width="11.42578125" style="209" customWidth="1"/>
    <col min="15360" max="15360" width="1.5703125" style="209"/>
    <col min="15361" max="15361" width="1.5703125" style="209" customWidth="1"/>
    <col min="15362" max="15362" width="15.7109375" style="209" customWidth="1"/>
    <col min="15363" max="15363" width="28.85546875" style="209" customWidth="1"/>
    <col min="15364" max="15368" width="12.7109375" style="209" customWidth="1"/>
    <col min="15369" max="15615" width="11.42578125" style="209" customWidth="1"/>
    <col min="15616" max="15616" width="1.5703125" style="209"/>
    <col min="15617" max="15617" width="1.5703125" style="209" customWidth="1"/>
    <col min="15618" max="15618" width="15.7109375" style="209" customWidth="1"/>
    <col min="15619" max="15619" width="28.85546875" style="209" customWidth="1"/>
    <col min="15620" max="15624" width="12.7109375" style="209" customWidth="1"/>
    <col min="15625" max="15871" width="11.42578125" style="209" customWidth="1"/>
    <col min="15872" max="15872" width="1.5703125" style="209"/>
    <col min="15873" max="15873" width="1.5703125" style="209" customWidth="1"/>
    <col min="15874" max="15874" width="15.7109375" style="209" customWidth="1"/>
    <col min="15875" max="15875" width="28.85546875" style="209" customWidth="1"/>
    <col min="15876" max="15880" width="12.7109375" style="209" customWidth="1"/>
    <col min="15881" max="16127" width="11.42578125" style="209" customWidth="1"/>
    <col min="16128" max="16128" width="1.5703125" style="209"/>
    <col min="16129" max="16129" width="1.5703125" style="209" customWidth="1"/>
    <col min="16130" max="16130" width="15.7109375" style="209" customWidth="1"/>
    <col min="16131" max="16131" width="28.85546875" style="209" customWidth="1"/>
    <col min="16132" max="16136" width="12.7109375" style="209" customWidth="1"/>
    <col min="16137" max="16383" width="11.42578125" style="209" customWidth="1"/>
    <col min="16384" max="16384" width="1.5703125" style="209"/>
  </cols>
  <sheetData>
    <row r="1" spans="2:16" ht="45" customHeight="1" x14ac:dyDescent="0.2">
      <c r="B1" s="5058" t="s">
        <v>1367</v>
      </c>
      <c r="C1" s="5058"/>
      <c r="D1" s="588"/>
      <c r="E1" s="588"/>
      <c r="F1" s="588"/>
      <c r="G1" s="588"/>
      <c r="H1" s="588"/>
      <c r="I1" s="588"/>
      <c r="J1" s="588"/>
      <c r="K1" s="588"/>
      <c r="L1" s="588"/>
    </row>
    <row r="2" spans="2:16" ht="15.75" x14ac:dyDescent="0.2">
      <c r="B2" s="5623"/>
      <c r="C2" s="5623"/>
      <c r="D2" s="5623"/>
      <c r="E2" s="5623"/>
      <c r="F2" s="5623"/>
      <c r="G2" s="5623"/>
      <c r="H2" s="5623"/>
      <c r="I2" s="5623"/>
      <c r="J2" s="5623"/>
      <c r="K2" s="5623"/>
      <c r="L2" s="5623"/>
    </row>
    <row r="3" spans="2:16" ht="32.25" customHeight="1" x14ac:dyDescent="0.2">
      <c r="B3" s="2171" t="s">
        <v>164</v>
      </c>
      <c r="C3" s="2171" t="s">
        <v>25</v>
      </c>
      <c r="D3" s="1572">
        <v>2003</v>
      </c>
      <c r="E3" s="1572">
        <v>2004</v>
      </c>
      <c r="F3" s="1572">
        <v>2005</v>
      </c>
      <c r="G3" s="1572">
        <v>2006</v>
      </c>
      <c r="H3" s="1572">
        <v>2007</v>
      </c>
      <c r="I3" s="1572">
        <v>2008</v>
      </c>
      <c r="J3" s="1572">
        <v>2009</v>
      </c>
      <c r="K3" s="1572">
        <v>2010</v>
      </c>
      <c r="L3" s="1572">
        <v>2011</v>
      </c>
      <c r="M3" s="1572">
        <v>2012</v>
      </c>
      <c r="N3" s="1572">
        <v>2013</v>
      </c>
      <c r="O3" s="1572">
        <v>2014</v>
      </c>
      <c r="P3" s="1572">
        <v>2015</v>
      </c>
    </row>
    <row r="4" spans="2:16" ht="15" x14ac:dyDescent="0.2"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  <c r="P4" s="263"/>
    </row>
    <row r="5" spans="2:16" ht="15" x14ac:dyDescent="0.2">
      <c r="B5" s="5489" t="s">
        <v>5</v>
      </c>
      <c r="C5" s="1067" t="s">
        <v>631</v>
      </c>
      <c r="D5" s="1281"/>
      <c r="E5" s="1281"/>
      <c r="F5" s="1281"/>
      <c r="G5" s="1282"/>
      <c r="H5" s="1281"/>
      <c r="I5" s="1281"/>
      <c r="J5" s="1281"/>
      <c r="K5" s="1281"/>
      <c r="L5" s="1281"/>
      <c r="M5" s="1281"/>
      <c r="N5" s="1281">
        <f>SUM('ACTIVOS-POS plan'!O4)</f>
        <v>0</v>
      </c>
      <c r="O5" s="1281">
        <f>SUM('ACTIVOS-POS plan'!P4)</f>
        <v>0</v>
      </c>
      <c r="P5" s="1281">
        <f>SUM('ACTIVOS-POS plan'!Q4)</f>
        <v>0</v>
      </c>
    </row>
    <row r="6" spans="2:16" ht="15" x14ac:dyDescent="0.2">
      <c r="B6" s="5470"/>
      <c r="C6" s="1072" t="s">
        <v>632</v>
      </c>
      <c r="D6" s="1283">
        <v>129</v>
      </c>
      <c r="E6" s="1283">
        <v>128</v>
      </c>
      <c r="F6" s="1283">
        <v>128</v>
      </c>
      <c r="G6" s="1283">
        <v>125</v>
      </c>
      <c r="H6" s="1283">
        <v>115</v>
      </c>
      <c r="I6" s="1283">
        <v>85</v>
      </c>
      <c r="J6" s="1283">
        <v>115</v>
      </c>
      <c r="K6" s="1283">
        <v>131</v>
      </c>
      <c r="L6" s="1283">
        <v>136</v>
      </c>
      <c r="M6" s="1283">
        <v>131</v>
      </c>
      <c r="N6" s="1283">
        <f>SUM('ACTIVOS-POS plan'!O5:O9)</f>
        <v>153</v>
      </c>
      <c r="O6" s="1283">
        <f>SUM('ACTIVOS-POS plan'!P5:P9)</f>
        <v>194</v>
      </c>
      <c r="P6" s="1283">
        <f>SUM('ACTIVOS-POS plan'!Q5:Q9)</f>
        <v>209</v>
      </c>
    </row>
    <row r="7" spans="2:16" ht="15" x14ac:dyDescent="0.2">
      <c r="B7" s="5470"/>
      <c r="C7" s="1078" t="s">
        <v>633</v>
      </c>
      <c r="D7" s="1283">
        <v>31</v>
      </c>
      <c r="E7" s="1283">
        <v>32</v>
      </c>
      <c r="F7" s="1283">
        <v>35</v>
      </c>
      <c r="G7" s="1283">
        <v>27</v>
      </c>
      <c r="H7" s="1283">
        <v>35</v>
      </c>
      <c r="I7" s="1283">
        <v>45</v>
      </c>
      <c r="J7" s="1283">
        <v>42</v>
      </c>
      <c r="K7" s="1283">
        <v>40</v>
      </c>
      <c r="L7" s="1283">
        <v>42</v>
      </c>
      <c r="M7" s="1283">
        <v>33</v>
      </c>
      <c r="N7" s="1283">
        <f>SUM('ACTIVOS-POS plan'!O10:O13)</f>
        <v>35</v>
      </c>
      <c r="O7" s="1283">
        <f>SUM('ACTIVOS-POS plan'!P10:P13)</f>
        <v>36</v>
      </c>
      <c r="P7" s="1283">
        <f>SUM('ACTIVOS-POS plan'!Q10:Q13)</f>
        <v>44</v>
      </c>
    </row>
    <row r="8" spans="2:16" ht="15" x14ac:dyDescent="0.2">
      <c r="B8" s="5471"/>
      <c r="C8" s="583" t="s">
        <v>13</v>
      </c>
      <c r="D8" s="1284">
        <v>160</v>
      </c>
      <c r="E8" s="1284">
        <v>160</v>
      </c>
      <c r="F8" s="1284">
        <v>163</v>
      </c>
      <c r="G8" s="1284">
        <v>152</v>
      </c>
      <c r="H8" s="1284">
        <v>150</v>
      </c>
      <c r="I8" s="1284">
        <v>130</v>
      </c>
      <c r="J8" s="1284">
        <f t="shared" ref="J8:O8" si="0">SUM(J5:J7)</f>
        <v>157</v>
      </c>
      <c r="K8" s="1284">
        <f t="shared" si="0"/>
        <v>171</v>
      </c>
      <c r="L8" s="1284">
        <f t="shared" si="0"/>
        <v>178</v>
      </c>
      <c r="M8" s="1284">
        <f t="shared" si="0"/>
        <v>164</v>
      </c>
      <c r="N8" s="1284">
        <f t="shared" si="0"/>
        <v>188</v>
      </c>
      <c r="O8" s="1284">
        <f t="shared" si="0"/>
        <v>230</v>
      </c>
      <c r="P8" s="1284">
        <f t="shared" ref="P8" si="1">SUM(P5:P7)</f>
        <v>253</v>
      </c>
    </row>
    <row r="9" spans="2:16" ht="15" x14ac:dyDescent="0.2">
      <c r="B9" s="5489" t="s">
        <v>6</v>
      </c>
      <c r="C9" s="1067" t="s">
        <v>631</v>
      </c>
      <c r="D9" s="1283">
        <v>44</v>
      </c>
      <c r="E9" s="1283">
        <v>64</v>
      </c>
      <c r="F9" s="1283">
        <v>67</v>
      </c>
      <c r="G9" s="1283">
        <v>62</v>
      </c>
      <c r="H9" s="1283">
        <v>70</v>
      </c>
      <c r="I9" s="1283">
        <v>59</v>
      </c>
      <c r="J9" s="1283">
        <v>48</v>
      </c>
      <c r="K9" s="1283">
        <v>41</v>
      </c>
      <c r="L9" s="1283">
        <v>52</v>
      </c>
      <c r="M9" s="1283">
        <v>47</v>
      </c>
      <c r="N9" s="1283">
        <f>SUM('ACTIVOS-POS plan'!O15:O17)</f>
        <v>47</v>
      </c>
      <c r="O9" s="1283">
        <f>SUM('ACTIVOS-POS plan'!P15:P17)</f>
        <v>46</v>
      </c>
      <c r="P9" s="1283">
        <f>SUM('ACTIVOS-POS plan'!Q15:Q17)</f>
        <v>49</v>
      </c>
    </row>
    <row r="10" spans="2:16" ht="15" x14ac:dyDescent="0.2">
      <c r="B10" s="5470"/>
      <c r="C10" s="1072" t="s">
        <v>632</v>
      </c>
      <c r="D10" s="1283">
        <v>57</v>
      </c>
      <c r="E10" s="1283">
        <v>69</v>
      </c>
      <c r="F10" s="1283">
        <v>66</v>
      </c>
      <c r="G10" s="1283">
        <v>62</v>
      </c>
      <c r="H10" s="1283">
        <v>97</v>
      </c>
      <c r="I10" s="1283">
        <v>83</v>
      </c>
      <c r="J10" s="1283">
        <v>125</v>
      </c>
      <c r="K10" s="1283">
        <v>82</v>
      </c>
      <c r="L10" s="1283">
        <v>116</v>
      </c>
      <c r="M10" s="1283">
        <v>95</v>
      </c>
      <c r="N10" s="1283">
        <f>SUM('ACTIVOS-POS plan'!O18:O24)</f>
        <v>138</v>
      </c>
      <c r="O10" s="1283">
        <f>SUM('ACTIVOS-POS plan'!P18:P24)</f>
        <v>147</v>
      </c>
      <c r="P10" s="1283">
        <f>SUM('ACTIVOS-POS plan'!Q18:Q24)</f>
        <v>143</v>
      </c>
    </row>
    <row r="11" spans="2:16" ht="15" x14ac:dyDescent="0.2">
      <c r="B11" s="5470"/>
      <c r="C11" s="1078" t="s">
        <v>633</v>
      </c>
      <c r="D11" s="1283">
        <v>7</v>
      </c>
      <c r="E11" s="1283">
        <v>9</v>
      </c>
      <c r="F11" s="1283">
        <v>17</v>
      </c>
      <c r="G11" s="1283">
        <v>17</v>
      </c>
      <c r="H11" s="1283">
        <v>61</v>
      </c>
      <c r="I11" s="1283">
        <v>40</v>
      </c>
      <c r="J11" s="1283">
        <v>39</v>
      </c>
      <c r="K11" s="1283">
        <v>54</v>
      </c>
      <c r="L11" s="1283">
        <v>45</v>
      </c>
      <c r="M11" s="1283">
        <v>46</v>
      </c>
      <c r="N11" s="1283">
        <f>SUM('ACTIVOS-POS plan'!O25:O27)</f>
        <v>54</v>
      </c>
      <c r="O11" s="1283">
        <f>SUM('ACTIVOS-POS plan'!P25:P27)</f>
        <v>51</v>
      </c>
      <c r="P11" s="1283">
        <f>SUM('ACTIVOS-POS plan'!Q25:Q27)</f>
        <v>50</v>
      </c>
    </row>
    <row r="12" spans="2:16" ht="15" x14ac:dyDescent="0.2">
      <c r="B12" s="5471"/>
      <c r="C12" s="583" t="s">
        <v>14</v>
      </c>
      <c r="D12" s="1284">
        <v>108</v>
      </c>
      <c r="E12" s="1284">
        <v>142</v>
      </c>
      <c r="F12" s="1284">
        <v>150</v>
      </c>
      <c r="G12" s="1284">
        <v>141</v>
      </c>
      <c r="H12" s="1284">
        <v>228</v>
      </c>
      <c r="I12" s="1284">
        <v>182</v>
      </c>
      <c r="J12" s="1284">
        <f t="shared" ref="J12:O12" si="2">SUM(J9:J11)</f>
        <v>212</v>
      </c>
      <c r="K12" s="1284">
        <f t="shared" si="2"/>
        <v>177</v>
      </c>
      <c r="L12" s="1284">
        <f t="shared" si="2"/>
        <v>213</v>
      </c>
      <c r="M12" s="1284">
        <f t="shared" si="2"/>
        <v>188</v>
      </c>
      <c r="N12" s="1284">
        <f t="shared" si="2"/>
        <v>239</v>
      </c>
      <c r="O12" s="1284">
        <f t="shared" si="2"/>
        <v>244</v>
      </c>
      <c r="P12" s="1284">
        <f t="shared" ref="P12" si="3">SUM(P9:P11)</f>
        <v>242</v>
      </c>
    </row>
    <row r="13" spans="2:16" ht="15" x14ac:dyDescent="0.2">
      <c r="B13" s="5489" t="s">
        <v>7</v>
      </c>
      <c r="C13" s="1067" t="s">
        <v>631</v>
      </c>
      <c r="D13" s="1283">
        <v>43</v>
      </c>
      <c r="E13" s="1283">
        <v>37</v>
      </c>
      <c r="F13" s="1283">
        <v>29</v>
      </c>
      <c r="G13" s="1283">
        <v>34</v>
      </c>
      <c r="H13" s="1283">
        <v>61</v>
      </c>
      <c r="I13" s="1283">
        <v>64</v>
      </c>
      <c r="J13" s="1283">
        <v>103</v>
      </c>
      <c r="K13" s="1283">
        <v>102</v>
      </c>
      <c r="L13" s="1283">
        <v>20</v>
      </c>
      <c r="M13" s="1283">
        <v>95</v>
      </c>
      <c r="N13" s="1283">
        <f>SUM('ACTIVOS-POS plan'!O29)</f>
        <v>23</v>
      </c>
      <c r="O13" s="1283">
        <f>SUM('ACTIVOS-POS plan'!P29)</f>
        <v>70</v>
      </c>
      <c r="P13" s="1283">
        <f>SUM('ACTIVOS-POS plan'!Q29)</f>
        <v>24</v>
      </c>
    </row>
    <row r="14" spans="2:16" ht="15" x14ac:dyDescent="0.2">
      <c r="B14" s="5470"/>
      <c r="C14" s="1072" t="s">
        <v>632</v>
      </c>
      <c r="D14" s="1283">
        <v>45</v>
      </c>
      <c r="E14" s="1283">
        <v>37</v>
      </c>
      <c r="F14" s="1283">
        <v>48</v>
      </c>
      <c r="G14" s="1283">
        <v>55</v>
      </c>
      <c r="H14" s="1283">
        <v>51</v>
      </c>
      <c r="I14" s="1283">
        <v>55</v>
      </c>
      <c r="J14" s="1283">
        <v>47</v>
      </c>
      <c r="K14" s="1283">
        <v>87</v>
      </c>
      <c r="L14" s="1283">
        <v>108</v>
      </c>
      <c r="M14" s="1283">
        <v>79</v>
      </c>
      <c r="N14" s="1283">
        <f>SUM('ACTIVOS-POS plan'!O30)</f>
        <v>102</v>
      </c>
      <c r="O14" s="1283">
        <f>SUM('ACTIVOS-POS plan'!P30)</f>
        <v>74</v>
      </c>
      <c r="P14" s="1283">
        <f>SUM('ACTIVOS-POS plan'!Q30:Q36)</f>
        <v>117</v>
      </c>
    </row>
    <row r="15" spans="2:16" ht="15" x14ac:dyDescent="0.2">
      <c r="B15" s="5470"/>
      <c r="C15" s="1078" t="s">
        <v>633</v>
      </c>
      <c r="D15" s="1283">
        <v>18</v>
      </c>
      <c r="E15" s="1283">
        <v>5</v>
      </c>
      <c r="F15" s="1283">
        <v>8</v>
      </c>
      <c r="G15" s="1283">
        <v>13</v>
      </c>
      <c r="H15" s="1283">
        <v>20</v>
      </c>
      <c r="I15" s="1283">
        <v>31</v>
      </c>
      <c r="J15" s="1283">
        <v>34</v>
      </c>
      <c r="K15" s="1283">
        <v>62</v>
      </c>
      <c r="L15" s="1283">
        <v>56</v>
      </c>
      <c r="M15" s="1283">
        <v>63</v>
      </c>
      <c r="N15" s="1283">
        <f>SUM('ACTIVOS-POS plan'!O37)</f>
        <v>55</v>
      </c>
      <c r="O15" s="1283">
        <f>SUM('ACTIVOS-POS plan'!P37)</f>
        <v>80</v>
      </c>
      <c r="P15" s="1283">
        <f>SUM('ACTIVOS-POS plan'!Q37:Q43)</f>
        <v>71</v>
      </c>
    </row>
    <row r="16" spans="2:16" ht="15" x14ac:dyDescent="0.2">
      <c r="B16" s="5471"/>
      <c r="C16" s="583" t="s">
        <v>15</v>
      </c>
      <c r="D16" s="1284">
        <v>106</v>
      </c>
      <c r="E16" s="1284">
        <v>79</v>
      </c>
      <c r="F16" s="1284">
        <v>85</v>
      </c>
      <c r="G16" s="1284">
        <v>102</v>
      </c>
      <c r="H16" s="1284">
        <v>132</v>
      </c>
      <c r="I16" s="1284">
        <v>150</v>
      </c>
      <c r="J16" s="1284">
        <f t="shared" ref="J16:O16" si="4">SUM(J13:J15)</f>
        <v>184</v>
      </c>
      <c r="K16" s="1284">
        <f t="shared" si="4"/>
        <v>251</v>
      </c>
      <c r="L16" s="1284">
        <f t="shared" si="4"/>
        <v>184</v>
      </c>
      <c r="M16" s="1284">
        <f t="shared" si="4"/>
        <v>237</v>
      </c>
      <c r="N16" s="1284">
        <f t="shared" si="4"/>
        <v>180</v>
      </c>
      <c r="O16" s="1284">
        <f t="shared" si="4"/>
        <v>224</v>
      </c>
      <c r="P16" s="1284">
        <f t="shared" ref="P16" si="5">SUM(P13:P15)</f>
        <v>212</v>
      </c>
    </row>
    <row r="17" spans="2:16" ht="15" customHeight="1" x14ac:dyDescent="0.2">
      <c r="B17" s="5549" t="s">
        <v>694</v>
      </c>
      <c r="C17" s="1067" t="s">
        <v>631</v>
      </c>
      <c r="D17" s="1283">
        <f>D5+D9+D13</f>
        <v>87</v>
      </c>
      <c r="E17" s="1283">
        <f t="shared" ref="D17:K19" si="6">E5+E9+E13</f>
        <v>101</v>
      </c>
      <c r="F17" s="1283">
        <f t="shared" si="6"/>
        <v>96</v>
      </c>
      <c r="G17" s="1285">
        <f t="shared" si="6"/>
        <v>96</v>
      </c>
      <c r="H17" s="1283">
        <f t="shared" si="6"/>
        <v>131</v>
      </c>
      <c r="I17" s="1283">
        <f t="shared" si="6"/>
        <v>123</v>
      </c>
      <c r="J17" s="1283">
        <f t="shared" si="6"/>
        <v>151</v>
      </c>
      <c r="K17" s="1283">
        <f t="shared" si="6"/>
        <v>143</v>
      </c>
      <c r="L17" s="1283">
        <f t="shared" ref="L17:M19" si="7">L5+L9+L13</f>
        <v>72</v>
      </c>
      <c r="M17" s="1283">
        <f t="shared" si="7"/>
        <v>142</v>
      </c>
      <c r="N17" s="1283">
        <f t="shared" ref="N17:O19" si="8">SUM(N5,N9,N13)</f>
        <v>70</v>
      </c>
      <c r="O17" s="1283">
        <f t="shared" si="8"/>
        <v>116</v>
      </c>
      <c r="P17" s="1283">
        <f t="shared" ref="P17" si="9">SUM(P5,P9,P13)</f>
        <v>73</v>
      </c>
    </row>
    <row r="18" spans="2:16" ht="15" x14ac:dyDescent="0.2">
      <c r="B18" s="5550"/>
      <c r="C18" s="1072" t="s">
        <v>632</v>
      </c>
      <c r="D18" s="1283">
        <f t="shared" si="6"/>
        <v>231</v>
      </c>
      <c r="E18" s="1283">
        <f t="shared" si="6"/>
        <v>234</v>
      </c>
      <c r="F18" s="1283">
        <f t="shared" si="6"/>
        <v>242</v>
      </c>
      <c r="G18" s="1285">
        <f t="shared" si="6"/>
        <v>242</v>
      </c>
      <c r="H18" s="1283">
        <f t="shared" si="6"/>
        <v>263</v>
      </c>
      <c r="I18" s="1283">
        <f t="shared" si="6"/>
        <v>223</v>
      </c>
      <c r="J18" s="1283">
        <f t="shared" si="6"/>
        <v>287</v>
      </c>
      <c r="K18" s="1283">
        <f t="shared" si="6"/>
        <v>300</v>
      </c>
      <c r="L18" s="1283">
        <f t="shared" si="7"/>
        <v>360</v>
      </c>
      <c r="M18" s="1283">
        <f t="shared" si="7"/>
        <v>305</v>
      </c>
      <c r="N18" s="1283">
        <f t="shared" si="8"/>
        <v>393</v>
      </c>
      <c r="O18" s="1283">
        <f t="shared" si="8"/>
        <v>415</v>
      </c>
      <c r="P18" s="1283">
        <f t="shared" ref="P18" si="10">SUM(P6,P10,P14)</f>
        <v>469</v>
      </c>
    </row>
    <row r="19" spans="2:16" ht="15" x14ac:dyDescent="0.2">
      <c r="B19" s="5550"/>
      <c r="C19" s="1078" t="s">
        <v>633</v>
      </c>
      <c r="D19" s="1286">
        <f t="shared" si="6"/>
        <v>56</v>
      </c>
      <c r="E19" s="1286">
        <f t="shared" si="6"/>
        <v>46</v>
      </c>
      <c r="F19" s="1286">
        <f t="shared" si="6"/>
        <v>60</v>
      </c>
      <c r="G19" s="1287">
        <f t="shared" si="6"/>
        <v>57</v>
      </c>
      <c r="H19" s="1286">
        <f t="shared" si="6"/>
        <v>116</v>
      </c>
      <c r="I19" s="1286">
        <f t="shared" si="6"/>
        <v>116</v>
      </c>
      <c r="J19" s="1286">
        <f t="shared" si="6"/>
        <v>115</v>
      </c>
      <c r="K19" s="1286">
        <f t="shared" si="6"/>
        <v>156</v>
      </c>
      <c r="L19" s="1286">
        <f t="shared" si="7"/>
        <v>143</v>
      </c>
      <c r="M19" s="1286">
        <f t="shared" si="7"/>
        <v>142</v>
      </c>
      <c r="N19" s="1283">
        <f t="shared" si="8"/>
        <v>144</v>
      </c>
      <c r="O19" s="1283">
        <f t="shared" si="8"/>
        <v>167</v>
      </c>
      <c r="P19" s="1283">
        <f t="shared" ref="P19" si="11">SUM(P7,P11,P15)</f>
        <v>165</v>
      </c>
    </row>
    <row r="20" spans="2:16" ht="15" x14ac:dyDescent="0.2">
      <c r="B20" s="5551"/>
      <c r="C20" s="2669" t="s">
        <v>12</v>
      </c>
      <c r="D20" s="2683">
        <f t="shared" ref="D20:I20" si="12">SUM(D17:D19)</f>
        <v>374</v>
      </c>
      <c r="E20" s="2683">
        <f t="shared" si="12"/>
        <v>381</v>
      </c>
      <c r="F20" s="2683">
        <f t="shared" si="12"/>
        <v>398</v>
      </c>
      <c r="G20" s="2683">
        <f t="shared" si="12"/>
        <v>395</v>
      </c>
      <c r="H20" s="2683">
        <f t="shared" si="12"/>
        <v>510</v>
      </c>
      <c r="I20" s="2683">
        <f t="shared" si="12"/>
        <v>462</v>
      </c>
      <c r="J20" s="2683">
        <f>J8+J12+J16</f>
        <v>553</v>
      </c>
      <c r="K20" s="2683">
        <f>K8+K12+K16</f>
        <v>599</v>
      </c>
      <c r="L20" s="2683">
        <f>L8+L12+L16</f>
        <v>575</v>
      </c>
      <c r="M20" s="2683">
        <f>SUM(M17:M19)</f>
        <v>589</v>
      </c>
      <c r="N20" s="2683">
        <f>SUM(N17:N19)</f>
        <v>607</v>
      </c>
      <c r="O20" s="2683">
        <f>SUM(O17:O19)</f>
        <v>698</v>
      </c>
      <c r="P20" s="2683">
        <f>SUM(P17:P19)</f>
        <v>707</v>
      </c>
    </row>
    <row r="21" spans="2:16" ht="15" x14ac:dyDescent="0.2">
      <c r="B21" s="263"/>
      <c r="C21" s="936"/>
      <c r="D21" s="263"/>
      <c r="E21" s="263"/>
      <c r="F21" s="263"/>
      <c r="G21" s="263"/>
      <c r="H21" s="263"/>
      <c r="I21" s="263"/>
      <c r="J21" s="263"/>
      <c r="K21" s="263"/>
      <c r="L21" s="263"/>
      <c r="M21" s="263"/>
      <c r="N21" s="263"/>
      <c r="O21" s="263"/>
      <c r="P21" s="263"/>
    </row>
    <row r="22" spans="2:16" ht="15" x14ac:dyDescent="0.2">
      <c r="B22" s="5473" t="s">
        <v>5</v>
      </c>
      <c r="C22" s="1067" t="s">
        <v>631</v>
      </c>
      <c r="D22" s="1281"/>
      <c r="E22" s="1281"/>
      <c r="F22" s="1281"/>
      <c r="G22" s="1282"/>
      <c r="H22" s="1281"/>
      <c r="I22" s="1281"/>
      <c r="J22" s="1281"/>
      <c r="K22" s="1281"/>
      <c r="L22" s="1281"/>
      <c r="M22" s="1281"/>
      <c r="N22" s="1281"/>
      <c r="O22" s="1281"/>
      <c r="P22" s="1281"/>
    </row>
    <row r="23" spans="2:16" ht="15" x14ac:dyDescent="0.2">
      <c r="B23" s="5474"/>
      <c r="C23" s="1072" t="s">
        <v>632</v>
      </c>
      <c r="D23" s="1283">
        <v>83</v>
      </c>
      <c r="E23" s="1283">
        <v>99</v>
      </c>
      <c r="F23" s="1283">
        <v>153</v>
      </c>
      <c r="G23" s="1283">
        <v>179</v>
      </c>
      <c r="H23" s="1283">
        <v>197</v>
      </c>
      <c r="I23" s="1283">
        <v>219</v>
      </c>
      <c r="J23" s="1283">
        <v>244</v>
      </c>
      <c r="K23" s="1283">
        <v>220</v>
      </c>
      <c r="L23" s="1283">
        <v>251</v>
      </c>
      <c r="M23" s="1283">
        <v>345</v>
      </c>
      <c r="N23" s="1283">
        <f>SUM('ACTIVOS-POS plan'!O46:O52)</f>
        <v>273</v>
      </c>
      <c r="O23" s="1283">
        <f>SUM('ACTIVOS-POS plan'!P46:P52)</f>
        <v>270</v>
      </c>
      <c r="P23" s="1283">
        <f>SUM('ACTIVOS-POS plan'!Q46:Q52)</f>
        <v>280</v>
      </c>
    </row>
    <row r="24" spans="2:16" ht="15" x14ac:dyDescent="0.2">
      <c r="B24" s="5474"/>
      <c r="C24" s="1078" t="s">
        <v>633</v>
      </c>
      <c r="D24" s="1283">
        <v>260</v>
      </c>
      <c r="E24" s="1283">
        <v>250</v>
      </c>
      <c r="F24" s="1283">
        <v>248</v>
      </c>
      <c r="G24" s="1283">
        <v>241</v>
      </c>
      <c r="H24" s="1283">
        <v>235</v>
      </c>
      <c r="I24" s="1283">
        <v>207</v>
      </c>
      <c r="J24" s="1283">
        <v>197</v>
      </c>
      <c r="K24" s="1283">
        <v>234</v>
      </c>
      <c r="L24" s="1283">
        <v>246</v>
      </c>
      <c r="M24" s="1283">
        <v>175</v>
      </c>
      <c r="N24" s="1283">
        <f>SUM('ACTIVOS-POS plan'!O53:O60)</f>
        <v>283</v>
      </c>
      <c r="O24" s="1283">
        <f>SUM('ACTIVOS-POS plan'!P53:P60)</f>
        <v>296</v>
      </c>
      <c r="P24" s="1283">
        <f>SUM('ACTIVOS-POS plan'!Q53:Q60)</f>
        <v>288</v>
      </c>
    </row>
    <row r="25" spans="2:16" ht="15" x14ac:dyDescent="0.2">
      <c r="B25" s="5474"/>
      <c r="C25" s="583" t="s">
        <v>14</v>
      </c>
      <c r="D25" s="1284">
        <v>343</v>
      </c>
      <c r="E25" s="1284">
        <v>349</v>
      </c>
      <c r="F25" s="1284">
        <v>401</v>
      </c>
      <c r="G25" s="1284">
        <v>420</v>
      </c>
      <c r="H25" s="1284">
        <v>432</v>
      </c>
      <c r="I25" s="1284">
        <v>426</v>
      </c>
      <c r="J25" s="1284">
        <f>SUM(J22:J24)</f>
        <v>441</v>
      </c>
      <c r="K25" s="1284">
        <f>SUM(K22:K24)</f>
        <v>454</v>
      </c>
      <c r="L25" s="1284">
        <f>SUM(L22:L24)</f>
        <v>497</v>
      </c>
      <c r="M25" s="1284">
        <f>SUM(M23:M24)</f>
        <v>520</v>
      </c>
      <c r="N25" s="1284">
        <f>SUM(N23:N24)</f>
        <v>556</v>
      </c>
      <c r="O25" s="1284">
        <f>SUM(O23:O24)</f>
        <v>566</v>
      </c>
      <c r="P25" s="1284">
        <f>SUM(P23:P24)</f>
        <v>568</v>
      </c>
    </row>
    <row r="26" spans="2:16" ht="15" x14ac:dyDescent="0.2">
      <c r="B26" s="5473" t="s">
        <v>6</v>
      </c>
      <c r="C26" s="1067" t="s">
        <v>631</v>
      </c>
      <c r="D26" s="1283">
        <v>47</v>
      </c>
      <c r="E26" s="1283">
        <v>114</v>
      </c>
      <c r="F26" s="1283">
        <v>74</v>
      </c>
      <c r="G26" s="1283">
        <v>86</v>
      </c>
      <c r="H26" s="1283">
        <v>109</v>
      </c>
      <c r="I26" s="1283">
        <v>101</v>
      </c>
      <c r="J26" s="1283">
        <v>118</v>
      </c>
      <c r="K26" s="1283">
        <v>169</v>
      </c>
      <c r="L26" s="1283">
        <v>153</v>
      </c>
      <c r="M26" s="1283">
        <v>83</v>
      </c>
      <c r="N26" s="1283">
        <f>SUM('ACTIVOS-POS plan'!O62)</f>
        <v>36</v>
      </c>
      <c r="O26" s="1283">
        <f>SUM('ACTIVOS-POS plan'!P62)</f>
        <v>44</v>
      </c>
      <c r="P26" s="1283">
        <f>SUM('ACTIVOS-POS plan'!Q62)</f>
        <v>59</v>
      </c>
    </row>
    <row r="27" spans="2:16" ht="15" x14ac:dyDescent="0.2">
      <c r="B27" s="5474"/>
      <c r="C27" s="1072" t="s">
        <v>632</v>
      </c>
      <c r="D27" s="1283">
        <v>137</v>
      </c>
      <c r="E27" s="1283">
        <v>125</v>
      </c>
      <c r="F27" s="1283">
        <v>162</v>
      </c>
      <c r="G27" s="1283">
        <v>156</v>
      </c>
      <c r="H27" s="1283">
        <v>189</v>
      </c>
      <c r="I27" s="1283">
        <v>301</v>
      </c>
      <c r="J27" s="1283">
        <v>283</v>
      </c>
      <c r="K27" s="1283">
        <v>322</v>
      </c>
      <c r="L27" s="1283">
        <v>274</v>
      </c>
      <c r="M27" s="1283">
        <v>269</v>
      </c>
      <c r="N27" s="1283">
        <f>SUM('ACTIVOS-POS plan'!O63:O69)</f>
        <v>208</v>
      </c>
      <c r="O27" s="1283">
        <f>SUM('ACTIVOS-POS plan'!P63:P69)</f>
        <v>238</v>
      </c>
      <c r="P27" s="1283">
        <f>SUM('ACTIVOS-POS plan'!Q63:Q69)</f>
        <v>191</v>
      </c>
    </row>
    <row r="28" spans="2:16" ht="15" x14ac:dyDescent="0.2">
      <c r="B28" s="5474"/>
      <c r="C28" s="1078" t="s">
        <v>633</v>
      </c>
      <c r="D28" s="1283">
        <v>262</v>
      </c>
      <c r="E28" s="1283">
        <v>279</v>
      </c>
      <c r="F28" s="1283">
        <v>248</v>
      </c>
      <c r="G28" s="1283">
        <v>224</v>
      </c>
      <c r="H28" s="1283">
        <v>212</v>
      </c>
      <c r="I28" s="1283">
        <v>247</v>
      </c>
      <c r="J28" s="1283">
        <v>284</v>
      </c>
      <c r="K28" s="1283">
        <v>375</v>
      </c>
      <c r="L28" s="1283">
        <v>398</v>
      </c>
      <c r="M28" s="1283">
        <v>417</v>
      </c>
      <c r="N28" s="1283">
        <f>SUM('ACTIVOS-POS plan'!O70:O74)</f>
        <v>405</v>
      </c>
      <c r="O28" s="1283">
        <f>SUM('ACTIVOS-POS plan'!P70:P74)</f>
        <v>432</v>
      </c>
      <c r="P28" s="1283">
        <f>SUM('ACTIVOS-POS plan'!Q70:Q74)</f>
        <v>390</v>
      </c>
    </row>
    <row r="29" spans="2:16" ht="15" x14ac:dyDescent="0.2">
      <c r="B29" s="5474"/>
      <c r="C29" s="583" t="s">
        <v>420</v>
      </c>
      <c r="D29" s="1284">
        <v>446</v>
      </c>
      <c r="E29" s="1284">
        <v>518</v>
      </c>
      <c r="F29" s="1284">
        <v>484</v>
      </c>
      <c r="G29" s="1284">
        <v>466</v>
      </c>
      <c r="H29" s="1284">
        <v>510</v>
      </c>
      <c r="I29" s="1284">
        <v>649</v>
      </c>
      <c r="J29" s="1284">
        <f t="shared" ref="J29:O29" si="13">SUM(J26:J28)</f>
        <v>685</v>
      </c>
      <c r="K29" s="1284">
        <f t="shared" si="13"/>
        <v>866</v>
      </c>
      <c r="L29" s="1284">
        <f t="shared" si="13"/>
        <v>825</v>
      </c>
      <c r="M29" s="1284">
        <f t="shared" si="13"/>
        <v>769</v>
      </c>
      <c r="N29" s="1284">
        <f t="shared" si="13"/>
        <v>649</v>
      </c>
      <c r="O29" s="1284">
        <f t="shared" si="13"/>
        <v>714</v>
      </c>
      <c r="P29" s="1284">
        <f t="shared" ref="P29" si="14">SUM(P26:P28)</f>
        <v>640</v>
      </c>
    </row>
    <row r="30" spans="2:16" ht="15" x14ac:dyDescent="0.2">
      <c r="B30" s="5473" t="s">
        <v>11</v>
      </c>
      <c r="C30" s="1067" t="s">
        <v>631</v>
      </c>
      <c r="D30" s="1283">
        <v>53</v>
      </c>
      <c r="E30" s="1283">
        <v>50</v>
      </c>
      <c r="F30" s="1283">
        <v>51</v>
      </c>
      <c r="G30" s="1283">
        <v>54</v>
      </c>
      <c r="H30" s="1283">
        <v>67</v>
      </c>
      <c r="I30" s="1283">
        <v>61</v>
      </c>
      <c r="J30" s="1283">
        <v>63</v>
      </c>
      <c r="K30" s="1283">
        <v>63</v>
      </c>
      <c r="L30" s="1283">
        <v>66</v>
      </c>
      <c r="M30" s="1283">
        <v>65</v>
      </c>
      <c r="N30" s="1283">
        <f>SUM('ACTIVOS-POS plan'!O76:O77)</f>
        <v>63</v>
      </c>
      <c r="O30" s="1283">
        <f>SUM('ACTIVOS-POS plan'!P76:P77)</f>
        <v>55</v>
      </c>
      <c r="P30" s="1283">
        <f>SUM('ACTIVOS-POS plan'!Q76:Q77)</f>
        <v>51</v>
      </c>
    </row>
    <row r="31" spans="2:16" ht="15" x14ac:dyDescent="0.2">
      <c r="B31" s="5474"/>
      <c r="C31" s="1072" t="s">
        <v>632</v>
      </c>
      <c r="D31" s="1283">
        <v>133</v>
      </c>
      <c r="E31" s="1283">
        <v>118</v>
      </c>
      <c r="F31" s="1283">
        <v>102</v>
      </c>
      <c r="G31" s="1283">
        <v>103</v>
      </c>
      <c r="H31" s="1283">
        <v>137</v>
      </c>
      <c r="I31" s="1283">
        <v>158</v>
      </c>
      <c r="J31" s="1283">
        <v>195</v>
      </c>
      <c r="K31" s="1283">
        <v>181</v>
      </c>
      <c r="L31" s="1283">
        <v>198</v>
      </c>
      <c r="M31" s="1283">
        <v>209</v>
      </c>
      <c r="N31" s="1283">
        <f>SUM('ACTIVOS-POS plan'!O78:O81)</f>
        <v>233</v>
      </c>
      <c r="O31" s="1283">
        <f>SUM('ACTIVOS-POS plan'!P78:P81)</f>
        <v>249</v>
      </c>
      <c r="P31" s="1283">
        <f>SUM('ACTIVOS-POS plan'!Q78:Q81)</f>
        <v>241</v>
      </c>
    </row>
    <row r="32" spans="2:16" ht="15" x14ac:dyDescent="0.2">
      <c r="B32" s="5474"/>
      <c r="C32" s="1078" t="s">
        <v>633</v>
      </c>
      <c r="D32" s="1283">
        <v>167</v>
      </c>
      <c r="E32" s="1283">
        <v>174</v>
      </c>
      <c r="F32" s="1283">
        <v>175</v>
      </c>
      <c r="G32" s="1283">
        <v>167</v>
      </c>
      <c r="H32" s="1283">
        <v>168</v>
      </c>
      <c r="I32" s="1283">
        <v>165</v>
      </c>
      <c r="J32" s="1283">
        <v>179</v>
      </c>
      <c r="K32" s="1283">
        <v>217</v>
      </c>
      <c r="L32" s="1283">
        <v>235</v>
      </c>
      <c r="M32" s="1283">
        <v>263</v>
      </c>
      <c r="N32" s="1283">
        <f>SUM('ACTIVOS-POS plan'!O82:O84)</f>
        <v>272</v>
      </c>
      <c r="O32" s="1283">
        <f>SUM('ACTIVOS-POS plan'!P82:P84)</f>
        <v>291</v>
      </c>
      <c r="P32" s="1283">
        <f>SUM('ACTIVOS-POS plan'!Q82:Q84)</f>
        <v>302</v>
      </c>
    </row>
    <row r="33" spans="2:16" ht="15" x14ac:dyDescent="0.2">
      <c r="B33" s="5474"/>
      <c r="C33" s="583" t="s">
        <v>421</v>
      </c>
      <c r="D33" s="1284">
        <v>353</v>
      </c>
      <c r="E33" s="1284">
        <v>342</v>
      </c>
      <c r="F33" s="1284">
        <v>328</v>
      </c>
      <c r="G33" s="1284">
        <v>324</v>
      </c>
      <c r="H33" s="1284">
        <v>372</v>
      </c>
      <c r="I33" s="1284">
        <v>384</v>
      </c>
      <c r="J33" s="1284">
        <f t="shared" ref="J33:O33" si="15">SUM(J30:J32)</f>
        <v>437</v>
      </c>
      <c r="K33" s="1284">
        <f t="shared" si="15"/>
        <v>461</v>
      </c>
      <c r="L33" s="1284">
        <f t="shared" si="15"/>
        <v>499</v>
      </c>
      <c r="M33" s="1284">
        <f t="shared" si="15"/>
        <v>537</v>
      </c>
      <c r="N33" s="1284">
        <f t="shared" si="15"/>
        <v>568</v>
      </c>
      <c r="O33" s="1284">
        <f t="shared" si="15"/>
        <v>595</v>
      </c>
      <c r="P33" s="1284">
        <f t="shared" ref="P33" si="16">SUM(P30:P32)</f>
        <v>594</v>
      </c>
    </row>
    <row r="34" spans="2:16" ht="15" customHeight="1" x14ac:dyDescent="0.2">
      <c r="B34" s="5552" t="s">
        <v>696</v>
      </c>
      <c r="C34" s="1067" t="s">
        <v>631</v>
      </c>
      <c r="D34" s="1283">
        <f t="shared" ref="D34:K36" si="17">D22+D26+D30</f>
        <v>100</v>
      </c>
      <c r="E34" s="1283">
        <f t="shared" si="17"/>
        <v>164</v>
      </c>
      <c r="F34" s="1283">
        <f t="shared" si="17"/>
        <v>125</v>
      </c>
      <c r="G34" s="1285">
        <f t="shared" si="17"/>
        <v>140</v>
      </c>
      <c r="H34" s="1283">
        <f t="shared" si="17"/>
        <v>176</v>
      </c>
      <c r="I34" s="1283">
        <f t="shared" si="17"/>
        <v>162</v>
      </c>
      <c r="J34" s="1283">
        <f t="shared" si="17"/>
        <v>181</v>
      </c>
      <c r="K34" s="1283">
        <f t="shared" si="17"/>
        <v>232</v>
      </c>
      <c r="L34" s="1283">
        <f t="shared" ref="L34:M36" si="18">L22+L26+L30</f>
        <v>219</v>
      </c>
      <c r="M34" s="1283">
        <f t="shared" si="18"/>
        <v>148</v>
      </c>
      <c r="N34" s="1283">
        <f t="shared" ref="N34:O36" si="19">SUM(N22,N26,N30)</f>
        <v>99</v>
      </c>
      <c r="O34" s="1283">
        <f t="shared" si="19"/>
        <v>99</v>
      </c>
      <c r="P34" s="1283">
        <f t="shared" ref="P34" si="20">SUM(P22,P26,P30)</f>
        <v>110</v>
      </c>
    </row>
    <row r="35" spans="2:16" ht="15" x14ac:dyDescent="0.2">
      <c r="B35" s="5553"/>
      <c r="C35" s="1072" t="s">
        <v>632</v>
      </c>
      <c r="D35" s="1283">
        <f t="shared" si="17"/>
        <v>353</v>
      </c>
      <c r="E35" s="1283">
        <f t="shared" si="17"/>
        <v>342</v>
      </c>
      <c r="F35" s="1283">
        <f t="shared" si="17"/>
        <v>417</v>
      </c>
      <c r="G35" s="1285">
        <f t="shared" si="17"/>
        <v>438</v>
      </c>
      <c r="H35" s="1283">
        <f t="shared" si="17"/>
        <v>523</v>
      </c>
      <c r="I35" s="1283">
        <f t="shared" si="17"/>
        <v>678</v>
      </c>
      <c r="J35" s="1283">
        <f t="shared" si="17"/>
        <v>722</v>
      </c>
      <c r="K35" s="1283">
        <f t="shared" si="17"/>
        <v>723</v>
      </c>
      <c r="L35" s="1283">
        <f t="shared" si="18"/>
        <v>723</v>
      </c>
      <c r="M35" s="1283">
        <f t="shared" si="18"/>
        <v>823</v>
      </c>
      <c r="N35" s="1283">
        <f t="shared" si="19"/>
        <v>714</v>
      </c>
      <c r="O35" s="1283">
        <f t="shared" si="19"/>
        <v>757</v>
      </c>
      <c r="P35" s="1283">
        <f t="shared" ref="P35" si="21">SUM(P23,P27,P31)</f>
        <v>712</v>
      </c>
    </row>
    <row r="36" spans="2:16" ht="15" x14ac:dyDescent="0.2">
      <c r="B36" s="5553"/>
      <c r="C36" s="1078" t="s">
        <v>633</v>
      </c>
      <c r="D36" s="1283">
        <f t="shared" si="17"/>
        <v>689</v>
      </c>
      <c r="E36" s="1283">
        <f t="shared" si="17"/>
        <v>703</v>
      </c>
      <c r="F36" s="1283">
        <f t="shared" si="17"/>
        <v>671</v>
      </c>
      <c r="G36" s="1285">
        <f t="shared" si="17"/>
        <v>632</v>
      </c>
      <c r="H36" s="1283">
        <f t="shared" si="17"/>
        <v>615</v>
      </c>
      <c r="I36" s="1283">
        <f t="shared" si="17"/>
        <v>619</v>
      </c>
      <c r="J36" s="1283">
        <f t="shared" si="17"/>
        <v>660</v>
      </c>
      <c r="K36" s="1283">
        <f t="shared" si="17"/>
        <v>826</v>
      </c>
      <c r="L36" s="1283">
        <f t="shared" si="18"/>
        <v>879</v>
      </c>
      <c r="M36" s="1283">
        <f t="shared" si="18"/>
        <v>855</v>
      </c>
      <c r="N36" s="1283">
        <f t="shared" si="19"/>
        <v>960</v>
      </c>
      <c r="O36" s="1283">
        <f t="shared" si="19"/>
        <v>1019</v>
      </c>
      <c r="P36" s="1283">
        <f t="shared" ref="P36" si="22">SUM(P24,P28,P32)</f>
        <v>980</v>
      </c>
    </row>
    <row r="37" spans="2:16" ht="15" x14ac:dyDescent="0.2">
      <c r="B37" s="5554"/>
      <c r="C37" s="2668" t="s">
        <v>12</v>
      </c>
      <c r="D37" s="2682">
        <f t="shared" ref="D37:I37" si="23">SUM(D34:D36)</f>
        <v>1142</v>
      </c>
      <c r="E37" s="2682">
        <f t="shared" si="23"/>
        <v>1209</v>
      </c>
      <c r="F37" s="2682">
        <f t="shared" si="23"/>
        <v>1213</v>
      </c>
      <c r="G37" s="2682">
        <f t="shared" si="23"/>
        <v>1210</v>
      </c>
      <c r="H37" s="2682">
        <f t="shared" si="23"/>
        <v>1314</v>
      </c>
      <c r="I37" s="2682">
        <f t="shared" si="23"/>
        <v>1459</v>
      </c>
      <c r="J37" s="2682">
        <f>J25+J29+J33</f>
        <v>1563</v>
      </c>
      <c r="K37" s="2682">
        <f>K25+K29+K33</f>
        <v>1781</v>
      </c>
      <c r="L37" s="2682">
        <f>L25+L29+L33</f>
        <v>1821</v>
      </c>
      <c r="M37" s="2682">
        <f>SUM(M34:M36)</f>
        <v>1826</v>
      </c>
      <c r="N37" s="2682">
        <f>SUM(N34:N36)</f>
        <v>1773</v>
      </c>
      <c r="O37" s="2682">
        <f>SUM(O34:O36)</f>
        <v>1875</v>
      </c>
      <c r="P37" s="2682">
        <f>SUM(P34:P36)</f>
        <v>1802</v>
      </c>
    </row>
    <row r="38" spans="2:16" ht="15" x14ac:dyDescent="0.2">
      <c r="B38" s="263"/>
      <c r="C38" s="263"/>
      <c r="D38" s="263"/>
      <c r="E38" s="263"/>
      <c r="F38" s="263"/>
      <c r="G38" s="263"/>
      <c r="H38" s="263"/>
      <c r="I38" s="263"/>
      <c r="J38" s="263"/>
      <c r="K38" s="263"/>
      <c r="L38" s="263"/>
      <c r="M38" s="263"/>
      <c r="N38" s="263"/>
      <c r="O38" s="263"/>
      <c r="P38" s="263"/>
    </row>
    <row r="39" spans="2:16" ht="15" x14ac:dyDescent="0.2">
      <c r="B39" s="5478" t="s">
        <v>6</v>
      </c>
      <c r="C39" s="1067" t="s">
        <v>631</v>
      </c>
      <c r="D39" s="1281">
        <v>24</v>
      </c>
      <c r="E39" s="1281">
        <v>6</v>
      </c>
      <c r="F39" s="1281">
        <v>4</v>
      </c>
      <c r="G39" s="1281">
        <v>5</v>
      </c>
      <c r="H39" s="1281">
        <v>21</v>
      </c>
      <c r="I39" s="1281">
        <v>25</v>
      </c>
      <c r="J39" s="1281">
        <v>22</v>
      </c>
      <c r="K39" s="1281">
        <v>19</v>
      </c>
      <c r="L39" s="1281">
        <v>36</v>
      </c>
      <c r="M39" s="1281">
        <v>39</v>
      </c>
      <c r="N39" s="1281">
        <f>SUM('ACTIVOS-POS plan'!O87:O89)</f>
        <v>34</v>
      </c>
      <c r="O39" s="1281">
        <f>SUM('ACTIVOS-POS plan'!P87:P89)</f>
        <v>2</v>
      </c>
      <c r="P39" s="1281">
        <f>SUM('ACTIVOS-POS plan'!Q87:Q89)</f>
        <v>0</v>
      </c>
    </row>
    <row r="40" spans="2:16" ht="15" x14ac:dyDescent="0.2">
      <c r="B40" s="5479"/>
      <c r="C40" s="1072" t="s">
        <v>632</v>
      </c>
      <c r="D40" s="1283">
        <v>188</v>
      </c>
      <c r="E40" s="1283">
        <v>275</v>
      </c>
      <c r="F40" s="1283">
        <v>192</v>
      </c>
      <c r="G40" s="1283">
        <v>267</v>
      </c>
      <c r="H40" s="1283">
        <v>200</v>
      </c>
      <c r="I40" s="1283">
        <v>271</v>
      </c>
      <c r="J40" s="1283">
        <v>244</v>
      </c>
      <c r="K40" s="1283">
        <v>297</v>
      </c>
      <c r="L40" s="1283">
        <v>182</v>
      </c>
      <c r="M40" s="1283">
        <v>285</v>
      </c>
      <c r="N40" s="1283">
        <f>SUM('ACTIVOS-POS plan'!O90:O98)</f>
        <v>213</v>
      </c>
      <c r="O40" s="1283">
        <f>SUM('ACTIVOS-POS plan'!P90:P98)</f>
        <v>304</v>
      </c>
      <c r="P40" s="1283">
        <f>SUM('ACTIVOS-POS plan'!Q90:Q98)</f>
        <v>222</v>
      </c>
    </row>
    <row r="41" spans="2:16" ht="15" x14ac:dyDescent="0.2">
      <c r="B41" s="5479"/>
      <c r="C41" s="1078" t="s">
        <v>633</v>
      </c>
      <c r="D41" s="1283">
        <v>142</v>
      </c>
      <c r="E41" s="1283">
        <v>100</v>
      </c>
      <c r="F41" s="1283">
        <v>136</v>
      </c>
      <c r="G41" s="1283">
        <v>118</v>
      </c>
      <c r="H41" s="1283">
        <v>187</v>
      </c>
      <c r="I41" s="1283">
        <v>156</v>
      </c>
      <c r="J41" s="1283">
        <v>202</v>
      </c>
      <c r="K41" s="1283">
        <v>171</v>
      </c>
      <c r="L41" s="1283">
        <v>211</v>
      </c>
      <c r="M41" s="1283">
        <v>143</v>
      </c>
      <c r="N41" s="1283">
        <f>SUM('ACTIVOS-POS plan'!O99:O101)</f>
        <v>178</v>
      </c>
      <c r="O41" s="1283">
        <f>SUM('ACTIVOS-POS plan'!P99:P101)</f>
        <v>148</v>
      </c>
      <c r="P41" s="1283">
        <f>SUM('ACTIVOS-POS plan'!Q99:Q101)</f>
        <v>183</v>
      </c>
    </row>
    <row r="42" spans="2:16" ht="15" x14ac:dyDescent="0.2">
      <c r="B42" s="5479"/>
      <c r="C42" s="583" t="s">
        <v>13</v>
      </c>
      <c r="D42" s="1284">
        <v>354</v>
      </c>
      <c r="E42" s="1284">
        <v>381</v>
      </c>
      <c r="F42" s="1284">
        <v>332</v>
      </c>
      <c r="G42" s="1284">
        <v>390</v>
      </c>
      <c r="H42" s="1284">
        <v>408</v>
      </c>
      <c r="I42" s="1284">
        <v>452</v>
      </c>
      <c r="J42" s="1284">
        <f t="shared" ref="J42:O42" si="24">SUM(J39:J41)</f>
        <v>468</v>
      </c>
      <c r="K42" s="1284">
        <f t="shared" si="24"/>
        <v>487</v>
      </c>
      <c r="L42" s="1284">
        <f t="shared" si="24"/>
        <v>429</v>
      </c>
      <c r="M42" s="1284">
        <f t="shared" si="24"/>
        <v>467</v>
      </c>
      <c r="N42" s="1284">
        <f t="shared" si="24"/>
        <v>425</v>
      </c>
      <c r="O42" s="1284">
        <f t="shared" si="24"/>
        <v>454</v>
      </c>
      <c r="P42" s="1284">
        <f t="shared" ref="P42" si="25">SUM(P39:P41)</f>
        <v>405</v>
      </c>
    </row>
    <row r="43" spans="2:16" ht="15" x14ac:dyDescent="0.2">
      <c r="B43" s="5478" t="s">
        <v>11</v>
      </c>
      <c r="C43" s="1067" t="s">
        <v>631</v>
      </c>
      <c r="D43" s="1283">
        <v>12</v>
      </c>
      <c r="E43" s="1283">
        <v>11</v>
      </c>
      <c r="F43" s="1283">
        <v>0</v>
      </c>
      <c r="G43" s="1283">
        <v>13</v>
      </c>
      <c r="H43" s="1283">
        <v>8</v>
      </c>
      <c r="I43" s="1283">
        <v>12</v>
      </c>
      <c r="J43" s="1283">
        <v>11</v>
      </c>
      <c r="K43" s="1283"/>
      <c r="L43" s="1283">
        <v>36</v>
      </c>
      <c r="M43" s="1283">
        <v>17</v>
      </c>
      <c r="N43" s="1283">
        <f>SUM('ACTIVOS-POS plan'!O103:O105)</f>
        <v>13</v>
      </c>
      <c r="O43" s="1283">
        <f>SUM('ACTIVOS-POS plan'!P103:P105)</f>
        <v>0</v>
      </c>
      <c r="P43" s="1283">
        <f>SUM('ACTIVOS-POS plan'!Q103:Q105)</f>
        <v>0</v>
      </c>
    </row>
    <row r="44" spans="2:16" ht="15" x14ac:dyDescent="0.2">
      <c r="B44" s="5479"/>
      <c r="C44" s="1072" t="s">
        <v>632</v>
      </c>
      <c r="D44" s="1283">
        <v>144</v>
      </c>
      <c r="E44" s="1283">
        <v>94</v>
      </c>
      <c r="F44" s="1283">
        <v>154</v>
      </c>
      <c r="G44" s="1283">
        <v>155</v>
      </c>
      <c r="H44" s="1283">
        <v>180</v>
      </c>
      <c r="I44" s="1283">
        <v>170</v>
      </c>
      <c r="J44" s="1283">
        <v>195</v>
      </c>
      <c r="K44" s="1283">
        <v>200</v>
      </c>
      <c r="L44" s="1283">
        <v>193</v>
      </c>
      <c r="M44" s="1283">
        <v>193</v>
      </c>
      <c r="N44" s="1283">
        <f>SUM('ACTIVOS-POS plan'!O106:O112)</f>
        <v>242</v>
      </c>
      <c r="O44" s="1283">
        <f>SUM('ACTIVOS-POS plan'!P106:P113)</f>
        <v>212</v>
      </c>
      <c r="P44" s="1283">
        <f>SUM('ACTIVOS-POS plan'!Q106:Q113)</f>
        <v>258</v>
      </c>
    </row>
    <row r="45" spans="2:16" ht="15" x14ac:dyDescent="0.2">
      <c r="B45" s="5479"/>
      <c r="C45" s="1078" t="s">
        <v>633</v>
      </c>
      <c r="D45" s="1283">
        <v>77</v>
      </c>
      <c r="E45" s="1283">
        <v>65</v>
      </c>
      <c r="F45" s="1283">
        <v>72</v>
      </c>
      <c r="G45" s="1283">
        <v>81</v>
      </c>
      <c r="H45" s="1283">
        <v>98</v>
      </c>
      <c r="I45" s="1283">
        <v>89</v>
      </c>
      <c r="J45" s="1283">
        <v>104</v>
      </c>
      <c r="K45" s="1283">
        <v>110</v>
      </c>
      <c r="L45" s="1283">
        <v>104</v>
      </c>
      <c r="M45" s="1283">
        <v>114</v>
      </c>
      <c r="N45" s="1283">
        <f>SUM('ACTIVOS-POS plan'!O114:O116)</f>
        <v>118</v>
      </c>
      <c r="O45" s="1283">
        <f>SUM('ACTIVOS-POS plan'!P114:P116)</f>
        <v>127</v>
      </c>
      <c r="P45" s="1283">
        <f>SUM('ACTIVOS-POS plan'!Q114:Q116)</f>
        <v>128</v>
      </c>
    </row>
    <row r="46" spans="2:16" ht="15" x14ac:dyDescent="0.2">
      <c r="B46" s="5479"/>
      <c r="C46" s="583" t="s">
        <v>14</v>
      </c>
      <c r="D46" s="1284">
        <v>233</v>
      </c>
      <c r="E46" s="1284">
        <v>170</v>
      </c>
      <c r="F46" s="1284">
        <v>226</v>
      </c>
      <c r="G46" s="1284">
        <v>249</v>
      </c>
      <c r="H46" s="1284">
        <v>286</v>
      </c>
      <c r="I46" s="1284">
        <v>271</v>
      </c>
      <c r="J46" s="1284">
        <f t="shared" ref="J46:O46" si="26">SUM(J43:J45)</f>
        <v>310</v>
      </c>
      <c r="K46" s="1284">
        <f t="shared" si="26"/>
        <v>310</v>
      </c>
      <c r="L46" s="1284">
        <f t="shared" si="26"/>
        <v>333</v>
      </c>
      <c r="M46" s="1284">
        <f t="shared" si="26"/>
        <v>324</v>
      </c>
      <c r="N46" s="1284">
        <f t="shared" si="26"/>
        <v>373</v>
      </c>
      <c r="O46" s="1284">
        <f t="shared" si="26"/>
        <v>339</v>
      </c>
      <c r="P46" s="1284">
        <f t="shared" ref="P46" si="27">SUM(P43:P45)</f>
        <v>386</v>
      </c>
    </row>
    <row r="47" spans="2:16" ht="15" x14ac:dyDescent="0.2">
      <c r="B47" s="5478" t="s">
        <v>7</v>
      </c>
      <c r="C47" s="1067" t="s">
        <v>631</v>
      </c>
      <c r="D47" s="1283"/>
      <c r="E47" s="1283"/>
      <c r="F47" s="1283"/>
      <c r="G47" s="1283"/>
      <c r="H47" s="1283"/>
      <c r="I47" s="1283"/>
      <c r="J47" s="1283"/>
      <c r="K47" s="1283"/>
      <c r="L47" s="1283"/>
      <c r="M47" s="1283"/>
      <c r="N47" s="1283"/>
      <c r="O47" s="1283"/>
      <c r="P47" s="1283"/>
    </row>
    <row r="48" spans="2:16" ht="15" x14ac:dyDescent="0.2">
      <c r="B48" s="5479"/>
      <c r="C48" s="1072" t="s">
        <v>632</v>
      </c>
      <c r="D48" s="1283">
        <v>40</v>
      </c>
      <c r="E48" s="1283">
        <v>67</v>
      </c>
      <c r="F48" s="1283">
        <v>68</v>
      </c>
      <c r="G48" s="1283">
        <v>70</v>
      </c>
      <c r="H48" s="1283">
        <v>66</v>
      </c>
      <c r="I48" s="1283">
        <v>62</v>
      </c>
      <c r="J48" s="1283">
        <v>113</v>
      </c>
      <c r="K48" s="1283">
        <v>110</v>
      </c>
      <c r="L48" s="1283">
        <v>147</v>
      </c>
      <c r="M48" s="1283">
        <v>100</v>
      </c>
      <c r="N48" s="1283">
        <f>SUM('ACTIVOS-POS plan'!O118:O120)</f>
        <v>145</v>
      </c>
      <c r="O48" s="1283">
        <f>SUM('ACTIVOS-POS plan'!P118:P120)</f>
        <v>114</v>
      </c>
      <c r="P48" s="1283">
        <f>SUM('ACTIVOS-POS plan'!Q118:Q120)</f>
        <v>159</v>
      </c>
    </row>
    <row r="49" spans="2:16" ht="15" x14ac:dyDescent="0.2">
      <c r="B49" s="5479"/>
      <c r="C49" s="1078" t="s">
        <v>633</v>
      </c>
      <c r="D49" s="1283">
        <v>11</v>
      </c>
      <c r="E49" s="1283">
        <v>24</v>
      </c>
      <c r="F49" s="1283">
        <v>19</v>
      </c>
      <c r="G49" s="1283">
        <v>30</v>
      </c>
      <c r="H49" s="1283">
        <v>33</v>
      </c>
      <c r="I49" s="1283">
        <v>38</v>
      </c>
      <c r="J49" s="1283">
        <v>42</v>
      </c>
      <c r="K49" s="1283">
        <v>39</v>
      </c>
      <c r="L49" s="1283">
        <v>43</v>
      </c>
      <c r="M49" s="1283">
        <v>45</v>
      </c>
      <c r="N49" s="1283">
        <f>SUM('ACTIVOS-POS plan'!O121)</f>
        <v>47</v>
      </c>
      <c r="O49" s="1283">
        <f>SUM('ACTIVOS-POS plan'!P121)</f>
        <v>49</v>
      </c>
      <c r="P49" s="1283">
        <f>SUM('ACTIVOS-POS plan'!Q121)</f>
        <v>40</v>
      </c>
    </row>
    <row r="50" spans="2:16" ht="15" x14ac:dyDescent="0.2">
      <c r="B50" s="5479"/>
      <c r="C50" s="583" t="s">
        <v>30</v>
      </c>
      <c r="D50" s="1284">
        <v>51</v>
      </c>
      <c r="E50" s="1284">
        <v>91</v>
      </c>
      <c r="F50" s="1284">
        <v>87</v>
      </c>
      <c r="G50" s="1284">
        <v>100</v>
      </c>
      <c r="H50" s="1284">
        <v>99</v>
      </c>
      <c r="I50" s="1284">
        <v>100</v>
      </c>
      <c r="J50" s="1284">
        <f>SUM(J47:J49)</f>
        <v>155</v>
      </c>
      <c r="K50" s="1284">
        <f>SUM(K47:K49)</f>
        <v>149</v>
      </c>
      <c r="L50" s="1284">
        <f>SUM(L47:L49)</f>
        <v>190</v>
      </c>
      <c r="M50" s="1284">
        <f>SUM(M48:M49)</f>
        <v>145</v>
      </c>
      <c r="N50" s="1284">
        <f>SUM(N48:N49)</f>
        <v>192</v>
      </c>
      <c r="O50" s="1284">
        <f>SUM(O48:O49)</f>
        <v>163</v>
      </c>
      <c r="P50" s="1284">
        <f>SUM(P48:P49)</f>
        <v>199</v>
      </c>
    </row>
    <row r="51" spans="2:16" ht="12.75" customHeight="1" x14ac:dyDescent="0.2">
      <c r="B51" s="5555" t="s">
        <v>697</v>
      </c>
      <c r="C51" s="1067" t="s">
        <v>631</v>
      </c>
      <c r="D51" s="1283">
        <f t="shared" ref="D51:K53" si="28">D39+D43+D47</f>
        <v>36</v>
      </c>
      <c r="E51" s="1283">
        <f t="shared" si="28"/>
        <v>17</v>
      </c>
      <c r="F51" s="1283">
        <f t="shared" si="28"/>
        <v>4</v>
      </c>
      <c r="G51" s="1283">
        <f t="shared" si="28"/>
        <v>18</v>
      </c>
      <c r="H51" s="1283">
        <f t="shared" si="28"/>
        <v>29</v>
      </c>
      <c r="I51" s="1283">
        <f t="shared" si="28"/>
        <v>37</v>
      </c>
      <c r="J51" s="1283">
        <f t="shared" si="28"/>
        <v>33</v>
      </c>
      <c r="K51" s="1283">
        <f t="shared" si="28"/>
        <v>19</v>
      </c>
      <c r="L51" s="1283">
        <f t="shared" ref="L51:M53" si="29">L39+L43+L47</f>
        <v>72</v>
      </c>
      <c r="M51" s="1283">
        <f t="shared" si="29"/>
        <v>56</v>
      </c>
      <c r="N51" s="1283">
        <f t="shared" ref="N51:O53" si="30">SUM(N39,N43,N47)</f>
        <v>47</v>
      </c>
      <c r="O51" s="1283">
        <f t="shared" si="30"/>
        <v>2</v>
      </c>
      <c r="P51" s="1283">
        <f t="shared" ref="P51" si="31">SUM(P39,P43,P47)</f>
        <v>0</v>
      </c>
    </row>
    <row r="52" spans="2:16" ht="15" x14ac:dyDescent="0.2">
      <c r="B52" s="5556"/>
      <c r="C52" s="1072" t="s">
        <v>632</v>
      </c>
      <c r="D52" s="1283">
        <f t="shared" si="28"/>
        <v>372</v>
      </c>
      <c r="E52" s="1283">
        <f t="shared" si="28"/>
        <v>436</v>
      </c>
      <c r="F52" s="1283">
        <f t="shared" si="28"/>
        <v>414</v>
      </c>
      <c r="G52" s="1283">
        <f t="shared" si="28"/>
        <v>492</v>
      </c>
      <c r="H52" s="1283">
        <f t="shared" si="28"/>
        <v>446</v>
      </c>
      <c r="I52" s="1283">
        <f t="shared" si="28"/>
        <v>503</v>
      </c>
      <c r="J52" s="1283">
        <f t="shared" si="28"/>
        <v>552</v>
      </c>
      <c r="K52" s="1283">
        <f t="shared" si="28"/>
        <v>607</v>
      </c>
      <c r="L52" s="1283">
        <f t="shared" si="29"/>
        <v>522</v>
      </c>
      <c r="M52" s="1283">
        <f t="shared" si="29"/>
        <v>578</v>
      </c>
      <c r="N52" s="1283">
        <f t="shared" si="30"/>
        <v>600</v>
      </c>
      <c r="O52" s="1283">
        <f t="shared" si="30"/>
        <v>630</v>
      </c>
      <c r="P52" s="1283">
        <f t="shared" ref="P52" si="32">SUM(P40,P44,P48)</f>
        <v>639</v>
      </c>
    </row>
    <row r="53" spans="2:16" ht="15" x14ac:dyDescent="0.2">
      <c r="B53" s="5556"/>
      <c r="C53" s="1078" t="s">
        <v>633</v>
      </c>
      <c r="D53" s="1283">
        <f t="shared" si="28"/>
        <v>230</v>
      </c>
      <c r="E53" s="1283">
        <f t="shared" si="28"/>
        <v>189</v>
      </c>
      <c r="F53" s="1283">
        <f t="shared" si="28"/>
        <v>227</v>
      </c>
      <c r="G53" s="1283">
        <f t="shared" si="28"/>
        <v>229</v>
      </c>
      <c r="H53" s="1283">
        <f t="shared" si="28"/>
        <v>318</v>
      </c>
      <c r="I53" s="1283">
        <f t="shared" si="28"/>
        <v>283</v>
      </c>
      <c r="J53" s="1283">
        <f t="shared" si="28"/>
        <v>348</v>
      </c>
      <c r="K53" s="1283">
        <f t="shared" si="28"/>
        <v>320</v>
      </c>
      <c r="L53" s="1283">
        <f t="shared" si="29"/>
        <v>358</v>
      </c>
      <c r="M53" s="1283">
        <f t="shared" si="29"/>
        <v>302</v>
      </c>
      <c r="N53" s="1283">
        <f t="shared" si="30"/>
        <v>343</v>
      </c>
      <c r="O53" s="1283">
        <f t="shared" si="30"/>
        <v>324</v>
      </c>
      <c r="P53" s="1283">
        <f t="shared" ref="P53" si="33">SUM(P41,P45,P49)</f>
        <v>351</v>
      </c>
    </row>
    <row r="54" spans="2:16" ht="15" x14ac:dyDescent="0.2">
      <c r="B54" s="5557"/>
      <c r="C54" s="2666" t="s">
        <v>12</v>
      </c>
      <c r="D54" s="2681">
        <f t="shared" ref="D54:I54" si="34">SUM(D51:D53)</f>
        <v>638</v>
      </c>
      <c r="E54" s="2681">
        <f t="shared" si="34"/>
        <v>642</v>
      </c>
      <c r="F54" s="2681">
        <f t="shared" si="34"/>
        <v>645</v>
      </c>
      <c r="G54" s="2681">
        <f t="shared" si="34"/>
        <v>739</v>
      </c>
      <c r="H54" s="2681">
        <f t="shared" si="34"/>
        <v>793</v>
      </c>
      <c r="I54" s="2681">
        <f t="shared" si="34"/>
        <v>823</v>
      </c>
      <c r="J54" s="2681">
        <f>J42+J46+J50</f>
        <v>933</v>
      </c>
      <c r="K54" s="2681">
        <f>K42+K46+K50</f>
        <v>946</v>
      </c>
      <c r="L54" s="2681">
        <f>L42+L46+L50</f>
        <v>952</v>
      </c>
      <c r="M54" s="2681">
        <f>SUM(M51:M53)</f>
        <v>936</v>
      </c>
      <c r="N54" s="2681">
        <f>SUM(N51:N53)</f>
        <v>990</v>
      </c>
      <c r="O54" s="2681">
        <f>SUM(O51:O53)</f>
        <v>956</v>
      </c>
      <c r="P54" s="2681">
        <f>SUM(P51:P53)</f>
        <v>990</v>
      </c>
    </row>
    <row r="55" spans="2:16" ht="15" x14ac:dyDescent="0.2">
      <c r="B55" s="263"/>
      <c r="C55" s="263"/>
      <c r="D55" s="263"/>
      <c r="E55" s="263"/>
      <c r="F55" s="263"/>
      <c r="G55" s="263"/>
      <c r="H55" s="263"/>
      <c r="I55" s="263"/>
      <c r="J55" s="263"/>
      <c r="K55" s="263"/>
      <c r="L55" s="263"/>
      <c r="M55" s="263"/>
      <c r="N55" s="263"/>
      <c r="O55" s="263"/>
      <c r="P55" s="263"/>
    </row>
    <row r="56" spans="2:16" ht="12.75" customHeight="1" x14ac:dyDescent="0.2">
      <c r="B56" s="5483" t="s">
        <v>6</v>
      </c>
      <c r="C56" s="1067" t="s">
        <v>631</v>
      </c>
      <c r="D56" s="1281"/>
      <c r="E56" s="1281"/>
      <c r="F56" s="1281"/>
      <c r="G56" s="1281"/>
      <c r="H56" s="1281"/>
      <c r="I56" s="1281"/>
      <c r="J56" s="1281"/>
      <c r="K56" s="1281"/>
      <c r="L56" s="1281"/>
      <c r="M56" s="1281"/>
      <c r="N56" s="1281"/>
      <c r="O56" s="1281"/>
      <c r="P56" s="1281"/>
    </row>
    <row r="57" spans="2:16" ht="15" x14ac:dyDescent="0.2">
      <c r="B57" s="5484"/>
      <c r="C57" s="1072" t="s">
        <v>632</v>
      </c>
      <c r="D57" s="1283"/>
      <c r="E57" s="1283"/>
      <c r="F57" s="1283"/>
      <c r="G57" s="1283"/>
      <c r="H57" s="1283"/>
      <c r="I57" s="1283"/>
      <c r="J57" s="1283"/>
      <c r="K57" s="1283"/>
      <c r="L57" s="1283">
        <v>20</v>
      </c>
      <c r="M57" s="1283">
        <v>32</v>
      </c>
      <c r="N57" s="1283">
        <f>SUM('ACTIVOS-POS plan'!O124)</f>
        <v>38</v>
      </c>
      <c r="O57" s="1283">
        <f>SUM('ACTIVOS-POS plan'!P124)</f>
        <v>36</v>
      </c>
      <c r="P57" s="1283">
        <f>SUM('ACTIVOS-POS plan'!Q124)</f>
        <v>36</v>
      </c>
    </row>
    <row r="58" spans="2:16" ht="15" x14ac:dyDescent="0.2">
      <c r="B58" s="5484"/>
      <c r="C58" s="1078" t="s">
        <v>633</v>
      </c>
      <c r="D58" s="1283"/>
      <c r="E58" s="1283"/>
      <c r="F58" s="1283"/>
      <c r="G58" s="1283"/>
      <c r="H58" s="1283"/>
      <c r="I58" s="1283"/>
      <c r="J58" s="1283"/>
      <c r="K58" s="1283"/>
      <c r="L58" s="1283">
        <v>12</v>
      </c>
      <c r="M58" s="1283">
        <v>22</v>
      </c>
      <c r="N58" s="1283">
        <f>SUM('ACTIVOS-POS plan'!O125)</f>
        <v>36</v>
      </c>
      <c r="O58" s="1283">
        <f>SUM('ACTIVOS-POS plan'!P125)</f>
        <v>42</v>
      </c>
      <c r="P58" s="1283">
        <f>SUM('ACTIVOS-POS plan'!Q125)</f>
        <v>56</v>
      </c>
    </row>
    <row r="59" spans="2:16" ht="15" x14ac:dyDescent="0.2">
      <c r="B59" s="5485"/>
      <c r="C59" s="583" t="s">
        <v>14</v>
      </c>
      <c r="D59" s="1284"/>
      <c r="E59" s="1284"/>
      <c r="F59" s="1284"/>
      <c r="G59" s="1284"/>
      <c r="H59" s="1284"/>
      <c r="I59" s="1284"/>
      <c r="J59" s="1284"/>
      <c r="K59" s="1284"/>
      <c r="L59" s="1284">
        <f>SUM(L57:L58)</f>
        <v>32</v>
      </c>
      <c r="M59" s="1284">
        <f>SUM(M57:M58)</f>
        <v>54</v>
      </c>
      <c r="N59" s="1284">
        <f>SUM(N57:N58)</f>
        <v>74</v>
      </c>
      <c r="O59" s="1284">
        <f>SUM(O57:O58)</f>
        <v>78</v>
      </c>
      <c r="P59" s="1284">
        <f>SUM(P57:P58)</f>
        <v>92</v>
      </c>
    </row>
    <row r="60" spans="2:16" ht="15" x14ac:dyDescent="0.2">
      <c r="B60" s="5483" t="s">
        <v>9</v>
      </c>
      <c r="C60" s="1067" t="s">
        <v>631</v>
      </c>
      <c r="D60" s="1283"/>
      <c r="E60" s="1283"/>
      <c r="F60" s="1283"/>
      <c r="G60" s="1283"/>
      <c r="H60" s="1283"/>
      <c r="I60" s="1283"/>
      <c r="J60" s="1283"/>
      <c r="K60" s="1283"/>
      <c r="L60" s="1283"/>
      <c r="M60" s="1283"/>
      <c r="N60" s="1283"/>
      <c r="O60" s="1283"/>
      <c r="P60" s="1283"/>
    </row>
    <row r="61" spans="2:16" ht="15" x14ac:dyDescent="0.2">
      <c r="B61" s="5484"/>
      <c r="C61" s="1072" t="s">
        <v>632</v>
      </c>
      <c r="D61" s="1283"/>
      <c r="E61" s="1283"/>
      <c r="F61" s="1283"/>
      <c r="G61" s="1283"/>
      <c r="H61" s="1283"/>
      <c r="I61" s="1283"/>
      <c r="J61" s="1283"/>
      <c r="K61" s="1283"/>
      <c r="L61" s="1283"/>
      <c r="M61" s="1283">
        <v>12</v>
      </c>
      <c r="N61" s="1283">
        <f>SUM('ACTIVOS-POS plan'!O127)</f>
        <v>24</v>
      </c>
      <c r="O61" s="1283">
        <f>SUM('ACTIVOS-POS plan'!P127)</f>
        <v>42</v>
      </c>
      <c r="P61" s="1283">
        <f>SUM('ACTIVOS-POS plan'!Q127)</f>
        <v>50</v>
      </c>
    </row>
    <row r="62" spans="2:16" ht="15" x14ac:dyDescent="0.2">
      <c r="B62" s="5484"/>
      <c r="C62" s="1078" t="s">
        <v>633</v>
      </c>
      <c r="D62" s="1283"/>
      <c r="E62" s="1283"/>
      <c r="F62" s="1283"/>
      <c r="G62" s="1283"/>
      <c r="H62" s="1283"/>
      <c r="I62" s="1283"/>
      <c r="J62" s="1283"/>
      <c r="K62" s="1283"/>
      <c r="L62" s="1283"/>
      <c r="M62" s="1283"/>
      <c r="N62" s="1283"/>
      <c r="O62" s="1283"/>
      <c r="P62" s="1283"/>
    </row>
    <row r="63" spans="2:16" ht="15" x14ac:dyDescent="0.2">
      <c r="B63" s="5485"/>
      <c r="C63" s="583" t="s">
        <v>30</v>
      </c>
      <c r="D63" s="1284"/>
      <c r="E63" s="1284"/>
      <c r="F63" s="1284"/>
      <c r="G63" s="1284"/>
      <c r="H63" s="1284"/>
      <c r="I63" s="1284"/>
      <c r="J63" s="1284"/>
      <c r="K63" s="1284"/>
      <c r="L63" s="1284"/>
      <c r="M63" s="1284">
        <f>SUM(M61:M62)</f>
        <v>12</v>
      </c>
      <c r="N63" s="1284">
        <f>SUM(N61:N62)</f>
        <v>24</v>
      </c>
      <c r="O63" s="1284">
        <f>SUM(O61:O62)</f>
        <v>42</v>
      </c>
      <c r="P63" s="1284">
        <f>SUM(P61:P62)</f>
        <v>50</v>
      </c>
    </row>
    <row r="64" spans="2:16" ht="15" x14ac:dyDescent="0.2">
      <c r="B64" s="5483" t="s">
        <v>74</v>
      </c>
      <c r="C64" s="1067" t="s">
        <v>631</v>
      </c>
      <c r="D64" s="1283"/>
      <c r="E64" s="1283"/>
      <c r="F64" s="1283"/>
      <c r="G64" s="1283"/>
      <c r="H64" s="1283"/>
      <c r="I64" s="1283"/>
      <c r="J64" s="1283"/>
      <c r="K64" s="1283"/>
      <c r="L64" s="1283"/>
      <c r="M64" s="1283">
        <v>3</v>
      </c>
      <c r="N64" s="1283">
        <f>SUM('ACTIVOS-POS plan'!O129)</f>
        <v>5</v>
      </c>
      <c r="O64" s="1283">
        <f>SUM('ACTIVOS-POS plan'!P129)</f>
        <v>4</v>
      </c>
      <c r="P64" s="1283">
        <f>SUM('ACTIVOS-POS plan'!Q129)</f>
        <v>7</v>
      </c>
    </row>
    <row r="65" spans="2:18" ht="15" x14ac:dyDescent="0.2">
      <c r="B65" s="5484"/>
      <c r="C65" s="1072" t="s">
        <v>632</v>
      </c>
      <c r="D65" s="1283"/>
      <c r="E65" s="1283"/>
      <c r="F65" s="1283"/>
      <c r="G65" s="1283"/>
      <c r="H65" s="1283"/>
      <c r="I65" s="1283"/>
      <c r="J65" s="1283"/>
      <c r="K65" s="1283"/>
      <c r="L65" s="1283"/>
      <c r="M65" s="1283">
        <v>9</v>
      </c>
      <c r="N65" s="1283">
        <f>SUM('ACTIVOS-POS plan'!O130)</f>
        <v>22</v>
      </c>
      <c r="O65" s="1283">
        <f>SUM('ACTIVOS-POS plan'!P130)</f>
        <v>34</v>
      </c>
      <c r="P65" s="1283">
        <f>SUM('ACTIVOS-POS plan'!Q130)</f>
        <v>37</v>
      </c>
    </row>
    <row r="66" spans="2:18" ht="15" x14ac:dyDescent="0.2">
      <c r="B66" s="5484"/>
      <c r="C66" s="1078" t="s">
        <v>633</v>
      </c>
      <c r="D66" s="1283"/>
      <c r="E66" s="1283"/>
      <c r="F66" s="1283"/>
      <c r="G66" s="1283"/>
      <c r="H66" s="1283"/>
      <c r="I66" s="1283"/>
      <c r="J66" s="1283"/>
      <c r="K66" s="1283"/>
      <c r="L66" s="1283"/>
      <c r="M66" s="1283">
        <v>7</v>
      </c>
      <c r="N66" s="1283">
        <f>SUM('ACTIVOS-POS plan'!O131)</f>
        <v>13</v>
      </c>
      <c r="O66" s="1283">
        <f>SUM('ACTIVOS-POS plan'!P131)</f>
        <v>21</v>
      </c>
      <c r="P66" s="1283">
        <f>SUM('ACTIVOS-POS plan'!Q131)</f>
        <v>33</v>
      </c>
    </row>
    <row r="67" spans="2:18" ht="15" x14ac:dyDescent="0.2">
      <c r="B67" s="5485"/>
      <c r="C67" s="583" t="s">
        <v>15</v>
      </c>
      <c r="D67" s="1284"/>
      <c r="E67" s="1284"/>
      <c r="F67" s="1284"/>
      <c r="G67" s="1284"/>
      <c r="H67" s="1284"/>
      <c r="I67" s="1284"/>
      <c r="J67" s="1284"/>
      <c r="K67" s="1284"/>
      <c r="L67" s="1284"/>
      <c r="M67" s="1284">
        <f>SUM(M64:M66)</f>
        <v>19</v>
      </c>
      <c r="N67" s="1284">
        <f>SUM(N64:N66)</f>
        <v>40</v>
      </c>
      <c r="O67" s="1284">
        <f>SUM(O64:O66)</f>
        <v>59</v>
      </c>
      <c r="P67" s="1284">
        <f>SUM(P64:P66)</f>
        <v>77</v>
      </c>
    </row>
    <row r="68" spans="2:18" ht="15" customHeight="1" x14ac:dyDescent="0.2">
      <c r="B68" s="5546" t="s">
        <v>695</v>
      </c>
      <c r="C68" s="1067" t="s">
        <v>631</v>
      </c>
      <c r="D68" s="1283"/>
      <c r="E68" s="1283"/>
      <c r="F68" s="1283"/>
      <c r="G68" s="1283"/>
      <c r="H68" s="1283"/>
      <c r="I68" s="1283"/>
      <c r="J68" s="1283"/>
      <c r="K68" s="1283"/>
      <c r="L68" s="1283">
        <f t="shared" ref="L68:M70" si="35">SUM(L56,L60,L64)</f>
        <v>0</v>
      </c>
      <c r="M68" s="1283">
        <f t="shared" si="35"/>
        <v>3</v>
      </c>
      <c r="N68" s="1283">
        <f t="shared" ref="N68:O70" si="36">SUM(N56,N60,N64)</f>
        <v>5</v>
      </c>
      <c r="O68" s="1283">
        <f t="shared" si="36"/>
        <v>4</v>
      </c>
      <c r="P68" s="1283">
        <f t="shared" ref="P68" si="37">SUM(P56,P60,P64)</f>
        <v>7</v>
      </c>
    </row>
    <row r="69" spans="2:18" ht="15" x14ac:dyDescent="0.2">
      <c r="B69" s="5547"/>
      <c r="C69" s="1072" t="s">
        <v>632</v>
      </c>
      <c r="D69" s="1283"/>
      <c r="E69" s="1283"/>
      <c r="F69" s="1283"/>
      <c r="G69" s="1283"/>
      <c r="H69" s="1283"/>
      <c r="I69" s="1283"/>
      <c r="J69" s="1283"/>
      <c r="K69" s="1283"/>
      <c r="L69" s="1283">
        <f t="shared" si="35"/>
        <v>20</v>
      </c>
      <c r="M69" s="1283">
        <f t="shared" si="35"/>
        <v>53</v>
      </c>
      <c r="N69" s="1283">
        <f t="shared" si="36"/>
        <v>84</v>
      </c>
      <c r="O69" s="1283">
        <f t="shared" si="36"/>
        <v>112</v>
      </c>
      <c r="P69" s="1283">
        <f t="shared" ref="P69" si="38">SUM(P57,P61,P65)</f>
        <v>123</v>
      </c>
    </row>
    <row r="70" spans="2:18" ht="15" x14ac:dyDescent="0.2">
      <c r="B70" s="5547"/>
      <c r="C70" s="1078" t="s">
        <v>633</v>
      </c>
      <c r="D70" s="1283"/>
      <c r="E70" s="1283"/>
      <c r="F70" s="1283"/>
      <c r="G70" s="1283"/>
      <c r="H70" s="1283"/>
      <c r="I70" s="1283"/>
      <c r="J70" s="1283"/>
      <c r="K70" s="1283"/>
      <c r="L70" s="1283">
        <f t="shared" si="35"/>
        <v>12</v>
      </c>
      <c r="M70" s="1283">
        <f t="shared" si="35"/>
        <v>29</v>
      </c>
      <c r="N70" s="1283">
        <f t="shared" si="36"/>
        <v>49</v>
      </c>
      <c r="O70" s="1283">
        <f t="shared" si="36"/>
        <v>63</v>
      </c>
      <c r="P70" s="1283">
        <f t="shared" ref="P70" si="39">SUM(P58,P62,P66)</f>
        <v>89</v>
      </c>
    </row>
    <row r="71" spans="2:18" ht="15" x14ac:dyDescent="0.2">
      <c r="B71" s="5548"/>
      <c r="C71" s="2667" t="s">
        <v>12</v>
      </c>
      <c r="D71" s="2680"/>
      <c r="E71" s="2680"/>
      <c r="F71" s="2680"/>
      <c r="G71" s="2680"/>
      <c r="H71" s="2680"/>
      <c r="I71" s="2680"/>
      <c r="J71" s="2680"/>
      <c r="K71" s="2680"/>
      <c r="L71" s="2680">
        <f>SUM(L68:L70)</f>
        <v>32</v>
      </c>
      <c r="M71" s="2680">
        <f>SUM(M68:M70)</f>
        <v>85</v>
      </c>
      <c r="N71" s="2680">
        <f>SUM(N68:N70)</f>
        <v>138</v>
      </c>
      <c r="O71" s="2680">
        <f>SUM(O68:O70)</f>
        <v>179</v>
      </c>
      <c r="P71" s="2680">
        <f>SUM(P68:P70)</f>
        <v>219</v>
      </c>
    </row>
    <row r="72" spans="2:18" ht="15" x14ac:dyDescent="0.2">
      <c r="B72" s="263"/>
      <c r="C72" s="263"/>
      <c r="D72" s="263"/>
      <c r="E72" s="263"/>
      <c r="F72" s="263"/>
      <c r="G72" s="263"/>
      <c r="H72" s="263"/>
      <c r="I72" s="263"/>
      <c r="J72" s="263"/>
      <c r="K72" s="263"/>
      <c r="L72" s="263"/>
      <c r="M72" s="263"/>
      <c r="N72" s="263"/>
      <c r="O72" s="263"/>
      <c r="P72" s="263"/>
    </row>
    <row r="73" spans="2:18" ht="15" customHeight="1" x14ac:dyDescent="0.2">
      <c r="B73" s="5539" t="s">
        <v>60</v>
      </c>
      <c r="C73" s="1067" t="s">
        <v>631</v>
      </c>
      <c r="D73" s="1281">
        <f t="shared" ref="D73:K75" si="40">D17+D34+D51</f>
        <v>223</v>
      </c>
      <c r="E73" s="1281">
        <f t="shared" si="40"/>
        <v>282</v>
      </c>
      <c r="F73" s="1281">
        <f t="shared" si="40"/>
        <v>225</v>
      </c>
      <c r="G73" s="1281">
        <f t="shared" si="40"/>
        <v>254</v>
      </c>
      <c r="H73" s="1281">
        <f t="shared" si="40"/>
        <v>336</v>
      </c>
      <c r="I73" s="1281">
        <f t="shared" si="40"/>
        <v>322</v>
      </c>
      <c r="J73" s="1281">
        <f t="shared" si="40"/>
        <v>365</v>
      </c>
      <c r="K73" s="1281">
        <f t="shared" si="40"/>
        <v>394</v>
      </c>
      <c r="L73" s="1281">
        <f t="shared" ref="L73:N75" si="41">SUM(L17,L34,L51,L68)</f>
        <v>363</v>
      </c>
      <c r="M73" s="1281">
        <f t="shared" si="41"/>
        <v>349</v>
      </c>
      <c r="N73" s="1281">
        <f t="shared" si="41"/>
        <v>221</v>
      </c>
      <c r="O73" s="1281">
        <f t="shared" ref="O73:P75" si="42">SUM(O17,O34,O51,O68)</f>
        <v>221</v>
      </c>
      <c r="P73" s="1281">
        <f t="shared" si="42"/>
        <v>190</v>
      </c>
    </row>
    <row r="74" spans="2:18" ht="15" x14ac:dyDescent="0.2">
      <c r="B74" s="5540"/>
      <c r="C74" s="1072" t="s">
        <v>632</v>
      </c>
      <c r="D74" s="1283">
        <f t="shared" si="40"/>
        <v>956</v>
      </c>
      <c r="E74" s="1283">
        <f t="shared" si="40"/>
        <v>1012</v>
      </c>
      <c r="F74" s="1283">
        <f t="shared" si="40"/>
        <v>1073</v>
      </c>
      <c r="G74" s="1283">
        <f t="shared" si="40"/>
        <v>1172</v>
      </c>
      <c r="H74" s="1283">
        <f t="shared" si="40"/>
        <v>1232</v>
      </c>
      <c r="I74" s="1283">
        <f t="shared" si="40"/>
        <v>1404</v>
      </c>
      <c r="J74" s="1283">
        <f t="shared" si="40"/>
        <v>1561</v>
      </c>
      <c r="K74" s="1283">
        <f t="shared" si="40"/>
        <v>1630</v>
      </c>
      <c r="L74" s="1283">
        <f t="shared" si="41"/>
        <v>1625</v>
      </c>
      <c r="M74" s="1283">
        <f t="shared" si="41"/>
        <v>1759</v>
      </c>
      <c r="N74" s="1283">
        <f t="shared" si="41"/>
        <v>1791</v>
      </c>
      <c r="O74" s="1283">
        <f t="shared" si="42"/>
        <v>1914</v>
      </c>
      <c r="P74" s="1283">
        <f t="shared" si="42"/>
        <v>1943</v>
      </c>
    </row>
    <row r="75" spans="2:18" ht="15" x14ac:dyDescent="0.2">
      <c r="B75" s="5540"/>
      <c r="C75" s="1078" t="s">
        <v>633</v>
      </c>
      <c r="D75" s="1286">
        <f t="shared" si="40"/>
        <v>975</v>
      </c>
      <c r="E75" s="1286">
        <f t="shared" si="40"/>
        <v>938</v>
      </c>
      <c r="F75" s="1286">
        <f t="shared" si="40"/>
        <v>958</v>
      </c>
      <c r="G75" s="1286">
        <f t="shared" si="40"/>
        <v>918</v>
      </c>
      <c r="H75" s="1286">
        <f t="shared" si="40"/>
        <v>1049</v>
      </c>
      <c r="I75" s="1286">
        <f t="shared" si="40"/>
        <v>1018</v>
      </c>
      <c r="J75" s="1286">
        <f t="shared" si="40"/>
        <v>1123</v>
      </c>
      <c r="K75" s="1286">
        <f t="shared" si="40"/>
        <v>1302</v>
      </c>
      <c r="L75" s="1286">
        <f t="shared" si="41"/>
        <v>1392</v>
      </c>
      <c r="M75" s="1286">
        <f t="shared" si="41"/>
        <v>1328</v>
      </c>
      <c r="N75" s="1286">
        <f t="shared" si="41"/>
        <v>1496</v>
      </c>
      <c r="O75" s="1286">
        <f t="shared" si="42"/>
        <v>1573</v>
      </c>
      <c r="P75" s="1286">
        <f t="shared" si="42"/>
        <v>1585</v>
      </c>
    </row>
    <row r="76" spans="2:18" ht="15" x14ac:dyDescent="0.2">
      <c r="B76" s="5541"/>
      <c r="C76" s="573" t="s">
        <v>12</v>
      </c>
      <c r="D76" s="1280">
        <f t="shared" ref="D76:K76" si="43">SUM(D73:D75)</f>
        <v>2154</v>
      </c>
      <c r="E76" s="1280">
        <f t="shared" si="43"/>
        <v>2232</v>
      </c>
      <c r="F76" s="1280">
        <f t="shared" si="43"/>
        <v>2256</v>
      </c>
      <c r="G76" s="1280">
        <f t="shared" si="43"/>
        <v>2344</v>
      </c>
      <c r="H76" s="1280">
        <f t="shared" si="43"/>
        <v>2617</v>
      </c>
      <c r="I76" s="1280">
        <f t="shared" si="43"/>
        <v>2744</v>
      </c>
      <c r="J76" s="1280">
        <f t="shared" si="43"/>
        <v>3049</v>
      </c>
      <c r="K76" s="1280">
        <f t="shared" si="43"/>
        <v>3326</v>
      </c>
      <c r="L76" s="1280">
        <f>SUM(L73:L75)</f>
        <v>3380</v>
      </c>
      <c r="M76" s="1280">
        <f>SUM(M73:M75)</f>
        <v>3436</v>
      </c>
      <c r="N76" s="1280">
        <f>SUM(N73:N75)</f>
        <v>3508</v>
      </c>
      <c r="O76" s="1280">
        <f>SUM(O73:O75)</f>
        <v>3708</v>
      </c>
      <c r="P76" s="1280">
        <f>SUM(P73:P75)</f>
        <v>3718</v>
      </c>
    </row>
    <row r="77" spans="2:18" ht="15" x14ac:dyDescent="0.2">
      <c r="B77" s="263"/>
      <c r="C77" s="263"/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</row>
    <row r="78" spans="2:18" ht="15" x14ac:dyDescent="0.2">
      <c r="B78" s="5620" t="s">
        <v>784</v>
      </c>
      <c r="C78" s="264" t="s">
        <v>5</v>
      </c>
      <c r="D78" s="546">
        <f t="shared" ref="D78:K78" si="44">SUM(D8,D25)</f>
        <v>503</v>
      </c>
      <c r="E78" s="546">
        <f t="shared" si="44"/>
        <v>509</v>
      </c>
      <c r="F78" s="546">
        <f t="shared" si="44"/>
        <v>564</v>
      </c>
      <c r="G78" s="546">
        <f t="shared" si="44"/>
        <v>572</v>
      </c>
      <c r="H78" s="546">
        <f t="shared" si="44"/>
        <v>582</v>
      </c>
      <c r="I78" s="546">
        <f t="shared" si="44"/>
        <v>556</v>
      </c>
      <c r="J78" s="546">
        <f t="shared" si="44"/>
        <v>598</v>
      </c>
      <c r="K78" s="546">
        <f t="shared" si="44"/>
        <v>625</v>
      </c>
      <c r="L78" s="546">
        <f>SUM(L8,L25)</f>
        <v>675</v>
      </c>
      <c r="M78" s="546">
        <f>SUM(M8,M25)</f>
        <v>684</v>
      </c>
      <c r="N78" s="546">
        <f>SUM(N8,N25)</f>
        <v>744</v>
      </c>
      <c r="O78" s="546">
        <f>SUM(O8,O25)</f>
        <v>796</v>
      </c>
      <c r="P78" s="546">
        <f>SUM(P8,P25)</f>
        <v>821</v>
      </c>
      <c r="R78" s="211"/>
    </row>
    <row r="79" spans="2:18" ht="15" x14ac:dyDescent="0.2">
      <c r="B79" s="5621"/>
      <c r="C79" s="268" t="s">
        <v>6</v>
      </c>
      <c r="D79" s="547">
        <f t="shared" ref="D79:K79" si="45">SUM(D12,D29,D42,D71)</f>
        <v>908</v>
      </c>
      <c r="E79" s="547">
        <f>SUM(E12,E29,E42,L71)</f>
        <v>1073</v>
      </c>
      <c r="F79" s="547">
        <f>SUM(F12,F29,F42,M71)</f>
        <v>1051</v>
      </c>
      <c r="G79" s="547">
        <f t="shared" si="45"/>
        <v>997</v>
      </c>
      <c r="H79" s="547">
        <f t="shared" si="45"/>
        <v>1146</v>
      </c>
      <c r="I79" s="547">
        <f t="shared" si="45"/>
        <v>1283</v>
      </c>
      <c r="J79" s="547">
        <f t="shared" si="45"/>
        <v>1365</v>
      </c>
      <c r="K79" s="547">
        <f t="shared" si="45"/>
        <v>1530</v>
      </c>
      <c r="L79" s="547">
        <f>SUM(L12,L29,L42,L71)</f>
        <v>1499</v>
      </c>
      <c r="M79" s="547">
        <f>SUM(M12,M29,M42,M59)</f>
        <v>1478</v>
      </c>
      <c r="N79" s="547">
        <f>SUM(N12,N29,N42,N59)</f>
        <v>1387</v>
      </c>
      <c r="O79" s="547">
        <f>SUM(O12,O29,O42,O59)</f>
        <v>1490</v>
      </c>
      <c r="P79" s="547">
        <f>SUM(P12,P29,P42,P59)</f>
        <v>1379</v>
      </c>
      <c r="R79" s="211"/>
    </row>
    <row r="80" spans="2:18" ht="15" x14ac:dyDescent="0.2">
      <c r="B80" s="5621"/>
      <c r="C80" s="268" t="s">
        <v>11</v>
      </c>
      <c r="D80" s="547">
        <f t="shared" ref="D80:K80" si="46">SUM(D33,D46)</f>
        <v>586</v>
      </c>
      <c r="E80" s="547">
        <f t="shared" si="46"/>
        <v>512</v>
      </c>
      <c r="F80" s="547">
        <f t="shared" si="46"/>
        <v>554</v>
      </c>
      <c r="G80" s="547">
        <f t="shared" si="46"/>
        <v>573</v>
      </c>
      <c r="H80" s="547">
        <f t="shared" si="46"/>
        <v>658</v>
      </c>
      <c r="I80" s="547">
        <f t="shared" si="46"/>
        <v>655</v>
      </c>
      <c r="J80" s="547">
        <f t="shared" si="46"/>
        <v>747</v>
      </c>
      <c r="K80" s="547">
        <f t="shared" si="46"/>
        <v>771</v>
      </c>
      <c r="L80" s="547">
        <f>SUM(L33,L46)</f>
        <v>832</v>
      </c>
      <c r="M80" s="547">
        <f>SUM(M33,M46)</f>
        <v>861</v>
      </c>
      <c r="N80" s="547">
        <f>SUM(N33,N46)</f>
        <v>941</v>
      </c>
      <c r="O80" s="547">
        <f>SUM(O33,O46)</f>
        <v>934</v>
      </c>
      <c r="P80" s="547">
        <f>SUM(P33,P46)</f>
        <v>980</v>
      </c>
      <c r="R80" s="211"/>
    </row>
    <row r="81" spans="2:18" ht="15" x14ac:dyDescent="0.2">
      <c r="B81" s="5621"/>
      <c r="C81" s="268" t="s">
        <v>7</v>
      </c>
      <c r="D81" s="547">
        <f t="shared" ref="D81:K81" si="47">SUM(D16,D50)</f>
        <v>157</v>
      </c>
      <c r="E81" s="547">
        <f t="shared" si="47"/>
        <v>170</v>
      </c>
      <c r="F81" s="547">
        <f t="shared" si="47"/>
        <v>172</v>
      </c>
      <c r="G81" s="547">
        <f t="shared" si="47"/>
        <v>202</v>
      </c>
      <c r="H81" s="547">
        <f t="shared" si="47"/>
        <v>231</v>
      </c>
      <c r="I81" s="547">
        <f t="shared" si="47"/>
        <v>250</v>
      </c>
      <c r="J81" s="547">
        <f t="shared" si="47"/>
        <v>339</v>
      </c>
      <c r="K81" s="547">
        <f t="shared" si="47"/>
        <v>400</v>
      </c>
      <c r="L81" s="547">
        <f>SUM(L16,L50)</f>
        <v>374</v>
      </c>
      <c r="M81" s="547">
        <f>SUM(M16,M50)</f>
        <v>382</v>
      </c>
      <c r="N81" s="547">
        <f>SUM(N16,N50)</f>
        <v>372</v>
      </c>
      <c r="O81" s="547">
        <f>SUM(O16,O50)</f>
        <v>387</v>
      </c>
      <c r="P81" s="547">
        <f>SUM(P16,P50)</f>
        <v>411</v>
      </c>
      <c r="R81" s="211"/>
    </row>
    <row r="82" spans="2:18" ht="15" x14ac:dyDescent="0.2">
      <c r="B82" s="5621"/>
      <c r="C82" s="268" t="s">
        <v>9</v>
      </c>
      <c r="D82" s="547"/>
      <c r="E82" s="547"/>
      <c r="F82" s="547"/>
      <c r="G82" s="547"/>
      <c r="H82" s="547"/>
      <c r="I82" s="547"/>
      <c r="J82" s="547"/>
      <c r="K82" s="547"/>
      <c r="L82" s="547"/>
      <c r="M82" s="547">
        <f>SUM(M63)</f>
        <v>12</v>
      </c>
      <c r="N82" s="547">
        <f>SUM(N63)</f>
        <v>24</v>
      </c>
      <c r="O82" s="547">
        <f>SUM(O63)</f>
        <v>42</v>
      </c>
      <c r="P82" s="547">
        <f>SUM(P63)</f>
        <v>50</v>
      </c>
      <c r="R82" s="211"/>
    </row>
    <row r="83" spans="2:18" ht="15" x14ac:dyDescent="0.2">
      <c r="B83" s="5621"/>
      <c r="C83" s="278" t="s">
        <v>74</v>
      </c>
      <c r="D83" s="549"/>
      <c r="E83" s="549"/>
      <c r="F83" s="549"/>
      <c r="G83" s="549"/>
      <c r="H83" s="549"/>
      <c r="I83" s="549"/>
      <c r="J83" s="549"/>
      <c r="K83" s="549"/>
      <c r="L83" s="549"/>
      <c r="M83" s="549">
        <f>SUM(M67)</f>
        <v>19</v>
      </c>
      <c r="N83" s="549">
        <f>SUM(N67)</f>
        <v>40</v>
      </c>
      <c r="O83" s="549">
        <f>SUM(O67)</f>
        <v>59</v>
      </c>
      <c r="P83" s="549">
        <f>SUM(P67)</f>
        <v>77</v>
      </c>
      <c r="R83" s="211"/>
    </row>
    <row r="84" spans="2:18" ht="15" x14ac:dyDescent="0.2">
      <c r="B84" s="5622"/>
      <c r="C84" s="1094" t="s">
        <v>12</v>
      </c>
      <c r="D84" s="1280">
        <f t="shared" ref="D84:K84" si="48">SUM(D78:D83)</f>
        <v>2154</v>
      </c>
      <c r="E84" s="1280">
        <f t="shared" si="48"/>
        <v>2264</v>
      </c>
      <c r="F84" s="1280">
        <f t="shared" si="48"/>
        <v>2341</v>
      </c>
      <c r="G84" s="1280">
        <f t="shared" si="48"/>
        <v>2344</v>
      </c>
      <c r="H84" s="1280">
        <f t="shared" si="48"/>
        <v>2617</v>
      </c>
      <c r="I84" s="1280">
        <f t="shared" si="48"/>
        <v>2744</v>
      </c>
      <c r="J84" s="1280">
        <f t="shared" si="48"/>
        <v>3049</v>
      </c>
      <c r="K84" s="1280">
        <f t="shared" si="48"/>
        <v>3326</v>
      </c>
      <c r="L84" s="1280">
        <f>SUM(L78:L83)</f>
        <v>3380</v>
      </c>
      <c r="M84" s="1280">
        <f>SUM(M78:M83)</f>
        <v>3436</v>
      </c>
      <c r="N84" s="1280">
        <f>SUM(N78:N83)</f>
        <v>3508</v>
      </c>
      <c r="O84" s="1280">
        <f>SUM(O78:O83)</f>
        <v>3708</v>
      </c>
      <c r="P84" s="1280">
        <f>SUM(P78:P83)</f>
        <v>3718</v>
      </c>
      <c r="R84" s="211"/>
    </row>
    <row r="85" spans="2:18" x14ac:dyDescent="0.2">
      <c r="B85" s="202" t="s">
        <v>128</v>
      </c>
    </row>
    <row r="86" spans="2:18" x14ac:dyDescent="0.2">
      <c r="B86" s="240" t="s">
        <v>0</v>
      </c>
      <c r="N86" s="211"/>
    </row>
    <row r="87" spans="2:18" x14ac:dyDescent="0.2">
      <c r="H87" s="1430"/>
    </row>
    <row r="92" spans="2:18" x14ac:dyDescent="0.2">
      <c r="C92" s="4388">
        <v>2003</v>
      </c>
    </row>
    <row r="93" spans="2:18" x14ac:dyDescent="0.2">
      <c r="C93" s="4388">
        <v>2004</v>
      </c>
    </row>
    <row r="94" spans="2:18" x14ac:dyDescent="0.2">
      <c r="C94" s="4388">
        <v>2005</v>
      </c>
    </row>
    <row r="95" spans="2:18" x14ac:dyDescent="0.2">
      <c r="C95" s="4388">
        <v>2006</v>
      </c>
    </row>
    <row r="96" spans="2:18" x14ac:dyDescent="0.2">
      <c r="C96" s="4388">
        <v>2007</v>
      </c>
    </row>
    <row r="97" spans="3:3" x14ac:dyDescent="0.2">
      <c r="C97" s="4388">
        <v>2008</v>
      </c>
    </row>
    <row r="98" spans="3:3" x14ac:dyDescent="0.2">
      <c r="C98" s="4388">
        <v>2009</v>
      </c>
    </row>
    <row r="99" spans="3:3" x14ac:dyDescent="0.2">
      <c r="C99" s="4388">
        <v>2010</v>
      </c>
    </row>
    <row r="100" spans="3:3" x14ac:dyDescent="0.2">
      <c r="C100" s="4388">
        <v>2011</v>
      </c>
    </row>
    <row r="101" spans="3:3" x14ac:dyDescent="0.2">
      <c r="C101" s="4388">
        <v>2012</v>
      </c>
    </row>
    <row r="102" spans="3:3" x14ac:dyDescent="0.2">
      <c r="C102" s="4388">
        <v>2013</v>
      </c>
    </row>
    <row r="103" spans="3:3" x14ac:dyDescent="0.2">
      <c r="C103" s="4388">
        <v>2014</v>
      </c>
    </row>
    <row r="104" spans="3:3" x14ac:dyDescent="0.2">
      <c r="C104" s="4388">
        <v>2015</v>
      </c>
    </row>
    <row r="105" spans="3:3" x14ac:dyDescent="0.2">
      <c r="C105" s="4389" t="s">
        <v>161</v>
      </c>
    </row>
    <row r="106" spans="3:3" x14ac:dyDescent="0.2">
      <c r="C106" s="4389" t="s">
        <v>410</v>
      </c>
    </row>
    <row r="107" spans="3:3" x14ac:dyDescent="0.2">
      <c r="C107" s="4389" t="s">
        <v>162</v>
      </c>
    </row>
    <row r="108" spans="3:3" x14ac:dyDescent="0.2">
      <c r="C108" s="4389" t="s">
        <v>163</v>
      </c>
    </row>
    <row r="143" spans="2:2" x14ac:dyDescent="0.2">
      <c r="B143" s="3022" t="s">
        <v>833</v>
      </c>
    </row>
    <row r="145" spans="2:16" ht="30" x14ac:dyDescent="0.2">
      <c r="B145" s="2986" t="s">
        <v>164</v>
      </c>
      <c r="C145" s="2986" t="s">
        <v>25</v>
      </c>
      <c r="E145" s="1572">
        <v>2004</v>
      </c>
      <c r="F145" s="1572">
        <v>2005</v>
      </c>
      <c r="G145" s="1572">
        <v>2006</v>
      </c>
      <c r="H145" s="1572">
        <v>2007</v>
      </c>
      <c r="I145" s="1572">
        <v>2008</v>
      </c>
      <c r="J145" s="1572">
        <v>2009</v>
      </c>
      <c r="K145" s="1572">
        <v>2010</v>
      </c>
      <c r="L145" s="1572">
        <v>2011</v>
      </c>
      <c r="M145" s="1572">
        <v>2012</v>
      </c>
      <c r="N145" s="1572">
        <v>2013</v>
      </c>
      <c r="O145" s="1572">
        <v>2014</v>
      </c>
      <c r="P145" s="1572">
        <v>2015</v>
      </c>
    </row>
    <row r="146" spans="2:16" ht="15" x14ac:dyDescent="0.2">
      <c r="B146" s="263"/>
      <c r="C146" s="263"/>
      <c r="E146" s="263"/>
      <c r="F146" s="263"/>
      <c r="G146" s="263"/>
      <c r="H146" s="263"/>
      <c r="I146" s="263"/>
      <c r="J146" s="263"/>
      <c r="K146" s="263"/>
      <c r="L146" s="263"/>
      <c r="M146" s="263"/>
      <c r="N146" s="263"/>
      <c r="O146" s="263"/>
      <c r="P146" s="263"/>
    </row>
    <row r="147" spans="2:16" ht="15" x14ac:dyDescent="0.2">
      <c r="B147" s="5489" t="s">
        <v>5</v>
      </c>
      <c r="C147" s="1067" t="s">
        <v>631</v>
      </c>
      <c r="E147" s="1281">
        <f t="shared" ref="E147:P147" si="49">SUM(E5)</f>
        <v>0</v>
      </c>
      <c r="F147" s="1281">
        <f t="shared" si="49"/>
        <v>0</v>
      </c>
      <c r="G147" s="1281">
        <f t="shared" si="49"/>
        <v>0</v>
      </c>
      <c r="H147" s="1281">
        <f t="shared" si="49"/>
        <v>0</v>
      </c>
      <c r="I147" s="1281">
        <f t="shared" si="49"/>
        <v>0</v>
      </c>
      <c r="J147" s="1281">
        <f t="shared" si="49"/>
        <v>0</v>
      </c>
      <c r="K147" s="1281">
        <f t="shared" si="49"/>
        <v>0</v>
      </c>
      <c r="L147" s="1281">
        <f t="shared" si="49"/>
        <v>0</v>
      </c>
      <c r="M147" s="1281">
        <f t="shared" si="49"/>
        <v>0</v>
      </c>
      <c r="N147" s="1281">
        <f t="shared" si="49"/>
        <v>0</v>
      </c>
      <c r="O147" s="1281">
        <f t="shared" si="49"/>
        <v>0</v>
      </c>
      <c r="P147" s="1281">
        <f t="shared" si="49"/>
        <v>0</v>
      </c>
    </row>
    <row r="148" spans="2:16" ht="15" x14ac:dyDescent="0.2">
      <c r="B148" s="5470"/>
      <c r="C148" s="1072" t="s">
        <v>632</v>
      </c>
      <c r="E148" s="1283">
        <f>E6*2</f>
        <v>256</v>
      </c>
      <c r="F148" s="1283">
        <f t="shared" ref="F148:P148" si="50">F6*2</f>
        <v>256</v>
      </c>
      <c r="G148" s="1283">
        <f t="shared" si="50"/>
        <v>250</v>
      </c>
      <c r="H148" s="1283">
        <f t="shared" si="50"/>
        <v>230</v>
      </c>
      <c r="I148" s="1283">
        <f t="shared" si="50"/>
        <v>170</v>
      </c>
      <c r="J148" s="1283">
        <f t="shared" si="50"/>
        <v>230</v>
      </c>
      <c r="K148" s="1283">
        <f t="shared" si="50"/>
        <v>262</v>
      </c>
      <c r="L148" s="1283">
        <f t="shared" si="50"/>
        <v>272</v>
      </c>
      <c r="M148" s="1283">
        <f t="shared" si="50"/>
        <v>262</v>
      </c>
      <c r="N148" s="1283">
        <f t="shared" si="50"/>
        <v>306</v>
      </c>
      <c r="O148" s="1283">
        <f t="shared" si="50"/>
        <v>388</v>
      </c>
      <c r="P148" s="1283">
        <f t="shared" si="50"/>
        <v>418</v>
      </c>
    </row>
    <row r="149" spans="2:16" ht="15" x14ac:dyDescent="0.2">
      <c r="B149" s="5470"/>
      <c r="C149" s="1078" t="s">
        <v>633</v>
      </c>
      <c r="E149" s="1283">
        <f>E7*3</f>
        <v>96</v>
      </c>
      <c r="F149" s="1283">
        <v>105</v>
      </c>
      <c r="G149" s="1283">
        <v>81</v>
      </c>
      <c r="H149" s="1283">
        <v>105</v>
      </c>
      <c r="I149" s="1283">
        <v>135</v>
      </c>
      <c r="J149" s="1283">
        <v>126</v>
      </c>
      <c r="K149" s="1283">
        <v>120</v>
      </c>
      <c r="L149" s="1283">
        <v>126</v>
      </c>
      <c r="M149" s="1283">
        <v>99</v>
      </c>
      <c r="N149" s="1283">
        <v>105</v>
      </c>
      <c r="O149" s="1283">
        <v>108</v>
      </c>
      <c r="P149" s="1283">
        <v>108</v>
      </c>
    </row>
    <row r="150" spans="2:16" ht="15" x14ac:dyDescent="0.2">
      <c r="B150" s="5471"/>
      <c r="C150" s="583" t="s">
        <v>13</v>
      </c>
      <c r="E150" s="1284">
        <f>SUM(E147:E149)</f>
        <v>352</v>
      </c>
      <c r="F150" s="1284">
        <f t="shared" ref="F150:P150" si="51">SUM(F147:F149)</f>
        <v>361</v>
      </c>
      <c r="G150" s="1284">
        <f t="shared" si="51"/>
        <v>331</v>
      </c>
      <c r="H150" s="1284">
        <f t="shared" si="51"/>
        <v>335</v>
      </c>
      <c r="I150" s="1284">
        <f t="shared" si="51"/>
        <v>305</v>
      </c>
      <c r="J150" s="1284">
        <f t="shared" si="51"/>
        <v>356</v>
      </c>
      <c r="K150" s="1284">
        <f t="shared" si="51"/>
        <v>382</v>
      </c>
      <c r="L150" s="1284">
        <f t="shared" si="51"/>
        <v>398</v>
      </c>
      <c r="M150" s="1284">
        <f t="shared" si="51"/>
        <v>361</v>
      </c>
      <c r="N150" s="1284">
        <f t="shared" si="51"/>
        <v>411</v>
      </c>
      <c r="O150" s="1284">
        <f t="shared" si="51"/>
        <v>496</v>
      </c>
      <c r="P150" s="1284">
        <f t="shared" si="51"/>
        <v>526</v>
      </c>
    </row>
    <row r="151" spans="2:16" ht="15" x14ac:dyDescent="0.2">
      <c r="B151" s="5489" t="s">
        <v>6</v>
      </c>
      <c r="C151" s="1067" t="s">
        <v>631</v>
      </c>
      <c r="E151" s="1283">
        <f>+E9</f>
        <v>64</v>
      </c>
      <c r="F151" s="1283">
        <f t="shared" ref="F151:P151" si="52">+F9</f>
        <v>67</v>
      </c>
      <c r="G151" s="1283">
        <f t="shared" si="52"/>
        <v>62</v>
      </c>
      <c r="H151" s="1283">
        <f t="shared" si="52"/>
        <v>70</v>
      </c>
      <c r="I151" s="1283">
        <f t="shared" si="52"/>
        <v>59</v>
      </c>
      <c r="J151" s="1283">
        <f t="shared" si="52"/>
        <v>48</v>
      </c>
      <c r="K151" s="1283">
        <f t="shared" si="52"/>
        <v>41</v>
      </c>
      <c r="L151" s="1283">
        <f t="shared" si="52"/>
        <v>52</v>
      </c>
      <c r="M151" s="1283">
        <f t="shared" si="52"/>
        <v>47</v>
      </c>
      <c r="N151" s="1283">
        <f t="shared" si="52"/>
        <v>47</v>
      </c>
      <c r="O151" s="1283">
        <f t="shared" si="52"/>
        <v>46</v>
      </c>
      <c r="P151" s="1283">
        <f t="shared" si="52"/>
        <v>49</v>
      </c>
    </row>
    <row r="152" spans="2:16" ht="15" x14ac:dyDescent="0.2">
      <c r="B152" s="5470"/>
      <c r="C152" s="1072" t="s">
        <v>632</v>
      </c>
      <c r="E152" s="1283">
        <f>E10*2</f>
        <v>138</v>
      </c>
      <c r="F152" s="1283">
        <f t="shared" ref="F152:P152" si="53">F10*2</f>
        <v>132</v>
      </c>
      <c r="G152" s="1283">
        <f t="shared" si="53"/>
        <v>124</v>
      </c>
      <c r="H152" s="1283">
        <f t="shared" si="53"/>
        <v>194</v>
      </c>
      <c r="I152" s="1283">
        <f t="shared" si="53"/>
        <v>166</v>
      </c>
      <c r="J152" s="1283">
        <f t="shared" si="53"/>
        <v>250</v>
      </c>
      <c r="K152" s="1283">
        <f t="shared" si="53"/>
        <v>164</v>
      </c>
      <c r="L152" s="1283">
        <f t="shared" si="53"/>
        <v>232</v>
      </c>
      <c r="M152" s="1283">
        <f t="shared" si="53"/>
        <v>190</v>
      </c>
      <c r="N152" s="1283">
        <f t="shared" si="53"/>
        <v>276</v>
      </c>
      <c r="O152" s="1283">
        <f t="shared" si="53"/>
        <v>294</v>
      </c>
      <c r="P152" s="1283">
        <f t="shared" si="53"/>
        <v>286</v>
      </c>
    </row>
    <row r="153" spans="2:16" ht="15" x14ac:dyDescent="0.2">
      <c r="B153" s="5470"/>
      <c r="C153" s="1078" t="s">
        <v>633</v>
      </c>
      <c r="E153" s="1283">
        <f>E11*3</f>
        <v>27</v>
      </c>
      <c r="F153" s="1283">
        <f t="shared" ref="F153:P153" si="54">F11*3</f>
        <v>51</v>
      </c>
      <c r="G153" s="1283">
        <f t="shared" si="54"/>
        <v>51</v>
      </c>
      <c r="H153" s="1283">
        <f t="shared" si="54"/>
        <v>183</v>
      </c>
      <c r="I153" s="1283">
        <f t="shared" si="54"/>
        <v>120</v>
      </c>
      <c r="J153" s="1283">
        <f t="shared" si="54"/>
        <v>117</v>
      </c>
      <c r="K153" s="1283">
        <f t="shared" si="54"/>
        <v>162</v>
      </c>
      <c r="L153" s="1283">
        <f t="shared" si="54"/>
        <v>135</v>
      </c>
      <c r="M153" s="1283">
        <f t="shared" si="54"/>
        <v>138</v>
      </c>
      <c r="N153" s="1283">
        <f t="shared" si="54"/>
        <v>162</v>
      </c>
      <c r="O153" s="1283">
        <f t="shared" si="54"/>
        <v>153</v>
      </c>
      <c r="P153" s="1283">
        <f t="shared" si="54"/>
        <v>150</v>
      </c>
    </row>
    <row r="154" spans="2:16" ht="15" x14ac:dyDescent="0.2">
      <c r="B154" s="5471"/>
      <c r="C154" s="583" t="s">
        <v>14</v>
      </c>
      <c r="E154" s="1284">
        <f>SUM(E151:E153)</f>
        <v>229</v>
      </c>
      <c r="F154" s="1284">
        <f t="shared" ref="F154:P154" si="55">SUM(F151:F153)</f>
        <v>250</v>
      </c>
      <c r="G154" s="1284">
        <f t="shared" si="55"/>
        <v>237</v>
      </c>
      <c r="H154" s="1284">
        <f t="shared" si="55"/>
        <v>447</v>
      </c>
      <c r="I154" s="1284">
        <f t="shared" si="55"/>
        <v>345</v>
      </c>
      <c r="J154" s="1284">
        <f t="shared" si="55"/>
        <v>415</v>
      </c>
      <c r="K154" s="1284">
        <f t="shared" si="55"/>
        <v>367</v>
      </c>
      <c r="L154" s="1284">
        <f t="shared" si="55"/>
        <v>419</v>
      </c>
      <c r="M154" s="1284">
        <f t="shared" si="55"/>
        <v>375</v>
      </c>
      <c r="N154" s="1284">
        <f t="shared" si="55"/>
        <v>485</v>
      </c>
      <c r="O154" s="1284">
        <f t="shared" si="55"/>
        <v>493</v>
      </c>
      <c r="P154" s="1284">
        <f t="shared" si="55"/>
        <v>485</v>
      </c>
    </row>
    <row r="155" spans="2:16" ht="15" x14ac:dyDescent="0.2">
      <c r="B155" s="5489" t="s">
        <v>7</v>
      </c>
      <c r="C155" s="1067" t="s">
        <v>631</v>
      </c>
      <c r="E155" s="1283">
        <f>+D13</f>
        <v>43</v>
      </c>
      <c r="F155" s="1283">
        <f t="shared" ref="F155:P155" si="56">+E13</f>
        <v>37</v>
      </c>
      <c r="G155" s="1283">
        <f t="shared" si="56"/>
        <v>29</v>
      </c>
      <c r="H155" s="1283">
        <f t="shared" si="56"/>
        <v>34</v>
      </c>
      <c r="I155" s="1283">
        <f t="shared" si="56"/>
        <v>61</v>
      </c>
      <c r="J155" s="1283">
        <f t="shared" si="56"/>
        <v>64</v>
      </c>
      <c r="K155" s="1283">
        <f t="shared" si="56"/>
        <v>103</v>
      </c>
      <c r="L155" s="1283">
        <f t="shared" si="56"/>
        <v>102</v>
      </c>
      <c r="M155" s="1283">
        <f t="shared" si="56"/>
        <v>20</v>
      </c>
      <c r="N155" s="1283">
        <f t="shared" si="56"/>
        <v>95</v>
      </c>
      <c r="O155" s="1283">
        <f t="shared" si="56"/>
        <v>23</v>
      </c>
      <c r="P155" s="1283">
        <f t="shared" si="56"/>
        <v>70</v>
      </c>
    </row>
    <row r="156" spans="2:16" ht="15" x14ac:dyDescent="0.2">
      <c r="B156" s="5470"/>
      <c r="C156" s="1072" t="s">
        <v>632</v>
      </c>
      <c r="E156" s="1283">
        <f>D14*2</f>
        <v>90</v>
      </c>
      <c r="F156" s="1283">
        <f t="shared" ref="F156:P156" si="57">E14*2</f>
        <v>74</v>
      </c>
      <c r="G156" s="1283">
        <f t="shared" si="57"/>
        <v>96</v>
      </c>
      <c r="H156" s="1283">
        <f t="shared" si="57"/>
        <v>110</v>
      </c>
      <c r="I156" s="1283">
        <f t="shared" si="57"/>
        <v>102</v>
      </c>
      <c r="J156" s="1283">
        <f t="shared" si="57"/>
        <v>110</v>
      </c>
      <c r="K156" s="1283">
        <f t="shared" si="57"/>
        <v>94</v>
      </c>
      <c r="L156" s="1283">
        <f t="shared" si="57"/>
        <v>174</v>
      </c>
      <c r="M156" s="1283">
        <f t="shared" si="57"/>
        <v>216</v>
      </c>
      <c r="N156" s="1283">
        <f t="shared" si="57"/>
        <v>158</v>
      </c>
      <c r="O156" s="1283">
        <f t="shared" si="57"/>
        <v>204</v>
      </c>
      <c r="P156" s="1283">
        <f t="shared" si="57"/>
        <v>148</v>
      </c>
    </row>
    <row r="157" spans="2:16" ht="15" x14ac:dyDescent="0.2">
      <c r="B157" s="5470"/>
      <c r="C157" s="1078" t="s">
        <v>633</v>
      </c>
      <c r="E157" s="1283">
        <f>E15*3</f>
        <v>15</v>
      </c>
      <c r="F157" s="1283">
        <f t="shared" ref="F157:P157" si="58">F15*3</f>
        <v>24</v>
      </c>
      <c r="G157" s="1283">
        <f t="shared" si="58"/>
        <v>39</v>
      </c>
      <c r="H157" s="1283">
        <f t="shared" si="58"/>
        <v>60</v>
      </c>
      <c r="I157" s="1283">
        <f t="shared" si="58"/>
        <v>93</v>
      </c>
      <c r="J157" s="1283">
        <f t="shared" si="58"/>
        <v>102</v>
      </c>
      <c r="K157" s="1283">
        <f t="shared" si="58"/>
        <v>186</v>
      </c>
      <c r="L157" s="1283">
        <f t="shared" si="58"/>
        <v>168</v>
      </c>
      <c r="M157" s="1283">
        <f t="shared" si="58"/>
        <v>189</v>
      </c>
      <c r="N157" s="1283">
        <f t="shared" si="58"/>
        <v>165</v>
      </c>
      <c r="O157" s="1283">
        <f t="shared" si="58"/>
        <v>240</v>
      </c>
      <c r="P157" s="1283">
        <f t="shared" si="58"/>
        <v>213</v>
      </c>
    </row>
    <row r="158" spans="2:16" ht="15" x14ac:dyDescent="0.2">
      <c r="B158" s="5471"/>
      <c r="C158" s="583" t="s">
        <v>15</v>
      </c>
      <c r="E158" s="1284">
        <f>SUM(E155:E157)</f>
        <v>148</v>
      </c>
      <c r="F158" s="1284">
        <f t="shared" ref="F158:P158" si="59">SUM(F155:F157)</f>
        <v>135</v>
      </c>
      <c r="G158" s="1284">
        <f t="shared" si="59"/>
        <v>164</v>
      </c>
      <c r="H158" s="1284">
        <f t="shared" si="59"/>
        <v>204</v>
      </c>
      <c r="I158" s="1284">
        <f t="shared" si="59"/>
        <v>256</v>
      </c>
      <c r="J158" s="1284">
        <f t="shared" si="59"/>
        <v>276</v>
      </c>
      <c r="K158" s="1284">
        <f t="shared" si="59"/>
        <v>383</v>
      </c>
      <c r="L158" s="1284">
        <f t="shared" si="59"/>
        <v>444</v>
      </c>
      <c r="M158" s="1284">
        <f t="shared" si="59"/>
        <v>425</v>
      </c>
      <c r="N158" s="1284">
        <f t="shared" si="59"/>
        <v>418</v>
      </c>
      <c r="O158" s="1284">
        <f t="shared" si="59"/>
        <v>467</v>
      </c>
      <c r="P158" s="1284">
        <f t="shared" si="59"/>
        <v>431</v>
      </c>
    </row>
    <row r="159" spans="2:16" ht="15" x14ac:dyDescent="0.2">
      <c r="B159" s="5549" t="s">
        <v>694</v>
      </c>
      <c r="C159" s="1067" t="s">
        <v>631</v>
      </c>
      <c r="E159" s="1283">
        <f>SUM(E147,E151,E155)</f>
        <v>107</v>
      </c>
      <c r="F159" s="1283">
        <f t="shared" ref="F159:P159" si="60">SUM(F147,F151,F155)</f>
        <v>104</v>
      </c>
      <c r="G159" s="1283">
        <f t="shared" si="60"/>
        <v>91</v>
      </c>
      <c r="H159" s="1283">
        <f t="shared" si="60"/>
        <v>104</v>
      </c>
      <c r="I159" s="1283">
        <f t="shared" si="60"/>
        <v>120</v>
      </c>
      <c r="J159" s="1283">
        <f t="shared" si="60"/>
        <v>112</v>
      </c>
      <c r="K159" s="1283">
        <f t="shared" si="60"/>
        <v>144</v>
      </c>
      <c r="L159" s="1283">
        <f t="shared" si="60"/>
        <v>154</v>
      </c>
      <c r="M159" s="1283">
        <f t="shared" si="60"/>
        <v>67</v>
      </c>
      <c r="N159" s="1283">
        <f t="shared" si="60"/>
        <v>142</v>
      </c>
      <c r="O159" s="1283">
        <f t="shared" si="60"/>
        <v>69</v>
      </c>
      <c r="P159" s="1283">
        <f t="shared" si="60"/>
        <v>119</v>
      </c>
    </row>
    <row r="160" spans="2:16" ht="15" x14ac:dyDescent="0.2">
      <c r="B160" s="5550"/>
      <c r="C160" s="1072" t="s">
        <v>632</v>
      </c>
      <c r="E160" s="1283">
        <f t="shared" ref="E160:P161" si="61">SUM(E148,E152,E156)</f>
        <v>484</v>
      </c>
      <c r="F160" s="1283">
        <f t="shared" si="61"/>
        <v>462</v>
      </c>
      <c r="G160" s="1283">
        <f t="shared" si="61"/>
        <v>470</v>
      </c>
      <c r="H160" s="1283">
        <f t="shared" si="61"/>
        <v>534</v>
      </c>
      <c r="I160" s="1283">
        <f t="shared" si="61"/>
        <v>438</v>
      </c>
      <c r="J160" s="1283">
        <f t="shared" si="61"/>
        <v>590</v>
      </c>
      <c r="K160" s="1283">
        <f t="shared" si="61"/>
        <v>520</v>
      </c>
      <c r="L160" s="1283">
        <f t="shared" si="61"/>
        <v>678</v>
      </c>
      <c r="M160" s="1283">
        <f t="shared" si="61"/>
        <v>668</v>
      </c>
      <c r="N160" s="1283">
        <f t="shared" si="61"/>
        <v>740</v>
      </c>
      <c r="O160" s="1283">
        <f t="shared" si="61"/>
        <v>886</v>
      </c>
      <c r="P160" s="1283">
        <f t="shared" si="61"/>
        <v>852</v>
      </c>
    </row>
    <row r="161" spans="2:16" ht="15" x14ac:dyDescent="0.2">
      <c r="B161" s="5550"/>
      <c r="C161" s="1078" t="s">
        <v>633</v>
      </c>
      <c r="E161" s="1283">
        <f t="shared" si="61"/>
        <v>138</v>
      </c>
      <c r="F161" s="1283">
        <f t="shared" si="61"/>
        <v>180</v>
      </c>
      <c r="G161" s="1283">
        <f t="shared" si="61"/>
        <v>171</v>
      </c>
      <c r="H161" s="1283">
        <f t="shared" si="61"/>
        <v>348</v>
      </c>
      <c r="I161" s="1283">
        <f t="shared" si="61"/>
        <v>348</v>
      </c>
      <c r="J161" s="1283">
        <f t="shared" si="61"/>
        <v>345</v>
      </c>
      <c r="K161" s="1283">
        <f t="shared" si="61"/>
        <v>468</v>
      </c>
      <c r="L161" s="1283">
        <f t="shared" si="61"/>
        <v>429</v>
      </c>
      <c r="M161" s="1283">
        <f t="shared" si="61"/>
        <v>426</v>
      </c>
      <c r="N161" s="1283">
        <f t="shared" si="61"/>
        <v>432</v>
      </c>
      <c r="O161" s="1283">
        <f t="shared" si="61"/>
        <v>501</v>
      </c>
      <c r="P161" s="1283">
        <f t="shared" si="61"/>
        <v>471</v>
      </c>
    </row>
    <row r="162" spans="2:16" ht="15" x14ac:dyDescent="0.2">
      <c r="B162" s="5551"/>
      <c r="C162" s="2669" t="s">
        <v>12</v>
      </c>
      <c r="E162" s="2683">
        <f>SUM(E159:E161)</f>
        <v>729</v>
      </c>
      <c r="F162" s="2683">
        <f t="shared" ref="F162:P162" si="62">SUM(F159:F161)</f>
        <v>746</v>
      </c>
      <c r="G162" s="2683">
        <f t="shared" si="62"/>
        <v>732</v>
      </c>
      <c r="H162" s="2683">
        <f t="shared" si="62"/>
        <v>986</v>
      </c>
      <c r="I162" s="2683">
        <f t="shared" si="62"/>
        <v>906</v>
      </c>
      <c r="J162" s="2683">
        <f t="shared" si="62"/>
        <v>1047</v>
      </c>
      <c r="K162" s="2683">
        <f t="shared" si="62"/>
        <v>1132</v>
      </c>
      <c r="L162" s="2683">
        <f t="shared" si="62"/>
        <v>1261</v>
      </c>
      <c r="M162" s="2683">
        <f t="shared" si="62"/>
        <v>1161</v>
      </c>
      <c r="N162" s="2683">
        <f t="shared" si="62"/>
        <v>1314</v>
      </c>
      <c r="O162" s="2683">
        <f t="shared" si="62"/>
        <v>1456</v>
      </c>
      <c r="P162" s="2683">
        <f t="shared" si="62"/>
        <v>1442</v>
      </c>
    </row>
    <row r="164" spans="2:16" ht="15" x14ac:dyDescent="0.2">
      <c r="B164" s="5473" t="s">
        <v>5</v>
      </c>
      <c r="C164" s="1067" t="s">
        <v>631</v>
      </c>
      <c r="E164" s="1281">
        <f>+E22</f>
        <v>0</v>
      </c>
      <c r="F164" s="1281">
        <f t="shared" ref="F164:P164" si="63">+F22</f>
        <v>0</v>
      </c>
      <c r="G164" s="1281">
        <f t="shared" si="63"/>
        <v>0</v>
      </c>
      <c r="H164" s="1281">
        <f t="shared" si="63"/>
        <v>0</v>
      </c>
      <c r="I164" s="1281">
        <f t="shared" si="63"/>
        <v>0</v>
      </c>
      <c r="J164" s="1281">
        <f t="shared" si="63"/>
        <v>0</v>
      </c>
      <c r="K164" s="1281">
        <f t="shared" si="63"/>
        <v>0</v>
      </c>
      <c r="L164" s="1281">
        <f t="shared" si="63"/>
        <v>0</v>
      </c>
      <c r="M164" s="1281">
        <f t="shared" si="63"/>
        <v>0</v>
      </c>
      <c r="N164" s="1281">
        <f t="shared" si="63"/>
        <v>0</v>
      </c>
      <c r="O164" s="1281">
        <f t="shared" si="63"/>
        <v>0</v>
      </c>
      <c r="P164" s="1281">
        <f t="shared" si="63"/>
        <v>0</v>
      </c>
    </row>
    <row r="165" spans="2:16" ht="15" x14ac:dyDescent="0.2">
      <c r="B165" s="5474"/>
      <c r="C165" s="1072" t="s">
        <v>632</v>
      </c>
      <c r="E165" s="1283">
        <f>E23*2</f>
        <v>198</v>
      </c>
      <c r="F165" s="1283">
        <f t="shared" ref="F165:P165" si="64">F23*2</f>
        <v>306</v>
      </c>
      <c r="G165" s="1283">
        <f t="shared" si="64"/>
        <v>358</v>
      </c>
      <c r="H165" s="1283">
        <f t="shared" si="64"/>
        <v>394</v>
      </c>
      <c r="I165" s="1283">
        <f t="shared" si="64"/>
        <v>438</v>
      </c>
      <c r="J165" s="1283">
        <f t="shared" si="64"/>
        <v>488</v>
      </c>
      <c r="K165" s="1283">
        <f t="shared" si="64"/>
        <v>440</v>
      </c>
      <c r="L165" s="1283">
        <f t="shared" si="64"/>
        <v>502</v>
      </c>
      <c r="M165" s="1283">
        <f t="shared" si="64"/>
        <v>690</v>
      </c>
      <c r="N165" s="1283">
        <f t="shared" si="64"/>
        <v>546</v>
      </c>
      <c r="O165" s="1283">
        <f t="shared" si="64"/>
        <v>540</v>
      </c>
      <c r="P165" s="1283">
        <f t="shared" si="64"/>
        <v>560</v>
      </c>
    </row>
    <row r="166" spans="2:16" ht="15" x14ac:dyDescent="0.2">
      <c r="B166" s="5474"/>
      <c r="C166" s="1078" t="s">
        <v>633</v>
      </c>
      <c r="E166" s="1283">
        <f>E24*3</f>
        <v>750</v>
      </c>
      <c r="F166" s="1283">
        <f t="shared" ref="F166:P166" si="65">F24*3</f>
        <v>744</v>
      </c>
      <c r="G166" s="1283">
        <f t="shared" si="65"/>
        <v>723</v>
      </c>
      <c r="H166" s="1283">
        <f t="shared" si="65"/>
        <v>705</v>
      </c>
      <c r="I166" s="1283">
        <f t="shared" si="65"/>
        <v>621</v>
      </c>
      <c r="J166" s="1283">
        <f t="shared" si="65"/>
        <v>591</v>
      </c>
      <c r="K166" s="1283">
        <f t="shared" si="65"/>
        <v>702</v>
      </c>
      <c r="L166" s="1283">
        <f t="shared" si="65"/>
        <v>738</v>
      </c>
      <c r="M166" s="1283">
        <f t="shared" si="65"/>
        <v>525</v>
      </c>
      <c r="N166" s="1283">
        <f t="shared" si="65"/>
        <v>849</v>
      </c>
      <c r="O166" s="1283">
        <f t="shared" si="65"/>
        <v>888</v>
      </c>
      <c r="P166" s="1283">
        <f t="shared" si="65"/>
        <v>864</v>
      </c>
    </row>
    <row r="167" spans="2:16" ht="15" x14ac:dyDescent="0.2">
      <c r="B167" s="5474"/>
      <c r="C167" s="583" t="s">
        <v>14</v>
      </c>
      <c r="E167" s="1284">
        <f t="shared" ref="E167:O167" si="66">SUM(E164:E166)</f>
        <v>948</v>
      </c>
      <c r="F167" s="1284">
        <f t="shared" si="66"/>
        <v>1050</v>
      </c>
      <c r="G167" s="1284">
        <f t="shared" si="66"/>
        <v>1081</v>
      </c>
      <c r="H167" s="1284">
        <f t="shared" si="66"/>
        <v>1099</v>
      </c>
      <c r="I167" s="1284">
        <f t="shared" si="66"/>
        <v>1059</v>
      </c>
      <c r="J167" s="1284">
        <f t="shared" si="66"/>
        <v>1079</v>
      </c>
      <c r="K167" s="1284">
        <f t="shared" si="66"/>
        <v>1142</v>
      </c>
      <c r="L167" s="1284">
        <f t="shared" si="66"/>
        <v>1240</v>
      </c>
      <c r="M167" s="1284">
        <f t="shared" si="66"/>
        <v>1215</v>
      </c>
      <c r="N167" s="1284">
        <f t="shared" si="66"/>
        <v>1395</v>
      </c>
      <c r="O167" s="1284">
        <f t="shared" si="66"/>
        <v>1428</v>
      </c>
      <c r="P167" s="1284">
        <f t="shared" ref="P167" si="67">SUM(P164:P166)</f>
        <v>1424</v>
      </c>
    </row>
    <row r="168" spans="2:16" ht="15" x14ac:dyDescent="0.2">
      <c r="B168" s="5473" t="s">
        <v>6</v>
      </c>
      <c r="C168" s="1067" t="s">
        <v>631</v>
      </c>
      <c r="E168" s="1283">
        <f>+E26</f>
        <v>114</v>
      </c>
      <c r="F168" s="1283">
        <f t="shared" ref="F168:P168" si="68">+F26</f>
        <v>74</v>
      </c>
      <c r="G168" s="1283">
        <f t="shared" si="68"/>
        <v>86</v>
      </c>
      <c r="H168" s="1283">
        <f t="shared" si="68"/>
        <v>109</v>
      </c>
      <c r="I168" s="1283">
        <f t="shared" si="68"/>
        <v>101</v>
      </c>
      <c r="J168" s="1283">
        <f t="shared" si="68"/>
        <v>118</v>
      </c>
      <c r="K168" s="1283">
        <f t="shared" si="68"/>
        <v>169</v>
      </c>
      <c r="L168" s="1283">
        <f t="shared" si="68"/>
        <v>153</v>
      </c>
      <c r="M168" s="1283">
        <f t="shared" si="68"/>
        <v>83</v>
      </c>
      <c r="N168" s="1283">
        <f t="shared" si="68"/>
        <v>36</v>
      </c>
      <c r="O168" s="1283">
        <f t="shared" si="68"/>
        <v>44</v>
      </c>
      <c r="P168" s="1283">
        <f t="shared" si="68"/>
        <v>59</v>
      </c>
    </row>
    <row r="169" spans="2:16" ht="15" x14ac:dyDescent="0.2">
      <c r="B169" s="5474"/>
      <c r="C169" s="1072" t="s">
        <v>632</v>
      </c>
      <c r="E169" s="1283">
        <f>E27*2</f>
        <v>250</v>
      </c>
      <c r="F169" s="1283">
        <f t="shared" ref="F169:P169" si="69">F27*2</f>
        <v>324</v>
      </c>
      <c r="G169" s="1283">
        <f t="shared" si="69"/>
        <v>312</v>
      </c>
      <c r="H169" s="1283">
        <f t="shared" si="69"/>
        <v>378</v>
      </c>
      <c r="I169" s="1283">
        <f t="shared" si="69"/>
        <v>602</v>
      </c>
      <c r="J169" s="1283">
        <f t="shared" si="69"/>
        <v>566</v>
      </c>
      <c r="K169" s="1283">
        <f t="shared" si="69"/>
        <v>644</v>
      </c>
      <c r="L169" s="1283">
        <f t="shared" si="69"/>
        <v>548</v>
      </c>
      <c r="M169" s="1283">
        <f t="shared" si="69"/>
        <v>538</v>
      </c>
      <c r="N169" s="1283">
        <f t="shared" si="69"/>
        <v>416</v>
      </c>
      <c r="O169" s="1283">
        <f t="shared" si="69"/>
        <v>476</v>
      </c>
      <c r="P169" s="1283">
        <f t="shared" si="69"/>
        <v>382</v>
      </c>
    </row>
    <row r="170" spans="2:16" ht="15" x14ac:dyDescent="0.2">
      <c r="B170" s="5474"/>
      <c r="C170" s="1078" t="s">
        <v>633</v>
      </c>
      <c r="E170" s="1283">
        <f>E28*3</f>
        <v>837</v>
      </c>
      <c r="F170" s="1283">
        <f t="shared" ref="F170:P170" si="70">F28*3</f>
        <v>744</v>
      </c>
      <c r="G170" s="1283">
        <f t="shared" si="70"/>
        <v>672</v>
      </c>
      <c r="H170" s="1283">
        <f t="shared" si="70"/>
        <v>636</v>
      </c>
      <c r="I170" s="1283">
        <f t="shared" si="70"/>
        <v>741</v>
      </c>
      <c r="J170" s="1283">
        <f t="shared" si="70"/>
        <v>852</v>
      </c>
      <c r="K170" s="1283">
        <f t="shared" si="70"/>
        <v>1125</v>
      </c>
      <c r="L170" s="1283">
        <f t="shared" si="70"/>
        <v>1194</v>
      </c>
      <c r="M170" s="1283">
        <f t="shared" si="70"/>
        <v>1251</v>
      </c>
      <c r="N170" s="1283">
        <f t="shared" si="70"/>
        <v>1215</v>
      </c>
      <c r="O170" s="1283">
        <f t="shared" si="70"/>
        <v>1296</v>
      </c>
      <c r="P170" s="1283">
        <f t="shared" si="70"/>
        <v>1170</v>
      </c>
    </row>
    <row r="171" spans="2:16" ht="15" x14ac:dyDescent="0.2">
      <c r="B171" s="5474"/>
      <c r="C171" s="583" t="s">
        <v>420</v>
      </c>
      <c r="E171" s="1284">
        <f t="shared" ref="E171:O171" si="71">SUM(E168:E170)</f>
        <v>1201</v>
      </c>
      <c r="F171" s="1284">
        <f t="shared" si="71"/>
        <v>1142</v>
      </c>
      <c r="G171" s="1284">
        <f t="shared" si="71"/>
        <v>1070</v>
      </c>
      <c r="H171" s="1284">
        <f t="shared" si="71"/>
        <v>1123</v>
      </c>
      <c r="I171" s="1284">
        <f t="shared" si="71"/>
        <v>1444</v>
      </c>
      <c r="J171" s="1284">
        <f t="shared" si="71"/>
        <v>1536</v>
      </c>
      <c r="K171" s="1284">
        <f t="shared" si="71"/>
        <v>1938</v>
      </c>
      <c r="L171" s="1284">
        <f t="shared" si="71"/>
        <v>1895</v>
      </c>
      <c r="M171" s="1284">
        <f t="shared" si="71"/>
        <v>1872</v>
      </c>
      <c r="N171" s="1284">
        <f t="shared" si="71"/>
        <v>1667</v>
      </c>
      <c r="O171" s="1284">
        <f t="shared" si="71"/>
        <v>1816</v>
      </c>
      <c r="P171" s="1284">
        <f t="shared" ref="P171" si="72">SUM(P168:P170)</f>
        <v>1611</v>
      </c>
    </row>
    <row r="172" spans="2:16" ht="15" x14ac:dyDescent="0.2">
      <c r="B172" s="5473" t="s">
        <v>11</v>
      </c>
      <c r="C172" s="1067" t="s">
        <v>631</v>
      </c>
      <c r="E172" s="1283">
        <f>+E30</f>
        <v>50</v>
      </c>
      <c r="F172" s="1283">
        <f t="shared" ref="F172:P172" si="73">+F30</f>
        <v>51</v>
      </c>
      <c r="G172" s="1283">
        <f t="shared" si="73"/>
        <v>54</v>
      </c>
      <c r="H172" s="1283">
        <f t="shared" si="73"/>
        <v>67</v>
      </c>
      <c r="I172" s="1283">
        <f t="shared" si="73"/>
        <v>61</v>
      </c>
      <c r="J172" s="1283">
        <f t="shared" si="73"/>
        <v>63</v>
      </c>
      <c r="K172" s="1283">
        <f t="shared" si="73"/>
        <v>63</v>
      </c>
      <c r="L172" s="1283">
        <f t="shared" si="73"/>
        <v>66</v>
      </c>
      <c r="M172" s="1283">
        <f t="shared" si="73"/>
        <v>65</v>
      </c>
      <c r="N172" s="1283">
        <f t="shared" si="73"/>
        <v>63</v>
      </c>
      <c r="O172" s="1283">
        <f t="shared" si="73"/>
        <v>55</v>
      </c>
      <c r="P172" s="1283">
        <f t="shared" si="73"/>
        <v>51</v>
      </c>
    </row>
    <row r="173" spans="2:16" ht="15" x14ac:dyDescent="0.2">
      <c r="B173" s="5474"/>
      <c r="C173" s="1072" t="s">
        <v>632</v>
      </c>
      <c r="E173" s="1283">
        <f>E31*2</f>
        <v>236</v>
      </c>
      <c r="F173" s="1283">
        <f t="shared" ref="F173:P173" si="74">F31*2</f>
        <v>204</v>
      </c>
      <c r="G173" s="1283">
        <f t="shared" si="74"/>
        <v>206</v>
      </c>
      <c r="H173" s="1283">
        <f t="shared" si="74"/>
        <v>274</v>
      </c>
      <c r="I173" s="1283">
        <f t="shared" si="74"/>
        <v>316</v>
      </c>
      <c r="J173" s="1283">
        <f t="shared" si="74"/>
        <v>390</v>
      </c>
      <c r="K173" s="1283">
        <f t="shared" si="74"/>
        <v>362</v>
      </c>
      <c r="L173" s="1283">
        <f t="shared" si="74"/>
        <v>396</v>
      </c>
      <c r="M173" s="1283">
        <f t="shared" si="74"/>
        <v>418</v>
      </c>
      <c r="N173" s="1283">
        <f t="shared" si="74"/>
        <v>466</v>
      </c>
      <c r="O173" s="1283">
        <f t="shared" si="74"/>
        <v>498</v>
      </c>
      <c r="P173" s="1283">
        <f t="shared" si="74"/>
        <v>482</v>
      </c>
    </row>
    <row r="174" spans="2:16" ht="15" x14ac:dyDescent="0.2">
      <c r="B174" s="5474"/>
      <c r="C174" s="1078" t="s">
        <v>633</v>
      </c>
      <c r="E174" s="1283">
        <f>E32*3</f>
        <v>522</v>
      </c>
      <c r="F174" s="1283">
        <f t="shared" ref="F174:P174" si="75">F32*3</f>
        <v>525</v>
      </c>
      <c r="G174" s="1283">
        <f t="shared" si="75"/>
        <v>501</v>
      </c>
      <c r="H174" s="1283">
        <f t="shared" si="75"/>
        <v>504</v>
      </c>
      <c r="I174" s="1283">
        <f t="shared" si="75"/>
        <v>495</v>
      </c>
      <c r="J174" s="1283">
        <f t="shared" si="75"/>
        <v>537</v>
      </c>
      <c r="K174" s="1283">
        <f t="shared" si="75"/>
        <v>651</v>
      </c>
      <c r="L174" s="1283">
        <f t="shared" si="75"/>
        <v>705</v>
      </c>
      <c r="M174" s="1283">
        <f t="shared" si="75"/>
        <v>789</v>
      </c>
      <c r="N174" s="1283">
        <f t="shared" si="75"/>
        <v>816</v>
      </c>
      <c r="O174" s="1283">
        <f t="shared" si="75"/>
        <v>873</v>
      </c>
      <c r="P174" s="1283">
        <f t="shared" si="75"/>
        <v>906</v>
      </c>
    </row>
    <row r="175" spans="2:16" ht="15" x14ac:dyDescent="0.2">
      <c r="B175" s="5474"/>
      <c r="C175" s="583" t="s">
        <v>421</v>
      </c>
      <c r="E175" s="1284">
        <f t="shared" ref="E175:O175" si="76">SUM(E172:E174)</f>
        <v>808</v>
      </c>
      <c r="F175" s="1284">
        <f t="shared" si="76"/>
        <v>780</v>
      </c>
      <c r="G175" s="1284">
        <f t="shared" si="76"/>
        <v>761</v>
      </c>
      <c r="H175" s="1284">
        <f t="shared" si="76"/>
        <v>845</v>
      </c>
      <c r="I175" s="1284">
        <f t="shared" si="76"/>
        <v>872</v>
      </c>
      <c r="J175" s="1284">
        <f t="shared" si="76"/>
        <v>990</v>
      </c>
      <c r="K175" s="1284">
        <f t="shared" si="76"/>
        <v>1076</v>
      </c>
      <c r="L175" s="1284">
        <f t="shared" si="76"/>
        <v>1167</v>
      </c>
      <c r="M175" s="1284">
        <f t="shared" si="76"/>
        <v>1272</v>
      </c>
      <c r="N175" s="1284">
        <f t="shared" si="76"/>
        <v>1345</v>
      </c>
      <c r="O175" s="1284">
        <f t="shared" si="76"/>
        <v>1426</v>
      </c>
      <c r="P175" s="1284">
        <f t="shared" ref="P175" si="77">SUM(P172:P174)</f>
        <v>1439</v>
      </c>
    </row>
    <row r="176" spans="2:16" ht="15" x14ac:dyDescent="0.2">
      <c r="B176" s="5552" t="s">
        <v>696</v>
      </c>
      <c r="C176" s="1067" t="s">
        <v>631</v>
      </c>
      <c r="E176" s="1283">
        <f t="shared" ref="E176:O176" si="78">SUM(E164,E168,E172)</f>
        <v>164</v>
      </c>
      <c r="F176" s="1283">
        <f t="shared" si="78"/>
        <v>125</v>
      </c>
      <c r="G176" s="1283">
        <f t="shared" si="78"/>
        <v>140</v>
      </c>
      <c r="H176" s="1283">
        <f t="shared" si="78"/>
        <v>176</v>
      </c>
      <c r="I176" s="1283">
        <f t="shared" si="78"/>
        <v>162</v>
      </c>
      <c r="J176" s="1283">
        <f t="shared" si="78"/>
        <v>181</v>
      </c>
      <c r="K176" s="1283">
        <f t="shared" si="78"/>
        <v>232</v>
      </c>
      <c r="L176" s="1283">
        <f t="shared" si="78"/>
        <v>219</v>
      </c>
      <c r="M176" s="1283">
        <f t="shared" si="78"/>
        <v>148</v>
      </c>
      <c r="N176" s="1283">
        <f t="shared" si="78"/>
        <v>99</v>
      </c>
      <c r="O176" s="1283">
        <f t="shared" si="78"/>
        <v>99</v>
      </c>
      <c r="P176" s="1283">
        <f t="shared" ref="P176" si="79">SUM(P164,P168,P172)</f>
        <v>110</v>
      </c>
    </row>
    <row r="177" spans="2:16" ht="15" x14ac:dyDescent="0.2">
      <c r="B177" s="5553"/>
      <c r="C177" s="1072" t="s">
        <v>632</v>
      </c>
      <c r="E177" s="1283">
        <f t="shared" ref="E177:O177" si="80">SUM(E165,E169,E173)</f>
        <v>684</v>
      </c>
      <c r="F177" s="1283">
        <f t="shared" si="80"/>
        <v>834</v>
      </c>
      <c r="G177" s="1283">
        <f t="shared" si="80"/>
        <v>876</v>
      </c>
      <c r="H177" s="1283">
        <f t="shared" si="80"/>
        <v>1046</v>
      </c>
      <c r="I177" s="1283">
        <f t="shared" si="80"/>
        <v>1356</v>
      </c>
      <c r="J177" s="1283">
        <f t="shared" si="80"/>
        <v>1444</v>
      </c>
      <c r="K177" s="1283">
        <f t="shared" si="80"/>
        <v>1446</v>
      </c>
      <c r="L177" s="1283">
        <f t="shared" si="80"/>
        <v>1446</v>
      </c>
      <c r="M177" s="1283">
        <f t="shared" si="80"/>
        <v>1646</v>
      </c>
      <c r="N177" s="1283">
        <f t="shared" si="80"/>
        <v>1428</v>
      </c>
      <c r="O177" s="1283">
        <f t="shared" si="80"/>
        <v>1514</v>
      </c>
      <c r="P177" s="1283">
        <f t="shared" ref="P177" si="81">SUM(P165,P169,P173)</f>
        <v>1424</v>
      </c>
    </row>
    <row r="178" spans="2:16" ht="15" x14ac:dyDescent="0.2">
      <c r="B178" s="5553"/>
      <c r="C178" s="1078" t="s">
        <v>633</v>
      </c>
      <c r="E178" s="1283">
        <f t="shared" ref="E178:O178" si="82">SUM(E166,E170,E174)</f>
        <v>2109</v>
      </c>
      <c r="F178" s="1283">
        <f t="shared" si="82"/>
        <v>2013</v>
      </c>
      <c r="G178" s="1283">
        <f t="shared" si="82"/>
        <v>1896</v>
      </c>
      <c r="H178" s="1283">
        <f t="shared" si="82"/>
        <v>1845</v>
      </c>
      <c r="I178" s="1283">
        <f t="shared" si="82"/>
        <v>1857</v>
      </c>
      <c r="J178" s="1283">
        <f t="shared" si="82"/>
        <v>1980</v>
      </c>
      <c r="K178" s="1283">
        <f t="shared" si="82"/>
        <v>2478</v>
      </c>
      <c r="L178" s="1283">
        <f t="shared" si="82"/>
        <v>2637</v>
      </c>
      <c r="M178" s="1283">
        <f t="shared" si="82"/>
        <v>2565</v>
      </c>
      <c r="N178" s="1283">
        <f t="shared" si="82"/>
        <v>2880</v>
      </c>
      <c r="O178" s="1283">
        <f t="shared" si="82"/>
        <v>3057</v>
      </c>
      <c r="P178" s="1283">
        <f t="shared" ref="P178" si="83">SUM(P166,P170,P174)</f>
        <v>2940</v>
      </c>
    </row>
    <row r="179" spans="2:16" ht="15" x14ac:dyDescent="0.2">
      <c r="B179" s="5554"/>
      <c r="C179" s="2668" t="s">
        <v>12</v>
      </c>
      <c r="E179" s="2682">
        <f t="shared" ref="E179:O179" si="84">SUM(E176:E178)</f>
        <v>2957</v>
      </c>
      <c r="F179" s="2682">
        <f t="shared" si="84"/>
        <v>2972</v>
      </c>
      <c r="G179" s="2682">
        <f t="shared" si="84"/>
        <v>2912</v>
      </c>
      <c r="H179" s="2682">
        <f t="shared" si="84"/>
        <v>3067</v>
      </c>
      <c r="I179" s="2682">
        <f t="shared" si="84"/>
        <v>3375</v>
      </c>
      <c r="J179" s="2682">
        <f t="shared" si="84"/>
        <v>3605</v>
      </c>
      <c r="K179" s="2682">
        <f t="shared" si="84"/>
        <v>4156</v>
      </c>
      <c r="L179" s="2682">
        <f t="shared" si="84"/>
        <v>4302</v>
      </c>
      <c r="M179" s="2682">
        <f t="shared" si="84"/>
        <v>4359</v>
      </c>
      <c r="N179" s="2682">
        <f t="shared" si="84"/>
        <v>4407</v>
      </c>
      <c r="O179" s="2682">
        <f t="shared" si="84"/>
        <v>4670</v>
      </c>
      <c r="P179" s="2682">
        <f t="shared" ref="P179" si="85">SUM(P176:P178)</f>
        <v>4474</v>
      </c>
    </row>
    <row r="181" spans="2:16" ht="15" x14ac:dyDescent="0.2">
      <c r="B181" s="5478" t="s">
        <v>6</v>
      </c>
      <c r="C181" s="1067" t="s">
        <v>631</v>
      </c>
      <c r="E181" s="1281">
        <f>+E39</f>
        <v>6</v>
      </c>
      <c r="F181" s="1281">
        <f t="shared" ref="F181:P181" si="86">+F39</f>
        <v>4</v>
      </c>
      <c r="G181" s="1281">
        <f t="shared" si="86"/>
        <v>5</v>
      </c>
      <c r="H181" s="1281">
        <f t="shared" si="86"/>
        <v>21</v>
      </c>
      <c r="I181" s="1281">
        <f t="shared" si="86"/>
        <v>25</v>
      </c>
      <c r="J181" s="1281">
        <f t="shared" si="86"/>
        <v>22</v>
      </c>
      <c r="K181" s="1281">
        <f t="shared" si="86"/>
        <v>19</v>
      </c>
      <c r="L181" s="1281">
        <f t="shared" si="86"/>
        <v>36</v>
      </c>
      <c r="M181" s="1281">
        <f t="shared" si="86"/>
        <v>39</v>
      </c>
      <c r="N181" s="1281">
        <f t="shared" si="86"/>
        <v>34</v>
      </c>
      <c r="O181" s="1281">
        <f t="shared" si="86"/>
        <v>2</v>
      </c>
      <c r="P181" s="1281">
        <f t="shared" si="86"/>
        <v>0</v>
      </c>
    </row>
    <row r="182" spans="2:16" ht="15" x14ac:dyDescent="0.2">
      <c r="B182" s="5479"/>
      <c r="C182" s="1072" t="s">
        <v>632</v>
      </c>
      <c r="E182" s="1283">
        <f>E40*2</f>
        <v>550</v>
      </c>
      <c r="F182" s="1283">
        <f t="shared" ref="F182:P182" si="87">F40*2</f>
        <v>384</v>
      </c>
      <c r="G182" s="1283">
        <f t="shared" si="87"/>
        <v>534</v>
      </c>
      <c r="H182" s="1283">
        <f t="shared" si="87"/>
        <v>400</v>
      </c>
      <c r="I182" s="1283">
        <f t="shared" si="87"/>
        <v>542</v>
      </c>
      <c r="J182" s="1283">
        <f t="shared" si="87"/>
        <v>488</v>
      </c>
      <c r="K182" s="1283">
        <f t="shared" si="87"/>
        <v>594</v>
      </c>
      <c r="L182" s="1283">
        <f t="shared" si="87"/>
        <v>364</v>
      </c>
      <c r="M182" s="1283">
        <f t="shared" si="87"/>
        <v>570</v>
      </c>
      <c r="N182" s="1283">
        <f t="shared" si="87"/>
        <v>426</v>
      </c>
      <c r="O182" s="1283">
        <f t="shared" si="87"/>
        <v>608</v>
      </c>
      <c r="P182" s="1283">
        <f t="shared" si="87"/>
        <v>444</v>
      </c>
    </row>
    <row r="183" spans="2:16" ht="15" x14ac:dyDescent="0.2">
      <c r="B183" s="5479"/>
      <c r="C183" s="1078" t="s">
        <v>633</v>
      </c>
      <c r="E183" s="1283">
        <f>E41*3</f>
        <v>300</v>
      </c>
      <c r="F183" s="1283">
        <f t="shared" ref="F183:P183" si="88">F41*3</f>
        <v>408</v>
      </c>
      <c r="G183" s="1283">
        <f t="shared" si="88"/>
        <v>354</v>
      </c>
      <c r="H183" s="1283">
        <f t="shared" si="88"/>
        <v>561</v>
      </c>
      <c r="I183" s="1283">
        <f t="shared" si="88"/>
        <v>468</v>
      </c>
      <c r="J183" s="1283">
        <f t="shared" si="88"/>
        <v>606</v>
      </c>
      <c r="K183" s="1283">
        <f t="shared" si="88"/>
        <v>513</v>
      </c>
      <c r="L183" s="1283">
        <f t="shared" si="88"/>
        <v>633</v>
      </c>
      <c r="M183" s="1283">
        <f t="shared" si="88"/>
        <v>429</v>
      </c>
      <c r="N183" s="1283">
        <f t="shared" si="88"/>
        <v>534</v>
      </c>
      <c r="O183" s="1283">
        <f t="shared" si="88"/>
        <v>444</v>
      </c>
      <c r="P183" s="1283">
        <f t="shared" si="88"/>
        <v>549</v>
      </c>
    </row>
    <row r="184" spans="2:16" ht="15" x14ac:dyDescent="0.2">
      <c r="B184" s="5479"/>
      <c r="C184" s="583" t="s">
        <v>13</v>
      </c>
      <c r="E184" s="1284">
        <f t="shared" ref="E184:O184" si="89">SUM(E181:E183)</f>
        <v>856</v>
      </c>
      <c r="F184" s="1284">
        <f t="shared" si="89"/>
        <v>796</v>
      </c>
      <c r="G184" s="1284">
        <f t="shared" si="89"/>
        <v>893</v>
      </c>
      <c r="H184" s="1284">
        <f t="shared" si="89"/>
        <v>982</v>
      </c>
      <c r="I184" s="1284">
        <f t="shared" si="89"/>
        <v>1035</v>
      </c>
      <c r="J184" s="1284">
        <f t="shared" si="89"/>
        <v>1116</v>
      </c>
      <c r="K184" s="1284">
        <f t="shared" si="89"/>
        <v>1126</v>
      </c>
      <c r="L184" s="1284">
        <f t="shared" si="89"/>
        <v>1033</v>
      </c>
      <c r="M184" s="1284">
        <f t="shared" si="89"/>
        <v>1038</v>
      </c>
      <c r="N184" s="1284">
        <f t="shared" si="89"/>
        <v>994</v>
      </c>
      <c r="O184" s="1284">
        <f t="shared" si="89"/>
        <v>1054</v>
      </c>
      <c r="P184" s="1284">
        <f t="shared" ref="P184" si="90">SUM(P181:P183)</f>
        <v>993</v>
      </c>
    </row>
    <row r="185" spans="2:16" ht="15" x14ac:dyDescent="0.2">
      <c r="B185" s="5478" t="s">
        <v>11</v>
      </c>
      <c r="C185" s="1067" t="s">
        <v>631</v>
      </c>
      <c r="E185" s="1283">
        <f>+E43</f>
        <v>11</v>
      </c>
      <c r="F185" s="1283">
        <f t="shared" ref="F185:P185" si="91">+F43</f>
        <v>0</v>
      </c>
      <c r="G185" s="1283">
        <f t="shared" si="91"/>
        <v>13</v>
      </c>
      <c r="H185" s="1283">
        <f t="shared" si="91"/>
        <v>8</v>
      </c>
      <c r="I185" s="1283">
        <f t="shared" si="91"/>
        <v>12</v>
      </c>
      <c r="J185" s="1283">
        <f t="shared" si="91"/>
        <v>11</v>
      </c>
      <c r="K185" s="1283">
        <f t="shared" si="91"/>
        <v>0</v>
      </c>
      <c r="L185" s="1283">
        <f t="shared" si="91"/>
        <v>36</v>
      </c>
      <c r="M185" s="1283">
        <f t="shared" si="91"/>
        <v>17</v>
      </c>
      <c r="N185" s="1283">
        <f t="shared" si="91"/>
        <v>13</v>
      </c>
      <c r="O185" s="1283">
        <f t="shared" si="91"/>
        <v>0</v>
      </c>
      <c r="P185" s="1283">
        <f t="shared" si="91"/>
        <v>0</v>
      </c>
    </row>
    <row r="186" spans="2:16" ht="15" x14ac:dyDescent="0.2">
      <c r="B186" s="5479"/>
      <c r="C186" s="1072" t="s">
        <v>632</v>
      </c>
      <c r="E186" s="1283">
        <f>E44*2</f>
        <v>188</v>
      </c>
      <c r="F186" s="1283">
        <f t="shared" ref="F186:P186" si="92">F44*2</f>
        <v>308</v>
      </c>
      <c r="G186" s="1283">
        <f t="shared" si="92"/>
        <v>310</v>
      </c>
      <c r="H186" s="1283">
        <f t="shared" si="92"/>
        <v>360</v>
      </c>
      <c r="I186" s="1283">
        <f t="shared" si="92"/>
        <v>340</v>
      </c>
      <c r="J186" s="1283">
        <f t="shared" si="92"/>
        <v>390</v>
      </c>
      <c r="K186" s="1283">
        <f t="shared" si="92"/>
        <v>400</v>
      </c>
      <c r="L186" s="1283">
        <f t="shared" si="92"/>
        <v>386</v>
      </c>
      <c r="M186" s="1283">
        <f t="shared" si="92"/>
        <v>386</v>
      </c>
      <c r="N186" s="1283">
        <f t="shared" si="92"/>
        <v>484</v>
      </c>
      <c r="O186" s="1283">
        <f t="shared" si="92"/>
        <v>424</v>
      </c>
      <c r="P186" s="1283">
        <f t="shared" si="92"/>
        <v>516</v>
      </c>
    </row>
    <row r="187" spans="2:16" ht="15" x14ac:dyDescent="0.2">
      <c r="B187" s="5479"/>
      <c r="C187" s="1078" t="s">
        <v>633</v>
      </c>
      <c r="E187" s="1283">
        <f>E45*3</f>
        <v>195</v>
      </c>
      <c r="F187" s="1283">
        <f t="shared" ref="F187:P187" si="93">F45*3</f>
        <v>216</v>
      </c>
      <c r="G187" s="1283">
        <f t="shared" si="93"/>
        <v>243</v>
      </c>
      <c r="H187" s="1283">
        <f t="shared" si="93"/>
        <v>294</v>
      </c>
      <c r="I187" s="1283">
        <f t="shared" si="93"/>
        <v>267</v>
      </c>
      <c r="J187" s="1283">
        <f t="shared" si="93"/>
        <v>312</v>
      </c>
      <c r="K187" s="1283">
        <f t="shared" si="93"/>
        <v>330</v>
      </c>
      <c r="L187" s="1283">
        <f t="shared" si="93"/>
        <v>312</v>
      </c>
      <c r="M187" s="1283">
        <f t="shared" si="93"/>
        <v>342</v>
      </c>
      <c r="N187" s="1283">
        <f t="shared" si="93"/>
        <v>354</v>
      </c>
      <c r="O187" s="1283">
        <f t="shared" si="93"/>
        <v>381</v>
      </c>
      <c r="P187" s="1283">
        <f t="shared" si="93"/>
        <v>384</v>
      </c>
    </row>
    <row r="188" spans="2:16" ht="15" x14ac:dyDescent="0.2">
      <c r="B188" s="5479"/>
      <c r="C188" s="583" t="s">
        <v>14</v>
      </c>
      <c r="E188" s="1284">
        <f t="shared" ref="E188:O188" si="94">SUM(E185:E187)</f>
        <v>394</v>
      </c>
      <c r="F188" s="1284">
        <f t="shared" si="94"/>
        <v>524</v>
      </c>
      <c r="G188" s="1284">
        <f t="shared" si="94"/>
        <v>566</v>
      </c>
      <c r="H188" s="1284">
        <f t="shared" si="94"/>
        <v>662</v>
      </c>
      <c r="I188" s="1284">
        <f t="shared" si="94"/>
        <v>619</v>
      </c>
      <c r="J188" s="1284">
        <f t="shared" si="94"/>
        <v>713</v>
      </c>
      <c r="K188" s="1284">
        <f t="shared" si="94"/>
        <v>730</v>
      </c>
      <c r="L188" s="1284">
        <f t="shared" si="94"/>
        <v>734</v>
      </c>
      <c r="M188" s="1284">
        <f t="shared" si="94"/>
        <v>745</v>
      </c>
      <c r="N188" s="1284">
        <f t="shared" si="94"/>
        <v>851</v>
      </c>
      <c r="O188" s="1284">
        <f t="shared" si="94"/>
        <v>805</v>
      </c>
      <c r="P188" s="1284">
        <f t="shared" ref="P188" si="95">SUM(P185:P187)</f>
        <v>900</v>
      </c>
    </row>
    <row r="189" spans="2:16" ht="15" x14ac:dyDescent="0.2">
      <c r="B189" s="5478" t="s">
        <v>7</v>
      </c>
      <c r="C189" s="1067" t="s">
        <v>631</v>
      </c>
      <c r="E189" s="1283">
        <f>+E47</f>
        <v>0</v>
      </c>
      <c r="F189" s="1283">
        <f t="shared" ref="F189:P189" si="96">+F47</f>
        <v>0</v>
      </c>
      <c r="G189" s="1283">
        <f t="shared" si="96"/>
        <v>0</v>
      </c>
      <c r="H189" s="1283">
        <f t="shared" si="96"/>
        <v>0</v>
      </c>
      <c r="I189" s="1283">
        <f t="shared" si="96"/>
        <v>0</v>
      </c>
      <c r="J189" s="1283">
        <f t="shared" si="96"/>
        <v>0</v>
      </c>
      <c r="K189" s="1283">
        <f t="shared" si="96"/>
        <v>0</v>
      </c>
      <c r="L189" s="1283">
        <f t="shared" si="96"/>
        <v>0</v>
      </c>
      <c r="M189" s="1283">
        <f t="shared" si="96"/>
        <v>0</v>
      </c>
      <c r="N189" s="1283">
        <f t="shared" si="96"/>
        <v>0</v>
      </c>
      <c r="O189" s="1283">
        <f t="shared" si="96"/>
        <v>0</v>
      </c>
      <c r="P189" s="1283">
        <f t="shared" si="96"/>
        <v>0</v>
      </c>
    </row>
    <row r="190" spans="2:16" ht="15" x14ac:dyDescent="0.2">
      <c r="B190" s="5479"/>
      <c r="C190" s="1072" t="s">
        <v>632</v>
      </c>
      <c r="E190" s="1283">
        <f>E48*2</f>
        <v>134</v>
      </c>
      <c r="F190" s="1283">
        <f t="shared" ref="F190:P190" si="97">F48*2</f>
        <v>136</v>
      </c>
      <c r="G190" s="1283">
        <f t="shared" si="97"/>
        <v>140</v>
      </c>
      <c r="H190" s="1283">
        <f t="shared" si="97"/>
        <v>132</v>
      </c>
      <c r="I190" s="1283">
        <f t="shared" si="97"/>
        <v>124</v>
      </c>
      <c r="J190" s="1283">
        <f t="shared" si="97"/>
        <v>226</v>
      </c>
      <c r="K190" s="1283">
        <f t="shared" si="97"/>
        <v>220</v>
      </c>
      <c r="L190" s="1283">
        <f t="shared" si="97"/>
        <v>294</v>
      </c>
      <c r="M190" s="1283">
        <f t="shared" si="97"/>
        <v>200</v>
      </c>
      <c r="N190" s="1283">
        <f t="shared" si="97"/>
        <v>290</v>
      </c>
      <c r="O190" s="1283">
        <f t="shared" si="97"/>
        <v>228</v>
      </c>
      <c r="P190" s="1283">
        <f t="shared" si="97"/>
        <v>318</v>
      </c>
    </row>
    <row r="191" spans="2:16" ht="15" x14ac:dyDescent="0.2">
      <c r="B191" s="5479"/>
      <c r="C191" s="1078" t="s">
        <v>633</v>
      </c>
      <c r="E191" s="1283">
        <f>E49*3</f>
        <v>72</v>
      </c>
      <c r="F191" s="1283">
        <f t="shared" ref="F191:P191" si="98">F49*3</f>
        <v>57</v>
      </c>
      <c r="G191" s="1283">
        <f t="shared" si="98"/>
        <v>90</v>
      </c>
      <c r="H191" s="1283">
        <f t="shared" si="98"/>
        <v>99</v>
      </c>
      <c r="I191" s="1283">
        <f t="shared" si="98"/>
        <v>114</v>
      </c>
      <c r="J191" s="1283">
        <f t="shared" si="98"/>
        <v>126</v>
      </c>
      <c r="K191" s="1283">
        <f t="shared" si="98"/>
        <v>117</v>
      </c>
      <c r="L191" s="1283">
        <f t="shared" si="98"/>
        <v>129</v>
      </c>
      <c r="M191" s="1283">
        <f t="shared" si="98"/>
        <v>135</v>
      </c>
      <c r="N191" s="1283">
        <f t="shared" si="98"/>
        <v>141</v>
      </c>
      <c r="O191" s="1283">
        <f t="shared" si="98"/>
        <v>147</v>
      </c>
      <c r="P191" s="1283">
        <f t="shared" si="98"/>
        <v>120</v>
      </c>
    </row>
    <row r="192" spans="2:16" ht="15" x14ac:dyDescent="0.2">
      <c r="B192" s="5479"/>
      <c r="C192" s="583" t="s">
        <v>30</v>
      </c>
      <c r="E192" s="1284">
        <f t="shared" ref="E192:O192" si="99">SUM(E189:E191)</f>
        <v>206</v>
      </c>
      <c r="F192" s="1284">
        <f t="shared" si="99"/>
        <v>193</v>
      </c>
      <c r="G192" s="1284">
        <f t="shared" si="99"/>
        <v>230</v>
      </c>
      <c r="H192" s="1284">
        <f t="shared" si="99"/>
        <v>231</v>
      </c>
      <c r="I192" s="1284">
        <f t="shared" si="99"/>
        <v>238</v>
      </c>
      <c r="J192" s="1284">
        <f t="shared" si="99"/>
        <v>352</v>
      </c>
      <c r="K192" s="1284">
        <f t="shared" si="99"/>
        <v>337</v>
      </c>
      <c r="L192" s="1284">
        <f t="shared" si="99"/>
        <v>423</v>
      </c>
      <c r="M192" s="1284">
        <f t="shared" si="99"/>
        <v>335</v>
      </c>
      <c r="N192" s="1284">
        <f t="shared" si="99"/>
        <v>431</v>
      </c>
      <c r="O192" s="1284">
        <f t="shared" si="99"/>
        <v>375</v>
      </c>
      <c r="P192" s="1284">
        <f t="shared" ref="P192" si="100">SUM(P189:P191)</f>
        <v>438</v>
      </c>
    </row>
    <row r="193" spans="2:16" ht="15" x14ac:dyDescent="0.2">
      <c r="B193" s="5555" t="s">
        <v>697</v>
      </c>
      <c r="C193" s="1067" t="s">
        <v>631</v>
      </c>
      <c r="E193" s="1283">
        <f t="shared" ref="E193:O193" si="101">SUM(E181,E185,E189)</f>
        <v>17</v>
      </c>
      <c r="F193" s="1283">
        <f t="shared" si="101"/>
        <v>4</v>
      </c>
      <c r="G193" s="1283">
        <f t="shared" si="101"/>
        <v>18</v>
      </c>
      <c r="H193" s="1283">
        <f t="shared" si="101"/>
        <v>29</v>
      </c>
      <c r="I193" s="1283">
        <f t="shared" si="101"/>
        <v>37</v>
      </c>
      <c r="J193" s="1283">
        <f t="shared" si="101"/>
        <v>33</v>
      </c>
      <c r="K193" s="1283">
        <f t="shared" si="101"/>
        <v>19</v>
      </c>
      <c r="L193" s="1283">
        <f t="shared" si="101"/>
        <v>72</v>
      </c>
      <c r="M193" s="1283">
        <f t="shared" si="101"/>
        <v>56</v>
      </c>
      <c r="N193" s="1283">
        <f t="shared" si="101"/>
        <v>47</v>
      </c>
      <c r="O193" s="1283">
        <f t="shared" si="101"/>
        <v>2</v>
      </c>
      <c r="P193" s="1283">
        <f t="shared" ref="P193" si="102">SUM(P181,P185,P189)</f>
        <v>0</v>
      </c>
    </row>
    <row r="194" spans="2:16" ht="15" x14ac:dyDescent="0.2">
      <c r="B194" s="5556"/>
      <c r="C194" s="1072" t="s">
        <v>632</v>
      </c>
      <c r="E194" s="1283">
        <f t="shared" ref="E194:O194" si="103">SUM(E182,E186,E190)</f>
        <v>872</v>
      </c>
      <c r="F194" s="1283">
        <f t="shared" si="103"/>
        <v>828</v>
      </c>
      <c r="G194" s="1283">
        <f t="shared" si="103"/>
        <v>984</v>
      </c>
      <c r="H194" s="1283">
        <f t="shared" si="103"/>
        <v>892</v>
      </c>
      <c r="I194" s="1283">
        <f t="shared" si="103"/>
        <v>1006</v>
      </c>
      <c r="J194" s="1283">
        <f t="shared" si="103"/>
        <v>1104</v>
      </c>
      <c r="K194" s="1283">
        <f t="shared" si="103"/>
        <v>1214</v>
      </c>
      <c r="L194" s="1283">
        <f t="shared" si="103"/>
        <v>1044</v>
      </c>
      <c r="M194" s="1283">
        <f t="shared" si="103"/>
        <v>1156</v>
      </c>
      <c r="N194" s="1283">
        <f t="shared" si="103"/>
        <v>1200</v>
      </c>
      <c r="O194" s="1283">
        <f t="shared" si="103"/>
        <v>1260</v>
      </c>
      <c r="P194" s="1283">
        <f t="shared" ref="P194" si="104">SUM(P182,P186,P190)</f>
        <v>1278</v>
      </c>
    </row>
    <row r="195" spans="2:16" ht="15" x14ac:dyDescent="0.2">
      <c r="B195" s="5556"/>
      <c r="C195" s="1078" t="s">
        <v>633</v>
      </c>
      <c r="E195" s="1283">
        <f t="shared" ref="E195:O195" si="105">SUM(E183,E187,E191)</f>
        <v>567</v>
      </c>
      <c r="F195" s="1283">
        <f t="shared" si="105"/>
        <v>681</v>
      </c>
      <c r="G195" s="1283">
        <f t="shared" si="105"/>
        <v>687</v>
      </c>
      <c r="H195" s="1283">
        <f t="shared" si="105"/>
        <v>954</v>
      </c>
      <c r="I195" s="1283">
        <f t="shared" si="105"/>
        <v>849</v>
      </c>
      <c r="J195" s="1283">
        <f t="shared" si="105"/>
        <v>1044</v>
      </c>
      <c r="K195" s="1283">
        <f t="shared" si="105"/>
        <v>960</v>
      </c>
      <c r="L195" s="1283">
        <f t="shared" si="105"/>
        <v>1074</v>
      </c>
      <c r="M195" s="1283">
        <f t="shared" si="105"/>
        <v>906</v>
      </c>
      <c r="N195" s="1283">
        <f t="shared" si="105"/>
        <v>1029</v>
      </c>
      <c r="O195" s="1283">
        <f t="shared" si="105"/>
        <v>972</v>
      </c>
      <c r="P195" s="1283">
        <f t="shared" ref="P195" si="106">SUM(P183,P187,P191)</f>
        <v>1053</v>
      </c>
    </row>
    <row r="196" spans="2:16" ht="15" x14ac:dyDescent="0.2">
      <c r="B196" s="5557"/>
      <c r="C196" s="2666" t="s">
        <v>12</v>
      </c>
      <c r="E196" s="2681">
        <f t="shared" ref="E196:O196" si="107">SUM(E193:E195)</f>
        <v>1456</v>
      </c>
      <c r="F196" s="2681">
        <f t="shared" si="107"/>
        <v>1513</v>
      </c>
      <c r="G196" s="2681">
        <f t="shared" si="107"/>
        <v>1689</v>
      </c>
      <c r="H196" s="2681">
        <f t="shared" si="107"/>
        <v>1875</v>
      </c>
      <c r="I196" s="2681">
        <f t="shared" si="107"/>
        <v>1892</v>
      </c>
      <c r="J196" s="2681">
        <f t="shared" si="107"/>
        <v>2181</v>
      </c>
      <c r="K196" s="2681">
        <f t="shared" si="107"/>
        <v>2193</v>
      </c>
      <c r="L196" s="2681">
        <f t="shared" si="107"/>
        <v>2190</v>
      </c>
      <c r="M196" s="2681">
        <f t="shared" si="107"/>
        <v>2118</v>
      </c>
      <c r="N196" s="2681">
        <f t="shared" si="107"/>
        <v>2276</v>
      </c>
      <c r="O196" s="2681">
        <f t="shared" si="107"/>
        <v>2234</v>
      </c>
      <c r="P196" s="2681">
        <f t="shared" ref="P196" si="108">SUM(P193:P195)</f>
        <v>2331</v>
      </c>
    </row>
    <row r="198" spans="2:16" ht="15" x14ac:dyDescent="0.2">
      <c r="B198" s="5483" t="s">
        <v>6</v>
      </c>
      <c r="C198" s="1067" t="s">
        <v>631</v>
      </c>
      <c r="E198" s="1281"/>
      <c r="F198" s="1281"/>
      <c r="G198" s="1281"/>
      <c r="H198" s="1281"/>
      <c r="I198" s="1281"/>
      <c r="J198" s="1281"/>
      <c r="K198" s="1281"/>
      <c r="L198" s="1281">
        <f>+L56</f>
        <v>0</v>
      </c>
      <c r="M198" s="1281">
        <f t="shared" ref="M198:P198" si="109">+M56</f>
        <v>0</v>
      </c>
      <c r="N198" s="1281">
        <f t="shared" si="109"/>
        <v>0</v>
      </c>
      <c r="O198" s="1281">
        <f t="shared" si="109"/>
        <v>0</v>
      </c>
      <c r="P198" s="1281">
        <f t="shared" si="109"/>
        <v>0</v>
      </c>
    </row>
    <row r="199" spans="2:16" ht="15" x14ac:dyDescent="0.2">
      <c r="B199" s="5484"/>
      <c r="C199" s="1072" t="s">
        <v>632</v>
      </c>
      <c r="E199" s="1283"/>
      <c r="F199" s="1283"/>
      <c r="G199" s="1283"/>
      <c r="H199" s="1283"/>
      <c r="I199" s="1283"/>
      <c r="J199" s="1283"/>
      <c r="K199" s="1283"/>
      <c r="L199" s="1283">
        <f>L57*2</f>
        <v>40</v>
      </c>
      <c r="M199" s="1283">
        <f t="shared" ref="M199:P199" si="110">M57*2</f>
        <v>64</v>
      </c>
      <c r="N199" s="1283">
        <f t="shared" si="110"/>
        <v>76</v>
      </c>
      <c r="O199" s="1283">
        <f t="shared" si="110"/>
        <v>72</v>
      </c>
      <c r="P199" s="1283">
        <f t="shared" si="110"/>
        <v>72</v>
      </c>
    </row>
    <row r="200" spans="2:16" ht="15" x14ac:dyDescent="0.2">
      <c r="B200" s="5484"/>
      <c r="C200" s="1078" t="s">
        <v>633</v>
      </c>
      <c r="E200" s="1283"/>
      <c r="F200" s="1283"/>
      <c r="G200" s="1283"/>
      <c r="H200" s="1283"/>
      <c r="I200" s="1283"/>
      <c r="J200" s="1283"/>
      <c r="K200" s="1283"/>
      <c r="L200" s="1283">
        <f>L58*3</f>
        <v>36</v>
      </c>
      <c r="M200" s="1283">
        <f t="shared" ref="M200:P200" si="111">M58*3</f>
        <v>66</v>
      </c>
      <c r="N200" s="1283">
        <f t="shared" si="111"/>
        <v>108</v>
      </c>
      <c r="O200" s="1283">
        <f t="shared" si="111"/>
        <v>126</v>
      </c>
      <c r="P200" s="1283">
        <f t="shared" si="111"/>
        <v>168</v>
      </c>
    </row>
    <row r="201" spans="2:16" ht="15" x14ac:dyDescent="0.2">
      <c r="B201" s="5485"/>
      <c r="C201" s="583" t="s">
        <v>14</v>
      </c>
      <c r="E201" s="1284"/>
      <c r="F201" s="1284"/>
      <c r="G201" s="1284"/>
      <c r="H201" s="1284"/>
      <c r="I201" s="1284"/>
      <c r="J201" s="1284"/>
      <c r="K201" s="1284"/>
      <c r="L201" s="1284">
        <f>SUM(L198:L200)</f>
        <v>76</v>
      </c>
      <c r="M201" s="1284">
        <f t="shared" ref="M201:O201" si="112">SUM(M198:M200)</f>
        <v>130</v>
      </c>
      <c r="N201" s="1284">
        <f t="shared" si="112"/>
        <v>184</v>
      </c>
      <c r="O201" s="1284">
        <f t="shared" si="112"/>
        <v>198</v>
      </c>
      <c r="P201" s="1284">
        <f t="shared" ref="P201" si="113">SUM(P198:P200)</f>
        <v>240</v>
      </c>
    </row>
    <row r="202" spans="2:16" ht="15" x14ac:dyDescent="0.2">
      <c r="B202" s="5483" t="s">
        <v>9</v>
      </c>
      <c r="C202" s="1067" t="s">
        <v>631</v>
      </c>
      <c r="E202" s="1283"/>
      <c r="F202" s="1283"/>
      <c r="G202" s="1283"/>
      <c r="H202" s="1283"/>
      <c r="I202" s="1283"/>
      <c r="J202" s="1283"/>
      <c r="K202" s="1283"/>
      <c r="L202" s="1283"/>
      <c r="M202" s="1283"/>
      <c r="N202" s="1283"/>
      <c r="O202" s="1283"/>
      <c r="P202" s="1283"/>
    </row>
    <row r="203" spans="2:16" ht="15" x14ac:dyDescent="0.2">
      <c r="B203" s="5484"/>
      <c r="C203" s="1072" t="s">
        <v>632</v>
      </c>
      <c r="E203" s="1283"/>
      <c r="F203" s="1283"/>
      <c r="G203" s="1283"/>
      <c r="H203" s="1283"/>
      <c r="I203" s="1283"/>
      <c r="J203" s="1283"/>
      <c r="K203" s="1283"/>
      <c r="L203" s="1283"/>
      <c r="M203" s="1283">
        <f>M61*2</f>
        <v>24</v>
      </c>
      <c r="N203" s="1283">
        <f t="shared" ref="N203:P203" si="114">N61*2</f>
        <v>48</v>
      </c>
      <c r="O203" s="1283">
        <f t="shared" si="114"/>
        <v>84</v>
      </c>
      <c r="P203" s="1283">
        <f t="shared" si="114"/>
        <v>100</v>
      </c>
    </row>
    <row r="204" spans="2:16" ht="15" x14ac:dyDescent="0.2">
      <c r="B204" s="5484"/>
      <c r="C204" s="1078" t="s">
        <v>633</v>
      </c>
      <c r="E204" s="1283"/>
      <c r="F204" s="1283"/>
      <c r="G204" s="1283"/>
      <c r="H204" s="1283"/>
      <c r="I204" s="1283"/>
      <c r="J204" s="1283"/>
      <c r="K204" s="1283"/>
      <c r="L204" s="1283"/>
      <c r="M204" s="1283"/>
      <c r="N204" s="1283"/>
      <c r="O204" s="1283"/>
      <c r="P204" s="1283"/>
    </row>
    <row r="205" spans="2:16" ht="15" x14ac:dyDescent="0.2">
      <c r="B205" s="5485"/>
      <c r="C205" s="583" t="s">
        <v>30</v>
      </c>
      <c r="E205" s="1284"/>
      <c r="F205" s="1284"/>
      <c r="G205" s="1284"/>
      <c r="H205" s="1284"/>
      <c r="I205" s="1284"/>
      <c r="J205" s="1284"/>
      <c r="K205" s="1284"/>
      <c r="L205" s="1284"/>
      <c r="M205" s="1284">
        <f>SUM(M202:M204)</f>
        <v>24</v>
      </c>
      <c r="N205" s="1284">
        <f t="shared" ref="N205:O205" si="115">SUM(N202:N204)</f>
        <v>48</v>
      </c>
      <c r="O205" s="1284">
        <f t="shared" si="115"/>
        <v>84</v>
      </c>
      <c r="P205" s="1284">
        <f t="shared" ref="P205" si="116">SUM(P202:P204)</f>
        <v>100</v>
      </c>
    </row>
    <row r="206" spans="2:16" ht="15" x14ac:dyDescent="0.2">
      <c r="B206" s="5483" t="s">
        <v>74</v>
      </c>
      <c r="C206" s="1067" t="s">
        <v>631</v>
      </c>
      <c r="E206" s="1283"/>
      <c r="F206" s="1283"/>
      <c r="G206" s="1283"/>
      <c r="H206" s="1283"/>
      <c r="I206" s="1283"/>
      <c r="J206" s="1283"/>
      <c r="K206" s="1283"/>
      <c r="L206" s="1283">
        <f>+L68</f>
        <v>0</v>
      </c>
      <c r="M206" s="1283">
        <f>+M68</f>
        <v>3</v>
      </c>
      <c r="N206" s="1283">
        <f t="shared" ref="N206:P206" si="117">+N68</f>
        <v>5</v>
      </c>
      <c r="O206" s="1283">
        <f t="shared" si="117"/>
        <v>4</v>
      </c>
      <c r="P206" s="1283">
        <f t="shared" si="117"/>
        <v>7</v>
      </c>
    </row>
    <row r="207" spans="2:16" ht="15" x14ac:dyDescent="0.2">
      <c r="B207" s="5484"/>
      <c r="C207" s="1072" t="s">
        <v>632</v>
      </c>
      <c r="E207" s="1283"/>
      <c r="F207" s="1283"/>
      <c r="G207" s="1283"/>
      <c r="H207" s="1283"/>
      <c r="I207" s="1283"/>
      <c r="J207" s="1283"/>
      <c r="K207" s="1283"/>
      <c r="L207" s="1283">
        <f>L69*2</f>
        <v>40</v>
      </c>
      <c r="M207" s="1283">
        <f t="shared" ref="M207:P207" si="118">M69*2</f>
        <v>106</v>
      </c>
      <c r="N207" s="1283">
        <f t="shared" si="118"/>
        <v>168</v>
      </c>
      <c r="O207" s="1283">
        <f t="shared" si="118"/>
        <v>224</v>
      </c>
      <c r="P207" s="1283">
        <f t="shared" si="118"/>
        <v>246</v>
      </c>
    </row>
    <row r="208" spans="2:16" ht="15" x14ac:dyDescent="0.2">
      <c r="B208" s="5484"/>
      <c r="C208" s="1078" t="s">
        <v>633</v>
      </c>
      <c r="E208" s="1283"/>
      <c r="F208" s="1283"/>
      <c r="G208" s="1283"/>
      <c r="H208" s="1283"/>
      <c r="I208" s="1283"/>
      <c r="J208" s="1283"/>
      <c r="K208" s="1283"/>
      <c r="L208" s="1283">
        <f>L70*3</f>
        <v>36</v>
      </c>
      <c r="M208" s="1283">
        <f t="shared" ref="M208:P208" si="119">M70*3</f>
        <v>87</v>
      </c>
      <c r="N208" s="1283">
        <f t="shared" si="119"/>
        <v>147</v>
      </c>
      <c r="O208" s="1283">
        <f t="shared" si="119"/>
        <v>189</v>
      </c>
      <c r="P208" s="1283">
        <f t="shared" si="119"/>
        <v>267</v>
      </c>
    </row>
    <row r="209" spans="2:16" ht="15" x14ac:dyDescent="0.2">
      <c r="B209" s="5485"/>
      <c r="C209" s="583" t="s">
        <v>15</v>
      </c>
      <c r="E209" s="1284"/>
      <c r="F209" s="1284"/>
      <c r="G209" s="1284"/>
      <c r="H209" s="1284"/>
      <c r="I209" s="1284"/>
      <c r="J209" s="1284"/>
      <c r="K209" s="1284"/>
      <c r="L209" s="1284">
        <f>SUM(L206:L208)</f>
        <v>76</v>
      </c>
      <c r="M209" s="1284">
        <f t="shared" ref="M209:P209" si="120">SUM(M206:M208)</f>
        <v>196</v>
      </c>
      <c r="N209" s="1284">
        <f t="shared" si="120"/>
        <v>320</v>
      </c>
      <c r="O209" s="1284">
        <f t="shared" si="120"/>
        <v>417</v>
      </c>
      <c r="P209" s="1284">
        <f t="shared" si="120"/>
        <v>520</v>
      </c>
    </row>
    <row r="210" spans="2:16" ht="15" x14ac:dyDescent="0.2">
      <c r="B210" s="5546" t="s">
        <v>695</v>
      </c>
      <c r="C210" s="1067" t="s">
        <v>631</v>
      </c>
      <c r="E210" s="1283"/>
      <c r="F210" s="1283"/>
      <c r="G210" s="1283"/>
      <c r="H210" s="1283"/>
      <c r="I210" s="1283"/>
      <c r="J210" s="1283"/>
      <c r="K210" s="1283"/>
      <c r="L210" s="1283">
        <f>SUM(L198,L202,L206)</f>
        <v>0</v>
      </c>
      <c r="M210" s="1283">
        <f t="shared" ref="M210:P210" si="121">SUM(M198,M202,M206)</f>
        <v>3</v>
      </c>
      <c r="N210" s="1283">
        <f t="shared" si="121"/>
        <v>5</v>
      </c>
      <c r="O210" s="1283">
        <f t="shared" si="121"/>
        <v>4</v>
      </c>
      <c r="P210" s="1283">
        <f t="shared" si="121"/>
        <v>7</v>
      </c>
    </row>
    <row r="211" spans="2:16" ht="15" x14ac:dyDescent="0.2">
      <c r="B211" s="5547"/>
      <c r="C211" s="1072" t="s">
        <v>632</v>
      </c>
      <c r="E211" s="1283"/>
      <c r="F211" s="1283"/>
      <c r="G211" s="1283"/>
      <c r="H211" s="1283"/>
      <c r="I211" s="1283"/>
      <c r="J211" s="1283"/>
      <c r="K211" s="1283"/>
      <c r="L211" s="1283">
        <f>SUM(L199,L203,L207)</f>
        <v>80</v>
      </c>
      <c r="M211" s="1283">
        <f t="shared" ref="M211:P211" si="122">SUM(M199,M203,M207)</f>
        <v>194</v>
      </c>
      <c r="N211" s="1283">
        <f t="shared" si="122"/>
        <v>292</v>
      </c>
      <c r="O211" s="1283">
        <f t="shared" si="122"/>
        <v>380</v>
      </c>
      <c r="P211" s="1283">
        <f t="shared" si="122"/>
        <v>418</v>
      </c>
    </row>
    <row r="212" spans="2:16" ht="15" x14ac:dyDescent="0.2">
      <c r="B212" s="5547"/>
      <c r="C212" s="1078" t="s">
        <v>633</v>
      </c>
      <c r="E212" s="1283"/>
      <c r="F212" s="1283"/>
      <c r="G212" s="1283"/>
      <c r="H212" s="1283"/>
      <c r="I212" s="1283"/>
      <c r="J212" s="1283"/>
      <c r="K212" s="1283"/>
      <c r="L212" s="1283">
        <f>SUM(L200,L204,L208)</f>
        <v>72</v>
      </c>
      <c r="M212" s="1283">
        <f t="shared" ref="M212:P212" si="123">SUM(M200,M204,M208)</f>
        <v>153</v>
      </c>
      <c r="N212" s="1283">
        <f t="shared" si="123"/>
        <v>255</v>
      </c>
      <c r="O212" s="1283">
        <f t="shared" si="123"/>
        <v>315</v>
      </c>
      <c r="P212" s="1283">
        <f t="shared" si="123"/>
        <v>435</v>
      </c>
    </row>
    <row r="213" spans="2:16" ht="15" x14ac:dyDescent="0.2">
      <c r="B213" s="5548"/>
      <c r="C213" s="2667" t="s">
        <v>12</v>
      </c>
      <c r="E213" s="2680"/>
      <c r="F213" s="2680"/>
      <c r="G213" s="2680"/>
      <c r="H213" s="2680"/>
      <c r="I213" s="2680"/>
      <c r="J213" s="2680"/>
      <c r="K213" s="2680"/>
      <c r="L213" s="2680">
        <f>SUM(L210:L212)</f>
        <v>152</v>
      </c>
      <c r="M213" s="2680">
        <f t="shared" ref="M213:P213" si="124">SUM(M210:M212)</f>
        <v>350</v>
      </c>
      <c r="N213" s="2680">
        <f t="shared" si="124"/>
        <v>552</v>
      </c>
      <c r="O213" s="2680">
        <f t="shared" si="124"/>
        <v>699</v>
      </c>
      <c r="P213" s="2680">
        <f t="shared" si="124"/>
        <v>860</v>
      </c>
    </row>
    <row r="215" spans="2:16" ht="15" x14ac:dyDescent="0.2">
      <c r="B215" s="5539" t="s">
        <v>60</v>
      </c>
      <c r="C215" s="1067" t="s">
        <v>631</v>
      </c>
      <c r="E215" s="1281">
        <f t="shared" ref="E215:O215" si="125">SUM(E159,E176,E193,E210)</f>
        <v>288</v>
      </c>
      <c r="F215" s="1281">
        <f t="shared" si="125"/>
        <v>233</v>
      </c>
      <c r="G215" s="1281">
        <f t="shared" si="125"/>
        <v>249</v>
      </c>
      <c r="H215" s="1281">
        <f t="shared" si="125"/>
        <v>309</v>
      </c>
      <c r="I215" s="1281">
        <f t="shared" si="125"/>
        <v>319</v>
      </c>
      <c r="J215" s="1281">
        <f t="shared" si="125"/>
        <v>326</v>
      </c>
      <c r="K215" s="1281">
        <f t="shared" si="125"/>
        <v>395</v>
      </c>
      <c r="L215" s="1281">
        <f t="shared" si="125"/>
        <v>445</v>
      </c>
      <c r="M215" s="1281">
        <f t="shared" si="125"/>
        <v>274</v>
      </c>
      <c r="N215" s="1281">
        <f t="shared" si="125"/>
        <v>293</v>
      </c>
      <c r="O215" s="1281">
        <f t="shared" si="125"/>
        <v>174</v>
      </c>
      <c r="P215" s="1281">
        <f t="shared" ref="P215" si="126">SUM(P159,P176,P193,P210)</f>
        <v>236</v>
      </c>
    </row>
    <row r="216" spans="2:16" ht="15" x14ac:dyDescent="0.2">
      <c r="B216" s="5540"/>
      <c r="C216" s="1072" t="s">
        <v>632</v>
      </c>
      <c r="E216" s="1283">
        <f t="shared" ref="E216:O216" si="127">SUM(E160,E177,E194,E211)</f>
        <v>2040</v>
      </c>
      <c r="F216" s="1283">
        <f t="shared" si="127"/>
        <v>2124</v>
      </c>
      <c r="G216" s="1283">
        <f t="shared" si="127"/>
        <v>2330</v>
      </c>
      <c r="H216" s="1283">
        <f t="shared" si="127"/>
        <v>2472</v>
      </c>
      <c r="I216" s="1283">
        <f t="shared" si="127"/>
        <v>2800</v>
      </c>
      <c r="J216" s="1283">
        <f t="shared" si="127"/>
        <v>3138</v>
      </c>
      <c r="K216" s="1283">
        <f t="shared" si="127"/>
        <v>3180</v>
      </c>
      <c r="L216" s="1283">
        <f t="shared" si="127"/>
        <v>3248</v>
      </c>
      <c r="M216" s="1283">
        <f t="shared" si="127"/>
        <v>3664</v>
      </c>
      <c r="N216" s="1283">
        <f t="shared" si="127"/>
        <v>3660</v>
      </c>
      <c r="O216" s="1283">
        <f t="shared" si="127"/>
        <v>4040</v>
      </c>
      <c r="P216" s="1283">
        <f t="shared" ref="P216" si="128">SUM(P160,P177,P194,P211)</f>
        <v>3972</v>
      </c>
    </row>
    <row r="217" spans="2:16" ht="15" x14ac:dyDescent="0.2">
      <c r="B217" s="5540"/>
      <c r="C217" s="1078" t="s">
        <v>633</v>
      </c>
      <c r="E217" s="1286">
        <f t="shared" ref="E217:O217" si="129">SUM(E161,E178,E195,E212)</f>
        <v>2814</v>
      </c>
      <c r="F217" s="1286">
        <f t="shared" si="129"/>
        <v>2874</v>
      </c>
      <c r="G217" s="1286">
        <f t="shared" si="129"/>
        <v>2754</v>
      </c>
      <c r="H217" s="1286">
        <f t="shared" si="129"/>
        <v>3147</v>
      </c>
      <c r="I217" s="1286">
        <f t="shared" si="129"/>
        <v>3054</v>
      </c>
      <c r="J217" s="1286">
        <f t="shared" si="129"/>
        <v>3369</v>
      </c>
      <c r="K217" s="1286">
        <f t="shared" si="129"/>
        <v>3906</v>
      </c>
      <c r="L217" s="1286">
        <f t="shared" si="129"/>
        <v>4212</v>
      </c>
      <c r="M217" s="1286">
        <f t="shared" si="129"/>
        <v>4050</v>
      </c>
      <c r="N217" s="1286">
        <f t="shared" si="129"/>
        <v>4596</v>
      </c>
      <c r="O217" s="1286">
        <f t="shared" si="129"/>
        <v>4845</v>
      </c>
      <c r="P217" s="1286">
        <f t="shared" ref="P217" si="130">SUM(P161,P178,P195,P212)</f>
        <v>4899</v>
      </c>
    </row>
    <row r="218" spans="2:16" ht="15" x14ac:dyDescent="0.2">
      <c r="B218" s="5541"/>
      <c r="C218" s="573" t="s">
        <v>12</v>
      </c>
      <c r="E218" s="1280">
        <f t="shared" ref="E218:O218" si="131">SUM(E215:E217)</f>
        <v>5142</v>
      </c>
      <c r="F218" s="1280">
        <f t="shared" si="131"/>
        <v>5231</v>
      </c>
      <c r="G218" s="1280">
        <f t="shared" si="131"/>
        <v>5333</v>
      </c>
      <c r="H218" s="1280">
        <f t="shared" si="131"/>
        <v>5928</v>
      </c>
      <c r="I218" s="1280">
        <f t="shared" si="131"/>
        <v>6173</v>
      </c>
      <c r="J218" s="1280">
        <f t="shared" si="131"/>
        <v>6833</v>
      </c>
      <c r="K218" s="1280">
        <f t="shared" si="131"/>
        <v>7481</v>
      </c>
      <c r="L218" s="1280">
        <f t="shared" si="131"/>
        <v>7905</v>
      </c>
      <c r="M218" s="1280">
        <f t="shared" si="131"/>
        <v>7988</v>
      </c>
      <c r="N218" s="1280">
        <f t="shared" si="131"/>
        <v>8549</v>
      </c>
      <c r="O218" s="1280">
        <f t="shared" si="131"/>
        <v>9059</v>
      </c>
      <c r="P218" s="1280">
        <f t="shared" ref="P218" si="132">SUM(P215:P217)</f>
        <v>9107</v>
      </c>
    </row>
    <row r="220" spans="2:16" ht="15" x14ac:dyDescent="0.2">
      <c r="B220" s="5620" t="s">
        <v>784</v>
      </c>
      <c r="C220" s="264" t="s">
        <v>5</v>
      </c>
      <c r="E220" s="546">
        <f t="shared" ref="E220:O220" si="133">SUM(E150,E167)</f>
        <v>1300</v>
      </c>
      <c r="F220" s="546">
        <f t="shared" si="133"/>
        <v>1411</v>
      </c>
      <c r="G220" s="546">
        <f t="shared" si="133"/>
        <v>1412</v>
      </c>
      <c r="H220" s="546">
        <f t="shared" si="133"/>
        <v>1434</v>
      </c>
      <c r="I220" s="546">
        <f t="shared" si="133"/>
        <v>1364</v>
      </c>
      <c r="J220" s="546">
        <f t="shared" si="133"/>
        <v>1435</v>
      </c>
      <c r="K220" s="546">
        <f t="shared" si="133"/>
        <v>1524</v>
      </c>
      <c r="L220" s="546">
        <f t="shared" si="133"/>
        <v>1638</v>
      </c>
      <c r="M220" s="546">
        <f t="shared" si="133"/>
        <v>1576</v>
      </c>
      <c r="N220" s="546">
        <f t="shared" si="133"/>
        <v>1806</v>
      </c>
      <c r="O220" s="546">
        <f t="shared" si="133"/>
        <v>1924</v>
      </c>
      <c r="P220" s="546">
        <f t="shared" ref="P220" si="134">SUM(P150,P167)</f>
        <v>1950</v>
      </c>
    </row>
    <row r="221" spans="2:16" ht="15" x14ac:dyDescent="0.2">
      <c r="B221" s="5621"/>
      <c r="C221" s="268" t="s">
        <v>6</v>
      </c>
      <c r="E221" s="547">
        <f t="shared" ref="E221:O221" si="135">SUM(E154,E171,E184,E201)</f>
        <v>2286</v>
      </c>
      <c r="F221" s="547">
        <f t="shared" si="135"/>
        <v>2188</v>
      </c>
      <c r="G221" s="547">
        <f t="shared" si="135"/>
        <v>2200</v>
      </c>
      <c r="H221" s="547">
        <f t="shared" si="135"/>
        <v>2552</v>
      </c>
      <c r="I221" s="547">
        <f t="shared" si="135"/>
        <v>2824</v>
      </c>
      <c r="J221" s="547">
        <f t="shared" si="135"/>
        <v>3067</v>
      </c>
      <c r="K221" s="547">
        <f t="shared" si="135"/>
        <v>3431</v>
      </c>
      <c r="L221" s="547">
        <f t="shared" si="135"/>
        <v>3423</v>
      </c>
      <c r="M221" s="547">
        <f t="shared" si="135"/>
        <v>3415</v>
      </c>
      <c r="N221" s="547">
        <f t="shared" si="135"/>
        <v>3330</v>
      </c>
      <c r="O221" s="547">
        <f t="shared" si="135"/>
        <v>3561</v>
      </c>
      <c r="P221" s="547">
        <f t="shared" ref="P221" si="136">SUM(P154,P171,P184,P201)</f>
        <v>3329</v>
      </c>
    </row>
    <row r="222" spans="2:16" ht="15" x14ac:dyDescent="0.2">
      <c r="B222" s="5621"/>
      <c r="C222" s="268" t="s">
        <v>11</v>
      </c>
      <c r="E222" s="547">
        <f t="shared" ref="E222:O222" si="137">SUM(E175,E188)</f>
        <v>1202</v>
      </c>
      <c r="F222" s="547">
        <f t="shared" si="137"/>
        <v>1304</v>
      </c>
      <c r="G222" s="547">
        <f t="shared" si="137"/>
        <v>1327</v>
      </c>
      <c r="H222" s="547">
        <f t="shared" si="137"/>
        <v>1507</v>
      </c>
      <c r="I222" s="547">
        <f t="shared" si="137"/>
        <v>1491</v>
      </c>
      <c r="J222" s="547">
        <f t="shared" si="137"/>
        <v>1703</v>
      </c>
      <c r="K222" s="547">
        <f t="shared" si="137"/>
        <v>1806</v>
      </c>
      <c r="L222" s="547">
        <f t="shared" si="137"/>
        <v>1901</v>
      </c>
      <c r="M222" s="547">
        <f t="shared" si="137"/>
        <v>2017</v>
      </c>
      <c r="N222" s="547">
        <f t="shared" si="137"/>
        <v>2196</v>
      </c>
      <c r="O222" s="547">
        <f t="shared" si="137"/>
        <v>2231</v>
      </c>
      <c r="P222" s="547">
        <f t="shared" ref="P222" si="138">SUM(P175,P188)</f>
        <v>2339</v>
      </c>
    </row>
    <row r="223" spans="2:16" ht="15" x14ac:dyDescent="0.2">
      <c r="B223" s="5621"/>
      <c r="C223" s="268" t="s">
        <v>7</v>
      </c>
      <c r="E223" s="547">
        <f t="shared" ref="E223:O223" si="139">SUM(E158,E192)</f>
        <v>354</v>
      </c>
      <c r="F223" s="547">
        <f t="shared" si="139"/>
        <v>328</v>
      </c>
      <c r="G223" s="547">
        <f t="shared" si="139"/>
        <v>394</v>
      </c>
      <c r="H223" s="547">
        <f t="shared" si="139"/>
        <v>435</v>
      </c>
      <c r="I223" s="547">
        <f t="shared" si="139"/>
        <v>494</v>
      </c>
      <c r="J223" s="547">
        <f t="shared" si="139"/>
        <v>628</v>
      </c>
      <c r="K223" s="547">
        <f t="shared" si="139"/>
        <v>720</v>
      </c>
      <c r="L223" s="547">
        <f t="shared" si="139"/>
        <v>867</v>
      </c>
      <c r="M223" s="547">
        <f t="shared" si="139"/>
        <v>760</v>
      </c>
      <c r="N223" s="547">
        <f t="shared" si="139"/>
        <v>849</v>
      </c>
      <c r="O223" s="547">
        <f t="shared" si="139"/>
        <v>842</v>
      </c>
      <c r="P223" s="547">
        <f t="shared" ref="P223" si="140">SUM(P158,P192)</f>
        <v>869</v>
      </c>
    </row>
    <row r="224" spans="2:16" ht="15" x14ac:dyDescent="0.2">
      <c r="B224" s="5621"/>
      <c r="C224" s="268" t="s">
        <v>9</v>
      </c>
      <c r="E224" s="547"/>
      <c r="F224" s="547"/>
      <c r="G224" s="547"/>
      <c r="H224" s="547"/>
      <c r="I224" s="547"/>
      <c r="J224" s="547"/>
      <c r="K224" s="547"/>
      <c r="L224" s="547"/>
      <c r="M224" s="547">
        <f t="shared" ref="M224:O224" si="141">SUM(M205)</f>
        <v>24</v>
      </c>
      <c r="N224" s="547">
        <f t="shared" si="141"/>
        <v>48</v>
      </c>
      <c r="O224" s="547">
        <f t="shared" si="141"/>
        <v>84</v>
      </c>
      <c r="P224" s="547">
        <f t="shared" ref="P224" si="142">SUM(P205)</f>
        <v>100</v>
      </c>
    </row>
    <row r="225" spans="2:16" ht="15" x14ac:dyDescent="0.2">
      <c r="B225" s="5621"/>
      <c r="C225" s="278" t="s">
        <v>74</v>
      </c>
      <c r="E225" s="549"/>
      <c r="F225" s="549"/>
      <c r="G225" s="549"/>
      <c r="H225" s="549"/>
      <c r="I225" s="549"/>
      <c r="J225" s="549"/>
      <c r="K225" s="549"/>
      <c r="L225" s="549"/>
      <c r="M225" s="549">
        <f>SUM(M209)</f>
        <v>196</v>
      </c>
      <c r="N225" s="549">
        <f t="shared" ref="N225:O225" si="143">SUM(N209)</f>
        <v>320</v>
      </c>
      <c r="O225" s="549">
        <f t="shared" si="143"/>
        <v>417</v>
      </c>
      <c r="P225" s="549">
        <f t="shared" ref="P225" si="144">SUM(P209)</f>
        <v>520</v>
      </c>
    </row>
    <row r="226" spans="2:16" ht="15" x14ac:dyDescent="0.2">
      <c r="B226" s="5622"/>
      <c r="C226" s="2985" t="s">
        <v>12</v>
      </c>
      <c r="E226" s="1280">
        <f t="shared" ref="E226:O226" si="145">SUM(E220:E225)</f>
        <v>5142</v>
      </c>
      <c r="F226" s="1280">
        <f t="shared" si="145"/>
        <v>5231</v>
      </c>
      <c r="G226" s="1280">
        <f t="shared" si="145"/>
        <v>5333</v>
      </c>
      <c r="H226" s="1280">
        <f t="shared" si="145"/>
        <v>5928</v>
      </c>
      <c r="I226" s="1280">
        <f t="shared" si="145"/>
        <v>6173</v>
      </c>
      <c r="J226" s="1280">
        <f t="shared" si="145"/>
        <v>6833</v>
      </c>
      <c r="K226" s="1280">
        <f t="shared" si="145"/>
        <v>7481</v>
      </c>
      <c r="L226" s="1280">
        <f t="shared" si="145"/>
        <v>7829</v>
      </c>
      <c r="M226" s="1280">
        <f t="shared" si="145"/>
        <v>7988</v>
      </c>
      <c r="N226" s="1280">
        <f t="shared" si="145"/>
        <v>8549</v>
      </c>
      <c r="O226" s="1280">
        <f t="shared" si="145"/>
        <v>9059</v>
      </c>
      <c r="P226" s="1280">
        <f t="shared" ref="P226" si="146">SUM(P220:P225)</f>
        <v>9107</v>
      </c>
    </row>
    <row r="247" ht="15" customHeight="1" x14ac:dyDescent="0.2"/>
    <row r="264" ht="15" customHeight="1" x14ac:dyDescent="0.2"/>
    <row r="281" ht="15" customHeight="1" x14ac:dyDescent="0.2"/>
    <row r="298" ht="15" customHeight="1" x14ac:dyDescent="0.2"/>
    <row r="308" ht="15" customHeight="1" x14ac:dyDescent="0.2"/>
  </sheetData>
  <mergeCells count="38">
    <mergeCell ref="B56:B59"/>
    <mergeCell ref="B34:B37"/>
    <mergeCell ref="B2:L2"/>
    <mergeCell ref="B30:B33"/>
    <mergeCell ref="B9:B12"/>
    <mergeCell ref="B13:B16"/>
    <mergeCell ref="B17:B20"/>
    <mergeCell ref="B22:B25"/>
    <mergeCell ref="B26:B29"/>
    <mergeCell ref="B5:B8"/>
    <mergeCell ref="B39:B42"/>
    <mergeCell ref="B43:B46"/>
    <mergeCell ref="B47:B50"/>
    <mergeCell ref="B51:B54"/>
    <mergeCell ref="B60:B63"/>
    <mergeCell ref="B155:B158"/>
    <mergeCell ref="B159:B162"/>
    <mergeCell ref="B164:B167"/>
    <mergeCell ref="B73:B76"/>
    <mergeCell ref="B78:B84"/>
    <mergeCell ref="B64:B67"/>
    <mergeCell ref="B68:B71"/>
    <mergeCell ref="B1:C1"/>
    <mergeCell ref="B210:B213"/>
    <mergeCell ref="B215:B218"/>
    <mergeCell ref="B220:B226"/>
    <mergeCell ref="B189:B192"/>
    <mergeCell ref="B193:B196"/>
    <mergeCell ref="B198:B201"/>
    <mergeCell ref="B202:B205"/>
    <mergeCell ref="B206:B209"/>
    <mergeCell ref="B168:B171"/>
    <mergeCell ref="B172:B175"/>
    <mergeCell ref="B176:B179"/>
    <mergeCell ref="B181:B184"/>
    <mergeCell ref="B185:B188"/>
    <mergeCell ref="B147:B150"/>
    <mergeCell ref="B151:B154"/>
  </mergeCells>
  <printOptions horizontalCentered="1" verticalCentered="1"/>
  <pageMargins left="0.39370078740157483" right="0.39370078740157483" top="0.27559055118110237" bottom="0.31496062992125984" header="0" footer="0.31496062992125984"/>
  <pageSetup scale="69" orientation="landscape" horizontalDpi="1200" verticalDpi="1200" r:id="rId1"/>
  <headerFooter alignWithMargins="0">
    <oddFooter xml:space="preserve">&amp;R51
</oddFooter>
  </headerFooter>
  <rowBreaks count="3" manualBreakCount="3">
    <brk id="37" min="1" max="15" man="1"/>
    <brk id="86" min="1" max="14" man="1"/>
    <brk id="112" min="1" max="14" man="1"/>
  </rowBreaks>
  <ignoredErrors>
    <ignoredError sqref="N6:N7 N9:N11 N23:N24 N27:N28 N30:N32 N39:N41 N43:N45 N48 O39:O42 O23:O32 O6:O11 O46:O48 O43:O45 P9:P15 P23:P32 P39:P48 P6:P7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AF50"/>
  <sheetViews>
    <sheetView showGridLines="0" zoomScaleNormal="100" workbookViewId="0">
      <pane xSplit="2" ySplit="5" topLeftCell="C36" activePane="bottomRight" state="frozen"/>
      <selection pane="topRight" activeCell="D1" sqref="D1"/>
      <selection pane="bottomLeft" activeCell="A7" sqref="A7"/>
      <selection pane="bottomRight" activeCell="AG29" sqref="AG29"/>
    </sheetView>
  </sheetViews>
  <sheetFormatPr baseColWidth="10" defaultRowHeight="15" x14ac:dyDescent="0.25"/>
  <cols>
    <col min="1" max="1" width="15" style="1838" bestFit="1" customWidth="1"/>
    <col min="2" max="2" width="11.42578125" style="1838"/>
    <col min="3" max="32" width="9.7109375" style="1838" customWidth="1"/>
    <col min="33" max="16384" width="11.42578125" style="1838"/>
  </cols>
  <sheetData>
    <row r="1" spans="1:32" ht="36.75" customHeight="1" x14ac:dyDescent="0.3">
      <c r="A1" s="5075" t="s">
        <v>1285</v>
      </c>
      <c r="B1" s="5075"/>
      <c r="AB1" s="186"/>
      <c r="AC1" s="186"/>
    </row>
    <row r="3" spans="1:32" x14ac:dyDescent="0.25">
      <c r="A3" s="5020" t="s">
        <v>16</v>
      </c>
      <c r="B3" s="5020" t="s">
        <v>4</v>
      </c>
      <c r="C3" s="5094">
        <v>2006</v>
      </c>
      <c r="D3" s="5095"/>
      <c r="E3" s="5096"/>
      <c r="F3" s="5094">
        <v>2007</v>
      </c>
      <c r="G3" s="5095"/>
      <c r="H3" s="5096"/>
      <c r="I3" s="5094">
        <v>2008</v>
      </c>
      <c r="J3" s="5095"/>
      <c r="K3" s="5096"/>
      <c r="L3" s="5094">
        <v>2009</v>
      </c>
      <c r="M3" s="5095"/>
      <c r="N3" s="5096"/>
      <c r="O3" s="5094">
        <v>2010</v>
      </c>
      <c r="P3" s="5095"/>
      <c r="Q3" s="5096"/>
      <c r="R3" s="5094">
        <v>2011</v>
      </c>
      <c r="S3" s="5095"/>
      <c r="T3" s="5096"/>
      <c r="U3" s="5094">
        <v>2012</v>
      </c>
      <c r="V3" s="5095"/>
      <c r="W3" s="5096"/>
      <c r="X3" s="5094">
        <v>2013</v>
      </c>
      <c r="Y3" s="5095"/>
      <c r="Z3" s="5096"/>
      <c r="AA3" s="5094">
        <v>2014</v>
      </c>
      <c r="AB3" s="5095"/>
      <c r="AC3" s="5096"/>
      <c r="AD3" s="5094">
        <v>2015</v>
      </c>
      <c r="AE3" s="5095"/>
      <c r="AF3" s="5096"/>
    </row>
    <row r="4" spans="1:32" x14ac:dyDescent="0.25">
      <c r="A4" s="5021"/>
      <c r="B4" s="5021"/>
      <c r="C4" s="1839" t="s">
        <v>675</v>
      </c>
      <c r="D4" s="1839" t="s">
        <v>676</v>
      </c>
      <c r="E4" s="1840" t="s">
        <v>160</v>
      </c>
      <c r="F4" s="1839" t="s">
        <v>675</v>
      </c>
      <c r="G4" s="1839" t="s">
        <v>676</v>
      </c>
      <c r="H4" s="1840" t="s">
        <v>160</v>
      </c>
      <c r="I4" s="1839" t="s">
        <v>675</v>
      </c>
      <c r="J4" s="1839" t="s">
        <v>676</v>
      </c>
      <c r="K4" s="1840" t="s">
        <v>160</v>
      </c>
      <c r="L4" s="1839" t="s">
        <v>675</v>
      </c>
      <c r="M4" s="1839" t="s">
        <v>676</v>
      </c>
      <c r="N4" s="1840" t="s">
        <v>160</v>
      </c>
      <c r="O4" s="1839" t="s">
        <v>675</v>
      </c>
      <c r="P4" s="1839" t="s">
        <v>676</v>
      </c>
      <c r="Q4" s="1840" t="s">
        <v>160</v>
      </c>
      <c r="R4" s="1839" t="s">
        <v>675</v>
      </c>
      <c r="S4" s="1839" t="s">
        <v>676</v>
      </c>
      <c r="T4" s="1840" t="s">
        <v>160</v>
      </c>
      <c r="U4" s="1839" t="s">
        <v>675</v>
      </c>
      <c r="V4" s="1839" t="s">
        <v>676</v>
      </c>
      <c r="W4" s="1840" t="s">
        <v>160</v>
      </c>
      <c r="X4" s="1839" t="s">
        <v>675</v>
      </c>
      <c r="Y4" s="1839" t="s">
        <v>676</v>
      </c>
      <c r="Z4" s="1840" t="s">
        <v>160</v>
      </c>
      <c r="AA4" s="1839" t="s">
        <v>675</v>
      </c>
      <c r="AB4" s="1839" t="s">
        <v>676</v>
      </c>
      <c r="AC4" s="1840" t="s">
        <v>160</v>
      </c>
      <c r="AD4" s="1839" t="s">
        <v>675</v>
      </c>
      <c r="AE4" s="1839" t="s">
        <v>676</v>
      </c>
      <c r="AF4" s="1840" t="s">
        <v>160</v>
      </c>
    </row>
    <row r="6" spans="1:32" x14ac:dyDescent="0.25">
      <c r="A6" s="5091" t="s">
        <v>161</v>
      </c>
      <c r="B6" s="1841" t="s">
        <v>5</v>
      </c>
      <c r="C6" s="1842">
        <v>1378</v>
      </c>
      <c r="D6" s="1842">
        <v>4420</v>
      </c>
      <c r="E6" s="1842">
        <v>5798</v>
      </c>
      <c r="F6" s="1843">
        <v>1392</v>
      </c>
      <c r="G6" s="1842">
        <v>4404</v>
      </c>
      <c r="H6" s="1844">
        <v>5796</v>
      </c>
      <c r="I6" s="1843">
        <v>1614</v>
      </c>
      <c r="J6" s="1842">
        <v>4730</v>
      </c>
      <c r="K6" s="1844">
        <v>6344</v>
      </c>
      <c r="L6" s="1845">
        <v>1831</v>
      </c>
      <c r="M6" s="1846">
        <v>5162</v>
      </c>
      <c r="N6" s="1844">
        <v>6993</v>
      </c>
      <c r="O6" s="1845">
        <v>2169</v>
      </c>
      <c r="P6" s="1846">
        <v>6124</v>
      </c>
      <c r="Q6" s="1844">
        <f>P6+O6</f>
        <v>8293</v>
      </c>
      <c r="R6" s="1845">
        <v>2087</v>
      </c>
      <c r="S6" s="1846">
        <v>6095</v>
      </c>
      <c r="T6" s="1844">
        <f>SUM(R6:S6)</f>
        <v>8182</v>
      </c>
      <c r="U6" s="1845">
        <v>2213</v>
      </c>
      <c r="V6" s="1846">
        <v>6808</v>
      </c>
      <c r="W6" s="1844">
        <f>SUM(U6:V6)</f>
        <v>9021</v>
      </c>
      <c r="X6" s="1845">
        <f>+'[18]Presen y adm x gen'!H14</f>
        <v>2332</v>
      </c>
      <c r="Y6" s="1846">
        <f>+'[18]Presen y adm x gen'!I14</f>
        <v>6617</v>
      </c>
      <c r="Z6" s="1844">
        <f>SUM(X6:Y6)</f>
        <v>8949</v>
      </c>
      <c r="AA6" s="1845">
        <v>2435</v>
      </c>
      <c r="AB6" s="1846">
        <v>6661</v>
      </c>
      <c r="AC6" s="1844">
        <f>SUM(AA6:AB6)</f>
        <v>9096</v>
      </c>
      <c r="AD6" s="1845">
        <v>2742</v>
      </c>
      <c r="AE6" s="1846">
        <v>7366</v>
      </c>
      <c r="AF6" s="1844">
        <f>SUM(AD6:AE6)</f>
        <v>10108</v>
      </c>
    </row>
    <row r="7" spans="1:32" x14ac:dyDescent="0.25">
      <c r="A7" s="5092"/>
      <c r="B7" s="1847" t="s">
        <v>6</v>
      </c>
      <c r="C7" s="1848">
        <v>5303</v>
      </c>
      <c r="D7" s="1848">
        <v>3806</v>
      </c>
      <c r="E7" s="1848">
        <v>9109</v>
      </c>
      <c r="F7" s="1849">
        <v>5446</v>
      </c>
      <c r="G7" s="1848">
        <v>4005</v>
      </c>
      <c r="H7" s="1850">
        <v>9451</v>
      </c>
      <c r="I7" s="1849">
        <v>5563</v>
      </c>
      <c r="J7" s="1848">
        <v>4140</v>
      </c>
      <c r="K7" s="1850">
        <v>9703</v>
      </c>
      <c r="L7" s="1851">
        <v>5842</v>
      </c>
      <c r="M7" s="1852">
        <v>4224</v>
      </c>
      <c r="N7" s="1850">
        <v>10066</v>
      </c>
      <c r="O7" s="1851">
        <v>6385</v>
      </c>
      <c r="P7" s="1852">
        <v>4490</v>
      </c>
      <c r="Q7" s="1850">
        <f>P7+O7</f>
        <v>10875</v>
      </c>
      <c r="R7" s="1851">
        <v>6342</v>
      </c>
      <c r="S7" s="1852">
        <v>4504</v>
      </c>
      <c r="T7" s="1850">
        <f>SUM(R7:S7)</f>
        <v>10846</v>
      </c>
      <c r="U7" s="1851">
        <v>6761</v>
      </c>
      <c r="V7" s="1852">
        <v>4952</v>
      </c>
      <c r="W7" s="1850">
        <f>SUM(U7:V7)</f>
        <v>11713</v>
      </c>
      <c r="X7" s="1851">
        <f>+'[18]Presen y adm x gen'!H19</f>
        <v>6580</v>
      </c>
      <c r="Y7" s="1852">
        <f>+'[18]Presen y adm x gen'!I19</f>
        <v>4805</v>
      </c>
      <c r="Z7" s="1850">
        <f>SUM(X7:Y7)</f>
        <v>11385</v>
      </c>
      <c r="AA7" s="1851">
        <v>6127</v>
      </c>
      <c r="AB7" s="1852">
        <v>4625</v>
      </c>
      <c r="AC7" s="1850">
        <f>SUM(AA7:AB7)</f>
        <v>10752</v>
      </c>
      <c r="AD7" s="1851">
        <v>6565</v>
      </c>
      <c r="AE7" s="1852">
        <v>4853</v>
      </c>
      <c r="AF7" s="1850">
        <f>SUM(AD7:AE7)</f>
        <v>11418</v>
      </c>
    </row>
    <row r="8" spans="1:32" x14ac:dyDescent="0.25">
      <c r="A8" s="5092"/>
      <c r="B8" s="1847" t="s">
        <v>7</v>
      </c>
      <c r="C8" s="1848">
        <v>2566</v>
      </c>
      <c r="D8" s="1848">
        <v>2823</v>
      </c>
      <c r="E8" s="1848">
        <v>5389</v>
      </c>
      <c r="F8" s="1849">
        <v>2930</v>
      </c>
      <c r="G8" s="1848">
        <v>3191</v>
      </c>
      <c r="H8" s="1850">
        <v>6121</v>
      </c>
      <c r="I8" s="1849">
        <v>3279</v>
      </c>
      <c r="J8" s="1848">
        <v>3643</v>
      </c>
      <c r="K8" s="1848">
        <v>6922</v>
      </c>
      <c r="L8" s="1849">
        <v>3728</v>
      </c>
      <c r="M8" s="1848">
        <v>3676</v>
      </c>
      <c r="N8" s="1850">
        <v>7404</v>
      </c>
      <c r="O8" s="1849">
        <v>4183</v>
      </c>
      <c r="P8" s="1848">
        <v>4185</v>
      </c>
      <c r="Q8" s="1850">
        <f>P8+O8</f>
        <v>8368</v>
      </c>
      <c r="R8" s="1849">
        <v>4237</v>
      </c>
      <c r="S8" s="1848">
        <v>4121</v>
      </c>
      <c r="T8" s="1850">
        <f>SUM(R8:S8)</f>
        <v>8358</v>
      </c>
      <c r="U8" s="1849">
        <v>4764</v>
      </c>
      <c r="V8" s="1848">
        <v>4714</v>
      </c>
      <c r="W8" s="1850">
        <f>SUM(U8:V8)</f>
        <v>9478</v>
      </c>
      <c r="X8" s="1849">
        <f>+'[18]Presen y adm x gen'!H23</f>
        <v>4348</v>
      </c>
      <c r="Y8" s="1848">
        <f>+'[18]Presen y adm x gen'!I23</f>
        <v>4309</v>
      </c>
      <c r="Z8" s="1850">
        <f>SUM(X8:Y8)</f>
        <v>8657</v>
      </c>
      <c r="AA8" s="1849">
        <v>4094</v>
      </c>
      <c r="AB8" s="1848">
        <v>3891</v>
      </c>
      <c r="AC8" s="1850">
        <f>SUM(AA8:AB8)</f>
        <v>7985</v>
      </c>
      <c r="AD8" s="1849">
        <v>3968</v>
      </c>
      <c r="AE8" s="1848">
        <v>3803</v>
      </c>
      <c r="AF8" s="1850">
        <f>SUM(AD8:AE8)</f>
        <v>7771</v>
      </c>
    </row>
    <row r="9" spans="1:32" x14ac:dyDescent="0.25">
      <c r="A9" s="5093"/>
      <c r="B9" s="2499" t="s">
        <v>12</v>
      </c>
      <c r="C9" s="2501">
        <v>9247</v>
      </c>
      <c r="D9" s="2501">
        <v>11049</v>
      </c>
      <c r="E9" s="2501">
        <v>20296</v>
      </c>
      <c r="F9" s="2500">
        <v>9768</v>
      </c>
      <c r="G9" s="2501">
        <v>11600</v>
      </c>
      <c r="H9" s="2502">
        <v>21368</v>
      </c>
      <c r="I9" s="2500">
        <v>10456</v>
      </c>
      <c r="J9" s="2501">
        <v>12513</v>
      </c>
      <c r="K9" s="2502">
        <v>22969</v>
      </c>
      <c r="L9" s="4342">
        <v>11401</v>
      </c>
      <c r="M9" s="4343">
        <v>13062</v>
      </c>
      <c r="N9" s="2502">
        <v>24463</v>
      </c>
      <c r="O9" s="4342">
        <f>SUM(O6:O8)</f>
        <v>12737</v>
      </c>
      <c r="P9" s="4343">
        <f>SUM(P6:P8)</f>
        <v>14799</v>
      </c>
      <c r="Q9" s="2502">
        <f>P9+O9</f>
        <v>27536</v>
      </c>
      <c r="R9" s="4342">
        <f>SUM(R6:R8)</f>
        <v>12666</v>
      </c>
      <c r="S9" s="4343">
        <f>SUM(S6:S8)</f>
        <v>14720</v>
      </c>
      <c r="T9" s="2502">
        <f>S9+R9</f>
        <v>27386</v>
      </c>
      <c r="U9" s="4342">
        <f>SUM(U6:U8)</f>
        <v>13738</v>
      </c>
      <c r="V9" s="4343">
        <f>SUM(V6:V8)</f>
        <v>16474</v>
      </c>
      <c r="W9" s="2502">
        <f>V9+U9</f>
        <v>30212</v>
      </c>
      <c r="X9" s="4342">
        <f>SUM(X6:X8)</f>
        <v>13260</v>
      </c>
      <c r="Y9" s="4343">
        <f>SUM(Y6:Y8)</f>
        <v>15731</v>
      </c>
      <c r="Z9" s="2502">
        <f>Y9+X9</f>
        <v>28991</v>
      </c>
      <c r="AA9" s="4342">
        <f>SUM(AA6:AA8)</f>
        <v>12656</v>
      </c>
      <c r="AB9" s="4343">
        <f>SUM(AB6:AB8)</f>
        <v>15177</v>
      </c>
      <c r="AC9" s="2502">
        <f>AB9+AA9</f>
        <v>27833</v>
      </c>
      <c r="AD9" s="4342">
        <f>SUM(AD6:AD8)</f>
        <v>13275</v>
      </c>
      <c r="AE9" s="4343">
        <f>SUM(AE6:AE8)</f>
        <v>16022</v>
      </c>
      <c r="AF9" s="2502">
        <f>AE9+AD9</f>
        <v>29297</v>
      </c>
    </row>
    <row r="10" spans="1:32" x14ac:dyDescent="0.25">
      <c r="A10" s="1859"/>
      <c r="B10" s="1859"/>
      <c r="C10" s="1860"/>
      <c r="D10" s="1860"/>
      <c r="E10" s="1860"/>
      <c r="F10" s="1859"/>
      <c r="G10" s="1859"/>
      <c r="H10" s="1859"/>
      <c r="I10" s="1859"/>
      <c r="J10" s="1859"/>
      <c r="K10" s="1859"/>
      <c r="L10" s="1859"/>
      <c r="M10" s="1859"/>
      <c r="N10" s="1859"/>
      <c r="O10" s="1859"/>
      <c r="P10" s="1859"/>
      <c r="Q10" s="1859"/>
      <c r="R10" s="1859"/>
      <c r="S10" s="1859"/>
      <c r="T10" s="1859"/>
      <c r="U10" s="1859"/>
      <c r="V10" s="1859"/>
      <c r="W10" s="1859"/>
      <c r="X10" s="1859"/>
      <c r="Y10" s="1859"/>
      <c r="Z10" s="1859"/>
      <c r="AA10" s="1859"/>
      <c r="AB10" s="1859"/>
      <c r="AC10" s="1859"/>
      <c r="AD10" s="1859"/>
      <c r="AE10" s="1859"/>
      <c r="AF10" s="1859"/>
    </row>
    <row r="11" spans="1:32" x14ac:dyDescent="0.25">
      <c r="A11" s="5088" t="s">
        <v>410</v>
      </c>
      <c r="B11" s="1841" t="s">
        <v>6</v>
      </c>
      <c r="C11" s="1842">
        <v>57</v>
      </c>
      <c r="D11" s="1842">
        <v>46</v>
      </c>
      <c r="E11" s="1842">
        <v>103</v>
      </c>
      <c r="F11" s="1843">
        <v>105</v>
      </c>
      <c r="G11" s="1842">
        <v>65</v>
      </c>
      <c r="H11" s="1844">
        <v>170</v>
      </c>
      <c r="I11" s="1843">
        <v>136</v>
      </c>
      <c r="J11" s="1842">
        <v>86</v>
      </c>
      <c r="K11" s="1844">
        <v>222</v>
      </c>
      <c r="L11" s="1845">
        <v>130</v>
      </c>
      <c r="M11" s="1846">
        <v>112</v>
      </c>
      <c r="N11" s="1844">
        <v>242</v>
      </c>
      <c r="O11" s="1845">
        <v>181</v>
      </c>
      <c r="P11" s="1846">
        <v>125</v>
      </c>
      <c r="Q11" s="1844">
        <f>P11+O11</f>
        <v>306</v>
      </c>
      <c r="R11" s="1845">
        <v>178</v>
      </c>
      <c r="S11" s="1846">
        <v>143</v>
      </c>
      <c r="T11" s="1844">
        <f>SUM(R11:S11)</f>
        <v>321</v>
      </c>
      <c r="U11" s="1845">
        <v>191</v>
      </c>
      <c r="V11" s="1846">
        <v>143</v>
      </c>
      <c r="W11" s="1844">
        <f>SUM(U11:V11)</f>
        <v>334</v>
      </c>
      <c r="X11" s="1845">
        <f>+'[18]Presen y adm x gen'!H80</f>
        <v>375</v>
      </c>
      <c r="Y11" s="1846">
        <f>+'[18]Presen y adm x gen'!I80</f>
        <v>341</v>
      </c>
      <c r="Z11" s="1844">
        <f>SUM(X11:Y11)</f>
        <v>716</v>
      </c>
      <c r="AA11" s="1845">
        <v>623</v>
      </c>
      <c r="AB11" s="1846">
        <v>528</v>
      </c>
      <c r="AC11" s="1844">
        <f>SUM(AA11:AB11)</f>
        <v>1151</v>
      </c>
      <c r="AD11" s="1845">
        <v>883</v>
      </c>
      <c r="AE11" s="1846">
        <v>705</v>
      </c>
      <c r="AF11" s="1844">
        <f>SUM(AD11:AE11)</f>
        <v>1588</v>
      </c>
    </row>
    <row r="12" spans="1:32" x14ac:dyDescent="0.25">
      <c r="A12" s="5089"/>
      <c r="B12" s="1861" t="s">
        <v>9</v>
      </c>
      <c r="C12" s="1862">
        <v>54</v>
      </c>
      <c r="D12" s="1862">
        <v>35</v>
      </c>
      <c r="E12" s="1862">
        <v>89</v>
      </c>
      <c r="F12" s="1863">
        <v>312</v>
      </c>
      <c r="G12" s="1862">
        <v>276</v>
      </c>
      <c r="H12" s="1864">
        <v>588</v>
      </c>
      <c r="I12" s="1863">
        <v>329</v>
      </c>
      <c r="J12" s="1862">
        <v>356</v>
      </c>
      <c r="K12" s="1864">
        <v>685</v>
      </c>
      <c r="L12" s="1851">
        <v>469</v>
      </c>
      <c r="M12" s="1852">
        <v>410</v>
      </c>
      <c r="N12" s="1850">
        <v>879</v>
      </c>
      <c r="O12" s="1851">
        <v>586</v>
      </c>
      <c r="P12" s="1852">
        <v>508</v>
      </c>
      <c r="Q12" s="1850">
        <f>P12+O12</f>
        <v>1094</v>
      </c>
      <c r="R12" s="1851">
        <v>505</v>
      </c>
      <c r="S12" s="1852">
        <v>506</v>
      </c>
      <c r="T12" s="1850">
        <f>SUM(R12:S12)</f>
        <v>1011</v>
      </c>
      <c r="U12" s="1851">
        <v>519</v>
      </c>
      <c r="V12" s="1852">
        <v>482</v>
      </c>
      <c r="W12" s="1850">
        <f>SUM(U12:V12)</f>
        <v>1001</v>
      </c>
      <c r="X12" s="1851">
        <f>+'[18]Presen y adm x gen'!H84</f>
        <v>996</v>
      </c>
      <c r="Y12" s="1852">
        <f>+'[18]Presen y adm x gen'!I84</f>
        <v>891</v>
      </c>
      <c r="Z12" s="1850">
        <f>SUM(X12:Y12)</f>
        <v>1887</v>
      </c>
      <c r="AA12" s="1851">
        <v>1008</v>
      </c>
      <c r="AB12" s="1852">
        <v>912</v>
      </c>
      <c r="AC12" s="1850">
        <f>SUM(AA12:AB12)</f>
        <v>1920</v>
      </c>
      <c r="AD12" s="1851">
        <v>1061</v>
      </c>
      <c r="AE12" s="1852">
        <v>865</v>
      </c>
      <c r="AF12" s="1850">
        <f>SUM(AD12:AE12)</f>
        <v>1926</v>
      </c>
    </row>
    <row r="13" spans="1:32" x14ac:dyDescent="0.25">
      <c r="A13" s="5089"/>
      <c r="B13" s="1847" t="s">
        <v>74</v>
      </c>
      <c r="C13" s="1848">
        <v>34</v>
      </c>
      <c r="D13" s="1848">
        <v>60</v>
      </c>
      <c r="E13" s="1848">
        <v>94</v>
      </c>
      <c r="F13" s="1849">
        <v>44</v>
      </c>
      <c r="G13" s="1848">
        <v>125</v>
      </c>
      <c r="H13" s="1850">
        <v>169</v>
      </c>
      <c r="I13" s="1849">
        <v>70</v>
      </c>
      <c r="J13" s="1848">
        <v>176</v>
      </c>
      <c r="K13" s="1850">
        <v>246</v>
      </c>
      <c r="L13" s="1865">
        <v>79</v>
      </c>
      <c r="M13" s="1866">
        <v>162</v>
      </c>
      <c r="N13" s="1850">
        <v>241</v>
      </c>
      <c r="O13" s="1865">
        <v>162</v>
      </c>
      <c r="P13" s="1866">
        <v>282</v>
      </c>
      <c r="Q13" s="1850">
        <f>P13+O13</f>
        <v>444</v>
      </c>
      <c r="R13" s="1865">
        <v>138</v>
      </c>
      <c r="S13" s="1866">
        <v>242</v>
      </c>
      <c r="T13" s="1850">
        <f>SUM(R13:S13)</f>
        <v>380</v>
      </c>
      <c r="U13" s="1865">
        <v>122</v>
      </c>
      <c r="V13" s="1866">
        <v>241</v>
      </c>
      <c r="W13" s="1850">
        <f>SUM(U13:V13)</f>
        <v>363</v>
      </c>
      <c r="X13" s="1849">
        <f>+'[18]Presen y adm x gen'!H89</f>
        <v>307</v>
      </c>
      <c r="Y13" s="1848">
        <f>+'[18]Presen y adm x gen'!I89</f>
        <v>463</v>
      </c>
      <c r="Z13" s="1850">
        <f>SUM(X13:Y13)</f>
        <v>770</v>
      </c>
      <c r="AA13" s="1849">
        <v>301</v>
      </c>
      <c r="AB13" s="1848">
        <v>548</v>
      </c>
      <c r="AC13" s="1850">
        <f>SUM(AA13:AB13)</f>
        <v>849</v>
      </c>
      <c r="AD13" s="1849">
        <v>368</v>
      </c>
      <c r="AE13" s="1848">
        <v>587</v>
      </c>
      <c r="AF13" s="1850">
        <f>SUM(AD13:AE13)</f>
        <v>955</v>
      </c>
    </row>
    <row r="14" spans="1:32" x14ac:dyDescent="0.25">
      <c r="A14" s="5090"/>
      <c r="B14" s="2507" t="s">
        <v>12</v>
      </c>
      <c r="C14" s="2509">
        <v>145</v>
      </c>
      <c r="D14" s="2509">
        <v>141</v>
      </c>
      <c r="E14" s="2509">
        <v>286</v>
      </c>
      <c r="F14" s="2508">
        <v>461</v>
      </c>
      <c r="G14" s="2509">
        <v>466</v>
      </c>
      <c r="H14" s="2510">
        <v>927</v>
      </c>
      <c r="I14" s="2508">
        <v>535</v>
      </c>
      <c r="J14" s="2509">
        <v>618</v>
      </c>
      <c r="K14" s="2510">
        <v>1153</v>
      </c>
      <c r="L14" s="4344">
        <v>678</v>
      </c>
      <c r="M14" s="4345">
        <v>684</v>
      </c>
      <c r="N14" s="2510">
        <v>1362</v>
      </c>
      <c r="O14" s="4344">
        <f>SUM(O11:O13)</f>
        <v>929</v>
      </c>
      <c r="P14" s="4345">
        <f>SUM(P11:P13)</f>
        <v>915</v>
      </c>
      <c r="Q14" s="2510">
        <f>P14+O14</f>
        <v>1844</v>
      </c>
      <c r="R14" s="4344">
        <f>SUM(R11:R13)</f>
        <v>821</v>
      </c>
      <c r="S14" s="4345">
        <f>SUM(S11:S13)</f>
        <v>891</v>
      </c>
      <c r="T14" s="2510">
        <f>S14+R14</f>
        <v>1712</v>
      </c>
      <c r="U14" s="4344">
        <f>SUM(U11:U13)</f>
        <v>832</v>
      </c>
      <c r="V14" s="4345">
        <f>SUM(V11:V13)</f>
        <v>866</v>
      </c>
      <c r="W14" s="2510">
        <f>V14+U14</f>
        <v>1698</v>
      </c>
      <c r="X14" s="4344">
        <f>SUM(X11:X13)</f>
        <v>1678</v>
      </c>
      <c r="Y14" s="4345">
        <f>SUM(Y11:Y13)</f>
        <v>1695</v>
      </c>
      <c r="Z14" s="2510">
        <f>Y14+X14</f>
        <v>3373</v>
      </c>
      <c r="AA14" s="4344">
        <f>SUM(AA11:AA13)</f>
        <v>1932</v>
      </c>
      <c r="AB14" s="4345">
        <f>SUM(AB11:AB13)</f>
        <v>1988</v>
      </c>
      <c r="AC14" s="2510">
        <f>AB14+AA14</f>
        <v>3920</v>
      </c>
      <c r="AD14" s="4344">
        <f>SUM(AD11:AD13)</f>
        <v>2312</v>
      </c>
      <c r="AE14" s="4345">
        <f>SUM(AE11:AE13)</f>
        <v>2157</v>
      </c>
      <c r="AF14" s="2510">
        <f>AE14+AD14</f>
        <v>4469</v>
      </c>
    </row>
    <row r="15" spans="1:32" x14ac:dyDescent="0.25">
      <c r="C15" s="1867"/>
      <c r="D15" s="1867"/>
      <c r="E15" s="1867"/>
    </row>
    <row r="16" spans="1:32" x14ac:dyDescent="0.25">
      <c r="A16" s="5076" t="s">
        <v>162</v>
      </c>
      <c r="B16" s="1841" t="s">
        <v>5</v>
      </c>
      <c r="C16" s="1842">
        <v>869</v>
      </c>
      <c r="D16" s="1842">
        <v>2140</v>
      </c>
      <c r="E16" s="1842">
        <v>3009</v>
      </c>
      <c r="F16" s="1843">
        <v>822</v>
      </c>
      <c r="G16" s="1842">
        <v>2031</v>
      </c>
      <c r="H16" s="1844">
        <v>2853</v>
      </c>
      <c r="I16" s="1843">
        <v>934</v>
      </c>
      <c r="J16" s="1842">
        <v>2119</v>
      </c>
      <c r="K16" s="1844">
        <v>3053</v>
      </c>
      <c r="L16" s="1845">
        <v>1029</v>
      </c>
      <c r="M16" s="1846">
        <v>2340</v>
      </c>
      <c r="N16" s="1844">
        <v>3369</v>
      </c>
      <c r="O16" s="1845">
        <v>950</v>
      </c>
      <c r="P16" s="1846">
        <v>2154</v>
      </c>
      <c r="Q16" s="1844">
        <f>P16+O16</f>
        <v>3104</v>
      </c>
      <c r="R16" s="1845">
        <v>892</v>
      </c>
      <c r="S16" s="1846">
        <v>2189</v>
      </c>
      <c r="T16" s="1844">
        <f>SUM(R16:S16)</f>
        <v>3081</v>
      </c>
      <c r="U16" s="1845">
        <v>1064</v>
      </c>
      <c r="V16" s="1846">
        <v>2526</v>
      </c>
      <c r="W16" s="1844">
        <f>SUM(U16:V16)</f>
        <v>3590</v>
      </c>
      <c r="X16" s="1845">
        <f>+'[18]Presen y adm x gen'!H34</f>
        <v>1077</v>
      </c>
      <c r="Y16" s="1846">
        <f>+'[18]Presen y adm x gen'!I34</f>
        <v>2576</v>
      </c>
      <c r="Z16" s="1844">
        <f>SUM(X16:Y16)</f>
        <v>3653</v>
      </c>
      <c r="AA16" s="1845">
        <v>1119</v>
      </c>
      <c r="AB16" s="1846">
        <v>2515</v>
      </c>
      <c r="AC16" s="1844">
        <f>SUM(AA16:AB16)</f>
        <v>3634</v>
      </c>
      <c r="AD16" s="1845">
        <v>1257</v>
      </c>
      <c r="AE16" s="1846">
        <v>2874</v>
      </c>
      <c r="AF16" s="1844">
        <f>SUM(AD16:AE16)</f>
        <v>4131</v>
      </c>
    </row>
    <row r="17" spans="1:32" x14ac:dyDescent="0.25">
      <c r="A17" s="5077"/>
      <c r="B17" s="1847" t="s">
        <v>6</v>
      </c>
      <c r="C17" s="1848">
        <v>3264</v>
      </c>
      <c r="D17" s="1848">
        <v>1999</v>
      </c>
      <c r="E17" s="1848">
        <v>5263</v>
      </c>
      <c r="F17" s="1849">
        <v>3405</v>
      </c>
      <c r="G17" s="1848">
        <v>2015</v>
      </c>
      <c r="H17" s="1850">
        <v>5420</v>
      </c>
      <c r="I17" s="1849">
        <v>3698</v>
      </c>
      <c r="J17" s="1848">
        <v>2277</v>
      </c>
      <c r="K17" s="1850">
        <v>5975</v>
      </c>
      <c r="L17" s="1865">
        <v>3938</v>
      </c>
      <c r="M17" s="1866">
        <v>2534</v>
      </c>
      <c r="N17" s="1850">
        <v>6472</v>
      </c>
      <c r="O17" s="1865">
        <v>4577</v>
      </c>
      <c r="P17" s="1866">
        <v>2821</v>
      </c>
      <c r="Q17" s="1850">
        <f>P17+O17</f>
        <v>7398</v>
      </c>
      <c r="R17" s="1865">
        <v>4562</v>
      </c>
      <c r="S17" s="1866">
        <v>2761</v>
      </c>
      <c r="T17" s="1850">
        <f>SUM(R17:S17)</f>
        <v>7323</v>
      </c>
      <c r="U17" s="1865">
        <v>5055</v>
      </c>
      <c r="V17" s="1866">
        <v>3258</v>
      </c>
      <c r="W17" s="1850">
        <f>SUM(U17:V17)</f>
        <v>8313</v>
      </c>
      <c r="X17" s="1851">
        <f>+'[18]Presen y adm x gen'!H46</f>
        <v>4952</v>
      </c>
      <c r="Y17" s="1852">
        <f>+'[18]Presen y adm x gen'!I46</f>
        <v>3255</v>
      </c>
      <c r="Z17" s="1850">
        <f>SUM(X17:Y17)</f>
        <v>8207</v>
      </c>
      <c r="AA17" s="1851">
        <v>4709</v>
      </c>
      <c r="AB17" s="1852">
        <v>3127</v>
      </c>
      <c r="AC17" s="1850">
        <f>SUM(AA17:AB17)</f>
        <v>7836</v>
      </c>
      <c r="AD17" s="1851">
        <v>4925</v>
      </c>
      <c r="AE17" s="1852">
        <v>3230</v>
      </c>
      <c r="AF17" s="1850">
        <f>SUM(AD17:AE17)</f>
        <v>8155</v>
      </c>
    </row>
    <row r="18" spans="1:32" x14ac:dyDescent="0.25">
      <c r="A18" s="5077"/>
      <c r="B18" s="1847" t="s">
        <v>11</v>
      </c>
      <c r="C18" s="1848">
        <v>908</v>
      </c>
      <c r="D18" s="1848">
        <v>576</v>
      </c>
      <c r="E18" s="1848">
        <v>1484</v>
      </c>
      <c r="F18" s="1849">
        <v>910</v>
      </c>
      <c r="G18" s="1848">
        <v>535</v>
      </c>
      <c r="H18" s="1850">
        <v>1445</v>
      </c>
      <c r="I18" s="1849">
        <v>1193</v>
      </c>
      <c r="J18" s="1848">
        <v>703</v>
      </c>
      <c r="K18" s="1850">
        <v>1896</v>
      </c>
      <c r="L18" s="1865">
        <v>1366</v>
      </c>
      <c r="M18" s="1866">
        <v>830</v>
      </c>
      <c r="N18" s="1850">
        <v>2196</v>
      </c>
      <c r="O18" s="1865">
        <v>1436</v>
      </c>
      <c r="P18" s="1866">
        <v>958</v>
      </c>
      <c r="Q18" s="1850">
        <f>P18+O18</f>
        <v>2394</v>
      </c>
      <c r="R18" s="1865">
        <v>1571</v>
      </c>
      <c r="S18" s="1866">
        <v>1033</v>
      </c>
      <c r="T18" s="1850">
        <f>SUM(R18:S18)</f>
        <v>2604</v>
      </c>
      <c r="U18" s="1865">
        <v>1667</v>
      </c>
      <c r="V18" s="1866">
        <v>1161</v>
      </c>
      <c r="W18" s="1850">
        <f>SUM(U18:V18)</f>
        <v>2828</v>
      </c>
      <c r="X18" s="1849">
        <f>+'[18]Presen y adm x gen'!H53</f>
        <v>1723</v>
      </c>
      <c r="Y18" s="1848">
        <f>+'[18]Presen y adm x gen'!I53</f>
        <v>1107</v>
      </c>
      <c r="Z18" s="1850">
        <f>SUM(X18:Y18)</f>
        <v>2830</v>
      </c>
      <c r="AA18" s="1849">
        <v>1794</v>
      </c>
      <c r="AB18" s="1848">
        <v>1179</v>
      </c>
      <c r="AC18" s="1850">
        <f>SUM(AA18:AB18)</f>
        <v>2973</v>
      </c>
      <c r="AD18" s="1849">
        <v>1855</v>
      </c>
      <c r="AE18" s="1848">
        <v>1260</v>
      </c>
      <c r="AF18" s="1850">
        <f>SUM(AD18:AE18)</f>
        <v>3115</v>
      </c>
    </row>
    <row r="19" spans="1:32" x14ac:dyDescent="0.25">
      <c r="A19" s="5078"/>
      <c r="B19" s="2495" t="s">
        <v>12</v>
      </c>
      <c r="C19" s="2497">
        <v>5041</v>
      </c>
      <c r="D19" s="2497">
        <v>4715</v>
      </c>
      <c r="E19" s="2497">
        <v>9756</v>
      </c>
      <c r="F19" s="2496">
        <v>5137</v>
      </c>
      <c r="G19" s="2497">
        <v>4581</v>
      </c>
      <c r="H19" s="2498">
        <v>9718</v>
      </c>
      <c r="I19" s="2496">
        <v>5825</v>
      </c>
      <c r="J19" s="2497">
        <v>5099</v>
      </c>
      <c r="K19" s="2498">
        <v>10924</v>
      </c>
      <c r="L19" s="4348">
        <v>6333</v>
      </c>
      <c r="M19" s="4349">
        <v>5704</v>
      </c>
      <c r="N19" s="2498">
        <v>12037</v>
      </c>
      <c r="O19" s="4348">
        <f>SUM(O16:O18)</f>
        <v>6963</v>
      </c>
      <c r="P19" s="4349">
        <f>SUM(P16:P18)</f>
        <v>5933</v>
      </c>
      <c r="Q19" s="2498">
        <f>P19+O19</f>
        <v>12896</v>
      </c>
      <c r="R19" s="4348">
        <f>SUM(R16:R18)</f>
        <v>7025</v>
      </c>
      <c r="S19" s="4349">
        <f>SUM(S16:S18)</f>
        <v>5983</v>
      </c>
      <c r="T19" s="2498">
        <f>S19+R19</f>
        <v>13008</v>
      </c>
      <c r="U19" s="4348">
        <f>SUM(U16:U18)</f>
        <v>7786</v>
      </c>
      <c r="V19" s="4349">
        <f>SUM(V16:V18)</f>
        <v>6945</v>
      </c>
      <c r="W19" s="2498">
        <f>V19+U19</f>
        <v>14731</v>
      </c>
      <c r="X19" s="4348">
        <f>SUM(X16:X18)</f>
        <v>7752</v>
      </c>
      <c r="Y19" s="4349">
        <f>SUM(Y16:Y18)</f>
        <v>6938</v>
      </c>
      <c r="Z19" s="2498">
        <f>Y19+X19</f>
        <v>14690</v>
      </c>
      <c r="AA19" s="4348">
        <f>SUM(AA16:AA18)</f>
        <v>7622</v>
      </c>
      <c r="AB19" s="4349">
        <f>SUM(AB16:AB18)</f>
        <v>6821</v>
      </c>
      <c r="AC19" s="2498">
        <f>AB19+AA19</f>
        <v>14443</v>
      </c>
      <c r="AD19" s="4348">
        <f>SUM(AD16:AD18)</f>
        <v>8037</v>
      </c>
      <c r="AE19" s="4349">
        <f>SUM(AE16:AE18)</f>
        <v>7364</v>
      </c>
      <c r="AF19" s="2498">
        <f>AE19+AD19</f>
        <v>15401</v>
      </c>
    </row>
    <row r="20" spans="1:32" x14ac:dyDescent="0.25">
      <c r="A20" s="1868"/>
      <c r="B20" s="1868"/>
      <c r="C20" s="1869"/>
      <c r="D20" s="1869"/>
      <c r="E20" s="1869"/>
      <c r="F20" s="1868"/>
      <c r="G20" s="1868"/>
      <c r="H20" s="1868"/>
      <c r="I20" s="1868"/>
      <c r="J20" s="1868"/>
      <c r="K20" s="1868"/>
      <c r="L20" s="1868"/>
      <c r="M20" s="1868"/>
      <c r="N20" s="1868"/>
      <c r="O20" s="1868"/>
      <c r="P20" s="1868"/>
      <c r="Q20" s="1868"/>
      <c r="R20" s="1868"/>
      <c r="S20" s="1868"/>
      <c r="T20" s="1868"/>
      <c r="U20" s="1868"/>
      <c r="V20" s="1868"/>
      <c r="W20" s="1868"/>
      <c r="X20" s="1868"/>
      <c r="Y20" s="1868"/>
      <c r="Z20" s="1868"/>
      <c r="AA20" s="1868"/>
      <c r="AB20" s="1868"/>
      <c r="AC20" s="1868"/>
      <c r="AD20" s="1868"/>
      <c r="AE20" s="1868"/>
      <c r="AF20" s="1868"/>
    </row>
    <row r="21" spans="1:32" x14ac:dyDescent="0.25">
      <c r="A21" s="5079" t="s">
        <v>411</v>
      </c>
      <c r="B21" s="1841" t="s">
        <v>5</v>
      </c>
      <c r="C21" s="1843"/>
      <c r="D21" s="1842"/>
      <c r="E21" s="1842"/>
      <c r="F21" s="1842"/>
      <c r="G21" s="1842"/>
      <c r="H21" s="1842"/>
      <c r="I21" s="1842"/>
      <c r="J21" s="1842"/>
      <c r="K21" s="1842"/>
      <c r="L21" s="1846"/>
      <c r="M21" s="1846"/>
      <c r="N21" s="1842"/>
      <c r="O21" s="1846"/>
      <c r="P21" s="1846"/>
      <c r="Q21" s="1844"/>
      <c r="R21" s="1845">
        <v>20</v>
      </c>
      <c r="S21" s="1846">
        <v>47</v>
      </c>
      <c r="T21" s="1844">
        <f>SUM(R21:S21)</f>
        <v>67</v>
      </c>
      <c r="U21" s="1845">
        <v>15</v>
      </c>
      <c r="V21" s="1846">
        <v>18</v>
      </c>
      <c r="W21" s="1844">
        <f>SUM(U21:V21)</f>
        <v>33</v>
      </c>
      <c r="X21" s="1845">
        <f>+'[18]Presen y adm x gen'!H92</f>
        <v>20</v>
      </c>
      <c r="Y21" s="1846">
        <f>+'[18]Presen y adm x gen'!I92</f>
        <v>40</v>
      </c>
      <c r="Z21" s="1844">
        <f>SUM(X21:Y21)</f>
        <v>60</v>
      </c>
      <c r="AA21" s="1845">
        <v>32</v>
      </c>
      <c r="AB21" s="1846">
        <v>34</v>
      </c>
      <c r="AC21" s="1844">
        <f>SUM(AA21:AB21)</f>
        <v>66</v>
      </c>
      <c r="AD21" s="1845">
        <v>33</v>
      </c>
      <c r="AE21" s="1846">
        <v>46</v>
      </c>
      <c r="AF21" s="1844">
        <f>SUM(AD21:AE21)</f>
        <v>79</v>
      </c>
    </row>
    <row r="22" spans="1:32" x14ac:dyDescent="0.25">
      <c r="A22" s="5080"/>
      <c r="B22" s="1847" t="s">
        <v>6</v>
      </c>
      <c r="C22" s="1849"/>
      <c r="D22" s="1848"/>
      <c r="E22" s="1848"/>
      <c r="F22" s="1848"/>
      <c r="G22" s="1848"/>
      <c r="H22" s="1848"/>
      <c r="I22" s="1848"/>
      <c r="J22" s="1848"/>
      <c r="K22" s="1848"/>
      <c r="L22" s="1866"/>
      <c r="M22" s="1866"/>
      <c r="N22" s="1848"/>
      <c r="O22" s="1866"/>
      <c r="P22" s="1866"/>
      <c r="Q22" s="1850"/>
      <c r="R22" s="1865">
        <v>99</v>
      </c>
      <c r="S22" s="1866">
        <v>69</v>
      </c>
      <c r="T22" s="1850">
        <f>SUM(R22:S22)</f>
        <v>168</v>
      </c>
      <c r="U22" s="1865">
        <v>34</v>
      </c>
      <c r="V22" s="1866">
        <v>33</v>
      </c>
      <c r="W22" s="1850">
        <f>SUM(U22:V22)</f>
        <v>67</v>
      </c>
      <c r="X22" s="1851">
        <f>+'[18]Presen y adm x gen'!H95</f>
        <v>106</v>
      </c>
      <c r="Y22" s="1852">
        <f>+'[18]Presen y adm x gen'!I95</f>
        <v>88</v>
      </c>
      <c r="Z22" s="1850">
        <f>SUM(X22:Y22)</f>
        <v>194</v>
      </c>
      <c r="AA22" s="1851">
        <v>150</v>
      </c>
      <c r="AB22" s="1852">
        <v>135</v>
      </c>
      <c r="AC22" s="1850">
        <f>SUM(AA22:AB22)</f>
        <v>285</v>
      </c>
      <c r="AD22" s="1851">
        <v>219</v>
      </c>
      <c r="AE22" s="1852">
        <v>176</v>
      </c>
      <c r="AF22" s="1850">
        <f>SUM(AD22:AE22)</f>
        <v>395</v>
      </c>
    </row>
    <row r="23" spans="1:32" x14ac:dyDescent="0.25">
      <c r="A23" s="5080"/>
      <c r="B23" s="1847" t="s">
        <v>11</v>
      </c>
      <c r="C23" s="1849"/>
      <c r="D23" s="1848"/>
      <c r="E23" s="1848"/>
      <c r="F23" s="1848"/>
      <c r="G23" s="1848"/>
      <c r="H23" s="1848"/>
      <c r="I23" s="1848"/>
      <c r="J23" s="1848"/>
      <c r="K23" s="1848"/>
      <c r="L23" s="1866"/>
      <c r="M23" s="1866"/>
      <c r="N23" s="1848"/>
      <c r="O23" s="1866"/>
      <c r="P23" s="1866"/>
      <c r="Q23" s="1850"/>
      <c r="R23" s="1865">
        <v>107</v>
      </c>
      <c r="S23" s="1866">
        <v>60</v>
      </c>
      <c r="T23" s="1850">
        <f>SUM(R23:S23)</f>
        <v>167</v>
      </c>
      <c r="U23" s="1865">
        <v>39</v>
      </c>
      <c r="V23" s="1866">
        <v>24</v>
      </c>
      <c r="W23" s="1850">
        <f>SUM(U23:V23)</f>
        <v>63</v>
      </c>
      <c r="X23" s="1849">
        <f>+'[18]Presen y adm x gen'!H97</f>
        <v>100</v>
      </c>
      <c r="Y23" s="1848">
        <f>+'[18]Presen y adm x gen'!I97</f>
        <v>47</v>
      </c>
      <c r="Z23" s="1850">
        <f>SUM(X23:Y23)</f>
        <v>147</v>
      </c>
      <c r="AA23" s="1849">
        <v>50</v>
      </c>
      <c r="AB23" s="1848">
        <v>32</v>
      </c>
      <c r="AC23" s="1850">
        <f>SUM(AA23:AB23)</f>
        <v>82</v>
      </c>
      <c r="AD23" s="1849">
        <v>113</v>
      </c>
      <c r="AE23" s="1848">
        <v>58</v>
      </c>
      <c r="AF23" s="1850">
        <f>SUM(AD23:AE23)</f>
        <v>171</v>
      </c>
    </row>
    <row r="24" spans="1:32" x14ac:dyDescent="0.25">
      <c r="A24" s="5081"/>
      <c r="B24" s="4336" t="s">
        <v>12</v>
      </c>
      <c r="C24" s="4338"/>
      <c r="D24" s="4337"/>
      <c r="E24" s="4337"/>
      <c r="F24" s="4337"/>
      <c r="G24" s="4337"/>
      <c r="H24" s="4337"/>
      <c r="I24" s="4337"/>
      <c r="J24" s="4337"/>
      <c r="K24" s="4337"/>
      <c r="L24" s="4341"/>
      <c r="M24" s="4341"/>
      <c r="N24" s="4337"/>
      <c r="O24" s="4341"/>
      <c r="P24" s="4341"/>
      <c r="Q24" s="4339"/>
      <c r="R24" s="4340">
        <f>SUM(R21:R23)</f>
        <v>226</v>
      </c>
      <c r="S24" s="4341">
        <f>SUM(S21:S23)</f>
        <v>176</v>
      </c>
      <c r="T24" s="4339">
        <f>S24+R24</f>
        <v>402</v>
      </c>
      <c r="U24" s="4340">
        <f>SUM(U21:U23)</f>
        <v>88</v>
      </c>
      <c r="V24" s="4341">
        <f>SUM(V21:V23)</f>
        <v>75</v>
      </c>
      <c r="W24" s="4339">
        <f>V24+U24</f>
        <v>163</v>
      </c>
      <c r="X24" s="4340">
        <f>SUM(X21:X23)</f>
        <v>226</v>
      </c>
      <c r="Y24" s="4341">
        <f>SUM(Y21:Y23)</f>
        <v>175</v>
      </c>
      <c r="Z24" s="4339">
        <f>Y24+X24</f>
        <v>401</v>
      </c>
      <c r="AA24" s="4340">
        <f>SUM(AA21:AA23)</f>
        <v>232</v>
      </c>
      <c r="AB24" s="4341">
        <f>SUM(AB21:AB23)</f>
        <v>201</v>
      </c>
      <c r="AC24" s="4339">
        <f>AB24+AA24</f>
        <v>433</v>
      </c>
      <c r="AD24" s="4340">
        <f>SUM(AD21:AD23)</f>
        <v>365</v>
      </c>
      <c r="AE24" s="4341">
        <f>SUM(AE21:AE23)</f>
        <v>280</v>
      </c>
      <c r="AF24" s="4339">
        <f>AE24+AD24</f>
        <v>645</v>
      </c>
    </row>
    <row r="25" spans="1:32" x14ac:dyDescent="0.25">
      <c r="C25" s="1867"/>
      <c r="D25" s="1867"/>
      <c r="E25" s="1867"/>
    </row>
    <row r="26" spans="1:32" x14ac:dyDescent="0.25">
      <c r="A26" s="5082" t="s">
        <v>163</v>
      </c>
      <c r="B26" s="1841" t="s">
        <v>6</v>
      </c>
      <c r="C26" s="1842">
        <v>6138</v>
      </c>
      <c r="D26" s="1842">
        <v>3555</v>
      </c>
      <c r="E26" s="1842">
        <v>9693</v>
      </c>
      <c r="F26" s="1843">
        <v>6266</v>
      </c>
      <c r="G26" s="1842">
        <v>3525</v>
      </c>
      <c r="H26" s="1844">
        <v>9791</v>
      </c>
      <c r="I26" s="1843">
        <v>6512</v>
      </c>
      <c r="J26" s="1842">
        <v>3786</v>
      </c>
      <c r="K26" s="1842">
        <v>10298</v>
      </c>
      <c r="L26" s="1845">
        <v>6978</v>
      </c>
      <c r="M26" s="1846">
        <v>4040</v>
      </c>
      <c r="N26" s="1844">
        <v>11018</v>
      </c>
      <c r="O26" s="1845">
        <v>7179</v>
      </c>
      <c r="P26" s="1846">
        <v>4491</v>
      </c>
      <c r="Q26" s="1844">
        <f>P26+O26</f>
        <v>11670</v>
      </c>
      <c r="R26" s="1845">
        <v>7436</v>
      </c>
      <c r="S26" s="1846">
        <v>4547</v>
      </c>
      <c r="T26" s="1844">
        <f>SUM(R26:S26)</f>
        <v>11983</v>
      </c>
      <c r="U26" s="1845">
        <v>7867</v>
      </c>
      <c r="V26" s="1846">
        <v>4949</v>
      </c>
      <c r="W26" s="1844">
        <f>SUM(U26:V26)</f>
        <v>12816</v>
      </c>
      <c r="X26" s="1845">
        <f>+'[18]Presen y adm x gen'!H61</f>
        <v>7350</v>
      </c>
      <c r="Y26" s="1846">
        <f>+'[18]Presen y adm x gen'!I61</f>
        <v>4793</v>
      </c>
      <c r="Z26" s="1844">
        <f>SUM(X26:Y26)</f>
        <v>12143</v>
      </c>
      <c r="AA26" s="1845">
        <v>6790</v>
      </c>
      <c r="AB26" s="1846">
        <v>4540</v>
      </c>
      <c r="AC26" s="1844">
        <f>SUM(AA26:AB26)</f>
        <v>11330</v>
      </c>
      <c r="AD26" s="1845">
        <v>6981</v>
      </c>
      <c r="AE26" s="1846">
        <v>4622</v>
      </c>
      <c r="AF26" s="1844">
        <f>SUM(AD26:AE26)</f>
        <v>11603</v>
      </c>
    </row>
    <row r="27" spans="1:32" x14ac:dyDescent="0.25">
      <c r="A27" s="5083"/>
      <c r="B27" s="1847" t="s">
        <v>11</v>
      </c>
      <c r="C27" s="1848">
        <v>8110</v>
      </c>
      <c r="D27" s="1848">
        <v>4120</v>
      </c>
      <c r="E27" s="1848">
        <v>12230</v>
      </c>
      <c r="F27" s="1849">
        <v>8564</v>
      </c>
      <c r="G27" s="1848">
        <v>4374</v>
      </c>
      <c r="H27" s="1850">
        <v>12938</v>
      </c>
      <c r="I27" s="1849">
        <v>9243</v>
      </c>
      <c r="J27" s="1848">
        <v>5021</v>
      </c>
      <c r="K27" s="1848">
        <v>14264</v>
      </c>
      <c r="L27" s="1865">
        <v>9924</v>
      </c>
      <c r="M27" s="1866">
        <v>5230</v>
      </c>
      <c r="N27" s="1850">
        <v>15154</v>
      </c>
      <c r="O27" s="1865">
        <v>10648</v>
      </c>
      <c r="P27" s="1866">
        <v>5664</v>
      </c>
      <c r="Q27" s="1850">
        <f>P27+O27</f>
        <v>16312</v>
      </c>
      <c r="R27" s="1865">
        <v>11297</v>
      </c>
      <c r="S27" s="1866">
        <v>6284</v>
      </c>
      <c r="T27" s="1850">
        <f>SUM(R27:S27)</f>
        <v>17581</v>
      </c>
      <c r="U27" s="1865">
        <v>12796</v>
      </c>
      <c r="V27" s="1866">
        <v>6976</v>
      </c>
      <c r="W27" s="1850">
        <f>SUM(U27:V27)</f>
        <v>19772</v>
      </c>
      <c r="X27" s="1851">
        <f>+'[18]Presen y adm x gen'!H70</f>
        <v>13761</v>
      </c>
      <c r="Y27" s="1852">
        <f>+'[18]Presen y adm x gen'!I70</f>
        <v>7493</v>
      </c>
      <c r="Z27" s="1850">
        <f>SUM(X27:Y27)</f>
        <v>21254</v>
      </c>
      <c r="AA27" s="1851">
        <v>14198</v>
      </c>
      <c r="AB27" s="1852">
        <v>7531</v>
      </c>
      <c r="AC27" s="1850">
        <f>SUM(AA27:AB27)</f>
        <v>21729</v>
      </c>
      <c r="AD27" s="1851">
        <v>16298</v>
      </c>
      <c r="AE27" s="1852">
        <v>8296</v>
      </c>
      <c r="AF27" s="1850">
        <f>SUM(AD27:AE27)</f>
        <v>24594</v>
      </c>
    </row>
    <row r="28" spans="1:32" x14ac:dyDescent="0.25">
      <c r="A28" s="5083"/>
      <c r="B28" s="1847" t="s">
        <v>7</v>
      </c>
      <c r="C28" s="1848">
        <v>2016</v>
      </c>
      <c r="D28" s="1848">
        <v>2258</v>
      </c>
      <c r="E28" s="1848">
        <v>4274</v>
      </c>
      <c r="F28" s="1849">
        <v>2124</v>
      </c>
      <c r="G28" s="1848">
        <v>2717</v>
      </c>
      <c r="H28" s="1850">
        <v>4841</v>
      </c>
      <c r="I28" s="1849">
        <v>2576</v>
      </c>
      <c r="J28" s="1848">
        <v>3011</v>
      </c>
      <c r="K28" s="1848">
        <v>5587</v>
      </c>
      <c r="L28" s="1849">
        <v>2739</v>
      </c>
      <c r="M28" s="1848">
        <v>3217</v>
      </c>
      <c r="N28" s="1850">
        <v>5956</v>
      </c>
      <c r="O28" s="1849">
        <v>3121</v>
      </c>
      <c r="P28" s="1848">
        <v>3612</v>
      </c>
      <c r="Q28" s="1850">
        <f>P28+O28</f>
        <v>6733</v>
      </c>
      <c r="R28" s="1849">
        <v>3230</v>
      </c>
      <c r="S28" s="1848">
        <v>3725</v>
      </c>
      <c r="T28" s="1850">
        <f>SUM(R28:S28)</f>
        <v>6955</v>
      </c>
      <c r="U28" s="1849">
        <v>3512</v>
      </c>
      <c r="V28" s="1848">
        <v>4165</v>
      </c>
      <c r="W28" s="1850">
        <f>SUM(U28:V28)</f>
        <v>7677</v>
      </c>
      <c r="X28" s="1849">
        <f>+'[18]Presen y adm x gen'!H75</f>
        <v>3384</v>
      </c>
      <c r="Y28" s="1848">
        <f>+'[18]Presen y adm x gen'!I75</f>
        <v>3882</v>
      </c>
      <c r="Z28" s="1850">
        <f>SUM(X28:Y28)</f>
        <v>7266</v>
      </c>
      <c r="AA28" s="1849">
        <v>2929</v>
      </c>
      <c r="AB28" s="1848">
        <v>3536</v>
      </c>
      <c r="AC28" s="1850">
        <f>SUM(AA28:AB28)</f>
        <v>6465</v>
      </c>
      <c r="AD28" s="1849">
        <v>3034</v>
      </c>
      <c r="AE28" s="1848">
        <v>3647</v>
      </c>
      <c r="AF28" s="1850">
        <f>SUM(AD28:AE28)</f>
        <v>6681</v>
      </c>
    </row>
    <row r="29" spans="1:32" x14ac:dyDescent="0.25">
      <c r="A29" s="5084"/>
      <c r="B29" s="2503" t="s">
        <v>12</v>
      </c>
      <c r="C29" s="2505">
        <v>16264</v>
      </c>
      <c r="D29" s="2505">
        <v>9933</v>
      </c>
      <c r="E29" s="2505">
        <v>26197</v>
      </c>
      <c r="F29" s="2504">
        <v>16954</v>
      </c>
      <c r="G29" s="2505">
        <v>10616</v>
      </c>
      <c r="H29" s="2506">
        <v>27570</v>
      </c>
      <c r="I29" s="2504">
        <v>18331</v>
      </c>
      <c r="J29" s="2505">
        <v>11818</v>
      </c>
      <c r="K29" s="2506">
        <v>30149</v>
      </c>
      <c r="L29" s="4346">
        <v>19641</v>
      </c>
      <c r="M29" s="4347">
        <v>12487</v>
      </c>
      <c r="N29" s="2506">
        <v>32128</v>
      </c>
      <c r="O29" s="4346">
        <f>SUM(O26:O28)</f>
        <v>20948</v>
      </c>
      <c r="P29" s="4347">
        <f>SUM(P26:P28)</f>
        <v>13767</v>
      </c>
      <c r="Q29" s="2506">
        <f>P29+O29</f>
        <v>34715</v>
      </c>
      <c r="R29" s="4346">
        <f>SUM(R26:R28)</f>
        <v>21963</v>
      </c>
      <c r="S29" s="4347">
        <f>SUM(S26:S28)</f>
        <v>14556</v>
      </c>
      <c r="T29" s="2506">
        <f>S29+R29</f>
        <v>36519</v>
      </c>
      <c r="U29" s="4346">
        <f>SUM(U26:U28)</f>
        <v>24175</v>
      </c>
      <c r="V29" s="4347">
        <f>SUM(V26:V28)</f>
        <v>16090</v>
      </c>
      <c r="W29" s="2506">
        <f>V29+U29</f>
        <v>40265</v>
      </c>
      <c r="X29" s="4346">
        <f>SUM(X26:X28)</f>
        <v>24495</v>
      </c>
      <c r="Y29" s="4347">
        <f>SUM(Y26:Y28)</f>
        <v>16168</v>
      </c>
      <c r="Z29" s="2506">
        <f>Y29+X29</f>
        <v>40663</v>
      </c>
      <c r="AA29" s="4346">
        <f>SUM(AA26:AA28)</f>
        <v>23917</v>
      </c>
      <c r="AB29" s="4347">
        <f>SUM(AB26:AB28)</f>
        <v>15607</v>
      </c>
      <c r="AC29" s="2506">
        <f>AB29+AA29</f>
        <v>39524</v>
      </c>
      <c r="AD29" s="4346">
        <f>SUM(AD26:AD28)</f>
        <v>26313</v>
      </c>
      <c r="AE29" s="4347">
        <f>SUM(AE26:AE28)</f>
        <v>16565</v>
      </c>
      <c r="AF29" s="2506">
        <f>AE29+AD29</f>
        <v>42878</v>
      </c>
    </row>
    <row r="30" spans="1:32" x14ac:dyDescent="0.25">
      <c r="C30" s="1867"/>
      <c r="D30" s="1867"/>
      <c r="E30" s="1867"/>
      <c r="F30" s="1867"/>
      <c r="G30" s="1867"/>
      <c r="H30" s="1867"/>
      <c r="I30" s="1867"/>
      <c r="J30" s="1867"/>
      <c r="K30" s="1867"/>
      <c r="L30" s="1867"/>
      <c r="M30" s="1867"/>
      <c r="N30" s="1867"/>
      <c r="O30" s="1867"/>
      <c r="P30" s="1867"/>
      <c r="Q30" s="1867"/>
      <c r="R30" s="1867"/>
      <c r="S30" s="1867"/>
      <c r="T30" s="1867"/>
      <c r="U30" s="1867"/>
      <c r="V30" s="1867"/>
      <c r="W30" s="1867"/>
      <c r="X30" s="1867"/>
      <c r="Y30" s="1867"/>
      <c r="Z30" s="1867"/>
      <c r="AA30" s="1867"/>
      <c r="AB30" s="1867"/>
      <c r="AC30" s="1867"/>
      <c r="AD30" s="1867"/>
      <c r="AE30" s="1867"/>
      <c r="AF30" s="1867"/>
    </row>
    <row r="31" spans="1:32" x14ac:dyDescent="0.25">
      <c r="A31" s="5085" t="s">
        <v>60</v>
      </c>
      <c r="B31" s="1841" t="s">
        <v>5</v>
      </c>
      <c r="C31" s="1843">
        <v>2247</v>
      </c>
      <c r="D31" s="1842">
        <v>6560</v>
      </c>
      <c r="E31" s="1844">
        <v>8807</v>
      </c>
      <c r="F31" s="1842">
        <v>2214</v>
      </c>
      <c r="G31" s="1842">
        <v>6435</v>
      </c>
      <c r="H31" s="1842">
        <v>8649</v>
      </c>
      <c r="I31" s="1843">
        <v>2548</v>
      </c>
      <c r="J31" s="1842">
        <v>6849</v>
      </c>
      <c r="K31" s="1844">
        <v>9397</v>
      </c>
      <c r="L31" s="1845">
        <v>2860</v>
      </c>
      <c r="M31" s="1846">
        <v>7502</v>
      </c>
      <c r="N31" s="1870">
        <v>10362</v>
      </c>
      <c r="O31" s="1845">
        <f>O6+O16</f>
        <v>3119</v>
      </c>
      <c r="P31" s="1846">
        <f>P6+P16</f>
        <v>8278</v>
      </c>
      <c r="Q31" s="1870">
        <f t="shared" ref="Q31:Q37" si="0">P31+O31</f>
        <v>11397</v>
      </c>
      <c r="R31" s="1845">
        <f>SUM(R6,R16,R21)</f>
        <v>2999</v>
      </c>
      <c r="S31" s="1846">
        <f>SUM(S6,S16,S21)</f>
        <v>8331</v>
      </c>
      <c r="T31" s="1870">
        <f t="shared" ref="T31:T36" si="1">SUM(R31:S31)</f>
        <v>11330</v>
      </c>
      <c r="U31" s="1845">
        <f>SUM(U6,U16,U21)</f>
        <v>3292</v>
      </c>
      <c r="V31" s="1846">
        <f>SUM(V6,V16,V21)</f>
        <v>9352</v>
      </c>
      <c r="W31" s="1870">
        <f t="shared" ref="W31:W36" si="2">SUM(U31:V31)</f>
        <v>12644</v>
      </c>
      <c r="X31" s="1845">
        <f>SUM(X6,X16,X21)</f>
        <v>3429</v>
      </c>
      <c r="Y31" s="1846">
        <f>SUM(Y6,Y16,Y21)</f>
        <v>9233</v>
      </c>
      <c r="Z31" s="1870">
        <f t="shared" ref="Z31:Z36" si="3">SUM(X31:Y31)</f>
        <v>12662</v>
      </c>
      <c r="AA31" s="1845">
        <f>SUM(AA6,AA16,AA21)</f>
        <v>3586</v>
      </c>
      <c r="AB31" s="1846">
        <f>SUM(AB6,AB16,AB21)</f>
        <v>9210</v>
      </c>
      <c r="AC31" s="1870">
        <f t="shared" ref="AC31:AC36" si="4">SUM(AA31:AB31)</f>
        <v>12796</v>
      </c>
      <c r="AD31" s="1845">
        <f>SUM(AD6,AD16,AD21)</f>
        <v>4032</v>
      </c>
      <c r="AE31" s="1846">
        <f>SUM(AE6,AE16,AE21)</f>
        <v>10286</v>
      </c>
      <c r="AF31" s="1870">
        <f t="shared" ref="AF31:AF36" si="5">SUM(AD31:AE31)</f>
        <v>14318</v>
      </c>
    </row>
    <row r="32" spans="1:32" x14ac:dyDescent="0.25">
      <c r="A32" s="5086"/>
      <c r="B32" s="1847" t="s">
        <v>6</v>
      </c>
      <c r="C32" s="1849">
        <v>14762</v>
      </c>
      <c r="D32" s="1848">
        <v>9406</v>
      </c>
      <c r="E32" s="1850">
        <v>24168</v>
      </c>
      <c r="F32" s="1848">
        <v>15222</v>
      </c>
      <c r="G32" s="1848">
        <v>9610</v>
      </c>
      <c r="H32" s="1848">
        <v>24832</v>
      </c>
      <c r="I32" s="1849">
        <v>15909</v>
      </c>
      <c r="J32" s="1848">
        <v>10289</v>
      </c>
      <c r="K32" s="1850">
        <v>26198</v>
      </c>
      <c r="L32" s="1865">
        <v>16888</v>
      </c>
      <c r="M32" s="1866">
        <v>10910</v>
      </c>
      <c r="N32" s="1871">
        <v>27798</v>
      </c>
      <c r="O32" s="1865">
        <f>O7+O11+O17+O26</f>
        <v>18322</v>
      </c>
      <c r="P32" s="1866">
        <f>P7+P11+P17+P26</f>
        <v>11927</v>
      </c>
      <c r="Q32" s="1871">
        <f t="shared" si="0"/>
        <v>30249</v>
      </c>
      <c r="R32" s="1865">
        <f>SUM(R7,R11,R17,R26,R22)</f>
        <v>18617</v>
      </c>
      <c r="S32" s="1866">
        <f>SUM(S7,S11,S17,S26,S22)</f>
        <v>12024</v>
      </c>
      <c r="T32" s="1871">
        <f t="shared" si="1"/>
        <v>30641</v>
      </c>
      <c r="U32" s="1865">
        <f>SUM(U7,U11,U17,U26,U22)</f>
        <v>19908</v>
      </c>
      <c r="V32" s="1866">
        <f>SUM(V7,V11,V17,V26,V22)</f>
        <v>13335</v>
      </c>
      <c r="W32" s="1871">
        <f t="shared" si="2"/>
        <v>33243</v>
      </c>
      <c r="X32" s="1865">
        <f>SUM(X7,X11,X17,X26,X22)</f>
        <v>19363</v>
      </c>
      <c r="Y32" s="1866">
        <f>SUM(Y7,Y11,Y17,Y26,Y22)</f>
        <v>13282</v>
      </c>
      <c r="Z32" s="1871">
        <f t="shared" si="3"/>
        <v>32645</v>
      </c>
      <c r="AA32" s="1865">
        <f>SUM(AA7,AA11,AA17,AA26,AA22)</f>
        <v>18399</v>
      </c>
      <c r="AB32" s="1866">
        <f>SUM(AB7,AB11,AB17,AB26,AB22)</f>
        <v>12955</v>
      </c>
      <c r="AC32" s="1871">
        <f t="shared" si="4"/>
        <v>31354</v>
      </c>
      <c r="AD32" s="1865">
        <f>SUM(AD7,AD11,AD17,AD26,AD22)</f>
        <v>19573</v>
      </c>
      <c r="AE32" s="1866">
        <f>SUM(AE7,AE11,AE17,AE26,AE22)</f>
        <v>13586</v>
      </c>
      <c r="AF32" s="1871">
        <f t="shared" si="5"/>
        <v>33159</v>
      </c>
    </row>
    <row r="33" spans="1:32" x14ac:dyDescent="0.25">
      <c r="A33" s="5086"/>
      <c r="B33" s="1847" t="s">
        <v>11</v>
      </c>
      <c r="C33" s="1849">
        <v>9018</v>
      </c>
      <c r="D33" s="1848">
        <v>4696</v>
      </c>
      <c r="E33" s="1850">
        <v>13714</v>
      </c>
      <c r="F33" s="1848">
        <v>9474</v>
      </c>
      <c r="G33" s="1848">
        <v>4909</v>
      </c>
      <c r="H33" s="1848">
        <v>14383</v>
      </c>
      <c r="I33" s="1849">
        <v>10436</v>
      </c>
      <c r="J33" s="1848">
        <v>5724</v>
      </c>
      <c r="K33" s="1850">
        <v>16160</v>
      </c>
      <c r="L33" s="1865">
        <v>11290</v>
      </c>
      <c r="M33" s="1866">
        <v>6060</v>
      </c>
      <c r="N33" s="1871">
        <v>17350</v>
      </c>
      <c r="O33" s="1865">
        <f>O18+O27</f>
        <v>12084</v>
      </c>
      <c r="P33" s="1866">
        <f>P18+P27</f>
        <v>6622</v>
      </c>
      <c r="Q33" s="1871">
        <f t="shared" si="0"/>
        <v>18706</v>
      </c>
      <c r="R33" s="1865">
        <f>SUM(R18,R27,R23)</f>
        <v>12975</v>
      </c>
      <c r="S33" s="1866">
        <f>SUM(S18,S27,S23)</f>
        <v>7377</v>
      </c>
      <c r="T33" s="1871">
        <f t="shared" si="1"/>
        <v>20352</v>
      </c>
      <c r="U33" s="1865">
        <f>SUM(U18,U27,U23)</f>
        <v>14502</v>
      </c>
      <c r="V33" s="1866">
        <f>SUM(V18,V27,V23)</f>
        <v>8161</v>
      </c>
      <c r="W33" s="1871">
        <f t="shared" si="2"/>
        <v>22663</v>
      </c>
      <c r="X33" s="1865">
        <f>SUM(X18,X27,X23)</f>
        <v>15584</v>
      </c>
      <c r="Y33" s="1866">
        <f>SUM(Y18,Y27,Y23)</f>
        <v>8647</v>
      </c>
      <c r="Z33" s="1871">
        <f t="shared" si="3"/>
        <v>24231</v>
      </c>
      <c r="AA33" s="1865">
        <f>SUM(AA18,AA27,AA23)</f>
        <v>16042</v>
      </c>
      <c r="AB33" s="1866">
        <f>SUM(AB18,AB27,AB23)</f>
        <v>8742</v>
      </c>
      <c r="AC33" s="1871">
        <f t="shared" si="4"/>
        <v>24784</v>
      </c>
      <c r="AD33" s="1865">
        <f>SUM(AD18,AD27,AD23)</f>
        <v>18266</v>
      </c>
      <c r="AE33" s="1866">
        <f>SUM(AE18,AE27,AE23)</f>
        <v>9614</v>
      </c>
      <c r="AF33" s="1871">
        <f t="shared" si="5"/>
        <v>27880</v>
      </c>
    </row>
    <row r="34" spans="1:32" x14ac:dyDescent="0.25">
      <c r="A34" s="5086"/>
      <c r="B34" s="1847" t="s">
        <v>7</v>
      </c>
      <c r="C34" s="1849">
        <v>4582</v>
      </c>
      <c r="D34" s="1848">
        <v>5081</v>
      </c>
      <c r="E34" s="1850">
        <v>9663</v>
      </c>
      <c r="F34" s="1848">
        <v>5054</v>
      </c>
      <c r="G34" s="1848">
        <v>5908</v>
      </c>
      <c r="H34" s="1848">
        <v>10962</v>
      </c>
      <c r="I34" s="1849">
        <v>5855</v>
      </c>
      <c r="J34" s="1848">
        <v>6654</v>
      </c>
      <c r="K34" s="1850">
        <v>12509</v>
      </c>
      <c r="L34" s="1865">
        <v>6467</v>
      </c>
      <c r="M34" s="1866">
        <v>6893</v>
      </c>
      <c r="N34" s="1871">
        <v>13360</v>
      </c>
      <c r="O34" s="1865">
        <f>O8+O28</f>
        <v>7304</v>
      </c>
      <c r="P34" s="1866">
        <f>P8+P28</f>
        <v>7797</v>
      </c>
      <c r="Q34" s="1871">
        <f t="shared" si="0"/>
        <v>15101</v>
      </c>
      <c r="R34" s="1865">
        <f>SUM(R8,R28)</f>
        <v>7467</v>
      </c>
      <c r="S34" s="1866">
        <f>SUM(S8,S28)</f>
        <v>7846</v>
      </c>
      <c r="T34" s="1871">
        <f t="shared" si="1"/>
        <v>15313</v>
      </c>
      <c r="U34" s="1865">
        <f>SUM(U8,U28)</f>
        <v>8276</v>
      </c>
      <c r="V34" s="1866">
        <f>SUM(V8,V28)</f>
        <v>8879</v>
      </c>
      <c r="W34" s="1871">
        <f t="shared" si="2"/>
        <v>17155</v>
      </c>
      <c r="X34" s="1865">
        <f>SUM(X8,X28)</f>
        <v>7732</v>
      </c>
      <c r="Y34" s="1866">
        <f>SUM(Y8,Y28)</f>
        <v>8191</v>
      </c>
      <c r="Z34" s="1871">
        <f t="shared" si="3"/>
        <v>15923</v>
      </c>
      <c r="AA34" s="1865">
        <f>SUM(AA8,AA28)</f>
        <v>7023</v>
      </c>
      <c r="AB34" s="1866">
        <f>SUM(AB8,AB28)</f>
        <v>7427</v>
      </c>
      <c r="AC34" s="1871">
        <f t="shared" si="4"/>
        <v>14450</v>
      </c>
      <c r="AD34" s="1865">
        <f>SUM(AD8,AD28)</f>
        <v>7002</v>
      </c>
      <c r="AE34" s="1866">
        <f>SUM(AE8,AE28)</f>
        <v>7450</v>
      </c>
      <c r="AF34" s="1871">
        <f t="shared" si="5"/>
        <v>14452</v>
      </c>
    </row>
    <row r="35" spans="1:32" x14ac:dyDescent="0.25">
      <c r="A35" s="5086"/>
      <c r="B35" s="1847" t="s">
        <v>9</v>
      </c>
      <c r="C35" s="1849">
        <v>54</v>
      </c>
      <c r="D35" s="1848">
        <v>35</v>
      </c>
      <c r="E35" s="1850">
        <v>89</v>
      </c>
      <c r="F35" s="1848">
        <v>312</v>
      </c>
      <c r="G35" s="1848">
        <v>276</v>
      </c>
      <c r="H35" s="1848">
        <v>588</v>
      </c>
      <c r="I35" s="1849">
        <v>329</v>
      </c>
      <c r="J35" s="1848">
        <v>356</v>
      </c>
      <c r="K35" s="1850">
        <v>685</v>
      </c>
      <c r="L35" s="1865">
        <v>469</v>
      </c>
      <c r="M35" s="1866">
        <v>410</v>
      </c>
      <c r="N35" s="1871">
        <v>879</v>
      </c>
      <c r="O35" s="1865">
        <f>O12</f>
        <v>586</v>
      </c>
      <c r="P35" s="1866">
        <f>P12</f>
        <v>508</v>
      </c>
      <c r="Q35" s="1871">
        <f t="shared" si="0"/>
        <v>1094</v>
      </c>
      <c r="R35" s="1865">
        <f>SUM(R12)</f>
        <v>505</v>
      </c>
      <c r="S35" s="1866">
        <f>SUM(S12)</f>
        <v>506</v>
      </c>
      <c r="T35" s="1871">
        <f t="shared" si="1"/>
        <v>1011</v>
      </c>
      <c r="U35" s="1865">
        <f>SUM(U12)</f>
        <v>519</v>
      </c>
      <c r="V35" s="1866">
        <f>SUM(V12)</f>
        <v>482</v>
      </c>
      <c r="W35" s="1871">
        <f t="shared" si="2"/>
        <v>1001</v>
      </c>
      <c r="X35" s="1865">
        <f>SUM(X12)</f>
        <v>996</v>
      </c>
      <c r="Y35" s="1866">
        <f>SUM(Y12)</f>
        <v>891</v>
      </c>
      <c r="Z35" s="1871">
        <f t="shared" si="3"/>
        <v>1887</v>
      </c>
      <c r="AA35" s="1865">
        <f>SUM(AA12)</f>
        <v>1008</v>
      </c>
      <c r="AB35" s="1866">
        <f>SUM(AB12)</f>
        <v>912</v>
      </c>
      <c r="AC35" s="1871">
        <f t="shared" si="4"/>
        <v>1920</v>
      </c>
      <c r="AD35" s="1865">
        <f>SUM(AD12)</f>
        <v>1061</v>
      </c>
      <c r="AE35" s="1866">
        <f>SUM(AE12)</f>
        <v>865</v>
      </c>
      <c r="AF35" s="1871">
        <f t="shared" si="5"/>
        <v>1926</v>
      </c>
    </row>
    <row r="36" spans="1:32" x14ac:dyDescent="0.25">
      <c r="A36" s="5086"/>
      <c r="B36" s="1847" t="s">
        <v>74</v>
      </c>
      <c r="C36" s="1872">
        <v>34</v>
      </c>
      <c r="D36" s="1873">
        <v>60</v>
      </c>
      <c r="E36" s="1874">
        <v>94</v>
      </c>
      <c r="F36" s="1872">
        <v>44</v>
      </c>
      <c r="G36" s="1873">
        <v>125</v>
      </c>
      <c r="H36" s="1874">
        <v>169</v>
      </c>
      <c r="I36" s="1872">
        <v>70</v>
      </c>
      <c r="J36" s="1873">
        <v>176</v>
      </c>
      <c r="K36" s="1874">
        <v>246</v>
      </c>
      <c r="L36" s="1872">
        <v>79</v>
      </c>
      <c r="M36" s="1873">
        <v>162</v>
      </c>
      <c r="N36" s="1874">
        <v>241</v>
      </c>
      <c r="O36" s="1872">
        <f>O13</f>
        <v>162</v>
      </c>
      <c r="P36" s="1873">
        <f>P13</f>
        <v>282</v>
      </c>
      <c r="Q36" s="1874">
        <f t="shared" si="0"/>
        <v>444</v>
      </c>
      <c r="R36" s="1872">
        <f>SUM(R13)</f>
        <v>138</v>
      </c>
      <c r="S36" s="1873">
        <f>SUM(S13)</f>
        <v>242</v>
      </c>
      <c r="T36" s="1874">
        <f t="shared" si="1"/>
        <v>380</v>
      </c>
      <c r="U36" s="1872">
        <f>SUM(U13)</f>
        <v>122</v>
      </c>
      <c r="V36" s="1873">
        <f>SUM(V13)</f>
        <v>241</v>
      </c>
      <c r="W36" s="1874">
        <f t="shared" si="2"/>
        <v>363</v>
      </c>
      <c r="X36" s="1872">
        <f>SUM(X13)</f>
        <v>307</v>
      </c>
      <c r="Y36" s="1873">
        <f>SUM(Y13)</f>
        <v>463</v>
      </c>
      <c r="Z36" s="1874">
        <f t="shared" si="3"/>
        <v>770</v>
      </c>
      <c r="AA36" s="1872">
        <f>SUM(AA13)</f>
        <v>301</v>
      </c>
      <c r="AB36" s="1873">
        <f>SUM(AB13)</f>
        <v>548</v>
      </c>
      <c r="AC36" s="1874">
        <f t="shared" si="4"/>
        <v>849</v>
      </c>
      <c r="AD36" s="1872">
        <f>SUM(AD13)</f>
        <v>368</v>
      </c>
      <c r="AE36" s="1873">
        <f>SUM(AE13)</f>
        <v>587</v>
      </c>
      <c r="AF36" s="1874">
        <f t="shared" si="5"/>
        <v>955</v>
      </c>
    </row>
    <row r="37" spans="1:32" x14ac:dyDescent="0.25">
      <c r="A37" s="5087"/>
      <c r="B37" s="1853" t="s">
        <v>12</v>
      </c>
      <c r="C37" s="1857">
        <v>30697</v>
      </c>
      <c r="D37" s="1858">
        <v>25838</v>
      </c>
      <c r="E37" s="1856">
        <v>56535</v>
      </c>
      <c r="F37" s="1857">
        <v>32320</v>
      </c>
      <c r="G37" s="1858">
        <v>27263</v>
      </c>
      <c r="H37" s="1856">
        <v>59583</v>
      </c>
      <c r="I37" s="1857">
        <v>35147</v>
      </c>
      <c r="J37" s="1858">
        <v>30048</v>
      </c>
      <c r="K37" s="1856">
        <v>65195</v>
      </c>
      <c r="L37" s="1857">
        <v>38053</v>
      </c>
      <c r="M37" s="1858">
        <v>31937</v>
      </c>
      <c r="N37" s="1856">
        <v>69990</v>
      </c>
      <c r="O37" s="1857">
        <f>SUM(O31:O36)</f>
        <v>41577</v>
      </c>
      <c r="P37" s="1858">
        <f>SUM(P31:P36)</f>
        <v>35414</v>
      </c>
      <c r="Q37" s="1856">
        <f t="shared" si="0"/>
        <v>76991</v>
      </c>
      <c r="R37" s="1857">
        <f t="shared" ref="R37:Z37" si="6">SUM(R31:R36)</f>
        <v>42701</v>
      </c>
      <c r="S37" s="1858">
        <f t="shared" si="6"/>
        <v>36326</v>
      </c>
      <c r="T37" s="1856">
        <f t="shared" si="6"/>
        <v>79027</v>
      </c>
      <c r="U37" s="1857">
        <f t="shared" si="6"/>
        <v>46619</v>
      </c>
      <c r="V37" s="1858">
        <f t="shared" si="6"/>
        <v>40450</v>
      </c>
      <c r="W37" s="1856">
        <f t="shared" si="6"/>
        <v>87069</v>
      </c>
      <c r="X37" s="1857">
        <f t="shared" si="6"/>
        <v>47411</v>
      </c>
      <c r="Y37" s="1858">
        <f t="shared" si="6"/>
        <v>40707</v>
      </c>
      <c r="Z37" s="1856">
        <f t="shared" si="6"/>
        <v>88118</v>
      </c>
      <c r="AA37" s="1857">
        <f t="shared" ref="AA37:AF37" si="7">SUM(AA31:AA36)</f>
        <v>46359</v>
      </c>
      <c r="AB37" s="1858">
        <f t="shared" si="7"/>
        <v>39794</v>
      </c>
      <c r="AC37" s="1856">
        <f t="shared" si="7"/>
        <v>86153</v>
      </c>
      <c r="AD37" s="1857">
        <f t="shared" si="7"/>
        <v>50302</v>
      </c>
      <c r="AE37" s="1858">
        <f t="shared" si="7"/>
        <v>42388</v>
      </c>
      <c r="AF37" s="1856">
        <f t="shared" si="7"/>
        <v>92690</v>
      </c>
    </row>
    <row r="41" spans="1:32" x14ac:dyDescent="0.25">
      <c r="S41" s="4350">
        <v>2006</v>
      </c>
    </row>
    <row r="42" spans="1:32" x14ac:dyDescent="0.25">
      <c r="S42" s="4350">
        <v>2007</v>
      </c>
    </row>
    <row r="43" spans="1:32" x14ac:dyDescent="0.25">
      <c r="S43" s="4350">
        <v>2008</v>
      </c>
    </row>
    <row r="44" spans="1:32" x14ac:dyDescent="0.25">
      <c r="S44" s="4350">
        <v>2009</v>
      </c>
    </row>
    <row r="45" spans="1:32" x14ac:dyDescent="0.25">
      <c r="S45" s="4350">
        <v>2010</v>
      </c>
    </row>
    <row r="46" spans="1:32" x14ac:dyDescent="0.25">
      <c r="S46" s="4350">
        <v>2011</v>
      </c>
    </row>
    <row r="47" spans="1:32" x14ac:dyDescent="0.25">
      <c r="S47" s="4350">
        <v>2012</v>
      </c>
    </row>
    <row r="48" spans="1:32" x14ac:dyDescent="0.25">
      <c r="S48" s="4350">
        <v>2013</v>
      </c>
    </row>
    <row r="49" spans="19:19" x14ac:dyDescent="0.25">
      <c r="S49" s="4350">
        <v>2014</v>
      </c>
    </row>
    <row r="50" spans="19:19" x14ac:dyDescent="0.25">
      <c r="S50" s="4350">
        <v>2015</v>
      </c>
    </row>
  </sheetData>
  <mergeCells count="19">
    <mergeCell ref="AD3:AF3"/>
    <mergeCell ref="C3:E3"/>
    <mergeCell ref="F3:H3"/>
    <mergeCell ref="AA3:AC3"/>
    <mergeCell ref="R3:T3"/>
    <mergeCell ref="U3:W3"/>
    <mergeCell ref="X3:Z3"/>
    <mergeCell ref="I3:K3"/>
    <mergeCell ref="L3:N3"/>
    <mergeCell ref="O3:Q3"/>
    <mergeCell ref="A1:B1"/>
    <mergeCell ref="A16:A19"/>
    <mergeCell ref="A21:A24"/>
    <mergeCell ref="A26:A29"/>
    <mergeCell ref="A31:A37"/>
    <mergeCell ref="A11:A14"/>
    <mergeCell ref="A3:A4"/>
    <mergeCell ref="B3:B4"/>
    <mergeCell ref="A6:A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65" pageOrder="overThenDown" orientation="landscape" r:id="rId1"/>
  <rowBreaks count="1" manualBreakCount="1">
    <brk id="38" max="28" man="1"/>
  </rowBreaks>
  <colBreaks count="1" manualBreakCount="1">
    <brk id="17" max="37" man="1"/>
  </colBreaks>
  <ignoredErrors>
    <ignoredError sqref="Q9:W37 Z9:Z36 AC9:AC36" formula="1"/>
  </ignoredError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BT129"/>
  <sheetViews>
    <sheetView showGridLines="0" zoomScaleNormal="100" zoomScaleSheetLayoutView="80" workbookViewId="0">
      <pane xSplit="4" ySplit="4" topLeftCell="BR5" activePane="bottomRight" state="frozen"/>
      <selection pane="topRight" activeCell="E1" sqref="E1"/>
      <selection pane="bottomLeft" activeCell="A5" sqref="A5"/>
      <selection pane="bottomRight" activeCell="BT1" sqref="BT1"/>
    </sheetView>
  </sheetViews>
  <sheetFormatPr baseColWidth="10" defaultRowHeight="12.75" x14ac:dyDescent="0.2"/>
  <cols>
    <col min="1" max="1" width="8" style="1021" bestFit="1" customWidth="1"/>
    <col min="2" max="2" width="11" style="1059" customWidth="1"/>
    <col min="3" max="3" width="11.42578125" style="1059" customWidth="1"/>
    <col min="4" max="4" width="65.5703125" style="1021" bestFit="1" customWidth="1"/>
    <col min="5" max="7" width="7.42578125" style="1021" customWidth="1"/>
    <col min="8" max="8" width="7.42578125" style="1022" customWidth="1"/>
    <col min="9" max="11" width="7.42578125" style="1021" customWidth="1"/>
    <col min="12" max="12" width="7.42578125" style="1022" customWidth="1"/>
    <col min="13" max="15" width="7.42578125" style="1021" customWidth="1"/>
    <col min="16" max="16" width="7.42578125" style="1022" customWidth="1"/>
    <col min="17" max="19" width="7.42578125" style="1021" customWidth="1"/>
    <col min="20" max="20" width="7.42578125" style="1022" customWidth="1"/>
    <col min="21" max="21" width="7.42578125" style="1021" customWidth="1"/>
    <col min="22" max="23" width="6.28515625" style="1021" customWidth="1"/>
    <col min="24" max="24" width="7.42578125" style="1022" customWidth="1"/>
    <col min="25" max="25" width="6.28515625" style="1021" bestFit="1" customWidth="1"/>
    <col min="26" max="27" width="6.28515625" style="1021" customWidth="1"/>
    <col min="28" max="28" width="7.85546875" style="1022" customWidth="1"/>
    <col min="29" max="29" width="6.28515625" style="1021" bestFit="1" customWidth="1"/>
    <col min="30" max="31" width="6.28515625" style="1021" customWidth="1"/>
    <col min="32" max="32" width="7.85546875" style="1022" customWidth="1"/>
    <col min="33" max="33" width="5.28515625" style="1021" customWidth="1"/>
    <col min="34" max="35" width="6.28515625" style="1021" customWidth="1"/>
    <col min="36" max="36" width="7.85546875" style="1022" customWidth="1"/>
    <col min="37" max="37" width="6.28515625" style="1021" bestFit="1" customWidth="1"/>
    <col min="38" max="39" width="6.28515625" style="1021" customWidth="1"/>
    <col min="40" max="40" width="7.85546875" style="1022" customWidth="1"/>
    <col min="41" max="41" width="6.28515625" style="1021" bestFit="1" customWidth="1"/>
    <col min="42" max="43" width="6.42578125" style="1021" customWidth="1"/>
    <col min="44" max="44" width="7.85546875" style="1022" customWidth="1"/>
    <col min="45" max="47" width="6.28515625" style="1021" bestFit="1" customWidth="1"/>
    <col min="48" max="48" width="7.85546875" style="1021" customWidth="1"/>
    <col min="49" max="56" width="6.7109375" style="1021" customWidth="1"/>
    <col min="57" max="57" width="6.85546875" style="1021" customWidth="1"/>
    <col min="58" max="72" width="6.7109375" style="1021" customWidth="1"/>
    <col min="73" max="273" width="11.42578125" style="1021"/>
    <col min="274" max="274" width="15.5703125" style="1021" bestFit="1" customWidth="1"/>
    <col min="275" max="275" width="11.7109375" style="1021" customWidth="1"/>
    <col min="276" max="276" width="54.7109375" style="1021" customWidth="1"/>
    <col min="277" max="277" width="7.42578125" style="1021" customWidth="1"/>
    <col min="278" max="279" width="6.28515625" style="1021" customWidth="1"/>
    <col min="280" max="280" width="7.42578125" style="1021" customWidth="1"/>
    <col min="281" max="281" width="5.7109375" style="1021" customWidth="1"/>
    <col min="282" max="283" width="6.28515625" style="1021" customWidth="1"/>
    <col min="284" max="284" width="7.85546875" style="1021" customWidth="1"/>
    <col min="285" max="285" width="5.7109375" style="1021" customWidth="1"/>
    <col min="286" max="287" width="6.28515625" style="1021" customWidth="1"/>
    <col min="288" max="288" width="7.85546875" style="1021" customWidth="1"/>
    <col min="289" max="289" width="5.28515625" style="1021" customWidth="1"/>
    <col min="290" max="291" width="6.28515625" style="1021" customWidth="1"/>
    <col min="292" max="292" width="7.85546875" style="1021" customWidth="1"/>
    <col min="293" max="293" width="5.7109375" style="1021" customWidth="1"/>
    <col min="294" max="295" width="6.28515625" style="1021" customWidth="1"/>
    <col min="296" max="296" width="7.85546875" style="1021" customWidth="1"/>
    <col min="297" max="297" width="5.7109375" style="1021" customWidth="1"/>
    <col min="298" max="299" width="6.42578125" style="1021" customWidth="1"/>
    <col min="300" max="300" width="7.85546875" style="1021" customWidth="1"/>
    <col min="301" max="303" width="5.7109375" style="1021" customWidth="1"/>
    <col min="304" max="304" width="7.85546875" style="1021" customWidth="1"/>
    <col min="305" max="312" width="6.7109375" style="1021" customWidth="1"/>
    <col min="313" max="529" width="11.42578125" style="1021"/>
    <col min="530" max="530" width="15.5703125" style="1021" bestFit="1" customWidth="1"/>
    <col min="531" max="531" width="11.7109375" style="1021" customWidth="1"/>
    <col min="532" max="532" width="54.7109375" style="1021" customWidth="1"/>
    <col min="533" max="533" width="7.42578125" style="1021" customWidth="1"/>
    <col min="534" max="535" width="6.28515625" style="1021" customWidth="1"/>
    <col min="536" max="536" width="7.42578125" style="1021" customWidth="1"/>
    <col min="537" max="537" width="5.7109375" style="1021" customWidth="1"/>
    <col min="538" max="539" width="6.28515625" style="1021" customWidth="1"/>
    <col min="540" max="540" width="7.85546875" style="1021" customWidth="1"/>
    <col min="541" max="541" width="5.7109375" style="1021" customWidth="1"/>
    <col min="542" max="543" width="6.28515625" style="1021" customWidth="1"/>
    <col min="544" max="544" width="7.85546875" style="1021" customWidth="1"/>
    <col min="545" max="545" width="5.28515625" style="1021" customWidth="1"/>
    <col min="546" max="547" width="6.28515625" style="1021" customWidth="1"/>
    <col min="548" max="548" width="7.85546875" style="1021" customWidth="1"/>
    <col min="549" max="549" width="5.7109375" style="1021" customWidth="1"/>
    <col min="550" max="551" width="6.28515625" style="1021" customWidth="1"/>
    <col min="552" max="552" width="7.85546875" style="1021" customWidth="1"/>
    <col min="553" max="553" width="5.7109375" style="1021" customWidth="1"/>
    <col min="554" max="555" width="6.42578125" style="1021" customWidth="1"/>
    <col min="556" max="556" width="7.85546875" style="1021" customWidth="1"/>
    <col min="557" max="559" width="5.7109375" style="1021" customWidth="1"/>
    <col min="560" max="560" width="7.85546875" style="1021" customWidth="1"/>
    <col min="561" max="568" width="6.7109375" style="1021" customWidth="1"/>
    <col min="569" max="785" width="11.42578125" style="1021"/>
    <col min="786" max="786" width="15.5703125" style="1021" bestFit="1" customWidth="1"/>
    <col min="787" max="787" width="11.7109375" style="1021" customWidth="1"/>
    <col min="788" max="788" width="54.7109375" style="1021" customWidth="1"/>
    <col min="789" max="789" width="7.42578125" style="1021" customWidth="1"/>
    <col min="790" max="791" width="6.28515625" style="1021" customWidth="1"/>
    <col min="792" max="792" width="7.42578125" style="1021" customWidth="1"/>
    <col min="793" max="793" width="5.7109375" style="1021" customWidth="1"/>
    <col min="794" max="795" width="6.28515625" style="1021" customWidth="1"/>
    <col min="796" max="796" width="7.85546875" style="1021" customWidth="1"/>
    <col min="797" max="797" width="5.7109375" style="1021" customWidth="1"/>
    <col min="798" max="799" width="6.28515625" style="1021" customWidth="1"/>
    <col min="800" max="800" width="7.85546875" style="1021" customWidth="1"/>
    <col min="801" max="801" width="5.28515625" style="1021" customWidth="1"/>
    <col min="802" max="803" width="6.28515625" style="1021" customWidth="1"/>
    <col min="804" max="804" width="7.85546875" style="1021" customWidth="1"/>
    <col min="805" max="805" width="5.7109375" style="1021" customWidth="1"/>
    <col min="806" max="807" width="6.28515625" style="1021" customWidth="1"/>
    <col min="808" max="808" width="7.85546875" style="1021" customWidth="1"/>
    <col min="809" max="809" width="5.7109375" style="1021" customWidth="1"/>
    <col min="810" max="811" width="6.42578125" style="1021" customWidth="1"/>
    <col min="812" max="812" width="7.85546875" style="1021" customWidth="1"/>
    <col min="813" max="815" width="5.7109375" style="1021" customWidth="1"/>
    <col min="816" max="816" width="7.85546875" style="1021" customWidth="1"/>
    <col min="817" max="824" width="6.7109375" style="1021" customWidth="1"/>
    <col min="825" max="1041" width="11.42578125" style="1021"/>
    <col min="1042" max="1042" width="15.5703125" style="1021" bestFit="1" customWidth="1"/>
    <col min="1043" max="1043" width="11.7109375" style="1021" customWidth="1"/>
    <col min="1044" max="1044" width="54.7109375" style="1021" customWidth="1"/>
    <col min="1045" max="1045" width="7.42578125" style="1021" customWidth="1"/>
    <col min="1046" max="1047" width="6.28515625" style="1021" customWidth="1"/>
    <col min="1048" max="1048" width="7.42578125" style="1021" customWidth="1"/>
    <col min="1049" max="1049" width="5.7109375" style="1021" customWidth="1"/>
    <col min="1050" max="1051" width="6.28515625" style="1021" customWidth="1"/>
    <col min="1052" max="1052" width="7.85546875" style="1021" customWidth="1"/>
    <col min="1053" max="1053" width="5.7109375" style="1021" customWidth="1"/>
    <col min="1054" max="1055" width="6.28515625" style="1021" customWidth="1"/>
    <col min="1056" max="1056" width="7.85546875" style="1021" customWidth="1"/>
    <col min="1057" max="1057" width="5.28515625" style="1021" customWidth="1"/>
    <col min="1058" max="1059" width="6.28515625" style="1021" customWidth="1"/>
    <col min="1060" max="1060" width="7.85546875" style="1021" customWidth="1"/>
    <col min="1061" max="1061" width="5.7109375" style="1021" customWidth="1"/>
    <col min="1062" max="1063" width="6.28515625" style="1021" customWidth="1"/>
    <col min="1064" max="1064" width="7.85546875" style="1021" customWidth="1"/>
    <col min="1065" max="1065" width="5.7109375" style="1021" customWidth="1"/>
    <col min="1066" max="1067" width="6.42578125" style="1021" customWidth="1"/>
    <col min="1068" max="1068" width="7.85546875" style="1021" customWidth="1"/>
    <col min="1069" max="1071" width="5.7109375" style="1021" customWidth="1"/>
    <col min="1072" max="1072" width="7.85546875" style="1021" customWidth="1"/>
    <col min="1073" max="1080" width="6.7109375" style="1021" customWidth="1"/>
    <col min="1081" max="1297" width="11.42578125" style="1021"/>
    <col min="1298" max="1298" width="15.5703125" style="1021" bestFit="1" customWidth="1"/>
    <col min="1299" max="1299" width="11.7109375" style="1021" customWidth="1"/>
    <col min="1300" max="1300" width="54.7109375" style="1021" customWidth="1"/>
    <col min="1301" max="1301" width="7.42578125" style="1021" customWidth="1"/>
    <col min="1302" max="1303" width="6.28515625" style="1021" customWidth="1"/>
    <col min="1304" max="1304" width="7.42578125" style="1021" customWidth="1"/>
    <col min="1305" max="1305" width="5.7109375" style="1021" customWidth="1"/>
    <col min="1306" max="1307" width="6.28515625" style="1021" customWidth="1"/>
    <col min="1308" max="1308" width="7.85546875" style="1021" customWidth="1"/>
    <col min="1309" max="1309" width="5.7109375" style="1021" customWidth="1"/>
    <col min="1310" max="1311" width="6.28515625" style="1021" customWidth="1"/>
    <col min="1312" max="1312" width="7.85546875" style="1021" customWidth="1"/>
    <col min="1313" max="1313" width="5.28515625" style="1021" customWidth="1"/>
    <col min="1314" max="1315" width="6.28515625" style="1021" customWidth="1"/>
    <col min="1316" max="1316" width="7.85546875" style="1021" customWidth="1"/>
    <col min="1317" max="1317" width="5.7109375" style="1021" customWidth="1"/>
    <col min="1318" max="1319" width="6.28515625" style="1021" customWidth="1"/>
    <col min="1320" max="1320" width="7.85546875" style="1021" customWidth="1"/>
    <col min="1321" max="1321" width="5.7109375" style="1021" customWidth="1"/>
    <col min="1322" max="1323" width="6.42578125" style="1021" customWidth="1"/>
    <col min="1324" max="1324" width="7.85546875" style="1021" customWidth="1"/>
    <col min="1325" max="1327" width="5.7109375" style="1021" customWidth="1"/>
    <col min="1328" max="1328" width="7.85546875" style="1021" customWidth="1"/>
    <col min="1329" max="1336" width="6.7109375" style="1021" customWidth="1"/>
    <col min="1337" max="1553" width="11.42578125" style="1021"/>
    <col min="1554" max="1554" width="15.5703125" style="1021" bestFit="1" customWidth="1"/>
    <col min="1555" max="1555" width="11.7109375" style="1021" customWidth="1"/>
    <col min="1556" max="1556" width="54.7109375" style="1021" customWidth="1"/>
    <col min="1557" max="1557" width="7.42578125" style="1021" customWidth="1"/>
    <col min="1558" max="1559" width="6.28515625" style="1021" customWidth="1"/>
    <col min="1560" max="1560" width="7.42578125" style="1021" customWidth="1"/>
    <col min="1561" max="1561" width="5.7109375" style="1021" customWidth="1"/>
    <col min="1562" max="1563" width="6.28515625" style="1021" customWidth="1"/>
    <col min="1564" max="1564" width="7.85546875" style="1021" customWidth="1"/>
    <col min="1565" max="1565" width="5.7109375" style="1021" customWidth="1"/>
    <col min="1566" max="1567" width="6.28515625" style="1021" customWidth="1"/>
    <col min="1568" max="1568" width="7.85546875" style="1021" customWidth="1"/>
    <col min="1569" max="1569" width="5.28515625" style="1021" customWidth="1"/>
    <col min="1570" max="1571" width="6.28515625" style="1021" customWidth="1"/>
    <col min="1572" max="1572" width="7.85546875" style="1021" customWidth="1"/>
    <col min="1573" max="1573" width="5.7109375" style="1021" customWidth="1"/>
    <col min="1574" max="1575" width="6.28515625" style="1021" customWidth="1"/>
    <col min="1576" max="1576" width="7.85546875" style="1021" customWidth="1"/>
    <col min="1577" max="1577" width="5.7109375" style="1021" customWidth="1"/>
    <col min="1578" max="1579" width="6.42578125" style="1021" customWidth="1"/>
    <col min="1580" max="1580" width="7.85546875" style="1021" customWidth="1"/>
    <col min="1581" max="1583" width="5.7109375" style="1021" customWidth="1"/>
    <col min="1584" max="1584" width="7.85546875" style="1021" customWidth="1"/>
    <col min="1585" max="1592" width="6.7109375" style="1021" customWidth="1"/>
    <col min="1593" max="1809" width="11.42578125" style="1021"/>
    <col min="1810" max="1810" width="15.5703125" style="1021" bestFit="1" customWidth="1"/>
    <col min="1811" max="1811" width="11.7109375" style="1021" customWidth="1"/>
    <col min="1812" max="1812" width="54.7109375" style="1021" customWidth="1"/>
    <col min="1813" max="1813" width="7.42578125" style="1021" customWidth="1"/>
    <col min="1814" max="1815" width="6.28515625" style="1021" customWidth="1"/>
    <col min="1816" max="1816" width="7.42578125" style="1021" customWidth="1"/>
    <col min="1817" max="1817" width="5.7109375" style="1021" customWidth="1"/>
    <col min="1818" max="1819" width="6.28515625" style="1021" customWidth="1"/>
    <col min="1820" max="1820" width="7.85546875" style="1021" customWidth="1"/>
    <col min="1821" max="1821" width="5.7109375" style="1021" customWidth="1"/>
    <col min="1822" max="1823" width="6.28515625" style="1021" customWidth="1"/>
    <col min="1824" max="1824" width="7.85546875" style="1021" customWidth="1"/>
    <col min="1825" max="1825" width="5.28515625" style="1021" customWidth="1"/>
    <col min="1826" max="1827" width="6.28515625" style="1021" customWidth="1"/>
    <col min="1828" max="1828" width="7.85546875" style="1021" customWidth="1"/>
    <col min="1829" max="1829" width="5.7109375" style="1021" customWidth="1"/>
    <col min="1830" max="1831" width="6.28515625" style="1021" customWidth="1"/>
    <col min="1832" max="1832" width="7.85546875" style="1021" customWidth="1"/>
    <col min="1833" max="1833" width="5.7109375" style="1021" customWidth="1"/>
    <col min="1834" max="1835" width="6.42578125" style="1021" customWidth="1"/>
    <col min="1836" max="1836" width="7.85546875" style="1021" customWidth="1"/>
    <col min="1837" max="1839" width="5.7109375" style="1021" customWidth="1"/>
    <col min="1840" max="1840" width="7.85546875" style="1021" customWidth="1"/>
    <col min="1841" max="1848" width="6.7109375" style="1021" customWidth="1"/>
    <col min="1849" max="2065" width="11.42578125" style="1021"/>
    <col min="2066" max="2066" width="15.5703125" style="1021" bestFit="1" customWidth="1"/>
    <col min="2067" max="2067" width="11.7109375" style="1021" customWidth="1"/>
    <col min="2068" max="2068" width="54.7109375" style="1021" customWidth="1"/>
    <col min="2069" max="2069" width="7.42578125" style="1021" customWidth="1"/>
    <col min="2070" max="2071" width="6.28515625" style="1021" customWidth="1"/>
    <col min="2072" max="2072" width="7.42578125" style="1021" customWidth="1"/>
    <col min="2073" max="2073" width="5.7109375" style="1021" customWidth="1"/>
    <col min="2074" max="2075" width="6.28515625" style="1021" customWidth="1"/>
    <col min="2076" max="2076" width="7.85546875" style="1021" customWidth="1"/>
    <col min="2077" max="2077" width="5.7109375" style="1021" customWidth="1"/>
    <col min="2078" max="2079" width="6.28515625" style="1021" customWidth="1"/>
    <col min="2080" max="2080" width="7.85546875" style="1021" customWidth="1"/>
    <col min="2081" max="2081" width="5.28515625" style="1021" customWidth="1"/>
    <col min="2082" max="2083" width="6.28515625" style="1021" customWidth="1"/>
    <col min="2084" max="2084" width="7.85546875" style="1021" customWidth="1"/>
    <col min="2085" max="2085" width="5.7109375" style="1021" customWidth="1"/>
    <col min="2086" max="2087" width="6.28515625" style="1021" customWidth="1"/>
    <col min="2088" max="2088" width="7.85546875" style="1021" customWidth="1"/>
    <col min="2089" max="2089" width="5.7109375" style="1021" customWidth="1"/>
    <col min="2090" max="2091" width="6.42578125" style="1021" customWidth="1"/>
    <col min="2092" max="2092" width="7.85546875" style="1021" customWidth="1"/>
    <col min="2093" max="2095" width="5.7109375" style="1021" customWidth="1"/>
    <col min="2096" max="2096" width="7.85546875" style="1021" customWidth="1"/>
    <col min="2097" max="2104" width="6.7109375" style="1021" customWidth="1"/>
    <col min="2105" max="2321" width="11.42578125" style="1021"/>
    <col min="2322" max="2322" width="15.5703125" style="1021" bestFit="1" customWidth="1"/>
    <col min="2323" max="2323" width="11.7109375" style="1021" customWidth="1"/>
    <col min="2324" max="2324" width="54.7109375" style="1021" customWidth="1"/>
    <col min="2325" max="2325" width="7.42578125" style="1021" customWidth="1"/>
    <col min="2326" max="2327" width="6.28515625" style="1021" customWidth="1"/>
    <col min="2328" max="2328" width="7.42578125" style="1021" customWidth="1"/>
    <col min="2329" max="2329" width="5.7109375" style="1021" customWidth="1"/>
    <col min="2330" max="2331" width="6.28515625" style="1021" customWidth="1"/>
    <col min="2332" max="2332" width="7.85546875" style="1021" customWidth="1"/>
    <col min="2333" max="2333" width="5.7109375" style="1021" customWidth="1"/>
    <col min="2334" max="2335" width="6.28515625" style="1021" customWidth="1"/>
    <col min="2336" max="2336" width="7.85546875" style="1021" customWidth="1"/>
    <col min="2337" max="2337" width="5.28515625" style="1021" customWidth="1"/>
    <col min="2338" max="2339" width="6.28515625" style="1021" customWidth="1"/>
    <col min="2340" max="2340" width="7.85546875" style="1021" customWidth="1"/>
    <col min="2341" max="2341" width="5.7109375" style="1021" customWidth="1"/>
    <col min="2342" max="2343" width="6.28515625" style="1021" customWidth="1"/>
    <col min="2344" max="2344" width="7.85546875" style="1021" customWidth="1"/>
    <col min="2345" max="2345" width="5.7109375" style="1021" customWidth="1"/>
    <col min="2346" max="2347" width="6.42578125" style="1021" customWidth="1"/>
    <col min="2348" max="2348" width="7.85546875" style="1021" customWidth="1"/>
    <col min="2349" max="2351" width="5.7109375" style="1021" customWidth="1"/>
    <col min="2352" max="2352" width="7.85546875" style="1021" customWidth="1"/>
    <col min="2353" max="2360" width="6.7109375" style="1021" customWidth="1"/>
    <col min="2361" max="2577" width="11.42578125" style="1021"/>
    <col min="2578" max="2578" width="15.5703125" style="1021" bestFit="1" customWidth="1"/>
    <col min="2579" max="2579" width="11.7109375" style="1021" customWidth="1"/>
    <col min="2580" max="2580" width="54.7109375" style="1021" customWidth="1"/>
    <col min="2581" max="2581" width="7.42578125" style="1021" customWidth="1"/>
    <col min="2582" max="2583" width="6.28515625" style="1021" customWidth="1"/>
    <col min="2584" max="2584" width="7.42578125" style="1021" customWidth="1"/>
    <col min="2585" max="2585" width="5.7109375" style="1021" customWidth="1"/>
    <col min="2586" max="2587" width="6.28515625" style="1021" customWidth="1"/>
    <col min="2588" max="2588" width="7.85546875" style="1021" customWidth="1"/>
    <col min="2589" max="2589" width="5.7109375" style="1021" customWidth="1"/>
    <col min="2590" max="2591" width="6.28515625" style="1021" customWidth="1"/>
    <col min="2592" max="2592" width="7.85546875" style="1021" customWidth="1"/>
    <col min="2593" max="2593" width="5.28515625" style="1021" customWidth="1"/>
    <col min="2594" max="2595" width="6.28515625" style="1021" customWidth="1"/>
    <col min="2596" max="2596" width="7.85546875" style="1021" customWidth="1"/>
    <col min="2597" max="2597" width="5.7109375" style="1021" customWidth="1"/>
    <col min="2598" max="2599" width="6.28515625" style="1021" customWidth="1"/>
    <col min="2600" max="2600" width="7.85546875" style="1021" customWidth="1"/>
    <col min="2601" max="2601" width="5.7109375" style="1021" customWidth="1"/>
    <col min="2602" max="2603" width="6.42578125" style="1021" customWidth="1"/>
    <col min="2604" max="2604" width="7.85546875" style="1021" customWidth="1"/>
    <col min="2605" max="2607" width="5.7109375" style="1021" customWidth="1"/>
    <col min="2608" max="2608" width="7.85546875" style="1021" customWidth="1"/>
    <col min="2609" max="2616" width="6.7109375" style="1021" customWidth="1"/>
    <col min="2617" max="2833" width="11.42578125" style="1021"/>
    <col min="2834" max="2834" width="15.5703125" style="1021" bestFit="1" customWidth="1"/>
    <col min="2835" max="2835" width="11.7109375" style="1021" customWidth="1"/>
    <col min="2836" max="2836" width="54.7109375" style="1021" customWidth="1"/>
    <col min="2837" max="2837" width="7.42578125" style="1021" customWidth="1"/>
    <col min="2838" max="2839" width="6.28515625" style="1021" customWidth="1"/>
    <col min="2840" max="2840" width="7.42578125" style="1021" customWidth="1"/>
    <col min="2841" max="2841" width="5.7109375" style="1021" customWidth="1"/>
    <col min="2842" max="2843" width="6.28515625" style="1021" customWidth="1"/>
    <col min="2844" max="2844" width="7.85546875" style="1021" customWidth="1"/>
    <col min="2845" max="2845" width="5.7109375" style="1021" customWidth="1"/>
    <col min="2846" max="2847" width="6.28515625" style="1021" customWidth="1"/>
    <col min="2848" max="2848" width="7.85546875" style="1021" customWidth="1"/>
    <col min="2849" max="2849" width="5.28515625" style="1021" customWidth="1"/>
    <col min="2850" max="2851" width="6.28515625" style="1021" customWidth="1"/>
    <col min="2852" max="2852" width="7.85546875" style="1021" customWidth="1"/>
    <col min="2853" max="2853" width="5.7109375" style="1021" customWidth="1"/>
    <col min="2854" max="2855" width="6.28515625" style="1021" customWidth="1"/>
    <col min="2856" max="2856" width="7.85546875" style="1021" customWidth="1"/>
    <col min="2857" max="2857" width="5.7109375" style="1021" customWidth="1"/>
    <col min="2858" max="2859" width="6.42578125" style="1021" customWidth="1"/>
    <col min="2860" max="2860" width="7.85546875" style="1021" customWidth="1"/>
    <col min="2861" max="2863" width="5.7109375" style="1021" customWidth="1"/>
    <col min="2864" max="2864" width="7.85546875" style="1021" customWidth="1"/>
    <col min="2865" max="2872" width="6.7109375" style="1021" customWidth="1"/>
    <col min="2873" max="3089" width="11.42578125" style="1021"/>
    <col min="3090" max="3090" width="15.5703125" style="1021" bestFit="1" customWidth="1"/>
    <col min="3091" max="3091" width="11.7109375" style="1021" customWidth="1"/>
    <col min="3092" max="3092" width="54.7109375" style="1021" customWidth="1"/>
    <col min="3093" max="3093" width="7.42578125" style="1021" customWidth="1"/>
    <col min="3094" max="3095" width="6.28515625" style="1021" customWidth="1"/>
    <col min="3096" max="3096" width="7.42578125" style="1021" customWidth="1"/>
    <col min="3097" max="3097" width="5.7109375" style="1021" customWidth="1"/>
    <col min="3098" max="3099" width="6.28515625" style="1021" customWidth="1"/>
    <col min="3100" max="3100" width="7.85546875" style="1021" customWidth="1"/>
    <col min="3101" max="3101" width="5.7109375" style="1021" customWidth="1"/>
    <col min="3102" max="3103" width="6.28515625" style="1021" customWidth="1"/>
    <col min="3104" max="3104" width="7.85546875" style="1021" customWidth="1"/>
    <col min="3105" max="3105" width="5.28515625" style="1021" customWidth="1"/>
    <col min="3106" max="3107" width="6.28515625" style="1021" customWidth="1"/>
    <col min="3108" max="3108" width="7.85546875" style="1021" customWidth="1"/>
    <col min="3109" max="3109" width="5.7109375" style="1021" customWidth="1"/>
    <col min="3110" max="3111" width="6.28515625" style="1021" customWidth="1"/>
    <col min="3112" max="3112" width="7.85546875" style="1021" customWidth="1"/>
    <col min="3113" max="3113" width="5.7109375" style="1021" customWidth="1"/>
    <col min="3114" max="3115" width="6.42578125" style="1021" customWidth="1"/>
    <col min="3116" max="3116" width="7.85546875" style="1021" customWidth="1"/>
    <col min="3117" max="3119" width="5.7109375" style="1021" customWidth="1"/>
    <col min="3120" max="3120" width="7.85546875" style="1021" customWidth="1"/>
    <col min="3121" max="3128" width="6.7109375" style="1021" customWidth="1"/>
    <col min="3129" max="3345" width="11.42578125" style="1021"/>
    <col min="3346" max="3346" width="15.5703125" style="1021" bestFit="1" customWidth="1"/>
    <col min="3347" max="3347" width="11.7109375" style="1021" customWidth="1"/>
    <col min="3348" max="3348" width="54.7109375" style="1021" customWidth="1"/>
    <col min="3349" max="3349" width="7.42578125" style="1021" customWidth="1"/>
    <col min="3350" max="3351" width="6.28515625" style="1021" customWidth="1"/>
    <col min="3352" max="3352" width="7.42578125" style="1021" customWidth="1"/>
    <col min="3353" max="3353" width="5.7109375" style="1021" customWidth="1"/>
    <col min="3354" max="3355" width="6.28515625" style="1021" customWidth="1"/>
    <col min="3356" max="3356" width="7.85546875" style="1021" customWidth="1"/>
    <col min="3357" max="3357" width="5.7109375" style="1021" customWidth="1"/>
    <col min="3358" max="3359" width="6.28515625" style="1021" customWidth="1"/>
    <col min="3360" max="3360" width="7.85546875" style="1021" customWidth="1"/>
    <col min="3361" max="3361" width="5.28515625" style="1021" customWidth="1"/>
    <col min="3362" max="3363" width="6.28515625" style="1021" customWidth="1"/>
    <col min="3364" max="3364" width="7.85546875" style="1021" customWidth="1"/>
    <col min="3365" max="3365" width="5.7109375" style="1021" customWidth="1"/>
    <col min="3366" max="3367" width="6.28515625" style="1021" customWidth="1"/>
    <col min="3368" max="3368" width="7.85546875" style="1021" customWidth="1"/>
    <col min="3369" max="3369" width="5.7109375" style="1021" customWidth="1"/>
    <col min="3370" max="3371" width="6.42578125" style="1021" customWidth="1"/>
    <col min="3372" max="3372" width="7.85546875" style="1021" customWidth="1"/>
    <col min="3373" max="3375" width="5.7109375" style="1021" customWidth="1"/>
    <col min="3376" max="3376" width="7.85546875" style="1021" customWidth="1"/>
    <col min="3377" max="3384" width="6.7109375" style="1021" customWidth="1"/>
    <col min="3385" max="3601" width="11.42578125" style="1021"/>
    <col min="3602" max="3602" width="15.5703125" style="1021" bestFit="1" customWidth="1"/>
    <col min="3603" max="3603" width="11.7109375" style="1021" customWidth="1"/>
    <col min="3604" max="3604" width="54.7109375" style="1021" customWidth="1"/>
    <col min="3605" max="3605" width="7.42578125" style="1021" customWidth="1"/>
    <col min="3606" max="3607" width="6.28515625" style="1021" customWidth="1"/>
    <col min="3608" max="3608" width="7.42578125" style="1021" customWidth="1"/>
    <col min="3609" max="3609" width="5.7109375" style="1021" customWidth="1"/>
    <col min="3610" max="3611" width="6.28515625" style="1021" customWidth="1"/>
    <col min="3612" max="3612" width="7.85546875" style="1021" customWidth="1"/>
    <col min="3613" max="3613" width="5.7109375" style="1021" customWidth="1"/>
    <col min="3614" max="3615" width="6.28515625" style="1021" customWidth="1"/>
    <col min="3616" max="3616" width="7.85546875" style="1021" customWidth="1"/>
    <col min="3617" max="3617" width="5.28515625" style="1021" customWidth="1"/>
    <col min="3618" max="3619" width="6.28515625" style="1021" customWidth="1"/>
    <col min="3620" max="3620" width="7.85546875" style="1021" customWidth="1"/>
    <col min="3621" max="3621" width="5.7109375" style="1021" customWidth="1"/>
    <col min="3622" max="3623" width="6.28515625" style="1021" customWidth="1"/>
    <col min="3624" max="3624" width="7.85546875" style="1021" customWidth="1"/>
    <col min="3625" max="3625" width="5.7109375" style="1021" customWidth="1"/>
    <col min="3626" max="3627" width="6.42578125" style="1021" customWidth="1"/>
    <col min="3628" max="3628" width="7.85546875" style="1021" customWidth="1"/>
    <col min="3629" max="3631" width="5.7109375" style="1021" customWidth="1"/>
    <col min="3632" max="3632" width="7.85546875" style="1021" customWidth="1"/>
    <col min="3633" max="3640" width="6.7109375" style="1021" customWidth="1"/>
    <col min="3641" max="3857" width="11.42578125" style="1021"/>
    <col min="3858" max="3858" width="15.5703125" style="1021" bestFit="1" customWidth="1"/>
    <col min="3859" max="3859" width="11.7109375" style="1021" customWidth="1"/>
    <col min="3860" max="3860" width="54.7109375" style="1021" customWidth="1"/>
    <col min="3861" max="3861" width="7.42578125" style="1021" customWidth="1"/>
    <col min="3862" max="3863" width="6.28515625" style="1021" customWidth="1"/>
    <col min="3864" max="3864" width="7.42578125" style="1021" customWidth="1"/>
    <col min="3865" max="3865" width="5.7109375" style="1021" customWidth="1"/>
    <col min="3866" max="3867" width="6.28515625" style="1021" customWidth="1"/>
    <col min="3868" max="3868" width="7.85546875" style="1021" customWidth="1"/>
    <col min="3869" max="3869" width="5.7109375" style="1021" customWidth="1"/>
    <col min="3870" max="3871" width="6.28515625" style="1021" customWidth="1"/>
    <col min="3872" max="3872" width="7.85546875" style="1021" customWidth="1"/>
    <col min="3873" max="3873" width="5.28515625" style="1021" customWidth="1"/>
    <col min="3874" max="3875" width="6.28515625" style="1021" customWidth="1"/>
    <col min="3876" max="3876" width="7.85546875" style="1021" customWidth="1"/>
    <col min="3877" max="3877" width="5.7109375" style="1021" customWidth="1"/>
    <col min="3878" max="3879" width="6.28515625" style="1021" customWidth="1"/>
    <col min="3880" max="3880" width="7.85546875" style="1021" customWidth="1"/>
    <col min="3881" max="3881" width="5.7109375" style="1021" customWidth="1"/>
    <col min="3882" max="3883" width="6.42578125" style="1021" customWidth="1"/>
    <col min="3884" max="3884" width="7.85546875" style="1021" customWidth="1"/>
    <col min="3885" max="3887" width="5.7109375" style="1021" customWidth="1"/>
    <col min="3888" max="3888" width="7.85546875" style="1021" customWidth="1"/>
    <col min="3889" max="3896" width="6.7109375" style="1021" customWidth="1"/>
    <col min="3897" max="4113" width="11.42578125" style="1021"/>
    <col min="4114" max="4114" width="15.5703125" style="1021" bestFit="1" customWidth="1"/>
    <col min="4115" max="4115" width="11.7109375" style="1021" customWidth="1"/>
    <col min="4116" max="4116" width="54.7109375" style="1021" customWidth="1"/>
    <col min="4117" max="4117" width="7.42578125" style="1021" customWidth="1"/>
    <col min="4118" max="4119" width="6.28515625" style="1021" customWidth="1"/>
    <col min="4120" max="4120" width="7.42578125" style="1021" customWidth="1"/>
    <col min="4121" max="4121" width="5.7109375" style="1021" customWidth="1"/>
    <col min="4122" max="4123" width="6.28515625" style="1021" customWidth="1"/>
    <col min="4124" max="4124" width="7.85546875" style="1021" customWidth="1"/>
    <col min="4125" max="4125" width="5.7109375" style="1021" customWidth="1"/>
    <col min="4126" max="4127" width="6.28515625" style="1021" customWidth="1"/>
    <col min="4128" max="4128" width="7.85546875" style="1021" customWidth="1"/>
    <col min="4129" max="4129" width="5.28515625" style="1021" customWidth="1"/>
    <col min="4130" max="4131" width="6.28515625" style="1021" customWidth="1"/>
    <col min="4132" max="4132" width="7.85546875" style="1021" customWidth="1"/>
    <col min="4133" max="4133" width="5.7109375" style="1021" customWidth="1"/>
    <col min="4134" max="4135" width="6.28515625" style="1021" customWidth="1"/>
    <col min="4136" max="4136" width="7.85546875" style="1021" customWidth="1"/>
    <col min="4137" max="4137" width="5.7109375" style="1021" customWidth="1"/>
    <col min="4138" max="4139" width="6.42578125" style="1021" customWidth="1"/>
    <col min="4140" max="4140" width="7.85546875" style="1021" customWidth="1"/>
    <col min="4141" max="4143" width="5.7109375" style="1021" customWidth="1"/>
    <col min="4144" max="4144" width="7.85546875" style="1021" customWidth="1"/>
    <col min="4145" max="4152" width="6.7109375" style="1021" customWidth="1"/>
    <col min="4153" max="4369" width="11.42578125" style="1021"/>
    <col min="4370" max="4370" width="15.5703125" style="1021" bestFit="1" customWidth="1"/>
    <col min="4371" max="4371" width="11.7109375" style="1021" customWidth="1"/>
    <col min="4372" max="4372" width="54.7109375" style="1021" customWidth="1"/>
    <col min="4373" max="4373" width="7.42578125" style="1021" customWidth="1"/>
    <col min="4374" max="4375" width="6.28515625" style="1021" customWidth="1"/>
    <col min="4376" max="4376" width="7.42578125" style="1021" customWidth="1"/>
    <col min="4377" max="4377" width="5.7109375" style="1021" customWidth="1"/>
    <col min="4378" max="4379" width="6.28515625" style="1021" customWidth="1"/>
    <col min="4380" max="4380" width="7.85546875" style="1021" customWidth="1"/>
    <col min="4381" max="4381" width="5.7109375" style="1021" customWidth="1"/>
    <col min="4382" max="4383" width="6.28515625" style="1021" customWidth="1"/>
    <col min="4384" max="4384" width="7.85546875" style="1021" customWidth="1"/>
    <col min="4385" max="4385" width="5.28515625" style="1021" customWidth="1"/>
    <col min="4386" max="4387" width="6.28515625" style="1021" customWidth="1"/>
    <col min="4388" max="4388" width="7.85546875" style="1021" customWidth="1"/>
    <col min="4389" max="4389" width="5.7109375" style="1021" customWidth="1"/>
    <col min="4390" max="4391" width="6.28515625" style="1021" customWidth="1"/>
    <col min="4392" max="4392" width="7.85546875" style="1021" customWidth="1"/>
    <col min="4393" max="4393" width="5.7109375" style="1021" customWidth="1"/>
    <col min="4394" max="4395" width="6.42578125" style="1021" customWidth="1"/>
    <col min="4396" max="4396" width="7.85546875" style="1021" customWidth="1"/>
    <col min="4397" max="4399" width="5.7109375" style="1021" customWidth="1"/>
    <col min="4400" max="4400" width="7.85546875" style="1021" customWidth="1"/>
    <col min="4401" max="4408" width="6.7109375" style="1021" customWidth="1"/>
    <col min="4409" max="4625" width="11.42578125" style="1021"/>
    <col min="4626" max="4626" width="15.5703125" style="1021" bestFit="1" customWidth="1"/>
    <col min="4627" max="4627" width="11.7109375" style="1021" customWidth="1"/>
    <col min="4628" max="4628" width="54.7109375" style="1021" customWidth="1"/>
    <col min="4629" max="4629" width="7.42578125" style="1021" customWidth="1"/>
    <col min="4630" max="4631" width="6.28515625" style="1021" customWidth="1"/>
    <col min="4632" max="4632" width="7.42578125" style="1021" customWidth="1"/>
    <col min="4633" max="4633" width="5.7109375" style="1021" customWidth="1"/>
    <col min="4634" max="4635" width="6.28515625" style="1021" customWidth="1"/>
    <col min="4636" max="4636" width="7.85546875" style="1021" customWidth="1"/>
    <col min="4637" max="4637" width="5.7109375" style="1021" customWidth="1"/>
    <col min="4638" max="4639" width="6.28515625" style="1021" customWidth="1"/>
    <col min="4640" max="4640" width="7.85546875" style="1021" customWidth="1"/>
    <col min="4641" max="4641" width="5.28515625" style="1021" customWidth="1"/>
    <col min="4642" max="4643" width="6.28515625" style="1021" customWidth="1"/>
    <col min="4644" max="4644" width="7.85546875" style="1021" customWidth="1"/>
    <col min="4645" max="4645" width="5.7109375" style="1021" customWidth="1"/>
    <col min="4646" max="4647" width="6.28515625" style="1021" customWidth="1"/>
    <col min="4648" max="4648" width="7.85546875" style="1021" customWidth="1"/>
    <col min="4649" max="4649" width="5.7109375" style="1021" customWidth="1"/>
    <col min="4650" max="4651" width="6.42578125" style="1021" customWidth="1"/>
    <col min="4652" max="4652" width="7.85546875" style="1021" customWidth="1"/>
    <col min="4653" max="4655" width="5.7109375" style="1021" customWidth="1"/>
    <col min="4656" max="4656" width="7.85546875" style="1021" customWidth="1"/>
    <col min="4657" max="4664" width="6.7109375" style="1021" customWidth="1"/>
    <col min="4665" max="4881" width="11.42578125" style="1021"/>
    <col min="4882" max="4882" width="15.5703125" style="1021" bestFit="1" customWidth="1"/>
    <col min="4883" max="4883" width="11.7109375" style="1021" customWidth="1"/>
    <col min="4884" max="4884" width="54.7109375" style="1021" customWidth="1"/>
    <col min="4885" max="4885" width="7.42578125" style="1021" customWidth="1"/>
    <col min="4886" max="4887" width="6.28515625" style="1021" customWidth="1"/>
    <col min="4888" max="4888" width="7.42578125" style="1021" customWidth="1"/>
    <col min="4889" max="4889" width="5.7109375" style="1021" customWidth="1"/>
    <col min="4890" max="4891" width="6.28515625" style="1021" customWidth="1"/>
    <col min="4892" max="4892" width="7.85546875" style="1021" customWidth="1"/>
    <col min="4893" max="4893" width="5.7109375" style="1021" customWidth="1"/>
    <col min="4894" max="4895" width="6.28515625" style="1021" customWidth="1"/>
    <col min="4896" max="4896" width="7.85546875" style="1021" customWidth="1"/>
    <col min="4897" max="4897" width="5.28515625" style="1021" customWidth="1"/>
    <col min="4898" max="4899" width="6.28515625" style="1021" customWidth="1"/>
    <col min="4900" max="4900" width="7.85546875" style="1021" customWidth="1"/>
    <col min="4901" max="4901" width="5.7109375" style="1021" customWidth="1"/>
    <col min="4902" max="4903" width="6.28515625" style="1021" customWidth="1"/>
    <col min="4904" max="4904" width="7.85546875" style="1021" customWidth="1"/>
    <col min="4905" max="4905" width="5.7109375" style="1021" customWidth="1"/>
    <col min="4906" max="4907" width="6.42578125" style="1021" customWidth="1"/>
    <col min="4908" max="4908" width="7.85546875" style="1021" customWidth="1"/>
    <col min="4909" max="4911" width="5.7109375" style="1021" customWidth="1"/>
    <col min="4912" max="4912" width="7.85546875" style="1021" customWidth="1"/>
    <col min="4913" max="4920" width="6.7109375" style="1021" customWidth="1"/>
    <col min="4921" max="5137" width="11.42578125" style="1021"/>
    <col min="5138" max="5138" width="15.5703125" style="1021" bestFit="1" customWidth="1"/>
    <col min="5139" max="5139" width="11.7109375" style="1021" customWidth="1"/>
    <col min="5140" max="5140" width="54.7109375" style="1021" customWidth="1"/>
    <col min="5141" max="5141" width="7.42578125" style="1021" customWidth="1"/>
    <col min="5142" max="5143" width="6.28515625" style="1021" customWidth="1"/>
    <col min="5144" max="5144" width="7.42578125" style="1021" customWidth="1"/>
    <col min="5145" max="5145" width="5.7109375" style="1021" customWidth="1"/>
    <col min="5146" max="5147" width="6.28515625" style="1021" customWidth="1"/>
    <col min="5148" max="5148" width="7.85546875" style="1021" customWidth="1"/>
    <col min="5149" max="5149" width="5.7109375" style="1021" customWidth="1"/>
    <col min="5150" max="5151" width="6.28515625" style="1021" customWidth="1"/>
    <col min="5152" max="5152" width="7.85546875" style="1021" customWidth="1"/>
    <col min="5153" max="5153" width="5.28515625" style="1021" customWidth="1"/>
    <col min="5154" max="5155" width="6.28515625" style="1021" customWidth="1"/>
    <col min="5156" max="5156" width="7.85546875" style="1021" customWidth="1"/>
    <col min="5157" max="5157" width="5.7109375" style="1021" customWidth="1"/>
    <col min="5158" max="5159" width="6.28515625" style="1021" customWidth="1"/>
    <col min="5160" max="5160" width="7.85546875" style="1021" customWidth="1"/>
    <col min="5161" max="5161" width="5.7109375" style="1021" customWidth="1"/>
    <col min="5162" max="5163" width="6.42578125" style="1021" customWidth="1"/>
    <col min="5164" max="5164" width="7.85546875" style="1021" customWidth="1"/>
    <col min="5165" max="5167" width="5.7109375" style="1021" customWidth="1"/>
    <col min="5168" max="5168" width="7.85546875" style="1021" customWidth="1"/>
    <col min="5169" max="5176" width="6.7109375" style="1021" customWidth="1"/>
    <col min="5177" max="5393" width="11.42578125" style="1021"/>
    <col min="5394" max="5394" width="15.5703125" style="1021" bestFit="1" customWidth="1"/>
    <col min="5395" max="5395" width="11.7109375" style="1021" customWidth="1"/>
    <col min="5396" max="5396" width="54.7109375" style="1021" customWidth="1"/>
    <col min="5397" max="5397" width="7.42578125" style="1021" customWidth="1"/>
    <col min="5398" max="5399" width="6.28515625" style="1021" customWidth="1"/>
    <col min="5400" max="5400" width="7.42578125" style="1021" customWidth="1"/>
    <col min="5401" max="5401" width="5.7109375" style="1021" customWidth="1"/>
    <col min="5402" max="5403" width="6.28515625" style="1021" customWidth="1"/>
    <col min="5404" max="5404" width="7.85546875" style="1021" customWidth="1"/>
    <col min="5405" max="5405" width="5.7109375" style="1021" customWidth="1"/>
    <col min="5406" max="5407" width="6.28515625" style="1021" customWidth="1"/>
    <col min="5408" max="5408" width="7.85546875" style="1021" customWidth="1"/>
    <col min="5409" max="5409" width="5.28515625" style="1021" customWidth="1"/>
    <col min="5410" max="5411" width="6.28515625" style="1021" customWidth="1"/>
    <col min="5412" max="5412" width="7.85546875" style="1021" customWidth="1"/>
    <col min="5413" max="5413" width="5.7109375" style="1021" customWidth="1"/>
    <col min="5414" max="5415" width="6.28515625" style="1021" customWidth="1"/>
    <col min="5416" max="5416" width="7.85546875" style="1021" customWidth="1"/>
    <col min="5417" max="5417" width="5.7109375" style="1021" customWidth="1"/>
    <col min="5418" max="5419" width="6.42578125" style="1021" customWidth="1"/>
    <col min="5420" max="5420" width="7.85546875" style="1021" customWidth="1"/>
    <col min="5421" max="5423" width="5.7109375" style="1021" customWidth="1"/>
    <col min="5424" max="5424" width="7.85546875" style="1021" customWidth="1"/>
    <col min="5425" max="5432" width="6.7109375" style="1021" customWidth="1"/>
    <col min="5433" max="5649" width="11.42578125" style="1021"/>
    <col min="5650" max="5650" width="15.5703125" style="1021" bestFit="1" customWidth="1"/>
    <col min="5651" max="5651" width="11.7109375" style="1021" customWidth="1"/>
    <col min="5652" max="5652" width="54.7109375" style="1021" customWidth="1"/>
    <col min="5653" max="5653" width="7.42578125" style="1021" customWidth="1"/>
    <col min="5654" max="5655" width="6.28515625" style="1021" customWidth="1"/>
    <col min="5656" max="5656" width="7.42578125" style="1021" customWidth="1"/>
    <col min="5657" max="5657" width="5.7109375" style="1021" customWidth="1"/>
    <col min="5658" max="5659" width="6.28515625" style="1021" customWidth="1"/>
    <col min="5660" max="5660" width="7.85546875" style="1021" customWidth="1"/>
    <col min="5661" max="5661" width="5.7109375" style="1021" customWidth="1"/>
    <col min="5662" max="5663" width="6.28515625" style="1021" customWidth="1"/>
    <col min="5664" max="5664" width="7.85546875" style="1021" customWidth="1"/>
    <col min="5665" max="5665" width="5.28515625" style="1021" customWidth="1"/>
    <col min="5666" max="5667" width="6.28515625" style="1021" customWidth="1"/>
    <col min="5668" max="5668" width="7.85546875" style="1021" customWidth="1"/>
    <col min="5669" max="5669" width="5.7109375" style="1021" customWidth="1"/>
    <col min="5670" max="5671" width="6.28515625" style="1021" customWidth="1"/>
    <col min="5672" max="5672" width="7.85546875" style="1021" customWidth="1"/>
    <col min="5673" max="5673" width="5.7109375" style="1021" customWidth="1"/>
    <col min="5674" max="5675" width="6.42578125" style="1021" customWidth="1"/>
    <col min="5676" max="5676" width="7.85546875" style="1021" customWidth="1"/>
    <col min="5677" max="5679" width="5.7109375" style="1021" customWidth="1"/>
    <col min="5680" max="5680" width="7.85546875" style="1021" customWidth="1"/>
    <col min="5681" max="5688" width="6.7109375" style="1021" customWidth="1"/>
    <col min="5689" max="5905" width="11.42578125" style="1021"/>
    <col min="5906" max="5906" width="15.5703125" style="1021" bestFit="1" customWidth="1"/>
    <col min="5907" max="5907" width="11.7109375" style="1021" customWidth="1"/>
    <col min="5908" max="5908" width="54.7109375" style="1021" customWidth="1"/>
    <col min="5909" max="5909" width="7.42578125" style="1021" customWidth="1"/>
    <col min="5910" max="5911" width="6.28515625" style="1021" customWidth="1"/>
    <col min="5912" max="5912" width="7.42578125" style="1021" customWidth="1"/>
    <col min="5913" max="5913" width="5.7109375" style="1021" customWidth="1"/>
    <col min="5914" max="5915" width="6.28515625" style="1021" customWidth="1"/>
    <col min="5916" max="5916" width="7.85546875" style="1021" customWidth="1"/>
    <col min="5917" max="5917" width="5.7109375" style="1021" customWidth="1"/>
    <col min="5918" max="5919" width="6.28515625" style="1021" customWidth="1"/>
    <col min="5920" max="5920" width="7.85546875" style="1021" customWidth="1"/>
    <col min="5921" max="5921" width="5.28515625" style="1021" customWidth="1"/>
    <col min="5922" max="5923" width="6.28515625" style="1021" customWidth="1"/>
    <col min="5924" max="5924" width="7.85546875" style="1021" customWidth="1"/>
    <col min="5925" max="5925" width="5.7109375" style="1021" customWidth="1"/>
    <col min="5926" max="5927" width="6.28515625" style="1021" customWidth="1"/>
    <col min="5928" max="5928" width="7.85546875" style="1021" customWidth="1"/>
    <col min="5929" max="5929" width="5.7109375" style="1021" customWidth="1"/>
    <col min="5930" max="5931" width="6.42578125" style="1021" customWidth="1"/>
    <col min="5932" max="5932" width="7.85546875" style="1021" customWidth="1"/>
    <col min="5933" max="5935" width="5.7109375" style="1021" customWidth="1"/>
    <col min="5936" max="5936" width="7.85546875" style="1021" customWidth="1"/>
    <col min="5937" max="5944" width="6.7109375" style="1021" customWidth="1"/>
    <col min="5945" max="6161" width="11.42578125" style="1021"/>
    <col min="6162" max="6162" width="15.5703125" style="1021" bestFit="1" customWidth="1"/>
    <col min="6163" max="6163" width="11.7109375" style="1021" customWidth="1"/>
    <col min="6164" max="6164" width="54.7109375" style="1021" customWidth="1"/>
    <col min="6165" max="6165" width="7.42578125" style="1021" customWidth="1"/>
    <col min="6166" max="6167" width="6.28515625" style="1021" customWidth="1"/>
    <col min="6168" max="6168" width="7.42578125" style="1021" customWidth="1"/>
    <col min="6169" max="6169" width="5.7109375" style="1021" customWidth="1"/>
    <col min="6170" max="6171" width="6.28515625" style="1021" customWidth="1"/>
    <col min="6172" max="6172" width="7.85546875" style="1021" customWidth="1"/>
    <col min="6173" max="6173" width="5.7109375" style="1021" customWidth="1"/>
    <col min="6174" max="6175" width="6.28515625" style="1021" customWidth="1"/>
    <col min="6176" max="6176" width="7.85546875" style="1021" customWidth="1"/>
    <col min="6177" max="6177" width="5.28515625" style="1021" customWidth="1"/>
    <col min="6178" max="6179" width="6.28515625" style="1021" customWidth="1"/>
    <col min="6180" max="6180" width="7.85546875" style="1021" customWidth="1"/>
    <col min="6181" max="6181" width="5.7109375" style="1021" customWidth="1"/>
    <col min="6182" max="6183" width="6.28515625" style="1021" customWidth="1"/>
    <col min="6184" max="6184" width="7.85546875" style="1021" customWidth="1"/>
    <col min="6185" max="6185" width="5.7109375" style="1021" customWidth="1"/>
    <col min="6186" max="6187" width="6.42578125" style="1021" customWidth="1"/>
    <col min="6188" max="6188" width="7.85546875" style="1021" customWidth="1"/>
    <col min="6189" max="6191" width="5.7109375" style="1021" customWidth="1"/>
    <col min="6192" max="6192" width="7.85546875" style="1021" customWidth="1"/>
    <col min="6193" max="6200" width="6.7109375" style="1021" customWidth="1"/>
    <col min="6201" max="6417" width="11.42578125" style="1021"/>
    <col min="6418" max="6418" width="15.5703125" style="1021" bestFit="1" customWidth="1"/>
    <col min="6419" max="6419" width="11.7109375" style="1021" customWidth="1"/>
    <col min="6420" max="6420" width="54.7109375" style="1021" customWidth="1"/>
    <col min="6421" max="6421" width="7.42578125" style="1021" customWidth="1"/>
    <col min="6422" max="6423" width="6.28515625" style="1021" customWidth="1"/>
    <col min="6424" max="6424" width="7.42578125" style="1021" customWidth="1"/>
    <col min="6425" max="6425" width="5.7109375" style="1021" customWidth="1"/>
    <col min="6426" max="6427" width="6.28515625" style="1021" customWidth="1"/>
    <col min="6428" max="6428" width="7.85546875" style="1021" customWidth="1"/>
    <col min="6429" max="6429" width="5.7109375" style="1021" customWidth="1"/>
    <col min="6430" max="6431" width="6.28515625" style="1021" customWidth="1"/>
    <col min="6432" max="6432" width="7.85546875" style="1021" customWidth="1"/>
    <col min="6433" max="6433" width="5.28515625" style="1021" customWidth="1"/>
    <col min="6434" max="6435" width="6.28515625" style="1021" customWidth="1"/>
    <col min="6436" max="6436" width="7.85546875" style="1021" customWidth="1"/>
    <col min="6437" max="6437" width="5.7109375" style="1021" customWidth="1"/>
    <col min="6438" max="6439" width="6.28515625" style="1021" customWidth="1"/>
    <col min="6440" max="6440" width="7.85546875" style="1021" customWidth="1"/>
    <col min="6441" max="6441" width="5.7109375" style="1021" customWidth="1"/>
    <col min="6442" max="6443" width="6.42578125" style="1021" customWidth="1"/>
    <col min="6444" max="6444" width="7.85546875" style="1021" customWidth="1"/>
    <col min="6445" max="6447" width="5.7109375" style="1021" customWidth="1"/>
    <col min="6448" max="6448" width="7.85546875" style="1021" customWidth="1"/>
    <col min="6449" max="6456" width="6.7109375" style="1021" customWidth="1"/>
    <col min="6457" max="6673" width="11.42578125" style="1021"/>
    <col min="6674" max="6674" width="15.5703125" style="1021" bestFit="1" customWidth="1"/>
    <col min="6675" max="6675" width="11.7109375" style="1021" customWidth="1"/>
    <col min="6676" max="6676" width="54.7109375" style="1021" customWidth="1"/>
    <col min="6677" max="6677" width="7.42578125" style="1021" customWidth="1"/>
    <col min="6678" max="6679" width="6.28515625" style="1021" customWidth="1"/>
    <col min="6680" max="6680" width="7.42578125" style="1021" customWidth="1"/>
    <col min="6681" max="6681" width="5.7109375" style="1021" customWidth="1"/>
    <col min="6682" max="6683" width="6.28515625" style="1021" customWidth="1"/>
    <col min="6684" max="6684" width="7.85546875" style="1021" customWidth="1"/>
    <col min="6685" max="6685" width="5.7109375" style="1021" customWidth="1"/>
    <col min="6686" max="6687" width="6.28515625" style="1021" customWidth="1"/>
    <col min="6688" max="6688" width="7.85546875" style="1021" customWidth="1"/>
    <col min="6689" max="6689" width="5.28515625" style="1021" customWidth="1"/>
    <col min="6690" max="6691" width="6.28515625" style="1021" customWidth="1"/>
    <col min="6692" max="6692" width="7.85546875" style="1021" customWidth="1"/>
    <col min="6693" max="6693" width="5.7109375" style="1021" customWidth="1"/>
    <col min="6694" max="6695" width="6.28515625" style="1021" customWidth="1"/>
    <col min="6696" max="6696" width="7.85546875" style="1021" customWidth="1"/>
    <col min="6697" max="6697" width="5.7109375" style="1021" customWidth="1"/>
    <col min="6698" max="6699" width="6.42578125" style="1021" customWidth="1"/>
    <col min="6700" max="6700" width="7.85546875" style="1021" customWidth="1"/>
    <col min="6701" max="6703" width="5.7109375" style="1021" customWidth="1"/>
    <col min="6704" max="6704" width="7.85546875" style="1021" customWidth="1"/>
    <col min="6705" max="6712" width="6.7109375" style="1021" customWidth="1"/>
    <col min="6713" max="6929" width="11.42578125" style="1021"/>
    <col min="6930" max="6930" width="15.5703125" style="1021" bestFit="1" customWidth="1"/>
    <col min="6931" max="6931" width="11.7109375" style="1021" customWidth="1"/>
    <col min="6932" max="6932" width="54.7109375" style="1021" customWidth="1"/>
    <col min="6933" max="6933" width="7.42578125" style="1021" customWidth="1"/>
    <col min="6934" max="6935" width="6.28515625" style="1021" customWidth="1"/>
    <col min="6936" max="6936" width="7.42578125" style="1021" customWidth="1"/>
    <col min="6937" max="6937" width="5.7109375" style="1021" customWidth="1"/>
    <col min="6938" max="6939" width="6.28515625" style="1021" customWidth="1"/>
    <col min="6940" max="6940" width="7.85546875" style="1021" customWidth="1"/>
    <col min="6941" max="6941" width="5.7109375" style="1021" customWidth="1"/>
    <col min="6942" max="6943" width="6.28515625" style="1021" customWidth="1"/>
    <col min="6944" max="6944" width="7.85546875" style="1021" customWidth="1"/>
    <col min="6945" max="6945" width="5.28515625" style="1021" customWidth="1"/>
    <col min="6946" max="6947" width="6.28515625" style="1021" customWidth="1"/>
    <col min="6948" max="6948" width="7.85546875" style="1021" customWidth="1"/>
    <col min="6949" max="6949" width="5.7109375" style="1021" customWidth="1"/>
    <col min="6950" max="6951" width="6.28515625" style="1021" customWidth="1"/>
    <col min="6952" max="6952" width="7.85546875" style="1021" customWidth="1"/>
    <col min="6953" max="6953" width="5.7109375" style="1021" customWidth="1"/>
    <col min="6954" max="6955" width="6.42578125" style="1021" customWidth="1"/>
    <col min="6956" max="6956" width="7.85546875" style="1021" customWidth="1"/>
    <col min="6957" max="6959" width="5.7109375" style="1021" customWidth="1"/>
    <col min="6960" max="6960" width="7.85546875" style="1021" customWidth="1"/>
    <col min="6961" max="6968" width="6.7109375" style="1021" customWidth="1"/>
    <col min="6969" max="7185" width="11.42578125" style="1021"/>
    <col min="7186" max="7186" width="15.5703125" style="1021" bestFit="1" customWidth="1"/>
    <col min="7187" max="7187" width="11.7109375" style="1021" customWidth="1"/>
    <col min="7188" max="7188" width="54.7109375" style="1021" customWidth="1"/>
    <col min="7189" max="7189" width="7.42578125" style="1021" customWidth="1"/>
    <col min="7190" max="7191" width="6.28515625" style="1021" customWidth="1"/>
    <col min="7192" max="7192" width="7.42578125" style="1021" customWidth="1"/>
    <col min="7193" max="7193" width="5.7109375" style="1021" customWidth="1"/>
    <col min="7194" max="7195" width="6.28515625" style="1021" customWidth="1"/>
    <col min="7196" max="7196" width="7.85546875" style="1021" customWidth="1"/>
    <col min="7197" max="7197" width="5.7109375" style="1021" customWidth="1"/>
    <col min="7198" max="7199" width="6.28515625" style="1021" customWidth="1"/>
    <col min="7200" max="7200" width="7.85546875" style="1021" customWidth="1"/>
    <col min="7201" max="7201" width="5.28515625" style="1021" customWidth="1"/>
    <col min="7202" max="7203" width="6.28515625" style="1021" customWidth="1"/>
    <col min="7204" max="7204" width="7.85546875" style="1021" customWidth="1"/>
    <col min="7205" max="7205" width="5.7109375" style="1021" customWidth="1"/>
    <col min="7206" max="7207" width="6.28515625" style="1021" customWidth="1"/>
    <col min="7208" max="7208" width="7.85546875" style="1021" customWidth="1"/>
    <col min="7209" max="7209" width="5.7109375" style="1021" customWidth="1"/>
    <col min="7210" max="7211" width="6.42578125" style="1021" customWidth="1"/>
    <col min="7212" max="7212" width="7.85546875" style="1021" customWidth="1"/>
    <col min="7213" max="7215" width="5.7109375" style="1021" customWidth="1"/>
    <col min="7216" max="7216" width="7.85546875" style="1021" customWidth="1"/>
    <col min="7217" max="7224" width="6.7109375" style="1021" customWidth="1"/>
    <col min="7225" max="7441" width="11.42578125" style="1021"/>
    <col min="7442" max="7442" width="15.5703125" style="1021" bestFit="1" customWidth="1"/>
    <col min="7443" max="7443" width="11.7109375" style="1021" customWidth="1"/>
    <col min="7444" max="7444" width="54.7109375" style="1021" customWidth="1"/>
    <col min="7445" max="7445" width="7.42578125" style="1021" customWidth="1"/>
    <col min="7446" max="7447" width="6.28515625" style="1021" customWidth="1"/>
    <col min="7448" max="7448" width="7.42578125" style="1021" customWidth="1"/>
    <col min="7449" max="7449" width="5.7109375" style="1021" customWidth="1"/>
    <col min="7450" max="7451" width="6.28515625" style="1021" customWidth="1"/>
    <col min="7452" max="7452" width="7.85546875" style="1021" customWidth="1"/>
    <col min="7453" max="7453" width="5.7109375" style="1021" customWidth="1"/>
    <col min="7454" max="7455" width="6.28515625" style="1021" customWidth="1"/>
    <col min="7456" max="7456" width="7.85546875" style="1021" customWidth="1"/>
    <col min="7457" max="7457" width="5.28515625" style="1021" customWidth="1"/>
    <col min="7458" max="7459" width="6.28515625" style="1021" customWidth="1"/>
    <col min="7460" max="7460" width="7.85546875" style="1021" customWidth="1"/>
    <col min="7461" max="7461" width="5.7109375" style="1021" customWidth="1"/>
    <col min="7462" max="7463" width="6.28515625" style="1021" customWidth="1"/>
    <col min="7464" max="7464" width="7.85546875" style="1021" customWidth="1"/>
    <col min="7465" max="7465" width="5.7109375" style="1021" customWidth="1"/>
    <col min="7466" max="7467" width="6.42578125" style="1021" customWidth="1"/>
    <col min="7468" max="7468" width="7.85546875" style="1021" customWidth="1"/>
    <col min="7469" max="7471" width="5.7109375" style="1021" customWidth="1"/>
    <col min="7472" max="7472" width="7.85546875" style="1021" customWidth="1"/>
    <col min="7473" max="7480" width="6.7109375" style="1021" customWidth="1"/>
    <col min="7481" max="7697" width="11.42578125" style="1021"/>
    <col min="7698" max="7698" width="15.5703125" style="1021" bestFit="1" customWidth="1"/>
    <col min="7699" max="7699" width="11.7109375" style="1021" customWidth="1"/>
    <col min="7700" max="7700" width="54.7109375" style="1021" customWidth="1"/>
    <col min="7701" max="7701" width="7.42578125" style="1021" customWidth="1"/>
    <col min="7702" max="7703" width="6.28515625" style="1021" customWidth="1"/>
    <col min="7704" max="7704" width="7.42578125" style="1021" customWidth="1"/>
    <col min="7705" max="7705" width="5.7109375" style="1021" customWidth="1"/>
    <col min="7706" max="7707" width="6.28515625" style="1021" customWidth="1"/>
    <col min="7708" max="7708" width="7.85546875" style="1021" customWidth="1"/>
    <col min="7709" max="7709" width="5.7109375" style="1021" customWidth="1"/>
    <col min="7710" max="7711" width="6.28515625" style="1021" customWidth="1"/>
    <col min="7712" max="7712" width="7.85546875" style="1021" customWidth="1"/>
    <col min="7713" max="7713" width="5.28515625" style="1021" customWidth="1"/>
    <col min="7714" max="7715" width="6.28515625" style="1021" customWidth="1"/>
    <col min="7716" max="7716" width="7.85546875" style="1021" customWidth="1"/>
    <col min="7717" max="7717" width="5.7109375" style="1021" customWidth="1"/>
    <col min="7718" max="7719" width="6.28515625" style="1021" customWidth="1"/>
    <col min="7720" max="7720" width="7.85546875" style="1021" customWidth="1"/>
    <col min="7721" max="7721" width="5.7109375" style="1021" customWidth="1"/>
    <col min="7722" max="7723" width="6.42578125" style="1021" customWidth="1"/>
    <col min="7724" max="7724" width="7.85546875" style="1021" customWidth="1"/>
    <col min="7725" max="7727" width="5.7109375" style="1021" customWidth="1"/>
    <col min="7728" max="7728" width="7.85546875" style="1021" customWidth="1"/>
    <col min="7729" max="7736" width="6.7109375" style="1021" customWidth="1"/>
    <col min="7737" max="7953" width="11.42578125" style="1021"/>
    <col min="7954" max="7954" width="15.5703125" style="1021" bestFit="1" customWidth="1"/>
    <col min="7955" max="7955" width="11.7109375" style="1021" customWidth="1"/>
    <col min="7956" max="7956" width="54.7109375" style="1021" customWidth="1"/>
    <col min="7957" max="7957" width="7.42578125" style="1021" customWidth="1"/>
    <col min="7958" max="7959" width="6.28515625" style="1021" customWidth="1"/>
    <col min="7960" max="7960" width="7.42578125" style="1021" customWidth="1"/>
    <col min="7961" max="7961" width="5.7109375" style="1021" customWidth="1"/>
    <col min="7962" max="7963" width="6.28515625" style="1021" customWidth="1"/>
    <col min="7964" max="7964" width="7.85546875" style="1021" customWidth="1"/>
    <col min="7965" max="7965" width="5.7109375" style="1021" customWidth="1"/>
    <col min="7966" max="7967" width="6.28515625" style="1021" customWidth="1"/>
    <col min="7968" max="7968" width="7.85546875" style="1021" customWidth="1"/>
    <col min="7969" max="7969" width="5.28515625" style="1021" customWidth="1"/>
    <col min="7970" max="7971" width="6.28515625" style="1021" customWidth="1"/>
    <col min="7972" max="7972" width="7.85546875" style="1021" customWidth="1"/>
    <col min="7973" max="7973" width="5.7109375" style="1021" customWidth="1"/>
    <col min="7974" max="7975" width="6.28515625" style="1021" customWidth="1"/>
    <col min="7976" max="7976" width="7.85546875" style="1021" customWidth="1"/>
    <col min="7977" max="7977" width="5.7109375" style="1021" customWidth="1"/>
    <col min="7978" max="7979" width="6.42578125" style="1021" customWidth="1"/>
    <col min="7980" max="7980" width="7.85546875" style="1021" customWidth="1"/>
    <col min="7981" max="7983" width="5.7109375" style="1021" customWidth="1"/>
    <col min="7984" max="7984" width="7.85546875" style="1021" customWidth="1"/>
    <col min="7985" max="7992" width="6.7109375" style="1021" customWidth="1"/>
    <col min="7993" max="8209" width="11.42578125" style="1021"/>
    <col min="8210" max="8210" width="15.5703125" style="1021" bestFit="1" customWidth="1"/>
    <col min="8211" max="8211" width="11.7109375" style="1021" customWidth="1"/>
    <col min="8212" max="8212" width="54.7109375" style="1021" customWidth="1"/>
    <col min="8213" max="8213" width="7.42578125" style="1021" customWidth="1"/>
    <col min="8214" max="8215" width="6.28515625" style="1021" customWidth="1"/>
    <col min="8216" max="8216" width="7.42578125" style="1021" customWidth="1"/>
    <col min="8217" max="8217" width="5.7109375" style="1021" customWidth="1"/>
    <col min="8218" max="8219" width="6.28515625" style="1021" customWidth="1"/>
    <col min="8220" max="8220" width="7.85546875" style="1021" customWidth="1"/>
    <col min="8221" max="8221" width="5.7109375" style="1021" customWidth="1"/>
    <col min="8222" max="8223" width="6.28515625" style="1021" customWidth="1"/>
    <col min="8224" max="8224" width="7.85546875" style="1021" customWidth="1"/>
    <col min="8225" max="8225" width="5.28515625" style="1021" customWidth="1"/>
    <col min="8226" max="8227" width="6.28515625" style="1021" customWidth="1"/>
    <col min="8228" max="8228" width="7.85546875" style="1021" customWidth="1"/>
    <col min="8229" max="8229" width="5.7109375" style="1021" customWidth="1"/>
    <col min="8230" max="8231" width="6.28515625" style="1021" customWidth="1"/>
    <col min="8232" max="8232" width="7.85546875" style="1021" customWidth="1"/>
    <col min="8233" max="8233" width="5.7109375" style="1021" customWidth="1"/>
    <col min="8234" max="8235" width="6.42578125" style="1021" customWidth="1"/>
    <col min="8236" max="8236" width="7.85546875" style="1021" customWidth="1"/>
    <col min="8237" max="8239" width="5.7109375" style="1021" customWidth="1"/>
    <col min="8240" max="8240" width="7.85546875" style="1021" customWidth="1"/>
    <col min="8241" max="8248" width="6.7109375" style="1021" customWidth="1"/>
    <col min="8249" max="8465" width="11.42578125" style="1021"/>
    <col min="8466" max="8466" width="15.5703125" style="1021" bestFit="1" customWidth="1"/>
    <col min="8467" max="8467" width="11.7109375" style="1021" customWidth="1"/>
    <col min="8468" max="8468" width="54.7109375" style="1021" customWidth="1"/>
    <col min="8469" max="8469" width="7.42578125" style="1021" customWidth="1"/>
    <col min="8470" max="8471" width="6.28515625" style="1021" customWidth="1"/>
    <col min="8472" max="8472" width="7.42578125" style="1021" customWidth="1"/>
    <col min="8473" max="8473" width="5.7109375" style="1021" customWidth="1"/>
    <col min="8474" max="8475" width="6.28515625" style="1021" customWidth="1"/>
    <col min="8476" max="8476" width="7.85546875" style="1021" customWidth="1"/>
    <col min="8477" max="8477" width="5.7109375" style="1021" customWidth="1"/>
    <col min="8478" max="8479" width="6.28515625" style="1021" customWidth="1"/>
    <col min="8480" max="8480" width="7.85546875" style="1021" customWidth="1"/>
    <col min="8481" max="8481" width="5.28515625" style="1021" customWidth="1"/>
    <col min="8482" max="8483" width="6.28515625" style="1021" customWidth="1"/>
    <col min="8484" max="8484" width="7.85546875" style="1021" customWidth="1"/>
    <col min="8485" max="8485" width="5.7109375" style="1021" customWidth="1"/>
    <col min="8486" max="8487" width="6.28515625" style="1021" customWidth="1"/>
    <col min="8488" max="8488" width="7.85546875" style="1021" customWidth="1"/>
    <col min="8489" max="8489" width="5.7109375" style="1021" customWidth="1"/>
    <col min="8490" max="8491" width="6.42578125" style="1021" customWidth="1"/>
    <col min="8492" max="8492" width="7.85546875" style="1021" customWidth="1"/>
    <col min="8493" max="8495" width="5.7109375" style="1021" customWidth="1"/>
    <col min="8496" max="8496" width="7.85546875" style="1021" customWidth="1"/>
    <col min="8497" max="8504" width="6.7109375" style="1021" customWidth="1"/>
    <col min="8505" max="8721" width="11.42578125" style="1021"/>
    <col min="8722" max="8722" width="15.5703125" style="1021" bestFit="1" customWidth="1"/>
    <col min="8723" max="8723" width="11.7109375" style="1021" customWidth="1"/>
    <col min="8724" max="8724" width="54.7109375" style="1021" customWidth="1"/>
    <col min="8725" max="8725" width="7.42578125" style="1021" customWidth="1"/>
    <col min="8726" max="8727" width="6.28515625" style="1021" customWidth="1"/>
    <col min="8728" max="8728" width="7.42578125" style="1021" customWidth="1"/>
    <col min="8729" max="8729" width="5.7109375" style="1021" customWidth="1"/>
    <col min="8730" max="8731" width="6.28515625" style="1021" customWidth="1"/>
    <col min="8732" max="8732" width="7.85546875" style="1021" customWidth="1"/>
    <col min="8733" max="8733" width="5.7109375" style="1021" customWidth="1"/>
    <col min="8734" max="8735" width="6.28515625" style="1021" customWidth="1"/>
    <col min="8736" max="8736" width="7.85546875" style="1021" customWidth="1"/>
    <col min="8737" max="8737" width="5.28515625" style="1021" customWidth="1"/>
    <col min="8738" max="8739" width="6.28515625" style="1021" customWidth="1"/>
    <col min="8740" max="8740" width="7.85546875" style="1021" customWidth="1"/>
    <col min="8741" max="8741" width="5.7109375" style="1021" customWidth="1"/>
    <col min="8742" max="8743" width="6.28515625" style="1021" customWidth="1"/>
    <col min="8744" max="8744" width="7.85546875" style="1021" customWidth="1"/>
    <col min="8745" max="8745" width="5.7109375" style="1021" customWidth="1"/>
    <col min="8746" max="8747" width="6.42578125" style="1021" customWidth="1"/>
    <col min="8748" max="8748" width="7.85546875" style="1021" customWidth="1"/>
    <col min="8749" max="8751" width="5.7109375" style="1021" customWidth="1"/>
    <col min="8752" max="8752" width="7.85546875" style="1021" customWidth="1"/>
    <col min="8753" max="8760" width="6.7109375" style="1021" customWidth="1"/>
    <col min="8761" max="8977" width="11.42578125" style="1021"/>
    <col min="8978" max="8978" width="15.5703125" style="1021" bestFit="1" customWidth="1"/>
    <col min="8979" max="8979" width="11.7109375" style="1021" customWidth="1"/>
    <col min="8980" max="8980" width="54.7109375" style="1021" customWidth="1"/>
    <col min="8981" max="8981" width="7.42578125" style="1021" customWidth="1"/>
    <col min="8982" max="8983" width="6.28515625" style="1021" customWidth="1"/>
    <col min="8984" max="8984" width="7.42578125" style="1021" customWidth="1"/>
    <col min="8985" max="8985" width="5.7109375" style="1021" customWidth="1"/>
    <col min="8986" max="8987" width="6.28515625" style="1021" customWidth="1"/>
    <col min="8988" max="8988" width="7.85546875" style="1021" customWidth="1"/>
    <col min="8989" max="8989" width="5.7109375" style="1021" customWidth="1"/>
    <col min="8990" max="8991" width="6.28515625" style="1021" customWidth="1"/>
    <col min="8992" max="8992" width="7.85546875" style="1021" customWidth="1"/>
    <col min="8993" max="8993" width="5.28515625" style="1021" customWidth="1"/>
    <col min="8994" max="8995" width="6.28515625" style="1021" customWidth="1"/>
    <col min="8996" max="8996" width="7.85546875" style="1021" customWidth="1"/>
    <col min="8997" max="8997" width="5.7109375" style="1021" customWidth="1"/>
    <col min="8998" max="8999" width="6.28515625" style="1021" customWidth="1"/>
    <col min="9000" max="9000" width="7.85546875" style="1021" customWidth="1"/>
    <col min="9001" max="9001" width="5.7109375" style="1021" customWidth="1"/>
    <col min="9002" max="9003" width="6.42578125" style="1021" customWidth="1"/>
    <col min="9004" max="9004" width="7.85546875" style="1021" customWidth="1"/>
    <col min="9005" max="9007" width="5.7109375" style="1021" customWidth="1"/>
    <col min="9008" max="9008" width="7.85546875" style="1021" customWidth="1"/>
    <col min="9009" max="9016" width="6.7109375" style="1021" customWidth="1"/>
    <col min="9017" max="9233" width="11.42578125" style="1021"/>
    <col min="9234" max="9234" width="15.5703125" style="1021" bestFit="1" customWidth="1"/>
    <col min="9235" max="9235" width="11.7109375" style="1021" customWidth="1"/>
    <col min="9236" max="9236" width="54.7109375" style="1021" customWidth="1"/>
    <col min="9237" max="9237" width="7.42578125" style="1021" customWidth="1"/>
    <col min="9238" max="9239" width="6.28515625" style="1021" customWidth="1"/>
    <col min="9240" max="9240" width="7.42578125" style="1021" customWidth="1"/>
    <col min="9241" max="9241" width="5.7109375" style="1021" customWidth="1"/>
    <col min="9242" max="9243" width="6.28515625" style="1021" customWidth="1"/>
    <col min="9244" max="9244" width="7.85546875" style="1021" customWidth="1"/>
    <col min="9245" max="9245" width="5.7109375" style="1021" customWidth="1"/>
    <col min="9246" max="9247" width="6.28515625" style="1021" customWidth="1"/>
    <col min="9248" max="9248" width="7.85546875" style="1021" customWidth="1"/>
    <col min="9249" max="9249" width="5.28515625" style="1021" customWidth="1"/>
    <col min="9250" max="9251" width="6.28515625" style="1021" customWidth="1"/>
    <col min="9252" max="9252" width="7.85546875" style="1021" customWidth="1"/>
    <col min="9253" max="9253" width="5.7109375" style="1021" customWidth="1"/>
    <col min="9254" max="9255" width="6.28515625" style="1021" customWidth="1"/>
    <col min="9256" max="9256" width="7.85546875" style="1021" customWidth="1"/>
    <col min="9257" max="9257" width="5.7109375" style="1021" customWidth="1"/>
    <col min="9258" max="9259" width="6.42578125" style="1021" customWidth="1"/>
    <col min="9260" max="9260" width="7.85546875" style="1021" customWidth="1"/>
    <col min="9261" max="9263" width="5.7109375" style="1021" customWidth="1"/>
    <col min="9264" max="9264" width="7.85546875" style="1021" customWidth="1"/>
    <col min="9265" max="9272" width="6.7109375" style="1021" customWidth="1"/>
    <col min="9273" max="9489" width="11.42578125" style="1021"/>
    <col min="9490" max="9490" width="15.5703125" style="1021" bestFit="1" customWidth="1"/>
    <col min="9491" max="9491" width="11.7109375" style="1021" customWidth="1"/>
    <col min="9492" max="9492" width="54.7109375" style="1021" customWidth="1"/>
    <col min="9493" max="9493" width="7.42578125" style="1021" customWidth="1"/>
    <col min="9494" max="9495" width="6.28515625" style="1021" customWidth="1"/>
    <col min="9496" max="9496" width="7.42578125" style="1021" customWidth="1"/>
    <col min="9497" max="9497" width="5.7109375" style="1021" customWidth="1"/>
    <col min="9498" max="9499" width="6.28515625" style="1021" customWidth="1"/>
    <col min="9500" max="9500" width="7.85546875" style="1021" customWidth="1"/>
    <col min="9501" max="9501" width="5.7109375" style="1021" customWidth="1"/>
    <col min="9502" max="9503" width="6.28515625" style="1021" customWidth="1"/>
    <col min="9504" max="9504" width="7.85546875" style="1021" customWidth="1"/>
    <col min="9505" max="9505" width="5.28515625" style="1021" customWidth="1"/>
    <col min="9506" max="9507" width="6.28515625" style="1021" customWidth="1"/>
    <col min="9508" max="9508" width="7.85546875" style="1021" customWidth="1"/>
    <col min="9509" max="9509" width="5.7109375" style="1021" customWidth="1"/>
    <col min="9510" max="9511" width="6.28515625" style="1021" customWidth="1"/>
    <col min="9512" max="9512" width="7.85546875" style="1021" customWidth="1"/>
    <col min="9513" max="9513" width="5.7109375" style="1021" customWidth="1"/>
    <col min="9514" max="9515" width="6.42578125" style="1021" customWidth="1"/>
    <col min="9516" max="9516" width="7.85546875" style="1021" customWidth="1"/>
    <col min="9517" max="9519" width="5.7109375" style="1021" customWidth="1"/>
    <col min="9520" max="9520" width="7.85546875" style="1021" customWidth="1"/>
    <col min="9521" max="9528" width="6.7109375" style="1021" customWidth="1"/>
    <col min="9529" max="9745" width="11.42578125" style="1021"/>
    <col min="9746" max="9746" width="15.5703125" style="1021" bestFit="1" customWidth="1"/>
    <col min="9747" max="9747" width="11.7109375" style="1021" customWidth="1"/>
    <col min="9748" max="9748" width="54.7109375" style="1021" customWidth="1"/>
    <col min="9749" max="9749" width="7.42578125" style="1021" customWidth="1"/>
    <col min="9750" max="9751" width="6.28515625" style="1021" customWidth="1"/>
    <col min="9752" max="9752" width="7.42578125" style="1021" customWidth="1"/>
    <col min="9753" max="9753" width="5.7109375" style="1021" customWidth="1"/>
    <col min="9754" max="9755" width="6.28515625" style="1021" customWidth="1"/>
    <col min="9756" max="9756" width="7.85546875" style="1021" customWidth="1"/>
    <col min="9757" max="9757" width="5.7109375" style="1021" customWidth="1"/>
    <col min="9758" max="9759" width="6.28515625" style="1021" customWidth="1"/>
    <col min="9760" max="9760" width="7.85546875" style="1021" customWidth="1"/>
    <col min="9761" max="9761" width="5.28515625" style="1021" customWidth="1"/>
    <col min="9762" max="9763" width="6.28515625" style="1021" customWidth="1"/>
    <col min="9764" max="9764" width="7.85546875" style="1021" customWidth="1"/>
    <col min="9765" max="9765" width="5.7109375" style="1021" customWidth="1"/>
    <col min="9766" max="9767" width="6.28515625" style="1021" customWidth="1"/>
    <col min="9768" max="9768" width="7.85546875" style="1021" customWidth="1"/>
    <col min="9769" max="9769" width="5.7109375" style="1021" customWidth="1"/>
    <col min="9770" max="9771" width="6.42578125" style="1021" customWidth="1"/>
    <col min="9772" max="9772" width="7.85546875" style="1021" customWidth="1"/>
    <col min="9773" max="9775" width="5.7109375" style="1021" customWidth="1"/>
    <col min="9776" max="9776" width="7.85546875" style="1021" customWidth="1"/>
    <col min="9777" max="9784" width="6.7109375" style="1021" customWidth="1"/>
    <col min="9785" max="10001" width="11.42578125" style="1021"/>
    <col min="10002" max="10002" width="15.5703125" style="1021" bestFit="1" customWidth="1"/>
    <col min="10003" max="10003" width="11.7109375" style="1021" customWidth="1"/>
    <col min="10004" max="10004" width="54.7109375" style="1021" customWidth="1"/>
    <col min="10005" max="10005" width="7.42578125" style="1021" customWidth="1"/>
    <col min="10006" max="10007" width="6.28515625" style="1021" customWidth="1"/>
    <col min="10008" max="10008" width="7.42578125" style="1021" customWidth="1"/>
    <col min="10009" max="10009" width="5.7109375" style="1021" customWidth="1"/>
    <col min="10010" max="10011" width="6.28515625" style="1021" customWidth="1"/>
    <col min="10012" max="10012" width="7.85546875" style="1021" customWidth="1"/>
    <col min="10013" max="10013" width="5.7109375" style="1021" customWidth="1"/>
    <col min="10014" max="10015" width="6.28515625" style="1021" customWidth="1"/>
    <col min="10016" max="10016" width="7.85546875" style="1021" customWidth="1"/>
    <col min="10017" max="10017" width="5.28515625" style="1021" customWidth="1"/>
    <col min="10018" max="10019" width="6.28515625" style="1021" customWidth="1"/>
    <col min="10020" max="10020" width="7.85546875" style="1021" customWidth="1"/>
    <col min="10021" max="10021" width="5.7109375" style="1021" customWidth="1"/>
    <col min="10022" max="10023" width="6.28515625" style="1021" customWidth="1"/>
    <col min="10024" max="10024" width="7.85546875" style="1021" customWidth="1"/>
    <col min="10025" max="10025" width="5.7109375" style="1021" customWidth="1"/>
    <col min="10026" max="10027" width="6.42578125" style="1021" customWidth="1"/>
    <col min="10028" max="10028" width="7.85546875" style="1021" customWidth="1"/>
    <col min="10029" max="10031" width="5.7109375" style="1021" customWidth="1"/>
    <col min="10032" max="10032" width="7.85546875" style="1021" customWidth="1"/>
    <col min="10033" max="10040" width="6.7109375" style="1021" customWidth="1"/>
    <col min="10041" max="10257" width="11.42578125" style="1021"/>
    <col min="10258" max="10258" width="15.5703125" style="1021" bestFit="1" customWidth="1"/>
    <col min="10259" max="10259" width="11.7109375" style="1021" customWidth="1"/>
    <col min="10260" max="10260" width="54.7109375" style="1021" customWidth="1"/>
    <col min="10261" max="10261" width="7.42578125" style="1021" customWidth="1"/>
    <col min="10262" max="10263" width="6.28515625" style="1021" customWidth="1"/>
    <col min="10264" max="10264" width="7.42578125" style="1021" customWidth="1"/>
    <col min="10265" max="10265" width="5.7109375" style="1021" customWidth="1"/>
    <col min="10266" max="10267" width="6.28515625" style="1021" customWidth="1"/>
    <col min="10268" max="10268" width="7.85546875" style="1021" customWidth="1"/>
    <col min="10269" max="10269" width="5.7109375" style="1021" customWidth="1"/>
    <col min="10270" max="10271" width="6.28515625" style="1021" customWidth="1"/>
    <col min="10272" max="10272" width="7.85546875" style="1021" customWidth="1"/>
    <col min="10273" max="10273" width="5.28515625" style="1021" customWidth="1"/>
    <col min="10274" max="10275" width="6.28515625" style="1021" customWidth="1"/>
    <col min="10276" max="10276" width="7.85546875" style="1021" customWidth="1"/>
    <col min="10277" max="10277" width="5.7109375" style="1021" customWidth="1"/>
    <col min="10278" max="10279" width="6.28515625" style="1021" customWidth="1"/>
    <col min="10280" max="10280" width="7.85546875" style="1021" customWidth="1"/>
    <col min="10281" max="10281" width="5.7109375" style="1021" customWidth="1"/>
    <col min="10282" max="10283" width="6.42578125" style="1021" customWidth="1"/>
    <col min="10284" max="10284" width="7.85546875" style="1021" customWidth="1"/>
    <col min="10285" max="10287" width="5.7109375" style="1021" customWidth="1"/>
    <col min="10288" max="10288" width="7.85546875" style="1021" customWidth="1"/>
    <col min="10289" max="10296" width="6.7109375" style="1021" customWidth="1"/>
    <col min="10297" max="10513" width="11.42578125" style="1021"/>
    <col min="10514" max="10514" width="15.5703125" style="1021" bestFit="1" customWidth="1"/>
    <col min="10515" max="10515" width="11.7109375" style="1021" customWidth="1"/>
    <col min="10516" max="10516" width="54.7109375" style="1021" customWidth="1"/>
    <col min="10517" max="10517" width="7.42578125" style="1021" customWidth="1"/>
    <col min="10518" max="10519" width="6.28515625" style="1021" customWidth="1"/>
    <col min="10520" max="10520" width="7.42578125" style="1021" customWidth="1"/>
    <col min="10521" max="10521" width="5.7109375" style="1021" customWidth="1"/>
    <col min="10522" max="10523" width="6.28515625" style="1021" customWidth="1"/>
    <col min="10524" max="10524" width="7.85546875" style="1021" customWidth="1"/>
    <col min="10525" max="10525" width="5.7109375" style="1021" customWidth="1"/>
    <col min="10526" max="10527" width="6.28515625" style="1021" customWidth="1"/>
    <col min="10528" max="10528" width="7.85546875" style="1021" customWidth="1"/>
    <col min="10529" max="10529" width="5.28515625" style="1021" customWidth="1"/>
    <col min="10530" max="10531" width="6.28515625" style="1021" customWidth="1"/>
    <col min="10532" max="10532" width="7.85546875" style="1021" customWidth="1"/>
    <col min="10533" max="10533" width="5.7109375" style="1021" customWidth="1"/>
    <col min="10534" max="10535" width="6.28515625" style="1021" customWidth="1"/>
    <col min="10536" max="10536" width="7.85546875" style="1021" customWidth="1"/>
    <col min="10537" max="10537" width="5.7109375" style="1021" customWidth="1"/>
    <col min="10538" max="10539" width="6.42578125" style="1021" customWidth="1"/>
    <col min="10540" max="10540" width="7.85546875" style="1021" customWidth="1"/>
    <col min="10541" max="10543" width="5.7109375" style="1021" customWidth="1"/>
    <col min="10544" max="10544" width="7.85546875" style="1021" customWidth="1"/>
    <col min="10545" max="10552" width="6.7109375" style="1021" customWidth="1"/>
    <col min="10553" max="10769" width="11.42578125" style="1021"/>
    <col min="10770" max="10770" width="15.5703125" style="1021" bestFit="1" customWidth="1"/>
    <col min="10771" max="10771" width="11.7109375" style="1021" customWidth="1"/>
    <col min="10772" max="10772" width="54.7109375" style="1021" customWidth="1"/>
    <col min="10773" max="10773" width="7.42578125" style="1021" customWidth="1"/>
    <col min="10774" max="10775" width="6.28515625" style="1021" customWidth="1"/>
    <col min="10776" max="10776" width="7.42578125" style="1021" customWidth="1"/>
    <col min="10777" max="10777" width="5.7109375" style="1021" customWidth="1"/>
    <col min="10778" max="10779" width="6.28515625" style="1021" customWidth="1"/>
    <col min="10780" max="10780" width="7.85546875" style="1021" customWidth="1"/>
    <col min="10781" max="10781" width="5.7109375" style="1021" customWidth="1"/>
    <col min="10782" max="10783" width="6.28515625" style="1021" customWidth="1"/>
    <col min="10784" max="10784" width="7.85546875" style="1021" customWidth="1"/>
    <col min="10785" max="10785" width="5.28515625" style="1021" customWidth="1"/>
    <col min="10786" max="10787" width="6.28515625" style="1021" customWidth="1"/>
    <col min="10788" max="10788" width="7.85546875" style="1021" customWidth="1"/>
    <col min="10789" max="10789" width="5.7109375" style="1021" customWidth="1"/>
    <col min="10790" max="10791" width="6.28515625" style="1021" customWidth="1"/>
    <col min="10792" max="10792" width="7.85546875" style="1021" customWidth="1"/>
    <col min="10793" max="10793" width="5.7109375" style="1021" customWidth="1"/>
    <col min="10794" max="10795" width="6.42578125" style="1021" customWidth="1"/>
    <col min="10796" max="10796" width="7.85546875" style="1021" customWidth="1"/>
    <col min="10797" max="10799" width="5.7109375" style="1021" customWidth="1"/>
    <col min="10800" max="10800" width="7.85546875" style="1021" customWidth="1"/>
    <col min="10801" max="10808" width="6.7109375" style="1021" customWidth="1"/>
    <col min="10809" max="11025" width="11.42578125" style="1021"/>
    <col min="11026" max="11026" width="15.5703125" style="1021" bestFit="1" customWidth="1"/>
    <col min="11027" max="11027" width="11.7109375" style="1021" customWidth="1"/>
    <col min="11028" max="11028" width="54.7109375" style="1021" customWidth="1"/>
    <col min="11029" max="11029" width="7.42578125" style="1021" customWidth="1"/>
    <col min="11030" max="11031" width="6.28515625" style="1021" customWidth="1"/>
    <col min="11032" max="11032" width="7.42578125" style="1021" customWidth="1"/>
    <col min="11033" max="11033" width="5.7109375" style="1021" customWidth="1"/>
    <col min="11034" max="11035" width="6.28515625" style="1021" customWidth="1"/>
    <col min="11036" max="11036" width="7.85546875" style="1021" customWidth="1"/>
    <col min="11037" max="11037" width="5.7109375" style="1021" customWidth="1"/>
    <col min="11038" max="11039" width="6.28515625" style="1021" customWidth="1"/>
    <col min="11040" max="11040" width="7.85546875" style="1021" customWidth="1"/>
    <col min="11041" max="11041" width="5.28515625" style="1021" customWidth="1"/>
    <col min="11042" max="11043" width="6.28515625" style="1021" customWidth="1"/>
    <col min="11044" max="11044" width="7.85546875" style="1021" customWidth="1"/>
    <col min="11045" max="11045" width="5.7109375" style="1021" customWidth="1"/>
    <col min="11046" max="11047" width="6.28515625" style="1021" customWidth="1"/>
    <col min="11048" max="11048" width="7.85546875" style="1021" customWidth="1"/>
    <col min="11049" max="11049" width="5.7109375" style="1021" customWidth="1"/>
    <col min="11050" max="11051" width="6.42578125" style="1021" customWidth="1"/>
    <col min="11052" max="11052" width="7.85546875" style="1021" customWidth="1"/>
    <col min="11053" max="11055" width="5.7109375" style="1021" customWidth="1"/>
    <col min="11056" max="11056" width="7.85546875" style="1021" customWidth="1"/>
    <col min="11057" max="11064" width="6.7109375" style="1021" customWidth="1"/>
    <col min="11065" max="11281" width="11.42578125" style="1021"/>
    <col min="11282" max="11282" width="15.5703125" style="1021" bestFit="1" customWidth="1"/>
    <col min="11283" max="11283" width="11.7109375" style="1021" customWidth="1"/>
    <col min="11284" max="11284" width="54.7109375" style="1021" customWidth="1"/>
    <col min="11285" max="11285" width="7.42578125" style="1021" customWidth="1"/>
    <col min="11286" max="11287" width="6.28515625" style="1021" customWidth="1"/>
    <col min="11288" max="11288" width="7.42578125" style="1021" customWidth="1"/>
    <col min="11289" max="11289" width="5.7109375" style="1021" customWidth="1"/>
    <col min="11290" max="11291" width="6.28515625" style="1021" customWidth="1"/>
    <col min="11292" max="11292" width="7.85546875" style="1021" customWidth="1"/>
    <col min="11293" max="11293" width="5.7109375" style="1021" customWidth="1"/>
    <col min="11294" max="11295" width="6.28515625" style="1021" customWidth="1"/>
    <col min="11296" max="11296" width="7.85546875" style="1021" customWidth="1"/>
    <col min="11297" max="11297" width="5.28515625" style="1021" customWidth="1"/>
    <col min="11298" max="11299" width="6.28515625" style="1021" customWidth="1"/>
    <col min="11300" max="11300" width="7.85546875" style="1021" customWidth="1"/>
    <col min="11301" max="11301" width="5.7109375" style="1021" customWidth="1"/>
    <col min="11302" max="11303" width="6.28515625" style="1021" customWidth="1"/>
    <col min="11304" max="11304" width="7.85546875" style="1021" customWidth="1"/>
    <col min="11305" max="11305" width="5.7109375" style="1021" customWidth="1"/>
    <col min="11306" max="11307" width="6.42578125" style="1021" customWidth="1"/>
    <col min="11308" max="11308" width="7.85546875" style="1021" customWidth="1"/>
    <col min="11309" max="11311" width="5.7109375" style="1021" customWidth="1"/>
    <col min="11312" max="11312" width="7.85546875" style="1021" customWidth="1"/>
    <col min="11313" max="11320" width="6.7109375" style="1021" customWidth="1"/>
    <col min="11321" max="11537" width="11.42578125" style="1021"/>
    <col min="11538" max="11538" width="15.5703125" style="1021" bestFit="1" customWidth="1"/>
    <col min="11539" max="11539" width="11.7109375" style="1021" customWidth="1"/>
    <col min="11540" max="11540" width="54.7109375" style="1021" customWidth="1"/>
    <col min="11541" max="11541" width="7.42578125" style="1021" customWidth="1"/>
    <col min="11542" max="11543" width="6.28515625" style="1021" customWidth="1"/>
    <col min="11544" max="11544" width="7.42578125" style="1021" customWidth="1"/>
    <col min="11545" max="11545" width="5.7109375" style="1021" customWidth="1"/>
    <col min="11546" max="11547" width="6.28515625" style="1021" customWidth="1"/>
    <col min="11548" max="11548" width="7.85546875" style="1021" customWidth="1"/>
    <col min="11549" max="11549" width="5.7109375" style="1021" customWidth="1"/>
    <col min="11550" max="11551" width="6.28515625" style="1021" customWidth="1"/>
    <col min="11552" max="11552" width="7.85546875" style="1021" customWidth="1"/>
    <col min="11553" max="11553" width="5.28515625" style="1021" customWidth="1"/>
    <col min="11554" max="11555" width="6.28515625" style="1021" customWidth="1"/>
    <col min="11556" max="11556" width="7.85546875" style="1021" customWidth="1"/>
    <col min="11557" max="11557" width="5.7109375" style="1021" customWidth="1"/>
    <col min="11558" max="11559" width="6.28515625" style="1021" customWidth="1"/>
    <col min="11560" max="11560" width="7.85546875" style="1021" customWidth="1"/>
    <col min="11561" max="11561" width="5.7109375" style="1021" customWidth="1"/>
    <col min="11562" max="11563" width="6.42578125" style="1021" customWidth="1"/>
    <col min="11564" max="11564" width="7.85546875" style="1021" customWidth="1"/>
    <col min="11565" max="11567" width="5.7109375" style="1021" customWidth="1"/>
    <col min="11568" max="11568" width="7.85546875" style="1021" customWidth="1"/>
    <col min="11569" max="11576" width="6.7109375" style="1021" customWidth="1"/>
    <col min="11577" max="11793" width="11.42578125" style="1021"/>
    <col min="11794" max="11794" width="15.5703125" style="1021" bestFit="1" customWidth="1"/>
    <col min="11795" max="11795" width="11.7109375" style="1021" customWidth="1"/>
    <col min="11796" max="11796" width="54.7109375" style="1021" customWidth="1"/>
    <col min="11797" max="11797" width="7.42578125" style="1021" customWidth="1"/>
    <col min="11798" max="11799" width="6.28515625" style="1021" customWidth="1"/>
    <col min="11800" max="11800" width="7.42578125" style="1021" customWidth="1"/>
    <col min="11801" max="11801" width="5.7109375" style="1021" customWidth="1"/>
    <col min="11802" max="11803" width="6.28515625" style="1021" customWidth="1"/>
    <col min="11804" max="11804" width="7.85546875" style="1021" customWidth="1"/>
    <col min="11805" max="11805" width="5.7109375" style="1021" customWidth="1"/>
    <col min="11806" max="11807" width="6.28515625" style="1021" customWidth="1"/>
    <col min="11808" max="11808" width="7.85546875" style="1021" customWidth="1"/>
    <col min="11809" max="11809" width="5.28515625" style="1021" customWidth="1"/>
    <col min="11810" max="11811" width="6.28515625" style="1021" customWidth="1"/>
    <col min="11812" max="11812" width="7.85546875" style="1021" customWidth="1"/>
    <col min="11813" max="11813" width="5.7109375" style="1021" customWidth="1"/>
    <col min="11814" max="11815" width="6.28515625" style="1021" customWidth="1"/>
    <col min="11816" max="11816" width="7.85546875" style="1021" customWidth="1"/>
    <col min="11817" max="11817" width="5.7109375" style="1021" customWidth="1"/>
    <col min="11818" max="11819" width="6.42578125" style="1021" customWidth="1"/>
    <col min="11820" max="11820" width="7.85546875" style="1021" customWidth="1"/>
    <col min="11821" max="11823" width="5.7109375" style="1021" customWidth="1"/>
    <col min="11824" max="11824" width="7.85546875" style="1021" customWidth="1"/>
    <col min="11825" max="11832" width="6.7109375" style="1021" customWidth="1"/>
    <col min="11833" max="12049" width="11.42578125" style="1021"/>
    <col min="12050" max="12050" width="15.5703125" style="1021" bestFit="1" customWidth="1"/>
    <col min="12051" max="12051" width="11.7109375" style="1021" customWidth="1"/>
    <col min="12052" max="12052" width="54.7109375" style="1021" customWidth="1"/>
    <col min="12053" max="12053" width="7.42578125" style="1021" customWidth="1"/>
    <col min="12054" max="12055" width="6.28515625" style="1021" customWidth="1"/>
    <col min="12056" max="12056" width="7.42578125" style="1021" customWidth="1"/>
    <col min="12057" max="12057" width="5.7109375" style="1021" customWidth="1"/>
    <col min="12058" max="12059" width="6.28515625" style="1021" customWidth="1"/>
    <col min="12060" max="12060" width="7.85546875" style="1021" customWidth="1"/>
    <col min="12061" max="12061" width="5.7109375" style="1021" customWidth="1"/>
    <col min="12062" max="12063" width="6.28515625" style="1021" customWidth="1"/>
    <col min="12064" max="12064" width="7.85546875" style="1021" customWidth="1"/>
    <col min="12065" max="12065" width="5.28515625" style="1021" customWidth="1"/>
    <col min="12066" max="12067" width="6.28515625" style="1021" customWidth="1"/>
    <col min="12068" max="12068" width="7.85546875" style="1021" customWidth="1"/>
    <col min="12069" max="12069" width="5.7109375" style="1021" customWidth="1"/>
    <col min="12070" max="12071" width="6.28515625" style="1021" customWidth="1"/>
    <col min="12072" max="12072" width="7.85546875" style="1021" customWidth="1"/>
    <col min="12073" max="12073" width="5.7109375" style="1021" customWidth="1"/>
    <col min="12074" max="12075" width="6.42578125" style="1021" customWidth="1"/>
    <col min="12076" max="12076" width="7.85546875" style="1021" customWidth="1"/>
    <col min="12077" max="12079" width="5.7109375" style="1021" customWidth="1"/>
    <col min="12080" max="12080" width="7.85546875" style="1021" customWidth="1"/>
    <col min="12081" max="12088" width="6.7109375" style="1021" customWidth="1"/>
    <col min="12089" max="12305" width="11.42578125" style="1021"/>
    <col min="12306" max="12306" width="15.5703125" style="1021" bestFit="1" customWidth="1"/>
    <col min="12307" max="12307" width="11.7109375" style="1021" customWidth="1"/>
    <col min="12308" max="12308" width="54.7109375" style="1021" customWidth="1"/>
    <col min="12309" max="12309" width="7.42578125" style="1021" customWidth="1"/>
    <col min="12310" max="12311" width="6.28515625" style="1021" customWidth="1"/>
    <col min="12312" max="12312" width="7.42578125" style="1021" customWidth="1"/>
    <col min="12313" max="12313" width="5.7109375" style="1021" customWidth="1"/>
    <col min="12314" max="12315" width="6.28515625" style="1021" customWidth="1"/>
    <col min="12316" max="12316" width="7.85546875" style="1021" customWidth="1"/>
    <col min="12317" max="12317" width="5.7109375" style="1021" customWidth="1"/>
    <col min="12318" max="12319" width="6.28515625" style="1021" customWidth="1"/>
    <col min="12320" max="12320" width="7.85546875" style="1021" customWidth="1"/>
    <col min="12321" max="12321" width="5.28515625" style="1021" customWidth="1"/>
    <col min="12322" max="12323" width="6.28515625" style="1021" customWidth="1"/>
    <col min="12324" max="12324" width="7.85546875" style="1021" customWidth="1"/>
    <col min="12325" max="12325" width="5.7109375" style="1021" customWidth="1"/>
    <col min="12326" max="12327" width="6.28515625" style="1021" customWidth="1"/>
    <col min="12328" max="12328" width="7.85546875" style="1021" customWidth="1"/>
    <col min="12329" max="12329" width="5.7109375" style="1021" customWidth="1"/>
    <col min="12330" max="12331" width="6.42578125" style="1021" customWidth="1"/>
    <col min="12332" max="12332" width="7.85546875" style="1021" customWidth="1"/>
    <col min="12333" max="12335" width="5.7109375" style="1021" customWidth="1"/>
    <col min="12336" max="12336" width="7.85546875" style="1021" customWidth="1"/>
    <col min="12337" max="12344" width="6.7109375" style="1021" customWidth="1"/>
    <col min="12345" max="12561" width="11.42578125" style="1021"/>
    <col min="12562" max="12562" width="15.5703125" style="1021" bestFit="1" customWidth="1"/>
    <col min="12563" max="12563" width="11.7109375" style="1021" customWidth="1"/>
    <col min="12564" max="12564" width="54.7109375" style="1021" customWidth="1"/>
    <col min="12565" max="12565" width="7.42578125" style="1021" customWidth="1"/>
    <col min="12566" max="12567" width="6.28515625" style="1021" customWidth="1"/>
    <col min="12568" max="12568" width="7.42578125" style="1021" customWidth="1"/>
    <col min="12569" max="12569" width="5.7109375" style="1021" customWidth="1"/>
    <col min="12570" max="12571" width="6.28515625" style="1021" customWidth="1"/>
    <col min="12572" max="12572" width="7.85546875" style="1021" customWidth="1"/>
    <col min="12573" max="12573" width="5.7109375" style="1021" customWidth="1"/>
    <col min="12574" max="12575" width="6.28515625" style="1021" customWidth="1"/>
    <col min="12576" max="12576" width="7.85546875" style="1021" customWidth="1"/>
    <col min="12577" max="12577" width="5.28515625" style="1021" customWidth="1"/>
    <col min="12578" max="12579" width="6.28515625" style="1021" customWidth="1"/>
    <col min="12580" max="12580" width="7.85546875" style="1021" customWidth="1"/>
    <col min="12581" max="12581" width="5.7109375" style="1021" customWidth="1"/>
    <col min="12582" max="12583" width="6.28515625" style="1021" customWidth="1"/>
    <col min="12584" max="12584" width="7.85546875" style="1021" customWidth="1"/>
    <col min="12585" max="12585" width="5.7109375" style="1021" customWidth="1"/>
    <col min="12586" max="12587" width="6.42578125" style="1021" customWidth="1"/>
    <col min="12588" max="12588" width="7.85546875" style="1021" customWidth="1"/>
    <col min="12589" max="12591" width="5.7109375" style="1021" customWidth="1"/>
    <col min="12592" max="12592" width="7.85546875" style="1021" customWidth="1"/>
    <col min="12593" max="12600" width="6.7109375" style="1021" customWidth="1"/>
    <col min="12601" max="12817" width="11.42578125" style="1021"/>
    <col min="12818" max="12818" width="15.5703125" style="1021" bestFit="1" customWidth="1"/>
    <col min="12819" max="12819" width="11.7109375" style="1021" customWidth="1"/>
    <col min="12820" max="12820" width="54.7109375" style="1021" customWidth="1"/>
    <col min="12821" max="12821" width="7.42578125" style="1021" customWidth="1"/>
    <col min="12822" max="12823" width="6.28515625" style="1021" customWidth="1"/>
    <col min="12824" max="12824" width="7.42578125" style="1021" customWidth="1"/>
    <col min="12825" max="12825" width="5.7109375" style="1021" customWidth="1"/>
    <col min="12826" max="12827" width="6.28515625" style="1021" customWidth="1"/>
    <col min="12828" max="12828" width="7.85546875" style="1021" customWidth="1"/>
    <col min="12829" max="12829" width="5.7109375" style="1021" customWidth="1"/>
    <col min="12830" max="12831" width="6.28515625" style="1021" customWidth="1"/>
    <col min="12832" max="12832" width="7.85546875" style="1021" customWidth="1"/>
    <col min="12833" max="12833" width="5.28515625" style="1021" customWidth="1"/>
    <col min="12834" max="12835" width="6.28515625" style="1021" customWidth="1"/>
    <col min="12836" max="12836" width="7.85546875" style="1021" customWidth="1"/>
    <col min="12837" max="12837" width="5.7109375" style="1021" customWidth="1"/>
    <col min="12838" max="12839" width="6.28515625" style="1021" customWidth="1"/>
    <col min="12840" max="12840" width="7.85546875" style="1021" customWidth="1"/>
    <col min="12841" max="12841" width="5.7109375" style="1021" customWidth="1"/>
    <col min="12842" max="12843" width="6.42578125" style="1021" customWidth="1"/>
    <col min="12844" max="12844" width="7.85546875" style="1021" customWidth="1"/>
    <col min="12845" max="12847" width="5.7109375" style="1021" customWidth="1"/>
    <col min="12848" max="12848" width="7.85546875" style="1021" customWidth="1"/>
    <col min="12849" max="12856" width="6.7109375" style="1021" customWidth="1"/>
    <col min="12857" max="13073" width="11.42578125" style="1021"/>
    <col min="13074" max="13074" width="15.5703125" style="1021" bestFit="1" customWidth="1"/>
    <col min="13075" max="13075" width="11.7109375" style="1021" customWidth="1"/>
    <col min="13076" max="13076" width="54.7109375" style="1021" customWidth="1"/>
    <col min="13077" max="13077" width="7.42578125" style="1021" customWidth="1"/>
    <col min="13078" max="13079" width="6.28515625" style="1021" customWidth="1"/>
    <col min="13080" max="13080" width="7.42578125" style="1021" customWidth="1"/>
    <col min="13081" max="13081" width="5.7109375" style="1021" customWidth="1"/>
    <col min="13082" max="13083" width="6.28515625" style="1021" customWidth="1"/>
    <col min="13084" max="13084" width="7.85546875" style="1021" customWidth="1"/>
    <col min="13085" max="13085" width="5.7109375" style="1021" customWidth="1"/>
    <col min="13086" max="13087" width="6.28515625" style="1021" customWidth="1"/>
    <col min="13088" max="13088" width="7.85546875" style="1021" customWidth="1"/>
    <col min="13089" max="13089" width="5.28515625" style="1021" customWidth="1"/>
    <col min="13090" max="13091" width="6.28515625" style="1021" customWidth="1"/>
    <col min="13092" max="13092" width="7.85546875" style="1021" customWidth="1"/>
    <col min="13093" max="13093" width="5.7109375" style="1021" customWidth="1"/>
    <col min="13094" max="13095" width="6.28515625" style="1021" customWidth="1"/>
    <col min="13096" max="13096" width="7.85546875" style="1021" customWidth="1"/>
    <col min="13097" max="13097" width="5.7109375" style="1021" customWidth="1"/>
    <col min="13098" max="13099" width="6.42578125" style="1021" customWidth="1"/>
    <col min="13100" max="13100" width="7.85546875" style="1021" customWidth="1"/>
    <col min="13101" max="13103" width="5.7109375" style="1021" customWidth="1"/>
    <col min="13104" max="13104" width="7.85546875" style="1021" customWidth="1"/>
    <col min="13105" max="13112" width="6.7109375" style="1021" customWidth="1"/>
    <col min="13113" max="13329" width="11.42578125" style="1021"/>
    <col min="13330" max="13330" width="15.5703125" style="1021" bestFit="1" customWidth="1"/>
    <col min="13331" max="13331" width="11.7109375" style="1021" customWidth="1"/>
    <col min="13332" max="13332" width="54.7109375" style="1021" customWidth="1"/>
    <col min="13333" max="13333" width="7.42578125" style="1021" customWidth="1"/>
    <col min="13334" max="13335" width="6.28515625" style="1021" customWidth="1"/>
    <col min="13336" max="13336" width="7.42578125" style="1021" customWidth="1"/>
    <col min="13337" max="13337" width="5.7109375" style="1021" customWidth="1"/>
    <col min="13338" max="13339" width="6.28515625" style="1021" customWidth="1"/>
    <col min="13340" max="13340" width="7.85546875" style="1021" customWidth="1"/>
    <col min="13341" max="13341" width="5.7109375" style="1021" customWidth="1"/>
    <col min="13342" max="13343" width="6.28515625" style="1021" customWidth="1"/>
    <col min="13344" max="13344" width="7.85546875" style="1021" customWidth="1"/>
    <col min="13345" max="13345" width="5.28515625" style="1021" customWidth="1"/>
    <col min="13346" max="13347" width="6.28515625" style="1021" customWidth="1"/>
    <col min="13348" max="13348" width="7.85546875" style="1021" customWidth="1"/>
    <col min="13349" max="13349" width="5.7109375" style="1021" customWidth="1"/>
    <col min="13350" max="13351" width="6.28515625" style="1021" customWidth="1"/>
    <col min="13352" max="13352" width="7.85546875" style="1021" customWidth="1"/>
    <col min="13353" max="13353" width="5.7109375" style="1021" customWidth="1"/>
    <col min="13354" max="13355" width="6.42578125" style="1021" customWidth="1"/>
    <col min="13356" max="13356" width="7.85546875" style="1021" customWidth="1"/>
    <col min="13357" max="13359" width="5.7109375" style="1021" customWidth="1"/>
    <col min="13360" max="13360" width="7.85546875" style="1021" customWidth="1"/>
    <col min="13361" max="13368" width="6.7109375" style="1021" customWidth="1"/>
    <col min="13369" max="13585" width="11.42578125" style="1021"/>
    <col min="13586" max="13586" width="15.5703125" style="1021" bestFit="1" customWidth="1"/>
    <col min="13587" max="13587" width="11.7109375" style="1021" customWidth="1"/>
    <col min="13588" max="13588" width="54.7109375" style="1021" customWidth="1"/>
    <col min="13589" max="13589" width="7.42578125" style="1021" customWidth="1"/>
    <col min="13590" max="13591" width="6.28515625" style="1021" customWidth="1"/>
    <col min="13592" max="13592" width="7.42578125" style="1021" customWidth="1"/>
    <col min="13593" max="13593" width="5.7109375" style="1021" customWidth="1"/>
    <col min="13594" max="13595" width="6.28515625" style="1021" customWidth="1"/>
    <col min="13596" max="13596" width="7.85546875" style="1021" customWidth="1"/>
    <col min="13597" max="13597" width="5.7109375" style="1021" customWidth="1"/>
    <col min="13598" max="13599" width="6.28515625" style="1021" customWidth="1"/>
    <col min="13600" max="13600" width="7.85546875" style="1021" customWidth="1"/>
    <col min="13601" max="13601" width="5.28515625" style="1021" customWidth="1"/>
    <col min="13602" max="13603" width="6.28515625" style="1021" customWidth="1"/>
    <col min="13604" max="13604" width="7.85546875" style="1021" customWidth="1"/>
    <col min="13605" max="13605" width="5.7109375" style="1021" customWidth="1"/>
    <col min="13606" max="13607" width="6.28515625" style="1021" customWidth="1"/>
    <col min="13608" max="13608" width="7.85546875" style="1021" customWidth="1"/>
    <col min="13609" max="13609" width="5.7109375" style="1021" customWidth="1"/>
    <col min="13610" max="13611" width="6.42578125" style="1021" customWidth="1"/>
    <col min="13612" max="13612" width="7.85546875" style="1021" customWidth="1"/>
    <col min="13613" max="13615" width="5.7109375" style="1021" customWidth="1"/>
    <col min="13616" max="13616" width="7.85546875" style="1021" customWidth="1"/>
    <col min="13617" max="13624" width="6.7109375" style="1021" customWidth="1"/>
    <col min="13625" max="13841" width="11.42578125" style="1021"/>
    <col min="13842" max="13842" width="15.5703125" style="1021" bestFit="1" customWidth="1"/>
    <col min="13843" max="13843" width="11.7109375" style="1021" customWidth="1"/>
    <col min="13844" max="13844" width="54.7109375" style="1021" customWidth="1"/>
    <col min="13845" max="13845" width="7.42578125" style="1021" customWidth="1"/>
    <col min="13846" max="13847" width="6.28515625" style="1021" customWidth="1"/>
    <col min="13848" max="13848" width="7.42578125" style="1021" customWidth="1"/>
    <col min="13849" max="13849" width="5.7109375" style="1021" customWidth="1"/>
    <col min="13850" max="13851" width="6.28515625" style="1021" customWidth="1"/>
    <col min="13852" max="13852" width="7.85546875" style="1021" customWidth="1"/>
    <col min="13853" max="13853" width="5.7109375" style="1021" customWidth="1"/>
    <col min="13854" max="13855" width="6.28515625" style="1021" customWidth="1"/>
    <col min="13856" max="13856" width="7.85546875" style="1021" customWidth="1"/>
    <col min="13857" max="13857" width="5.28515625" style="1021" customWidth="1"/>
    <col min="13858" max="13859" width="6.28515625" style="1021" customWidth="1"/>
    <col min="13860" max="13860" width="7.85546875" style="1021" customWidth="1"/>
    <col min="13861" max="13861" width="5.7109375" style="1021" customWidth="1"/>
    <col min="13862" max="13863" width="6.28515625" style="1021" customWidth="1"/>
    <col min="13864" max="13864" width="7.85546875" style="1021" customWidth="1"/>
    <col min="13865" max="13865" width="5.7109375" style="1021" customWidth="1"/>
    <col min="13866" max="13867" width="6.42578125" style="1021" customWidth="1"/>
    <col min="13868" max="13868" width="7.85546875" style="1021" customWidth="1"/>
    <col min="13869" max="13871" width="5.7109375" style="1021" customWidth="1"/>
    <col min="13872" max="13872" width="7.85546875" style="1021" customWidth="1"/>
    <col min="13873" max="13880" width="6.7109375" style="1021" customWidth="1"/>
    <col min="13881" max="14097" width="11.42578125" style="1021"/>
    <col min="14098" max="14098" width="15.5703125" style="1021" bestFit="1" customWidth="1"/>
    <col min="14099" max="14099" width="11.7109375" style="1021" customWidth="1"/>
    <col min="14100" max="14100" width="54.7109375" style="1021" customWidth="1"/>
    <col min="14101" max="14101" width="7.42578125" style="1021" customWidth="1"/>
    <col min="14102" max="14103" width="6.28515625" style="1021" customWidth="1"/>
    <col min="14104" max="14104" width="7.42578125" style="1021" customWidth="1"/>
    <col min="14105" max="14105" width="5.7109375" style="1021" customWidth="1"/>
    <col min="14106" max="14107" width="6.28515625" style="1021" customWidth="1"/>
    <col min="14108" max="14108" width="7.85546875" style="1021" customWidth="1"/>
    <col min="14109" max="14109" width="5.7109375" style="1021" customWidth="1"/>
    <col min="14110" max="14111" width="6.28515625" style="1021" customWidth="1"/>
    <col min="14112" max="14112" width="7.85546875" style="1021" customWidth="1"/>
    <col min="14113" max="14113" width="5.28515625" style="1021" customWidth="1"/>
    <col min="14114" max="14115" width="6.28515625" style="1021" customWidth="1"/>
    <col min="14116" max="14116" width="7.85546875" style="1021" customWidth="1"/>
    <col min="14117" max="14117" width="5.7109375" style="1021" customWidth="1"/>
    <col min="14118" max="14119" width="6.28515625" style="1021" customWidth="1"/>
    <col min="14120" max="14120" width="7.85546875" style="1021" customWidth="1"/>
    <col min="14121" max="14121" width="5.7109375" style="1021" customWidth="1"/>
    <col min="14122" max="14123" width="6.42578125" style="1021" customWidth="1"/>
    <col min="14124" max="14124" width="7.85546875" style="1021" customWidth="1"/>
    <col min="14125" max="14127" width="5.7109375" style="1021" customWidth="1"/>
    <col min="14128" max="14128" width="7.85546875" style="1021" customWidth="1"/>
    <col min="14129" max="14136" width="6.7109375" style="1021" customWidth="1"/>
    <col min="14137" max="14353" width="11.42578125" style="1021"/>
    <col min="14354" max="14354" width="15.5703125" style="1021" bestFit="1" customWidth="1"/>
    <col min="14355" max="14355" width="11.7109375" style="1021" customWidth="1"/>
    <col min="14356" max="14356" width="54.7109375" style="1021" customWidth="1"/>
    <col min="14357" max="14357" width="7.42578125" style="1021" customWidth="1"/>
    <col min="14358" max="14359" width="6.28515625" style="1021" customWidth="1"/>
    <col min="14360" max="14360" width="7.42578125" style="1021" customWidth="1"/>
    <col min="14361" max="14361" width="5.7109375" style="1021" customWidth="1"/>
    <col min="14362" max="14363" width="6.28515625" style="1021" customWidth="1"/>
    <col min="14364" max="14364" width="7.85546875" style="1021" customWidth="1"/>
    <col min="14365" max="14365" width="5.7109375" style="1021" customWidth="1"/>
    <col min="14366" max="14367" width="6.28515625" style="1021" customWidth="1"/>
    <col min="14368" max="14368" width="7.85546875" style="1021" customWidth="1"/>
    <col min="14369" max="14369" width="5.28515625" style="1021" customWidth="1"/>
    <col min="14370" max="14371" width="6.28515625" style="1021" customWidth="1"/>
    <col min="14372" max="14372" width="7.85546875" style="1021" customWidth="1"/>
    <col min="14373" max="14373" width="5.7109375" style="1021" customWidth="1"/>
    <col min="14374" max="14375" width="6.28515625" style="1021" customWidth="1"/>
    <col min="14376" max="14376" width="7.85546875" style="1021" customWidth="1"/>
    <col min="14377" max="14377" width="5.7109375" style="1021" customWidth="1"/>
    <col min="14378" max="14379" width="6.42578125" style="1021" customWidth="1"/>
    <col min="14380" max="14380" width="7.85546875" style="1021" customWidth="1"/>
    <col min="14381" max="14383" width="5.7109375" style="1021" customWidth="1"/>
    <col min="14384" max="14384" width="7.85546875" style="1021" customWidth="1"/>
    <col min="14385" max="14392" width="6.7109375" style="1021" customWidth="1"/>
    <col min="14393" max="14609" width="11.42578125" style="1021"/>
    <col min="14610" max="14610" width="15.5703125" style="1021" bestFit="1" customWidth="1"/>
    <col min="14611" max="14611" width="11.7109375" style="1021" customWidth="1"/>
    <col min="14612" max="14612" width="54.7109375" style="1021" customWidth="1"/>
    <col min="14613" max="14613" width="7.42578125" style="1021" customWidth="1"/>
    <col min="14614" max="14615" width="6.28515625" style="1021" customWidth="1"/>
    <col min="14616" max="14616" width="7.42578125" style="1021" customWidth="1"/>
    <col min="14617" max="14617" width="5.7109375" style="1021" customWidth="1"/>
    <col min="14618" max="14619" width="6.28515625" style="1021" customWidth="1"/>
    <col min="14620" max="14620" width="7.85546875" style="1021" customWidth="1"/>
    <col min="14621" max="14621" width="5.7109375" style="1021" customWidth="1"/>
    <col min="14622" max="14623" width="6.28515625" style="1021" customWidth="1"/>
    <col min="14624" max="14624" width="7.85546875" style="1021" customWidth="1"/>
    <col min="14625" max="14625" width="5.28515625" style="1021" customWidth="1"/>
    <col min="14626" max="14627" width="6.28515625" style="1021" customWidth="1"/>
    <col min="14628" max="14628" width="7.85546875" style="1021" customWidth="1"/>
    <col min="14629" max="14629" width="5.7109375" style="1021" customWidth="1"/>
    <col min="14630" max="14631" width="6.28515625" style="1021" customWidth="1"/>
    <col min="14632" max="14632" width="7.85546875" style="1021" customWidth="1"/>
    <col min="14633" max="14633" width="5.7109375" style="1021" customWidth="1"/>
    <col min="14634" max="14635" width="6.42578125" style="1021" customWidth="1"/>
    <col min="14636" max="14636" width="7.85546875" style="1021" customWidth="1"/>
    <col min="14637" max="14639" width="5.7109375" style="1021" customWidth="1"/>
    <col min="14640" max="14640" width="7.85546875" style="1021" customWidth="1"/>
    <col min="14641" max="14648" width="6.7109375" style="1021" customWidth="1"/>
    <col min="14649" max="14865" width="11.42578125" style="1021"/>
    <col min="14866" max="14866" width="15.5703125" style="1021" bestFit="1" customWidth="1"/>
    <col min="14867" max="14867" width="11.7109375" style="1021" customWidth="1"/>
    <col min="14868" max="14868" width="54.7109375" style="1021" customWidth="1"/>
    <col min="14869" max="14869" width="7.42578125" style="1021" customWidth="1"/>
    <col min="14870" max="14871" width="6.28515625" style="1021" customWidth="1"/>
    <col min="14872" max="14872" width="7.42578125" style="1021" customWidth="1"/>
    <col min="14873" max="14873" width="5.7109375" style="1021" customWidth="1"/>
    <col min="14874" max="14875" width="6.28515625" style="1021" customWidth="1"/>
    <col min="14876" max="14876" width="7.85546875" style="1021" customWidth="1"/>
    <col min="14877" max="14877" width="5.7109375" style="1021" customWidth="1"/>
    <col min="14878" max="14879" width="6.28515625" style="1021" customWidth="1"/>
    <col min="14880" max="14880" width="7.85546875" style="1021" customWidth="1"/>
    <col min="14881" max="14881" width="5.28515625" style="1021" customWidth="1"/>
    <col min="14882" max="14883" width="6.28515625" style="1021" customWidth="1"/>
    <col min="14884" max="14884" width="7.85546875" style="1021" customWidth="1"/>
    <col min="14885" max="14885" width="5.7109375" style="1021" customWidth="1"/>
    <col min="14886" max="14887" width="6.28515625" style="1021" customWidth="1"/>
    <col min="14888" max="14888" width="7.85546875" style="1021" customWidth="1"/>
    <col min="14889" max="14889" width="5.7109375" style="1021" customWidth="1"/>
    <col min="14890" max="14891" width="6.42578125" style="1021" customWidth="1"/>
    <col min="14892" max="14892" width="7.85546875" style="1021" customWidth="1"/>
    <col min="14893" max="14895" width="5.7109375" style="1021" customWidth="1"/>
    <col min="14896" max="14896" width="7.85546875" style="1021" customWidth="1"/>
    <col min="14897" max="14904" width="6.7109375" style="1021" customWidth="1"/>
    <col min="14905" max="15121" width="11.42578125" style="1021"/>
    <col min="15122" max="15122" width="15.5703125" style="1021" bestFit="1" customWidth="1"/>
    <col min="15123" max="15123" width="11.7109375" style="1021" customWidth="1"/>
    <col min="15124" max="15124" width="54.7109375" style="1021" customWidth="1"/>
    <col min="15125" max="15125" width="7.42578125" style="1021" customWidth="1"/>
    <col min="15126" max="15127" width="6.28515625" style="1021" customWidth="1"/>
    <col min="15128" max="15128" width="7.42578125" style="1021" customWidth="1"/>
    <col min="15129" max="15129" width="5.7109375" style="1021" customWidth="1"/>
    <col min="15130" max="15131" width="6.28515625" style="1021" customWidth="1"/>
    <col min="15132" max="15132" width="7.85546875" style="1021" customWidth="1"/>
    <col min="15133" max="15133" width="5.7109375" style="1021" customWidth="1"/>
    <col min="15134" max="15135" width="6.28515625" style="1021" customWidth="1"/>
    <col min="15136" max="15136" width="7.85546875" style="1021" customWidth="1"/>
    <col min="15137" max="15137" width="5.28515625" style="1021" customWidth="1"/>
    <col min="15138" max="15139" width="6.28515625" style="1021" customWidth="1"/>
    <col min="15140" max="15140" width="7.85546875" style="1021" customWidth="1"/>
    <col min="15141" max="15141" width="5.7109375" style="1021" customWidth="1"/>
    <col min="15142" max="15143" width="6.28515625" style="1021" customWidth="1"/>
    <col min="15144" max="15144" width="7.85546875" style="1021" customWidth="1"/>
    <col min="15145" max="15145" width="5.7109375" style="1021" customWidth="1"/>
    <col min="15146" max="15147" width="6.42578125" style="1021" customWidth="1"/>
    <col min="15148" max="15148" width="7.85546875" style="1021" customWidth="1"/>
    <col min="15149" max="15151" width="5.7109375" style="1021" customWidth="1"/>
    <col min="15152" max="15152" width="7.85546875" style="1021" customWidth="1"/>
    <col min="15153" max="15160" width="6.7109375" style="1021" customWidth="1"/>
    <col min="15161" max="15377" width="11.42578125" style="1021"/>
    <col min="15378" max="15378" width="15.5703125" style="1021" bestFit="1" customWidth="1"/>
    <col min="15379" max="15379" width="11.7109375" style="1021" customWidth="1"/>
    <col min="15380" max="15380" width="54.7109375" style="1021" customWidth="1"/>
    <col min="15381" max="15381" width="7.42578125" style="1021" customWidth="1"/>
    <col min="15382" max="15383" width="6.28515625" style="1021" customWidth="1"/>
    <col min="15384" max="15384" width="7.42578125" style="1021" customWidth="1"/>
    <col min="15385" max="15385" width="5.7109375" style="1021" customWidth="1"/>
    <col min="15386" max="15387" width="6.28515625" style="1021" customWidth="1"/>
    <col min="15388" max="15388" width="7.85546875" style="1021" customWidth="1"/>
    <col min="15389" max="15389" width="5.7109375" style="1021" customWidth="1"/>
    <col min="15390" max="15391" width="6.28515625" style="1021" customWidth="1"/>
    <col min="15392" max="15392" width="7.85546875" style="1021" customWidth="1"/>
    <col min="15393" max="15393" width="5.28515625" style="1021" customWidth="1"/>
    <col min="15394" max="15395" width="6.28515625" style="1021" customWidth="1"/>
    <col min="15396" max="15396" width="7.85546875" style="1021" customWidth="1"/>
    <col min="15397" max="15397" width="5.7109375" style="1021" customWidth="1"/>
    <col min="15398" max="15399" width="6.28515625" style="1021" customWidth="1"/>
    <col min="15400" max="15400" width="7.85546875" style="1021" customWidth="1"/>
    <col min="15401" max="15401" width="5.7109375" style="1021" customWidth="1"/>
    <col min="15402" max="15403" width="6.42578125" style="1021" customWidth="1"/>
    <col min="15404" max="15404" width="7.85546875" style="1021" customWidth="1"/>
    <col min="15405" max="15407" width="5.7109375" style="1021" customWidth="1"/>
    <col min="15408" max="15408" width="7.85546875" style="1021" customWidth="1"/>
    <col min="15409" max="15416" width="6.7109375" style="1021" customWidth="1"/>
    <col min="15417" max="15633" width="11.42578125" style="1021"/>
    <col min="15634" max="15634" width="15.5703125" style="1021" bestFit="1" customWidth="1"/>
    <col min="15635" max="15635" width="11.7109375" style="1021" customWidth="1"/>
    <col min="15636" max="15636" width="54.7109375" style="1021" customWidth="1"/>
    <col min="15637" max="15637" width="7.42578125" style="1021" customWidth="1"/>
    <col min="15638" max="15639" width="6.28515625" style="1021" customWidth="1"/>
    <col min="15640" max="15640" width="7.42578125" style="1021" customWidth="1"/>
    <col min="15641" max="15641" width="5.7109375" style="1021" customWidth="1"/>
    <col min="15642" max="15643" width="6.28515625" style="1021" customWidth="1"/>
    <col min="15644" max="15644" width="7.85546875" style="1021" customWidth="1"/>
    <col min="15645" max="15645" width="5.7109375" style="1021" customWidth="1"/>
    <col min="15646" max="15647" width="6.28515625" style="1021" customWidth="1"/>
    <col min="15648" max="15648" width="7.85546875" style="1021" customWidth="1"/>
    <col min="15649" max="15649" width="5.28515625" style="1021" customWidth="1"/>
    <col min="15650" max="15651" width="6.28515625" style="1021" customWidth="1"/>
    <col min="15652" max="15652" width="7.85546875" style="1021" customWidth="1"/>
    <col min="15653" max="15653" width="5.7109375" style="1021" customWidth="1"/>
    <col min="15654" max="15655" width="6.28515625" style="1021" customWidth="1"/>
    <col min="15656" max="15656" width="7.85546875" style="1021" customWidth="1"/>
    <col min="15657" max="15657" width="5.7109375" style="1021" customWidth="1"/>
    <col min="15658" max="15659" width="6.42578125" style="1021" customWidth="1"/>
    <col min="15660" max="15660" width="7.85546875" style="1021" customWidth="1"/>
    <col min="15661" max="15663" width="5.7109375" style="1021" customWidth="1"/>
    <col min="15664" max="15664" width="7.85546875" style="1021" customWidth="1"/>
    <col min="15665" max="15672" width="6.7109375" style="1021" customWidth="1"/>
    <col min="15673" max="15889" width="11.42578125" style="1021"/>
    <col min="15890" max="15890" width="15.5703125" style="1021" bestFit="1" customWidth="1"/>
    <col min="15891" max="15891" width="11.7109375" style="1021" customWidth="1"/>
    <col min="15892" max="15892" width="54.7109375" style="1021" customWidth="1"/>
    <col min="15893" max="15893" width="7.42578125" style="1021" customWidth="1"/>
    <col min="15894" max="15895" width="6.28515625" style="1021" customWidth="1"/>
    <col min="15896" max="15896" width="7.42578125" style="1021" customWidth="1"/>
    <col min="15897" max="15897" width="5.7109375" style="1021" customWidth="1"/>
    <col min="15898" max="15899" width="6.28515625" style="1021" customWidth="1"/>
    <col min="15900" max="15900" width="7.85546875" style="1021" customWidth="1"/>
    <col min="15901" max="15901" width="5.7109375" style="1021" customWidth="1"/>
    <col min="15902" max="15903" width="6.28515625" style="1021" customWidth="1"/>
    <col min="15904" max="15904" width="7.85546875" style="1021" customWidth="1"/>
    <col min="15905" max="15905" width="5.28515625" style="1021" customWidth="1"/>
    <col min="15906" max="15907" width="6.28515625" style="1021" customWidth="1"/>
    <col min="15908" max="15908" width="7.85546875" style="1021" customWidth="1"/>
    <col min="15909" max="15909" width="5.7109375" style="1021" customWidth="1"/>
    <col min="15910" max="15911" width="6.28515625" style="1021" customWidth="1"/>
    <col min="15912" max="15912" width="7.85546875" style="1021" customWidth="1"/>
    <col min="15913" max="15913" width="5.7109375" style="1021" customWidth="1"/>
    <col min="15914" max="15915" width="6.42578125" style="1021" customWidth="1"/>
    <col min="15916" max="15916" width="7.85546875" style="1021" customWidth="1"/>
    <col min="15917" max="15919" width="5.7109375" style="1021" customWidth="1"/>
    <col min="15920" max="15920" width="7.85546875" style="1021" customWidth="1"/>
    <col min="15921" max="15928" width="6.7109375" style="1021" customWidth="1"/>
    <col min="15929" max="16145" width="11.42578125" style="1021"/>
    <col min="16146" max="16146" width="15.5703125" style="1021" bestFit="1" customWidth="1"/>
    <col min="16147" max="16147" width="11.7109375" style="1021" customWidth="1"/>
    <col min="16148" max="16148" width="54.7109375" style="1021" customWidth="1"/>
    <col min="16149" max="16149" width="7.42578125" style="1021" customWidth="1"/>
    <col min="16150" max="16151" width="6.28515625" style="1021" customWidth="1"/>
    <col min="16152" max="16152" width="7.42578125" style="1021" customWidth="1"/>
    <col min="16153" max="16153" width="5.7109375" style="1021" customWidth="1"/>
    <col min="16154" max="16155" width="6.28515625" style="1021" customWidth="1"/>
    <col min="16156" max="16156" width="7.85546875" style="1021" customWidth="1"/>
    <col min="16157" max="16157" width="5.7109375" style="1021" customWidth="1"/>
    <col min="16158" max="16159" width="6.28515625" style="1021" customWidth="1"/>
    <col min="16160" max="16160" width="7.85546875" style="1021" customWidth="1"/>
    <col min="16161" max="16161" width="5.28515625" style="1021" customWidth="1"/>
    <col min="16162" max="16163" width="6.28515625" style="1021" customWidth="1"/>
    <col min="16164" max="16164" width="7.85546875" style="1021" customWidth="1"/>
    <col min="16165" max="16165" width="5.7109375" style="1021" customWidth="1"/>
    <col min="16166" max="16167" width="6.28515625" style="1021" customWidth="1"/>
    <col min="16168" max="16168" width="7.85546875" style="1021" customWidth="1"/>
    <col min="16169" max="16169" width="5.7109375" style="1021" customWidth="1"/>
    <col min="16170" max="16171" width="6.42578125" style="1021" customWidth="1"/>
    <col min="16172" max="16172" width="7.85546875" style="1021" customWidth="1"/>
    <col min="16173" max="16175" width="5.7109375" style="1021" customWidth="1"/>
    <col min="16176" max="16176" width="7.85546875" style="1021" customWidth="1"/>
    <col min="16177" max="16184" width="6.7109375" style="1021" customWidth="1"/>
    <col min="16185" max="16384" width="11.42578125" style="1021"/>
  </cols>
  <sheetData>
    <row r="1" spans="1:72" ht="45.75" customHeight="1" x14ac:dyDescent="0.2">
      <c r="A1" s="5624" t="s">
        <v>1368</v>
      </c>
      <c r="B1" s="5624"/>
      <c r="C1" s="5624"/>
      <c r="D1" s="1053"/>
      <c r="E1" s="1022"/>
      <c r="F1" s="1022"/>
      <c r="G1" s="1022"/>
      <c r="I1" s="1022"/>
      <c r="J1" s="1022"/>
      <c r="K1" s="1022"/>
      <c r="M1" s="1022"/>
      <c r="N1" s="1022"/>
      <c r="O1" s="1022"/>
      <c r="Q1" s="1022"/>
      <c r="R1" s="1022"/>
      <c r="S1" s="1022"/>
      <c r="U1" s="1053"/>
      <c r="V1" s="1053"/>
      <c r="W1" s="1053"/>
      <c r="X1" s="1053"/>
      <c r="Y1" s="1053"/>
      <c r="Z1" s="1053"/>
      <c r="AA1" s="1053"/>
      <c r="AB1" s="1053"/>
      <c r="AC1" s="1053"/>
      <c r="AD1" s="1053"/>
      <c r="AE1" s="1053"/>
      <c r="AF1" s="1053"/>
      <c r="AG1" s="1053"/>
      <c r="AH1" s="1053"/>
      <c r="AI1" s="1053"/>
      <c r="AJ1" s="1053"/>
      <c r="AK1" s="1053"/>
      <c r="AL1" s="1053"/>
      <c r="AM1" s="1053"/>
      <c r="AN1" s="1053"/>
      <c r="AO1" s="1053"/>
      <c r="AP1" s="1053"/>
      <c r="AQ1" s="1053"/>
      <c r="AR1" s="1053"/>
    </row>
    <row r="2" spans="1:72" s="1054" customFormat="1" ht="15" customHeight="1" x14ac:dyDescent="0.2">
      <c r="B2" s="1055"/>
      <c r="C2" s="1360"/>
      <c r="D2" s="1055"/>
      <c r="E2" s="1056"/>
      <c r="F2" s="1056"/>
      <c r="G2" s="1056"/>
      <c r="H2" s="1056"/>
      <c r="I2" s="1056"/>
      <c r="J2" s="1056"/>
      <c r="K2" s="1056"/>
      <c r="L2" s="1056"/>
      <c r="M2" s="1056"/>
      <c r="N2" s="1056"/>
      <c r="O2" s="1056"/>
      <c r="P2" s="1056"/>
      <c r="Q2" s="1056"/>
      <c r="R2" s="1056"/>
      <c r="S2" s="1056"/>
      <c r="T2" s="1056"/>
      <c r="U2" s="1055"/>
      <c r="V2" s="1055"/>
      <c r="W2" s="1055"/>
      <c r="X2" s="1055"/>
      <c r="Y2" s="1055"/>
      <c r="Z2" s="1055"/>
      <c r="AA2" s="1055"/>
      <c r="AB2" s="1055"/>
      <c r="AC2" s="1055"/>
      <c r="AD2" s="1055"/>
      <c r="AE2" s="1055"/>
      <c r="AF2" s="1055"/>
      <c r="AG2" s="1055"/>
      <c r="AH2" s="1055"/>
      <c r="AI2" s="1055"/>
      <c r="AJ2" s="1055"/>
      <c r="AK2" s="1055"/>
      <c r="AL2" s="1055"/>
      <c r="AM2" s="1055"/>
      <c r="AN2" s="1055"/>
      <c r="AO2" s="1055"/>
      <c r="AP2" s="1055"/>
      <c r="AQ2" s="1055"/>
      <c r="AR2" s="1055"/>
    </row>
    <row r="3" spans="1:72" ht="12.75" customHeight="1" x14ac:dyDescent="0.2">
      <c r="A3" s="5224" t="s">
        <v>16</v>
      </c>
      <c r="B3" s="5224" t="s">
        <v>4</v>
      </c>
      <c r="C3" s="5531" t="s">
        <v>144</v>
      </c>
      <c r="D3" s="5224" t="s">
        <v>351</v>
      </c>
      <c r="E3" s="5444">
        <v>1999</v>
      </c>
      <c r="F3" s="5445"/>
      <c r="G3" s="5445"/>
      <c r="H3" s="5446"/>
      <c r="I3" s="5444">
        <v>2000</v>
      </c>
      <c r="J3" s="5445"/>
      <c r="K3" s="5445"/>
      <c r="L3" s="5446"/>
      <c r="M3" s="5444">
        <v>2001</v>
      </c>
      <c r="N3" s="5445"/>
      <c r="O3" s="5445"/>
      <c r="P3" s="5446"/>
      <c r="Q3" s="5444">
        <v>2002</v>
      </c>
      <c r="R3" s="5445"/>
      <c r="S3" s="5445"/>
      <c r="T3" s="5446"/>
      <c r="U3" s="5444">
        <v>2003</v>
      </c>
      <c r="V3" s="5445"/>
      <c r="W3" s="5445"/>
      <c r="X3" s="5446"/>
      <c r="Y3" s="5444">
        <v>2004</v>
      </c>
      <c r="Z3" s="5445"/>
      <c r="AA3" s="5445"/>
      <c r="AB3" s="5446"/>
      <c r="AC3" s="5444">
        <v>2005</v>
      </c>
      <c r="AD3" s="5445"/>
      <c r="AE3" s="5445"/>
      <c r="AF3" s="5446"/>
      <c r="AG3" s="5444">
        <v>2006</v>
      </c>
      <c r="AH3" s="5445"/>
      <c r="AI3" s="5445"/>
      <c r="AJ3" s="5446"/>
      <c r="AK3" s="5444">
        <v>2007</v>
      </c>
      <c r="AL3" s="5445"/>
      <c r="AM3" s="5445"/>
      <c r="AN3" s="5446"/>
      <c r="AO3" s="5444">
        <v>2008</v>
      </c>
      <c r="AP3" s="5445"/>
      <c r="AQ3" s="5445"/>
      <c r="AR3" s="5446"/>
      <c r="AS3" s="5444">
        <v>2009</v>
      </c>
      <c r="AT3" s="5445"/>
      <c r="AU3" s="5445"/>
      <c r="AV3" s="5446"/>
      <c r="AW3" s="5444">
        <v>2010</v>
      </c>
      <c r="AX3" s="5445"/>
      <c r="AY3" s="5445"/>
      <c r="AZ3" s="5446"/>
      <c r="BA3" s="5444">
        <v>2011</v>
      </c>
      <c r="BB3" s="5445"/>
      <c r="BC3" s="5445"/>
      <c r="BD3" s="5446"/>
      <c r="BE3" s="5444">
        <v>2012</v>
      </c>
      <c r="BF3" s="5445"/>
      <c r="BG3" s="5445"/>
      <c r="BH3" s="5446"/>
      <c r="BI3" s="5444">
        <v>2013</v>
      </c>
      <c r="BJ3" s="5445"/>
      <c r="BK3" s="5445"/>
      <c r="BL3" s="5446"/>
      <c r="BM3" s="5444">
        <v>2014</v>
      </c>
      <c r="BN3" s="5445"/>
      <c r="BO3" s="5445"/>
      <c r="BP3" s="5446"/>
      <c r="BQ3" s="5444">
        <v>2015</v>
      </c>
      <c r="BR3" s="5445"/>
      <c r="BS3" s="5445"/>
      <c r="BT3" s="5446"/>
    </row>
    <row r="4" spans="1:72" ht="15" customHeight="1" x14ac:dyDescent="0.2">
      <c r="A4" s="5224"/>
      <c r="B4" s="5224"/>
      <c r="C4" s="5532"/>
      <c r="D4" s="5224"/>
      <c r="E4" s="1092" t="s">
        <v>670</v>
      </c>
      <c r="F4" s="1093" t="s">
        <v>668</v>
      </c>
      <c r="G4" s="1094" t="s">
        <v>669</v>
      </c>
      <c r="H4" s="1090" t="s">
        <v>160</v>
      </c>
      <c r="I4" s="1092" t="s">
        <v>670</v>
      </c>
      <c r="J4" s="1093" t="s">
        <v>668</v>
      </c>
      <c r="K4" s="1094" t="s">
        <v>669</v>
      </c>
      <c r="L4" s="1090" t="s">
        <v>160</v>
      </c>
      <c r="M4" s="1092" t="s">
        <v>670</v>
      </c>
      <c r="N4" s="1093" t="s">
        <v>668</v>
      </c>
      <c r="O4" s="1094" t="s">
        <v>669</v>
      </c>
      <c r="P4" s="1090" t="s">
        <v>160</v>
      </c>
      <c r="Q4" s="1092" t="s">
        <v>670</v>
      </c>
      <c r="R4" s="1093" t="s">
        <v>668</v>
      </c>
      <c r="S4" s="1094" t="s">
        <v>669</v>
      </c>
      <c r="T4" s="1090" t="s">
        <v>160</v>
      </c>
      <c r="U4" s="1092" t="s">
        <v>670</v>
      </c>
      <c r="V4" s="1093" t="s">
        <v>668</v>
      </c>
      <c r="W4" s="1094" t="s">
        <v>669</v>
      </c>
      <c r="X4" s="1090" t="s">
        <v>160</v>
      </c>
      <c r="Y4" s="1092" t="s">
        <v>670</v>
      </c>
      <c r="Z4" s="1093" t="s">
        <v>668</v>
      </c>
      <c r="AA4" s="1094" t="s">
        <v>669</v>
      </c>
      <c r="AB4" s="1090" t="s">
        <v>160</v>
      </c>
      <c r="AC4" s="1092" t="s">
        <v>670</v>
      </c>
      <c r="AD4" s="1093" t="s">
        <v>668</v>
      </c>
      <c r="AE4" s="1094" t="s">
        <v>669</v>
      </c>
      <c r="AF4" s="1090" t="s">
        <v>160</v>
      </c>
      <c r="AG4" s="1092" t="s">
        <v>670</v>
      </c>
      <c r="AH4" s="1093" t="s">
        <v>668</v>
      </c>
      <c r="AI4" s="1094" t="s">
        <v>669</v>
      </c>
      <c r="AJ4" s="1090" t="s">
        <v>160</v>
      </c>
      <c r="AK4" s="1092" t="s">
        <v>670</v>
      </c>
      <c r="AL4" s="1093" t="s">
        <v>668</v>
      </c>
      <c r="AM4" s="1094" t="s">
        <v>669</v>
      </c>
      <c r="AN4" s="1090" t="s">
        <v>160</v>
      </c>
      <c r="AO4" s="1092" t="s">
        <v>670</v>
      </c>
      <c r="AP4" s="1093" t="s">
        <v>668</v>
      </c>
      <c r="AQ4" s="1094" t="s">
        <v>669</v>
      </c>
      <c r="AR4" s="1090" t="s">
        <v>160</v>
      </c>
      <c r="AS4" s="1092" t="s">
        <v>670</v>
      </c>
      <c r="AT4" s="1093" t="s">
        <v>668</v>
      </c>
      <c r="AU4" s="1094" t="s">
        <v>669</v>
      </c>
      <c r="AV4" s="1090" t="s">
        <v>160</v>
      </c>
      <c r="AW4" s="1092" t="s">
        <v>670</v>
      </c>
      <c r="AX4" s="1093" t="s">
        <v>668</v>
      </c>
      <c r="AY4" s="1094" t="s">
        <v>669</v>
      </c>
      <c r="AZ4" s="1090" t="s">
        <v>160</v>
      </c>
      <c r="BA4" s="1092" t="s">
        <v>670</v>
      </c>
      <c r="BB4" s="1093" t="s">
        <v>668</v>
      </c>
      <c r="BC4" s="1094" t="s">
        <v>669</v>
      </c>
      <c r="BD4" s="1090" t="s">
        <v>160</v>
      </c>
      <c r="BE4" s="1092" t="s">
        <v>670</v>
      </c>
      <c r="BF4" s="1093" t="s">
        <v>668</v>
      </c>
      <c r="BG4" s="1094" t="s">
        <v>669</v>
      </c>
      <c r="BH4" s="1090" t="s">
        <v>160</v>
      </c>
      <c r="BI4" s="1480" t="s">
        <v>670</v>
      </c>
      <c r="BJ4" s="1481" t="s">
        <v>668</v>
      </c>
      <c r="BK4" s="1482" t="s">
        <v>669</v>
      </c>
      <c r="BL4" s="1090" t="s">
        <v>160</v>
      </c>
      <c r="BM4" s="2168" t="s">
        <v>670</v>
      </c>
      <c r="BN4" s="2169" t="s">
        <v>668</v>
      </c>
      <c r="BO4" s="2170" t="s">
        <v>669</v>
      </c>
      <c r="BP4" s="1090" t="s">
        <v>160</v>
      </c>
      <c r="BQ4" s="4802" t="s">
        <v>670</v>
      </c>
      <c r="BR4" s="4803" t="s">
        <v>668</v>
      </c>
      <c r="BS4" s="4804" t="s">
        <v>669</v>
      </c>
      <c r="BT4" s="1090" t="s">
        <v>160</v>
      </c>
    </row>
    <row r="5" spans="1:72" ht="15" x14ac:dyDescent="0.2">
      <c r="A5" s="5272" t="s">
        <v>446</v>
      </c>
      <c r="B5" s="5633" t="s">
        <v>5</v>
      </c>
      <c r="C5" s="1361" t="s">
        <v>528</v>
      </c>
      <c r="D5" s="1288" t="s">
        <v>577</v>
      </c>
      <c r="E5" s="1289"/>
      <c r="F5" s="1290"/>
      <c r="G5" s="1291"/>
      <c r="H5" s="1292"/>
      <c r="I5" s="1289"/>
      <c r="J5" s="1290"/>
      <c r="K5" s="1291"/>
      <c r="L5" s="1292"/>
      <c r="M5" s="1289"/>
      <c r="N5" s="1290"/>
      <c r="O5" s="1291"/>
      <c r="P5" s="1292"/>
      <c r="Q5" s="1293">
        <v>1</v>
      </c>
      <c r="R5" s="1290"/>
      <c r="S5" s="1291"/>
      <c r="T5" s="1292">
        <f>SUM(Q5:S5)</f>
        <v>1</v>
      </c>
      <c r="U5" s="1289"/>
      <c r="V5" s="1290">
        <v>2</v>
      </c>
      <c r="W5" s="1291"/>
      <c r="X5" s="1292">
        <f>SUM(U5:W5)</f>
        <v>2</v>
      </c>
      <c r="Y5" s="1289"/>
      <c r="Z5" s="1291"/>
      <c r="AA5" s="1291"/>
      <c r="AB5" s="1291"/>
      <c r="AC5" s="1289"/>
      <c r="AD5" s="1291"/>
      <c r="AE5" s="1291"/>
      <c r="AF5" s="1294"/>
      <c r="AG5" s="1291"/>
      <c r="AH5" s="1291"/>
      <c r="AI5" s="1291"/>
      <c r="AJ5" s="1294"/>
      <c r="AK5" s="1291"/>
      <c r="AL5" s="1291"/>
      <c r="AM5" s="1291"/>
      <c r="AN5" s="1294"/>
      <c r="AO5" s="1291"/>
      <c r="AP5" s="1291"/>
      <c r="AQ5" s="1291"/>
      <c r="AR5" s="1294"/>
      <c r="AS5" s="1291"/>
      <c r="AT5" s="1291"/>
      <c r="AU5" s="1291"/>
      <c r="AV5" s="1294"/>
      <c r="AW5" s="1291"/>
      <c r="AX5" s="1291"/>
      <c r="AY5" s="1291"/>
      <c r="AZ5" s="1295">
        <f t="shared" ref="AZ5:AZ24" si="0">SUM(AW5:AY5)</f>
        <v>0</v>
      </c>
      <c r="BA5" s="1291"/>
      <c r="BB5" s="1291"/>
      <c r="BC5" s="1291"/>
      <c r="BD5" s="1295">
        <f t="shared" ref="BD5:BD24" si="1">SUM(BA5:BC5)</f>
        <v>0</v>
      </c>
      <c r="BE5" s="1289"/>
      <c r="BF5" s="1291"/>
      <c r="BG5" s="1291"/>
      <c r="BH5" s="1294"/>
      <c r="BI5" s="1289"/>
      <c r="BJ5" s="1291"/>
      <c r="BK5" s="1291"/>
      <c r="BL5" s="1294"/>
      <c r="BM5" s="1289"/>
      <c r="BN5" s="1291"/>
      <c r="BO5" s="1291"/>
      <c r="BP5" s="1300"/>
      <c r="BQ5" s="1289"/>
      <c r="BR5" s="1291"/>
      <c r="BS5" s="1291"/>
      <c r="BT5" s="1300"/>
    </row>
    <row r="6" spans="1:72" ht="15" x14ac:dyDescent="0.2">
      <c r="A6" s="5273"/>
      <c r="B6" s="5634"/>
      <c r="C6" s="5643" t="s">
        <v>527</v>
      </c>
      <c r="D6" s="1296" t="s">
        <v>578</v>
      </c>
      <c r="E6" s="1297"/>
      <c r="F6" s="1298"/>
      <c r="G6" s="1298"/>
      <c r="H6" s="1299"/>
      <c r="I6" s="1297"/>
      <c r="J6" s="1298"/>
      <c r="K6" s="1298"/>
      <c r="L6" s="1299"/>
      <c r="M6" s="1297">
        <v>1</v>
      </c>
      <c r="N6" s="1298">
        <v>3</v>
      </c>
      <c r="O6" s="1298">
        <v>5</v>
      </c>
      <c r="P6" s="1299">
        <f>SUM(M6:O6)</f>
        <v>9</v>
      </c>
      <c r="Q6" s="1297"/>
      <c r="R6" s="1298">
        <v>1</v>
      </c>
      <c r="S6" s="1298">
        <v>4</v>
      </c>
      <c r="T6" s="1299">
        <f>SUM(R6:S6)</f>
        <v>5</v>
      </c>
      <c r="U6" s="1297">
        <v>3</v>
      </c>
      <c r="V6" s="1298">
        <v>7</v>
      </c>
      <c r="W6" s="1298">
        <v>5</v>
      </c>
      <c r="X6" s="1299">
        <f>SUM(U6:W6)</f>
        <v>15</v>
      </c>
      <c r="Y6" s="1297">
        <v>5</v>
      </c>
      <c r="Z6" s="1298">
        <v>4</v>
      </c>
      <c r="AA6" s="1298">
        <v>7</v>
      </c>
      <c r="AB6" s="1299">
        <f>SUM(Y6:AA6)</f>
        <v>16</v>
      </c>
      <c r="AC6" s="1297">
        <v>5</v>
      </c>
      <c r="AD6" s="1298">
        <v>4</v>
      </c>
      <c r="AE6" s="1298">
        <v>6</v>
      </c>
      <c r="AF6" s="1300">
        <f>SUM(AC6:AE6)</f>
        <v>15</v>
      </c>
      <c r="AG6" s="1298">
        <v>4</v>
      </c>
      <c r="AH6" s="1298">
        <v>7</v>
      </c>
      <c r="AI6" s="1298">
        <v>4</v>
      </c>
      <c r="AJ6" s="1300">
        <f>SUM(AG6:AI6)</f>
        <v>15</v>
      </c>
      <c r="AK6" s="1298">
        <v>12</v>
      </c>
      <c r="AL6" s="1298">
        <v>7</v>
      </c>
      <c r="AM6" s="1298">
        <v>9</v>
      </c>
      <c r="AN6" s="1300">
        <f>SUM(AK6:AM6)</f>
        <v>28</v>
      </c>
      <c r="AO6" s="1298">
        <v>7</v>
      </c>
      <c r="AP6" s="1298">
        <v>10</v>
      </c>
      <c r="AQ6" s="1298">
        <v>9</v>
      </c>
      <c r="AR6" s="1300">
        <f t="shared" ref="AR6:AR15" si="2">SUM(AO6:AQ6)</f>
        <v>26</v>
      </c>
      <c r="AS6" s="1298">
        <v>1</v>
      </c>
      <c r="AT6" s="1298">
        <v>7</v>
      </c>
      <c r="AU6" s="1298">
        <v>1</v>
      </c>
      <c r="AV6" s="1300">
        <f t="shared" ref="AV6:AV16" si="3">SUM(AS6:AU6)</f>
        <v>9</v>
      </c>
      <c r="AW6" s="1298"/>
      <c r="AX6" s="1298">
        <v>4</v>
      </c>
      <c r="AY6" s="1298">
        <v>6</v>
      </c>
      <c r="AZ6" s="1300">
        <f t="shared" si="0"/>
        <v>10</v>
      </c>
      <c r="BA6" s="1298">
        <v>8</v>
      </c>
      <c r="BB6" s="1298">
        <v>6</v>
      </c>
      <c r="BC6" s="1298">
        <v>4</v>
      </c>
      <c r="BD6" s="1300">
        <f t="shared" si="1"/>
        <v>18</v>
      </c>
      <c r="BE6" s="1297">
        <v>11</v>
      </c>
      <c r="BF6" s="1298">
        <v>8</v>
      </c>
      <c r="BG6" s="1298">
        <v>7</v>
      </c>
      <c r="BH6" s="1300">
        <f>SUM(BE6:BG6)</f>
        <v>26</v>
      </c>
      <c r="BI6" s="1297">
        <v>6</v>
      </c>
      <c r="BJ6" s="1298">
        <v>3</v>
      </c>
      <c r="BK6" s="1298">
        <v>5</v>
      </c>
      <c r="BL6" s="1300">
        <f>SUM(BI6:BK6)</f>
        <v>14</v>
      </c>
      <c r="BM6" s="1297">
        <v>8</v>
      </c>
      <c r="BN6" s="1298">
        <v>7</v>
      </c>
      <c r="BO6" s="1298">
        <v>2</v>
      </c>
      <c r="BP6" s="1300">
        <f t="shared" ref="BP6:BP12" si="4">SUM(BM6:BO6)</f>
        <v>17</v>
      </c>
      <c r="BQ6" s="1297">
        <v>10</v>
      </c>
      <c r="BR6" s="1298">
        <v>7</v>
      </c>
      <c r="BS6" s="1298"/>
      <c r="BT6" s="1300">
        <f t="shared" ref="BT6:BT12" si="5">SUM(BQ6:BS6)</f>
        <v>17</v>
      </c>
    </row>
    <row r="7" spans="1:72" ht="15" x14ac:dyDescent="0.2">
      <c r="A7" s="5273"/>
      <c r="B7" s="5634"/>
      <c r="C7" s="5644"/>
      <c r="D7" s="1301" t="s">
        <v>136</v>
      </c>
      <c r="E7" s="1297"/>
      <c r="F7" s="1298"/>
      <c r="G7" s="1298"/>
      <c r="H7" s="1299"/>
      <c r="I7" s="1297"/>
      <c r="J7" s="1298"/>
      <c r="K7" s="1298"/>
      <c r="L7" s="1299"/>
      <c r="M7" s="1297"/>
      <c r="N7" s="1298"/>
      <c r="O7" s="1298"/>
      <c r="P7" s="1299"/>
      <c r="Q7" s="1297"/>
      <c r="R7" s="1298"/>
      <c r="S7" s="1298"/>
      <c r="T7" s="1299"/>
      <c r="U7" s="1297"/>
      <c r="V7" s="1298"/>
      <c r="W7" s="1298"/>
      <c r="X7" s="1299"/>
      <c r="Y7" s="1297"/>
      <c r="Z7" s="1298">
        <v>1</v>
      </c>
      <c r="AA7" s="1298"/>
      <c r="AB7" s="1299">
        <f>SUM(Y7:AA7)</f>
        <v>1</v>
      </c>
      <c r="AC7" s="1297"/>
      <c r="AD7" s="1298">
        <v>4</v>
      </c>
      <c r="AE7" s="1298">
        <v>1</v>
      </c>
      <c r="AF7" s="1300">
        <f>SUM(AC7:AE7)</f>
        <v>5</v>
      </c>
      <c r="AG7" s="1298">
        <v>2</v>
      </c>
      <c r="AH7" s="1298">
        <v>2</v>
      </c>
      <c r="AI7" s="1298"/>
      <c r="AJ7" s="1300">
        <f>SUM(AG7:AI7)</f>
        <v>4</v>
      </c>
      <c r="AK7" s="1298">
        <v>1</v>
      </c>
      <c r="AL7" s="1298"/>
      <c r="AM7" s="1298"/>
      <c r="AN7" s="1300">
        <f>SUM(AK7:AM7)</f>
        <v>1</v>
      </c>
      <c r="AO7" s="1298">
        <v>2</v>
      </c>
      <c r="AP7" s="1298">
        <v>1</v>
      </c>
      <c r="AQ7" s="1298">
        <v>2</v>
      </c>
      <c r="AR7" s="1300">
        <f>SUM(AO7:AQ7)</f>
        <v>5</v>
      </c>
      <c r="AS7" s="1298"/>
      <c r="AT7" s="1298">
        <v>3</v>
      </c>
      <c r="AU7" s="1298">
        <v>1</v>
      </c>
      <c r="AV7" s="1300">
        <f>SUM(AS7:AU7)</f>
        <v>4</v>
      </c>
      <c r="AW7" s="1298">
        <v>5</v>
      </c>
      <c r="AX7" s="1298">
        <v>3</v>
      </c>
      <c r="AY7" s="1298"/>
      <c r="AZ7" s="1300">
        <f>SUM(AW7:AY7)</f>
        <v>8</v>
      </c>
      <c r="BA7" s="1298">
        <v>3</v>
      </c>
      <c r="BB7" s="1298">
        <v>3</v>
      </c>
      <c r="BC7" s="1298">
        <v>3</v>
      </c>
      <c r="BD7" s="1300">
        <f>SUM(BA7:BC7)</f>
        <v>9</v>
      </c>
      <c r="BE7" s="1297">
        <v>4</v>
      </c>
      <c r="BF7" s="1298">
        <v>3</v>
      </c>
      <c r="BG7" s="1298">
        <v>5</v>
      </c>
      <c r="BH7" s="1300">
        <f>SUM(BE7:BG7)</f>
        <v>12</v>
      </c>
      <c r="BI7" s="1297">
        <v>1</v>
      </c>
      <c r="BJ7" s="1298">
        <v>5</v>
      </c>
      <c r="BK7" s="1298">
        <v>2</v>
      </c>
      <c r="BL7" s="1300">
        <f>SUM(BI7:BK7)</f>
        <v>8</v>
      </c>
      <c r="BM7" s="1297">
        <v>1</v>
      </c>
      <c r="BN7" s="1298">
        <v>3</v>
      </c>
      <c r="BO7" s="1298">
        <v>8</v>
      </c>
      <c r="BP7" s="1300">
        <f t="shared" si="4"/>
        <v>12</v>
      </c>
      <c r="BQ7" s="1297">
        <v>1</v>
      </c>
      <c r="BR7" s="1298">
        <v>1</v>
      </c>
      <c r="BS7" s="1298">
        <v>7</v>
      </c>
      <c r="BT7" s="1300">
        <f t="shared" si="5"/>
        <v>9</v>
      </c>
    </row>
    <row r="8" spans="1:72" ht="15" x14ac:dyDescent="0.2">
      <c r="A8" s="5273"/>
      <c r="B8" s="5634"/>
      <c r="C8" s="5644"/>
      <c r="D8" s="1302" t="s">
        <v>135</v>
      </c>
      <c r="E8" s="1303"/>
      <c r="F8" s="1304">
        <v>2</v>
      </c>
      <c r="G8" s="1304">
        <v>1</v>
      </c>
      <c r="H8" s="1305">
        <f>SUM(F8:G8)</f>
        <v>3</v>
      </c>
      <c r="I8" s="1303">
        <v>1</v>
      </c>
      <c r="J8" s="1304"/>
      <c r="K8" s="1304">
        <v>1</v>
      </c>
      <c r="L8" s="1305">
        <f>SUM(I8:K8)</f>
        <v>2</v>
      </c>
      <c r="M8" s="1303">
        <v>1</v>
      </c>
      <c r="N8" s="1304">
        <v>1</v>
      </c>
      <c r="O8" s="1304">
        <v>2</v>
      </c>
      <c r="P8" s="1305">
        <f>SUM(M8:O8)</f>
        <v>4</v>
      </c>
      <c r="Q8" s="1303"/>
      <c r="R8" s="1304">
        <v>5</v>
      </c>
      <c r="S8" s="1304">
        <v>3</v>
      </c>
      <c r="T8" s="1305">
        <f>SUM(R8:S8)</f>
        <v>8</v>
      </c>
      <c r="U8" s="1303">
        <v>1</v>
      </c>
      <c r="V8" s="1304">
        <v>4</v>
      </c>
      <c r="W8" s="1304">
        <v>1</v>
      </c>
      <c r="X8" s="1305">
        <f>SUM(U8:W8)</f>
        <v>6</v>
      </c>
      <c r="Y8" s="1303">
        <v>1</v>
      </c>
      <c r="Z8" s="1304">
        <v>1</v>
      </c>
      <c r="AA8" s="1304">
        <v>1</v>
      </c>
      <c r="AB8" s="1305">
        <f>SUM(Y8:AA8)</f>
        <v>3</v>
      </c>
      <c r="AC8" s="1303"/>
      <c r="AD8" s="1304">
        <v>6</v>
      </c>
      <c r="AE8" s="1304"/>
      <c r="AF8" s="1306">
        <f>SUM(AC8:AE8)</f>
        <v>6</v>
      </c>
      <c r="AG8" s="1304">
        <v>1</v>
      </c>
      <c r="AH8" s="1304">
        <v>1</v>
      </c>
      <c r="AI8" s="1304">
        <v>2</v>
      </c>
      <c r="AJ8" s="1306">
        <f>SUM(AG8:AI8)</f>
        <v>4</v>
      </c>
      <c r="AK8" s="1304"/>
      <c r="AL8" s="1304">
        <v>2</v>
      </c>
      <c r="AM8" s="1304">
        <v>3</v>
      </c>
      <c r="AN8" s="1306">
        <f>SUM(AK8:AM8)</f>
        <v>5</v>
      </c>
      <c r="AO8" s="1304">
        <v>1</v>
      </c>
      <c r="AP8" s="1304"/>
      <c r="AQ8" s="1304">
        <v>1</v>
      </c>
      <c r="AR8" s="1306">
        <f>SUM(AO8:AQ8)</f>
        <v>2</v>
      </c>
      <c r="AS8" s="1304"/>
      <c r="AT8" s="1304">
        <v>2</v>
      </c>
      <c r="AU8" s="1304"/>
      <c r="AV8" s="1306">
        <f>SUM(AS8:AU8)</f>
        <v>2</v>
      </c>
      <c r="AW8" s="1304"/>
      <c r="AX8" s="1304"/>
      <c r="AY8" s="1304">
        <v>1</v>
      </c>
      <c r="AZ8" s="1306">
        <f>SUM(AW8:AY8)</f>
        <v>1</v>
      </c>
      <c r="BA8" s="1304">
        <v>1</v>
      </c>
      <c r="BB8" s="1304">
        <v>3</v>
      </c>
      <c r="BC8" s="1304"/>
      <c r="BD8" s="1306">
        <f>SUM(BA8:BC8)</f>
        <v>4</v>
      </c>
      <c r="BE8" s="1304"/>
      <c r="BF8" s="1304">
        <v>1</v>
      </c>
      <c r="BG8" s="1304"/>
      <c r="BH8" s="1306">
        <f>SUM(BE8:BG8)</f>
        <v>1</v>
      </c>
      <c r="BI8" s="1304"/>
      <c r="BJ8" s="1304"/>
      <c r="BK8" s="1304">
        <v>1</v>
      </c>
      <c r="BL8" s="1306">
        <f>SUM(BI8:BK8)</f>
        <v>1</v>
      </c>
      <c r="BM8" s="1304">
        <v>1</v>
      </c>
      <c r="BN8" s="1304">
        <v>2</v>
      </c>
      <c r="BO8" s="1304"/>
      <c r="BP8" s="1306">
        <f t="shared" si="4"/>
        <v>3</v>
      </c>
      <c r="BQ8" s="1304"/>
      <c r="BR8" s="1304"/>
      <c r="BS8" s="1304"/>
      <c r="BT8" s="1306">
        <f t="shared" si="5"/>
        <v>0</v>
      </c>
    </row>
    <row r="9" spans="1:72" ht="15" x14ac:dyDescent="0.2">
      <c r="A9" s="5273"/>
      <c r="B9" s="5634"/>
      <c r="C9" s="5644"/>
      <c r="D9" s="1302" t="s">
        <v>634</v>
      </c>
      <c r="E9" s="1303"/>
      <c r="F9" s="1304"/>
      <c r="G9" s="1304"/>
      <c r="H9" s="1305"/>
      <c r="I9" s="1303"/>
      <c r="J9" s="1304"/>
      <c r="K9" s="1304"/>
      <c r="L9" s="1305"/>
      <c r="M9" s="1303"/>
      <c r="N9" s="1304"/>
      <c r="O9" s="1304"/>
      <c r="P9" s="1305"/>
      <c r="Q9" s="1303"/>
      <c r="R9" s="1304"/>
      <c r="S9" s="1304"/>
      <c r="T9" s="1305"/>
      <c r="U9" s="1303"/>
      <c r="V9" s="1304"/>
      <c r="W9" s="1304"/>
      <c r="X9" s="1305"/>
      <c r="Y9" s="1303"/>
      <c r="Z9" s="1304"/>
      <c r="AA9" s="1304"/>
      <c r="AB9" s="1305"/>
      <c r="AC9" s="1303"/>
      <c r="AD9" s="1304"/>
      <c r="AE9" s="1304"/>
      <c r="AF9" s="1306"/>
      <c r="AG9" s="1304"/>
      <c r="AH9" s="1304"/>
      <c r="AI9" s="1304"/>
      <c r="AJ9" s="1306"/>
      <c r="AK9" s="1304"/>
      <c r="AL9" s="1304"/>
      <c r="AM9" s="1304"/>
      <c r="AN9" s="1306"/>
      <c r="AO9" s="1304"/>
      <c r="AP9" s="1304"/>
      <c r="AQ9" s="1304"/>
      <c r="AR9" s="1306"/>
      <c r="AS9" s="1304"/>
      <c r="AT9" s="1304"/>
      <c r="AU9" s="1304"/>
      <c r="AV9" s="1306"/>
      <c r="AW9" s="1304"/>
      <c r="AX9" s="1304"/>
      <c r="AY9" s="1304"/>
      <c r="AZ9" s="1306"/>
      <c r="BA9" s="1304"/>
      <c r="BB9" s="1304"/>
      <c r="BC9" s="1304"/>
      <c r="BD9" s="1306"/>
      <c r="BE9" s="1304"/>
      <c r="BF9" s="1304"/>
      <c r="BG9" s="1304"/>
      <c r="BH9" s="1306"/>
      <c r="BI9" s="1304"/>
      <c r="BJ9" s="1304"/>
      <c r="BK9" s="1304"/>
      <c r="BL9" s="1306"/>
      <c r="BM9" s="1304"/>
      <c r="BN9" s="1304">
        <v>1</v>
      </c>
      <c r="BO9" s="1304">
        <v>4</v>
      </c>
      <c r="BP9" s="1306">
        <f t="shared" si="4"/>
        <v>5</v>
      </c>
      <c r="BQ9" s="1304">
        <v>2</v>
      </c>
      <c r="BR9" s="1304">
        <v>2</v>
      </c>
      <c r="BS9" s="1304">
        <v>1</v>
      </c>
      <c r="BT9" s="1306">
        <f t="shared" si="5"/>
        <v>5</v>
      </c>
    </row>
    <row r="10" spans="1:72" ht="15" x14ac:dyDescent="0.2">
      <c r="A10" s="5273"/>
      <c r="B10" s="5634"/>
      <c r="C10" s="5645"/>
      <c r="D10" s="1302" t="s">
        <v>635</v>
      </c>
      <c r="E10" s="1303"/>
      <c r="F10" s="1304"/>
      <c r="G10" s="1304"/>
      <c r="H10" s="1305"/>
      <c r="I10" s="1303"/>
      <c r="J10" s="1304"/>
      <c r="K10" s="1304"/>
      <c r="L10" s="1305"/>
      <c r="M10" s="1303"/>
      <c r="N10" s="1304"/>
      <c r="O10" s="1304"/>
      <c r="P10" s="1305"/>
      <c r="Q10" s="1303"/>
      <c r="R10" s="1304"/>
      <c r="S10" s="1304"/>
      <c r="T10" s="1305"/>
      <c r="U10" s="1303"/>
      <c r="V10" s="1304"/>
      <c r="W10" s="1304"/>
      <c r="X10" s="1305"/>
      <c r="Y10" s="1303"/>
      <c r="Z10" s="1304"/>
      <c r="AA10" s="1304"/>
      <c r="AB10" s="1305"/>
      <c r="AC10" s="1303"/>
      <c r="AD10" s="1304"/>
      <c r="AE10" s="1304"/>
      <c r="AF10" s="1306"/>
      <c r="AG10" s="1304"/>
      <c r="AH10" s="1304"/>
      <c r="AI10" s="1304"/>
      <c r="AJ10" s="1306"/>
      <c r="AK10" s="1304"/>
      <c r="AL10" s="1304"/>
      <c r="AM10" s="1304"/>
      <c r="AN10" s="1306"/>
      <c r="AO10" s="1304"/>
      <c r="AP10" s="1304"/>
      <c r="AQ10" s="1304"/>
      <c r="AR10" s="1306"/>
      <c r="AS10" s="1304"/>
      <c r="AT10" s="1304"/>
      <c r="AU10" s="1304"/>
      <c r="AV10" s="1306"/>
      <c r="AW10" s="1304"/>
      <c r="AX10" s="1304"/>
      <c r="AY10" s="1304"/>
      <c r="AZ10" s="1306"/>
      <c r="BA10" s="1304"/>
      <c r="BB10" s="1304"/>
      <c r="BC10" s="1304"/>
      <c r="BD10" s="1306"/>
      <c r="BE10" s="1304"/>
      <c r="BF10" s="1304"/>
      <c r="BG10" s="1304"/>
      <c r="BH10" s="1306"/>
      <c r="BI10" s="1304"/>
      <c r="BJ10" s="1304"/>
      <c r="BK10" s="1304"/>
      <c r="BL10" s="1306"/>
      <c r="BM10" s="1304"/>
      <c r="BN10" s="1304">
        <v>1</v>
      </c>
      <c r="BO10" s="1304"/>
      <c r="BP10" s="1306">
        <f t="shared" si="4"/>
        <v>1</v>
      </c>
      <c r="BQ10" s="1304">
        <v>2</v>
      </c>
      <c r="BR10" s="1304">
        <v>1</v>
      </c>
      <c r="BS10" s="1304"/>
      <c r="BT10" s="1306">
        <f t="shared" si="5"/>
        <v>3</v>
      </c>
    </row>
    <row r="11" spans="1:72" ht="12.75" customHeight="1" x14ac:dyDescent="0.2">
      <c r="A11" s="5273"/>
      <c r="B11" s="5634"/>
      <c r="C11" s="5643" t="s">
        <v>526</v>
      </c>
      <c r="D11" s="1296" t="s">
        <v>568</v>
      </c>
      <c r="E11" s="1297"/>
      <c r="F11" s="1298"/>
      <c r="G11" s="1298"/>
      <c r="H11" s="1299"/>
      <c r="I11" s="1297"/>
      <c r="J11" s="1298"/>
      <c r="K11" s="1298"/>
      <c r="L11" s="1299"/>
      <c r="M11" s="1297"/>
      <c r="N11" s="1298"/>
      <c r="O11" s="1298"/>
      <c r="P11" s="1299"/>
      <c r="Q11" s="1297"/>
      <c r="R11" s="1298"/>
      <c r="S11" s="1298">
        <v>1</v>
      </c>
      <c r="T11" s="1299">
        <f>SUM(R11:S11)</f>
        <v>1</v>
      </c>
      <c r="U11" s="1297">
        <v>1</v>
      </c>
      <c r="V11" s="1298">
        <v>1</v>
      </c>
      <c r="W11" s="1298"/>
      <c r="X11" s="1299">
        <f>SUM(U11:W11)</f>
        <v>2</v>
      </c>
      <c r="Y11" s="1297">
        <v>1</v>
      </c>
      <c r="Z11" s="1298">
        <v>1</v>
      </c>
      <c r="AA11" s="1298">
        <v>2</v>
      </c>
      <c r="AB11" s="1299">
        <f>SUM(Y11:AA11)</f>
        <v>4</v>
      </c>
      <c r="AC11" s="1297">
        <v>1</v>
      </c>
      <c r="AD11" s="1298">
        <v>5</v>
      </c>
      <c r="AE11" s="1298">
        <v>3</v>
      </c>
      <c r="AF11" s="1300">
        <f>SUM(AC11:AE11)</f>
        <v>9</v>
      </c>
      <c r="AG11" s="1298">
        <v>1</v>
      </c>
      <c r="AH11" s="1298">
        <v>2</v>
      </c>
      <c r="AI11" s="1298">
        <v>4</v>
      </c>
      <c r="AJ11" s="1300">
        <f>SUM(AG11:AI11)</f>
        <v>7</v>
      </c>
      <c r="AK11" s="1298"/>
      <c r="AL11" s="1298">
        <v>1</v>
      </c>
      <c r="AM11" s="1298">
        <v>1</v>
      </c>
      <c r="AN11" s="1300">
        <f>SUM(AK11:AM11)</f>
        <v>2</v>
      </c>
      <c r="AO11" s="1298">
        <v>2</v>
      </c>
      <c r="AP11" s="1298">
        <v>1</v>
      </c>
      <c r="AQ11" s="1298"/>
      <c r="AR11" s="1300">
        <f t="shared" si="2"/>
        <v>3</v>
      </c>
      <c r="AS11" s="1298"/>
      <c r="AT11" s="1298">
        <v>2</v>
      </c>
      <c r="AU11" s="1298">
        <v>1</v>
      </c>
      <c r="AV11" s="1300">
        <f t="shared" si="3"/>
        <v>3</v>
      </c>
      <c r="AW11" s="1298">
        <v>1</v>
      </c>
      <c r="AX11" s="1298">
        <v>2</v>
      </c>
      <c r="AY11" s="1298">
        <v>1</v>
      </c>
      <c r="AZ11" s="1300">
        <f t="shared" si="0"/>
        <v>4</v>
      </c>
      <c r="BA11" s="1298">
        <v>3</v>
      </c>
      <c r="BB11" s="1298">
        <v>5</v>
      </c>
      <c r="BC11" s="1298">
        <v>2</v>
      </c>
      <c r="BD11" s="1300">
        <f t="shared" si="1"/>
        <v>10</v>
      </c>
      <c r="BE11" s="1297"/>
      <c r="BF11" s="1298">
        <v>1</v>
      </c>
      <c r="BG11" s="1298">
        <v>4</v>
      </c>
      <c r="BH11" s="1300">
        <f>SUM(BE11:BG11)</f>
        <v>5</v>
      </c>
      <c r="BI11" s="1297">
        <v>2</v>
      </c>
      <c r="BJ11" s="1298">
        <v>4</v>
      </c>
      <c r="BK11" s="1298">
        <v>5</v>
      </c>
      <c r="BL11" s="1300">
        <f>SUM(BI11:BK11)</f>
        <v>11</v>
      </c>
      <c r="BM11" s="1297">
        <v>1</v>
      </c>
      <c r="BN11" s="1298">
        <v>1</v>
      </c>
      <c r="BO11" s="1298">
        <v>3</v>
      </c>
      <c r="BP11" s="1300">
        <f t="shared" si="4"/>
        <v>5</v>
      </c>
      <c r="BQ11" s="1297">
        <v>1</v>
      </c>
      <c r="BR11" s="1298">
        <v>2</v>
      </c>
      <c r="BS11" s="1298"/>
      <c r="BT11" s="1300">
        <f t="shared" si="5"/>
        <v>3</v>
      </c>
    </row>
    <row r="12" spans="1:72" ht="14.25" customHeight="1" x14ac:dyDescent="0.2">
      <c r="A12" s="5273"/>
      <c r="B12" s="5634"/>
      <c r="C12" s="5644"/>
      <c r="D12" s="1301" t="s">
        <v>137</v>
      </c>
      <c r="E12" s="1297"/>
      <c r="F12" s="1298"/>
      <c r="G12" s="1298"/>
      <c r="H12" s="1299"/>
      <c r="I12" s="1297"/>
      <c r="J12" s="1298"/>
      <c r="K12" s="1298"/>
      <c r="L12" s="1299"/>
      <c r="M12" s="1297"/>
      <c r="N12" s="1298"/>
      <c r="O12" s="1298"/>
      <c r="P12" s="1299"/>
      <c r="Q12" s="1297"/>
      <c r="R12" s="1298"/>
      <c r="S12" s="1298"/>
      <c r="T12" s="1299"/>
      <c r="U12" s="1297"/>
      <c r="V12" s="1298"/>
      <c r="W12" s="1298"/>
      <c r="X12" s="1299"/>
      <c r="Y12" s="1297"/>
      <c r="Z12" s="1298"/>
      <c r="AA12" s="1298"/>
      <c r="AB12" s="1299"/>
      <c r="AC12" s="1297"/>
      <c r="AD12" s="1298"/>
      <c r="AE12" s="1298"/>
      <c r="AF12" s="1300"/>
      <c r="AG12" s="1298"/>
      <c r="AH12" s="1298"/>
      <c r="AI12" s="1298"/>
      <c r="AJ12" s="1300"/>
      <c r="AK12" s="1298"/>
      <c r="AL12" s="1298"/>
      <c r="AM12" s="1298"/>
      <c r="AN12" s="1300"/>
      <c r="AO12" s="1298"/>
      <c r="AP12" s="1298"/>
      <c r="AQ12" s="1298"/>
      <c r="AR12" s="1300">
        <f t="shared" si="2"/>
        <v>0</v>
      </c>
      <c r="AS12" s="1298"/>
      <c r="AT12" s="1298"/>
      <c r="AU12" s="1298"/>
      <c r="AV12" s="1300">
        <f t="shared" si="3"/>
        <v>0</v>
      </c>
      <c r="AW12" s="1298"/>
      <c r="AX12" s="1298">
        <v>1</v>
      </c>
      <c r="AY12" s="1298">
        <v>1</v>
      </c>
      <c r="AZ12" s="1300">
        <f t="shared" si="0"/>
        <v>2</v>
      </c>
      <c r="BA12" s="1298"/>
      <c r="BB12" s="1298">
        <v>1</v>
      </c>
      <c r="BC12" s="1298"/>
      <c r="BD12" s="1300">
        <f t="shared" si="1"/>
        <v>1</v>
      </c>
      <c r="BE12" s="1297"/>
      <c r="BF12" s="1298"/>
      <c r="BG12" s="1298">
        <v>1</v>
      </c>
      <c r="BH12" s="1300">
        <f>SUM(BE12:BG12)</f>
        <v>1</v>
      </c>
      <c r="BI12" s="1297"/>
      <c r="BJ12" s="1298">
        <v>1</v>
      </c>
      <c r="BK12" s="1298">
        <v>1</v>
      </c>
      <c r="BL12" s="1300">
        <f>SUM(BI12:BK12)</f>
        <v>2</v>
      </c>
      <c r="BM12" s="1297"/>
      <c r="BN12" s="1298"/>
      <c r="BO12" s="1298"/>
      <c r="BP12" s="1300">
        <f t="shared" si="4"/>
        <v>0</v>
      </c>
      <c r="BQ12" s="1297">
        <v>0</v>
      </c>
      <c r="BR12" s="1298">
        <v>1</v>
      </c>
      <c r="BS12" s="1298"/>
      <c r="BT12" s="1300">
        <f t="shared" si="5"/>
        <v>1</v>
      </c>
    </row>
    <row r="13" spans="1:72" ht="14.25" customHeight="1" x14ac:dyDescent="0.2">
      <c r="A13" s="5273"/>
      <c r="B13" s="5635"/>
      <c r="C13" s="1364"/>
      <c r="D13" s="1307" t="s">
        <v>160</v>
      </c>
      <c r="E13" s="1308">
        <f t="shared" ref="E13:AJ13" si="6">SUM(E5:E12)</f>
        <v>0</v>
      </c>
      <c r="F13" s="1309">
        <f t="shared" si="6"/>
        <v>2</v>
      </c>
      <c r="G13" s="1309">
        <f t="shared" si="6"/>
        <v>1</v>
      </c>
      <c r="H13" s="1309">
        <f t="shared" si="6"/>
        <v>3</v>
      </c>
      <c r="I13" s="1308">
        <f t="shared" si="6"/>
        <v>1</v>
      </c>
      <c r="J13" s="1309">
        <f t="shared" si="6"/>
        <v>0</v>
      </c>
      <c r="K13" s="1309">
        <f t="shared" si="6"/>
        <v>1</v>
      </c>
      <c r="L13" s="1309">
        <f t="shared" si="6"/>
        <v>2</v>
      </c>
      <c r="M13" s="1308">
        <f t="shared" si="6"/>
        <v>2</v>
      </c>
      <c r="N13" s="1309">
        <f t="shared" si="6"/>
        <v>4</v>
      </c>
      <c r="O13" s="1309">
        <f t="shared" si="6"/>
        <v>7</v>
      </c>
      <c r="P13" s="1309">
        <f t="shared" si="6"/>
        <v>13</v>
      </c>
      <c r="Q13" s="1308">
        <f t="shared" si="6"/>
        <v>1</v>
      </c>
      <c r="R13" s="1309">
        <f t="shared" si="6"/>
        <v>6</v>
      </c>
      <c r="S13" s="1309">
        <f t="shared" si="6"/>
        <v>8</v>
      </c>
      <c r="T13" s="1309">
        <f t="shared" si="6"/>
        <v>15</v>
      </c>
      <c r="U13" s="1308">
        <f t="shared" si="6"/>
        <v>5</v>
      </c>
      <c r="V13" s="1309">
        <f t="shared" si="6"/>
        <v>14</v>
      </c>
      <c r="W13" s="1309">
        <f t="shared" si="6"/>
        <v>6</v>
      </c>
      <c r="X13" s="1309">
        <f t="shared" si="6"/>
        <v>25</v>
      </c>
      <c r="Y13" s="1308">
        <f t="shared" si="6"/>
        <v>7</v>
      </c>
      <c r="Z13" s="1309">
        <f t="shared" si="6"/>
        <v>7</v>
      </c>
      <c r="AA13" s="1309">
        <f t="shared" si="6"/>
        <v>10</v>
      </c>
      <c r="AB13" s="1309">
        <f t="shared" si="6"/>
        <v>24</v>
      </c>
      <c r="AC13" s="1308">
        <f t="shared" si="6"/>
        <v>6</v>
      </c>
      <c r="AD13" s="1309">
        <f t="shared" si="6"/>
        <v>19</v>
      </c>
      <c r="AE13" s="1309">
        <f t="shared" si="6"/>
        <v>10</v>
      </c>
      <c r="AF13" s="1366">
        <f t="shared" si="6"/>
        <v>35</v>
      </c>
      <c r="AG13" s="1309">
        <f t="shared" si="6"/>
        <v>8</v>
      </c>
      <c r="AH13" s="1309">
        <f t="shared" si="6"/>
        <v>12</v>
      </c>
      <c r="AI13" s="1309">
        <f t="shared" si="6"/>
        <v>10</v>
      </c>
      <c r="AJ13" s="1366">
        <f t="shared" si="6"/>
        <v>30</v>
      </c>
      <c r="AK13" s="1309">
        <f t="shared" ref="AK13:BH13" si="7">SUM(AK5:AK12)</f>
        <v>13</v>
      </c>
      <c r="AL13" s="1309">
        <f t="shared" si="7"/>
        <v>10</v>
      </c>
      <c r="AM13" s="1309">
        <f t="shared" si="7"/>
        <v>13</v>
      </c>
      <c r="AN13" s="1366">
        <f t="shared" si="7"/>
        <v>36</v>
      </c>
      <c r="AO13" s="1309">
        <f t="shared" si="7"/>
        <v>12</v>
      </c>
      <c r="AP13" s="1309">
        <f t="shared" si="7"/>
        <v>12</v>
      </c>
      <c r="AQ13" s="1309">
        <f t="shared" si="7"/>
        <v>12</v>
      </c>
      <c r="AR13" s="1366">
        <f t="shared" si="7"/>
        <v>36</v>
      </c>
      <c r="AS13" s="1309">
        <f t="shared" si="7"/>
        <v>1</v>
      </c>
      <c r="AT13" s="1309">
        <f t="shared" si="7"/>
        <v>14</v>
      </c>
      <c r="AU13" s="1309">
        <f t="shared" si="7"/>
        <v>3</v>
      </c>
      <c r="AV13" s="1366">
        <f t="shared" si="7"/>
        <v>18</v>
      </c>
      <c r="AW13" s="1309">
        <f t="shared" si="7"/>
        <v>6</v>
      </c>
      <c r="AX13" s="1309">
        <f t="shared" si="7"/>
        <v>10</v>
      </c>
      <c r="AY13" s="1309">
        <f t="shared" si="7"/>
        <v>9</v>
      </c>
      <c r="AZ13" s="1366">
        <f t="shared" si="7"/>
        <v>25</v>
      </c>
      <c r="BA13" s="1309">
        <f t="shared" si="7"/>
        <v>15</v>
      </c>
      <c r="BB13" s="1309">
        <f t="shared" si="7"/>
        <v>18</v>
      </c>
      <c r="BC13" s="1309">
        <f t="shared" si="7"/>
        <v>9</v>
      </c>
      <c r="BD13" s="1366">
        <f t="shared" si="7"/>
        <v>42</v>
      </c>
      <c r="BE13" s="1309">
        <f t="shared" si="7"/>
        <v>15</v>
      </c>
      <c r="BF13" s="1309">
        <f t="shared" si="7"/>
        <v>13</v>
      </c>
      <c r="BG13" s="1309">
        <f t="shared" si="7"/>
        <v>17</v>
      </c>
      <c r="BH13" s="1366">
        <f t="shared" si="7"/>
        <v>45</v>
      </c>
      <c r="BI13" s="1309">
        <f t="shared" ref="BI13:BP13" si="8">SUM(BI5:BI12)</f>
        <v>9</v>
      </c>
      <c r="BJ13" s="1309">
        <f t="shared" si="8"/>
        <v>13</v>
      </c>
      <c r="BK13" s="1309">
        <f t="shared" si="8"/>
        <v>14</v>
      </c>
      <c r="BL13" s="1366">
        <f t="shared" si="8"/>
        <v>36</v>
      </c>
      <c r="BM13" s="1309">
        <f t="shared" si="8"/>
        <v>11</v>
      </c>
      <c r="BN13" s="1309">
        <f t="shared" si="8"/>
        <v>15</v>
      </c>
      <c r="BO13" s="1309">
        <f t="shared" si="8"/>
        <v>17</v>
      </c>
      <c r="BP13" s="1366">
        <f t="shared" si="8"/>
        <v>43</v>
      </c>
      <c r="BQ13" s="1309">
        <f t="shared" ref="BQ13:BT13" si="9">SUM(BQ5:BQ12)</f>
        <v>16</v>
      </c>
      <c r="BR13" s="1309">
        <f t="shared" si="9"/>
        <v>14</v>
      </c>
      <c r="BS13" s="1309">
        <f t="shared" si="9"/>
        <v>8</v>
      </c>
      <c r="BT13" s="1366">
        <f t="shared" si="9"/>
        <v>38</v>
      </c>
    </row>
    <row r="14" spans="1:72" ht="12.75" customHeight="1" x14ac:dyDescent="0.2">
      <c r="A14" s="5273"/>
      <c r="B14" s="5633" t="s">
        <v>6</v>
      </c>
      <c r="C14" s="5643" t="s">
        <v>528</v>
      </c>
      <c r="D14" s="1310" t="s">
        <v>138</v>
      </c>
      <c r="E14" s="1311"/>
      <c r="F14" s="1312"/>
      <c r="G14" s="1312">
        <v>2</v>
      </c>
      <c r="H14" s="1292">
        <f>SUM(E14:G14)</f>
        <v>2</v>
      </c>
      <c r="I14" s="1311"/>
      <c r="J14" s="1312">
        <v>1</v>
      </c>
      <c r="K14" s="1312">
        <v>3</v>
      </c>
      <c r="L14" s="1292">
        <f>SUM(I14:K14)</f>
        <v>4</v>
      </c>
      <c r="M14" s="1311"/>
      <c r="N14" s="1312">
        <v>8</v>
      </c>
      <c r="O14" s="1312">
        <v>1</v>
      </c>
      <c r="P14" s="1292">
        <f>SUM(M14:O14)</f>
        <v>9</v>
      </c>
      <c r="Q14" s="1311">
        <v>1</v>
      </c>
      <c r="R14" s="1312">
        <v>54</v>
      </c>
      <c r="S14" s="1312">
        <v>10</v>
      </c>
      <c r="T14" s="1292">
        <f>SUM(Q14:S14)</f>
        <v>65</v>
      </c>
      <c r="U14" s="1311"/>
      <c r="V14" s="1312">
        <v>8</v>
      </c>
      <c r="W14" s="1312"/>
      <c r="X14" s="1292">
        <f>SUM(U14:W14)</f>
        <v>8</v>
      </c>
      <c r="Y14" s="1311"/>
      <c r="Z14" s="1312">
        <v>8</v>
      </c>
      <c r="AA14" s="1312">
        <v>5</v>
      </c>
      <c r="AB14" s="1292">
        <f>SUM(Y14:AA14)</f>
        <v>13</v>
      </c>
      <c r="AC14" s="1311">
        <v>6</v>
      </c>
      <c r="AD14" s="1312">
        <v>14</v>
      </c>
      <c r="AE14" s="1312"/>
      <c r="AF14" s="1295">
        <f>SUM(AC14:AE14)</f>
        <v>20</v>
      </c>
      <c r="AG14" s="1312"/>
      <c r="AH14" s="1312">
        <v>16</v>
      </c>
      <c r="AI14" s="1312">
        <v>2</v>
      </c>
      <c r="AJ14" s="1295">
        <f>SUM(AG14:AI14)</f>
        <v>18</v>
      </c>
      <c r="AK14" s="1312">
        <v>1</v>
      </c>
      <c r="AL14" s="1312">
        <v>3</v>
      </c>
      <c r="AM14" s="1312">
        <v>9</v>
      </c>
      <c r="AN14" s="1295">
        <f>SUM(AK14:AM14)</f>
        <v>13</v>
      </c>
      <c r="AO14" s="1312"/>
      <c r="AP14" s="1312">
        <v>5</v>
      </c>
      <c r="AQ14" s="1312"/>
      <c r="AR14" s="1295">
        <f t="shared" si="2"/>
        <v>5</v>
      </c>
      <c r="AS14" s="1312">
        <v>1</v>
      </c>
      <c r="AT14" s="1312">
        <v>8</v>
      </c>
      <c r="AU14" s="1312"/>
      <c r="AV14" s="1295">
        <f t="shared" si="3"/>
        <v>9</v>
      </c>
      <c r="AW14" s="1312"/>
      <c r="AX14" s="1312">
        <v>7</v>
      </c>
      <c r="AY14" s="1312"/>
      <c r="AZ14" s="1295">
        <f t="shared" si="0"/>
        <v>7</v>
      </c>
      <c r="BA14" s="1312">
        <v>1</v>
      </c>
      <c r="BB14" s="1312">
        <v>10</v>
      </c>
      <c r="BC14" s="1312">
        <v>1</v>
      </c>
      <c r="BD14" s="1295">
        <f t="shared" si="1"/>
        <v>12</v>
      </c>
      <c r="BE14" s="1311"/>
      <c r="BF14" s="1312">
        <v>15</v>
      </c>
      <c r="BG14" s="1312"/>
      <c r="BH14" s="1295">
        <f>SUM(BE14:BG14)</f>
        <v>15</v>
      </c>
      <c r="BI14" s="1311"/>
      <c r="BJ14" s="1312">
        <v>9</v>
      </c>
      <c r="BK14" s="1312">
        <v>2</v>
      </c>
      <c r="BL14" s="1295">
        <f>SUM(BI14:BK14)</f>
        <v>11</v>
      </c>
      <c r="BM14" s="1311"/>
      <c r="BN14" s="1312">
        <v>16</v>
      </c>
      <c r="BO14" s="1312">
        <v>1</v>
      </c>
      <c r="BP14" s="1300">
        <f>SUM(BM14:BO14)</f>
        <v>17</v>
      </c>
      <c r="BQ14" s="1311">
        <v>1</v>
      </c>
      <c r="BR14" s="1312">
        <v>11</v>
      </c>
      <c r="BS14" s="1312">
        <v>3</v>
      </c>
      <c r="BT14" s="1300">
        <f>SUM(BQ14:BS14)</f>
        <v>15</v>
      </c>
    </row>
    <row r="15" spans="1:72" ht="12.75" customHeight="1" x14ac:dyDescent="0.2">
      <c r="A15" s="5273"/>
      <c r="B15" s="5634"/>
      <c r="C15" s="5644"/>
      <c r="D15" s="1313" t="s">
        <v>360</v>
      </c>
      <c r="E15" s="1297"/>
      <c r="F15" s="1298"/>
      <c r="G15" s="1298"/>
      <c r="H15" s="1299"/>
      <c r="I15" s="1297"/>
      <c r="J15" s="1298"/>
      <c r="K15" s="1298"/>
      <c r="L15" s="1299"/>
      <c r="M15" s="1297"/>
      <c r="N15" s="1298"/>
      <c r="O15" s="1298"/>
      <c r="P15" s="1299"/>
      <c r="Q15" s="1297"/>
      <c r="R15" s="1298"/>
      <c r="S15" s="1298"/>
      <c r="T15" s="1299"/>
      <c r="U15" s="1297"/>
      <c r="V15" s="1298"/>
      <c r="W15" s="1298"/>
      <c r="X15" s="1299"/>
      <c r="Y15" s="1297"/>
      <c r="Z15" s="1298"/>
      <c r="AA15" s="1298"/>
      <c r="AB15" s="1299"/>
      <c r="AC15" s="1297"/>
      <c r="AD15" s="1298">
        <v>8</v>
      </c>
      <c r="AE15" s="1298"/>
      <c r="AF15" s="1300">
        <f>SUM(AC15:AE15)</f>
        <v>8</v>
      </c>
      <c r="AG15" s="1298"/>
      <c r="AH15" s="1298">
        <v>5</v>
      </c>
      <c r="AI15" s="1298"/>
      <c r="AJ15" s="1300">
        <f>SUM(AG15:AI15)</f>
        <v>5</v>
      </c>
      <c r="AK15" s="1298"/>
      <c r="AL15" s="1298">
        <v>14</v>
      </c>
      <c r="AM15" s="1298"/>
      <c r="AN15" s="1300">
        <f>SUM(AK15:AM15)</f>
        <v>14</v>
      </c>
      <c r="AO15" s="1298"/>
      <c r="AP15" s="1298"/>
      <c r="AQ15" s="1298"/>
      <c r="AR15" s="1300">
        <f t="shared" si="2"/>
        <v>0</v>
      </c>
      <c r="AS15" s="1298"/>
      <c r="AT15" s="1298">
        <v>1</v>
      </c>
      <c r="AU15" s="1298"/>
      <c r="AV15" s="1300">
        <f t="shared" si="3"/>
        <v>1</v>
      </c>
      <c r="AW15" s="1298"/>
      <c r="AX15" s="1298"/>
      <c r="AY15" s="1298"/>
      <c r="AZ15" s="1300">
        <f t="shared" si="0"/>
        <v>0</v>
      </c>
      <c r="BA15" s="1298"/>
      <c r="BB15" s="1298">
        <v>7</v>
      </c>
      <c r="BC15" s="1298"/>
      <c r="BD15" s="1300">
        <f t="shared" si="1"/>
        <v>7</v>
      </c>
      <c r="BE15" s="1297"/>
      <c r="BF15" s="1298">
        <v>9</v>
      </c>
      <c r="BG15" s="1298"/>
      <c r="BH15" s="1300">
        <f t="shared" ref="BH15:BH26" si="10">SUM(BE15:BG15)</f>
        <v>9</v>
      </c>
      <c r="BI15" s="1297"/>
      <c r="BJ15" s="1298"/>
      <c r="BK15" s="1298"/>
      <c r="BL15" s="1300"/>
      <c r="BM15" s="1297"/>
      <c r="BN15" s="1298"/>
      <c r="BO15" s="1298">
        <v>5</v>
      </c>
      <c r="BP15" s="1300">
        <f>SUM(BM15:BO15)</f>
        <v>5</v>
      </c>
      <c r="BQ15" s="1297"/>
      <c r="BR15" s="1298"/>
      <c r="BS15" s="1298"/>
      <c r="BT15" s="1300">
        <f>SUM(BQ15:BS15)</f>
        <v>0</v>
      </c>
    </row>
    <row r="16" spans="1:72" ht="12.75" customHeight="1" x14ac:dyDescent="0.2">
      <c r="A16" s="5273"/>
      <c r="B16" s="5634"/>
      <c r="C16" s="5645"/>
      <c r="D16" s="1313" t="s">
        <v>406</v>
      </c>
      <c r="E16" s="1297"/>
      <c r="F16" s="1298"/>
      <c r="G16" s="1298"/>
      <c r="H16" s="1299"/>
      <c r="I16" s="1297"/>
      <c r="J16" s="1298"/>
      <c r="K16" s="1298"/>
      <c r="L16" s="1299"/>
      <c r="M16" s="1297"/>
      <c r="N16" s="1298"/>
      <c r="O16" s="1298"/>
      <c r="P16" s="1299"/>
      <c r="Q16" s="1297"/>
      <c r="R16" s="1298"/>
      <c r="S16" s="1298"/>
      <c r="T16" s="1299"/>
      <c r="U16" s="1297"/>
      <c r="V16" s="1298"/>
      <c r="W16" s="1298"/>
      <c r="X16" s="1299"/>
      <c r="Y16" s="1297"/>
      <c r="Z16" s="1298"/>
      <c r="AA16" s="1298"/>
      <c r="AB16" s="1299"/>
      <c r="AC16" s="1297"/>
      <c r="AD16" s="1298"/>
      <c r="AE16" s="1298"/>
      <c r="AF16" s="1300"/>
      <c r="AG16" s="1298"/>
      <c r="AH16" s="1298"/>
      <c r="AI16" s="1298"/>
      <c r="AJ16" s="1300"/>
      <c r="AK16" s="1298"/>
      <c r="AL16" s="1298"/>
      <c r="AM16" s="1298"/>
      <c r="AN16" s="1300"/>
      <c r="AO16" s="1298"/>
      <c r="AP16" s="1298"/>
      <c r="AQ16" s="1298"/>
      <c r="AR16" s="1300"/>
      <c r="AS16" s="1298"/>
      <c r="AT16" s="1298"/>
      <c r="AU16" s="1298">
        <v>1</v>
      </c>
      <c r="AV16" s="1300">
        <f t="shared" si="3"/>
        <v>1</v>
      </c>
      <c r="AW16" s="1298"/>
      <c r="AX16" s="1298"/>
      <c r="AY16" s="1298"/>
      <c r="AZ16" s="1300">
        <f t="shared" si="0"/>
        <v>0</v>
      </c>
      <c r="BA16" s="1298"/>
      <c r="BB16" s="1298"/>
      <c r="BC16" s="1298"/>
      <c r="BD16" s="1300">
        <f t="shared" si="1"/>
        <v>0</v>
      </c>
      <c r="BE16" s="1297"/>
      <c r="BF16" s="1298"/>
      <c r="BG16" s="1298"/>
      <c r="BH16" s="1300">
        <f t="shared" si="10"/>
        <v>0</v>
      </c>
      <c r="BI16" s="1297"/>
      <c r="BJ16" s="1298"/>
      <c r="BK16" s="1298"/>
      <c r="BL16" s="1300"/>
      <c r="BM16" s="1297"/>
      <c r="BN16" s="1298"/>
      <c r="BO16" s="1298"/>
      <c r="BP16" s="1300">
        <f>SUM(BM16:BO16)</f>
        <v>0</v>
      </c>
      <c r="BQ16" s="1297"/>
      <c r="BR16" s="1298"/>
      <c r="BS16" s="1298"/>
      <c r="BT16" s="1300">
        <f>SUM(BQ16:BS16)</f>
        <v>0</v>
      </c>
    </row>
    <row r="17" spans="1:72" ht="12.75" customHeight="1" x14ac:dyDescent="0.2">
      <c r="A17" s="5273"/>
      <c r="B17" s="5634"/>
      <c r="C17" s="5647" t="s">
        <v>527</v>
      </c>
      <c r="D17" s="1313" t="s">
        <v>370</v>
      </c>
      <c r="E17" s="1297"/>
      <c r="F17" s="1298"/>
      <c r="G17" s="1298"/>
      <c r="H17" s="1299"/>
      <c r="I17" s="1297"/>
      <c r="J17" s="1298"/>
      <c r="K17" s="1298"/>
      <c r="L17" s="1299"/>
      <c r="M17" s="1297"/>
      <c r="N17" s="1298"/>
      <c r="O17" s="1298"/>
      <c r="P17" s="1299"/>
      <c r="Q17" s="1297"/>
      <c r="R17" s="1298"/>
      <c r="S17" s="1298"/>
      <c r="T17" s="1299"/>
      <c r="U17" s="1297"/>
      <c r="V17" s="1298"/>
      <c r="W17" s="1298"/>
      <c r="X17" s="1299"/>
      <c r="Y17" s="1297"/>
      <c r="Z17" s="1298"/>
      <c r="AA17" s="1298"/>
      <c r="AB17" s="1299"/>
      <c r="AC17" s="1297"/>
      <c r="AD17" s="1298"/>
      <c r="AE17" s="1298"/>
      <c r="AF17" s="1300"/>
      <c r="AG17" s="1298"/>
      <c r="AH17" s="1298"/>
      <c r="AI17" s="1298"/>
      <c r="AJ17" s="1300"/>
      <c r="AK17" s="1298"/>
      <c r="AL17" s="1298"/>
      <c r="AM17" s="1298"/>
      <c r="AN17" s="1300"/>
      <c r="AO17" s="1298"/>
      <c r="AP17" s="1298"/>
      <c r="AQ17" s="1298"/>
      <c r="AR17" s="1300"/>
      <c r="AS17" s="1298"/>
      <c r="AT17" s="1298"/>
      <c r="AU17" s="1298"/>
      <c r="AV17" s="1300"/>
      <c r="AW17" s="1298"/>
      <c r="AX17" s="1298">
        <v>1</v>
      </c>
      <c r="AY17" s="1298">
        <v>2</v>
      </c>
      <c r="AZ17" s="1300">
        <f t="shared" si="0"/>
        <v>3</v>
      </c>
      <c r="BA17" s="1298">
        <v>1</v>
      </c>
      <c r="BB17" s="1298">
        <v>1</v>
      </c>
      <c r="BC17" s="1298">
        <v>2</v>
      </c>
      <c r="BD17" s="1300">
        <f t="shared" si="1"/>
        <v>4</v>
      </c>
      <c r="BE17" s="1297">
        <v>3</v>
      </c>
      <c r="BF17" s="1298"/>
      <c r="BG17" s="1298"/>
      <c r="BH17" s="1300">
        <f t="shared" si="10"/>
        <v>3</v>
      </c>
      <c r="BI17" s="1297">
        <v>1</v>
      </c>
      <c r="BJ17" s="1298"/>
      <c r="BK17" s="1298"/>
      <c r="BL17" s="1300">
        <f>SUM(BI17:BK17)</f>
        <v>1</v>
      </c>
      <c r="BM17" s="1297">
        <v>1</v>
      </c>
      <c r="BN17" s="1298">
        <v>1</v>
      </c>
      <c r="BO17" s="1298">
        <v>1</v>
      </c>
      <c r="BP17" s="1300">
        <f t="shared" ref="BP17:BP26" si="11">SUM(BM17:BO17)</f>
        <v>3</v>
      </c>
      <c r="BQ17" s="1297"/>
      <c r="BR17" s="1298">
        <v>1</v>
      </c>
      <c r="BS17" s="1298"/>
      <c r="BT17" s="1300">
        <f t="shared" ref="BT17:BT26" si="12">SUM(BQ17:BS17)</f>
        <v>1</v>
      </c>
    </row>
    <row r="18" spans="1:72" ht="12.75" customHeight="1" x14ac:dyDescent="0.2">
      <c r="A18" s="5273"/>
      <c r="B18" s="5634"/>
      <c r="C18" s="5647"/>
      <c r="D18" s="1313" t="s">
        <v>368</v>
      </c>
      <c r="E18" s="1297"/>
      <c r="F18" s="1298"/>
      <c r="G18" s="1298"/>
      <c r="H18" s="1299"/>
      <c r="I18" s="1297"/>
      <c r="J18" s="1298"/>
      <c r="K18" s="1298">
        <v>1</v>
      </c>
      <c r="L18" s="1299">
        <f>SUM(K18)</f>
        <v>1</v>
      </c>
      <c r="M18" s="1297">
        <v>1</v>
      </c>
      <c r="N18" s="1298">
        <v>1</v>
      </c>
      <c r="O18" s="1298">
        <v>4</v>
      </c>
      <c r="P18" s="1299">
        <f>SUM(M18:O18)</f>
        <v>6</v>
      </c>
      <c r="Q18" s="1297">
        <v>1</v>
      </c>
      <c r="R18" s="1298">
        <v>2</v>
      </c>
      <c r="S18" s="1298">
        <v>2</v>
      </c>
      <c r="T18" s="1299">
        <f>SUM(Q18:S18)</f>
        <v>5</v>
      </c>
      <c r="U18" s="1297">
        <v>3</v>
      </c>
      <c r="V18" s="1298">
        <v>2</v>
      </c>
      <c r="W18" s="1298"/>
      <c r="X18" s="1299">
        <f>SUM(U18:W18)</f>
        <v>5</v>
      </c>
      <c r="Y18" s="1297"/>
      <c r="Z18" s="1298">
        <v>1</v>
      </c>
      <c r="AA18" s="1298">
        <v>1</v>
      </c>
      <c r="AB18" s="1299">
        <f>SUM(Y18:AA18)</f>
        <v>2</v>
      </c>
      <c r="AC18" s="1297">
        <v>2</v>
      </c>
      <c r="AD18" s="1298"/>
      <c r="AE18" s="1298"/>
      <c r="AF18" s="1300">
        <f>SUM(AC18:AE18)</f>
        <v>2</v>
      </c>
      <c r="AG18" s="1298">
        <v>1</v>
      </c>
      <c r="AH18" s="1298">
        <v>1</v>
      </c>
      <c r="AI18" s="1298">
        <v>4</v>
      </c>
      <c r="AJ18" s="1300">
        <f>SUM(AG18:AI18)</f>
        <v>6</v>
      </c>
      <c r="AK18" s="1298">
        <v>6</v>
      </c>
      <c r="AL18" s="1298"/>
      <c r="AM18" s="1298"/>
      <c r="AN18" s="1300">
        <f>SUM(AK18:AM18)</f>
        <v>6</v>
      </c>
      <c r="AO18" s="1298"/>
      <c r="AP18" s="1298">
        <v>7</v>
      </c>
      <c r="AQ18" s="1298"/>
      <c r="AR18" s="1300">
        <f>SUM(AO18:AQ18)</f>
        <v>7</v>
      </c>
      <c r="AS18" s="1298">
        <v>2</v>
      </c>
      <c r="AT18" s="1298"/>
      <c r="AU18" s="1298"/>
      <c r="AV18" s="1300">
        <f>SUM(AS18:AU18)</f>
        <v>2</v>
      </c>
      <c r="AW18" s="1298"/>
      <c r="AX18" s="1298">
        <v>2</v>
      </c>
      <c r="AY18" s="1298"/>
      <c r="AZ18" s="1300">
        <f>SUM(AW18:AY18)</f>
        <v>2</v>
      </c>
      <c r="BA18" s="1298">
        <v>1</v>
      </c>
      <c r="BB18" s="1298">
        <v>2</v>
      </c>
      <c r="BC18" s="1298"/>
      <c r="BD18" s="1300">
        <f>SUM(BA18:BC18)</f>
        <v>3</v>
      </c>
      <c r="BE18" s="1297"/>
      <c r="BF18" s="1298"/>
      <c r="BG18" s="1298">
        <v>1</v>
      </c>
      <c r="BH18" s="1300">
        <f>SUM(BE18:BG18)</f>
        <v>1</v>
      </c>
      <c r="BI18" s="1297"/>
      <c r="BJ18" s="1298"/>
      <c r="BK18" s="1298"/>
      <c r="BL18" s="1300"/>
      <c r="BM18" s="1297"/>
      <c r="BN18" s="1298"/>
      <c r="BO18" s="1298"/>
      <c r="BP18" s="1300">
        <f t="shared" si="11"/>
        <v>0</v>
      </c>
      <c r="BQ18" s="1297"/>
      <c r="BR18" s="1298"/>
      <c r="BS18" s="1298"/>
      <c r="BT18" s="1300">
        <f t="shared" si="12"/>
        <v>0</v>
      </c>
    </row>
    <row r="19" spans="1:72" ht="12.75" customHeight="1" x14ac:dyDescent="0.2">
      <c r="A19" s="5273"/>
      <c r="B19" s="5634"/>
      <c r="C19" s="5647"/>
      <c r="D19" s="1314" t="s">
        <v>139</v>
      </c>
      <c r="E19" s="1297"/>
      <c r="F19" s="1298"/>
      <c r="G19" s="1298"/>
      <c r="H19" s="1299"/>
      <c r="I19" s="1297"/>
      <c r="J19" s="1298"/>
      <c r="K19" s="1298"/>
      <c r="L19" s="1299"/>
      <c r="M19" s="1297"/>
      <c r="N19" s="1298"/>
      <c r="O19" s="1298"/>
      <c r="P19" s="1299"/>
      <c r="Q19" s="1297"/>
      <c r="R19" s="1298"/>
      <c r="S19" s="1298"/>
      <c r="T19" s="1299"/>
      <c r="U19" s="1297"/>
      <c r="V19" s="1298"/>
      <c r="W19" s="1298"/>
      <c r="X19" s="1299"/>
      <c r="Y19" s="1297"/>
      <c r="Z19" s="1298"/>
      <c r="AA19" s="1298"/>
      <c r="AB19" s="1299"/>
      <c r="AC19" s="1297"/>
      <c r="AD19" s="1298"/>
      <c r="AE19" s="1298"/>
      <c r="AF19" s="1300"/>
      <c r="AG19" s="1298"/>
      <c r="AH19" s="1298"/>
      <c r="AI19" s="1298">
        <v>5</v>
      </c>
      <c r="AJ19" s="1300">
        <f>SUM(AG19:AI19)</f>
        <v>5</v>
      </c>
      <c r="AK19" s="1298">
        <v>1</v>
      </c>
      <c r="AL19" s="1298"/>
      <c r="AM19" s="1298"/>
      <c r="AN19" s="1300">
        <f>SUM(AK19:AM19)</f>
        <v>1</v>
      </c>
      <c r="AO19" s="1298"/>
      <c r="AP19" s="1298"/>
      <c r="AQ19" s="1298">
        <v>1</v>
      </c>
      <c r="AR19" s="1300">
        <f>SUM(AO19:AQ19)</f>
        <v>1</v>
      </c>
      <c r="AS19" s="1298"/>
      <c r="AT19" s="1298"/>
      <c r="AU19" s="1298"/>
      <c r="AV19" s="1300">
        <f>SUM(AS19:AU19)</f>
        <v>0</v>
      </c>
      <c r="AW19" s="1298"/>
      <c r="AX19" s="1298"/>
      <c r="AY19" s="1298"/>
      <c r="AZ19" s="1300">
        <f>SUM(AW19:AY19)</f>
        <v>0</v>
      </c>
      <c r="BA19" s="1298"/>
      <c r="BB19" s="1298"/>
      <c r="BC19" s="1298"/>
      <c r="BD19" s="1300">
        <f>SUM(BA19:BC19)</f>
        <v>0</v>
      </c>
      <c r="BE19" s="1297"/>
      <c r="BF19" s="1298"/>
      <c r="BG19" s="1298"/>
      <c r="BH19" s="1300">
        <f>SUM(BE19:BG19)</f>
        <v>0</v>
      </c>
      <c r="BI19" s="1297"/>
      <c r="BJ19" s="1298"/>
      <c r="BK19" s="1298"/>
      <c r="BL19" s="1300"/>
      <c r="BM19" s="1297">
        <v>3</v>
      </c>
      <c r="BN19" s="1298"/>
      <c r="BO19" s="1298"/>
      <c r="BP19" s="1300">
        <f t="shared" si="11"/>
        <v>3</v>
      </c>
      <c r="BQ19" s="1297"/>
      <c r="BR19" s="1298"/>
      <c r="BS19" s="1298"/>
      <c r="BT19" s="1300">
        <f t="shared" si="12"/>
        <v>0</v>
      </c>
    </row>
    <row r="20" spans="1:72" ht="12.75" customHeight="1" x14ac:dyDescent="0.2">
      <c r="A20" s="5273"/>
      <c r="B20" s="5634"/>
      <c r="C20" s="5647"/>
      <c r="D20" s="1313" t="s">
        <v>369</v>
      </c>
      <c r="E20" s="1297"/>
      <c r="F20" s="1298"/>
      <c r="G20" s="1298"/>
      <c r="H20" s="1299"/>
      <c r="I20" s="1297"/>
      <c r="J20" s="1298"/>
      <c r="K20" s="1298"/>
      <c r="L20" s="1299"/>
      <c r="M20" s="1297"/>
      <c r="N20" s="1298"/>
      <c r="O20" s="1298"/>
      <c r="P20" s="1299"/>
      <c r="Q20" s="1297"/>
      <c r="R20" s="1298"/>
      <c r="S20" s="1298"/>
      <c r="T20" s="1299"/>
      <c r="U20" s="1297"/>
      <c r="V20" s="1298"/>
      <c r="W20" s="1298"/>
      <c r="X20" s="1299"/>
      <c r="Y20" s="1297"/>
      <c r="Z20" s="1298"/>
      <c r="AA20" s="1298"/>
      <c r="AB20" s="1299"/>
      <c r="AC20" s="1297"/>
      <c r="AD20" s="1298"/>
      <c r="AE20" s="1298"/>
      <c r="AF20" s="1300"/>
      <c r="AG20" s="1298"/>
      <c r="AH20" s="1298"/>
      <c r="AI20" s="1298"/>
      <c r="AJ20" s="1300"/>
      <c r="AK20" s="1298"/>
      <c r="AL20" s="1298"/>
      <c r="AM20" s="1298"/>
      <c r="AN20" s="1300"/>
      <c r="AO20" s="1298">
        <v>1</v>
      </c>
      <c r="AP20" s="1298">
        <v>3</v>
      </c>
      <c r="AQ20" s="1298">
        <v>2</v>
      </c>
      <c r="AR20" s="1300">
        <f>SUM(AO20:AQ20)</f>
        <v>6</v>
      </c>
      <c r="AS20" s="1298">
        <v>1</v>
      </c>
      <c r="AT20" s="1298">
        <v>3</v>
      </c>
      <c r="AU20" s="1298">
        <v>3</v>
      </c>
      <c r="AV20" s="1300">
        <f>SUM(AS20:AU20)</f>
        <v>7</v>
      </c>
      <c r="AW20" s="1298">
        <v>5</v>
      </c>
      <c r="AX20" s="1298">
        <v>5</v>
      </c>
      <c r="AY20" s="1298">
        <v>2</v>
      </c>
      <c r="AZ20" s="1300">
        <f>SUM(AW20:AY20)</f>
        <v>12</v>
      </c>
      <c r="BA20" s="1298">
        <v>2</v>
      </c>
      <c r="BB20" s="1298"/>
      <c r="BC20" s="1298">
        <v>4</v>
      </c>
      <c r="BD20" s="1300">
        <f>SUM(BA20:BC20)</f>
        <v>6</v>
      </c>
      <c r="BE20" s="1297">
        <v>7</v>
      </c>
      <c r="BF20" s="1298">
        <v>2</v>
      </c>
      <c r="BG20" s="1298">
        <v>1</v>
      </c>
      <c r="BH20" s="1300">
        <f>SUM(BE20:BG20)</f>
        <v>10</v>
      </c>
      <c r="BI20" s="1297"/>
      <c r="BJ20" s="1298"/>
      <c r="BK20" s="1298"/>
      <c r="BL20" s="1300"/>
      <c r="BM20" s="1297"/>
      <c r="BN20" s="1298">
        <v>5</v>
      </c>
      <c r="BO20" s="1298">
        <v>2</v>
      </c>
      <c r="BP20" s="1300">
        <f t="shared" si="11"/>
        <v>7</v>
      </c>
      <c r="BQ20" s="1297">
        <v>1</v>
      </c>
      <c r="BR20" s="1298"/>
      <c r="BS20" s="1298">
        <v>2</v>
      </c>
      <c r="BT20" s="1300">
        <f t="shared" si="12"/>
        <v>3</v>
      </c>
    </row>
    <row r="21" spans="1:72" ht="12.75" customHeight="1" x14ac:dyDescent="0.2">
      <c r="A21" s="5273"/>
      <c r="B21" s="5634"/>
      <c r="C21" s="5647"/>
      <c r="D21" s="1313" t="s">
        <v>141</v>
      </c>
      <c r="E21" s="1297"/>
      <c r="F21" s="1298">
        <v>5</v>
      </c>
      <c r="G21" s="1298">
        <v>1</v>
      </c>
      <c r="H21" s="1299">
        <f>SUM(F21:G21)</f>
        <v>6</v>
      </c>
      <c r="I21" s="1297"/>
      <c r="J21" s="1298"/>
      <c r="K21" s="1298">
        <v>3</v>
      </c>
      <c r="L21" s="1299">
        <f>SUM(K21)</f>
        <v>3</v>
      </c>
      <c r="M21" s="1297"/>
      <c r="N21" s="1298">
        <v>2</v>
      </c>
      <c r="O21" s="1298">
        <v>1</v>
      </c>
      <c r="P21" s="1299">
        <f>SUM(M21:O21)</f>
        <v>3</v>
      </c>
      <c r="Q21" s="1297">
        <v>1</v>
      </c>
      <c r="R21" s="1298">
        <v>34</v>
      </c>
      <c r="S21" s="1298"/>
      <c r="T21" s="1299">
        <f>SUM(Q21:S21)</f>
        <v>35</v>
      </c>
      <c r="U21" s="1297">
        <v>7</v>
      </c>
      <c r="V21" s="1298">
        <v>1</v>
      </c>
      <c r="W21" s="1298">
        <v>1</v>
      </c>
      <c r="X21" s="1299">
        <f>SUM(U21:W21)</f>
        <v>9</v>
      </c>
      <c r="Y21" s="1297">
        <v>5</v>
      </c>
      <c r="Z21" s="1298">
        <v>1</v>
      </c>
      <c r="AA21" s="1298"/>
      <c r="AB21" s="1299">
        <f>SUM(Y21:AA21)</f>
        <v>6</v>
      </c>
      <c r="AC21" s="1297">
        <v>2</v>
      </c>
      <c r="AD21" s="1298">
        <v>1</v>
      </c>
      <c r="AE21" s="1298">
        <v>1</v>
      </c>
      <c r="AF21" s="1300">
        <f>SUM(AC21:AE21)</f>
        <v>4</v>
      </c>
      <c r="AG21" s="1298">
        <v>2</v>
      </c>
      <c r="AH21" s="1298">
        <v>1</v>
      </c>
      <c r="AI21" s="1298">
        <v>2</v>
      </c>
      <c r="AJ21" s="1300">
        <f>SUM(AG21:AI21)</f>
        <v>5</v>
      </c>
      <c r="AK21" s="1298">
        <v>1</v>
      </c>
      <c r="AL21" s="1298">
        <v>4</v>
      </c>
      <c r="AM21" s="1298"/>
      <c r="AN21" s="1300">
        <f>SUM(AK21:AM21)</f>
        <v>5</v>
      </c>
      <c r="AO21" s="1298"/>
      <c r="AP21" s="1298">
        <v>1</v>
      </c>
      <c r="AQ21" s="1298"/>
      <c r="AR21" s="1300">
        <f>SUM(AO21:AQ21)</f>
        <v>1</v>
      </c>
      <c r="AS21" s="1298">
        <v>3</v>
      </c>
      <c r="AT21" s="1298">
        <v>6</v>
      </c>
      <c r="AU21" s="1298"/>
      <c r="AV21" s="1300">
        <f>SUM(AS21:AU21)</f>
        <v>9</v>
      </c>
      <c r="AW21" s="1298">
        <v>1</v>
      </c>
      <c r="AX21" s="1298">
        <v>4</v>
      </c>
      <c r="AY21" s="1298"/>
      <c r="AZ21" s="1300">
        <f>SUM(AW21:AY21)</f>
        <v>5</v>
      </c>
      <c r="BA21" s="1298"/>
      <c r="BB21" s="1298">
        <v>3</v>
      </c>
      <c r="BC21" s="1298"/>
      <c r="BD21" s="1300">
        <f>SUM(BA21:BC21)</f>
        <v>3</v>
      </c>
      <c r="BE21" s="1297"/>
      <c r="BF21" s="1298">
        <v>1</v>
      </c>
      <c r="BG21" s="1298">
        <v>1</v>
      </c>
      <c r="BH21" s="1300">
        <f>SUM(BE21:BG21)</f>
        <v>2</v>
      </c>
      <c r="BI21" s="1297">
        <v>1</v>
      </c>
      <c r="BJ21" s="1298">
        <v>3</v>
      </c>
      <c r="BK21" s="1298"/>
      <c r="BL21" s="1300">
        <f>SUM(BI21:BK21)</f>
        <v>4</v>
      </c>
      <c r="BM21" s="1297">
        <v>1</v>
      </c>
      <c r="BN21" s="1298">
        <v>1</v>
      </c>
      <c r="BO21" s="1298"/>
      <c r="BP21" s="1300">
        <f t="shared" si="11"/>
        <v>2</v>
      </c>
      <c r="BQ21" s="1297">
        <v>6</v>
      </c>
      <c r="BR21" s="1298">
        <v>3</v>
      </c>
      <c r="BS21" s="1298">
        <v>1</v>
      </c>
      <c r="BT21" s="1300">
        <f t="shared" si="12"/>
        <v>10</v>
      </c>
    </row>
    <row r="22" spans="1:72" ht="12.75" customHeight="1" x14ac:dyDescent="0.2">
      <c r="A22" s="5273"/>
      <c r="B22" s="5634"/>
      <c r="C22" s="5647"/>
      <c r="D22" s="1302" t="s">
        <v>140</v>
      </c>
      <c r="E22" s="1303"/>
      <c r="F22" s="1304"/>
      <c r="G22" s="1304">
        <v>1</v>
      </c>
      <c r="H22" s="1305">
        <f>SUM(F22:G22)</f>
        <v>1</v>
      </c>
      <c r="I22" s="1303"/>
      <c r="J22" s="1304"/>
      <c r="K22" s="1304"/>
      <c r="L22" s="1305"/>
      <c r="M22" s="1303"/>
      <c r="N22" s="1304">
        <v>1</v>
      </c>
      <c r="O22" s="1304"/>
      <c r="P22" s="1305">
        <f>SUM(M22:O22)</f>
        <v>1</v>
      </c>
      <c r="Q22" s="1303"/>
      <c r="R22" s="1304">
        <v>33</v>
      </c>
      <c r="S22" s="1304">
        <v>1</v>
      </c>
      <c r="T22" s="1305">
        <f>SUM(Q22:S22)</f>
        <v>34</v>
      </c>
      <c r="U22" s="1303">
        <v>5</v>
      </c>
      <c r="V22" s="1304">
        <v>2</v>
      </c>
      <c r="W22" s="1304">
        <v>5</v>
      </c>
      <c r="X22" s="1305">
        <f>SUM(U22:W22)</f>
        <v>12</v>
      </c>
      <c r="Y22" s="1303">
        <v>5</v>
      </c>
      <c r="Z22" s="1304">
        <v>3</v>
      </c>
      <c r="AA22" s="1304"/>
      <c r="AB22" s="1305">
        <f>SUM(Y22:AA22)</f>
        <v>8</v>
      </c>
      <c r="AC22" s="1303">
        <v>2</v>
      </c>
      <c r="AD22" s="1304">
        <v>1</v>
      </c>
      <c r="AE22" s="1304"/>
      <c r="AF22" s="1306">
        <f>SUM(AC22:AE22)</f>
        <v>3</v>
      </c>
      <c r="AG22" s="1304">
        <v>3</v>
      </c>
      <c r="AH22" s="1304">
        <v>2</v>
      </c>
      <c r="AI22" s="1304">
        <v>2</v>
      </c>
      <c r="AJ22" s="1306">
        <f>SUM(AG22:AI22)</f>
        <v>7</v>
      </c>
      <c r="AK22" s="1304"/>
      <c r="AL22" s="1304"/>
      <c r="AM22" s="1304"/>
      <c r="AN22" s="1306"/>
      <c r="AO22" s="1304">
        <v>2</v>
      </c>
      <c r="AP22" s="1304"/>
      <c r="AQ22" s="1304"/>
      <c r="AR22" s="1306">
        <f>SUM(AO22:AQ22)</f>
        <v>2</v>
      </c>
      <c r="AS22" s="1304"/>
      <c r="AT22" s="1304"/>
      <c r="AU22" s="1304"/>
      <c r="AV22" s="1306">
        <f>SUM(AS22:AU22)</f>
        <v>0</v>
      </c>
      <c r="AW22" s="1304"/>
      <c r="AX22" s="1304"/>
      <c r="AY22" s="1304"/>
      <c r="AZ22" s="1306">
        <f>SUM(AW22:AY22)</f>
        <v>0</v>
      </c>
      <c r="BA22" s="1304"/>
      <c r="BB22" s="1304">
        <v>10</v>
      </c>
      <c r="BC22" s="1304"/>
      <c r="BD22" s="1306">
        <f>SUM(BA22:BC22)</f>
        <v>10</v>
      </c>
      <c r="BE22" s="1304"/>
      <c r="BF22" s="1304"/>
      <c r="BG22" s="1304"/>
      <c r="BH22" s="1306">
        <f>SUM(BE22:BG22)</f>
        <v>0</v>
      </c>
      <c r="BI22" s="1304"/>
      <c r="BJ22" s="1304"/>
      <c r="BK22" s="1304">
        <v>15</v>
      </c>
      <c r="BL22" s="1306">
        <f>SUM(BI22:BK22)</f>
        <v>15</v>
      </c>
      <c r="BM22" s="1304">
        <v>4</v>
      </c>
      <c r="BN22" s="1304">
        <v>1</v>
      </c>
      <c r="BO22" s="1304"/>
      <c r="BP22" s="1300">
        <f t="shared" si="11"/>
        <v>5</v>
      </c>
      <c r="BQ22" s="1304"/>
      <c r="BR22" s="1304">
        <v>2</v>
      </c>
      <c r="BS22" s="1304">
        <v>4</v>
      </c>
      <c r="BT22" s="1300">
        <f t="shared" si="12"/>
        <v>6</v>
      </c>
    </row>
    <row r="23" spans="1:72" ht="12.75" customHeight="1" x14ac:dyDescent="0.2">
      <c r="A23" s="5273"/>
      <c r="B23" s="5634"/>
      <c r="C23" s="5647"/>
      <c r="D23" s="1302" t="s">
        <v>444</v>
      </c>
      <c r="E23" s="1303"/>
      <c r="F23" s="1304"/>
      <c r="G23" s="1304"/>
      <c r="H23" s="1305"/>
      <c r="I23" s="1303"/>
      <c r="J23" s="1304"/>
      <c r="K23" s="1304"/>
      <c r="L23" s="1305"/>
      <c r="M23" s="1303"/>
      <c r="N23" s="1304"/>
      <c r="O23" s="1304"/>
      <c r="P23" s="1305"/>
      <c r="Q23" s="1303"/>
      <c r="R23" s="1304"/>
      <c r="S23" s="1304"/>
      <c r="T23" s="1305"/>
      <c r="U23" s="1303"/>
      <c r="V23" s="1304"/>
      <c r="W23" s="1304"/>
      <c r="X23" s="1305"/>
      <c r="Y23" s="1303"/>
      <c r="Z23" s="1304"/>
      <c r="AA23" s="1304"/>
      <c r="AB23" s="1305"/>
      <c r="AC23" s="1303"/>
      <c r="AD23" s="1304"/>
      <c r="AE23" s="1304"/>
      <c r="AF23" s="1306"/>
      <c r="AG23" s="1304"/>
      <c r="AH23" s="1304"/>
      <c r="AI23" s="1304"/>
      <c r="AJ23" s="1306"/>
      <c r="AK23" s="1304"/>
      <c r="AL23" s="1304"/>
      <c r="AM23" s="1304"/>
      <c r="AN23" s="1306"/>
      <c r="AO23" s="1304"/>
      <c r="AP23" s="1304"/>
      <c r="AQ23" s="1304"/>
      <c r="AR23" s="1306"/>
      <c r="AS23" s="1304"/>
      <c r="AT23" s="1304"/>
      <c r="AU23" s="1304"/>
      <c r="AV23" s="1306"/>
      <c r="AW23" s="1304"/>
      <c r="AX23" s="1304"/>
      <c r="AY23" s="1304"/>
      <c r="AZ23" s="1306"/>
      <c r="BA23" s="1304"/>
      <c r="BB23" s="1304"/>
      <c r="BC23" s="1304"/>
      <c r="BD23" s="1306"/>
      <c r="BE23" s="1304"/>
      <c r="BF23" s="1304"/>
      <c r="BG23" s="1304"/>
      <c r="BH23" s="1306"/>
      <c r="BI23" s="1304"/>
      <c r="BJ23" s="1304"/>
      <c r="BK23" s="1304"/>
      <c r="BL23" s="1306"/>
      <c r="BM23" s="1304"/>
      <c r="BN23" s="1304"/>
      <c r="BO23" s="1304">
        <v>5</v>
      </c>
      <c r="BP23" s="1300">
        <f t="shared" si="11"/>
        <v>5</v>
      </c>
      <c r="BQ23" s="1304">
        <v>1</v>
      </c>
      <c r="BR23" s="1304">
        <v>1</v>
      </c>
      <c r="BS23" s="1304"/>
      <c r="BT23" s="1300">
        <f t="shared" si="12"/>
        <v>2</v>
      </c>
    </row>
    <row r="24" spans="1:72" ht="12.75" customHeight="1" x14ac:dyDescent="0.2">
      <c r="A24" s="5273"/>
      <c r="B24" s="5634"/>
      <c r="C24" s="5643" t="s">
        <v>526</v>
      </c>
      <c r="D24" s="1313" t="s">
        <v>371</v>
      </c>
      <c r="E24" s="1297"/>
      <c r="F24" s="1298"/>
      <c r="G24" s="1298"/>
      <c r="H24" s="1299"/>
      <c r="I24" s="1297"/>
      <c r="J24" s="1298"/>
      <c r="K24" s="1298"/>
      <c r="L24" s="1299"/>
      <c r="M24" s="1297"/>
      <c r="N24" s="1298"/>
      <c r="O24" s="1298"/>
      <c r="P24" s="1299"/>
      <c r="Q24" s="1297"/>
      <c r="R24" s="1298"/>
      <c r="S24" s="1298"/>
      <c r="T24" s="1299"/>
      <c r="U24" s="1297"/>
      <c r="V24" s="1298"/>
      <c r="W24" s="1298"/>
      <c r="X24" s="1299"/>
      <c r="Y24" s="1297"/>
      <c r="Z24" s="1298"/>
      <c r="AA24" s="1298"/>
      <c r="AB24" s="1299"/>
      <c r="AC24" s="1297"/>
      <c r="AD24" s="1298"/>
      <c r="AE24" s="1298"/>
      <c r="AF24" s="1300"/>
      <c r="AG24" s="1298"/>
      <c r="AH24" s="1298"/>
      <c r="AI24" s="1298"/>
      <c r="AJ24" s="1300"/>
      <c r="AK24" s="1298"/>
      <c r="AL24" s="1298"/>
      <c r="AM24" s="1298"/>
      <c r="AN24" s="1300"/>
      <c r="AO24" s="1298"/>
      <c r="AP24" s="1298"/>
      <c r="AQ24" s="1298"/>
      <c r="AR24" s="1300"/>
      <c r="AS24" s="1298"/>
      <c r="AT24" s="1298"/>
      <c r="AU24" s="1298"/>
      <c r="AV24" s="1300"/>
      <c r="AW24" s="1298"/>
      <c r="AX24" s="1298"/>
      <c r="AY24" s="1298"/>
      <c r="AZ24" s="1300">
        <f t="shared" si="0"/>
        <v>0</v>
      </c>
      <c r="BA24" s="1298"/>
      <c r="BB24" s="1298">
        <v>4</v>
      </c>
      <c r="BC24" s="1298">
        <v>1</v>
      </c>
      <c r="BD24" s="1300">
        <f t="shared" si="1"/>
        <v>5</v>
      </c>
      <c r="BE24" s="1297">
        <v>2</v>
      </c>
      <c r="BF24" s="1298"/>
      <c r="BG24" s="1298"/>
      <c r="BH24" s="1300">
        <f t="shared" si="10"/>
        <v>2</v>
      </c>
      <c r="BI24" s="1297"/>
      <c r="BJ24" s="1298"/>
      <c r="BK24" s="1298"/>
      <c r="BL24" s="1300"/>
      <c r="BM24" s="1297">
        <v>3</v>
      </c>
      <c r="BN24" s="1298"/>
      <c r="BO24" s="1298">
        <v>2</v>
      </c>
      <c r="BP24" s="1300">
        <f t="shared" si="11"/>
        <v>5</v>
      </c>
      <c r="BQ24" s="1297"/>
      <c r="BR24" s="1298">
        <v>1</v>
      </c>
      <c r="BS24" s="1298">
        <v>3</v>
      </c>
      <c r="BT24" s="1300">
        <f t="shared" si="12"/>
        <v>4</v>
      </c>
    </row>
    <row r="25" spans="1:72" ht="12.75" customHeight="1" x14ac:dyDescent="0.2">
      <c r="A25" s="5273"/>
      <c r="B25" s="5634"/>
      <c r="C25" s="5644"/>
      <c r="D25" s="1314" t="s">
        <v>143</v>
      </c>
      <c r="E25" s="1297"/>
      <c r="F25" s="1298"/>
      <c r="G25" s="1298"/>
      <c r="H25" s="1299"/>
      <c r="I25" s="1297"/>
      <c r="J25" s="1298"/>
      <c r="K25" s="1298"/>
      <c r="L25" s="1299"/>
      <c r="M25" s="1297"/>
      <c r="N25" s="1298"/>
      <c r="O25" s="1298"/>
      <c r="P25" s="1299"/>
      <c r="Q25" s="1297"/>
      <c r="R25" s="1298"/>
      <c r="S25" s="1298"/>
      <c r="T25" s="1299"/>
      <c r="U25" s="1297"/>
      <c r="V25" s="1298"/>
      <c r="W25" s="1298"/>
      <c r="X25" s="1299"/>
      <c r="Y25" s="1297"/>
      <c r="Z25" s="1298"/>
      <c r="AA25" s="1298"/>
      <c r="AB25" s="1299"/>
      <c r="AC25" s="1297"/>
      <c r="AD25" s="1298"/>
      <c r="AE25" s="1298"/>
      <c r="AF25" s="1300"/>
      <c r="AG25" s="1298">
        <v>1</v>
      </c>
      <c r="AH25" s="1298"/>
      <c r="AI25" s="1298"/>
      <c r="AJ25" s="1300">
        <f>SUM(AG25:AI25)</f>
        <v>1</v>
      </c>
      <c r="AK25" s="1298"/>
      <c r="AL25" s="1298"/>
      <c r="AM25" s="1298"/>
      <c r="AN25" s="1300"/>
      <c r="AO25" s="1298"/>
      <c r="AP25" s="1298"/>
      <c r="AQ25" s="1298"/>
      <c r="AR25" s="1300">
        <f t="shared" ref="AR25:AR51" si="13">SUM(AO25:AQ25)</f>
        <v>0</v>
      </c>
      <c r="AS25" s="1298"/>
      <c r="AT25" s="1298"/>
      <c r="AU25" s="1298"/>
      <c r="AV25" s="1300">
        <f t="shared" ref="AV25:AV51" si="14">SUM(AS25:AU25)</f>
        <v>0</v>
      </c>
      <c r="AW25" s="1298"/>
      <c r="AX25" s="1298">
        <v>1</v>
      </c>
      <c r="AY25" s="1298"/>
      <c r="AZ25" s="1300">
        <f t="shared" ref="AZ25:AZ51" si="15">SUM(AW25:AY25)</f>
        <v>1</v>
      </c>
      <c r="BA25" s="1298"/>
      <c r="BB25" s="1298"/>
      <c r="BC25" s="1298"/>
      <c r="BD25" s="1300">
        <f t="shared" ref="BD25:BD51" si="16">SUM(BA25:BC25)</f>
        <v>0</v>
      </c>
      <c r="BE25" s="1297"/>
      <c r="BF25" s="1298"/>
      <c r="BG25" s="1298"/>
      <c r="BH25" s="1300">
        <f t="shared" si="10"/>
        <v>0</v>
      </c>
      <c r="BI25" s="1297"/>
      <c r="BJ25" s="1298"/>
      <c r="BK25" s="1298"/>
      <c r="BL25" s="1300"/>
      <c r="BM25" s="1297"/>
      <c r="BN25" s="1298"/>
      <c r="BO25" s="1298"/>
      <c r="BP25" s="1300">
        <f t="shared" si="11"/>
        <v>0</v>
      </c>
      <c r="BQ25" s="1297"/>
      <c r="BR25" s="1298"/>
      <c r="BS25" s="1298">
        <v>1</v>
      </c>
      <c r="BT25" s="1300">
        <f t="shared" si="12"/>
        <v>1</v>
      </c>
    </row>
    <row r="26" spans="1:72" ht="12.75" customHeight="1" x14ac:dyDescent="0.2">
      <c r="A26" s="5273"/>
      <c r="B26" s="5634"/>
      <c r="C26" s="5644"/>
      <c r="D26" s="1313" t="s">
        <v>142</v>
      </c>
      <c r="E26" s="1297"/>
      <c r="F26" s="1298"/>
      <c r="G26" s="1298"/>
      <c r="H26" s="1299"/>
      <c r="I26" s="1297"/>
      <c r="J26" s="1298"/>
      <c r="K26" s="1298"/>
      <c r="L26" s="1299"/>
      <c r="M26" s="1297"/>
      <c r="N26" s="1298"/>
      <c r="O26" s="1298"/>
      <c r="P26" s="1299"/>
      <c r="Q26" s="1297"/>
      <c r="R26" s="1298"/>
      <c r="S26" s="1298"/>
      <c r="T26" s="1299"/>
      <c r="U26" s="1297"/>
      <c r="V26" s="1298"/>
      <c r="W26" s="1298"/>
      <c r="X26" s="1299"/>
      <c r="Y26" s="1297"/>
      <c r="Z26" s="1298"/>
      <c r="AA26" s="1298"/>
      <c r="AB26" s="1299"/>
      <c r="AC26" s="1297"/>
      <c r="AD26" s="1298"/>
      <c r="AE26" s="1298"/>
      <c r="AF26" s="1300"/>
      <c r="AG26" s="1298"/>
      <c r="AH26" s="1298"/>
      <c r="AI26" s="1298"/>
      <c r="AJ26" s="1300"/>
      <c r="AK26" s="1298"/>
      <c r="AL26" s="1298"/>
      <c r="AM26" s="1298"/>
      <c r="AN26" s="1300"/>
      <c r="AO26" s="1298"/>
      <c r="AP26" s="1298"/>
      <c r="AQ26" s="1298"/>
      <c r="AR26" s="1300">
        <f t="shared" si="13"/>
        <v>0</v>
      </c>
      <c r="AS26" s="1298"/>
      <c r="AT26" s="1298"/>
      <c r="AU26" s="1298">
        <v>2</v>
      </c>
      <c r="AV26" s="1300">
        <f t="shared" si="14"/>
        <v>2</v>
      </c>
      <c r="AW26" s="1298"/>
      <c r="AX26" s="1298"/>
      <c r="AY26" s="1298">
        <v>2</v>
      </c>
      <c r="AZ26" s="1300">
        <f t="shared" si="15"/>
        <v>2</v>
      </c>
      <c r="BA26" s="1298">
        <v>1</v>
      </c>
      <c r="BB26" s="1298"/>
      <c r="BC26" s="1298"/>
      <c r="BD26" s="1300">
        <f t="shared" si="16"/>
        <v>1</v>
      </c>
      <c r="BE26" s="1297">
        <v>2</v>
      </c>
      <c r="BF26" s="1298">
        <v>2</v>
      </c>
      <c r="BG26" s="1298"/>
      <c r="BH26" s="1300">
        <f t="shared" si="10"/>
        <v>4</v>
      </c>
      <c r="BI26" s="1297">
        <v>1</v>
      </c>
      <c r="BJ26" s="1298">
        <v>2</v>
      </c>
      <c r="BK26" s="1298">
        <v>5</v>
      </c>
      <c r="BL26" s="1300">
        <f>SUM(BI26:BK26)</f>
        <v>8</v>
      </c>
      <c r="BM26" s="1297">
        <v>4</v>
      </c>
      <c r="BN26" s="1298">
        <v>2</v>
      </c>
      <c r="BO26" s="1298">
        <v>1</v>
      </c>
      <c r="BP26" s="1300">
        <f t="shared" si="11"/>
        <v>7</v>
      </c>
      <c r="BQ26" s="1297">
        <v>2</v>
      </c>
      <c r="BR26" s="1298"/>
      <c r="BS26" s="1298"/>
      <c r="BT26" s="1300">
        <f t="shared" si="12"/>
        <v>2</v>
      </c>
    </row>
    <row r="27" spans="1:72" ht="15" x14ac:dyDescent="0.2">
      <c r="A27" s="5273"/>
      <c r="B27" s="5635"/>
      <c r="C27" s="1364"/>
      <c r="D27" s="1307" t="s">
        <v>160</v>
      </c>
      <c r="E27" s="1308"/>
      <c r="F27" s="1309">
        <f t="shared" ref="F27:AK27" si="17">SUM(F14:F26)</f>
        <v>5</v>
      </c>
      <c r="G27" s="1309">
        <f t="shared" si="17"/>
        <v>4</v>
      </c>
      <c r="H27" s="1309">
        <f t="shared" si="17"/>
        <v>9</v>
      </c>
      <c r="I27" s="1308">
        <f t="shared" si="17"/>
        <v>0</v>
      </c>
      <c r="J27" s="1309">
        <f t="shared" si="17"/>
        <v>1</v>
      </c>
      <c r="K27" s="1309">
        <f t="shared" si="17"/>
        <v>7</v>
      </c>
      <c r="L27" s="1309">
        <f t="shared" si="17"/>
        <v>8</v>
      </c>
      <c r="M27" s="1308">
        <f t="shared" si="17"/>
        <v>1</v>
      </c>
      <c r="N27" s="1309">
        <f t="shared" si="17"/>
        <v>12</v>
      </c>
      <c r="O27" s="1309">
        <f t="shared" si="17"/>
        <v>6</v>
      </c>
      <c r="P27" s="1309">
        <f t="shared" si="17"/>
        <v>19</v>
      </c>
      <c r="Q27" s="1308">
        <f t="shared" si="17"/>
        <v>3</v>
      </c>
      <c r="R27" s="1309">
        <f t="shared" si="17"/>
        <v>123</v>
      </c>
      <c r="S27" s="1309">
        <f t="shared" si="17"/>
        <v>13</v>
      </c>
      <c r="T27" s="1309">
        <f t="shared" si="17"/>
        <v>139</v>
      </c>
      <c r="U27" s="1308">
        <f t="shared" si="17"/>
        <v>15</v>
      </c>
      <c r="V27" s="1309">
        <f t="shared" si="17"/>
        <v>13</v>
      </c>
      <c r="W27" s="1309">
        <f t="shared" si="17"/>
        <v>6</v>
      </c>
      <c r="X27" s="1309">
        <f t="shared" si="17"/>
        <v>34</v>
      </c>
      <c r="Y27" s="1308">
        <f t="shared" si="17"/>
        <v>10</v>
      </c>
      <c r="Z27" s="1309">
        <f t="shared" si="17"/>
        <v>13</v>
      </c>
      <c r="AA27" s="1309">
        <f t="shared" si="17"/>
        <v>6</v>
      </c>
      <c r="AB27" s="1309">
        <f t="shared" si="17"/>
        <v>29</v>
      </c>
      <c r="AC27" s="1308">
        <f t="shared" si="17"/>
        <v>12</v>
      </c>
      <c r="AD27" s="1309">
        <f t="shared" si="17"/>
        <v>24</v>
      </c>
      <c r="AE27" s="1309">
        <f t="shared" si="17"/>
        <v>1</v>
      </c>
      <c r="AF27" s="1366">
        <f t="shared" si="17"/>
        <v>37</v>
      </c>
      <c r="AG27" s="1309">
        <f t="shared" si="17"/>
        <v>7</v>
      </c>
      <c r="AH27" s="1309">
        <f t="shared" si="17"/>
        <v>25</v>
      </c>
      <c r="AI27" s="1309">
        <f t="shared" si="17"/>
        <v>15</v>
      </c>
      <c r="AJ27" s="1366">
        <f t="shared" si="17"/>
        <v>47</v>
      </c>
      <c r="AK27" s="1309">
        <f t="shared" si="17"/>
        <v>9</v>
      </c>
      <c r="AL27" s="1309">
        <f t="shared" ref="AL27:BH27" si="18">SUM(AL14:AL26)</f>
        <v>21</v>
      </c>
      <c r="AM27" s="1309">
        <f t="shared" si="18"/>
        <v>9</v>
      </c>
      <c r="AN27" s="1366">
        <f t="shared" si="18"/>
        <v>39</v>
      </c>
      <c r="AO27" s="1309">
        <f t="shared" si="18"/>
        <v>3</v>
      </c>
      <c r="AP27" s="1309">
        <f t="shared" si="18"/>
        <v>16</v>
      </c>
      <c r="AQ27" s="1309">
        <f t="shared" si="18"/>
        <v>3</v>
      </c>
      <c r="AR27" s="1366">
        <f t="shared" si="18"/>
        <v>22</v>
      </c>
      <c r="AS27" s="1309">
        <f t="shared" si="18"/>
        <v>7</v>
      </c>
      <c r="AT27" s="1309">
        <f t="shared" si="18"/>
        <v>18</v>
      </c>
      <c r="AU27" s="1309">
        <f t="shared" si="18"/>
        <v>6</v>
      </c>
      <c r="AV27" s="1366">
        <f t="shared" si="18"/>
        <v>31</v>
      </c>
      <c r="AW27" s="1309">
        <f t="shared" si="18"/>
        <v>6</v>
      </c>
      <c r="AX27" s="1309">
        <f t="shared" si="18"/>
        <v>20</v>
      </c>
      <c r="AY27" s="1309">
        <f t="shared" si="18"/>
        <v>6</v>
      </c>
      <c r="AZ27" s="1366">
        <f t="shared" si="18"/>
        <v>32</v>
      </c>
      <c r="BA27" s="1309">
        <f t="shared" si="18"/>
        <v>6</v>
      </c>
      <c r="BB27" s="1309">
        <f t="shared" si="18"/>
        <v>37</v>
      </c>
      <c r="BC27" s="1309">
        <f t="shared" si="18"/>
        <v>8</v>
      </c>
      <c r="BD27" s="1366">
        <f t="shared" si="18"/>
        <v>51</v>
      </c>
      <c r="BE27" s="1309">
        <f t="shared" si="18"/>
        <v>14</v>
      </c>
      <c r="BF27" s="1309">
        <f t="shared" si="18"/>
        <v>29</v>
      </c>
      <c r="BG27" s="1309">
        <f t="shared" si="18"/>
        <v>3</v>
      </c>
      <c r="BH27" s="1366">
        <f t="shared" si="18"/>
        <v>46</v>
      </c>
      <c r="BI27" s="1309">
        <f t="shared" ref="BI27:BP27" si="19">SUM(BI14:BI26)</f>
        <v>3</v>
      </c>
      <c r="BJ27" s="1309">
        <f t="shared" si="19"/>
        <v>14</v>
      </c>
      <c r="BK27" s="1309">
        <f t="shared" si="19"/>
        <v>22</v>
      </c>
      <c r="BL27" s="1366">
        <f t="shared" si="19"/>
        <v>39</v>
      </c>
      <c r="BM27" s="1309">
        <f t="shared" si="19"/>
        <v>16</v>
      </c>
      <c r="BN27" s="1309">
        <f t="shared" si="19"/>
        <v>26</v>
      </c>
      <c r="BO27" s="1309">
        <f t="shared" si="19"/>
        <v>17</v>
      </c>
      <c r="BP27" s="1366">
        <f t="shared" si="19"/>
        <v>59</v>
      </c>
      <c r="BQ27" s="1309">
        <f t="shared" ref="BQ27:BT27" si="20">SUM(BQ14:BQ26)</f>
        <v>11</v>
      </c>
      <c r="BR27" s="1309">
        <f t="shared" si="20"/>
        <v>19</v>
      </c>
      <c r="BS27" s="1309">
        <f t="shared" si="20"/>
        <v>14</v>
      </c>
      <c r="BT27" s="1366">
        <f t="shared" si="20"/>
        <v>44</v>
      </c>
    </row>
    <row r="28" spans="1:72" ht="14.25" customHeight="1" x14ac:dyDescent="0.2">
      <c r="A28" s="5273"/>
      <c r="B28" s="5633" t="s">
        <v>7</v>
      </c>
      <c r="C28" s="1362" t="s">
        <v>528</v>
      </c>
      <c r="D28" s="1315" t="s">
        <v>403</v>
      </c>
      <c r="E28" s="1316"/>
      <c r="F28" s="1317"/>
      <c r="G28" s="1317">
        <v>17</v>
      </c>
      <c r="H28" s="1318">
        <f>SUM(G28)</f>
        <v>17</v>
      </c>
      <c r="I28" s="1316"/>
      <c r="J28" s="1317">
        <v>3</v>
      </c>
      <c r="K28" s="1317">
        <v>6</v>
      </c>
      <c r="L28" s="1318">
        <f>SUM(J28:K28)</f>
        <v>9</v>
      </c>
      <c r="M28" s="1316">
        <v>1</v>
      </c>
      <c r="N28" s="1317">
        <v>7</v>
      </c>
      <c r="O28" s="1317">
        <v>2</v>
      </c>
      <c r="P28" s="1318">
        <f>SUM(M28:O28)</f>
        <v>10</v>
      </c>
      <c r="Q28" s="1316">
        <v>3</v>
      </c>
      <c r="R28" s="1317">
        <v>65</v>
      </c>
      <c r="S28" s="1317">
        <v>26</v>
      </c>
      <c r="T28" s="1318">
        <f>SUM(Q28:S28)</f>
        <v>94</v>
      </c>
      <c r="U28" s="1316"/>
      <c r="V28" s="1317">
        <v>1</v>
      </c>
      <c r="W28" s="1317">
        <v>2</v>
      </c>
      <c r="X28" s="1318">
        <f>SUM(U28:W28)</f>
        <v>3</v>
      </c>
      <c r="Y28" s="1316">
        <v>2</v>
      </c>
      <c r="Z28" s="1317">
        <v>15</v>
      </c>
      <c r="AA28" s="1317">
        <v>7</v>
      </c>
      <c r="AB28" s="1318">
        <f>SUM(Y28:AA28)</f>
        <v>24</v>
      </c>
      <c r="AC28" s="1316">
        <v>1</v>
      </c>
      <c r="AD28" s="1317">
        <v>4</v>
      </c>
      <c r="AE28" s="1317">
        <v>9</v>
      </c>
      <c r="AF28" s="1319">
        <f t="shared" ref="AF28:AF39" si="21">SUM(AC28:AE28)</f>
        <v>14</v>
      </c>
      <c r="AG28" s="1317"/>
      <c r="AH28" s="1317">
        <v>13</v>
      </c>
      <c r="AI28" s="1317">
        <v>4</v>
      </c>
      <c r="AJ28" s="1319">
        <f>SUM(AG28:AI28)</f>
        <v>17</v>
      </c>
      <c r="AK28" s="1317"/>
      <c r="AL28" s="1317">
        <v>16</v>
      </c>
      <c r="AM28" s="1317">
        <v>1</v>
      </c>
      <c r="AN28" s="1319">
        <f t="shared" ref="AN28:AN51" si="22">SUM(AK28:AM28)</f>
        <v>17</v>
      </c>
      <c r="AO28" s="1317">
        <v>1</v>
      </c>
      <c r="AP28" s="1317">
        <v>2</v>
      </c>
      <c r="AQ28" s="1317">
        <v>11</v>
      </c>
      <c r="AR28" s="1319">
        <f t="shared" si="13"/>
        <v>14</v>
      </c>
      <c r="AS28" s="1317">
        <v>10</v>
      </c>
      <c r="AT28" s="1317">
        <v>4</v>
      </c>
      <c r="AU28" s="1317">
        <v>47</v>
      </c>
      <c r="AV28" s="1319">
        <f t="shared" si="14"/>
        <v>61</v>
      </c>
      <c r="AW28" s="1317">
        <v>1</v>
      </c>
      <c r="AX28" s="1317">
        <v>1</v>
      </c>
      <c r="AY28" s="1317">
        <v>24</v>
      </c>
      <c r="AZ28" s="1319">
        <f t="shared" si="15"/>
        <v>26</v>
      </c>
      <c r="BA28" s="1317"/>
      <c r="BB28" s="1317">
        <v>2</v>
      </c>
      <c r="BC28" s="1317">
        <v>31</v>
      </c>
      <c r="BD28" s="1319">
        <f t="shared" si="16"/>
        <v>33</v>
      </c>
      <c r="BE28" s="1316">
        <v>1</v>
      </c>
      <c r="BF28" s="1317">
        <v>4</v>
      </c>
      <c r="BG28" s="1317">
        <v>1</v>
      </c>
      <c r="BH28" s="1319">
        <f>SUM(BE28:BG28)</f>
        <v>6</v>
      </c>
      <c r="BI28" s="1316"/>
      <c r="BJ28" s="1317">
        <v>5</v>
      </c>
      <c r="BK28" s="1317">
        <v>28</v>
      </c>
      <c r="BL28" s="1319">
        <f>SUM(BI28:BK28)</f>
        <v>33</v>
      </c>
      <c r="BM28" s="1316"/>
      <c r="BN28" s="1317">
        <v>1</v>
      </c>
      <c r="BO28" s="1317"/>
      <c r="BP28" s="1319">
        <f>SUM(BM28:BO28)</f>
        <v>1</v>
      </c>
      <c r="BQ28" s="1316"/>
      <c r="BR28" s="1317"/>
      <c r="BS28" s="1317"/>
      <c r="BT28" s="1319">
        <f>SUM(BQ28:BS28)</f>
        <v>0</v>
      </c>
    </row>
    <row r="29" spans="1:72" ht="14.25" customHeight="1" x14ac:dyDescent="0.2">
      <c r="A29" s="5273"/>
      <c r="B29" s="5634"/>
      <c r="C29" s="1362"/>
      <c r="D29" s="1313" t="s">
        <v>541</v>
      </c>
      <c r="E29" s="1297"/>
      <c r="F29" s="1298"/>
      <c r="G29" s="1298"/>
      <c r="H29" s="1299"/>
      <c r="I29" s="1297"/>
      <c r="J29" s="1298"/>
      <c r="K29" s="1298"/>
      <c r="L29" s="1299"/>
      <c r="M29" s="1297"/>
      <c r="N29" s="1298"/>
      <c r="O29" s="1298"/>
      <c r="P29" s="1299"/>
      <c r="Q29" s="1297"/>
      <c r="R29" s="1298">
        <v>4</v>
      </c>
      <c r="S29" s="1298"/>
      <c r="T29" s="1299">
        <f>SUM(Q29:S29)</f>
        <v>4</v>
      </c>
      <c r="U29" s="1297">
        <v>1</v>
      </c>
      <c r="V29" s="1298">
        <v>2</v>
      </c>
      <c r="W29" s="1298">
        <v>4</v>
      </c>
      <c r="X29" s="1299">
        <f>SUM(U29:W29)</f>
        <v>7</v>
      </c>
      <c r="Y29" s="1297">
        <v>2</v>
      </c>
      <c r="Z29" s="1298">
        <v>1</v>
      </c>
      <c r="AA29" s="1298">
        <v>2</v>
      </c>
      <c r="AB29" s="1299">
        <f>SUM(Y29:AA29)</f>
        <v>5</v>
      </c>
      <c r="AC29" s="1297">
        <v>4</v>
      </c>
      <c r="AD29" s="1298">
        <v>1</v>
      </c>
      <c r="AE29" s="1298">
        <v>5</v>
      </c>
      <c r="AF29" s="1300">
        <f t="shared" si="21"/>
        <v>10</v>
      </c>
      <c r="AG29" s="1298">
        <v>2</v>
      </c>
      <c r="AH29" s="1298">
        <v>2</v>
      </c>
      <c r="AI29" s="1298">
        <v>5</v>
      </c>
      <c r="AJ29" s="1300">
        <f>SUM(AG29:AI29)</f>
        <v>9</v>
      </c>
      <c r="AK29" s="1298">
        <v>4</v>
      </c>
      <c r="AL29" s="1298"/>
      <c r="AM29" s="1298"/>
      <c r="AN29" s="1300">
        <f t="shared" si="22"/>
        <v>4</v>
      </c>
      <c r="AO29" s="1298">
        <v>3</v>
      </c>
      <c r="AP29" s="1298">
        <v>6</v>
      </c>
      <c r="AQ29" s="1298">
        <v>2</v>
      </c>
      <c r="AR29" s="1300">
        <f t="shared" si="13"/>
        <v>11</v>
      </c>
      <c r="AS29" s="1298">
        <v>2</v>
      </c>
      <c r="AT29" s="1298">
        <v>5</v>
      </c>
      <c r="AU29" s="1298">
        <v>1</v>
      </c>
      <c r="AV29" s="1300">
        <f t="shared" si="14"/>
        <v>8</v>
      </c>
      <c r="AW29" s="1298">
        <v>2</v>
      </c>
      <c r="AX29" s="1298">
        <v>11</v>
      </c>
      <c r="AY29" s="1298">
        <v>3</v>
      </c>
      <c r="AZ29" s="1300">
        <f t="shared" si="15"/>
        <v>16</v>
      </c>
      <c r="BA29" s="1298"/>
      <c r="BB29" s="1298"/>
      <c r="BC29" s="1298">
        <v>1</v>
      </c>
      <c r="BD29" s="1300">
        <f t="shared" si="16"/>
        <v>1</v>
      </c>
      <c r="BE29" s="1297"/>
      <c r="BF29" s="1298"/>
      <c r="BG29" s="1298"/>
      <c r="BH29" s="1300"/>
      <c r="BI29" s="1297"/>
      <c r="BJ29" s="1298"/>
      <c r="BK29" s="1298"/>
      <c r="BL29" s="1300"/>
      <c r="BM29" s="1297"/>
      <c r="BN29" s="1298"/>
      <c r="BO29" s="1298"/>
      <c r="BP29" s="1300">
        <f>SUM(BM29:BO29)</f>
        <v>0</v>
      </c>
      <c r="BQ29" s="1297"/>
      <c r="BR29" s="1298"/>
      <c r="BS29" s="1298"/>
      <c r="BT29" s="1300">
        <f>SUM(BQ29:BS29)</f>
        <v>0</v>
      </c>
    </row>
    <row r="30" spans="1:72" ht="14.25" customHeight="1" x14ac:dyDescent="0.2">
      <c r="A30" s="5273"/>
      <c r="B30" s="5634"/>
      <c r="C30" s="5646" t="s">
        <v>527</v>
      </c>
      <c r="D30" s="1313" t="s">
        <v>404</v>
      </c>
      <c r="E30" s="1297">
        <v>1</v>
      </c>
      <c r="F30" s="1298"/>
      <c r="G30" s="1298"/>
      <c r="H30" s="1299">
        <f>SUM(E30:G30)</f>
        <v>1</v>
      </c>
      <c r="I30" s="1297"/>
      <c r="J30" s="1298"/>
      <c r="K30" s="1298"/>
      <c r="L30" s="1299"/>
      <c r="M30" s="1297">
        <v>2</v>
      </c>
      <c r="N30" s="1298"/>
      <c r="O30" s="1298">
        <v>1</v>
      </c>
      <c r="P30" s="1299">
        <f>SUM(M30:O30)</f>
        <v>3</v>
      </c>
      <c r="Q30" s="1297">
        <v>7</v>
      </c>
      <c r="R30" s="1298">
        <v>6</v>
      </c>
      <c r="S30" s="1298">
        <v>5</v>
      </c>
      <c r="T30" s="1299">
        <f>SUM(Q30:S30)</f>
        <v>18</v>
      </c>
      <c r="U30" s="1297"/>
      <c r="V30" s="1298"/>
      <c r="W30" s="1298"/>
      <c r="X30" s="1299"/>
      <c r="Y30" s="1297"/>
      <c r="Z30" s="1298"/>
      <c r="AA30" s="1298"/>
      <c r="AB30" s="1299"/>
      <c r="AC30" s="1297"/>
      <c r="AD30" s="1298"/>
      <c r="AE30" s="1298"/>
      <c r="AF30" s="1300"/>
      <c r="AG30" s="1298"/>
      <c r="AH30" s="1298"/>
      <c r="AI30" s="1298"/>
      <c r="AJ30" s="1300"/>
      <c r="AK30" s="1298"/>
      <c r="AL30" s="1298"/>
      <c r="AM30" s="1298"/>
      <c r="AN30" s="1300"/>
      <c r="AO30" s="1298"/>
      <c r="AP30" s="1298"/>
      <c r="AQ30" s="1298"/>
      <c r="AR30" s="1300"/>
      <c r="AS30" s="1298"/>
      <c r="AT30" s="1298"/>
      <c r="AU30" s="1298"/>
      <c r="AV30" s="1300"/>
      <c r="AW30" s="1298"/>
      <c r="AX30" s="1298"/>
      <c r="AY30" s="1298"/>
      <c r="AZ30" s="1300"/>
      <c r="BA30" s="1298">
        <v>1</v>
      </c>
      <c r="BB30" s="1298">
        <v>12</v>
      </c>
      <c r="BC30" s="1298">
        <v>11</v>
      </c>
      <c r="BD30" s="1300">
        <f t="shared" si="16"/>
        <v>24</v>
      </c>
      <c r="BE30" s="1297">
        <v>4</v>
      </c>
      <c r="BF30" s="1298">
        <v>5</v>
      </c>
      <c r="BG30" s="1298">
        <v>13</v>
      </c>
      <c r="BH30" s="1300">
        <f>SUM(BE30:BG30)</f>
        <v>22</v>
      </c>
      <c r="BI30" s="1297">
        <v>6</v>
      </c>
      <c r="BJ30" s="1298">
        <v>25</v>
      </c>
      <c r="BK30" s="1298">
        <v>6</v>
      </c>
      <c r="BL30" s="1300">
        <f>SUM(BI30:BK30)</f>
        <v>37</v>
      </c>
      <c r="BM30" s="1297">
        <v>4</v>
      </c>
      <c r="BN30" s="1298">
        <v>11</v>
      </c>
      <c r="BO30" s="1298">
        <v>11</v>
      </c>
      <c r="BP30" s="1300">
        <f>SUM(BM30:BO30)</f>
        <v>26</v>
      </c>
      <c r="BQ30" s="1297">
        <v>8</v>
      </c>
      <c r="BR30" s="1298">
        <v>7</v>
      </c>
      <c r="BS30" s="1298"/>
      <c r="BT30" s="1300">
        <f>SUM(BQ30:BS30)</f>
        <v>15</v>
      </c>
    </row>
    <row r="31" spans="1:72" ht="14.25" customHeight="1" x14ac:dyDescent="0.2">
      <c r="A31" s="5273"/>
      <c r="B31" s="5634"/>
      <c r="C31" s="5644"/>
      <c r="D31" s="4840" t="s">
        <v>1394</v>
      </c>
      <c r="E31" s="1303"/>
      <c r="F31" s="1304"/>
      <c r="G31" s="1304"/>
      <c r="H31" s="1305"/>
      <c r="I31" s="1303"/>
      <c r="J31" s="1304"/>
      <c r="K31" s="1304"/>
      <c r="L31" s="1305"/>
      <c r="M31" s="1303"/>
      <c r="N31" s="1304"/>
      <c r="O31" s="1304"/>
      <c r="P31" s="1305"/>
      <c r="Q31" s="1303"/>
      <c r="R31" s="1304"/>
      <c r="S31" s="1304"/>
      <c r="T31" s="1305"/>
      <c r="U31" s="1303"/>
      <c r="V31" s="1304"/>
      <c r="W31" s="1304"/>
      <c r="X31" s="1305"/>
      <c r="Y31" s="1303"/>
      <c r="Z31" s="1304"/>
      <c r="AA31" s="1304"/>
      <c r="AB31" s="1305"/>
      <c r="AC31" s="1303"/>
      <c r="AD31" s="1304"/>
      <c r="AE31" s="1304"/>
      <c r="AF31" s="1306"/>
      <c r="AG31" s="1304"/>
      <c r="AH31" s="1304"/>
      <c r="AI31" s="1304"/>
      <c r="AJ31" s="1306"/>
      <c r="AK31" s="1304"/>
      <c r="AL31" s="1304"/>
      <c r="AM31" s="1304"/>
      <c r="AN31" s="1306"/>
      <c r="AO31" s="1304"/>
      <c r="AP31" s="1304"/>
      <c r="AQ31" s="1304"/>
      <c r="AR31" s="1306"/>
      <c r="AS31" s="1304"/>
      <c r="AT31" s="1304"/>
      <c r="AU31" s="1304"/>
      <c r="AV31" s="1306"/>
      <c r="AW31" s="1304"/>
      <c r="AX31" s="1304"/>
      <c r="AY31" s="1304"/>
      <c r="AZ31" s="1306"/>
      <c r="BA31" s="1304"/>
      <c r="BB31" s="1304"/>
      <c r="BC31" s="1304"/>
      <c r="BD31" s="1306"/>
      <c r="BE31" s="1304"/>
      <c r="BF31" s="1304"/>
      <c r="BG31" s="1304"/>
      <c r="BH31" s="1300"/>
      <c r="BI31" s="1304"/>
      <c r="BJ31" s="1304"/>
      <c r="BK31" s="1304"/>
      <c r="BL31" s="1300"/>
      <c r="BM31" s="1304"/>
      <c r="BN31" s="1304"/>
      <c r="BO31" s="1304"/>
      <c r="BP31" s="1300"/>
      <c r="BQ31" s="1304"/>
      <c r="BR31" s="1304">
        <v>1</v>
      </c>
      <c r="BS31" s="1304"/>
      <c r="BT31" s="1300">
        <f t="shared" ref="BT31:BT36" si="23">SUM(BQ31:BS31)</f>
        <v>1</v>
      </c>
    </row>
    <row r="32" spans="1:72" ht="14.25" customHeight="1" x14ac:dyDescent="0.2">
      <c r="A32" s="5273"/>
      <c r="B32" s="5634"/>
      <c r="C32" s="5645"/>
      <c r="D32" s="4840" t="s">
        <v>1397</v>
      </c>
      <c r="E32" s="1303"/>
      <c r="F32" s="1304"/>
      <c r="G32" s="1304"/>
      <c r="H32" s="1305"/>
      <c r="I32" s="1303"/>
      <c r="J32" s="1304"/>
      <c r="K32" s="1304"/>
      <c r="L32" s="1305"/>
      <c r="M32" s="1303"/>
      <c r="N32" s="1304"/>
      <c r="O32" s="1304"/>
      <c r="P32" s="1305"/>
      <c r="Q32" s="1303"/>
      <c r="R32" s="1304"/>
      <c r="S32" s="1304"/>
      <c r="T32" s="1305"/>
      <c r="U32" s="1303"/>
      <c r="V32" s="1304"/>
      <c r="W32" s="1304"/>
      <c r="X32" s="1305"/>
      <c r="Y32" s="1303"/>
      <c r="Z32" s="1304"/>
      <c r="AA32" s="1304"/>
      <c r="AB32" s="1305"/>
      <c r="AC32" s="1303"/>
      <c r="AD32" s="1304"/>
      <c r="AE32" s="1304"/>
      <c r="AF32" s="1306"/>
      <c r="AG32" s="1304"/>
      <c r="AH32" s="1304"/>
      <c r="AI32" s="1304"/>
      <c r="AJ32" s="1306"/>
      <c r="AK32" s="1304"/>
      <c r="AL32" s="1304"/>
      <c r="AM32" s="1304"/>
      <c r="AN32" s="1306"/>
      <c r="AO32" s="1304"/>
      <c r="AP32" s="1304"/>
      <c r="AQ32" s="1304"/>
      <c r="AR32" s="1306"/>
      <c r="AS32" s="1304"/>
      <c r="AT32" s="1304"/>
      <c r="AU32" s="1304"/>
      <c r="AV32" s="1306"/>
      <c r="AW32" s="1304"/>
      <c r="AX32" s="1304"/>
      <c r="AY32" s="1304"/>
      <c r="AZ32" s="1306"/>
      <c r="BA32" s="1304"/>
      <c r="BB32" s="1304"/>
      <c r="BC32" s="1304"/>
      <c r="BD32" s="1306"/>
      <c r="BE32" s="1304"/>
      <c r="BF32" s="1304"/>
      <c r="BG32" s="1304"/>
      <c r="BH32" s="1300"/>
      <c r="BI32" s="1304"/>
      <c r="BJ32" s="1304"/>
      <c r="BK32" s="1304"/>
      <c r="BL32" s="1300"/>
      <c r="BM32" s="1304"/>
      <c r="BN32" s="1304"/>
      <c r="BO32" s="1304"/>
      <c r="BP32" s="1300"/>
      <c r="BQ32" s="1304"/>
      <c r="BR32" s="1304"/>
      <c r="BS32" s="1304">
        <v>2</v>
      </c>
      <c r="BT32" s="1300">
        <f t="shared" si="23"/>
        <v>2</v>
      </c>
    </row>
    <row r="33" spans="1:72" ht="14.25" customHeight="1" x14ac:dyDescent="0.2">
      <c r="A33" s="5273"/>
      <c r="B33" s="5634"/>
      <c r="C33" s="5646" t="s">
        <v>526</v>
      </c>
      <c r="D33" s="1302" t="s">
        <v>405</v>
      </c>
      <c r="E33" s="1304"/>
      <c r="F33" s="1304"/>
      <c r="G33" s="1304"/>
      <c r="H33" s="1300"/>
      <c r="I33" s="1304"/>
      <c r="J33" s="1304"/>
      <c r="K33" s="1304"/>
      <c r="L33" s="1300"/>
      <c r="M33" s="1304">
        <v>1</v>
      </c>
      <c r="N33" s="1304">
        <v>6</v>
      </c>
      <c r="O33" s="1304">
        <v>4</v>
      </c>
      <c r="P33" s="1300">
        <f>SUM(M33:O33)</f>
        <v>11</v>
      </c>
      <c r="Q33" s="1304"/>
      <c r="R33" s="1304"/>
      <c r="S33" s="1304"/>
      <c r="T33" s="1300"/>
      <c r="U33" s="1304"/>
      <c r="V33" s="1304"/>
      <c r="W33" s="1304"/>
      <c r="X33" s="1300"/>
      <c r="Y33" s="1304"/>
      <c r="Z33" s="1304">
        <v>1</v>
      </c>
      <c r="AA33" s="1304">
        <v>1</v>
      </c>
      <c r="AB33" s="1300">
        <f>SUM(Y33:AA33)</f>
        <v>2</v>
      </c>
      <c r="AC33" s="1304"/>
      <c r="AD33" s="1304">
        <v>6</v>
      </c>
      <c r="AE33" s="1304">
        <v>1</v>
      </c>
      <c r="AF33" s="1300">
        <f t="shared" si="21"/>
        <v>7</v>
      </c>
      <c r="AG33" s="1304">
        <v>1</v>
      </c>
      <c r="AH33" s="1304">
        <v>1</v>
      </c>
      <c r="AI33" s="1304">
        <v>2</v>
      </c>
      <c r="AJ33" s="1300">
        <f>SUM(AG33:AI33)</f>
        <v>4</v>
      </c>
      <c r="AK33" s="1304"/>
      <c r="AL33" s="1304"/>
      <c r="AM33" s="1304">
        <v>1</v>
      </c>
      <c r="AN33" s="1300">
        <f t="shared" si="22"/>
        <v>1</v>
      </c>
      <c r="AO33" s="1304">
        <v>1</v>
      </c>
      <c r="AP33" s="1304"/>
      <c r="AQ33" s="1304"/>
      <c r="AR33" s="1300">
        <f t="shared" si="13"/>
        <v>1</v>
      </c>
      <c r="AS33" s="1304">
        <v>1</v>
      </c>
      <c r="AT33" s="1304">
        <v>1</v>
      </c>
      <c r="AU33" s="1304">
        <v>1</v>
      </c>
      <c r="AV33" s="1300">
        <f t="shared" si="14"/>
        <v>3</v>
      </c>
      <c r="AW33" s="1304">
        <v>1</v>
      </c>
      <c r="AX33" s="1304">
        <v>1</v>
      </c>
      <c r="AY33" s="1304">
        <v>3</v>
      </c>
      <c r="AZ33" s="1300">
        <f t="shared" si="15"/>
        <v>5</v>
      </c>
      <c r="BA33" s="1304">
        <v>1</v>
      </c>
      <c r="BB33" s="1304">
        <v>4</v>
      </c>
      <c r="BC33" s="1304">
        <v>2</v>
      </c>
      <c r="BD33" s="1300">
        <f t="shared" si="16"/>
        <v>7</v>
      </c>
      <c r="BE33" s="1304"/>
      <c r="BF33" s="1304">
        <v>1</v>
      </c>
      <c r="BG33" s="1304">
        <v>1</v>
      </c>
      <c r="BH33" s="1300">
        <f>SUM(BE33:BG33)</f>
        <v>2</v>
      </c>
      <c r="BI33" s="1304">
        <v>3</v>
      </c>
      <c r="BJ33" s="1304">
        <v>5</v>
      </c>
      <c r="BK33" s="1304">
        <v>1</v>
      </c>
      <c r="BL33" s="1300">
        <f t="shared" ref="BL33" si="24">SUM(BI33:BK33)</f>
        <v>9</v>
      </c>
      <c r="BM33" s="1304">
        <v>3</v>
      </c>
      <c r="BN33" s="1304">
        <v>5</v>
      </c>
      <c r="BO33" s="1304">
        <v>1</v>
      </c>
      <c r="BP33" s="1300">
        <f>SUM(BM33:BO33)</f>
        <v>9</v>
      </c>
      <c r="BQ33" s="1304"/>
      <c r="BR33" s="1304">
        <v>2</v>
      </c>
      <c r="BS33" s="1304"/>
      <c r="BT33" s="1300">
        <f t="shared" si="23"/>
        <v>2</v>
      </c>
    </row>
    <row r="34" spans="1:72" ht="14.25" customHeight="1" x14ac:dyDescent="0.2">
      <c r="A34" s="5273"/>
      <c r="B34" s="5634"/>
      <c r="C34" s="5644"/>
      <c r="D34" s="1313" t="s">
        <v>1394</v>
      </c>
      <c r="E34" s="1304"/>
      <c r="F34" s="1304"/>
      <c r="G34" s="1304"/>
      <c r="H34" s="1300"/>
      <c r="I34" s="1304"/>
      <c r="J34" s="1304"/>
      <c r="K34" s="1304"/>
      <c r="L34" s="1300"/>
      <c r="M34" s="1304"/>
      <c r="N34" s="1304"/>
      <c r="O34" s="1304"/>
      <c r="P34" s="1300"/>
      <c r="Q34" s="1304"/>
      <c r="R34" s="1304"/>
      <c r="S34" s="1304"/>
      <c r="T34" s="1300"/>
      <c r="U34" s="1304"/>
      <c r="V34" s="1304"/>
      <c r="W34" s="1304"/>
      <c r="X34" s="1300"/>
      <c r="Y34" s="1304"/>
      <c r="Z34" s="1304"/>
      <c r="AA34" s="1304"/>
      <c r="AB34" s="1300"/>
      <c r="AC34" s="1304"/>
      <c r="AD34" s="1304"/>
      <c r="AE34" s="1304"/>
      <c r="AF34" s="1300"/>
      <c r="AG34" s="1304"/>
      <c r="AH34" s="1304"/>
      <c r="AI34" s="1304"/>
      <c r="AJ34" s="1300"/>
      <c r="AK34" s="1304"/>
      <c r="AL34" s="1304"/>
      <c r="AM34" s="1304"/>
      <c r="AN34" s="1300"/>
      <c r="AO34" s="1304"/>
      <c r="AP34" s="1304"/>
      <c r="AQ34" s="1304"/>
      <c r="AR34" s="1300"/>
      <c r="AS34" s="1304"/>
      <c r="AT34" s="1304"/>
      <c r="AU34" s="1304"/>
      <c r="AV34" s="1300"/>
      <c r="AW34" s="1304"/>
      <c r="AX34" s="1304"/>
      <c r="AY34" s="1304"/>
      <c r="AZ34" s="1300"/>
      <c r="BA34" s="1304"/>
      <c r="BB34" s="1304"/>
      <c r="BC34" s="1304"/>
      <c r="BD34" s="1300"/>
      <c r="BE34" s="1304"/>
      <c r="BF34" s="1304"/>
      <c r="BG34" s="1304"/>
      <c r="BH34" s="1300"/>
      <c r="BI34" s="1304"/>
      <c r="BJ34" s="1304"/>
      <c r="BK34" s="1304"/>
      <c r="BL34" s="1300"/>
      <c r="BM34" s="1304"/>
      <c r="BN34" s="1304"/>
      <c r="BO34" s="1304"/>
      <c r="BP34" s="1300"/>
      <c r="BQ34" s="1297"/>
      <c r="BR34" s="1298">
        <v>1</v>
      </c>
      <c r="BS34" s="1298"/>
      <c r="BT34" s="1300">
        <f t="shared" si="23"/>
        <v>1</v>
      </c>
    </row>
    <row r="35" spans="1:72" ht="14.25" customHeight="1" x14ac:dyDescent="0.2">
      <c r="A35" s="5273"/>
      <c r="B35" s="5634"/>
      <c r="C35" s="5644"/>
      <c r="D35" s="1314" t="s">
        <v>1395</v>
      </c>
      <c r="E35" s="1297"/>
      <c r="F35" s="1298"/>
      <c r="G35" s="1298"/>
      <c r="H35" s="1300"/>
      <c r="I35" s="1297"/>
      <c r="J35" s="1298"/>
      <c r="K35" s="1298"/>
      <c r="L35" s="1300"/>
      <c r="M35" s="1297"/>
      <c r="N35" s="1298"/>
      <c r="O35" s="1298"/>
      <c r="P35" s="1300"/>
      <c r="Q35" s="1297"/>
      <c r="R35" s="1298"/>
      <c r="S35" s="1298"/>
      <c r="T35" s="1300"/>
      <c r="U35" s="1297"/>
      <c r="V35" s="1298"/>
      <c r="W35" s="1298"/>
      <c r="X35" s="1300"/>
      <c r="Y35" s="1297"/>
      <c r="Z35" s="1298"/>
      <c r="AA35" s="1298"/>
      <c r="AB35" s="1300"/>
      <c r="AC35" s="1297"/>
      <c r="AD35" s="1298"/>
      <c r="AE35" s="1298"/>
      <c r="AF35" s="1300"/>
      <c r="AG35" s="1297"/>
      <c r="AH35" s="1298"/>
      <c r="AI35" s="1298"/>
      <c r="AJ35" s="1300"/>
      <c r="AK35" s="1297"/>
      <c r="AL35" s="1298"/>
      <c r="AM35" s="1298"/>
      <c r="AN35" s="1300"/>
      <c r="AO35" s="1297"/>
      <c r="AP35" s="1298"/>
      <c r="AQ35" s="1298"/>
      <c r="AR35" s="1300"/>
      <c r="AS35" s="1297"/>
      <c r="AT35" s="1298"/>
      <c r="AU35" s="1298"/>
      <c r="AV35" s="1300"/>
      <c r="AW35" s="1297"/>
      <c r="AX35" s="1298"/>
      <c r="AY35" s="1298"/>
      <c r="AZ35" s="1300"/>
      <c r="BA35" s="1297"/>
      <c r="BB35" s="1298"/>
      <c r="BC35" s="1298"/>
      <c r="BD35" s="1300"/>
      <c r="BE35" s="1297"/>
      <c r="BF35" s="1298"/>
      <c r="BG35" s="1298"/>
      <c r="BH35" s="1300"/>
      <c r="BI35" s="1297"/>
      <c r="BJ35" s="1298"/>
      <c r="BK35" s="1298"/>
      <c r="BL35" s="1300"/>
      <c r="BM35" s="1297"/>
      <c r="BN35" s="1298"/>
      <c r="BO35" s="1298"/>
      <c r="BP35" s="1300"/>
      <c r="BQ35" s="1297"/>
      <c r="BR35" s="1298"/>
      <c r="BS35" s="1298">
        <v>1</v>
      </c>
      <c r="BT35" s="1300">
        <f t="shared" si="23"/>
        <v>1</v>
      </c>
    </row>
    <row r="36" spans="1:72" ht="14.25" customHeight="1" x14ac:dyDescent="0.2">
      <c r="A36" s="5273"/>
      <c r="B36" s="5634"/>
      <c r="C36" s="5644"/>
      <c r="D36" s="1313" t="s">
        <v>1396</v>
      </c>
      <c r="E36" s="1297"/>
      <c r="F36" s="1298"/>
      <c r="G36" s="1298"/>
      <c r="H36" s="1300"/>
      <c r="I36" s="1297"/>
      <c r="J36" s="1298"/>
      <c r="K36" s="1298"/>
      <c r="L36" s="1300"/>
      <c r="M36" s="1297"/>
      <c r="N36" s="1298"/>
      <c r="O36" s="1298"/>
      <c r="P36" s="1300"/>
      <c r="Q36" s="1297"/>
      <c r="R36" s="1298"/>
      <c r="S36" s="1298"/>
      <c r="T36" s="1300"/>
      <c r="U36" s="1297"/>
      <c r="V36" s="1298"/>
      <c r="W36" s="1298"/>
      <c r="X36" s="1300"/>
      <c r="Y36" s="1297"/>
      <c r="Z36" s="1298"/>
      <c r="AA36" s="1298"/>
      <c r="AB36" s="1300"/>
      <c r="AC36" s="1297"/>
      <c r="AD36" s="1298"/>
      <c r="AE36" s="1298"/>
      <c r="AF36" s="1300"/>
      <c r="AG36" s="1297"/>
      <c r="AH36" s="1298"/>
      <c r="AI36" s="1298"/>
      <c r="AJ36" s="1300"/>
      <c r="AK36" s="1297"/>
      <c r="AL36" s="1298"/>
      <c r="AM36" s="1298"/>
      <c r="AN36" s="1300"/>
      <c r="AO36" s="1297"/>
      <c r="AP36" s="1298"/>
      <c r="AQ36" s="1298"/>
      <c r="AR36" s="1300"/>
      <c r="AS36" s="1297"/>
      <c r="AT36" s="1298"/>
      <c r="AU36" s="1298"/>
      <c r="AV36" s="1300"/>
      <c r="AW36" s="1297"/>
      <c r="AX36" s="1298"/>
      <c r="AY36" s="1298"/>
      <c r="AZ36" s="1300"/>
      <c r="BA36" s="1297"/>
      <c r="BB36" s="1298"/>
      <c r="BC36" s="1298"/>
      <c r="BD36" s="1300"/>
      <c r="BE36" s="1297"/>
      <c r="BF36" s="1298"/>
      <c r="BG36" s="1298"/>
      <c r="BH36" s="1300"/>
      <c r="BI36" s="1297"/>
      <c r="BJ36" s="1298"/>
      <c r="BK36" s="1298"/>
      <c r="BL36" s="1300"/>
      <c r="BM36" s="1297"/>
      <c r="BN36" s="1298"/>
      <c r="BO36" s="1298"/>
      <c r="BP36" s="1300"/>
      <c r="BQ36" s="1297"/>
      <c r="BR36" s="1298"/>
      <c r="BS36" s="1298">
        <v>1</v>
      </c>
      <c r="BT36" s="1300">
        <f t="shared" si="23"/>
        <v>1</v>
      </c>
    </row>
    <row r="37" spans="1:72" ht="14.25" customHeight="1" x14ac:dyDescent="0.2">
      <c r="A37" s="5273"/>
      <c r="B37" s="5635"/>
      <c r="C37" s="1364"/>
      <c r="D37" s="1307" t="s">
        <v>160</v>
      </c>
      <c r="E37" s="1308">
        <f>SUM(E28:E33)</f>
        <v>1</v>
      </c>
      <c r="F37" s="1309">
        <f t="shared" ref="F37:BH37" si="25">SUM(F28:F33)</f>
        <v>0</v>
      </c>
      <c r="G37" s="1309">
        <f t="shared" si="25"/>
        <v>17</v>
      </c>
      <c r="H37" s="1309">
        <f t="shared" si="25"/>
        <v>18</v>
      </c>
      <c r="I37" s="1308">
        <f t="shared" si="25"/>
        <v>0</v>
      </c>
      <c r="J37" s="1309">
        <f t="shared" si="25"/>
        <v>3</v>
      </c>
      <c r="K37" s="1309">
        <f t="shared" si="25"/>
        <v>6</v>
      </c>
      <c r="L37" s="1309">
        <f t="shared" si="25"/>
        <v>9</v>
      </c>
      <c r="M37" s="1308">
        <f t="shared" si="25"/>
        <v>4</v>
      </c>
      <c r="N37" s="1309">
        <f t="shared" si="25"/>
        <v>13</v>
      </c>
      <c r="O37" s="1309">
        <f t="shared" si="25"/>
        <v>7</v>
      </c>
      <c r="P37" s="1309">
        <f t="shared" si="25"/>
        <v>24</v>
      </c>
      <c r="Q37" s="1308">
        <f t="shared" si="25"/>
        <v>10</v>
      </c>
      <c r="R37" s="1309">
        <f t="shared" si="25"/>
        <v>75</v>
      </c>
      <c r="S37" s="1309">
        <f t="shared" si="25"/>
        <v>31</v>
      </c>
      <c r="T37" s="1309">
        <f t="shared" si="25"/>
        <v>116</v>
      </c>
      <c r="U37" s="1308">
        <f t="shared" si="25"/>
        <v>1</v>
      </c>
      <c r="V37" s="1309">
        <f t="shared" si="25"/>
        <v>3</v>
      </c>
      <c r="W37" s="1309">
        <f t="shared" si="25"/>
        <v>6</v>
      </c>
      <c r="X37" s="1309">
        <f t="shared" si="25"/>
        <v>10</v>
      </c>
      <c r="Y37" s="1308">
        <f t="shared" si="25"/>
        <v>4</v>
      </c>
      <c r="Z37" s="1309">
        <f t="shared" si="25"/>
        <v>17</v>
      </c>
      <c r="AA37" s="1309">
        <f t="shared" si="25"/>
        <v>10</v>
      </c>
      <c r="AB37" s="1309">
        <f t="shared" si="25"/>
        <v>31</v>
      </c>
      <c r="AC37" s="1308">
        <f t="shared" si="25"/>
        <v>5</v>
      </c>
      <c r="AD37" s="1309">
        <f t="shared" si="25"/>
        <v>11</v>
      </c>
      <c r="AE37" s="1309">
        <f t="shared" si="25"/>
        <v>15</v>
      </c>
      <c r="AF37" s="1366">
        <f t="shared" si="25"/>
        <v>31</v>
      </c>
      <c r="AG37" s="1309">
        <f t="shared" si="25"/>
        <v>3</v>
      </c>
      <c r="AH37" s="1309">
        <f t="shared" si="25"/>
        <v>16</v>
      </c>
      <c r="AI37" s="1309">
        <f t="shared" si="25"/>
        <v>11</v>
      </c>
      <c r="AJ37" s="1366">
        <f t="shared" si="25"/>
        <v>30</v>
      </c>
      <c r="AK37" s="1309">
        <f t="shared" si="25"/>
        <v>4</v>
      </c>
      <c r="AL37" s="1309">
        <f t="shared" si="25"/>
        <v>16</v>
      </c>
      <c r="AM37" s="1309">
        <f t="shared" si="25"/>
        <v>2</v>
      </c>
      <c r="AN37" s="1366">
        <f t="shared" si="25"/>
        <v>22</v>
      </c>
      <c r="AO37" s="1309">
        <f t="shared" si="25"/>
        <v>5</v>
      </c>
      <c r="AP37" s="1309">
        <f t="shared" si="25"/>
        <v>8</v>
      </c>
      <c r="AQ37" s="1309">
        <f t="shared" si="25"/>
        <v>13</v>
      </c>
      <c r="AR37" s="1366">
        <f t="shared" si="25"/>
        <v>26</v>
      </c>
      <c r="AS37" s="1309">
        <f t="shared" si="25"/>
        <v>13</v>
      </c>
      <c r="AT37" s="1309">
        <f t="shared" si="25"/>
        <v>10</v>
      </c>
      <c r="AU37" s="1309">
        <f t="shared" si="25"/>
        <v>49</v>
      </c>
      <c r="AV37" s="1366">
        <f t="shared" si="25"/>
        <v>72</v>
      </c>
      <c r="AW37" s="1309">
        <f t="shared" si="25"/>
        <v>4</v>
      </c>
      <c r="AX37" s="1309">
        <f t="shared" si="25"/>
        <v>13</v>
      </c>
      <c r="AY37" s="1309">
        <f t="shared" si="25"/>
        <v>30</v>
      </c>
      <c r="AZ37" s="1366">
        <f t="shared" si="25"/>
        <v>47</v>
      </c>
      <c r="BA37" s="1309">
        <f t="shared" si="25"/>
        <v>2</v>
      </c>
      <c r="BB37" s="1309">
        <f t="shared" si="25"/>
        <v>18</v>
      </c>
      <c r="BC37" s="1309">
        <f t="shared" si="25"/>
        <v>45</v>
      </c>
      <c r="BD37" s="1366">
        <f t="shared" si="25"/>
        <v>65</v>
      </c>
      <c r="BE37" s="1309">
        <f t="shared" si="25"/>
        <v>5</v>
      </c>
      <c r="BF37" s="1309">
        <f t="shared" si="25"/>
        <v>10</v>
      </c>
      <c r="BG37" s="1309">
        <f t="shared" si="25"/>
        <v>15</v>
      </c>
      <c r="BH37" s="1366">
        <f t="shared" si="25"/>
        <v>30</v>
      </c>
      <c r="BI37" s="1309">
        <f t="shared" ref="BI37:BP37" si="26">SUM(BI28:BI33)</f>
        <v>9</v>
      </c>
      <c r="BJ37" s="1309">
        <f t="shared" si="26"/>
        <v>35</v>
      </c>
      <c r="BK37" s="1309">
        <f t="shared" si="26"/>
        <v>35</v>
      </c>
      <c r="BL37" s="1366">
        <f t="shared" si="26"/>
        <v>79</v>
      </c>
      <c r="BM37" s="1309">
        <f t="shared" si="26"/>
        <v>7</v>
      </c>
      <c r="BN37" s="1309">
        <f t="shared" si="26"/>
        <v>17</v>
      </c>
      <c r="BO37" s="1309">
        <f t="shared" si="26"/>
        <v>12</v>
      </c>
      <c r="BP37" s="1366">
        <f t="shared" si="26"/>
        <v>36</v>
      </c>
      <c r="BQ37" s="1309">
        <f t="shared" ref="BQ37" si="27">SUM(BQ28:BQ33)</f>
        <v>8</v>
      </c>
      <c r="BR37" s="1309">
        <f>SUM(BR28:BR36)</f>
        <v>11</v>
      </c>
      <c r="BS37" s="1309">
        <f>SUM(BS28:BS36)</f>
        <v>4</v>
      </c>
      <c r="BT37" s="1366">
        <f>SUM(BT28:BT36)</f>
        <v>23</v>
      </c>
    </row>
    <row r="38" spans="1:72" ht="14.25" customHeight="1" x14ac:dyDescent="0.2">
      <c r="A38" s="5274"/>
      <c r="B38" s="2696"/>
      <c r="C38" s="2704"/>
      <c r="D38" s="2705" t="s">
        <v>529</v>
      </c>
      <c r="E38" s="2684">
        <f t="shared" ref="E38:AJ38" si="28">SUM(E13,E27,E37)</f>
        <v>1</v>
      </c>
      <c r="F38" s="2685">
        <f t="shared" si="28"/>
        <v>7</v>
      </c>
      <c r="G38" s="2685">
        <f t="shared" si="28"/>
        <v>22</v>
      </c>
      <c r="H38" s="2685">
        <f t="shared" si="28"/>
        <v>30</v>
      </c>
      <c r="I38" s="2684">
        <f t="shared" si="28"/>
        <v>1</v>
      </c>
      <c r="J38" s="2685">
        <f t="shared" si="28"/>
        <v>4</v>
      </c>
      <c r="K38" s="2685">
        <f t="shared" si="28"/>
        <v>14</v>
      </c>
      <c r="L38" s="2685">
        <f t="shared" si="28"/>
        <v>19</v>
      </c>
      <c r="M38" s="2684">
        <f t="shared" si="28"/>
        <v>7</v>
      </c>
      <c r="N38" s="2685">
        <f t="shared" si="28"/>
        <v>29</v>
      </c>
      <c r="O38" s="2685">
        <f t="shared" si="28"/>
        <v>20</v>
      </c>
      <c r="P38" s="2685">
        <f t="shared" si="28"/>
        <v>56</v>
      </c>
      <c r="Q38" s="2684">
        <f t="shared" si="28"/>
        <v>14</v>
      </c>
      <c r="R38" s="2685">
        <f t="shared" si="28"/>
        <v>204</v>
      </c>
      <c r="S38" s="2685">
        <f t="shared" si="28"/>
        <v>52</v>
      </c>
      <c r="T38" s="2685">
        <f t="shared" si="28"/>
        <v>270</v>
      </c>
      <c r="U38" s="2684">
        <f t="shared" si="28"/>
        <v>21</v>
      </c>
      <c r="V38" s="2685">
        <f t="shared" si="28"/>
        <v>30</v>
      </c>
      <c r="W38" s="2685">
        <f t="shared" si="28"/>
        <v>18</v>
      </c>
      <c r="X38" s="2685">
        <f t="shared" si="28"/>
        <v>69</v>
      </c>
      <c r="Y38" s="2684">
        <f t="shared" si="28"/>
        <v>21</v>
      </c>
      <c r="Z38" s="2685">
        <f t="shared" si="28"/>
        <v>37</v>
      </c>
      <c r="AA38" s="2685">
        <f t="shared" si="28"/>
        <v>26</v>
      </c>
      <c r="AB38" s="2685">
        <f t="shared" si="28"/>
        <v>84</v>
      </c>
      <c r="AC38" s="2684">
        <f t="shared" si="28"/>
        <v>23</v>
      </c>
      <c r="AD38" s="2685">
        <f t="shared" si="28"/>
        <v>54</v>
      </c>
      <c r="AE38" s="2685">
        <f t="shared" si="28"/>
        <v>26</v>
      </c>
      <c r="AF38" s="2686">
        <f t="shared" si="28"/>
        <v>103</v>
      </c>
      <c r="AG38" s="2685">
        <f t="shared" si="28"/>
        <v>18</v>
      </c>
      <c r="AH38" s="2685">
        <f t="shared" si="28"/>
        <v>53</v>
      </c>
      <c r="AI38" s="2685">
        <f t="shared" si="28"/>
        <v>36</v>
      </c>
      <c r="AJ38" s="2686">
        <f t="shared" si="28"/>
        <v>107</v>
      </c>
      <c r="AK38" s="2685">
        <f t="shared" ref="AK38:BH38" si="29">SUM(AK13,AK27,AK37)</f>
        <v>26</v>
      </c>
      <c r="AL38" s="2685">
        <f t="shared" si="29"/>
        <v>47</v>
      </c>
      <c r="AM38" s="2685">
        <f t="shared" si="29"/>
        <v>24</v>
      </c>
      <c r="AN38" s="2686">
        <f t="shared" si="29"/>
        <v>97</v>
      </c>
      <c r="AO38" s="2685">
        <f t="shared" si="29"/>
        <v>20</v>
      </c>
      <c r="AP38" s="2685">
        <f t="shared" si="29"/>
        <v>36</v>
      </c>
      <c r="AQ38" s="2685">
        <f t="shared" si="29"/>
        <v>28</v>
      </c>
      <c r="AR38" s="2686">
        <f t="shared" si="29"/>
        <v>84</v>
      </c>
      <c r="AS38" s="2685">
        <f t="shared" si="29"/>
        <v>21</v>
      </c>
      <c r="AT38" s="2685">
        <f t="shared" si="29"/>
        <v>42</v>
      </c>
      <c r="AU38" s="2685">
        <f t="shared" si="29"/>
        <v>58</v>
      </c>
      <c r="AV38" s="2686">
        <f t="shared" si="29"/>
        <v>121</v>
      </c>
      <c r="AW38" s="2685">
        <f t="shared" si="29"/>
        <v>16</v>
      </c>
      <c r="AX38" s="2685">
        <f t="shared" si="29"/>
        <v>43</v>
      </c>
      <c r="AY38" s="2685">
        <f t="shared" si="29"/>
        <v>45</v>
      </c>
      <c r="AZ38" s="2686">
        <f t="shared" si="29"/>
        <v>104</v>
      </c>
      <c r="BA38" s="2685">
        <f t="shared" si="29"/>
        <v>23</v>
      </c>
      <c r="BB38" s="2685">
        <f t="shared" si="29"/>
        <v>73</v>
      </c>
      <c r="BC38" s="2685">
        <f t="shared" si="29"/>
        <v>62</v>
      </c>
      <c r="BD38" s="2686">
        <f t="shared" si="29"/>
        <v>158</v>
      </c>
      <c r="BE38" s="2685">
        <f t="shared" si="29"/>
        <v>34</v>
      </c>
      <c r="BF38" s="2685">
        <f t="shared" si="29"/>
        <v>52</v>
      </c>
      <c r="BG38" s="2685">
        <f t="shared" si="29"/>
        <v>35</v>
      </c>
      <c r="BH38" s="2686">
        <f t="shared" si="29"/>
        <v>121</v>
      </c>
      <c r="BI38" s="2685">
        <f t="shared" ref="BI38:BP38" si="30">SUM(BI13,BI27,BI37)</f>
        <v>21</v>
      </c>
      <c r="BJ38" s="2685">
        <f t="shared" si="30"/>
        <v>62</v>
      </c>
      <c r="BK38" s="2685">
        <f t="shared" si="30"/>
        <v>71</v>
      </c>
      <c r="BL38" s="2686">
        <f t="shared" si="30"/>
        <v>154</v>
      </c>
      <c r="BM38" s="2685">
        <f t="shared" si="30"/>
        <v>34</v>
      </c>
      <c r="BN38" s="2685">
        <f t="shared" si="30"/>
        <v>58</v>
      </c>
      <c r="BO38" s="2685">
        <f t="shared" si="30"/>
        <v>46</v>
      </c>
      <c r="BP38" s="2686">
        <f t="shared" si="30"/>
        <v>138</v>
      </c>
      <c r="BQ38" s="2685">
        <f t="shared" ref="BQ38:BT38" si="31">SUM(BQ13,BQ27,BQ37)</f>
        <v>35</v>
      </c>
      <c r="BR38" s="2685">
        <f t="shared" si="31"/>
        <v>44</v>
      </c>
      <c r="BS38" s="2685">
        <f t="shared" si="31"/>
        <v>26</v>
      </c>
      <c r="BT38" s="2686">
        <f t="shared" si="31"/>
        <v>105</v>
      </c>
    </row>
    <row r="39" spans="1:72" ht="14.25" customHeight="1" x14ac:dyDescent="0.2">
      <c r="A39" s="5278" t="s">
        <v>447</v>
      </c>
      <c r="B39" s="5637" t="s">
        <v>5</v>
      </c>
      <c r="C39" s="5646" t="s">
        <v>527</v>
      </c>
      <c r="D39" s="1320" t="s">
        <v>372</v>
      </c>
      <c r="E39" s="1311"/>
      <c r="F39" s="1312"/>
      <c r="G39" s="1312">
        <v>1</v>
      </c>
      <c r="H39" s="1292">
        <f>SUM(E39:G39)</f>
        <v>1</v>
      </c>
      <c r="I39" s="1311">
        <v>1</v>
      </c>
      <c r="J39" s="1312">
        <v>2</v>
      </c>
      <c r="K39" s="1312"/>
      <c r="L39" s="1292">
        <f>SUM(I39:K39)</f>
        <v>3</v>
      </c>
      <c r="M39" s="1311">
        <v>1</v>
      </c>
      <c r="N39" s="1312"/>
      <c r="O39" s="1312">
        <v>1</v>
      </c>
      <c r="P39" s="1292">
        <f>SUM(M39:O39)</f>
        <v>2</v>
      </c>
      <c r="Q39" s="1311"/>
      <c r="R39" s="1312">
        <v>1</v>
      </c>
      <c r="S39" s="1312">
        <v>1</v>
      </c>
      <c r="T39" s="1292">
        <f>SUM(Q39:S39)</f>
        <v>2</v>
      </c>
      <c r="U39" s="1311">
        <v>1</v>
      </c>
      <c r="V39" s="1312">
        <v>1</v>
      </c>
      <c r="W39" s="1312">
        <v>1</v>
      </c>
      <c r="X39" s="1292">
        <f>SUM(U39:W39)</f>
        <v>3</v>
      </c>
      <c r="Y39" s="1311"/>
      <c r="Z39" s="1312">
        <v>1</v>
      </c>
      <c r="AA39" s="1312"/>
      <c r="AB39" s="1292">
        <f>SUM(Y39:AA39)</f>
        <v>1</v>
      </c>
      <c r="AC39" s="1311">
        <v>1</v>
      </c>
      <c r="AD39" s="1312">
        <v>1</v>
      </c>
      <c r="AE39" s="1312"/>
      <c r="AF39" s="1295">
        <f t="shared" si="21"/>
        <v>2</v>
      </c>
      <c r="AG39" s="1312"/>
      <c r="AH39" s="1312"/>
      <c r="AI39" s="1312"/>
      <c r="AJ39" s="1295"/>
      <c r="AK39" s="1312">
        <v>1</v>
      </c>
      <c r="AL39" s="1312">
        <v>1</v>
      </c>
      <c r="AM39" s="1312"/>
      <c r="AN39" s="1295">
        <f t="shared" si="22"/>
        <v>2</v>
      </c>
      <c r="AO39" s="1312">
        <v>1</v>
      </c>
      <c r="AP39" s="1312"/>
      <c r="AQ39" s="1312">
        <v>2</v>
      </c>
      <c r="AR39" s="1295">
        <f t="shared" si="13"/>
        <v>3</v>
      </c>
      <c r="AS39" s="1312">
        <v>2</v>
      </c>
      <c r="AT39" s="1312">
        <v>3</v>
      </c>
      <c r="AU39" s="1312"/>
      <c r="AV39" s="1295">
        <f t="shared" si="14"/>
        <v>5</v>
      </c>
      <c r="AW39" s="1312">
        <v>2</v>
      </c>
      <c r="AX39" s="1312">
        <v>1</v>
      </c>
      <c r="AY39" s="1312">
        <v>1</v>
      </c>
      <c r="AZ39" s="1295">
        <f t="shared" si="15"/>
        <v>4</v>
      </c>
      <c r="BA39" s="1312">
        <v>3</v>
      </c>
      <c r="BB39" s="1312"/>
      <c r="BC39" s="1312"/>
      <c r="BD39" s="1295">
        <f t="shared" si="16"/>
        <v>3</v>
      </c>
      <c r="BE39" s="1312"/>
      <c r="BF39" s="1312"/>
      <c r="BG39" s="1312"/>
      <c r="BH39" s="1319"/>
      <c r="BI39" s="1312">
        <v>1</v>
      </c>
      <c r="BJ39" s="1312">
        <v>7</v>
      </c>
      <c r="BK39" s="1312">
        <v>1</v>
      </c>
      <c r="BL39" s="1300">
        <f t="shared" ref="BL39:BL44" si="32">SUM(BI39:BK39)</f>
        <v>9</v>
      </c>
      <c r="BM39" s="1312"/>
      <c r="BN39" s="1312">
        <v>5</v>
      </c>
      <c r="BO39" s="1312">
        <v>3</v>
      </c>
      <c r="BP39" s="1300">
        <f t="shared" ref="BP39:BP44" si="33">SUM(BM39:BO39)</f>
        <v>8</v>
      </c>
      <c r="BQ39" s="1312">
        <v>2</v>
      </c>
      <c r="BR39" s="1312">
        <v>2</v>
      </c>
      <c r="BS39" s="1312">
        <v>3</v>
      </c>
      <c r="BT39" s="1300">
        <f t="shared" ref="BT39:BT51" si="34">SUM(BQ39:BS39)</f>
        <v>7</v>
      </c>
    </row>
    <row r="40" spans="1:72" ht="14.25" customHeight="1" x14ac:dyDescent="0.2">
      <c r="A40" s="5279"/>
      <c r="B40" s="5638"/>
      <c r="C40" s="5644"/>
      <c r="D40" s="1321" t="s">
        <v>382</v>
      </c>
      <c r="E40" s="1297">
        <v>1</v>
      </c>
      <c r="F40" s="1298">
        <v>1</v>
      </c>
      <c r="G40" s="1298"/>
      <c r="H40" s="1299">
        <f>SUM(E40:G40)</f>
        <v>2</v>
      </c>
      <c r="I40" s="1297">
        <v>1</v>
      </c>
      <c r="J40" s="1298"/>
      <c r="K40" s="1298">
        <v>1</v>
      </c>
      <c r="L40" s="1299">
        <f>SUM(I40:K40)</f>
        <v>2</v>
      </c>
      <c r="M40" s="1297">
        <v>1</v>
      </c>
      <c r="N40" s="1298">
        <v>3</v>
      </c>
      <c r="O40" s="1298">
        <v>1</v>
      </c>
      <c r="P40" s="1299">
        <f>SUM(M40:O40)</f>
        <v>5</v>
      </c>
      <c r="Q40" s="1297"/>
      <c r="R40" s="1298">
        <v>1</v>
      </c>
      <c r="S40" s="1298"/>
      <c r="T40" s="1299">
        <f>SUM(Q40:S40)</f>
        <v>1</v>
      </c>
      <c r="U40" s="1297"/>
      <c r="V40" s="1298">
        <v>1</v>
      </c>
      <c r="W40" s="1298">
        <v>1</v>
      </c>
      <c r="X40" s="1299">
        <f>SUM(U40:W40)</f>
        <v>2</v>
      </c>
      <c r="Y40" s="1297">
        <v>1</v>
      </c>
      <c r="Z40" s="1298"/>
      <c r="AA40" s="1298">
        <v>1</v>
      </c>
      <c r="AB40" s="1299">
        <f>SUM(Y40:AA40)</f>
        <v>2</v>
      </c>
      <c r="AC40" s="1297">
        <v>1</v>
      </c>
      <c r="AD40" s="1298">
        <v>1</v>
      </c>
      <c r="AE40" s="1298"/>
      <c r="AF40" s="1300">
        <f>SUM(AC40:AE40)</f>
        <v>2</v>
      </c>
      <c r="AG40" s="1298">
        <v>1</v>
      </c>
      <c r="AH40" s="1298">
        <v>2</v>
      </c>
      <c r="AI40" s="1298">
        <v>2</v>
      </c>
      <c r="AJ40" s="1300">
        <f>SUM(AG40:AI40)</f>
        <v>5</v>
      </c>
      <c r="AK40" s="1298">
        <v>1</v>
      </c>
      <c r="AL40" s="1298">
        <v>4</v>
      </c>
      <c r="AM40" s="1298">
        <v>4</v>
      </c>
      <c r="AN40" s="1300">
        <f>SUM(AK40:AM40)</f>
        <v>9</v>
      </c>
      <c r="AO40" s="1298">
        <v>2</v>
      </c>
      <c r="AP40" s="1298">
        <v>4</v>
      </c>
      <c r="AQ40" s="1298">
        <v>1</v>
      </c>
      <c r="AR40" s="1300">
        <f>SUM(AO40:AQ40)</f>
        <v>7</v>
      </c>
      <c r="AS40" s="1298">
        <v>5</v>
      </c>
      <c r="AT40" s="1298">
        <v>5</v>
      </c>
      <c r="AU40" s="1298">
        <v>7</v>
      </c>
      <c r="AV40" s="1300">
        <f>SUM(AS40:AU40)</f>
        <v>17</v>
      </c>
      <c r="AW40" s="1298">
        <v>5</v>
      </c>
      <c r="AX40" s="1298">
        <v>10</v>
      </c>
      <c r="AY40" s="1298">
        <v>3</v>
      </c>
      <c r="AZ40" s="1300">
        <f>SUM(AW40:AY40)</f>
        <v>18</v>
      </c>
      <c r="BA40" s="1298">
        <v>2</v>
      </c>
      <c r="BB40" s="1298">
        <v>4</v>
      </c>
      <c r="BC40" s="1298">
        <v>8</v>
      </c>
      <c r="BD40" s="1300">
        <f>SUM(BA40:BC40)</f>
        <v>14</v>
      </c>
      <c r="BE40" s="1298">
        <v>2</v>
      </c>
      <c r="BF40" s="1298">
        <v>7</v>
      </c>
      <c r="BG40" s="1298">
        <v>9</v>
      </c>
      <c r="BH40" s="1300">
        <f t="shared" ref="BH40:BH51" si="35">SUM(BE40:BG40)</f>
        <v>18</v>
      </c>
      <c r="BI40" s="1298">
        <v>3</v>
      </c>
      <c r="BJ40" s="1298">
        <v>4</v>
      </c>
      <c r="BK40" s="1298">
        <v>6</v>
      </c>
      <c r="BL40" s="1300">
        <f t="shared" si="32"/>
        <v>13</v>
      </c>
      <c r="BM40" s="1298">
        <v>9</v>
      </c>
      <c r="BN40" s="1298">
        <v>9</v>
      </c>
      <c r="BO40" s="1298">
        <v>4</v>
      </c>
      <c r="BP40" s="1300">
        <f t="shared" si="33"/>
        <v>22</v>
      </c>
      <c r="BQ40" s="1298">
        <v>5</v>
      </c>
      <c r="BR40" s="1298">
        <v>8</v>
      </c>
      <c r="BS40" s="1298">
        <v>1</v>
      </c>
      <c r="BT40" s="1300">
        <f t="shared" si="34"/>
        <v>14</v>
      </c>
    </row>
    <row r="41" spans="1:72" ht="14.25" customHeight="1" x14ac:dyDescent="0.2">
      <c r="A41" s="5279"/>
      <c r="B41" s="5638"/>
      <c r="C41" s="5644"/>
      <c r="D41" s="1321" t="s">
        <v>380</v>
      </c>
      <c r="E41" s="1297">
        <v>3</v>
      </c>
      <c r="F41" s="1298">
        <v>12</v>
      </c>
      <c r="G41" s="1298">
        <v>5</v>
      </c>
      <c r="H41" s="1299">
        <f>SUM(E41:G41)</f>
        <v>20</v>
      </c>
      <c r="I41" s="1297">
        <v>3</v>
      </c>
      <c r="J41" s="1298">
        <v>3</v>
      </c>
      <c r="K41" s="1298">
        <v>2</v>
      </c>
      <c r="L41" s="1299">
        <f>SUM(I41:K41)</f>
        <v>8</v>
      </c>
      <c r="M41" s="1297">
        <v>1</v>
      </c>
      <c r="N41" s="1298">
        <v>9</v>
      </c>
      <c r="O41" s="1298">
        <v>2</v>
      </c>
      <c r="P41" s="1299">
        <f>SUM(M41:O41)</f>
        <v>12</v>
      </c>
      <c r="Q41" s="1297">
        <v>1</v>
      </c>
      <c r="R41" s="1298">
        <v>2</v>
      </c>
      <c r="S41" s="1298">
        <v>1</v>
      </c>
      <c r="T41" s="1299">
        <f>SUM(Q41:S41)</f>
        <v>4</v>
      </c>
      <c r="U41" s="1297">
        <v>1</v>
      </c>
      <c r="V41" s="1298">
        <v>1</v>
      </c>
      <c r="W41" s="1298">
        <v>1</v>
      </c>
      <c r="X41" s="1299">
        <f>SUM(U41:W41)</f>
        <v>3</v>
      </c>
      <c r="Y41" s="1297"/>
      <c r="Z41" s="1298">
        <v>1</v>
      </c>
      <c r="AA41" s="1298"/>
      <c r="AB41" s="1299">
        <f>SUM(Y41:AA41)</f>
        <v>1</v>
      </c>
      <c r="AC41" s="1297">
        <v>2</v>
      </c>
      <c r="AD41" s="1298">
        <v>3</v>
      </c>
      <c r="AE41" s="1298">
        <v>2</v>
      </c>
      <c r="AF41" s="1300">
        <f>SUM(AC41:AE41)</f>
        <v>7</v>
      </c>
      <c r="AG41" s="1298">
        <v>1</v>
      </c>
      <c r="AH41" s="1298">
        <v>1</v>
      </c>
      <c r="AI41" s="1298">
        <v>3</v>
      </c>
      <c r="AJ41" s="1300">
        <f>SUM(AG41:AI41)</f>
        <v>5</v>
      </c>
      <c r="AK41" s="1298">
        <v>2</v>
      </c>
      <c r="AL41" s="1298">
        <v>1</v>
      </c>
      <c r="AM41" s="1298">
        <v>2</v>
      </c>
      <c r="AN41" s="1300">
        <f>SUM(AK41:AM41)</f>
        <v>5</v>
      </c>
      <c r="AO41" s="1298">
        <v>1</v>
      </c>
      <c r="AP41" s="1298">
        <v>3</v>
      </c>
      <c r="AQ41" s="1298">
        <v>2</v>
      </c>
      <c r="AR41" s="1300">
        <f>SUM(AO41:AQ41)</f>
        <v>6</v>
      </c>
      <c r="AS41" s="1298">
        <v>2</v>
      </c>
      <c r="AT41" s="1298">
        <v>3</v>
      </c>
      <c r="AU41" s="1298">
        <v>1</v>
      </c>
      <c r="AV41" s="1300">
        <f>SUM(AS41:AU41)</f>
        <v>6</v>
      </c>
      <c r="AW41" s="1298">
        <v>3</v>
      </c>
      <c r="AX41" s="1298">
        <v>1</v>
      </c>
      <c r="AY41" s="1298">
        <v>1</v>
      </c>
      <c r="AZ41" s="1300">
        <f>SUM(AW41:AY41)</f>
        <v>5</v>
      </c>
      <c r="BA41" s="1298">
        <v>1</v>
      </c>
      <c r="BB41" s="1298">
        <v>1</v>
      </c>
      <c r="BC41" s="1298">
        <v>1</v>
      </c>
      <c r="BD41" s="1300">
        <f>SUM(BA41:BC41)</f>
        <v>3</v>
      </c>
      <c r="BE41" s="1298">
        <v>1</v>
      </c>
      <c r="BF41" s="1298"/>
      <c r="BG41" s="1298">
        <v>3</v>
      </c>
      <c r="BH41" s="1300">
        <f t="shared" si="35"/>
        <v>4</v>
      </c>
      <c r="BI41" s="1298">
        <v>2</v>
      </c>
      <c r="BJ41" s="1298">
        <v>2</v>
      </c>
      <c r="BK41" s="1298"/>
      <c r="BL41" s="1300">
        <f t="shared" si="32"/>
        <v>4</v>
      </c>
      <c r="BM41" s="1298">
        <v>3</v>
      </c>
      <c r="BN41" s="1298">
        <v>3</v>
      </c>
      <c r="BO41" s="1298">
        <v>4</v>
      </c>
      <c r="BP41" s="1300">
        <f t="shared" si="33"/>
        <v>10</v>
      </c>
      <c r="BQ41" s="1298">
        <v>1</v>
      </c>
      <c r="BR41" s="1298">
        <v>1</v>
      </c>
      <c r="BS41" s="1298">
        <v>2</v>
      </c>
      <c r="BT41" s="1300">
        <f t="shared" si="34"/>
        <v>4</v>
      </c>
    </row>
    <row r="42" spans="1:72" ht="14.25" customHeight="1" x14ac:dyDescent="0.2">
      <c r="A42" s="5279"/>
      <c r="B42" s="5638"/>
      <c r="C42" s="5644"/>
      <c r="D42" s="1321" t="s">
        <v>378</v>
      </c>
      <c r="E42" s="1297"/>
      <c r="F42" s="1298">
        <v>5</v>
      </c>
      <c r="G42" s="1298">
        <v>2</v>
      </c>
      <c r="H42" s="1299">
        <f>SUM(E42:G42)</f>
        <v>7</v>
      </c>
      <c r="I42" s="1297">
        <v>1</v>
      </c>
      <c r="J42" s="1298">
        <v>4</v>
      </c>
      <c r="K42" s="1298">
        <v>9</v>
      </c>
      <c r="L42" s="1299">
        <f>SUM(I42:K42)</f>
        <v>14</v>
      </c>
      <c r="M42" s="1297">
        <v>1</v>
      </c>
      <c r="N42" s="1298">
        <v>7</v>
      </c>
      <c r="O42" s="1298">
        <v>6</v>
      </c>
      <c r="P42" s="1299">
        <f>SUM(M42:O42)</f>
        <v>14</v>
      </c>
      <c r="Q42" s="1297">
        <v>4</v>
      </c>
      <c r="R42" s="1298">
        <v>4</v>
      </c>
      <c r="S42" s="1298">
        <v>2</v>
      </c>
      <c r="T42" s="1299">
        <f>SUM(Q42:S42)</f>
        <v>10</v>
      </c>
      <c r="U42" s="1297">
        <v>4</v>
      </c>
      <c r="V42" s="1298">
        <v>6</v>
      </c>
      <c r="W42" s="1298">
        <v>2</v>
      </c>
      <c r="X42" s="1299">
        <f>SUM(U42:W42)</f>
        <v>12</v>
      </c>
      <c r="Y42" s="1297">
        <v>4</v>
      </c>
      <c r="Z42" s="1298">
        <v>6</v>
      </c>
      <c r="AA42" s="1298">
        <v>3</v>
      </c>
      <c r="AB42" s="1299">
        <f>SUM(Y42:AA42)</f>
        <v>13</v>
      </c>
      <c r="AC42" s="1297">
        <v>6</v>
      </c>
      <c r="AD42" s="1298">
        <v>1</v>
      </c>
      <c r="AE42" s="1298">
        <v>3</v>
      </c>
      <c r="AF42" s="1300">
        <f>SUM(AC42:AE42)</f>
        <v>10</v>
      </c>
      <c r="AG42" s="1298">
        <v>5</v>
      </c>
      <c r="AH42" s="1298">
        <v>2</v>
      </c>
      <c r="AI42" s="1298">
        <v>5</v>
      </c>
      <c r="AJ42" s="1300">
        <f>SUM(AG42:AI42)</f>
        <v>12</v>
      </c>
      <c r="AK42" s="1298">
        <v>1</v>
      </c>
      <c r="AL42" s="1298">
        <v>5</v>
      </c>
      <c r="AM42" s="1298"/>
      <c r="AN42" s="1300">
        <f>SUM(AK42:AM42)</f>
        <v>6</v>
      </c>
      <c r="AO42" s="1298">
        <v>3</v>
      </c>
      <c r="AP42" s="1298"/>
      <c r="AQ42" s="1298">
        <v>2</v>
      </c>
      <c r="AR42" s="1300">
        <f>SUM(AO42:AQ42)</f>
        <v>5</v>
      </c>
      <c r="AS42" s="1298">
        <v>1</v>
      </c>
      <c r="AT42" s="1298">
        <v>3</v>
      </c>
      <c r="AU42" s="1298">
        <v>1</v>
      </c>
      <c r="AV42" s="1300">
        <f>SUM(AS42:AU42)</f>
        <v>5</v>
      </c>
      <c r="AW42" s="1298">
        <v>2</v>
      </c>
      <c r="AX42" s="1298">
        <v>5</v>
      </c>
      <c r="AY42" s="1298">
        <v>2</v>
      </c>
      <c r="AZ42" s="1300">
        <f>SUM(AW42:AY42)</f>
        <v>9</v>
      </c>
      <c r="BA42" s="1298">
        <v>3</v>
      </c>
      <c r="BB42" s="1298">
        <v>1</v>
      </c>
      <c r="BC42" s="1298">
        <v>3</v>
      </c>
      <c r="BD42" s="1300">
        <f>SUM(BA42:BC42)</f>
        <v>7</v>
      </c>
      <c r="BE42" s="1298">
        <v>6</v>
      </c>
      <c r="BF42" s="1298">
        <v>5</v>
      </c>
      <c r="BG42" s="1298">
        <v>3</v>
      </c>
      <c r="BH42" s="1300">
        <f t="shared" si="35"/>
        <v>14</v>
      </c>
      <c r="BI42" s="1298">
        <v>6</v>
      </c>
      <c r="BJ42" s="1298">
        <v>2</v>
      </c>
      <c r="BK42" s="1298">
        <v>2</v>
      </c>
      <c r="BL42" s="1300">
        <f t="shared" si="32"/>
        <v>10</v>
      </c>
      <c r="BM42" s="1298">
        <v>4</v>
      </c>
      <c r="BN42" s="1298">
        <v>4</v>
      </c>
      <c r="BO42" s="1298">
        <v>4</v>
      </c>
      <c r="BP42" s="1300">
        <f t="shared" si="33"/>
        <v>12</v>
      </c>
      <c r="BQ42" s="1298">
        <v>3</v>
      </c>
      <c r="BR42" s="1298">
        <v>2</v>
      </c>
      <c r="BS42" s="1298">
        <v>8</v>
      </c>
      <c r="BT42" s="1300">
        <f t="shared" si="34"/>
        <v>13</v>
      </c>
    </row>
    <row r="43" spans="1:72" ht="14.25" customHeight="1" x14ac:dyDescent="0.2">
      <c r="A43" s="5279"/>
      <c r="B43" s="5638"/>
      <c r="C43" s="5644"/>
      <c r="D43" s="1321" t="s">
        <v>376</v>
      </c>
      <c r="E43" s="1297">
        <v>1</v>
      </c>
      <c r="F43" s="1298">
        <v>2</v>
      </c>
      <c r="G43" s="1298">
        <v>2</v>
      </c>
      <c r="H43" s="1299">
        <f>SUM(E43:G43)</f>
        <v>5</v>
      </c>
      <c r="I43" s="1297"/>
      <c r="J43" s="1298">
        <v>4</v>
      </c>
      <c r="K43" s="1298">
        <v>1</v>
      </c>
      <c r="L43" s="1299">
        <f>SUM(I43:K43)</f>
        <v>5</v>
      </c>
      <c r="M43" s="1297"/>
      <c r="N43" s="1298">
        <v>4</v>
      </c>
      <c r="O43" s="1298">
        <v>1</v>
      </c>
      <c r="P43" s="1299">
        <f>SUM(M43:O43)</f>
        <v>5</v>
      </c>
      <c r="Q43" s="1297">
        <v>4</v>
      </c>
      <c r="R43" s="1298">
        <v>4</v>
      </c>
      <c r="S43" s="1298">
        <v>1</v>
      </c>
      <c r="T43" s="1299">
        <f>SUM(Q43:S43)</f>
        <v>9</v>
      </c>
      <c r="U43" s="1297">
        <v>1</v>
      </c>
      <c r="V43" s="1298">
        <v>1</v>
      </c>
      <c r="W43" s="1298">
        <v>3</v>
      </c>
      <c r="X43" s="1299">
        <f>SUM(U43:W43)</f>
        <v>5</v>
      </c>
      <c r="Y43" s="1297">
        <v>1</v>
      </c>
      <c r="Z43" s="1298">
        <v>2</v>
      </c>
      <c r="AA43" s="1298">
        <v>3</v>
      </c>
      <c r="AB43" s="1299">
        <f>SUM(Y43:AA43)</f>
        <v>6</v>
      </c>
      <c r="AC43" s="1297">
        <v>1</v>
      </c>
      <c r="AD43" s="1298">
        <v>1</v>
      </c>
      <c r="AE43" s="1298"/>
      <c r="AF43" s="1300">
        <f>SUM(AC43:AE43)</f>
        <v>2</v>
      </c>
      <c r="AG43" s="1298">
        <v>2</v>
      </c>
      <c r="AH43" s="1298"/>
      <c r="AI43" s="1298">
        <v>4</v>
      </c>
      <c r="AJ43" s="1300">
        <f>SUM(AG43:AI43)</f>
        <v>6</v>
      </c>
      <c r="AK43" s="1298"/>
      <c r="AL43" s="1298">
        <v>5</v>
      </c>
      <c r="AM43" s="1298">
        <v>1</v>
      </c>
      <c r="AN43" s="1300">
        <f>SUM(AK43:AM43)</f>
        <v>6</v>
      </c>
      <c r="AO43" s="1298">
        <v>1</v>
      </c>
      <c r="AP43" s="1298">
        <v>4</v>
      </c>
      <c r="AQ43" s="1298"/>
      <c r="AR43" s="1300">
        <f>SUM(AO43:AQ43)</f>
        <v>5</v>
      </c>
      <c r="AS43" s="1298">
        <v>6</v>
      </c>
      <c r="AT43" s="1298">
        <v>5</v>
      </c>
      <c r="AU43" s="1298">
        <v>3</v>
      </c>
      <c r="AV43" s="1300">
        <f>SUM(AS43:AU43)</f>
        <v>14</v>
      </c>
      <c r="AW43" s="1298">
        <v>4</v>
      </c>
      <c r="AX43" s="1298">
        <v>6</v>
      </c>
      <c r="AY43" s="1298">
        <v>7</v>
      </c>
      <c r="AZ43" s="1300">
        <f>SUM(AW43:AY43)</f>
        <v>17</v>
      </c>
      <c r="BA43" s="1298">
        <v>4</v>
      </c>
      <c r="BB43" s="1298">
        <v>2</v>
      </c>
      <c r="BC43" s="1298">
        <v>2</v>
      </c>
      <c r="BD43" s="1300">
        <f>SUM(BA43:BC43)</f>
        <v>8</v>
      </c>
      <c r="BE43" s="1298">
        <v>1</v>
      </c>
      <c r="BF43" s="1298">
        <v>1</v>
      </c>
      <c r="BG43" s="1298">
        <v>4</v>
      </c>
      <c r="BH43" s="1300">
        <f t="shared" si="35"/>
        <v>6</v>
      </c>
      <c r="BI43" s="1298">
        <v>5</v>
      </c>
      <c r="BJ43" s="1298">
        <v>5</v>
      </c>
      <c r="BK43" s="1298">
        <v>5</v>
      </c>
      <c r="BL43" s="1300">
        <f t="shared" si="32"/>
        <v>15</v>
      </c>
      <c r="BM43" s="1298">
        <v>5</v>
      </c>
      <c r="BN43" s="1298">
        <v>1</v>
      </c>
      <c r="BO43" s="1298">
        <v>4</v>
      </c>
      <c r="BP43" s="1300">
        <f t="shared" si="33"/>
        <v>10</v>
      </c>
      <c r="BQ43" s="1298">
        <v>2</v>
      </c>
      <c r="BR43" s="1298">
        <v>3</v>
      </c>
      <c r="BS43" s="1298">
        <v>3</v>
      </c>
      <c r="BT43" s="1300">
        <f t="shared" si="34"/>
        <v>8</v>
      </c>
    </row>
    <row r="44" spans="1:72" ht="14.25" customHeight="1" x14ac:dyDescent="0.2">
      <c r="A44" s="5279"/>
      <c r="B44" s="5638"/>
      <c r="C44" s="5644"/>
      <c r="D44" s="1321" t="s">
        <v>838</v>
      </c>
      <c r="E44" s="1297"/>
      <c r="F44" s="1298"/>
      <c r="G44" s="1298"/>
      <c r="H44" s="1299"/>
      <c r="I44" s="1297"/>
      <c r="J44" s="1298"/>
      <c r="K44" s="1298"/>
      <c r="L44" s="1299"/>
      <c r="M44" s="1297"/>
      <c r="N44" s="1298"/>
      <c r="O44" s="1298"/>
      <c r="P44" s="1299"/>
      <c r="Q44" s="1297"/>
      <c r="R44" s="1298"/>
      <c r="S44" s="1298"/>
      <c r="T44" s="1299"/>
      <c r="U44" s="1297"/>
      <c r="V44" s="1298"/>
      <c r="W44" s="1298"/>
      <c r="X44" s="1299"/>
      <c r="Y44" s="1297"/>
      <c r="Z44" s="1298"/>
      <c r="AA44" s="1298"/>
      <c r="AB44" s="1299"/>
      <c r="AC44" s="1297"/>
      <c r="AD44" s="1298"/>
      <c r="AE44" s="1298"/>
      <c r="AF44" s="1300"/>
      <c r="AG44" s="1298"/>
      <c r="AH44" s="1298"/>
      <c r="AI44" s="1298"/>
      <c r="AJ44" s="1300"/>
      <c r="AK44" s="1298"/>
      <c r="AL44" s="1298">
        <v>1</v>
      </c>
      <c r="AM44" s="1298">
        <v>3</v>
      </c>
      <c r="AN44" s="1300">
        <f>SUM(AK44:AM44)</f>
        <v>4</v>
      </c>
      <c r="AO44" s="1298">
        <v>1</v>
      </c>
      <c r="AP44" s="1298"/>
      <c r="AQ44" s="1298">
        <v>2</v>
      </c>
      <c r="AR44" s="1300">
        <f>SUM(AO44:AQ44)</f>
        <v>3</v>
      </c>
      <c r="AS44" s="1298">
        <v>1</v>
      </c>
      <c r="AT44" s="1298">
        <v>1</v>
      </c>
      <c r="AU44" s="1298">
        <v>4</v>
      </c>
      <c r="AV44" s="1300">
        <f>SUM(AS44:AU44)</f>
        <v>6</v>
      </c>
      <c r="AW44" s="1298">
        <v>2</v>
      </c>
      <c r="AX44" s="1298">
        <v>2</v>
      </c>
      <c r="AY44" s="1298"/>
      <c r="AZ44" s="1300">
        <f>SUM(AW44:AY44)</f>
        <v>4</v>
      </c>
      <c r="BA44" s="1298">
        <v>4</v>
      </c>
      <c r="BB44" s="1298">
        <v>4</v>
      </c>
      <c r="BC44" s="1298">
        <v>6</v>
      </c>
      <c r="BD44" s="1300">
        <f>SUM(BA44:BC44)</f>
        <v>14</v>
      </c>
      <c r="BE44" s="1298">
        <v>3</v>
      </c>
      <c r="BF44" s="1298">
        <v>2</v>
      </c>
      <c r="BG44" s="1298">
        <v>2</v>
      </c>
      <c r="BH44" s="1300">
        <f t="shared" si="35"/>
        <v>7</v>
      </c>
      <c r="BI44" s="1298">
        <v>4</v>
      </c>
      <c r="BJ44" s="1298">
        <v>6</v>
      </c>
      <c r="BK44" s="1298">
        <v>3</v>
      </c>
      <c r="BL44" s="1300">
        <f t="shared" si="32"/>
        <v>13</v>
      </c>
      <c r="BM44" s="1298">
        <v>7</v>
      </c>
      <c r="BN44" s="1298">
        <v>2</v>
      </c>
      <c r="BO44" s="1298">
        <v>1</v>
      </c>
      <c r="BP44" s="1300">
        <f t="shared" si="33"/>
        <v>10</v>
      </c>
      <c r="BQ44" s="1298">
        <v>3</v>
      </c>
      <c r="BR44" s="1298">
        <v>1</v>
      </c>
      <c r="BS44" s="1298">
        <v>2</v>
      </c>
      <c r="BT44" s="1300">
        <f t="shared" si="34"/>
        <v>6</v>
      </c>
    </row>
    <row r="45" spans="1:72" ht="14.25" customHeight="1" x14ac:dyDescent="0.2">
      <c r="A45" s="5279"/>
      <c r="B45" s="5638"/>
      <c r="C45" s="5645"/>
      <c r="D45" s="1321" t="s">
        <v>783</v>
      </c>
      <c r="E45" s="1297"/>
      <c r="F45" s="1298"/>
      <c r="G45" s="1298"/>
      <c r="H45" s="1299"/>
      <c r="I45" s="1297"/>
      <c r="J45" s="1298"/>
      <c r="K45" s="1298"/>
      <c r="L45" s="1299"/>
      <c r="M45" s="1297"/>
      <c r="N45" s="1298"/>
      <c r="O45" s="1298"/>
      <c r="P45" s="1299"/>
      <c r="Q45" s="1297"/>
      <c r="R45" s="1298"/>
      <c r="S45" s="1298"/>
      <c r="T45" s="1299"/>
      <c r="U45" s="1297"/>
      <c r="V45" s="1298"/>
      <c r="W45" s="1298"/>
      <c r="X45" s="1299"/>
      <c r="Y45" s="1297"/>
      <c r="Z45" s="1298"/>
      <c r="AA45" s="1298"/>
      <c r="AB45" s="1299"/>
      <c r="AC45" s="1297"/>
      <c r="AD45" s="1298"/>
      <c r="AE45" s="1298"/>
      <c r="AF45" s="1300"/>
      <c r="AG45" s="1298"/>
      <c r="AH45" s="1298"/>
      <c r="AI45" s="1298"/>
      <c r="AJ45" s="1300"/>
      <c r="AK45" s="1298"/>
      <c r="AL45" s="1298"/>
      <c r="AM45" s="1298"/>
      <c r="AN45" s="1300"/>
      <c r="AO45" s="1298"/>
      <c r="AP45" s="1298"/>
      <c r="AQ45" s="1298"/>
      <c r="AR45" s="1300"/>
      <c r="AS45" s="1298"/>
      <c r="AT45" s="1298"/>
      <c r="AU45" s="1298"/>
      <c r="AV45" s="1300"/>
      <c r="AW45" s="1298"/>
      <c r="AX45" s="1298"/>
      <c r="AY45" s="1298"/>
      <c r="AZ45" s="1300"/>
      <c r="BA45" s="1298"/>
      <c r="BB45" s="1298"/>
      <c r="BC45" s="1298"/>
      <c r="BD45" s="1300"/>
      <c r="BE45" s="1298"/>
      <c r="BF45" s="1298"/>
      <c r="BG45" s="1298"/>
      <c r="BH45" s="1300"/>
      <c r="BI45" s="1298"/>
      <c r="BJ45" s="1298"/>
      <c r="BK45" s="1298"/>
      <c r="BL45" s="1300"/>
      <c r="BM45" s="1298"/>
      <c r="BN45" s="1298"/>
      <c r="BO45" s="1298"/>
      <c r="BP45" s="1300"/>
      <c r="BQ45" s="1298"/>
      <c r="BR45" s="1298">
        <v>7</v>
      </c>
      <c r="BS45" s="1298"/>
      <c r="BT45" s="1300">
        <f t="shared" si="34"/>
        <v>7</v>
      </c>
    </row>
    <row r="46" spans="1:72" ht="14.25" customHeight="1" x14ac:dyDescent="0.2">
      <c r="A46" s="5279"/>
      <c r="B46" s="5638"/>
      <c r="C46" s="5643" t="s">
        <v>526</v>
      </c>
      <c r="D46" s="1314" t="s">
        <v>373</v>
      </c>
      <c r="E46" s="1297"/>
      <c r="F46" s="1298"/>
      <c r="G46" s="1298"/>
      <c r="H46" s="1299"/>
      <c r="I46" s="1297"/>
      <c r="J46" s="1298"/>
      <c r="K46" s="1298"/>
      <c r="L46" s="1299"/>
      <c r="M46" s="1297"/>
      <c r="N46" s="1298"/>
      <c r="O46" s="1298"/>
      <c r="P46" s="1299"/>
      <c r="Q46" s="1297"/>
      <c r="R46" s="1298"/>
      <c r="S46" s="1298"/>
      <c r="T46" s="1299"/>
      <c r="U46" s="1297">
        <v>1</v>
      </c>
      <c r="V46" s="1298"/>
      <c r="W46" s="1298"/>
      <c r="X46" s="1299">
        <f>SUM(U46:W46)</f>
        <v>1</v>
      </c>
      <c r="Y46" s="1297"/>
      <c r="Z46" s="1298">
        <v>2</v>
      </c>
      <c r="AA46" s="1298">
        <v>2</v>
      </c>
      <c r="AB46" s="1299">
        <f>SUM(Y46:AA46)</f>
        <v>4</v>
      </c>
      <c r="AC46" s="1297"/>
      <c r="AD46" s="1298"/>
      <c r="AE46" s="1298"/>
      <c r="AF46" s="1300"/>
      <c r="AG46" s="1298"/>
      <c r="AH46" s="1298"/>
      <c r="AI46" s="1298">
        <v>2</v>
      </c>
      <c r="AJ46" s="1300">
        <f>SUM(AG46:AI46)</f>
        <v>2</v>
      </c>
      <c r="AK46" s="1298"/>
      <c r="AL46" s="1298">
        <v>3</v>
      </c>
      <c r="AM46" s="1298">
        <v>1</v>
      </c>
      <c r="AN46" s="1300">
        <f t="shared" si="22"/>
        <v>4</v>
      </c>
      <c r="AO46" s="1298">
        <v>2</v>
      </c>
      <c r="AP46" s="1298">
        <v>1</v>
      </c>
      <c r="AQ46" s="1298">
        <v>1</v>
      </c>
      <c r="AR46" s="1300">
        <f t="shared" si="13"/>
        <v>4</v>
      </c>
      <c r="AS46" s="1298">
        <v>1</v>
      </c>
      <c r="AT46" s="1298">
        <v>4</v>
      </c>
      <c r="AU46" s="1298">
        <v>1</v>
      </c>
      <c r="AV46" s="1300">
        <f t="shared" si="14"/>
        <v>6</v>
      </c>
      <c r="AW46" s="1298">
        <v>1</v>
      </c>
      <c r="AX46" s="1298"/>
      <c r="AY46" s="1298"/>
      <c r="AZ46" s="1300">
        <f t="shared" si="15"/>
        <v>1</v>
      </c>
      <c r="BA46" s="1298">
        <v>2</v>
      </c>
      <c r="BB46" s="1298">
        <v>1</v>
      </c>
      <c r="BC46" s="1298">
        <v>1</v>
      </c>
      <c r="BD46" s="1300">
        <f t="shared" si="16"/>
        <v>4</v>
      </c>
      <c r="BE46" s="1298"/>
      <c r="BF46" s="1298">
        <v>1</v>
      </c>
      <c r="BG46" s="1298">
        <v>1</v>
      </c>
      <c r="BH46" s="1300">
        <f t="shared" si="35"/>
        <v>2</v>
      </c>
      <c r="BI46" s="1298"/>
      <c r="BJ46" s="1298"/>
      <c r="BK46" s="1298">
        <v>3</v>
      </c>
      <c r="BL46" s="1300">
        <f t="shared" ref="BL46:BL51" si="36">SUM(BI46:BK46)</f>
        <v>3</v>
      </c>
      <c r="BM46" s="1298">
        <v>1</v>
      </c>
      <c r="BN46" s="1298">
        <v>4</v>
      </c>
      <c r="BO46" s="1298">
        <v>2</v>
      </c>
      <c r="BP46" s="1300">
        <f t="shared" ref="BP46:BP51" si="37">SUM(BM46:BO46)</f>
        <v>7</v>
      </c>
      <c r="BQ46" s="1298"/>
      <c r="BR46" s="1298"/>
      <c r="BS46" s="1298">
        <v>2</v>
      </c>
      <c r="BT46" s="1300">
        <f t="shared" si="34"/>
        <v>2</v>
      </c>
    </row>
    <row r="47" spans="1:72" ht="12.75" customHeight="1" x14ac:dyDescent="0.2">
      <c r="A47" s="5279"/>
      <c r="B47" s="5638"/>
      <c r="C47" s="5644"/>
      <c r="D47" s="1321" t="s">
        <v>381</v>
      </c>
      <c r="E47" s="1297"/>
      <c r="F47" s="1298"/>
      <c r="G47" s="1298"/>
      <c r="H47" s="1299"/>
      <c r="I47" s="1297"/>
      <c r="J47" s="1298"/>
      <c r="K47" s="1298"/>
      <c r="L47" s="1299"/>
      <c r="M47" s="1297"/>
      <c r="N47" s="1298"/>
      <c r="O47" s="1298"/>
      <c r="P47" s="1299"/>
      <c r="Q47" s="1297"/>
      <c r="R47" s="1298"/>
      <c r="S47" s="1298"/>
      <c r="T47" s="1299"/>
      <c r="U47" s="1297"/>
      <c r="V47" s="1298"/>
      <c r="W47" s="1298"/>
      <c r="X47" s="1299"/>
      <c r="Y47" s="1297"/>
      <c r="Z47" s="1298"/>
      <c r="AA47" s="1298"/>
      <c r="AB47" s="1299"/>
      <c r="AC47" s="1297">
        <v>1</v>
      </c>
      <c r="AD47" s="1298">
        <v>1</v>
      </c>
      <c r="AE47" s="1298"/>
      <c r="AF47" s="1300">
        <f>SUM(AC47:AE47)</f>
        <v>2</v>
      </c>
      <c r="AG47" s="1298"/>
      <c r="AH47" s="1298"/>
      <c r="AI47" s="1298">
        <v>2</v>
      </c>
      <c r="AJ47" s="1300">
        <f>SUM(AG47:AI47)</f>
        <v>2</v>
      </c>
      <c r="AK47" s="1298"/>
      <c r="AL47" s="1298"/>
      <c r="AM47" s="1298">
        <v>1</v>
      </c>
      <c r="AN47" s="1300">
        <f t="shared" si="22"/>
        <v>1</v>
      </c>
      <c r="AO47" s="1298"/>
      <c r="AP47" s="1298">
        <v>2</v>
      </c>
      <c r="AQ47" s="1298">
        <v>1</v>
      </c>
      <c r="AR47" s="1300">
        <f t="shared" si="13"/>
        <v>3</v>
      </c>
      <c r="AS47" s="1298">
        <v>2</v>
      </c>
      <c r="AT47" s="1298"/>
      <c r="AU47" s="1298"/>
      <c r="AV47" s="1300">
        <f t="shared" si="14"/>
        <v>2</v>
      </c>
      <c r="AW47" s="1298">
        <v>1</v>
      </c>
      <c r="AX47" s="1298">
        <v>4</v>
      </c>
      <c r="AY47" s="1298"/>
      <c r="AZ47" s="1300">
        <f t="shared" si="15"/>
        <v>5</v>
      </c>
      <c r="BA47" s="1298"/>
      <c r="BB47" s="1298">
        <v>1</v>
      </c>
      <c r="BC47" s="1298">
        <v>1</v>
      </c>
      <c r="BD47" s="1300">
        <f t="shared" si="16"/>
        <v>2</v>
      </c>
      <c r="BE47" s="1298">
        <v>1</v>
      </c>
      <c r="BF47" s="1298">
        <v>4</v>
      </c>
      <c r="BG47" s="1298">
        <v>1</v>
      </c>
      <c r="BH47" s="1300">
        <f t="shared" si="35"/>
        <v>6</v>
      </c>
      <c r="BI47" s="1298">
        <v>3</v>
      </c>
      <c r="BJ47" s="1298">
        <v>2</v>
      </c>
      <c r="BK47" s="1298">
        <v>2</v>
      </c>
      <c r="BL47" s="1300">
        <f t="shared" si="36"/>
        <v>7</v>
      </c>
      <c r="BM47" s="1298">
        <v>1</v>
      </c>
      <c r="BN47" s="1298">
        <v>2</v>
      </c>
      <c r="BO47" s="1298">
        <v>2</v>
      </c>
      <c r="BP47" s="1300">
        <f t="shared" si="37"/>
        <v>5</v>
      </c>
      <c r="BQ47" s="1298"/>
      <c r="BR47" s="1298">
        <v>1</v>
      </c>
      <c r="BS47" s="1298">
        <v>2</v>
      </c>
      <c r="BT47" s="1300">
        <f t="shared" si="34"/>
        <v>3</v>
      </c>
    </row>
    <row r="48" spans="1:72" ht="12.75" customHeight="1" x14ac:dyDescent="0.2">
      <c r="A48" s="5279"/>
      <c r="B48" s="5638"/>
      <c r="C48" s="5644"/>
      <c r="D48" s="1321" t="s">
        <v>379</v>
      </c>
      <c r="E48" s="1297"/>
      <c r="F48" s="1298"/>
      <c r="G48" s="1298"/>
      <c r="H48" s="1299"/>
      <c r="I48" s="1297"/>
      <c r="J48" s="1298"/>
      <c r="K48" s="1298"/>
      <c r="L48" s="1299"/>
      <c r="M48" s="1297"/>
      <c r="N48" s="1298"/>
      <c r="O48" s="1298"/>
      <c r="P48" s="1299"/>
      <c r="Q48" s="1297"/>
      <c r="R48" s="1298"/>
      <c r="S48" s="1298"/>
      <c r="T48" s="1299"/>
      <c r="U48" s="1297"/>
      <c r="V48" s="1298">
        <v>4</v>
      </c>
      <c r="W48" s="1298">
        <v>1</v>
      </c>
      <c r="X48" s="1299">
        <f>SUM(U48:W48)</f>
        <v>5</v>
      </c>
      <c r="Y48" s="1297">
        <v>1</v>
      </c>
      <c r="Z48" s="1298">
        <v>5</v>
      </c>
      <c r="AA48" s="1298">
        <v>3</v>
      </c>
      <c r="AB48" s="1299">
        <f>SUM(Y48:AA48)</f>
        <v>9</v>
      </c>
      <c r="AC48" s="1297">
        <v>1</v>
      </c>
      <c r="AD48" s="1298">
        <v>4</v>
      </c>
      <c r="AE48" s="1298">
        <v>1</v>
      </c>
      <c r="AF48" s="1300">
        <f>SUM(AC48:AE48)</f>
        <v>6</v>
      </c>
      <c r="AG48" s="1298"/>
      <c r="AH48" s="1298"/>
      <c r="AI48" s="1298">
        <v>7</v>
      </c>
      <c r="AJ48" s="1300">
        <f>SUM(AG48:AI48)</f>
        <v>7</v>
      </c>
      <c r="AK48" s="1298">
        <v>1</v>
      </c>
      <c r="AL48" s="1298">
        <v>6</v>
      </c>
      <c r="AM48" s="1298">
        <v>5</v>
      </c>
      <c r="AN48" s="1300">
        <f t="shared" si="22"/>
        <v>12</v>
      </c>
      <c r="AO48" s="1298">
        <v>5</v>
      </c>
      <c r="AP48" s="1298">
        <v>1</v>
      </c>
      <c r="AQ48" s="1298">
        <v>4</v>
      </c>
      <c r="AR48" s="1300">
        <f t="shared" si="13"/>
        <v>10</v>
      </c>
      <c r="AS48" s="1298">
        <v>2</v>
      </c>
      <c r="AT48" s="1298">
        <v>2</v>
      </c>
      <c r="AU48" s="1298">
        <v>5</v>
      </c>
      <c r="AV48" s="1300">
        <f t="shared" si="14"/>
        <v>9</v>
      </c>
      <c r="AW48" s="1298">
        <v>3</v>
      </c>
      <c r="AX48" s="1298">
        <v>1</v>
      </c>
      <c r="AY48" s="1298">
        <v>4</v>
      </c>
      <c r="AZ48" s="1300">
        <f t="shared" si="15"/>
        <v>8</v>
      </c>
      <c r="BA48" s="1298">
        <v>2</v>
      </c>
      <c r="BB48" s="1298">
        <v>7</v>
      </c>
      <c r="BC48" s="1298">
        <v>5</v>
      </c>
      <c r="BD48" s="1300">
        <f t="shared" si="16"/>
        <v>14</v>
      </c>
      <c r="BE48" s="1298">
        <v>2</v>
      </c>
      <c r="BF48" s="1298">
        <v>2</v>
      </c>
      <c r="BG48" s="1298">
        <v>2</v>
      </c>
      <c r="BH48" s="1300">
        <f t="shared" si="35"/>
        <v>6</v>
      </c>
      <c r="BI48" s="1298">
        <v>3</v>
      </c>
      <c r="BJ48" s="1298">
        <v>3</v>
      </c>
      <c r="BK48" s="1298">
        <v>1</v>
      </c>
      <c r="BL48" s="1300">
        <f t="shared" si="36"/>
        <v>7</v>
      </c>
      <c r="BM48" s="1298">
        <v>4</v>
      </c>
      <c r="BN48" s="1298">
        <v>8</v>
      </c>
      <c r="BO48" s="1298">
        <v>4</v>
      </c>
      <c r="BP48" s="1300">
        <f t="shared" si="37"/>
        <v>16</v>
      </c>
      <c r="BQ48" s="1298">
        <v>7</v>
      </c>
      <c r="BR48" s="1298">
        <v>1</v>
      </c>
      <c r="BS48" s="1298">
        <v>4</v>
      </c>
      <c r="BT48" s="1300">
        <f t="shared" si="34"/>
        <v>12</v>
      </c>
    </row>
    <row r="49" spans="1:72" ht="12.75" customHeight="1" x14ac:dyDescent="0.2">
      <c r="A49" s="5279"/>
      <c r="B49" s="5638"/>
      <c r="C49" s="5644"/>
      <c r="D49" s="1321" t="s">
        <v>377</v>
      </c>
      <c r="E49" s="1297"/>
      <c r="F49" s="1298"/>
      <c r="G49" s="1298"/>
      <c r="H49" s="1299"/>
      <c r="I49" s="1297"/>
      <c r="J49" s="1298"/>
      <c r="K49" s="1298"/>
      <c r="L49" s="1299"/>
      <c r="M49" s="1297"/>
      <c r="N49" s="1298"/>
      <c r="O49" s="1298"/>
      <c r="P49" s="1299"/>
      <c r="Q49" s="1297"/>
      <c r="R49" s="1298"/>
      <c r="S49" s="1298"/>
      <c r="T49" s="1299"/>
      <c r="U49" s="1297">
        <v>1</v>
      </c>
      <c r="V49" s="1298"/>
      <c r="W49" s="1298">
        <v>1</v>
      </c>
      <c r="X49" s="1299">
        <f>SUM(U49:W49)</f>
        <v>2</v>
      </c>
      <c r="Y49" s="1297">
        <v>1</v>
      </c>
      <c r="Z49" s="1298"/>
      <c r="AA49" s="1298">
        <v>2</v>
      </c>
      <c r="AB49" s="1299">
        <f>SUM(Y49:AA49)</f>
        <v>3</v>
      </c>
      <c r="AC49" s="1297">
        <v>2</v>
      </c>
      <c r="AD49" s="1298">
        <v>2</v>
      </c>
      <c r="AE49" s="1298">
        <v>1</v>
      </c>
      <c r="AF49" s="1300">
        <f>SUM(AC49:AE49)</f>
        <v>5</v>
      </c>
      <c r="AG49" s="1298">
        <v>1</v>
      </c>
      <c r="AH49" s="1298"/>
      <c r="AI49" s="1298">
        <v>1</v>
      </c>
      <c r="AJ49" s="1300">
        <f>SUM(AG49:AI49)</f>
        <v>2</v>
      </c>
      <c r="AK49" s="1298"/>
      <c r="AL49" s="1298">
        <v>2</v>
      </c>
      <c r="AM49" s="1298">
        <v>4</v>
      </c>
      <c r="AN49" s="1300">
        <f t="shared" si="22"/>
        <v>6</v>
      </c>
      <c r="AO49" s="1298">
        <v>3</v>
      </c>
      <c r="AP49" s="1298">
        <v>1</v>
      </c>
      <c r="AQ49" s="1298">
        <v>3</v>
      </c>
      <c r="AR49" s="1300">
        <f t="shared" si="13"/>
        <v>7</v>
      </c>
      <c r="AS49" s="1298">
        <v>1</v>
      </c>
      <c r="AT49" s="1298"/>
      <c r="AU49" s="1298">
        <v>1</v>
      </c>
      <c r="AV49" s="1300">
        <f t="shared" si="14"/>
        <v>2</v>
      </c>
      <c r="AW49" s="1298">
        <v>2</v>
      </c>
      <c r="AX49" s="1298">
        <v>2</v>
      </c>
      <c r="AY49" s="1298">
        <v>4</v>
      </c>
      <c r="AZ49" s="1300">
        <f t="shared" si="15"/>
        <v>8</v>
      </c>
      <c r="BA49" s="1298">
        <v>1</v>
      </c>
      <c r="BB49" s="1298">
        <v>1</v>
      </c>
      <c r="BC49" s="1298">
        <v>1</v>
      </c>
      <c r="BD49" s="1300">
        <f t="shared" si="16"/>
        <v>3</v>
      </c>
      <c r="BE49" s="1298"/>
      <c r="BF49" s="1298">
        <v>1</v>
      </c>
      <c r="BG49" s="1298">
        <v>5</v>
      </c>
      <c r="BH49" s="1300">
        <f t="shared" si="35"/>
        <v>6</v>
      </c>
      <c r="BI49" s="1298">
        <v>2</v>
      </c>
      <c r="BJ49" s="1298"/>
      <c r="BK49" s="1298">
        <v>4</v>
      </c>
      <c r="BL49" s="1300">
        <f t="shared" si="36"/>
        <v>6</v>
      </c>
      <c r="BM49" s="1298">
        <v>1</v>
      </c>
      <c r="BN49" s="1298">
        <v>1</v>
      </c>
      <c r="BO49" s="1298">
        <v>3</v>
      </c>
      <c r="BP49" s="1300">
        <f t="shared" si="37"/>
        <v>5</v>
      </c>
      <c r="BQ49" s="1298"/>
      <c r="BR49" s="1298"/>
      <c r="BS49" s="1298">
        <v>3</v>
      </c>
      <c r="BT49" s="1300">
        <f t="shared" si="34"/>
        <v>3</v>
      </c>
    </row>
    <row r="50" spans="1:72" ht="12.75" customHeight="1" x14ac:dyDescent="0.2">
      <c r="A50" s="5279"/>
      <c r="B50" s="5638"/>
      <c r="C50" s="5644"/>
      <c r="D50" s="1321" t="s">
        <v>375</v>
      </c>
      <c r="E50" s="1297"/>
      <c r="F50" s="1298"/>
      <c r="G50" s="1298"/>
      <c r="H50" s="1299"/>
      <c r="I50" s="1297"/>
      <c r="J50" s="1298"/>
      <c r="K50" s="1298"/>
      <c r="L50" s="1299"/>
      <c r="M50" s="1297"/>
      <c r="N50" s="1298"/>
      <c r="O50" s="1298"/>
      <c r="P50" s="1299"/>
      <c r="Q50" s="1297"/>
      <c r="R50" s="1298"/>
      <c r="S50" s="1298"/>
      <c r="T50" s="1299"/>
      <c r="U50" s="1297"/>
      <c r="V50" s="1298">
        <v>2</v>
      </c>
      <c r="W50" s="1298">
        <v>1</v>
      </c>
      <c r="X50" s="1299">
        <f>SUM(U50:W50)</f>
        <v>3</v>
      </c>
      <c r="Y50" s="1297"/>
      <c r="Z50" s="1298"/>
      <c r="AA50" s="1298"/>
      <c r="AB50" s="1299"/>
      <c r="AC50" s="1297"/>
      <c r="AD50" s="1298"/>
      <c r="AE50" s="1298"/>
      <c r="AF50" s="1300"/>
      <c r="AG50" s="1298"/>
      <c r="AH50" s="1298">
        <v>1</v>
      </c>
      <c r="AI50" s="1298">
        <v>1</v>
      </c>
      <c r="AJ50" s="1300">
        <f>SUM(AG50:AI50)</f>
        <v>2</v>
      </c>
      <c r="AK50" s="1298">
        <v>1</v>
      </c>
      <c r="AL50" s="1298"/>
      <c r="AM50" s="1298"/>
      <c r="AN50" s="1300">
        <f t="shared" si="22"/>
        <v>1</v>
      </c>
      <c r="AO50" s="1298"/>
      <c r="AP50" s="1298">
        <v>1</v>
      </c>
      <c r="AQ50" s="1298"/>
      <c r="AR50" s="1300">
        <f t="shared" si="13"/>
        <v>1</v>
      </c>
      <c r="AS50" s="1298"/>
      <c r="AT50" s="1298">
        <v>3</v>
      </c>
      <c r="AU50" s="1298"/>
      <c r="AV50" s="1300">
        <f t="shared" si="14"/>
        <v>3</v>
      </c>
      <c r="AW50" s="1298">
        <v>1</v>
      </c>
      <c r="AX50" s="1298"/>
      <c r="AY50" s="1298">
        <v>2</v>
      </c>
      <c r="AZ50" s="1300">
        <f t="shared" si="15"/>
        <v>3</v>
      </c>
      <c r="BA50" s="1298"/>
      <c r="BB50" s="1298"/>
      <c r="BC50" s="1298"/>
      <c r="BD50" s="1300">
        <f t="shared" si="16"/>
        <v>0</v>
      </c>
      <c r="BE50" s="1298"/>
      <c r="BF50" s="1298">
        <v>2</v>
      </c>
      <c r="BG50" s="1298"/>
      <c r="BH50" s="1300">
        <f t="shared" si="35"/>
        <v>2</v>
      </c>
      <c r="BI50" s="1298"/>
      <c r="BJ50" s="1298">
        <v>1</v>
      </c>
      <c r="BK50" s="1298"/>
      <c r="BL50" s="1300">
        <f t="shared" si="36"/>
        <v>1</v>
      </c>
      <c r="BM50" s="1298">
        <v>1</v>
      </c>
      <c r="BN50" s="1298">
        <v>2</v>
      </c>
      <c r="BO50" s="1298">
        <v>1</v>
      </c>
      <c r="BP50" s="1300">
        <f t="shared" si="37"/>
        <v>4</v>
      </c>
      <c r="BQ50" s="1298">
        <v>1</v>
      </c>
      <c r="BR50" s="1298">
        <v>1</v>
      </c>
      <c r="BS50" s="1298">
        <v>1</v>
      </c>
      <c r="BT50" s="1300">
        <f t="shared" si="34"/>
        <v>3</v>
      </c>
    </row>
    <row r="51" spans="1:72" ht="12.75" customHeight="1" x14ac:dyDescent="0.2">
      <c r="A51" s="5279"/>
      <c r="B51" s="5638"/>
      <c r="C51" s="5644"/>
      <c r="D51" s="1302" t="s">
        <v>407</v>
      </c>
      <c r="E51" s="1303">
        <v>4</v>
      </c>
      <c r="F51" s="1304">
        <v>7</v>
      </c>
      <c r="G51" s="1304">
        <v>13</v>
      </c>
      <c r="H51" s="1305">
        <f>SUM(E51:G51)</f>
        <v>24</v>
      </c>
      <c r="I51" s="1303">
        <v>4</v>
      </c>
      <c r="J51" s="1304">
        <v>7</v>
      </c>
      <c r="K51" s="1304">
        <v>8</v>
      </c>
      <c r="L51" s="1305">
        <f>SUM(I51:K51)</f>
        <v>19</v>
      </c>
      <c r="M51" s="1303">
        <v>10</v>
      </c>
      <c r="N51" s="1304">
        <v>15</v>
      </c>
      <c r="O51" s="1304">
        <v>1</v>
      </c>
      <c r="P51" s="1305">
        <f>SUM(M51:O51)</f>
        <v>26</v>
      </c>
      <c r="Q51" s="1303">
        <v>6</v>
      </c>
      <c r="R51" s="1304">
        <v>10</v>
      </c>
      <c r="S51" s="1304">
        <v>10</v>
      </c>
      <c r="T51" s="1305">
        <f>SUM(Q51:S51)</f>
        <v>26</v>
      </c>
      <c r="U51" s="1303">
        <v>5</v>
      </c>
      <c r="V51" s="1304">
        <v>6</v>
      </c>
      <c r="W51" s="1304">
        <v>5</v>
      </c>
      <c r="X51" s="1305">
        <f t="shared" ref="X51:X65" si="38">SUM(U51:W51)</f>
        <v>16</v>
      </c>
      <c r="Y51" s="1303">
        <v>7</v>
      </c>
      <c r="Z51" s="1304">
        <v>2</v>
      </c>
      <c r="AA51" s="1304">
        <v>8</v>
      </c>
      <c r="AB51" s="1305">
        <f t="shared" ref="AB51:AB65" si="39">SUM(Y51:AA51)</f>
        <v>17</v>
      </c>
      <c r="AC51" s="1303">
        <v>2</v>
      </c>
      <c r="AD51" s="1304">
        <v>2</v>
      </c>
      <c r="AE51" s="1304"/>
      <c r="AF51" s="1306">
        <f>SUM(AC51:AE51)</f>
        <v>4</v>
      </c>
      <c r="AG51" s="1304">
        <v>2</v>
      </c>
      <c r="AH51" s="1304">
        <v>1</v>
      </c>
      <c r="AI51" s="1304">
        <v>4</v>
      </c>
      <c r="AJ51" s="1306">
        <f t="shared" ref="AJ51:AJ66" si="40">SUM(AG51:AI51)</f>
        <v>7</v>
      </c>
      <c r="AK51" s="1304">
        <v>2</v>
      </c>
      <c r="AL51" s="1304"/>
      <c r="AM51" s="1304"/>
      <c r="AN51" s="1306">
        <f t="shared" si="22"/>
        <v>2</v>
      </c>
      <c r="AO51" s="1304">
        <v>1</v>
      </c>
      <c r="AP51" s="1304"/>
      <c r="AQ51" s="1304">
        <v>3</v>
      </c>
      <c r="AR51" s="1306">
        <f t="shared" si="13"/>
        <v>4</v>
      </c>
      <c r="AS51" s="1304"/>
      <c r="AT51" s="1304">
        <v>2</v>
      </c>
      <c r="AU51" s="1304">
        <v>1</v>
      </c>
      <c r="AV51" s="1306">
        <f t="shared" si="14"/>
        <v>3</v>
      </c>
      <c r="AW51" s="1304">
        <v>4</v>
      </c>
      <c r="AX51" s="1304">
        <v>6</v>
      </c>
      <c r="AY51" s="1304">
        <v>1</v>
      </c>
      <c r="AZ51" s="1306">
        <f t="shared" si="15"/>
        <v>11</v>
      </c>
      <c r="BA51" s="1304"/>
      <c r="BB51" s="1304"/>
      <c r="BC51" s="1304"/>
      <c r="BD51" s="1306">
        <f t="shared" si="16"/>
        <v>0</v>
      </c>
      <c r="BE51" s="1304"/>
      <c r="BF51" s="1304"/>
      <c r="BG51" s="1304"/>
      <c r="BH51" s="1300">
        <f t="shared" si="35"/>
        <v>0</v>
      </c>
      <c r="BI51" s="1304"/>
      <c r="BJ51" s="1304"/>
      <c r="BK51" s="1304"/>
      <c r="BL51" s="1300">
        <f t="shared" si="36"/>
        <v>0</v>
      </c>
      <c r="BM51" s="1304"/>
      <c r="BN51" s="1304"/>
      <c r="BO51" s="1304"/>
      <c r="BP51" s="1300">
        <f t="shared" si="37"/>
        <v>0</v>
      </c>
      <c r="BQ51" s="1304"/>
      <c r="BR51" s="1304"/>
      <c r="BS51" s="1304"/>
      <c r="BT51" s="1300">
        <f t="shared" si="34"/>
        <v>0</v>
      </c>
    </row>
    <row r="52" spans="1:72" ht="12.75" customHeight="1" x14ac:dyDescent="0.2">
      <c r="A52" s="5279"/>
      <c r="B52" s="5639"/>
      <c r="C52" s="1364"/>
      <c r="D52" s="1307" t="s">
        <v>160</v>
      </c>
      <c r="E52" s="1308">
        <f t="shared" ref="E52:AJ52" si="41">SUM(E39:E51)</f>
        <v>9</v>
      </c>
      <c r="F52" s="1309">
        <f t="shared" si="41"/>
        <v>27</v>
      </c>
      <c r="G52" s="1309">
        <f t="shared" si="41"/>
        <v>23</v>
      </c>
      <c r="H52" s="1309">
        <f t="shared" si="41"/>
        <v>59</v>
      </c>
      <c r="I52" s="1308">
        <f t="shared" si="41"/>
        <v>10</v>
      </c>
      <c r="J52" s="1309">
        <f t="shared" si="41"/>
        <v>20</v>
      </c>
      <c r="K52" s="1309">
        <f t="shared" si="41"/>
        <v>21</v>
      </c>
      <c r="L52" s="1309">
        <f t="shared" si="41"/>
        <v>51</v>
      </c>
      <c r="M52" s="1308">
        <f t="shared" si="41"/>
        <v>14</v>
      </c>
      <c r="N52" s="1309">
        <f t="shared" si="41"/>
        <v>38</v>
      </c>
      <c r="O52" s="1309">
        <f t="shared" si="41"/>
        <v>12</v>
      </c>
      <c r="P52" s="1309">
        <f t="shared" si="41"/>
        <v>64</v>
      </c>
      <c r="Q52" s="1308">
        <f t="shared" si="41"/>
        <v>15</v>
      </c>
      <c r="R52" s="1309">
        <f t="shared" si="41"/>
        <v>22</v>
      </c>
      <c r="S52" s="1309">
        <f t="shared" si="41"/>
        <v>15</v>
      </c>
      <c r="T52" s="1309">
        <f t="shared" si="41"/>
        <v>52</v>
      </c>
      <c r="U52" s="1308">
        <f t="shared" si="41"/>
        <v>14</v>
      </c>
      <c r="V52" s="1309">
        <f t="shared" si="41"/>
        <v>22</v>
      </c>
      <c r="W52" s="1309">
        <f t="shared" si="41"/>
        <v>16</v>
      </c>
      <c r="X52" s="1309">
        <f t="shared" si="41"/>
        <v>52</v>
      </c>
      <c r="Y52" s="1308">
        <f t="shared" si="41"/>
        <v>15</v>
      </c>
      <c r="Z52" s="1309">
        <f t="shared" si="41"/>
        <v>19</v>
      </c>
      <c r="AA52" s="1309">
        <f t="shared" si="41"/>
        <v>22</v>
      </c>
      <c r="AB52" s="1309">
        <f t="shared" si="41"/>
        <v>56</v>
      </c>
      <c r="AC52" s="1308">
        <f t="shared" si="41"/>
        <v>17</v>
      </c>
      <c r="AD52" s="1309">
        <f t="shared" si="41"/>
        <v>16</v>
      </c>
      <c r="AE52" s="1309">
        <f t="shared" si="41"/>
        <v>7</v>
      </c>
      <c r="AF52" s="1366">
        <f t="shared" si="41"/>
        <v>40</v>
      </c>
      <c r="AG52" s="1309">
        <f t="shared" si="41"/>
        <v>12</v>
      </c>
      <c r="AH52" s="1309">
        <f t="shared" si="41"/>
        <v>7</v>
      </c>
      <c r="AI52" s="1309">
        <f t="shared" si="41"/>
        <v>31</v>
      </c>
      <c r="AJ52" s="1366">
        <f t="shared" si="41"/>
        <v>50</v>
      </c>
      <c r="AK52" s="1309">
        <f t="shared" ref="AK52:BH52" si="42">SUM(AK39:AK51)</f>
        <v>9</v>
      </c>
      <c r="AL52" s="1309">
        <f t="shared" si="42"/>
        <v>28</v>
      </c>
      <c r="AM52" s="1309">
        <f t="shared" si="42"/>
        <v>21</v>
      </c>
      <c r="AN52" s="1366">
        <f t="shared" si="42"/>
        <v>58</v>
      </c>
      <c r="AO52" s="1309">
        <f t="shared" si="42"/>
        <v>20</v>
      </c>
      <c r="AP52" s="1309">
        <f t="shared" si="42"/>
        <v>17</v>
      </c>
      <c r="AQ52" s="1309">
        <f t="shared" si="42"/>
        <v>21</v>
      </c>
      <c r="AR52" s="1366">
        <f t="shared" si="42"/>
        <v>58</v>
      </c>
      <c r="AS52" s="1309">
        <f t="shared" si="42"/>
        <v>23</v>
      </c>
      <c r="AT52" s="1309">
        <f t="shared" si="42"/>
        <v>31</v>
      </c>
      <c r="AU52" s="1309">
        <f t="shared" si="42"/>
        <v>24</v>
      </c>
      <c r="AV52" s="1366">
        <f t="shared" si="42"/>
        <v>78</v>
      </c>
      <c r="AW52" s="1309">
        <f t="shared" si="42"/>
        <v>30</v>
      </c>
      <c r="AX52" s="1309">
        <f t="shared" si="42"/>
        <v>38</v>
      </c>
      <c r="AY52" s="1309">
        <f t="shared" si="42"/>
        <v>25</v>
      </c>
      <c r="AZ52" s="1366">
        <f t="shared" si="42"/>
        <v>93</v>
      </c>
      <c r="BA52" s="1309">
        <f t="shared" si="42"/>
        <v>22</v>
      </c>
      <c r="BB52" s="1309">
        <f t="shared" si="42"/>
        <v>22</v>
      </c>
      <c r="BC52" s="1309">
        <f t="shared" si="42"/>
        <v>28</v>
      </c>
      <c r="BD52" s="1366">
        <f t="shared" si="42"/>
        <v>72</v>
      </c>
      <c r="BE52" s="1309">
        <f t="shared" si="42"/>
        <v>16</v>
      </c>
      <c r="BF52" s="1309">
        <f t="shared" si="42"/>
        <v>25</v>
      </c>
      <c r="BG52" s="1309">
        <f t="shared" si="42"/>
        <v>30</v>
      </c>
      <c r="BH52" s="1366">
        <f t="shared" si="42"/>
        <v>71</v>
      </c>
      <c r="BI52" s="1309">
        <f t="shared" ref="BI52:BP52" si="43">SUM(BI39:BI51)</f>
        <v>29</v>
      </c>
      <c r="BJ52" s="1309">
        <f t="shared" si="43"/>
        <v>32</v>
      </c>
      <c r="BK52" s="1309">
        <f t="shared" si="43"/>
        <v>27</v>
      </c>
      <c r="BL52" s="1366">
        <f t="shared" si="43"/>
        <v>88</v>
      </c>
      <c r="BM52" s="1309">
        <f t="shared" si="43"/>
        <v>36</v>
      </c>
      <c r="BN52" s="1309">
        <f t="shared" si="43"/>
        <v>41</v>
      </c>
      <c r="BO52" s="1309">
        <f t="shared" si="43"/>
        <v>32</v>
      </c>
      <c r="BP52" s="1366">
        <f t="shared" si="43"/>
        <v>109</v>
      </c>
      <c r="BQ52" s="1309">
        <f t="shared" ref="BQ52:BT52" si="44">SUM(BQ39:BQ51)</f>
        <v>24</v>
      </c>
      <c r="BR52" s="1309">
        <f t="shared" si="44"/>
        <v>27</v>
      </c>
      <c r="BS52" s="1309">
        <f t="shared" si="44"/>
        <v>31</v>
      </c>
      <c r="BT52" s="1366">
        <f t="shared" si="44"/>
        <v>82</v>
      </c>
    </row>
    <row r="53" spans="1:72" ht="12.75" customHeight="1" x14ac:dyDescent="0.2">
      <c r="A53" s="5279"/>
      <c r="B53" s="5278" t="s">
        <v>6</v>
      </c>
      <c r="C53" s="1363" t="s">
        <v>528</v>
      </c>
      <c r="D53" s="1321" t="s">
        <v>78</v>
      </c>
      <c r="E53" s="1297"/>
      <c r="F53" s="1298"/>
      <c r="G53" s="1298">
        <v>25</v>
      </c>
      <c r="H53" s="1318">
        <f>SUM(E53:G53)</f>
        <v>25</v>
      </c>
      <c r="I53" s="1316"/>
      <c r="J53" s="1317">
        <v>3</v>
      </c>
      <c r="K53" s="1317"/>
      <c r="L53" s="1318">
        <f>SUM(I53:K53)</f>
        <v>3</v>
      </c>
      <c r="M53" s="1316"/>
      <c r="N53" s="1317">
        <v>1</v>
      </c>
      <c r="O53" s="1317"/>
      <c r="P53" s="1318">
        <f>SUM(N53:O53)</f>
        <v>1</v>
      </c>
      <c r="Q53" s="1297"/>
      <c r="R53" s="1298">
        <v>1</v>
      </c>
      <c r="S53" s="1298"/>
      <c r="T53" s="1299">
        <f t="shared" ref="T53:T58" si="45">SUM(Q53:S53)</f>
        <v>1</v>
      </c>
      <c r="U53" s="1297">
        <v>2</v>
      </c>
      <c r="V53" s="1298">
        <v>3</v>
      </c>
      <c r="W53" s="1298">
        <v>6</v>
      </c>
      <c r="X53" s="1299">
        <f t="shared" si="38"/>
        <v>11</v>
      </c>
      <c r="Y53" s="1297">
        <v>2</v>
      </c>
      <c r="Z53" s="1298">
        <v>32</v>
      </c>
      <c r="AA53" s="1298">
        <v>2</v>
      </c>
      <c r="AB53" s="1299">
        <f t="shared" si="39"/>
        <v>36</v>
      </c>
      <c r="AC53" s="1297"/>
      <c r="AD53" s="1298">
        <v>65</v>
      </c>
      <c r="AE53" s="1298">
        <v>5</v>
      </c>
      <c r="AF53" s="1300">
        <f>SUM(AC53:AE53)</f>
        <v>70</v>
      </c>
      <c r="AG53" s="1298"/>
      <c r="AH53" s="1298">
        <v>12</v>
      </c>
      <c r="AI53" s="1298">
        <v>58</v>
      </c>
      <c r="AJ53" s="1300">
        <f t="shared" si="40"/>
        <v>70</v>
      </c>
      <c r="AK53" s="1298"/>
      <c r="AL53" s="1298"/>
      <c r="AM53" s="1298"/>
      <c r="AN53" s="1300"/>
      <c r="AO53" s="1298">
        <v>63</v>
      </c>
      <c r="AP53" s="1298">
        <v>16</v>
      </c>
      <c r="AQ53" s="1298">
        <v>1</v>
      </c>
      <c r="AR53" s="1300">
        <f t="shared" ref="AR53:AR58" si="46">SUM(AO53:AQ53)</f>
        <v>80</v>
      </c>
      <c r="AS53" s="1298"/>
      <c r="AT53" s="1298"/>
      <c r="AU53" s="1298"/>
      <c r="AV53" s="1300">
        <f t="shared" ref="AV53:AV58" si="47">SUM(AS53:AU53)</f>
        <v>0</v>
      </c>
      <c r="AW53" s="1298"/>
      <c r="AX53" s="1298">
        <v>15</v>
      </c>
      <c r="AY53" s="1298"/>
      <c r="AZ53" s="1300">
        <f t="shared" ref="AZ53:AZ61" si="48">SUM(AW53:AY53)</f>
        <v>15</v>
      </c>
      <c r="BA53" s="1298">
        <v>61</v>
      </c>
      <c r="BB53" s="1298">
        <v>1</v>
      </c>
      <c r="BC53" s="1298">
        <v>46</v>
      </c>
      <c r="BD53" s="1300">
        <f t="shared" ref="BD53:BD61" si="49">SUM(BA53:BC53)</f>
        <v>108</v>
      </c>
      <c r="BE53" s="1298">
        <v>4</v>
      </c>
      <c r="BF53" s="1298">
        <v>44</v>
      </c>
      <c r="BG53" s="1298">
        <v>52</v>
      </c>
      <c r="BH53" s="1300">
        <f t="shared" ref="BH53:BH65" si="50">SUM(BE53:BG53)</f>
        <v>100</v>
      </c>
      <c r="BI53" s="1298">
        <v>1</v>
      </c>
      <c r="BJ53" s="1298">
        <v>13</v>
      </c>
      <c r="BK53" s="1298">
        <v>2</v>
      </c>
      <c r="BL53" s="1300">
        <f t="shared" ref="BL53:BL58" si="51">SUM(BI53:BK53)</f>
        <v>16</v>
      </c>
      <c r="BM53" s="1298"/>
      <c r="BN53" s="1298">
        <v>7</v>
      </c>
      <c r="BO53" s="1298">
        <v>17</v>
      </c>
      <c r="BP53" s="1300">
        <f t="shared" ref="BP53:BP61" si="52">SUM(BM53:BO53)</f>
        <v>24</v>
      </c>
      <c r="BQ53" s="1298"/>
      <c r="BR53" s="1298">
        <v>15</v>
      </c>
      <c r="BS53" s="1298"/>
      <c r="BT53" s="1300">
        <f t="shared" ref="BT53:BT61" si="53">SUM(BQ53:BS53)</f>
        <v>15</v>
      </c>
    </row>
    <row r="54" spans="1:72" ht="14.25" customHeight="1" x14ac:dyDescent="0.2">
      <c r="A54" s="5279"/>
      <c r="B54" s="5279"/>
      <c r="C54" s="5630" t="s">
        <v>527</v>
      </c>
      <c r="D54" s="1321" t="s">
        <v>80</v>
      </c>
      <c r="E54" s="1297"/>
      <c r="F54" s="1298">
        <v>3</v>
      </c>
      <c r="G54" s="1298">
        <v>14</v>
      </c>
      <c r="H54" s="1318">
        <f>SUM(E54:G54)</f>
        <v>17</v>
      </c>
      <c r="I54" s="1297"/>
      <c r="J54" s="1298">
        <v>9</v>
      </c>
      <c r="K54" s="1298">
        <v>3</v>
      </c>
      <c r="L54" s="1318">
        <f>SUM(I54:K54)</f>
        <v>12</v>
      </c>
      <c r="M54" s="1297">
        <v>4</v>
      </c>
      <c r="N54" s="1298">
        <v>13</v>
      </c>
      <c r="O54" s="1298">
        <v>13</v>
      </c>
      <c r="P54" s="1299">
        <f t="shared" ref="P54:P61" si="54">SUM(M54:O54)</f>
        <v>30</v>
      </c>
      <c r="Q54" s="1297">
        <v>2</v>
      </c>
      <c r="R54" s="1298">
        <v>4</v>
      </c>
      <c r="S54" s="1298">
        <v>3</v>
      </c>
      <c r="T54" s="1299">
        <f t="shared" si="45"/>
        <v>9</v>
      </c>
      <c r="U54" s="1297"/>
      <c r="V54" s="1298">
        <v>4</v>
      </c>
      <c r="W54" s="1298">
        <v>3</v>
      </c>
      <c r="X54" s="1299">
        <f t="shared" si="38"/>
        <v>7</v>
      </c>
      <c r="Y54" s="1297">
        <v>1</v>
      </c>
      <c r="Z54" s="1298">
        <v>9</v>
      </c>
      <c r="AA54" s="1298">
        <v>3</v>
      </c>
      <c r="AB54" s="1299">
        <f t="shared" si="39"/>
        <v>13</v>
      </c>
      <c r="AC54" s="1297">
        <v>1</v>
      </c>
      <c r="AD54" s="1298">
        <v>8</v>
      </c>
      <c r="AE54" s="1298">
        <v>2</v>
      </c>
      <c r="AF54" s="1300">
        <f>SUM(AC54:AE54)</f>
        <v>11</v>
      </c>
      <c r="AG54" s="1298"/>
      <c r="AH54" s="1298">
        <v>10</v>
      </c>
      <c r="AI54" s="1298">
        <v>2</v>
      </c>
      <c r="AJ54" s="1300">
        <f t="shared" si="40"/>
        <v>12</v>
      </c>
      <c r="AK54" s="1298">
        <v>1</v>
      </c>
      <c r="AL54" s="1298">
        <v>8</v>
      </c>
      <c r="AM54" s="1298">
        <v>3</v>
      </c>
      <c r="AN54" s="1300">
        <f>SUM(AK54:AM54)</f>
        <v>12</v>
      </c>
      <c r="AO54" s="1298">
        <v>2</v>
      </c>
      <c r="AP54" s="1298">
        <v>3</v>
      </c>
      <c r="AQ54" s="1298">
        <v>1</v>
      </c>
      <c r="AR54" s="1300">
        <f t="shared" si="46"/>
        <v>6</v>
      </c>
      <c r="AS54" s="1298">
        <v>1</v>
      </c>
      <c r="AT54" s="1298">
        <v>14</v>
      </c>
      <c r="AU54" s="1298">
        <v>1</v>
      </c>
      <c r="AV54" s="1300">
        <f t="shared" si="47"/>
        <v>16</v>
      </c>
      <c r="AW54" s="1298">
        <v>1</v>
      </c>
      <c r="AX54" s="1298">
        <v>1</v>
      </c>
      <c r="AY54" s="1298"/>
      <c r="AZ54" s="1300">
        <f t="shared" si="48"/>
        <v>2</v>
      </c>
      <c r="BA54" s="1298">
        <v>1</v>
      </c>
      <c r="BB54" s="1298">
        <v>11</v>
      </c>
      <c r="BC54" s="1298">
        <v>3</v>
      </c>
      <c r="BD54" s="1300">
        <f t="shared" si="49"/>
        <v>15</v>
      </c>
      <c r="BE54" s="1298">
        <v>1</v>
      </c>
      <c r="BF54" s="1298"/>
      <c r="BG54" s="1298"/>
      <c r="BH54" s="1300">
        <f t="shared" si="50"/>
        <v>1</v>
      </c>
      <c r="BI54" s="1298"/>
      <c r="BJ54" s="1298"/>
      <c r="BK54" s="1298"/>
      <c r="BL54" s="1300">
        <f t="shared" si="51"/>
        <v>0</v>
      </c>
      <c r="BM54" s="1298">
        <v>1</v>
      </c>
      <c r="BN54" s="1298">
        <v>13</v>
      </c>
      <c r="BO54" s="1298">
        <v>1</v>
      </c>
      <c r="BP54" s="1300">
        <f t="shared" si="52"/>
        <v>15</v>
      </c>
      <c r="BQ54" s="1298"/>
      <c r="BR54" s="1298"/>
      <c r="BS54" s="1298"/>
      <c r="BT54" s="1300">
        <f t="shared" si="53"/>
        <v>0</v>
      </c>
    </row>
    <row r="55" spans="1:72" ht="14.25" customHeight="1" x14ac:dyDescent="0.2">
      <c r="A55" s="5279"/>
      <c r="B55" s="5279"/>
      <c r="C55" s="5631"/>
      <c r="D55" s="1321" t="s">
        <v>81</v>
      </c>
      <c r="E55" s="1297">
        <v>5</v>
      </c>
      <c r="F55" s="1298"/>
      <c r="G55" s="1298">
        <v>1</v>
      </c>
      <c r="H55" s="1318">
        <f>SUM(E55:G55)</f>
        <v>6</v>
      </c>
      <c r="I55" s="1297"/>
      <c r="J55" s="1298"/>
      <c r="K55" s="1298">
        <v>2</v>
      </c>
      <c r="L55" s="1318">
        <f>SUM(I55:K55)</f>
        <v>2</v>
      </c>
      <c r="M55" s="1297"/>
      <c r="N55" s="1298">
        <v>25</v>
      </c>
      <c r="O55" s="1298">
        <v>1</v>
      </c>
      <c r="P55" s="1299">
        <f t="shared" si="54"/>
        <v>26</v>
      </c>
      <c r="Q55" s="1297">
        <v>2</v>
      </c>
      <c r="R55" s="1298"/>
      <c r="S55" s="1298"/>
      <c r="T55" s="1299">
        <f t="shared" si="45"/>
        <v>2</v>
      </c>
      <c r="U55" s="1297">
        <v>4</v>
      </c>
      <c r="V55" s="1298"/>
      <c r="W55" s="1298">
        <v>6</v>
      </c>
      <c r="X55" s="1299">
        <f>SUM(U55:W55)</f>
        <v>10</v>
      </c>
      <c r="Y55" s="1297">
        <v>1</v>
      </c>
      <c r="Z55" s="1298">
        <v>5</v>
      </c>
      <c r="AA55" s="1298">
        <v>2</v>
      </c>
      <c r="AB55" s="1299">
        <f>SUM(Y55:AA55)</f>
        <v>8</v>
      </c>
      <c r="AC55" s="1297"/>
      <c r="AD55" s="1298"/>
      <c r="AE55" s="1298"/>
      <c r="AF55" s="1300"/>
      <c r="AG55" s="1298">
        <v>2</v>
      </c>
      <c r="AH55" s="1298">
        <v>7</v>
      </c>
      <c r="AI55" s="1298">
        <v>2</v>
      </c>
      <c r="AJ55" s="1300">
        <f>SUM(AG55:AI55)</f>
        <v>11</v>
      </c>
      <c r="AK55" s="1298"/>
      <c r="AL55" s="1298"/>
      <c r="AM55" s="1298"/>
      <c r="AN55" s="1300"/>
      <c r="AO55" s="1298">
        <v>2</v>
      </c>
      <c r="AP55" s="1298">
        <v>4</v>
      </c>
      <c r="AQ55" s="1298"/>
      <c r="AR55" s="1300">
        <f t="shared" si="46"/>
        <v>6</v>
      </c>
      <c r="AS55" s="1298">
        <v>1</v>
      </c>
      <c r="AT55" s="1298">
        <v>1</v>
      </c>
      <c r="AU55" s="1298">
        <v>4</v>
      </c>
      <c r="AV55" s="1300">
        <f t="shared" si="47"/>
        <v>6</v>
      </c>
      <c r="AW55" s="1298">
        <v>2</v>
      </c>
      <c r="AX55" s="1298">
        <v>14</v>
      </c>
      <c r="AY55" s="1298">
        <v>1</v>
      </c>
      <c r="AZ55" s="1300">
        <f t="shared" si="48"/>
        <v>17</v>
      </c>
      <c r="BA55" s="1298">
        <v>3</v>
      </c>
      <c r="BB55" s="1298">
        <v>2</v>
      </c>
      <c r="BC55" s="1298">
        <v>4</v>
      </c>
      <c r="BD55" s="1300">
        <f t="shared" si="49"/>
        <v>9</v>
      </c>
      <c r="BE55" s="1298">
        <v>1</v>
      </c>
      <c r="BF55" s="1298">
        <v>5</v>
      </c>
      <c r="BG55" s="1298">
        <v>2</v>
      </c>
      <c r="BH55" s="1300">
        <f>SUM(BE55:BG55)</f>
        <v>8</v>
      </c>
      <c r="BI55" s="1298">
        <v>1</v>
      </c>
      <c r="BJ55" s="1298">
        <v>1</v>
      </c>
      <c r="BK55" s="1298">
        <v>1</v>
      </c>
      <c r="BL55" s="1300">
        <f t="shared" si="51"/>
        <v>3</v>
      </c>
      <c r="BM55" s="1298">
        <v>9</v>
      </c>
      <c r="BN55" s="1298">
        <v>4</v>
      </c>
      <c r="BO55" s="1298">
        <v>2</v>
      </c>
      <c r="BP55" s="1300">
        <f t="shared" si="52"/>
        <v>15</v>
      </c>
      <c r="BQ55" s="1298">
        <v>1</v>
      </c>
      <c r="BR55" s="1298"/>
      <c r="BS55" s="1298">
        <v>1</v>
      </c>
      <c r="BT55" s="1300">
        <f t="shared" si="53"/>
        <v>2</v>
      </c>
    </row>
    <row r="56" spans="1:72" ht="14.25" customHeight="1" x14ac:dyDescent="0.2">
      <c r="A56" s="5279"/>
      <c r="B56" s="5279"/>
      <c r="C56" s="5631"/>
      <c r="D56" s="1321" t="s">
        <v>79</v>
      </c>
      <c r="E56" s="1297">
        <v>1</v>
      </c>
      <c r="F56" s="1298">
        <v>1</v>
      </c>
      <c r="G56" s="1298">
        <v>3</v>
      </c>
      <c r="H56" s="1318">
        <f>SUM(E56:G56)</f>
        <v>5</v>
      </c>
      <c r="I56" s="1297">
        <v>2</v>
      </c>
      <c r="J56" s="1298">
        <v>7</v>
      </c>
      <c r="K56" s="1298">
        <v>6</v>
      </c>
      <c r="L56" s="1318">
        <f>SUM(I56:K56)</f>
        <v>15</v>
      </c>
      <c r="M56" s="1297">
        <v>2</v>
      </c>
      <c r="N56" s="1298">
        <v>3</v>
      </c>
      <c r="O56" s="1298">
        <v>2</v>
      </c>
      <c r="P56" s="1299">
        <f t="shared" si="54"/>
        <v>7</v>
      </c>
      <c r="Q56" s="1297">
        <v>2</v>
      </c>
      <c r="R56" s="1298"/>
      <c r="S56" s="1298">
        <v>2</v>
      </c>
      <c r="T56" s="1299">
        <f t="shared" si="45"/>
        <v>4</v>
      </c>
      <c r="U56" s="1297">
        <v>3</v>
      </c>
      <c r="V56" s="1298">
        <v>6</v>
      </c>
      <c r="W56" s="1298">
        <v>1</v>
      </c>
      <c r="X56" s="1299">
        <f>SUM(U56:W56)</f>
        <v>10</v>
      </c>
      <c r="Y56" s="1297">
        <v>4</v>
      </c>
      <c r="Z56" s="1298">
        <v>1</v>
      </c>
      <c r="AA56" s="1298">
        <v>1</v>
      </c>
      <c r="AB56" s="1299">
        <f>SUM(Y56:AA56)</f>
        <v>6</v>
      </c>
      <c r="AC56" s="1297">
        <v>1</v>
      </c>
      <c r="AD56" s="1298">
        <v>2</v>
      </c>
      <c r="AE56" s="1298">
        <v>1</v>
      </c>
      <c r="AF56" s="1300">
        <f>SUM(AC56:AE56)</f>
        <v>4</v>
      </c>
      <c r="AG56" s="1298">
        <v>1</v>
      </c>
      <c r="AH56" s="1298">
        <v>4</v>
      </c>
      <c r="AI56" s="1298">
        <v>4</v>
      </c>
      <c r="AJ56" s="1300">
        <f>SUM(AG56:AI56)</f>
        <v>9</v>
      </c>
      <c r="AK56" s="1298">
        <v>9</v>
      </c>
      <c r="AL56" s="1298">
        <v>14</v>
      </c>
      <c r="AM56" s="1298">
        <v>6</v>
      </c>
      <c r="AN56" s="1300">
        <f>SUM(AK56:AM56)</f>
        <v>29</v>
      </c>
      <c r="AO56" s="1298">
        <v>1</v>
      </c>
      <c r="AP56" s="1298">
        <v>2</v>
      </c>
      <c r="AQ56" s="1298">
        <v>4</v>
      </c>
      <c r="AR56" s="1300">
        <f t="shared" si="46"/>
        <v>7</v>
      </c>
      <c r="AS56" s="1298">
        <v>4</v>
      </c>
      <c r="AT56" s="1298">
        <v>20</v>
      </c>
      <c r="AU56" s="1298">
        <v>6</v>
      </c>
      <c r="AV56" s="1300">
        <f t="shared" si="47"/>
        <v>30</v>
      </c>
      <c r="AW56" s="1298">
        <v>8</v>
      </c>
      <c r="AX56" s="1298">
        <v>10</v>
      </c>
      <c r="AY56" s="1298">
        <v>7</v>
      </c>
      <c r="AZ56" s="1300">
        <f t="shared" si="48"/>
        <v>25</v>
      </c>
      <c r="BA56" s="1298">
        <v>35</v>
      </c>
      <c r="BB56" s="1298">
        <v>14</v>
      </c>
      <c r="BC56" s="1298">
        <v>3</v>
      </c>
      <c r="BD56" s="1300">
        <f t="shared" si="49"/>
        <v>52</v>
      </c>
      <c r="BE56" s="1298">
        <v>4</v>
      </c>
      <c r="BF56" s="1298">
        <v>9</v>
      </c>
      <c r="BG56" s="1298">
        <v>9</v>
      </c>
      <c r="BH56" s="1300">
        <f>SUM(BE56:BG56)</f>
        <v>22</v>
      </c>
      <c r="BI56" s="1298">
        <v>38</v>
      </c>
      <c r="BJ56" s="1298">
        <v>3</v>
      </c>
      <c r="BK56" s="1298"/>
      <c r="BL56" s="1300">
        <f t="shared" si="51"/>
        <v>41</v>
      </c>
      <c r="BM56" s="1298"/>
      <c r="BN56" s="1298">
        <v>9</v>
      </c>
      <c r="BO56" s="1298">
        <v>35</v>
      </c>
      <c r="BP56" s="1300">
        <f t="shared" si="52"/>
        <v>44</v>
      </c>
      <c r="BQ56" s="1298">
        <v>10</v>
      </c>
      <c r="BR56" s="1298"/>
      <c r="BS56" s="1298">
        <v>2</v>
      </c>
      <c r="BT56" s="1300">
        <f t="shared" si="53"/>
        <v>12</v>
      </c>
    </row>
    <row r="57" spans="1:72" ht="14.25" customHeight="1" x14ac:dyDescent="0.2">
      <c r="A57" s="5279"/>
      <c r="B57" s="5279"/>
      <c r="C57" s="5631"/>
      <c r="D57" s="1321" t="s">
        <v>82</v>
      </c>
      <c r="E57" s="1297"/>
      <c r="F57" s="1298"/>
      <c r="G57" s="1298"/>
      <c r="H57" s="1318"/>
      <c r="I57" s="1297"/>
      <c r="J57" s="1298">
        <v>7</v>
      </c>
      <c r="K57" s="1298">
        <v>1</v>
      </c>
      <c r="L57" s="1318">
        <f>SUM(I57:K57)</f>
        <v>8</v>
      </c>
      <c r="M57" s="1297">
        <v>1</v>
      </c>
      <c r="N57" s="1298">
        <v>1</v>
      </c>
      <c r="O57" s="1298"/>
      <c r="P57" s="1299">
        <f t="shared" si="54"/>
        <v>2</v>
      </c>
      <c r="Q57" s="1297"/>
      <c r="R57" s="1298">
        <v>6</v>
      </c>
      <c r="S57" s="1298">
        <v>2</v>
      </c>
      <c r="T57" s="1299">
        <f t="shared" si="45"/>
        <v>8</v>
      </c>
      <c r="U57" s="1297">
        <v>4</v>
      </c>
      <c r="V57" s="1298">
        <v>4</v>
      </c>
      <c r="W57" s="1298">
        <v>3</v>
      </c>
      <c r="X57" s="1299">
        <f>SUM(U57:W57)</f>
        <v>11</v>
      </c>
      <c r="Y57" s="1297">
        <v>2</v>
      </c>
      <c r="Z57" s="1298">
        <v>5</v>
      </c>
      <c r="AA57" s="1298">
        <v>2</v>
      </c>
      <c r="AB57" s="1299">
        <f>SUM(Y57:AA57)</f>
        <v>9</v>
      </c>
      <c r="AC57" s="1297">
        <v>6</v>
      </c>
      <c r="AD57" s="1298">
        <v>4</v>
      </c>
      <c r="AE57" s="1298"/>
      <c r="AF57" s="1300">
        <f>SUM(AC57:AE57)</f>
        <v>10</v>
      </c>
      <c r="AG57" s="1298">
        <v>1</v>
      </c>
      <c r="AH57" s="1298">
        <v>7</v>
      </c>
      <c r="AI57" s="1298">
        <v>4</v>
      </c>
      <c r="AJ57" s="1300">
        <f>SUM(AG57:AI57)</f>
        <v>12</v>
      </c>
      <c r="AK57" s="1298">
        <v>1</v>
      </c>
      <c r="AL57" s="1298">
        <v>11</v>
      </c>
      <c r="AM57" s="1298">
        <v>1</v>
      </c>
      <c r="AN57" s="1300">
        <f>SUM(AK57:AM57)</f>
        <v>13</v>
      </c>
      <c r="AO57" s="1298"/>
      <c r="AP57" s="1298">
        <v>3</v>
      </c>
      <c r="AQ57" s="1298">
        <v>9</v>
      </c>
      <c r="AR57" s="1300">
        <f t="shared" si="46"/>
        <v>12</v>
      </c>
      <c r="AS57" s="1298">
        <v>5</v>
      </c>
      <c r="AT57" s="1298">
        <v>5</v>
      </c>
      <c r="AU57" s="1298">
        <v>6</v>
      </c>
      <c r="AV57" s="1300">
        <f t="shared" si="47"/>
        <v>16</v>
      </c>
      <c r="AW57" s="1298">
        <v>2</v>
      </c>
      <c r="AX57" s="1298">
        <v>19</v>
      </c>
      <c r="AY57" s="1298">
        <v>3</v>
      </c>
      <c r="AZ57" s="1300">
        <f t="shared" si="48"/>
        <v>24</v>
      </c>
      <c r="BA57" s="1298">
        <v>7</v>
      </c>
      <c r="BB57" s="1298">
        <v>3</v>
      </c>
      <c r="BC57" s="1298">
        <v>2</v>
      </c>
      <c r="BD57" s="1300">
        <f t="shared" si="49"/>
        <v>12</v>
      </c>
      <c r="BE57" s="1298"/>
      <c r="BF57" s="1298">
        <v>13</v>
      </c>
      <c r="BG57" s="1298">
        <v>13</v>
      </c>
      <c r="BH57" s="1300">
        <f>SUM(BE57:BG57)</f>
        <v>26</v>
      </c>
      <c r="BI57" s="1298">
        <v>5</v>
      </c>
      <c r="BJ57" s="1298"/>
      <c r="BK57" s="1298"/>
      <c r="BL57" s="1300">
        <f t="shared" si="51"/>
        <v>5</v>
      </c>
      <c r="BM57" s="1298">
        <v>1</v>
      </c>
      <c r="BN57" s="1298">
        <v>17</v>
      </c>
      <c r="BO57" s="1298">
        <v>5</v>
      </c>
      <c r="BP57" s="1300">
        <f t="shared" si="52"/>
        <v>23</v>
      </c>
      <c r="BQ57" s="1298">
        <v>1</v>
      </c>
      <c r="BR57" s="1298">
        <v>2</v>
      </c>
      <c r="BS57" s="1298">
        <v>1</v>
      </c>
      <c r="BT57" s="1300">
        <f t="shared" si="53"/>
        <v>4</v>
      </c>
    </row>
    <row r="58" spans="1:72" ht="14.25" customHeight="1" x14ac:dyDescent="0.2">
      <c r="A58" s="5279"/>
      <c r="B58" s="5279"/>
      <c r="C58" s="5631"/>
      <c r="D58" s="1322" t="s">
        <v>139</v>
      </c>
      <c r="E58" s="1297"/>
      <c r="F58" s="1298"/>
      <c r="G58" s="1298"/>
      <c r="H58" s="1318"/>
      <c r="I58" s="1297"/>
      <c r="J58" s="1298"/>
      <c r="K58" s="1298"/>
      <c r="L58" s="1318"/>
      <c r="M58" s="1297"/>
      <c r="N58" s="1298"/>
      <c r="O58" s="1298">
        <v>1</v>
      </c>
      <c r="P58" s="1299">
        <f t="shared" si="54"/>
        <v>1</v>
      </c>
      <c r="Q58" s="1297">
        <v>5</v>
      </c>
      <c r="R58" s="1298"/>
      <c r="S58" s="1298">
        <v>1</v>
      </c>
      <c r="T58" s="1299">
        <f t="shared" si="45"/>
        <v>6</v>
      </c>
      <c r="U58" s="1297"/>
      <c r="V58" s="1298"/>
      <c r="W58" s="1298"/>
      <c r="X58" s="1299"/>
      <c r="Y58" s="1297"/>
      <c r="Z58" s="1298"/>
      <c r="AA58" s="1298"/>
      <c r="AB58" s="1299"/>
      <c r="AC58" s="1297"/>
      <c r="AD58" s="1298"/>
      <c r="AE58" s="1298"/>
      <c r="AF58" s="1300"/>
      <c r="AG58" s="1298"/>
      <c r="AH58" s="1298"/>
      <c r="AI58" s="1298">
        <v>1</v>
      </c>
      <c r="AJ58" s="1300">
        <f>SUM(AG58:AI58)</f>
        <v>1</v>
      </c>
      <c r="AK58" s="1298"/>
      <c r="AL58" s="1298">
        <v>1</v>
      </c>
      <c r="AM58" s="1298">
        <v>1</v>
      </c>
      <c r="AN58" s="1300">
        <f>SUM(AK58:AM58)</f>
        <v>2</v>
      </c>
      <c r="AO58" s="1298"/>
      <c r="AP58" s="1298"/>
      <c r="AQ58" s="1298"/>
      <c r="AR58" s="1300">
        <f t="shared" si="46"/>
        <v>0</v>
      </c>
      <c r="AS58" s="1298">
        <v>5</v>
      </c>
      <c r="AT58" s="1298"/>
      <c r="AU58" s="1298"/>
      <c r="AV58" s="1300">
        <f t="shared" si="47"/>
        <v>5</v>
      </c>
      <c r="AW58" s="1298">
        <v>7</v>
      </c>
      <c r="AX58" s="1298"/>
      <c r="AY58" s="1298">
        <v>1</v>
      </c>
      <c r="AZ58" s="1300">
        <f t="shared" si="48"/>
        <v>8</v>
      </c>
      <c r="BA58" s="1298">
        <v>4</v>
      </c>
      <c r="BB58" s="1298"/>
      <c r="BC58" s="1298">
        <v>5</v>
      </c>
      <c r="BD58" s="1300">
        <f t="shared" si="49"/>
        <v>9</v>
      </c>
      <c r="BE58" s="1298">
        <v>6</v>
      </c>
      <c r="BF58" s="1298"/>
      <c r="BG58" s="1298"/>
      <c r="BH58" s="1300">
        <f>SUM(BE58:BG58)</f>
        <v>6</v>
      </c>
      <c r="BI58" s="1298"/>
      <c r="BJ58" s="1298">
        <v>5</v>
      </c>
      <c r="BK58" s="1298">
        <v>11</v>
      </c>
      <c r="BL58" s="1300">
        <f t="shared" si="51"/>
        <v>16</v>
      </c>
      <c r="BM58" s="1298"/>
      <c r="BN58" s="1298">
        <v>1</v>
      </c>
      <c r="BO58" s="1298">
        <v>16</v>
      </c>
      <c r="BP58" s="1300">
        <f t="shared" si="52"/>
        <v>17</v>
      </c>
      <c r="BQ58" s="1298"/>
      <c r="BR58" s="1298"/>
      <c r="BS58" s="1298">
        <v>9</v>
      </c>
      <c r="BT58" s="1300">
        <f t="shared" si="53"/>
        <v>9</v>
      </c>
    </row>
    <row r="59" spans="1:72" ht="14.25" customHeight="1" x14ac:dyDescent="0.2">
      <c r="A59" s="5279"/>
      <c r="B59" s="5279"/>
      <c r="C59" s="5631"/>
      <c r="D59" s="1322" t="s">
        <v>408</v>
      </c>
      <c r="E59" s="1297"/>
      <c r="F59" s="1298"/>
      <c r="G59" s="1298">
        <v>1</v>
      </c>
      <c r="H59" s="1318">
        <f>SUM(E59:G59)</f>
        <v>1</v>
      </c>
      <c r="I59" s="1297">
        <v>1</v>
      </c>
      <c r="J59" s="1298"/>
      <c r="K59" s="1298"/>
      <c r="L59" s="1318">
        <f t="shared" ref="L59:L64" si="55">SUM(I59:K59)</f>
        <v>1</v>
      </c>
      <c r="M59" s="1297"/>
      <c r="N59" s="1298">
        <v>2</v>
      </c>
      <c r="O59" s="1298"/>
      <c r="P59" s="1299">
        <f t="shared" si="54"/>
        <v>2</v>
      </c>
      <c r="Q59" s="1297"/>
      <c r="R59" s="1298"/>
      <c r="S59" s="1298"/>
      <c r="T59" s="1299"/>
      <c r="U59" s="1297"/>
      <c r="V59" s="1298"/>
      <c r="W59" s="1298"/>
      <c r="X59" s="1299"/>
      <c r="Y59" s="1297"/>
      <c r="Z59" s="1298"/>
      <c r="AA59" s="1298"/>
      <c r="AB59" s="1299"/>
      <c r="AC59" s="1297"/>
      <c r="AD59" s="1298"/>
      <c r="AE59" s="1298"/>
      <c r="AF59" s="1300"/>
      <c r="AG59" s="1298"/>
      <c r="AH59" s="1298"/>
      <c r="AI59" s="1298"/>
      <c r="AJ59" s="1300"/>
      <c r="AK59" s="1298"/>
      <c r="AL59" s="1298"/>
      <c r="AM59" s="1298"/>
      <c r="AN59" s="1300"/>
      <c r="AO59" s="1298"/>
      <c r="AP59" s="1298"/>
      <c r="AQ59" s="1298"/>
      <c r="AR59" s="1300"/>
      <c r="AS59" s="1298"/>
      <c r="AT59" s="1298"/>
      <c r="AU59" s="1298"/>
      <c r="AV59" s="1300"/>
      <c r="AW59" s="1298">
        <v>1</v>
      </c>
      <c r="AX59" s="1298"/>
      <c r="AY59" s="1298">
        <v>2</v>
      </c>
      <c r="AZ59" s="1300">
        <f t="shared" si="48"/>
        <v>3</v>
      </c>
      <c r="BA59" s="1298"/>
      <c r="BB59" s="1298"/>
      <c r="BC59" s="1298"/>
      <c r="BD59" s="1300">
        <f t="shared" si="49"/>
        <v>0</v>
      </c>
      <c r="BE59" s="1298"/>
      <c r="BF59" s="1298"/>
      <c r="BG59" s="1298"/>
      <c r="BH59" s="1300"/>
      <c r="BI59" s="1298"/>
      <c r="BJ59" s="1298"/>
      <c r="BK59" s="1298"/>
      <c r="BL59" s="1300"/>
      <c r="BM59" s="1298"/>
      <c r="BN59" s="1298"/>
      <c r="BO59" s="1298"/>
      <c r="BP59" s="1300">
        <f t="shared" si="52"/>
        <v>0</v>
      </c>
      <c r="BQ59" s="1298"/>
      <c r="BR59" s="1298"/>
      <c r="BS59" s="1298"/>
      <c r="BT59" s="1300">
        <f t="shared" si="53"/>
        <v>0</v>
      </c>
    </row>
    <row r="60" spans="1:72" ht="14.25" customHeight="1" x14ac:dyDescent="0.2">
      <c r="A60" s="5279"/>
      <c r="B60" s="5279"/>
      <c r="C60" s="5631"/>
      <c r="D60" s="1322" t="s">
        <v>554</v>
      </c>
      <c r="E60" s="1297"/>
      <c r="F60" s="1298">
        <v>2</v>
      </c>
      <c r="G60" s="1298"/>
      <c r="H60" s="1318">
        <f>SUM(E60:G60)</f>
        <v>2</v>
      </c>
      <c r="I60" s="1297">
        <v>1</v>
      </c>
      <c r="J60" s="1298"/>
      <c r="K60" s="1298"/>
      <c r="L60" s="1318">
        <f t="shared" si="55"/>
        <v>1</v>
      </c>
      <c r="M60" s="1297"/>
      <c r="N60" s="1298">
        <v>2</v>
      </c>
      <c r="O60" s="1298"/>
      <c r="P60" s="1299">
        <f t="shared" si="54"/>
        <v>2</v>
      </c>
      <c r="Q60" s="1297"/>
      <c r="R60" s="1298">
        <v>2</v>
      </c>
      <c r="S60" s="1298"/>
      <c r="T60" s="1299">
        <f>SUM(Q60:S60)</f>
        <v>2</v>
      </c>
      <c r="U60" s="1297"/>
      <c r="V60" s="1298"/>
      <c r="W60" s="1298"/>
      <c r="X60" s="1299"/>
      <c r="Y60" s="1297"/>
      <c r="Z60" s="1298"/>
      <c r="AA60" s="1298">
        <v>1</v>
      </c>
      <c r="AB60" s="1299">
        <f>SUM(Y60:AA60)</f>
        <v>1</v>
      </c>
      <c r="AC60" s="1297"/>
      <c r="AD60" s="1298"/>
      <c r="AE60" s="1298"/>
      <c r="AF60" s="1300"/>
      <c r="AG60" s="1298"/>
      <c r="AH60" s="1298"/>
      <c r="AI60" s="1298"/>
      <c r="AJ60" s="1300"/>
      <c r="AK60" s="1298"/>
      <c r="AL60" s="1298"/>
      <c r="AM60" s="1298"/>
      <c r="AN60" s="1300"/>
      <c r="AO60" s="1298"/>
      <c r="AP60" s="1298"/>
      <c r="AQ60" s="1298">
        <v>1</v>
      </c>
      <c r="AR60" s="1300">
        <f>SUM(AO60:AQ60)</f>
        <v>1</v>
      </c>
      <c r="AS60" s="1298"/>
      <c r="AT60" s="1298">
        <v>1</v>
      </c>
      <c r="AU60" s="1298"/>
      <c r="AV60" s="1300">
        <f>SUM(AS60:AU60)</f>
        <v>1</v>
      </c>
      <c r="AW60" s="1298"/>
      <c r="AX60" s="1298"/>
      <c r="AY60" s="1298"/>
      <c r="AZ60" s="1300">
        <f t="shared" si="48"/>
        <v>0</v>
      </c>
      <c r="BA60" s="1298"/>
      <c r="BB60" s="1298"/>
      <c r="BC60" s="1298"/>
      <c r="BD60" s="1300">
        <f t="shared" si="49"/>
        <v>0</v>
      </c>
      <c r="BE60" s="1298"/>
      <c r="BF60" s="1298"/>
      <c r="BG60" s="1298"/>
      <c r="BH60" s="1300"/>
      <c r="BI60" s="1298"/>
      <c r="BJ60" s="1298"/>
      <c r="BK60" s="1298"/>
      <c r="BL60" s="1300"/>
      <c r="BM60" s="1298"/>
      <c r="BN60" s="1298"/>
      <c r="BO60" s="1298"/>
      <c r="BP60" s="1300">
        <f t="shared" si="52"/>
        <v>0</v>
      </c>
      <c r="BQ60" s="1298"/>
      <c r="BR60" s="1298"/>
      <c r="BS60" s="1298"/>
      <c r="BT60" s="1300">
        <f t="shared" si="53"/>
        <v>0</v>
      </c>
    </row>
    <row r="61" spans="1:72" ht="14.25" customHeight="1" x14ac:dyDescent="0.2">
      <c r="A61" s="5279"/>
      <c r="B61" s="5279"/>
      <c r="C61" s="5632"/>
      <c r="D61" s="1302" t="s">
        <v>383</v>
      </c>
      <c r="E61" s="1303">
        <v>1</v>
      </c>
      <c r="F61" s="1304">
        <v>1</v>
      </c>
      <c r="G61" s="1304"/>
      <c r="H61" s="1305">
        <f>SUM(E61:G61)</f>
        <v>2</v>
      </c>
      <c r="I61" s="1303">
        <v>1</v>
      </c>
      <c r="J61" s="1304">
        <v>1</v>
      </c>
      <c r="K61" s="1304"/>
      <c r="L61" s="1305">
        <f t="shared" si="55"/>
        <v>2</v>
      </c>
      <c r="M61" s="1303">
        <v>1</v>
      </c>
      <c r="N61" s="1304"/>
      <c r="O61" s="1304"/>
      <c r="P61" s="1305">
        <f t="shared" si="54"/>
        <v>1</v>
      </c>
      <c r="Q61" s="1303"/>
      <c r="R61" s="1304"/>
      <c r="S61" s="1304"/>
      <c r="T61" s="1305"/>
      <c r="U61" s="1303"/>
      <c r="V61" s="1304"/>
      <c r="W61" s="1304"/>
      <c r="X61" s="1305"/>
      <c r="Y61" s="1303"/>
      <c r="Z61" s="1304"/>
      <c r="AA61" s="1304"/>
      <c r="AB61" s="1305"/>
      <c r="AC61" s="1303"/>
      <c r="AD61" s="1304"/>
      <c r="AE61" s="1304"/>
      <c r="AF61" s="1306"/>
      <c r="AG61" s="1304"/>
      <c r="AH61" s="1304"/>
      <c r="AI61" s="1304"/>
      <c r="AJ61" s="1306"/>
      <c r="AK61" s="1304"/>
      <c r="AL61" s="1304"/>
      <c r="AM61" s="1304"/>
      <c r="AN61" s="1306"/>
      <c r="AO61" s="1304"/>
      <c r="AP61" s="1304"/>
      <c r="AQ61" s="1304"/>
      <c r="AR61" s="1306"/>
      <c r="AS61" s="1304"/>
      <c r="AT61" s="1304">
        <v>1</v>
      </c>
      <c r="AU61" s="1304"/>
      <c r="AV61" s="1306">
        <f>SUM(AS61:AU61)</f>
        <v>1</v>
      </c>
      <c r="AW61" s="1304"/>
      <c r="AX61" s="1304"/>
      <c r="AY61" s="1304"/>
      <c r="AZ61" s="1306">
        <f t="shared" si="48"/>
        <v>0</v>
      </c>
      <c r="BA61" s="1304"/>
      <c r="BB61" s="1304">
        <v>1</v>
      </c>
      <c r="BC61" s="1304"/>
      <c r="BD61" s="1306">
        <f t="shared" si="49"/>
        <v>1</v>
      </c>
      <c r="BE61" s="1304"/>
      <c r="BF61" s="1304"/>
      <c r="BG61" s="1304"/>
      <c r="BH61" s="1306"/>
      <c r="BI61" s="1304"/>
      <c r="BJ61" s="1304"/>
      <c r="BK61" s="1304"/>
      <c r="BL61" s="1306"/>
      <c r="BM61" s="1304"/>
      <c r="BN61" s="1304"/>
      <c r="BO61" s="1304"/>
      <c r="BP61" s="1300">
        <f t="shared" si="52"/>
        <v>0</v>
      </c>
      <c r="BQ61" s="1304"/>
      <c r="BR61" s="1304"/>
      <c r="BS61" s="1304"/>
      <c r="BT61" s="1300">
        <f t="shared" si="53"/>
        <v>0</v>
      </c>
    </row>
    <row r="62" spans="1:72" ht="14.25" customHeight="1" x14ac:dyDescent="0.2">
      <c r="A62" s="5279"/>
      <c r="B62" s="5279"/>
      <c r="C62" s="5630" t="s">
        <v>526</v>
      </c>
      <c r="D62" s="1321" t="s">
        <v>84</v>
      </c>
      <c r="E62" s="1297"/>
      <c r="F62" s="1298"/>
      <c r="G62" s="1298"/>
      <c r="H62" s="1318"/>
      <c r="I62" s="1297"/>
      <c r="J62" s="1298"/>
      <c r="K62" s="1298">
        <v>4</v>
      </c>
      <c r="L62" s="1318">
        <f t="shared" si="55"/>
        <v>4</v>
      </c>
      <c r="M62" s="1297">
        <v>1</v>
      </c>
      <c r="N62" s="1298">
        <v>1</v>
      </c>
      <c r="O62" s="1298">
        <v>3</v>
      </c>
      <c r="P62" s="1299">
        <f>SUM(M62:O62)</f>
        <v>5</v>
      </c>
      <c r="Q62" s="1297">
        <v>4</v>
      </c>
      <c r="R62" s="1298">
        <v>3</v>
      </c>
      <c r="S62" s="1298">
        <v>2</v>
      </c>
      <c r="T62" s="1299">
        <f>SUM(Q62:S62)</f>
        <v>9</v>
      </c>
      <c r="U62" s="1297">
        <v>2</v>
      </c>
      <c r="V62" s="1298">
        <v>1</v>
      </c>
      <c r="W62" s="1298">
        <v>2</v>
      </c>
      <c r="X62" s="1299">
        <f t="shared" si="38"/>
        <v>5</v>
      </c>
      <c r="Y62" s="1297">
        <v>5</v>
      </c>
      <c r="Z62" s="1298">
        <v>1</v>
      </c>
      <c r="AA62" s="1298">
        <v>4</v>
      </c>
      <c r="AB62" s="1299">
        <f t="shared" si="39"/>
        <v>10</v>
      </c>
      <c r="AC62" s="1297">
        <v>1</v>
      </c>
      <c r="AD62" s="1298">
        <v>3</v>
      </c>
      <c r="AE62" s="1298">
        <v>4</v>
      </c>
      <c r="AF62" s="1300">
        <f>SUM(AC62:AE62)</f>
        <v>8</v>
      </c>
      <c r="AG62" s="1298">
        <v>3</v>
      </c>
      <c r="AH62" s="1298">
        <v>2</v>
      </c>
      <c r="AI62" s="1298">
        <v>8</v>
      </c>
      <c r="AJ62" s="1300">
        <f t="shared" si="40"/>
        <v>13</v>
      </c>
      <c r="AK62" s="1298"/>
      <c r="AL62" s="1298">
        <v>8</v>
      </c>
      <c r="AM62" s="1298">
        <v>3</v>
      </c>
      <c r="AN62" s="1300">
        <f>SUM(AK62:AM62)</f>
        <v>11</v>
      </c>
      <c r="AO62" s="1298">
        <v>1</v>
      </c>
      <c r="AP62" s="1298">
        <v>1</v>
      </c>
      <c r="AQ62" s="1298">
        <v>4</v>
      </c>
      <c r="AR62" s="1300">
        <f t="shared" ref="AR62:AR68" si="56">SUM(AO62:AQ62)</f>
        <v>6</v>
      </c>
      <c r="AS62" s="1298">
        <v>6</v>
      </c>
      <c r="AT62" s="1298">
        <v>3</v>
      </c>
      <c r="AU62" s="1298">
        <v>8</v>
      </c>
      <c r="AV62" s="1300">
        <f t="shared" ref="AV62:AV68" si="57">SUM(AS62:AU62)</f>
        <v>17</v>
      </c>
      <c r="AW62" s="1298">
        <v>5</v>
      </c>
      <c r="AX62" s="1298">
        <v>6</v>
      </c>
      <c r="AY62" s="1298">
        <v>3</v>
      </c>
      <c r="AZ62" s="1300">
        <f t="shared" ref="AZ62:AZ68" si="58">SUM(AW62:AY62)</f>
        <v>14</v>
      </c>
      <c r="BA62" s="1298">
        <v>9</v>
      </c>
      <c r="BB62" s="1298">
        <v>3</v>
      </c>
      <c r="BC62" s="1298"/>
      <c r="BD62" s="1300">
        <f t="shared" ref="BD62:BD68" si="59">SUM(BA62:BC62)</f>
        <v>12</v>
      </c>
      <c r="BE62" s="1298">
        <v>7</v>
      </c>
      <c r="BF62" s="1298">
        <v>3</v>
      </c>
      <c r="BG62" s="1298">
        <v>3</v>
      </c>
      <c r="BH62" s="1300">
        <f t="shared" si="50"/>
        <v>13</v>
      </c>
      <c r="BI62" s="1298">
        <v>4</v>
      </c>
      <c r="BJ62" s="1298"/>
      <c r="BK62" s="1298">
        <v>5</v>
      </c>
      <c r="BL62" s="1300">
        <f>SUM(BI62:BK62)</f>
        <v>9</v>
      </c>
      <c r="BM62" s="1298">
        <v>9</v>
      </c>
      <c r="BN62" s="1298">
        <v>1</v>
      </c>
      <c r="BO62" s="1298">
        <v>2</v>
      </c>
      <c r="BP62" s="1300">
        <f>SUM(BM62:BO62)</f>
        <v>12</v>
      </c>
      <c r="BQ62" s="1298">
        <v>6</v>
      </c>
      <c r="BR62" s="1298">
        <v>1</v>
      </c>
      <c r="BS62" s="1298">
        <v>2</v>
      </c>
      <c r="BT62" s="1300">
        <f>SUM(BQ62:BS62)</f>
        <v>9</v>
      </c>
    </row>
    <row r="63" spans="1:72" ht="14.25" customHeight="1" x14ac:dyDescent="0.2">
      <c r="A63" s="5279"/>
      <c r="B63" s="5279"/>
      <c r="C63" s="5631"/>
      <c r="D63" s="1321" t="s">
        <v>85</v>
      </c>
      <c r="E63" s="1297"/>
      <c r="F63" s="1298"/>
      <c r="G63" s="1298"/>
      <c r="H63" s="1318"/>
      <c r="I63" s="1297"/>
      <c r="J63" s="1298"/>
      <c r="K63" s="1298">
        <v>1</v>
      </c>
      <c r="L63" s="1318">
        <f t="shared" si="55"/>
        <v>1</v>
      </c>
      <c r="M63" s="1297"/>
      <c r="N63" s="1298">
        <v>1</v>
      </c>
      <c r="O63" s="1298"/>
      <c r="P63" s="1299">
        <f>SUM(M63:O63)</f>
        <v>1</v>
      </c>
      <c r="Q63" s="1297">
        <v>1</v>
      </c>
      <c r="R63" s="1298">
        <v>3</v>
      </c>
      <c r="S63" s="1298">
        <v>2</v>
      </c>
      <c r="T63" s="1299">
        <f>SUM(Q63:S63)</f>
        <v>6</v>
      </c>
      <c r="U63" s="1297">
        <v>1</v>
      </c>
      <c r="V63" s="1298">
        <v>2</v>
      </c>
      <c r="W63" s="1298">
        <v>12</v>
      </c>
      <c r="X63" s="1299">
        <f t="shared" si="38"/>
        <v>15</v>
      </c>
      <c r="Y63" s="1297">
        <v>2</v>
      </c>
      <c r="Z63" s="1298">
        <v>9</v>
      </c>
      <c r="AA63" s="1298">
        <v>4</v>
      </c>
      <c r="AB63" s="1299">
        <f t="shared" si="39"/>
        <v>15</v>
      </c>
      <c r="AC63" s="1297"/>
      <c r="AD63" s="1298">
        <v>5</v>
      </c>
      <c r="AE63" s="1298">
        <v>2</v>
      </c>
      <c r="AF63" s="1300">
        <f>SUM(AC63:AE63)</f>
        <v>7</v>
      </c>
      <c r="AG63" s="1298">
        <v>1</v>
      </c>
      <c r="AH63" s="1298">
        <v>6</v>
      </c>
      <c r="AI63" s="1298">
        <v>16</v>
      </c>
      <c r="AJ63" s="1300">
        <f t="shared" si="40"/>
        <v>23</v>
      </c>
      <c r="AK63" s="1298">
        <v>7</v>
      </c>
      <c r="AL63" s="1298">
        <v>16</v>
      </c>
      <c r="AM63" s="1298">
        <v>8</v>
      </c>
      <c r="AN63" s="1300">
        <f>SUM(AK63:AM63)</f>
        <v>31</v>
      </c>
      <c r="AO63" s="1298">
        <v>4</v>
      </c>
      <c r="AP63" s="1298">
        <v>4</v>
      </c>
      <c r="AQ63" s="1298">
        <v>2</v>
      </c>
      <c r="AR63" s="1300">
        <f t="shared" si="56"/>
        <v>10</v>
      </c>
      <c r="AS63" s="1298">
        <v>3</v>
      </c>
      <c r="AT63" s="1298">
        <v>5</v>
      </c>
      <c r="AU63" s="1298">
        <v>4</v>
      </c>
      <c r="AV63" s="1300">
        <f t="shared" si="57"/>
        <v>12</v>
      </c>
      <c r="AW63" s="1298"/>
      <c r="AX63" s="1298">
        <v>7</v>
      </c>
      <c r="AY63" s="1298">
        <v>1</v>
      </c>
      <c r="AZ63" s="1300">
        <f t="shared" si="58"/>
        <v>8</v>
      </c>
      <c r="BA63" s="1298">
        <v>11</v>
      </c>
      <c r="BB63" s="1298">
        <v>2</v>
      </c>
      <c r="BC63" s="1298">
        <v>2</v>
      </c>
      <c r="BD63" s="1300">
        <f t="shared" si="59"/>
        <v>15</v>
      </c>
      <c r="BE63" s="1298">
        <v>2</v>
      </c>
      <c r="BF63" s="1298">
        <v>1</v>
      </c>
      <c r="BG63" s="1298">
        <v>1</v>
      </c>
      <c r="BH63" s="1300">
        <f t="shared" si="50"/>
        <v>4</v>
      </c>
      <c r="BI63" s="1298">
        <v>4</v>
      </c>
      <c r="BJ63" s="1298">
        <v>5</v>
      </c>
      <c r="BK63" s="1298">
        <v>2</v>
      </c>
      <c r="BL63" s="1300">
        <f>SUM(BI63:BK63)</f>
        <v>11</v>
      </c>
      <c r="BM63" s="1298">
        <v>8</v>
      </c>
      <c r="BN63" s="1298">
        <v>10</v>
      </c>
      <c r="BO63" s="1298">
        <v>8</v>
      </c>
      <c r="BP63" s="1300">
        <f>SUM(BM63:BO63)</f>
        <v>26</v>
      </c>
      <c r="BQ63" s="1298">
        <v>4</v>
      </c>
      <c r="BR63" s="1298">
        <v>4</v>
      </c>
      <c r="BS63" s="1298">
        <v>1</v>
      </c>
      <c r="BT63" s="1300">
        <f>SUM(BQ63:BS63)</f>
        <v>9</v>
      </c>
    </row>
    <row r="64" spans="1:72" ht="14.25" customHeight="1" x14ac:dyDescent="0.2">
      <c r="A64" s="5279"/>
      <c r="B64" s="5279"/>
      <c r="C64" s="5631"/>
      <c r="D64" s="1321" t="s">
        <v>83</v>
      </c>
      <c r="E64" s="1297"/>
      <c r="F64" s="1298"/>
      <c r="G64" s="1298"/>
      <c r="H64" s="1318"/>
      <c r="I64" s="1297"/>
      <c r="J64" s="1298"/>
      <c r="K64" s="1298">
        <v>1</v>
      </c>
      <c r="L64" s="1318">
        <f t="shared" si="55"/>
        <v>1</v>
      </c>
      <c r="M64" s="1297"/>
      <c r="N64" s="1298">
        <v>4</v>
      </c>
      <c r="O64" s="1298">
        <v>2</v>
      </c>
      <c r="P64" s="1299">
        <f>SUM(M64:O64)</f>
        <v>6</v>
      </c>
      <c r="Q64" s="1297">
        <v>2</v>
      </c>
      <c r="R64" s="1298">
        <v>2</v>
      </c>
      <c r="S64" s="1298">
        <v>1</v>
      </c>
      <c r="T64" s="1299">
        <f>SUM(Q64:S64)</f>
        <v>5</v>
      </c>
      <c r="U64" s="1297"/>
      <c r="V64" s="1298">
        <v>2</v>
      </c>
      <c r="W64" s="1298">
        <v>2</v>
      </c>
      <c r="X64" s="1299">
        <f t="shared" si="38"/>
        <v>4</v>
      </c>
      <c r="Y64" s="1297">
        <v>3</v>
      </c>
      <c r="Z64" s="1298">
        <v>4</v>
      </c>
      <c r="AA64" s="1298">
        <v>4</v>
      </c>
      <c r="AB64" s="1299">
        <f t="shared" si="39"/>
        <v>11</v>
      </c>
      <c r="AC64" s="1297">
        <v>1</v>
      </c>
      <c r="AD64" s="1298"/>
      <c r="AE64" s="1298"/>
      <c r="AF64" s="1300">
        <f>SUM(AC64:AE64)</f>
        <v>1</v>
      </c>
      <c r="AG64" s="1298"/>
      <c r="AH64" s="1298">
        <v>1</v>
      </c>
      <c r="AI64" s="1298">
        <v>5</v>
      </c>
      <c r="AJ64" s="1300">
        <f t="shared" si="40"/>
        <v>6</v>
      </c>
      <c r="AK64" s="1298">
        <v>3</v>
      </c>
      <c r="AL64" s="1298">
        <v>1</v>
      </c>
      <c r="AM64" s="1298">
        <v>1</v>
      </c>
      <c r="AN64" s="1300">
        <f>SUM(AK64:AM64)</f>
        <v>5</v>
      </c>
      <c r="AO64" s="1298">
        <v>6</v>
      </c>
      <c r="AP64" s="1298">
        <v>5</v>
      </c>
      <c r="AQ64" s="1298">
        <v>2</v>
      </c>
      <c r="AR64" s="1300">
        <f t="shared" si="56"/>
        <v>13</v>
      </c>
      <c r="AS64" s="1298">
        <v>2</v>
      </c>
      <c r="AT64" s="1298">
        <v>4</v>
      </c>
      <c r="AU64" s="1298">
        <v>3</v>
      </c>
      <c r="AV64" s="1300">
        <f t="shared" si="57"/>
        <v>9</v>
      </c>
      <c r="AW64" s="1298">
        <v>6</v>
      </c>
      <c r="AX64" s="1298">
        <v>3</v>
      </c>
      <c r="AY64" s="1298">
        <v>3</v>
      </c>
      <c r="AZ64" s="1300">
        <f t="shared" si="58"/>
        <v>12</v>
      </c>
      <c r="BA64" s="1298">
        <v>3</v>
      </c>
      <c r="BB64" s="1298">
        <v>8</v>
      </c>
      <c r="BC64" s="1298">
        <v>6</v>
      </c>
      <c r="BD64" s="1300">
        <f t="shared" si="59"/>
        <v>17</v>
      </c>
      <c r="BE64" s="1298">
        <v>6</v>
      </c>
      <c r="BF64" s="1298">
        <v>6</v>
      </c>
      <c r="BG64" s="1298">
        <v>5</v>
      </c>
      <c r="BH64" s="1300">
        <f t="shared" si="50"/>
        <v>17</v>
      </c>
      <c r="BI64" s="1298">
        <v>10</v>
      </c>
      <c r="BJ64" s="1298">
        <v>9</v>
      </c>
      <c r="BK64" s="1298">
        <v>9</v>
      </c>
      <c r="BL64" s="1300">
        <f>SUM(BI64:BK64)</f>
        <v>28</v>
      </c>
      <c r="BM64" s="1298">
        <v>3</v>
      </c>
      <c r="BN64" s="1298">
        <v>8</v>
      </c>
      <c r="BO64" s="1298">
        <v>14</v>
      </c>
      <c r="BP64" s="1300">
        <f>SUM(BM64:BO64)</f>
        <v>25</v>
      </c>
      <c r="BQ64" s="1298">
        <v>5</v>
      </c>
      <c r="BR64" s="1298">
        <v>9</v>
      </c>
      <c r="BS64" s="1298">
        <v>3</v>
      </c>
      <c r="BT64" s="1300">
        <f>SUM(BQ64:BS64)</f>
        <v>17</v>
      </c>
    </row>
    <row r="65" spans="1:72" ht="14.25" customHeight="1" x14ac:dyDescent="0.2">
      <c r="A65" s="5279"/>
      <c r="B65" s="5279"/>
      <c r="C65" s="5631"/>
      <c r="D65" s="1321" t="s">
        <v>86</v>
      </c>
      <c r="E65" s="1297"/>
      <c r="F65" s="1298"/>
      <c r="G65" s="1298"/>
      <c r="H65" s="1318"/>
      <c r="I65" s="1297"/>
      <c r="J65" s="1298"/>
      <c r="K65" s="1298"/>
      <c r="L65" s="1318"/>
      <c r="M65" s="1297"/>
      <c r="N65" s="1298">
        <v>1</v>
      </c>
      <c r="O65" s="1298">
        <v>2</v>
      </c>
      <c r="P65" s="1299">
        <f>SUM(M65:O65)</f>
        <v>3</v>
      </c>
      <c r="Q65" s="1297"/>
      <c r="R65" s="1298">
        <v>1</v>
      </c>
      <c r="S65" s="1298">
        <v>4</v>
      </c>
      <c r="T65" s="1299">
        <f>SUM(Q65:S65)</f>
        <v>5</v>
      </c>
      <c r="U65" s="1297"/>
      <c r="V65" s="1298">
        <v>2</v>
      </c>
      <c r="W65" s="1298">
        <v>5</v>
      </c>
      <c r="X65" s="1299">
        <f t="shared" si="38"/>
        <v>7</v>
      </c>
      <c r="Y65" s="1297">
        <v>2</v>
      </c>
      <c r="Z65" s="1298">
        <v>3</v>
      </c>
      <c r="AA65" s="1298">
        <v>2</v>
      </c>
      <c r="AB65" s="1299">
        <f t="shared" si="39"/>
        <v>7</v>
      </c>
      <c r="AC65" s="1297">
        <v>2</v>
      </c>
      <c r="AD65" s="1298">
        <v>2</v>
      </c>
      <c r="AE65" s="1298">
        <v>4</v>
      </c>
      <c r="AF65" s="1300">
        <f>SUM(AC65:AE65)</f>
        <v>8</v>
      </c>
      <c r="AG65" s="1298">
        <v>1</v>
      </c>
      <c r="AH65" s="1298">
        <v>3</v>
      </c>
      <c r="AI65" s="1298">
        <v>1</v>
      </c>
      <c r="AJ65" s="1300">
        <f t="shared" si="40"/>
        <v>5</v>
      </c>
      <c r="AK65" s="1298">
        <v>2</v>
      </c>
      <c r="AL65" s="1298"/>
      <c r="AM65" s="1298">
        <v>3</v>
      </c>
      <c r="AN65" s="1300">
        <f>SUM(AK65:AM65)</f>
        <v>5</v>
      </c>
      <c r="AO65" s="1298">
        <v>1</v>
      </c>
      <c r="AP65" s="1298">
        <v>6</v>
      </c>
      <c r="AQ65" s="1298">
        <v>2</v>
      </c>
      <c r="AR65" s="1300">
        <f t="shared" si="56"/>
        <v>9</v>
      </c>
      <c r="AS65" s="1298">
        <v>3</v>
      </c>
      <c r="AT65" s="1298">
        <v>2</v>
      </c>
      <c r="AU65" s="1298">
        <v>3</v>
      </c>
      <c r="AV65" s="1300">
        <f t="shared" si="57"/>
        <v>8</v>
      </c>
      <c r="AW65" s="1298">
        <v>1</v>
      </c>
      <c r="AX65" s="1298">
        <v>6</v>
      </c>
      <c r="AY65" s="1298">
        <v>4</v>
      </c>
      <c r="AZ65" s="1300">
        <f t="shared" si="58"/>
        <v>11</v>
      </c>
      <c r="BA65" s="1298">
        <v>4</v>
      </c>
      <c r="BB65" s="1298">
        <v>3</v>
      </c>
      <c r="BC65" s="1298">
        <v>5</v>
      </c>
      <c r="BD65" s="1300">
        <f t="shared" si="59"/>
        <v>12</v>
      </c>
      <c r="BE65" s="1298">
        <v>1</v>
      </c>
      <c r="BF65" s="1298">
        <v>3</v>
      </c>
      <c r="BG65" s="1298">
        <v>10</v>
      </c>
      <c r="BH65" s="1300">
        <f t="shared" si="50"/>
        <v>14</v>
      </c>
      <c r="BI65" s="1298">
        <v>1</v>
      </c>
      <c r="BJ65" s="1298">
        <v>1</v>
      </c>
      <c r="BK65" s="1298">
        <v>5</v>
      </c>
      <c r="BL65" s="1300">
        <f>SUM(BI65:BK65)</f>
        <v>7</v>
      </c>
      <c r="BM65" s="1298">
        <v>1</v>
      </c>
      <c r="BN65" s="1298">
        <v>2</v>
      </c>
      <c r="BO65" s="1298">
        <v>8</v>
      </c>
      <c r="BP65" s="1300">
        <f>SUM(BM65:BO65)</f>
        <v>11</v>
      </c>
      <c r="BQ65" s="1298">
        <v>1</v>
      </c>
      <c r="BR65" s="1298">
        <v>1</v>
      </c>
      <c r="BS65" s="1298"/>
      <c r="BT65" s="1300">
        <f>SUM(BQ65:BS65)</f>
        <v>2</v>
      </c>
    </row>
    <row r="66" spans="1:72" ht="14.25" customHeight="1" x14ac:dyDescent="0.2">
      <c r="A66" s="5279"/>
      <c r="B66" s="5279"/>
      <c r="C66" s="5631"/>
      <c r="D66" s="1322" t="s">
        <v>143</v>
      </c>
      <c r="E66" s="1297">
        <v>1</v>
      </c>
      <c r="F66" s="1298"/>
      <c r="G66" s="1298"/>
      <c r="H66" s="1318">
        <f>SUM(E66:G66)</f>
        <v>1</v>
      </c>
      <c r="I66" s="1297"/>
      <c r="J66" s="1298"/>
      <c r="K66" s="1298"/>
      <c r="L66" s="1318"/>
      <c r="M66" s="1297"/>
      <c r="N66" s="1298">
        <v>1</v>
      </c>
      <c r="O66" s="1298"/>
      <c r="P66" s="1299">
        <f>SUM(M66:O66)</f>
        <v>1</v>
      </c>
      <c r="Q66" s="1297"/>
      <c r="R66" s="1298"/>
      <c r="S66" s="1298"/>
      <c r="T66" s="1299"/>
      <c r="U66" s="1297"/>
      <c r="V66" s="1298">
        <v>2</v>
      </c>
      <c r="W66" s="1298"/>
      <c r="X66" s="1299">
        <f>SUM(U66:W66)</f>
        <v>2</v>
      </c>
      <c r="Y66" s="1297"/>
      <c r="Z66" s="1298"/>
      <c r="AA66" s="1298">
        <v>1</v>
      </c>
      <c r="AB66" s="1299">
        <f t="shared" ref="AB66:AB83" si="60">SUM(Y66:AA66)</f>
        <v>1</v>
      </c>
      <c r="AC66" s="1297">
        <v>1</v>
      </c>
      <c r="AD66" s="1298">
        <v>4</v>
      </c>
      <c r="AE66" s="1298"/>
      <c r="AF66" s="1300">
        <f>SUM(AC66:AE66)</f>
        <v>5</v>
      </c>
      <c r="AG66" s="1298">
        <v>1</v>
      </c>
      <c r="AH66" s="1298">
        <v>1</v>
      </c>
      <c r="AI66" s="1298"/>
      <c r="AJ66" s="1300">
        <f t="shared" si="40"/>
        <v>2</v>
      </c>
      <c r="AK66" s="1298">
        <v>1</v>
      </c>
      <c r="AL66" s="1298"/>
      <c r="AM66" s="1298"/>
      <c r="AN66" s="1300">
        <f>SUM(AK66:AM66)</f>
        <v>1</v>
      </c>
      <c r="AO66" s="1298"/>
      <c r="AP66" s="1298"/>
      <c r="AQ66" s="1298"/>
      <c r="AR66" s="1300">
        <f t="shared" si="56"/>
        <v>0</v>
      </c>
      <c r="AS66" s="1298"/>
      <c r="AT66" s="1298">
        <v>3</v>
      </c>
      <c r="AU66" s="1298">
        <v>1</v>
      </c>
      <c r="AV66" s="1300">
        <f t="shared" si="57"/>
        <v>4</v>
      </c>
      <c r="AW66" s="1298"/>
      <c r="AX66" s="1298"/>
      <c r="AY66" s="1298">
        <v>1</v>
      </c>
      <c r="AZ66" s="1300">
        <f t="shared" si="58"/>
        <v>1</v>
      </c>
      <c r="BA66" s="1298">
        <v>3</v>
      </c>
      <c r="BB66" s="1298"/>
      <c r="BC66" s="1298">
        <v>1</v>
      </c>
      <c r="BD66" s="1300">
        <f t="shared" si="59"/>
        <v>4</v>
      </c>
      <c r="BE66" s="1298">
        <v>1</v>
      </c>
      <c r="BF66" s="1298"/>
      <c r="BG66" s="1298"/>
      <c r="BH66" s="1300">
        <f>SUM(BE66:BG66)</f>
        <v>1</v>
      </c>
      <c r="BI66" s="1298"/>
      <c r="BJ66" s="1298">
        <v>1</v>
      </c>
      <c r="BK66" s="1298">
        <v>2</v>
      </c>
      <c r="BL66" s="1300">
        <f>SUM(BI66:BK66)</f>
        <v>3</v>
      </c>
      <c r="BM66" s="1298">
        <v>1</v>
      </c>
      <c r="BN66" s="1298"/>
      <c r="BO66" s="1298">
        <v>2</v>
      </c>
      <c r="BP66" s="1300">
        <f>SUM(BM66:BO66)</f>
        <v>3</v>
      </c>
      <c r="BQ66" s="1298"/>
      <c r="BR66" s="1298">
        <v>2</v>
      </c>
      <c r="BS66" s="1298">
        <v>1</v>
      </c>
      <c r="BT66" s="1300">
        <f>SUM(BQ66:BS66)</f>
        <v>3</v>
      </c>
    </row>
    <row r="67" spans="1:72" ht="14.25" customHeight="1" x14ac:dyDescent="0.2">
      <c r="A67" s="5279"/>
      <c r="B67" s="5280"/>
      <c r="C67" s="1364"/>
      <c r="D67" s="1307" t="s">
        <v>160</v>
      </c>
      <c r="E67" s="1308">
        <f t="shared" ref="E67:AJ67" si="61">SUM(E53:E66)</f>
        <v>8</v>
      </c>
      <c r="F67" s="1309">
        <f t="shared" si="61"/>
        <v>7</v>
      </c>
      <c r="G67" s="1309">
        <f t="shared" si="61"/>
        <v>44</v>
      </c>
      <c r="H67" s="1309">
        <f t="shared" si="61"/>
        <v>59</v>
      </c>
      <c r="I67" s="1308">
        <f t="shared" si="61"/>
        <v>5</v>
      </c>
      <c r="J67" s="1309">
        <f t="shared" si="61"/>
        <v>27</v>
      </c>
      <c r="K67" s="1309">
        <f t="shared" si="61"/>
        <v>18</v>
      </c>
      <c r="L67" s="1309">
        <f t="shared" si="61"/>
        <v>50</v>
      </c>
      <c r="M67" s="1308">
        <f t="shared" si="61"/>
        <v>9</v>
      </c>
      <c r="N67" s="1309">
        <f t="shared" si="61"/>
        <v>55</v>
      </c>
      <c r="O67" s="1309">
        <f t="shared" si="61"/>
        <v>24</v>
      </c>
      <c r="P67" s="1309">
        <f t="shared" si="61"/>
        <v>88</v>
      </c>
      <c r="Q67" s="1308">
        <f t="shared" si="61"/>
        <v>18</v>
      </c>
      <c r="R67" s="1309">
        <f t="shared" si="61"/>
        <v>22</v>
      </c>
      <c r="S67" s="1309">
        <f t="shared" si="61"/>
        <v>17</v>
      </c>
      <c r="T67" s="1309">
        <f t="shared" si="61"/>
        <v>57</v>
      </c>
      <c r="U67" s="1308">
        <f t="shared" si="61"/>
        <v>16</v>
      </c>
      <c r="V67" s="1309">
        <f t="shared" si="61"/>
        <v>26</v>
      </c>
      <c r="W67" s="1309">
        <f t="shared" si="61"/>
        <v>40</v>
      </c>
      <c r="X67" s="1309">
        <f t="shared" si="61"/>
        <v>82</v>
      </c>
      <c r="Y67" s="1308">
        <f t="shared" si="61"/>
        <v>22</v>
      </c>
      <c r="Z67" s="1309">
        <f t="shared" si="61"/>
        <v>69</v>
      </c>
      <c r="AA67" s="1309">
        <f t="shared" si="61"/>
        <v>26</v>
      </c>
      <c r="AB67" s="1309">
        <f t="shared" si="61"/>
        <v>117</v>
      </c>
      <c r="AC67" s="1308">
        <f t="shared" si="61"/>
        <v>13</v>
      </c>
      <c r="AD67" s="1309">
        <f t="shared" si="61"/>
        <v>93</v>
      </c>
      <c r="AE67" s="1309">
        <f t="shared" si="61"/>
        <v>18</v>
      </c>
      <c r="AF67" s="1366">
        <f t="shared" si="61"/>
        <v>124</v>
      </c>
      <c r="AG67" s="1309">
        <f t="shared" si="61"/>
        <v>10</v>
      </c>
      <c r="AH67" s="1309">
        <f t="shared" si="61"/>
        <v>53</v>
      </c>
      <c r="AI67" s="1309">
        <f t="shared" si="61"/>
        <v>101</v>
      </c>
      <c r="AJ67" s="1366">
        <f t="shared" si="61"/>
        <v>164</v>
      </c>
      <c r="AK67" s="1309">
        <f t="shared" ref="AK67:BH67" si="62">SUM(AK53:AK66)</f>
        <v>24</v>
      </c>
      <c r="AL67" s="1309">
        <f t="shared" si="62"/>
        <v>59</v>
      </c>
      <c r="AM67" s="1309">
        <f t="shared" si="62"/>
        <v>26</v>
      </c>
      <c r="AN67" s="1366">
        <f t="shared" si="62"/>
        <v>109</v>
      </c>
      <c r="AO67" s="1309">
        <f t="shared" si="62"/>
        <v>80</v>
      </c>
      <c r="AP67" s="1309">
        <f t="shared" si="62"/>
        <v>44</v>
      </c>
      <c r="AQ67" s="1309">
        <f t="shared" si="62"/>
        <v>26</v>
      </c>
      <c r="AR67" s="1366">
        <f t="shared" si="62"/>
        <v>150</v>
      </c>
      <c r="AS67" s="1309">
        <f t="shared" si="62"/>
        <v>30</v>
      </c>
      <c r="AT67" s="1309">
        <f t="shared" si="62"/>
        <v>59</v>
      </c>
      <c r="AU67" s="1309">
        <f t="shared" si="62"/>
        <v>36</v>
      </c>
      <c r="AV67" s="1366">
        <f t="shared" si="62"/>
        <v>125</v>
      </c>
      <c r="AW67" s="1309">
        <f t="shared" si="62"/>
        <v>33</v>
      </c>
      <c r="AX67" s="1309">
        <f t="shared" si="62"/>
        <v>81</v>
      </c>
      <c r="AY67" s="1309">
        <f t="shared" si="62"/>
        <v>26</v>
      </c>
      <c r="AZ67" s="1366">
        <f t="shared" si="62"/>
        <v>140</v>
      </c>
      <c r="BA67" s="1309">
        <f t="shared" si="62"/>
        <v>141</v>
      </c>
      <c r="BB67" s="1309">
        <f t="shared" si="62"/>
        <v>48</v>
      </c>
      <c r="BC67" s="1309">
        <f t="shared" si="62"/>
        <v>77</v>
      </c>
      <c r="BD67" s="1366">
        <f t="shared" si="62"/>
        <v>266</v>
      </c>
      <c r="BE67" s="1309">
        <f t="shared" si="62"/>
        <v>33</v>
      </c>
      <c r="BF67" s="1309">
        <f t="shared" si="62"/>
        <v>84</v>
      </c>
      <c r="BG67" s="1309">
        <f t="shared" si="62"/>
        <v>95</v>
      </c>
      <c r="BH67" s="1366">
        <f t="shared" si="62"/>
        <v>212</v>
      </c>
      <c r="BI67" s="1309">
        <f t="shared" ref="BI67:BP67" si="63">SUM(BI53:BI66)</f>
        <v>64</v>
      </c>
      <c r="BJ67" s="1309">
        <f t="shared" si="63"/>
        <v>38</v>
      </c>
      <c r="BK67" s="1309">
        <f t="shared" si="63"/>
        <v>37</v>
      </c>
      <c r="BL67" s="1366">
        <f t="shared" si="63"/>
        <v>139</v>
      </c>
      <c r="BM67" s="1309">
        <f t="shared" si="63"/>
        <v>33</v>
      </c>
      <c r="BN67" s="1309">
        <f t="shared" si="63"/>
        <v>72</v>
      </c>
      <c r="BO67" s="1309">
        <f t="shared" si="63"/>
        <v>110</v>
      </c>
      <c r="BP67" s="1366">
        <f t="shared" si="63"/>
        <v>215</v>
      </c>
      <c r="BQ67" s="1309">
        <f t="shared" ref="BQ67:BT67" si="64">SUM(BQ53:BQ66)</f>
        <v>28</v>
      </c>
      <c r="BR67" s="1309">
        <f t="shared" si="64"/>
        <v>34</v>
      </c>
      <c r="BS67" s="1309">
        <f t="shared" si="64"/>
        <v>20</v>
      </c>
      <c r="BT67" s="1366">
        <f t="shared" si="64"/>
        <v>82</v>
      </c>
    </row>
    <row r="68" spans="1:72" ht="12.75" customHeight="1" x14ac:dyDescent="0.2">
      <c r="A68" s="5279"/>
      <c r="B68" s="5278" t="s">
        <v>11</v>
      </c>
      <c r="C68" s="5630" t="s">
        <v>528</v>
      </c>
      <c r="D68" s="1367" t="s">
        <v>56</v>
      </c>
      <c r="E68" s="1311"/>
      <c r="F68" s="1312"/>
      <c r="G68" s="1312">
        <v>1</v>
      </c>
      <c r="H68" s="1292">
        <f>SUM(G68)</f>
        <v>1</v>
      </c>
      <c r="I68" s="1311">
        <v>2</v>
      </c>
      <c r="J68" s="1312"/>
      <c r="K68" s="1312"/>
      <c r="L68" s="1292">
        <f>SUM(I68:K68)</f>
        <v>2</v>
      </c>
      <c r="M68" s="1311"/>
      <c r="N68" s="1312"/>
      <c r="O68" s="1312">
        <v>1</v>
      </c>
      <c r="P68" s="1292">
        <f>SUM(M68:O68)</f>
        <v>1</v>
      </c>
      <c r="Q68" s="1311"/>
      <c r="R68" s="1312">
        <v>1</v>
      </c>
      <c r="S68" s="1312"/>
      <c r="T68" s="1292">
        <f>SUM(R68:S68)</f>
        <v>1</v>
      </c>
      <c r="U68" s="1311"/>
      <c r="V68" s="1312">
        <v>6</v>
      </c>
      <c r="W68" s="1312">
        <v>1</v>
      </c>
      <c r="X68" s="1292">
        <f t="shared" ref="X68:X73" si="65">SUM(U68:W68)</f>
        <v>7</v>
      </c>
      <c r="Y68" s="1311">
        <v>1</v>
      </c>
      <c r="Z68" s="1312">
        <v>2</v>
      </c>
      <c r="AA68" s="1312">
        <v>3</v>
      </c>
      <c r="AB68" s="1292">
        <f t="shared" si="60"/>
        <v>6</v>
      </c>
      <c r="AC68" s="1311"/>
      <c r="AD68" s="1312"/>
      <c r="AE68" s="1312">
        <v>1</v>
      </c>
      <c r="AF68" s="1295">
        <f>SUM(AC68:AE68)</f>
        <v>1</v>
      </c>
      <c r="AG68" s="1312"/>
      <c r="AH68" s="1312">
        <v>3</v>
      </c>
      <c r="AI68" s="1312">
        <v>5</v>
      </c>
      <c r="AJ68" s="1295">
        <f>SUM(AG68:AI68)</f>
        <v>8</v>
      </c>
      <c r="AK68" s="1312">
        <v>4</v>
      </c>
      <c r="AL68" s="1312">
        <v>6</v>
      </c>
      <c r="AM68" s="1312">
        <v>4</v>
      </c>
      <c r="AN68" s="1295">
        <f>SUM(AK68:AM68)</f>
        <v>14</v>
      </c>
      <c r="AO68" s="1312">
        <v>4</v>
      </c>
      <c r="AP68" s="1312">
        <v>2</v>
      </c>
      <c r="AQ68" s="1312">
        <v>5</v>
      </c>
      <c r="AR68" s="1295">
        <f t="shared" si="56"/>
        <v>11</v>
      </c>
      <c r="AS68" s="1312">
        <v>5</v>
      </c>
      <c r="AT68" s="1312">
        <v>11</v>
      </c>
      <c r="AU68" s="1312">
        <v>3</v>
      </c>
      <c r="AV68" s="1295">
        <f t="shared" si="57"/>
        <v>19</v>
      </c>
      <c r="AW68" s="1312">
        <v>1</v>
      </c>
      <c r="AX68" s="1312">
        <v>9</v>
      </c>
      <c r="AY68" s="1312">
        <v>8</v>
      </c>
      <c r="AZ68" s="1295">
        <f t="shared" si="58"/>
        <v>18</v>
      </c>
      <c r="BA68" s="1312">
        <v>6</v>
      </c>
      <c r="BB68" s="1312">
        <v>7</v>
      </c>
      <c r="BC68" s="1312">
        <v>7</v>
      </c>
      <c r="BD68" s="1295">
        <f t="shared" si="59"/>
        <v>20</v>
      </c>
      <c r="BE68" s="1312">
        <v>2</v>
      </c>
      <c r="BF68" s="1312">
        <v>7</v>
      </c>
      <c r="BG68" s="1312">
        <v>6</v>
      </c>
      <c r="BH68" s="1319">
        <f t="shared" ref="BH68:BH76" si="66">SUM(BE68:BG68)</f>
        <v>15</v>
      </c>
      <c r="BI68" s="1312">
        <v>6</v>
      </c>
      <c r="BJ68" s="1312">
        <v>8</v>
      </c>
      <c r="BK68" s="1312">
        <v>12</v>
      </c>
      <c r="BL68" s="1319">
        <f t="shared" ref="BL68:BL73" si="67">SUM(BI68:BK68)</f>
        <v>26</v>
      </c>
      <c r="BM68" s="1312"/>
      <c r="BN68" s="1312">
        <v>4</v>
      </c>
      <c r="BO68" s="1312">
        <v>2</v>
      </c>
      <c r="BP68" s="1319">
        <f t="shared" ref="BP68:BP75" si="68">SUM(BM68:BO68)</f>
        <v>6</v>
      </c>
      <c r="BQ68" s="1312">
        <v>3</v>
      </c>
      <c r="BR68" s="1312">
        <v>4</v>
      </c>
      <c r="BS68" s="1312">
        <v>6</v>
      </c>
      <c r="BT68" s="1319">
        <f t="shared" ref="BT68:BT73" si="69">SUM(BQ68:BS68)</f>
        <v>13</v>
      </c>
    </row>
    <row r="69" spans="1:72" ht="12.75" customHeight="1" x14ac:dyDescent="0.2">
      <c r="A69" s="5279"/>
      <c r="B69" s="5279"/>
      <c r="C69" s="5631"/>
      <c r="D69" s="1368" t="s">
        <v>57</v>
      </c>
      <c r="E69" s="1297"/>
      <c r="F69" s="1298"/>
      <c r="G69" s="1298"/>
      <c r="H69" s="1299"/>
      <c r="I69" s="1297"/>
      <c r="J69" s="1298"/>
      <c r="K69" s="1298"/>
      <c r="L69" s="1299"/>
      <c r="M69" s="1297"/>
      <c r="N69" s="1298">
        <v>4</v>
      </c>
      <c r="O69" s="1298">
        <v>4</v>
      </c>
      <c r="P69" s="1299">
        <f>SUM(M69:O69)</f>
        <v>8</v>
      </c>
      <c r="Q69" s="1297"/>
      <c r="R69" s="1298"/>
      <c r="S69" s="1298"/>
      <c r="T69" s="1299"/>
      <c r="U69" s="1297">
        <v>14</v>
      </c>
      <c r="V69" s="1298"/>
      <c r="W69" s="1298"/>
      <c r="X69" s="1299">
        <f t="shared" si="65"/>
        <v>14</v>
      </c>
      <c r="Y69" s="1297"/>
      <c r="Z69" s="1298">
        <v>5</v>
      </c>
      <c r="AA69" s="1298">
        <v>3</v>
      </c>
      <c r="AB69" s="1299">
        <f>SUM(Y69:AA69)</f>
        <v>8</v>
      </c>
      <c r="AC69" s="1297">
        <v>3</v>
      </c>
      <c r="AD69" s="1298">
        <v>9</v>
      </c>
      <c r="AE69" s="1298">
        <v>3</v>
      </c>
      <c r="AF69" s="1300">
        <f>SUM(AC69:AE69)</f>
        <v>15</v>
      </c>
      <c r="AG69" s="1298"/>
      <c r="AH69" s="1298">
        <v>3</v>
      </c>
      <c r="AI69" s="1298"/>
      <c r="AJ69" s="1300">
        <f>SUM(AG69:AI69)</f>
        <v>3</v>
      </c>
      <c r="AK69" s="1298"/>
      <c r="AL69" s="1298">
        <v>2</v>
      </c>
      <c r="AM69" s="1298">
        <v>6</v>
      </c>
      <c r="AN69" s="1300">
        <f>SUM(AK69:AM69)</f>
        <v>8</v>
      </c>
      <c r="AO69" s="1298">
        <v>1</v>
      </c>
      <c r="AP69" s="1298">
        <v>4</v>
      </c>
      <c r="AQ69" s="1298"/>
      <c r="AR69" s="1300">
        <f>SUM(AO69:AQ69)</f>
        <v>5</v>
      </c>
      <c r="AS69" s="1298">
        <v>2</v>
      </c>
      <c r="AT69" s="1298">
        <v>4</v>
      </c>
      <c r="AU69" s="1298"/>
      <c r="AV69" s="1300">
        <f>SUM(AS69:AU69)</f>
        <v>6</v>
      </c>
      <c r="AW69" s="1298">
        <v>2</v>
      </c>
      <c r="AX69" s="1298">
        <v>2</v>
      </c>
      <c r="AY69" s="1298"/>
      <c r="AZ69" s="1300">
        <f>SUM(AW69:AY69)</f>
        <v>4</v>
      </c>
      <c r="BA69" s="1298">
        <v>1</v>
      </c>
      <c r="BB69" s="1298">
        <v>1</v>
      </c>
      <c r="BC69" s="1298"/>
      <c r="BD69" s="1300">
        <f>SUM(BA69:BC69)</f>
        <v>2</v>
      </c>
      <c r="BE69" s="1298">
        <v>1</v>
      </c>
      <c r="BF69" s="1298">
        <v>1</v>
      </c>
      <c r="BG69" s="1298"/>
      <c r="BH69" s="1300">
        <f>SUM(BE69:BG69)</f>
        <v>2</v>
      </c>
      <c r="BI69" s="1298">
        <v>1</v>
      </c>
      <c r="BJ69" s="1298">
        <v>1</v>
      </c>
      <c r="BK69" s="1298">
        <v>1</v>
      </c>
      <c r="BL69" s="1300">
        <f t="shared" si="67"/>
        <v>3</v>
      </c>
      <c r="BM69" s="1298">
        <v>1</v>
      </c>
      <c r="BN69" s="1298">
        <v>2</v>
      </c>
      <c r="BO69" s="1298">
        <v>3</v>
      </c>
      <c r="BP69" s="1300">
        <f t="shared" si="68"/>
        <v>6</v>
      </c>
      <c r="BQ69" s="1298">
        <v>2</v>
      </c>
      <c r="BR69" s="1298">
        <v>1</v>
      </c>
      <c r="BS69" s="1298">
        <v>4</v>
      </c>
      <c r="BT69" s="1300">
        <f t="shared" si="69"/>
        <v>7</v>
      </c>
    </row>
    <row r="70" spans="1:72" ht="12.75" customHeight="1" x14ac:dyDescent="0.2">
      <c r="A70" s="5279"/>
      <c r="B70" s="5279"/>
      <c r="C70" s="5630" t="s">
        <v>527</v>
      </c>
      <c r="D70" s="1327" t="s">
        <v>384</v>
      </c>
      <c r="E70" s="1297">
        <v>1</v>
      </c>
      <c r="F70" s="1298">
        <v>6</v>
      </c>
      <c r="G70" s="1298">
        <v>4</v>
      </c>
      <c r="H70" s="1299">
        <f>SUM(E70:G70)</f>
        <v>11</v>
      </c>
      <c r="I70" s="1297">
        <v>2</v>
      </c>
      <c r="J70" s="1298">
        <v>7</v>
      </c>
      <c r="K70" s="1298">
        <v>2</v>
      </c>
      <c r="L70" s="1299">
        <f>SUM(I70:K70)</f>
        <v>11</v>
      </c>
      <c r="M70" s="1297"/>
      <c r="N70" s="1298">
        <v>3</v>
      </c>
      <c r="O70" s="1298">
        <v>10</v>
      </c>
      <c r="P70" s="1299">
        <f>SUM(M70:O70)</f>
        <v>13</v>
      </c>
      <c r="Q70" s="1297">
        <v>1</v>
      </c>
      <c r="R70" s="1298">
        <v>4</v>
      </c>
      <c r="S70" s="1298">
        <v>2</v>
      </c>
      <c r="T70" s="1299">
        <f>SUM(Q70:S70)</f>
        <v>7</v>
      </c>
      <c r="U70" s="1297">
        <v>2</v>
      </c>
      <c r="V70" s="1298">
        <v>5</v>
      </c>
      <c r="W70" s="1298">
        <v>4</v>
      </c>
      <c r="X70" s="1299">
        <f t="shared" si="65"/>
        <v>11</v>
      </c>
      <c r="Y70" s="1297"/>
      <c r="Z70" s="1298">
        <v>16</v>
      </c>
      <c r="AA70" s="1298">
        <v>5</v>
      </c>
      <c r="AB70" s="1299">
        <f t="shared" si="60"/>
        <v>21</v>
      </c>
      <c r="AC70" s="1297">
        <v>3</v>
      </c>
      <c r="AD70" s="1298">
        <v>2</v>
      </c>
      <c r="AE70" s="1298">
        <v>8</v>
      </c>
      <c r="AF70" s="1300">
        <f>SUM(AC70:AE70)</f>
        <v>13</v>
      </c>
      <c r="AG70" s="1298">
        <v>3</v>
      </c>
      <c r="AH70" s="1298">
        <v>10</v>
      </c>
      <c r="AI70" s="1298">
        <v>2</v>
      </c>
      <c r="AJ70" s="1300">
        <f>SUM(AG70:AI70)</f>
        <v>15</v>
      </c>
      <c r="AK70" s="1298">
        <v>8</v>
      </c>
      <c r="AL70" s="1298">
        <v>1</v>
      </c>
      <c r="AM70" s="1298">
        <v>2</v>
      </c>
      <c r="AN70" s="1300">
        <f>SUM(AK70:AM70)</f>
        <v>11</v>
      </c>
      <c r="AO70" s="1298">
        <v>9</v>
      </c>
      <c r="AP70" s="1298">
        <v>2</v>
      </c>
      <c r="AQ70" s="1298">
        <v>8</v>
      </c>
      <c r="AR70" s="1300">
        <f>SUM(AO70:AQ70)</f>
        <v>19</v>
      </c>
      <c r="AS70" s="1298">
        <v>5</v>
      </c>
      <c r="AT70" s="1298">
        <v>2</v>
      </c>
      <c r="AU70" s="1298">
        <v>9</v>
      </c>
      <c r="AV70" s="1300">
        <f>SUM(AS70:AU70)</f>
        <v>16</v>
      </c>
      <c r="AW70" s="1298">
        <v>15</v>
      </c>
      <c r="AX70" s="1298">
        <v>9</v>
      </c>
      <c r="AY70" s="1298">
        <v>3</v>
      </c>
      <c r="AZ70" s="1300">
        <f>SUM(AW70:AY70)</f>
        <v>27</v>
      </c>
      <c r="BA70" s="1298">
        <v>2</v>
      </c>
      <c r="BB70" s="1298">
        <v>10</v>
      </c>
      <c r="BC70" s="1298">
        <v>4</v>
      </c>
      <c r="BD70" s="1300">
        <f>SUM(BA70:BC70)</f>
        <v>16</v>
      </c>
      <c r="BE70" s="1298">
        <v>5</v>
      </c>
      <c r="BF70" s="1298">
        <v>7</v>
      </c>
      <c r="BG70" s="1298">
        <v>3</v>
      </c>
      <c r="BH70" s="1300">
        <f t="shared" si="66"/>
        <v>15</v>
      </c>
      <c r="BI70" s="1298">
        <v>3</v>
      </c>
      <c r="BJ70" s="1298">
        <v>9</v>
      </c>
      <c r="BK70" s="1298">
        <v>10</v>
      </c>
      <c r="BL70" s="1300">
        <f t="shared" si="67"/>
        <v>22</v>
      </c>
      <c r="BM70" s="1298">
        <v>2</v>
      </c>
      <c r="BN70" s="1298">
        <v>5</v>
      </c>
      <c r="BO70" s="1298">
        <v>6</v>
      </c>
      <c r="BP70" s="1300">
        <f t="shared" si="68"/>
        <v>13</v>
      </c>
      <c r="BQ70" s="1298">
        <v>1</v>
      </c>
      <c r="BR70" s="1298">
        <v>15</v>
      </c>
      <c r="BS70" s="1298">
        <v>4</v>
      </c>
      <c r="BT70" s="1300">
        <f t="shared" si="69"/>
        <v>20</v>
      </c>
    </row>
    <row r="71" spans="1:72" ht="12.75" customHeight="1" x14ac:dyDescent="0.2">
      <c r="A71" s="5279"/>
      <c r="B71" s="5279"/>
      <c r="C71" s="5631"/>
      <c r="D71" s="1368" t="s">
        <v>386</v>
      </c>
      <c r="E71" s="1297"/>
      <c r="F71" s="1298">
        <v>1</v>
      </c>
      <c r="G71" s="1298"/>
      <c r="H71" s="1299">
        <f>SUM(E71:G71)</f>
        <v>1</v>
      </c>
      <c r="I71" s="1297">
        <v>1</v>
      </c>
      <c r="J71" s="1298">
        <v>2</v>
      </c>
      <c r="K71" s="1298">
        <v>1</v>
      </c>
      <c r="L71" s="1299">
        <f>SUM(I71:K71)</f>
        <v>4</v>
      </c>
      <c r="M71" s="1297"/>
      <c r="N71" s="1298"/>
      <c r="O71" s="1298">
        <v>4</v>
      </c>
      <c r="P71" s="1299">
        <f>SUM(M71:O71)</f>
        <v>4</v>
      </c>
      <c r="Q71" s="1297">
        <v>1</v>
      </c>
      <c r="R71" s="1298">
        <v>2</v>
      </c>
      <c r="S71" s="1298">
        <v>4</v>
      </c>
      <c r="T71" s="1299">
        <f>SUM(Q71:S71)</f>
        <v>7</v>
      </c>
      <c r="U71" s="1297"/>
      <c r="V71" s="1298"/>
      <c r="W71" s="1298">
        <v>2</v>
      </c>
      <c r="X71" s="1299">
        <f t="shared" si="65"/>
        <v>2</v>
      </c>
      <c r="Y71" s="1297"/>
      <c r="Z71" s="1298"/>
      <c r="AA71" s="1298">
        <v>1</v>
      </c>
      <c r="AB71" s="1299">
        <f>SUM(Y71:AA71)</f>
        <v>1</v>
      </c>
      <c r="AC71" s="1297"/>
      <c r="AD71" s="1298"/>
      <c r="AE71" s="1298"/>
      <c r="AF71" s="1300"/>
      <c r="AG71" s="1298"/>
      <c r="AH71" s="1298"/>
      <c r="AI71" s="1298"/>
      <c r="AJ71" s="1300"/>
      <c r="AK71" s="1298"/>
      <c r="AL71" s="1298"/>
      <c r="AM71" s="1298"/>
      <c r="AN71" s="1300"/>
      <c r="AO71" s="1298"/>
      <c r="AP71" s="1298"/>
      <c r="AQ71" s="1298"/>
      <c r="AR71" s="1300"/>
      <c r="AS71" s="1298">
        <v>1</v>
      </c>
      <c r="AT71" s="1298"/>
      <c r="AU71" s="1298">
        <v>1</v>
      </c>
      <c r="AV71" s="1300">
        <f>SUM(AS71:AU71)</f>
        <v>2</v>
      </c>
      <c r="AW71" s="1298">
        <v>2</v>
      </c>
      <c r="AX71" s="1298"/>
      <c r="AY71" s="1298"/>
      <c r="AZ71" s="1300">
        <f>SUM(AW71:AY71)</f>
        <v>2</v>
      </c>
      <c r="BA71" s="1298"/>
      <c r="BB71" s="1298"/>
      <c r="BC71" s="1298"/>
      <c r="BD71" s="1300">
        <f>SUM(BA71:BC71)</f>
        <v>0</v>
      </c>
      <c r="BE71" s="1298"/>
      <c r="BF71" s="1298"/>
      <c r="BG71" s="1298"/>
      <c r="BH71" s="1300">
        <f>SUM(BE71:BG71)</f>
        <v>0</v>
      </c>
      <c r="BI71" s="1298"/>
      <c r="BJ71" s="1298"/>
      <c r="BK71" s="1298"/>
      <c r="BL71" s="1300">
        <f t="shared" si="67"/>
        <v>0</v>
      </c>
      <c r="BM71" s="1298">
        <v>2</v>
      </c>
      <c r="BN71" s="1298">
        <v>4</v>
      </c>
      <c r="BO71" s="1298">
        <v>6</v>
      </c>
      <c r="BP71" s="1300">
        <f t="shared" si="68"/>
        <v>12</v>
      </c>
      <c r="BQ71" s="1298">
        <v>1</v>
      </c>
      <c r="BR71" s="1298">
        <v>2</v>
      </c>
      <c r="BS71" s="1298">
        <v>3</v>
      </c>
      <c r="BT71" s="1300">
        <f t="shared" si="69"/>
        <v>6</v>
      </c>
    </row>
    <row r="72" spans="1:72" ht="12.75" customHeight="1" x14ac:dyDescent="0.2">
      <c r="A72" s="5279"/>
      <c r="B72" s="5279"/>
      <c r="C72" s="5631"/>
      <c r="D72" s="1327" t="s">
        <v>387</v>
      </c>
      <c r="E72" s="1297"/>
      <c r="F72" s="1298">
        <v>3</v>
      </c>
      <c r="G72" s="1298">
        <v>6</v>
      </c>
      <c r="H72" s="1299">
        <f>SUM(E72:G72)</f>
        <v>9</v>
      </c>
      <c r="I72" s="1297">
        <v>2</v>
      </c>
      <c r="J72" s="1298">
        <v>1</v>
      </c>
      <c r="K72" s="1298"/>
      <c r="L72" s="1299">
        <f>SUM(I72:K72)</f>
        <v>3</v>
      </c>
      <c r="M72" s="1297">
        <v>3</v>
      </c>
      <c r="N72" s="1298">
        <v>6</v>
      </c>
      <c r="O72" s="1298">
        <v>4</v>
      </c>
      <c r="P72" s="1299">
        <f>SUM(M72:O72)</f>
        <v>13</v>
      </c>
      <c r="Q72" s="1297">
        <v>3</v>
      </c>
      <c r="R72" s="1298">
        <v>7</v>
      </c>
      <c r="S72" s="1298">
        <v>3</v>
      </c>
      <c r="T72" s="1299">
        <f>SUM(Q72:S72)</f>
        <v>13</v>
      </c>
      <c r="U72" s="1297">
        <v>1</v>
      </c>
      <c r="V72" s="1298">
        <v>1</v>
      </c>
      <c r="W72" s="1298">
        <v>6</v>
      </c>
      <c r="X72" s="1299">
        <f t="shared" si="65"/>
        <v>8</v>
      </c>
      <c r="Y72" s="1297"/>
      <c r="Z72" s="1298">
        <v>3</v>
      </c>
      <c r="AA72" s="1298">
        <v>3</v>
      </c>
      <c r="AB72" s="1299">
        <f>SUM(Y72:AA72)</f>
        <v>6</v>
      </c>
      <c r="AC72" s="1297">
        <v>1</v>
      </c>
      <c r="AD72" s="1298">
        <v>3</v>
      </c>
      <c r="AE72" s="1298">
        <v>4</v>
      </c>
      <c r="AF72" s="1300">
        <f>SUM(AC72:AE72)</f>
        <v>8</v>
      </c>
      <c r="AG72" s="1298">
        <v>2</v>
      </c>
      <c r="AH72" s="1298">
        <v>3</v>
      </c>
      <c r="AI72" s="1298">
        <v>7</v>
      </c>
      <c r="AJ72" s="1300">
        <f>SUM(AG72:AI72)</f>
        <v>12</v>
      </c>
      <c r="AK72" s="1298">
        <v>1</v>
      </c>
      <c r="AL72" s="1298">
        <v>3</v>
      </c>
      <c r="AM72" s="1298">
        <v>4</v>
      </c>
      <c r="AN72" s="1300">
        <f>SUM(AK72:AM72)</f>
        <v>8</v>
      </c>
      <c r="AO72" s="1298">
        <v>3</v>
      </c>
      <c r="AP72" s="1298">
        <v>2</v>
      </c>
      <c r="AQ72" s="1298">
        <v>2</v>
      </c>
      <c r="AR72" s="1300">
        <f>SUM(AO72:AQ72)</f>
        <v>7</v>
      </c>
      <c r="AS72" s="1298">
        <v>2</v>
      </c>
      <c r="AT72" s="1298">
        <v>2</v>
      </c>
      <c r="AU72" s="1298">
        <v>5</v>
      </c>
      <c r="AV72" s="1300">
        <f>SUM(AS72:AU72)</f>
        <v>9</v>
      </c>
      <c r="AW72" s="1298">
        <v>6</v>
      </c>
      <c r="AX72" s="1298">
        <v>5</v>
      </c>
      <c r="AY72" s="1298">
        <v>2</v>
      </c>
      <c r="AZ72" s="1300">
        <f>SUM(AW72:AY72)</f>
        <v>13</v>
      </c>
      <c r="BA72" s="1298">
        <v>1</v>
      </c>
      <c r="BB72" s="1298">
        <v>6</v>
      </c>
      <c r="BC72" s="1298">
        <v>11</v>
      </c>
      <c r="BD72" s="1300">
        <f>SUM(BA72:BC72)</f>
        <v>18</v>
      </c>
      <c r="BE72" s="1298">
        <v>7</v>
      </c>
      <c r="BF72" s="1298">
        <v>4</v>
      </c>
      <c r="BG72" s="1298">
        <v>12</v>
      </c>
      <c r="BH72" s="1300">
        <f>SUM(BE72:BG72)</f>
        <v>23</v>
      </c>
      <c r="BI72" s="1298">
        <v>3</v>
      </c>
      <c r="BJ72" s="1298">
        <v>6</v>
      </c>
      <c r="BK72" s="1298">
        <v>9</v>
      </c>
      <c r="BL72" s="1300">
        <f t="shared" si="67"/>
        <v>18</v>
      </c>
      <c r="BM72" s="1298">
        <v>7</v>
      </c>
      <c r="BN72" s="1298">
        <v>6</v>
      </c>
      <c r="BO72" s="1298">
        <v>6</v>
      </c>
      <c r="BP72" s="1300">
        <f t="shared" si="68"/>
        <v>19</v>
      </c>
      <c r="BQ72" s="1298">
        <v>4</v>
      </c>
      <c r="BR72" s="1298">
        <v>7</v>
      </c>
      <c r="BS72" s="1298">
        <v>3</v>
      </c>
      <c r="BT72" s="1300">
        <f t="shared" si="69"/>
        <v>14</v>
      </c>
    </row>
    <row r="73" spans="1:72" ht="12.75" customHeight="1" x14ac:dyDescent="0.2">
      <c r="A73" s="5279"/>
      <c r="B73" s="5279"/>
      <c r="C73" s="5631"/>
      <c r="D73" s="1368" t="s">
        <v>87</v>
      </c>
      <c r="E73" s="1297"/>
      <c r="F73" s="1298"/>
      <c r="G73" s="1298"/>
      <c r="H73" s="1299"/>
      <c r="I73" s="1297"/>
      <c r="J73" s="1298"/>
      <c r="K73" s="1298"/>
      <c r="L73" s="1299"/>
      <c r="M73" s="1297"/>
      <c r="N73" s="1298"/>
      <c r="O73" s="1298"/>
      <c r="P73" s="1299"/>
      <c r="Q73" s="1297"/>
      <c r="R73" s="1298"/>
      <c r="S73" s="1298"/>
      <c r="T73" s="1299"/>
      <c r="U73" s="1297"/>
      <c r="V73" s="1298"/>
      <c r="W73" s="1298">
        <v>2</v>
      </c>
      <c r="X73" s="1299">
        <f t="shared" si="65"/>
        <v>2</v>
      </c>
      <c r="Y73" s="1297">
        <v>4</v>
      </c>
      <c r="Z73" s="1298">
        <v>6</v>
      </c>
      <c r="AA73" s="1298">
        <v>4</v>
      </c>
      <c r="AB73" s="1299">
        <f>SUM(Y73:AA73)</f>
        <v>14</v>
      </c>
      <c r="AC73" s="1297">
        <v>4</v>
      </c>
      <c r="AD73" s="1298">
        <v>2</v>
      </c>
      <c r="AE73" s="1298">
        <v>3</v>
      </c>
      <c r="AF73" s="1300">
        <f>SUM(AC73:AE73)</f>
        <v>9</v>
      </c>
      <c r="AG73" s="1298">
        <v>3</v>
      </c>
      <c r="AH73" s="1298"/>
      <c r="AI73" s="1298">
        <v>5</v>
      </c>
      <c r="AJ73" s="1300">
        <f>SUM(AG73:AI73)</f>
        <v>8</v>
      </c>
      <c r="AK73" s="1298">
        <v>2</v>
      </c>
      <c r="AL73" s="1298">
        <v>2</v>
      </c>
      <c r="AM73" s="1298">
        <v>1</v>
      </c>
      <c r="AN73" s="1300">
        <f>SUM(AK73:AM73)</f>
        <v>5</v>
      </c>
      <c r="AO73" s="1298">
        <v>2</v>
      </c>
      <c r="AP73" s="1298">
        <v>3</v>
      </c>
      <c r="AQ73" s="1298">
        <v>3</v>
      </c>
      <c r="AR73" s="1300">
        <f>SUM(AO73:AQ73)</f>
        <v>8</v>
      </c>
      <c r="AS73" s="1298">
        <v>1</v>
      </c>
      <c r="AT73" s="1298">
        <v>2</v>
      </c>
      <c r="AU73" s="1298">
        <v>4</v>
      </c>
      <c r="AV73" s="1300">
        <f>SUM(AS73:AU73)</f>
        <v>7</v>
      </c>
      <c r="AW73" s="1298">
        <v>4</v>
      </c>
      <c r="AX73" s="1298">
        <v>2</v>
      </c>
      <c r="AY73" s="1298">
        <v>4</v>
      </c>
      <c r="AZ73" s="1300">
        <f>SUM(AW73:AY73)</f>
        <v>10</v>
      </c>
      <c r="BA73" s="1298">
        <v>5</v>
      </c>
      <c r="BB73" s="1298">
        <v>4</v>
      </c>
      <c r="BC73" s="1298">
        <v>4</v>
      </c>
      <c r="BD73" s="1300">
        <f>SUM(BA73:BC73)</f>
        <v>13</v>
      </c>
      <c r="BE73" s="1298">
        <v>6</v>
      </c>
      <c r="BF73" s="1298">
        <v>1</v>
      </c>
      <c r="BG73" s="1298"/>
      <c r="BH73" s="1300">
        <f>SUM(BE73:BG73)</f>
        <v>7</v>
      </c>
      <c r="BI73" s="1298">
        <v>4</v>
      </c>
      <c r="BJ73" s="1298">
        <v>1</v>
      </c>
      <c r="BK73" s="1298">
        <v>7</v>
      </c>
      <c r="BL73" s="1300">
        <f t="shared" si="67"/>
        <v>12</v>
      </c>
      <c r="BM73" s="1298">
        <v>9</v>
      </c>
      <c r="BN73" s="1298">
        <v>7</v>
      </c>
      <c r="BO73" s="1298">
        <v>3</v>
      </c>
      <c r="BP73" s="1300">
        <f t="shared" si="68"/>
        <v>19</v>
      </c>
      <c r="BQ73" s="1298">
        <v>2</v>
      </c>
      <c r="BR73" s="1298">
        <v>8</v>
      </c>
      <c r="BS73" s="1298">
        <v>8</v>
      </c>
      <c r="BT73" s="1300">
        <f t="shared" si="69"/>
        <v>18</v>
      </c>
    </row>
    <row r="74" spans="1:72" ht="12.75" customHeight="1" x14ac:dyDescent="0.2">
      <c r="A74" s="5279"/>
      <c r="B74" s="5279"/>
      <c r="C74" s="5632"/>
      <c r="D74" s="1324" t="s">
        <v>556</v>
      </c>
      <c r="E74" s="1303"/>
      <c r="F74" s="1304"/>
      <c r="G74" s="1304">
        <v>1</v>
      </c>
      <c r="H74" s="1299">
        <f>SUM(E74:G74)</f>
        <v>1</v>
      </c>
      <c r="I74" s="1303"/>
      <c r="J74" s="1304"/>
      <c r="K74" s="1304"/>
      <c r="L74" s="1305"/>
      <c r="M74" s="1303"/>
      <c r="N74" s="1304"/>
      <c r="O74" s="1304"/>
      <c r="P74" s="1305"/>
      <c r="Q74" s="1303"/>
      <c r="R74" s="1304"/>
      <c r="S74" s="1304"/>
      <c r="T74" s="1305"/>
      <c r="U74" s="1303"/>
      <c r="V74" s="1304"/>
      <c r="W74" s="1304"/>
      <c r="X74" s="1305"/>
      <c r="Y74" s="1303"/>
      <c r="Z74" s="1304"/>
      <c r="AA74" s="1304"/>
      <c r="AB74" s="1305"/>
      <c r="AC74" s="1303"/>
      <c r="AD74" s="1304"/>
      <c r="AE74" s="1304"/>
      <c r="AF74" s="1306"/>
      <c r="AG74" s="1304"/>
      <c r="AH74" s="1304"/>
      <c r="AI74" s="1304"/>
      <c r="AJ74" s="1306"/>
      <c r="AK74" s="1304"/>
      <c r="AL74" s="1304"/>
      <c r="AM74" s="1304"/>
      <c r="AN74" s="1306"/>
      <c r="AO74" s="1304"/>
      <c r="AP74" s="1304"/>
      <c r="AQ74" s="1304"/>
      <c r="AR74" s="1306"/>
      <c r="AS74" s="1304"/>
      <c r="AT74" s="1304"/>
      <c r="AU74" s="1304"/>
      <c r="AV74" s="1306"/>
      <c r="AW74" s="1304"/>
      <c r="AX74" s="1304"/>
      <c r="AY74" s="1304"/>
      <c r="AZ74" s="1306"/>
      <c r="BA74" s="1304"/>
      <c r="BB74" s="1304"/>
      <c r="BC74" s="1304"/>
      <c r="BD74" s="1306"/>
      <c r="BE74" s="1304"/>
      <c r="BF74" s="1304"/>
      <c r="BG74" s="1304"/>
      <c r="BH74" s="1306"/>
      <c r="BI74" s="1304"/>
      <c r="BJ74" s="1304"/>
      <c r="BK74" s="1304"/>
      <c r="BL74" s="1306"/>
      <c r="BM74" s="1304"/>
      <c r="BN74" s="1304"/>
      <c r="BO74" s="1304"/>
      <c r="BP74" s="1300"/>
      <c r="BQ74" s="1304"/>
      <c r="BR74" s="1304"/>
      <c r="BS74" s="1304"/>
      <c r="BT74" s="1300"/>
    </row>
    <row r="75" spans="1:72" ht="12.75" customHeight="1" x14ac:dyDescent="0.2">
      <c r="A75" s="5279"/>
      <c r="B75" s="5279"/>
      <c r="C75" s="5630" t="s">
        <v>526</v>
      </c>
      <c r="D75" s="1327" t="s">
        <v>385</v>
      </c>
      <c r="E75" s="1297"/>
      <c r="F75" s="1298"/>
      <c r="G75" s="1298"/>
      <c r="H75" s="1299"/>
      <c r="I75" s="1297"/>
      <c r="J75" s="1298"/>
      <c r="K75" s="1298">
        <v>1</v>
      </c>
      <c r="L75" s="1299">
        <f>SUM(I75:K75)</f>
        <v>1</v>
      </c>
      <c r="M75" s="1297"/>
      <c r="N75" s="1298"/>
      <c r="O75" s="1298">
        <v>1</v>
      </c>
      <c r="P75" s="1299">
        <f>SUM(M75:O75)</f>
        <v>1</v>
      </c>
      <c r="Q75" s="1297"/>
      <c r="R75" s="1298">
        <v>2</v>
      </c>
      <c r="S75" s="1298">
        <v>1</v>
      </c>
      <c r="T75" s="1299">
        <f>SUM(Q75:S75)</f>
        <v>3</v>
      </c>
      <c r="U75" s="1297">
        <v>2</v>
      </c>
      <c r="V75" s="1298">
        <v>2</v>
      </c>
      <c r="W75" s="1298"/>
      <c r="X75" s="1299">
        <f>SUM(U75:W75)</f>
        <v>4</v>
      </c>
      <c r="Y75" s="1297">
        <v>2</v>
      </c>
      <c r="Z75" s="1298">
        <v>3</v>
      </c>
      <c r="AA75" s="1298">
        <v>2</v>
      </c>
      <c r="AB75" s="1299">
        <f t="shared" si="60"/>
        <v>7</v>
      </c>
      <c r="AC75" s="1297">
        <v>2</v>
      </c>
      <c r="AD75" s="1298">
        <v>3</v>
      </c>
      <c r="AE75" s="1298">
        <v>3</v>
      </c>
      <c r="AF75" s="1300">
        <f>SUM(AC75:AE75)</f>
        <v>8</v>
      </c>
      <c r="AG75" s="1298">
        <v>2</v>
      </c>
      <c r="AH75" s="1298">
        <v>3</v>
      </c>
      <c r="AI75" s="1298">
        <v>3</v>
      </c>
      <c r="AJ75" s="1300">
        <f>SUM(AG75:AI75)</f>
        <v>8</v>
      </c>
      <c r="AK75" s="1298">
        <v>2</v>
      </c>
      <c r="AL75" s="1298">
        <v>2</v>
      </c>
      <c r="AM75" s="1298">
        <v>4</v>
      </c>
      <c r="AN75" s="1300">
        <f>SUM(AK75:AM75)</f>
        <v>8</v>
      </c>
      <c r="AO75" s="1298">
        <v>4</v>
      </c>
      <c r="AP75" s="1298">
        <v>3</v>
      </c>
      <c r="AQ75" s="1298">
        <v>2</v>
      </c>
      <c r="AR75" s="1300">
        <f>SUM(AO75:AQ75)</f>
        <v>9</v>
      </c>
      <c r="AS75" s="1298">
        <v>9</v>
      </c>
      <c r="AT75" s="1298">
        <v>8</v>
      </c>
      <c r="AU75" s="1298">
        <v>3</v>
      </c>
      <c r="AV75" s="1300">
        <f>SUM(AS75:AU75)</f>
        <v>20</v>
      </c>
      <c r="AW75" s="1298">
        <v>7</v>
      </c>
      <c r="AX75" s="1298">
        <v>6</v>
      </c>
      <c r="AY75" s="1298">
        <v>3</v>
      </c>
      <c r="AZ75" s="1300">
        <f>SUM(AW75:AY75)</f>
        <v>16</v>
      </c>
      <c r="BA75" s="1298">
        <v>10</v>
      </c>
      <c r="BB75" s="1298">
        <v>4</v>
      </c>
      <c r="BC75" s="1298">
        <v>3</v>
      </c>
      <c r="BD75" s="1300">
        <f>SUM(BA75:BC75)</f>
        <v>17</v>
      </c>
      <c r="BE75" s="1298">
        <v>3</v>
      </c>
      <c r="BF75" s="1298">
        <v>4</v>
      </c>
      <c r="BG75" s="1298">
        <v>8</v>
      </c>
      <c r="BH75" s="1300">
        <f t="shared" si="66"/>
        <v>15</v>
      </c>
      <c r="BI75" s="1298">
        <v>6</v>
      </c>
      <c r="BJ75" s="1298">
        <v>5</v>
      </c>
      <c r="BK75" s="1298">
        <v>2</v>
      </c>
      <c r="BL75" s="1300">
        <f>SUM(BI75:BK75)</f>
        <v>13</v>
      </c>
      <c r="BM75" s="1298">
        <v>3</v>
      </c>
      <c r="BN75" s="1298">
        <v>11</v>
      </c>
      <c r="BO75" s="1298">
        <v>8</v>
      </c>
      <c r="BP75" s="1300">
        <f t="shared" si="68"/>
        <v>22</v>
      </c>
      <c r="BQ75" s="1298">
        <v>4</v>
      </c>
      <c r="BR75" s="1298">
        <v>7</v>
      </c>
      <c r="BS75" s="1298">
        <v>3</v>
      </c>
      <c r="BT75" s="1300">
        <f t="shared" ref="BT75" si="70">SUM(BQ75:BS75)</f>
        <v>14</v>
      </c>
    </row>
    <row r="76" spans="1:72" ht="12.75" customHeight="1" x14ac:dyDescent="0.2">
      <c r="A76" s="5279"/>
      <c r="B76" s="5279"/>
      <c r="C76" s="5631"/>
      <c r="D76" s="1327" t="s">
        <v>388</v>
      </c>
      <c r="E76" s="1297"/>
      <c r="F76" s="1298"/>
      <c r="G76" s="1298"/>
      <c r="H76" s="1299"/>
      <c r="I76" s="1297"/>
      <c r="J76" s="1298"/>
      <c r="K76" s="1298"/>
      <c r="L76" s="1299"/>
      <c r="M76" s="1297"/>
      <c r="N76" s="1298"/>
      <c r="O76" s="1298"/>
      <c r="P76" s="1299"/>
      <c r="Q76" s="1297"/>
      <c r="R76" s="1298"/>
      <c r="S76" s="1298"/>
      <c r="T76" s="1299"/>
      <c r="U76" s="1297"/>
      <c r="V76" s="1298"/>
      <c r="W76" s="1298"/>
      <c r="X76" s="1299"/>
      <c r="Y76" s="1297"/>
      <c r="Z76" s="1298">
        <v>2</v>
      </c>
      <c r="AA76" s="1298">
        <v>1</v>
      </c>
      <c r="AB76" s="1299">
        <f t="shared" si="60"/>
        <v>3</v>
      </c>
      <c r="AC76" s="1297">
        <v>1</v>
      </c>
      <c r="AD76" s="1298">
        <v>1</v>
      </c>
      <c r="AE76" s="1298">
        <v>1</v>
      </c>
      <c r="AF76" s="1300">
        <f t="shared" ref="AF76:AF89" si="71">SUM(AC76:AE76)</f>
        <v>3</v>
      </c>
      <c r="AG76" s="1298"/>
      <c r="AH76" s="1298">
        <v>1</v>
      </c>
      <c r="AI76" s="1298"/>
      <c r="AJ76" s="1300">
        <f t="shared" ref="AJ76:AJ88" si="72">SUM(AG76:AI76)</f>
        <v>1</v>
      </c>
      <c r="AK76" s="1298">
        <v>1</v>
      </c>
      <c r="AL76" s="1298"/>
      <c r="AM76" s="1298">
        <v>1</v>
      </c>
      <c r="AN76" s="1300">
        <f t="shared" ref="AN76:AN97" si="73">SUM(AK76:AM76)</f>
        <v>2</v>
      </c>
      <c r="AO76" s="1298">
        <v>1</v>
      </c>
      <c r="AP76" s="1298">
        <v>2</v>
      </c>
      <c r="AQ76" s="1298">
        <v>2</v>
      </c>
      <c r="AR76" s="1300">
        <f t="shared" ref="AR76:AR113" si="74">SUM(AO76:AQ76)</f>
        <v>5</v>
      </c>
      <c r="AS76" s="1298">
        <v>4</v>
      </c>
      <c r="AT76" s="1298">
        <v>2</v>
      </c>
      <c r="AU76" s="1298">
        <v>1</v>
      </c>
      <c r="AV76" s="1300">
        <f t="shared" ref="AV76:AV113" si="75">SUM(AS76:AU76)</f>
        <v>7</v>
      </c>
      <c r="AW76" s="1298">
        <v>1</v>
      </c>
      <c r="AX76" s="1298">
        <v>2</v>
      </c>
      <c r="AY76" s="1298">
        <v>1</v>
      </c>
      <c r="AZ76" s="1300">
        <f t="shared" ref="AZ76:AZ113" si="76">SUM(AW76:AY76)</f>
        <v>4</v>
      </c>
      <c r="BA76" s="1298"/>
      <c r="BB76" s="1298"/>
      <c r="BC76" s="1298">
        <v>4</v>
      </c>
      <c r="BD76" s="1300">
        <f t="shared" ref="BD76:BD113" si="77">SUM(BA76:BC76)</f>
        <v>4</v>
      </c>
      <c r="BE76" s="1298">
        <v>2</v>
      </c>
      <c r="BF76" s="1298">
        <v>2</v>
      </c>
      <c r="BG76" s="1298">
        <v>5</v>
      </c>
      <c r="BH76" s="1300">
        <f t="shared" si="66"/>
        <v>9</v>
      </c>
      <c r="BI76" s="1298">
        <v>2</v>
      </c>
      <c r="BJ76" s="1298">
        <v>3</v>
      </c>
      <c r="BK76" s="1298">
        <v>4</v>
      </c>
      <c r="BL76" s="1300">
        <f>SUM(BI76:BK76)</f>
        <v>9</v>
      </c>
      <c r="BM76" s="1298">
        <v>1</v>
      </c>
      <c r="BN76" s="1298">
        <v>5</v>
      </c>
      <c r="BO76" s="1298">
        <v>2</v>
      </c>
      <c r="BP76" s="1300">
        <f>SUM(BM76:BO76)</f>
        <v>8</v>
      </c>
      <c r="BQ76" s="1298">
        <v>4</v>
      </c>
      <c r="BR76" s="1298">
        <v>4</v>
      </c>
      <c r="BS76" s="1298">
        <v>6</v>
      </c>
      <c r="BT76" s="1300">
        <f>SUM(BQ76:BS76)</f>
        <v>14</v>
      </c>
    </row>
    <row r="77" spans="1:72" ht="12.75" customHeight="1" x14ac:dyDescent="0.2">
      <c r="A77" s="5279"/>
      <c r="B77" s="5279"/>
      <c r="C77" s="5631"/>
      <c r="D77" s="1369" t="s">
        <v>361</v>
      </c>
      <c r="E77" s="1303">
        <v>2</v>
      </c>
      <c r="F77" s="1304">
        <v>2</v>
      </c>
      <c r="G77" s="1304">
        <v>1</v>
      </c>
      <c r="H77" s="1305">
        <f>SUM(E77:G77)</f>
        <v>5</v>
      </c>
      <c r="I77" s="1303">
        <v>4</v>
      </c>
      <c r="J77" s="1304">
        <v>3</v>
      </c>
      <c r="K77" s="1304">
        <v>2</v>
      </c>
      <c r="L77" s="1305">
        <f>SUM(I77:K77)</f>
        <v>9</v>
      </c>
      <c r="M77" s="1303">
        <v>4</v>
      </c>
      <c r="N77" s="1304">
        <v>3</v>
      </c>
      <c r="O77" s="1304">
        <v>2</v>
      </c>
      <c r="P77" s="1305">
        <f>SUM(M77:O77)</f>
        <v>9</v>
      </c>
      <c r="Q77" s="1303">
        <v>6</v>
      </c>
      <c r="R77" s="1304">
        <v>3</v>
      </c>
      <c r="S77" s="1304">
        <v>1</v>
      </c>
      <c r="T77" s="1305">
        <f>SUM(Q77:S77)</f>
        <v>10</v>
      </c>
      <c r="U77" s="1303">
        <v>3</v>
      </c>
      <c r="V77" s="1304">
        <v>5</v>
      </c>
      <c r="W77" s="1304">
        <v>6</v>
      </c>
      <c r="X77" s="1305">
        <f>SUM(U77:W77)</f>
        <v>14</v>
      </c>
      <c r="Y77" s="1303">
        <v>6</v>
      </c>
      <c r="Z77" s="1304">
        <v>7</v>
      </c>
      <c r="AA77" s="1304">
        <v>3</v>
      </c>
      <c r="AB77" s="1305">
        <f t="shared" si="60"/>
        <v>16</v>
      </c>
      <c r="AC77" s="1303">
        <v>10</v>
      </c>
      <c r="AD77" s="1304">
        <v>2</v>
      </c>
      <c r="AE77" s="1304">
        <v>1</v>
      </c>
      <c r="AF77" s="1306">
        <f t="shared" si="71"/>
        <v>13</v>
      </c>
      <c r="AG77" s="1304">
        <v>5</v>
      </c>
      <c r="AH77" s="1304">
        <v>3</v>
      </c>
      <c r="AI77" s="1304"/>
      <c r="AJ77" s="1306">
        <f t="shared" si="72"/>
        <v>8</v>
      </c>
      <c r="AK77" s="1304">
        <v>2</v>
      </c>
      <c r="AL77" s="1304">
        <v>6</v>
      </c>
      <c r="AM77" s="1304">
        <v>7</v>
      </c>
      <c r="AN77" s="1306">
        <f t="shared" si="73"/>
        <v>15</v>
      </c>
      <c r="AO77" s="1304">
        <v>4</v>
      </c>
      <c r="AP77" s="1304">
        <v>2</v>
      </c>
      <c r="AQ77" s="1304">
        <v>5</v>
      </c>
      <c r="AR77" s="1306">
        <f t="shared" si="74"/>
        <v>11</v>
      </c>
      <c r="AS77" s="1304">
        <v>1</v>
      </c>
      <c r="AT77" s="1304">
        <v>4</v>
      </c>
      <c r="AU77" s="1304">
        <v>10</v>
      </c>
      <c r="AV77" s="1306">
        <f t="shared" si="75"/>
        <v>15</v>
      </c>
      <c r="AW77" s="1304"/>
      <c r="AX77" s="1304">
        <v>3</v>
      </c>
      <c r="AY77" s="1304">
        <v>5</v>
      </c>
      <c r="AZ77" s="1306">
        <f t="shared" si="76"/>
        <v>8</v>
      </c>
      <c r="BA77" s="1304">
        <v>7</v>
      </c>
      <c r="BB77" s="1304">
        <v>2</v>
      </c>
      <c r="BC77" s="1304"/>
      <c r="BD77" s="1306">
        <f t="shared" si="77"/>
        <v>9</v>
      </c>
      <c r="BE77" s="1304">
        <v>3</v>
      </c>
      <c r="BF77" s="1304">
        <v>2</v>
      </c>
      <c r="BG77" s="1304">
        <v>3</v>
      </c>
      <c r="BH77" s="1306">
        <f>SUM(BE77:BG77)</f>
        <v>8</v>
      </c>
      <c r="BI77" s="1304">
        <v>2</v>
      </c>
      <c r="BJ77" s="1304">
        <v>7</v>
      </c>
      <c r="BK77" s="1304">
        <v>2</v>
      </c>
      <c r="BL77" s="1306">
        <f>SUM(BI77:BK77)</f>
        <v>11</v>
      </c>
      <c r="BM77" s="1304">
        <v>1</v>
      </c>
      <c r="BN77" s="1304">
        <v>6</v>
      </c>
      <c r="BO77" s="1304">
        <v>1</v>
      </c>
      <c r="BP77" s="1306">
        <f>SUM(BM77:BO77)</f>
        <v>8</v>
      </c>
      <c r="BQ77" s="1304">
        <v>8</v>
      </c>
      <c r="BR77" s="1304">
        <v>1</v>
      </c>
      <c r="BS77" s="1304">
        <v>3</v>
      </c>
      <c r="BT77" s="1306">
        <f>SUM(BQ77:BS77)</f>
        <v>12</v>
      </c>
    </row>
    <row r="78" spans="1:72" ht="12.75" customHeight="1" x14ac:dyDescent="0.2">
      <c r="A78" s="5279"/>
      <c r="B78" s="5280"/>
      <c r="C78" s="1371"/>
      <c r="D78" s="1370" t="s">
        <v>160</v>
      </c>
      <c r="E78" s="1308">
        <f t="shared" ref="E78:AJ78" si="78">SUM(E68:E77)</f>
        <v>3</v>
      </c>
      <c r="F78" s="1309">
        <f t="shared" si="78"/>
        <v>12</v>
      </c>
      <c r="G78" s="1309">
        <f t="shared" si="78"/>
        <v>13</v>
      </c>
      <c r="H78" s="1309">
        <f t="shared" si="78"/>
        <v>28</v>
      </c>
      <c r="I78" s="1308">
        <f t="shared" si="78"/>
        <v>11</v>
      </c>
      <c r="J78" s="1309">
        <f t="shared" si="78"/>
        <v>13</v>
      </c>
      <c r="K78" s="1309">
        <f t="shared" si="78"/>
        <v>6</v>
      </c>
      <c r="L78" s="1309">
        <f t="shared" si="78"/>
        <v>30</v>
      </c>
      <c r="M78" s="1308">
        <f t="shared" si="78"/>
        <v>7</v>
      </c>
      <c r="N78" s="1309">
        <f t="shared" si="78"/>
        <v>16</v>
      </c>
      <c r="O78" s="1309">
        <f t="shared" si="78"/>
        <v>26</v>
      </c>
      <c r="P78" s="1309">
        <f t="shared" si="78"/>
        <v>49</v>
      </c>
      <c r="Q78" s="1308">
        <f t="shared" si="78"/>
        <v>11</v>
      </c>
      <c r="R78" s="1309">
        <f t="shared" si="78"/>
        <v>19</v>
      </c>
      <c r="S78" s="1309">
        <f t="shared" si="78"/>
        <v>11</v>
      </c>
      <c r="T78" s="1309">
        <f t="shared" si="78"/>
        <v>41</v>
      </c>
      <c r="U78" s="1308">
        <f t="shared" si="78"/>
        <v>22</v>
      </c>
      <c r="V78" s="1309">
        <f t="shared" si="78"/>
        <v>19</v>
      </c>
      <c r="W78" s="1309">
        <f t="shared" si="78"/>
        <v>21</v>
      </c>
      <c r="X78" s="1309">
        <f t="shared" si="78"/>
        <v>62</v>
      </c>
      <c r="Y78" s="1308">
        <f t="shared" si="78"/>
        <v>13</v>
      </c>
      <c r="Z78" s="1309">
        <f t="shared" si="78"/>
        <v>44</v>
      </c>
      <c r="AA78" s="1309">
        <f t="shared" si="78"/>
        <v>25</v>
      </c>
      <c r="AB78" s="1309">
        <f t="shared" si="78"/>
        <v>82</v>
      </c>
      <c r="AC78" s="1308">
        <f t="shared" si="78"/>
        <v>24</v>
      </c>
      <c r="AD78" s="1309">
        <f t="shared" si="78"/>
        <v>22</v>
      </c>
      <c r="AE78" s="1309">
        <f t="shared" si="78"/>
        <v>24</v>
      </c>
      <c r="AF78" s="1366">
        <f t="shared" si="78"/>
        <v>70</v>
      </c>
      <c r="AG78" s="1309">
        <f t="shared" si="78"/>
        <v>15</v>
      </c>
      <c r="AH78" s="1309">
        <f t="shared" si="78"/>
        <v>26</v>
      </c>
      <c r="AI78" s="1309">
        <f t="shared" si="78"/>
        <v>22</v>
      </c>
      <c r="AJ78" s="1366">
        <f t="shared" si="78"/>
        <v>63</v>
      </c>
      <c r="AK78" s="1309">
        <f t="shared" ref="AK78:BH78" si="79">SUM(AK68:AK77)</f>
        <v>20</v>
      </c>
      <c r="AL78" s="1309">
        <f t="shared" si="79"/>
        <v>22</v>
      </c>
      <c r="AM78" s="1309">
        <f t="shared" si="79"/>
        <v>29</v>
      </c>
      <c r="AN78" s="1366">
        <f t="shared" si="79"/>
        <v>71</v>
      </c>
      <c r="AO78" s="1309">
        <f t="shared" si="79"/>
        <v>28</v>
      </c>
      <c r="AP78" s="1309">
        <f t="shared" si="79"/>
        <v>20</v>
      </c>
      <c r="AQ78" s="1309">
        <f t="shared" si="79"/>
        <v>27</v>
      </c>
      <c r="AR78" s="1366">
        <f t="shared" si="79"/>
        <v>75</v>
      </c>
      <c r="AS78" s="1309">
        <f t="shared" si="79"/>
        <v>30</v>
      </c>
      <c r="AT78" s="1309">
        <f t="shared" si="79"/>
        <v>35</v>
      </c>
      <c r="AU78" s="1309">
        <f t="shared" si="79"/>
        <v>36</v>
      </c>
      <c r="AV78" s="1366">
        <f t="shared" si="79"/>
        <v>101</v>
      </c>
      <c r="AW78" s="1309">
        <f t="shared" si="79"/>
        <v>38</v>
      </c>
      <c r="AX78" s="1309">
        <f t="shared" si="79"/>
        <v>38</v>
      </c>
      <c r="AY78" s="1309">
        <f t="shared" si="79"/>
        <v>26</v>
      </c>
      <c r="AZ78" s="1366">
        <f t="shared" si="79"/>
        <v>102</v>
      </c>
      <c r="BA78" s="1309">
        <f t="shared" si="79"/>
        <v>32</v>
      </c>
      <c r="BB78" s="1309">
        <f t="shared" si="79"/>
        <v>34</v>
      </c>
      <c r="BC78" s="1309">
        <f t="shared" si="79"/>
        <v>33</v>
      </c>
      <c r="BD78" s="1366">
        <f t="shared" si="79"/>
        <v>99</v>
      </c>
      <c r="BE78" s="1309">
        <f t="shared" si="79"/>
        <v>29</v>
      </c>
      <c r="BF78" s="1309">
        <f t="shared" si="79"/>
        <v>28</v>
      </c>
      <c r="BG78" s="1309">
        <f t="shared" si="79"/>
        <v>37</v>
      </c>
      <c r="BH78" s="1366">
        <f t="shared" si="79"/>
        <v>94</v>
      </c>
      <c r="BI78" s="1309">
        <f t="shared" ref="BI78:BP78" si="80">SUM(BI68:BI77)</f>
        <v>27</v>
      </c>
      <c r="BJ78" s="1309">
        <f t="shared" si="80"/>
        <v>40</v>
      </c>
      <c r="BK78" s="1309">
        <f t="shared" si="80"/>
        <v>47</v>
      </c>
      <c r="BL78" s="1366">
        <f t="shared" si="80"/>
        <v>114</v>
      </c>
      <c r="BM78" s="1309">
        <f t="shared" si="80"/>
        <v>26</v>
      </c>
      <c r="BN78" s="1309">
        <f t="shared" si="80"/>
        <v>50</v>
      </c>
      <c r="BO78" s="1309">
        <f t="shared" si="80"/>
        <v>37</v>
      </c>
      <c r="BP78" s="1366">
        <f t="shared" si="80"/>
        <v>113</v>
      </c>
      <c r="BQ78" s="1309">
        <f t="shared" ref="BQ78:BT78" si="81">SUM(BQ68:BQ77)</f>
        <v>29</v>
      </c>
      <c r="BR78" s="1309">
        <f t="shared" si="81"/>
        <v>49</v>
      </c>
      <c r="BS78" s="1309">
        <f t="shared" si="81"/>
        <v>40</v>
      </c>
      <c r="BT78" s="1366">
        <f t="shared" si="81"/>
        <v>118</v>
      </c>
    </row>
    <row r="79" spans="1:72" ht="12.75" customHeight="1" x14ac:dyDescent="0.2">
      <c r="A79" s="5280"/>
      <c r="B79" s="2701"/>
      <c r="C79" s="2702"/>
      <c r="D79" s="2703" t="s">
        <v>530</v>
      </c>
      <c r="E79" s="2687">
        <f t="shared" ref="E79:AJ79" si="82">SUM(E52,E67,E78)</f>
        <v>20</v>
      </c>
      <c r="F79" s="2688">
        <f t="shared" si="82"/>
        <v>46</v>
      </c>
      <c r="G79" s="2688">
        <f t="shared" si="82"/>
        <v>80</v>
      </c>
      <c r="H79" s="2688">
        <f t="shared" si="82"/>
        <v>146</v>
      </c>
      <c r="I79" s="2687">
        <f t="shared" si="82"/>
        <v>26</v>
      </c>
      <c r="J79" s="2688">
        <f t="shared" si="82"/>
        <v>60</v>
      </c>
      <c r="K79" s="2688">
        <f t="shared" si="82"/>
        <v>45</v>
      </c>
      <c r="L79" s="2688">
        <f t="shared" si="82"/>
        <v>131</v>
      </c>
      <c r="M79" s="2687">
        <f t="shared" si="82"/>
        <v>30</v>
      </c>
      <c r="N79" s="2688">
        <f t="shared" si="82"/>
        <v>109</v>
      </c>
      <c r="O79" s="2688">
        <f t="shared" si="82"/>
        <v>62</v>
      </c>
      <c r="P79" s="2688">
        <f t="shared" si="82"/>
        <v>201</v>
      </c>
      <c r="Q79" s="2687">
        <f t="shared" si="82"/>
        <v>44</v>
      </c>
      <c r="R79" s="2688">
        <f t="shared" si="82"/>
        <v>63</v>
      </c>
      <c r="S79" s="2688">
        <f t="shared" si="82"/>
        <v>43</v>
      </c>
      <c r="T79" s="2688">
        <f t="shared" si="82"/>
        <v>150</v>
      </c>
      <c r="U79" s="2687">
        <f t="shared" si="82"/>
        <v>52</v>
      </c>
      <c r="V79" s="2688">
        <f t="shared" si="82"/>
        <v>67</v>
      </c>
      <c r="W79" s="2688">
        <f t="shared" si="82"/>
        <v>77</v>
      </c>
      <c r="X79" s="2688">
        <f t="shared" si="82"/>
        <v>196</v>
      </c>
      <c r="Y79" s="2687">
        <f t="shared" si="82"/>
        <v>50</v>
      </c>
      <c r="Z79" s="2688">
        <f t="shared" si="82"/>
        <v>132</v>
      </c>
      <c r="AA79" s="2688">
        <f t="shared" si="82"/>
        <v>73</v>
      </c>
      <c r="AB79" s="2688">
        <f t="shared" si="82"/>
        <v>255</v>
      </c>
      <c r="AC79" s="2687">
        <f t="shared" si="82"/>
        <v>54</v>
      </c>
      <c r="AD79" s="2688">
        <f t="shared" si="82"/>
        <v>131</v>
      </c>
      <c r="AE79" s="2688">
        <f t="shared" si="82"/>
        <v>49</v>
      </c>
      <c r="AF79" s="2689">
        <f t="shared" si="82"/>
        <v>234</v>
      </c>
      <c r="AG79" s="2688">
        <f t="shared" si="82"/>
        <v>37</v>
      </c>
      <c r="AH79" s="2688">
        <f t="shared" si="82"/>
        <v>86</v>
      </c>
      <c r="AI79" s="2688">
        <f t="shared" si="82"/>
        <v>154</v>
      </c>
      <c r="AJ79" s="2689">
        <f t="shared" si="82"/>
        <v>277</v>
      </c>
      <c r="AK79" s="2688">
        <f t="shared" ref="AK79:BH79" si="83">SUM(AK52,AK67,AK78)</f>
        <v>53</v>
      </c>
      <c r="AL79" s="2688">
        <f t="shared" si="83"/>
        <v>109</v>
      </c>
      <c r="AM79" s="2688">
        <f t="shared" si="83"/>
        <v>76</v>
      </c>
      <c r="AN79" s="2689">
        <f t="shared" si="83"/>
        <v>238</v>
      </c>
      <c r="AO79" s="2688">
        <f t="shared" si="83"/>
        <v>128</v>
      </c>
      <c r="AP79" s="2688">
        <f t="shared" si="83"/>
        <v>81</v>
      </c>
      <c r="AQ79" s="2688">
        <f t="shared" si="83"/>
        <v>74</v>
      </c>
      <c r="AR79" s="2689">
        <f t="shared" si="83"/>
        <v>283</v>
      </c>
      <c r="AS79" s="2688">
        <f t="shared" si="83"/>
        <v>83</v>
      </c>
      <c r="AT79" s="2688">
        <f t="shared" si="83"/>
        <v>125</v>
      </c>
      <c r="AU79" s="2688">
        <f t="shared" si="83"/>
        <v>96</v>
      </c>
      <c r="AV79" s="2689">
        <f t="shared" si="83"/>
        <v>304</v>
      </c>
      <c r="AW79" s="2688">
        <f t="shared" si="83"/>
        <v>101</v>
      </c>
      <c r="AX79" s="2688">
        <f t="shared" si="83"/>
        <v>157</v>
      </c>
      <c r="AY79" s="2688">
        <f t="shared" si="83"/>
        <v>77</v>
      </c>
      <c r="AZ79" s="2689">
        <f t="shared" si="83"/>
        <v>335</v>
      </c>
      <c r="BA79" s="2688">
        <f t="shared" si="83"/>
        <v>195</v>
      </c>
      <c r="BB79" s="2688">
        <f t="shared" si="83"/>
        <v>104</v>
      </c>
      <c r="BC79" s="2688">
        <f t="shared" si="83"/>
        <v>138</v>
      </c>
      <c r="BD79" s="2689">
        <f t="shared" si="83"/>
        <v>437</v>
      </c>
      <c r="BE79" s="2688">
        <f t="shared" si="83"/>
        <v>78</v>
      </c>
      <c r="BF79" s="2688">
        <f t="shared" si="83"/>
        <v>137</v>
      </c>
      <c r="BG79" s="2688">
        <f t="shared" si="83"/>
        <v>162</v>
      </c>
      <c r="BH79" s="2689">
        <f t="shared" si="83"/>
        <v>377</v>
      </c>
      <c r="BI79" s="2688">
        <f t="shared" ref="BI79:BP79" si="84">SUM(BI52,BI67,BI78)</f>
        <v>120</v>
      </c>
      <c r="BJ79" s="2688">
        <f t="shared" si="84"/>
        <v>110</v>
      </c>
      <c r="BK79" s="2688">
        <f t="shared" si="84"/>
        <v>111</v>
      </c>
      <c r="BL79" s="2689">
        <f t="shared" si="84"/>
        <v>341</v>
      </c>
      <c r="BM79" s="2688">
        <f t="shared" si="84"/>
        <v>95</v>
      </c>
      <c r="BN79" s="2688">
        <f t="shared" si="84"/>
        <v>163</v>
      </c>
      <c r="BO79" s="2688">
        <f t="shared" si="84"/>
        <v>179</v>
      </c>
      <c r="BP79" s="2689">
        <f t="shared" si="84"/>
        <v>437</v>
      </c>
      <c r="BQ79" s="2688">
        <f t="shared" ref="BQ79:BT79" si="85">SUM(BQ52,BQ67,BQ78)</f>
        <v>81</v>
      </c>
      <c r="BR79" s="2688">
        <f t="shared" si="85"/>
        <v>110</v>
      </c>
      <c r="BS79" s="2688">
        <f t="shared" si="85"/>
        <v>91</v>
      </c>
      <c r="BT79" s="2689">
        <f t="shared" si="85"/>
        <v>282</v>
      </c>
    </row>
    <row r="80" spans="1:72" ht="12.75" customHeight="1" x14ac:dyDescent="0.2">
      <c r="A80" s="5287" t="s">
        <v>448</v>
      </c>
      <c r="B80" s="5640" t="s">
        <v>6</v>
      </c>
      <c r="C80" s="5630" t="s">
        <v>528</v>
      </c>
      <c r="D80" s="1325" t="s">
        <v>58</v>
      </c>
      <c r="E80" s="1316"/>
      <c r="F80" s="1317"/>
      <c r="G80" s="1317"/>
      <c r="H80" s="1318"/>
      <c r="I80" s="1316">
        <v>1</v>
      </c>
      <c r="J80" s="1317"/>
      <c r="K80" s="1317">
        <v>4</v>
      </c>
      <c r="L80" s="1318">
        <f>SUM(I80:K80)</f>
        <v>5</v>
      </c>
      <c r="M80" s="1316">
        <v>9</v>
      </c>
      <c r="N80" s="1317"/>
      <c r="O80" s="1317">
        <v>27</v>
      </c>
      <c r="P80" s="1318">
        <f>SUM(M80:O80)</f>
        <v>36</v>
      </c>
      <c r="Q80" s="1316">
        <v>3</v>
      </c>
      <c r="R80" s="1317">
        <v>12</v>
      </c>
      <c r="S80" s="1317"/>
      <c r="T80" s="1318">
        <f>SUM(Q80:S80)</f>
        <v>15</v>
      </c>
      <c r="U80" s="1316"/>
      <c r="V80" s="1317">
        <v>1</v>
      </c>
      <c r="W80" s="1317">
        <v>12</v>
      </c>
      <c r="X80" s="1318">
        <f>SUM(U80:W80)</f>
        <v>13</v>
      </c>
      <c r="Y80" s="1316">
        <v>1</v>
      </c>
      <c r="Z80" s="1317"/>
      <c r="AA80" s="1317">
        <v>1</v>
      </c>
      <c r="AB80" s="1318">
        <f t="shared" si="60"/>
        <v>2</v>
      </c>
      <c r="AC80" s="1316"/>
      <c r="AD80" s="1317">
        <v>15</v>
      </c>
      <c r="AE80" s="1317">
        <v>3</v>
      </c>
      <c r="AF80" s="1319">
        <f t="shared" si="71"/>
        <v>18</v>
      </c>
      <c r="AG80" s="1317"/>
      <c r="AH80" s="1317">
        <v>1</v>
      </c>
      <c r="AI80" s="1317"/>
      <c r="AJ80" s="1319">
        <f t="shared" si="72"/>
        <v>1</v>
      </c>
      <c r="AK80" s="1317"/>
      <c r="AL80" s="1317"/>
      <c r="AM80" s="1317">
        <v>12</v>
      </c>
      <c r="AN80" s="1319">
        <f t="shared" si="73"/>
        <v>12</v>
      </c>
      <c r="AO80" s="1317"/>
      <c r="AP80" s="1317"/>
      <c r="AQ80" s="1317">
        <v>9</v>
      </c>
      <c r="AR80" s="1319">
        <f t="shared" si="74"/>
        <v>9</v>
      </c>
      <c r="AS80" s="1317"/>
      <c r="AT80" s="1317"/>
      <c r="AU80" s="1317">
        <v>17</v>
      </c>
      <c r="AV80" s="1319">
        <f t="shared" si="75"/>
        <v>17</v>
      </c>
      <c r="AW80" s="1317"/>
      <c r="AX80" s="1317"/>
      <c r="AY80" s="1317"/>
      <c r="AZ80" s="1319">
        <f t="shared" si="76"/>
        <v>0</v>
      </c>
      <c r="BA80" s="1317"/>
      <c r="BB80" s="1317"/>
      <c r="BC80" s="1317">
        <v>17</v>
      </c>
      <c r="BD80" s="1319">
        <f t="shared" si="77"/>
        <v>17</v>
      </c>
      <c r="BE80" s="1317"/>
      <c r="BF80" s="1317">
        <v>1</v>
      </c>
      <c r="BG80" s="1317"/>
      <c r="BH80" s="1300">
        <f>SUM(BE80:BG80)</f>
        <v>1</v>
      </c>
      <c r="BI80" s="1317"/>
      <c r="BJ80" s="1317"/>
      <c r="BK80" s="1317"/>
      <c r="BL80" s="1300">
        <f>SUM(BI80:BK80)</f>
        <v>0</v>
      </c>
      <c r="BM80" s="1317"/>
      <c r="BN80" s="1317"/>
      <c r="BO80" s="1317"/>
      <c r="BP80" s="1300">
        <f>SUM(BM80:BO80)</f>
        <v>0</v>
      </c>
      <c r="BQ80" s="1317"/>
      <c r="BR80" s="1317"/>
      <c r="BS80" s="1317"/>
      <c r="BT80" s="1300">
        <f>SUM(BQ80:BS80)</f>
        <v>0</v>
      </c>
    </row>
    <row r="81" spans="1:72" ht="12.75" customHeight="1" x14ac:dyDescent="0.2">
      <c r="A81" s="5288"/>
      <c r="B81" s="5640"/>
      <c r="C81" s="5631"/>
      <c r="D81" s="1321" t="s">
        <v>390</v>
      </c>
      <c r="E81" s="1297"/>
      <c r="F81" s="1298"/>
      <c r="G81" s="1298"/>
      <c r="H81" s="1299"/>
      <c r="I81" s="1297"/>
      <c r="J81" s="1298"/>
      <c r="K81" s="1298"/>
      <c r="L81" s="1318"/>
      <c r="M81" s="1297"/>
      <c r="N81" s="1298"/>
      <c r="O81" s="1298"/>
      <c r="P81" s="1318"/>
      <c r="Q81" s="1297"/>
      <c r="R81" s="1298"/>
      <c r="S81" s="1298"/>
      <c r="T81" s="1318"/>
      <c r="U81" s="1297"/>
      <c r="V81" s="1298"/>
      <c r="W81" s="1298"/>
      <c r="X81" s="1299"/>
      <c r="Y81" s="1297"/>
      <c r="Z81" s="1298">
        <v>1</v>
      </c>
      <c r="AA81" s="1298">
        <v>26</v>
      </c>
      <c r="AB81" s="1299">
        <f>SUM(Y81:AA81)</f>
        <v>27</v>
      </c>
      <c r="AC81" s="1297"/>
      <c r="AD81" s="1298">
        <v>1</v>
      </c>
      <c r="AE81" s="1298"/>
      <c r="AF81" s="1300">
        <f>SUM(AC81:AE81)</f>
        <v>1</v>
      </c>
      <c r="AG81" s="1298"/>
      <c r="AH81" s="1298">
        <v>1</v>
      </c>
      <c r="AI81" s="1298"/>
      <c r="AJ81" s="1300">
        <f>SUM(AG81:AI81)</f>
        <v>1</v>
      </c>
      <c r="AK81" s="1298">
        <v>31</v>
      </c>
      <c r="AL81" s="1298"/>
      <c r="AM81" s="1298">
        <v>3</v>
      </c>
      <c r="AN81" s="1300">
        <f>SUM(AK81:AM81)</f>
        <v>34</v>
      </c>
      <c r="AO81" s="1298"/>
      <c r="AP81" s="1298"/>
      <c r="AQ81" s="1298">
        <v>33</v>
      </c>
      <c r="AR81" s="1300">
        <f>SUM(AO81:AQ81)</f>
        <v>33</v>
      </c>
      <c r="AS81" s="1298">
        <v>1</v>
      </c>
      <c r="AT81" s="1298"/>
      <c r="AU81" s="1298">
        <v>1</v>
      </c>
      <c r="AV81" s="1300">
        <f>SUM(AS81:AU81)</f>
        <v>2</v>
      </c>
      <c r="AW81" s="1298"/>
      <c r="AX81" s="1298"/>
      <c r="AY81" s="1298">
        <v>40</v>
      </c>
      <c r="AZ81" s="1300">
        <f>SUM(AW81:AY81)</f>
        <v>40</v>
      </c>
      <c r="BA81" s="1298">
        <v>1</v>
      </c>
      <c r="BB81" s="1298">
        <v>1</v>
      </c>
      <c r="BC81" s="1298"/>
      <c r="BD81" s="1300">
        <f>SUM(BA81:BC81)</f>
        <v>2</v>
      </c>
      <c r="BE81" s="1298"/>
      <c r="BF81" s="1298"/>
      <c r="BG81" s="1298"/>
      <c r="BH81" s="1300">
        <f>SUM(BE81:BG81)</f>
        <v>0</v>
      </c>
      <c r="BI81" s="1298"/>
      <c r="BJ81" s="1298">
        <v>1</v>
      </c>
      <c r="BK81" s="1298"/>
      <c r="BL81" s="1300">
        <f>SUM(BI81:BK81)</f>
        <v>1</v>
      </c>
      <c r="BM81" s="1298"/>
      <c r="BN81" s="1298"/>
      <c r="BO81" s="1298">
        <v>28</v>
      </c>
      <c r="BP81" s="1300">
        <f>SUM(BM81:BO81)</f>
        <v>28</v>
      </c>
      <c r="BQ81" s="1298"/>
      <c r="BR81" s="1298">
        <v>1</v>
      </c>
      <c r="BS81" s="1298"/>
      <c r="BT81" s="1300">
        <f>SUM(BQ81:BS81)</f>
        <v>1</v>
      </c>
    </row>
    <row r="82" spans="1:72" ht="12.75" customHeight="1" x14ac:dyDescent="0.2">
      <c r="A82" s="5288"/>
      <c r="B82" s="5640"/>
      <c r="C82" s="5630" t="s">
        <v>527</v>
      </c>
      <c r="D82" s="1321" t="s">
        <v>89</v>
      </c>
      <c r="E82" s="1297"/>
      <c r="F82" s="1298"/>
      <c r="G82" s="1298"/>
      <c r="H82" s="1299"/>
      <c r="I82" s="1297"/>
      <c r="J82" s="1298"/>
      <c r="K82" s="1298"/>
      <c r="L82" s="1318"/>
      <c r="M82" s="1297">
        <v>1</v>
      </c>
      <c r="N82" s="1298">
        <v>1</v>
      </c>
      <c r="O82" s="1298">
        <v>2</v>
      </c>
      <c r="P82" s="1318">
        <f t="shared" ref="P82:P92" si="86">SUM(M82:O82)</f>
        <v>4</v>
      </c>
      <c r="Q82" s="1297">
        <v>1</v>
      </c>
      <c r="R82" s="1298">
        <v>1</v>
      </c>
      <c r="S82" s="1298">
        <v>2</v>
      </c>
      <c r="T82" s="1318">
        <f t="shared" ref="T82:T92" si="87">SUM(Q82:S82)</f>
        <v>4</v>
      </c>
      <c r="U82" s="1297">
        <v>10</v>
      </c>
      <c r="V82" s="1298">
        <v>5</v>
      </c>
      <c r="W82" s="1298">
        <v>1</v>
      </c>
      <c r="X82" s="1299">
        <f>SUM(U82:W82)</f>
        <v>16</v>
      </c>
      <c r="Y82" s="1297">
        <v>2</v>
      </c>
      <c r="Z82" s="1298">
        <v>2</v>
      </c>
      <c r="AA82" s="1298">
        <v>2</v>
      </c>
      <c r="AB82" s="1299">
        <f t="shared" si="60"/>
        <v>6</v>
      </c>
      <c r="AC82" s="1297">
        <v>3</v>
      </c>
      <c r="AD82" s="1298">
        <v>4</v>
      </c>
      <c r="AE82" s="1298">
        <v>2</v>
      </c>
      <c r="AF82" s="1300">
        <f t="shared" si="71"/>
        <v>9</v>
      </c>
      <c r="AG82" s="1298">
        <v>1</v>
      </c>
      <c r="AH82" s="1298">
        <v>2</v>
      </c>
      <c r="AI82" s="1298">
        <v>3</v>
      </c>
      <c r="AJ82" s="1300">
        <f t="shared" si="72"/>
        <v>6</v>
      </c>
      <c r="AK82" s="1298">
        <v>1</v>
      </c>
      <c r="AL82" s="1298">
        <v>3</v>
      </c>
      <c r="AM82" s="1298">
        <v>4</v>
      </c>
      <c r="AN82" s="1300">
        <f t="shared" si="73"/>
        <v>8</v>
      </c>
      <c r="AO82" s="1298">
        <v>2</v>
      </c>
      <c r="AP82" s="1298">
        <v>2</v>
      </c>
      <c r="AQ82" s="1298"/>
      <c r="AR82" s="1300">
        <f t="shared" si="74"/>
        <v>4</v>
      </c>
      <c r="AS82" s="1298">
        <v>2</v>
      </c>
      <c r="AT82" s="1298">
        <v>2</v>
      </c>
      <c r="AU82" s="1298">
        <v>6</v>
      </c>
      <c r="AV82" s="1300">
        <f t="shared" si="75"/>
        <v>10</v>
      </c>
      <c r="AW82" s="1298">
        <v>12</v>
      </c>
      <c r="AX82" s="1298">
        <v>2</v>
      </c>
      <c r="AY82" s="1298">
        <v>6</v>
      </c>
      <c r="AZ82" s="1300">
        <f t="shared" si="76"/>
        <v>20</v>
      </c>
      <c r="BA82" s="1298">
        <v>9</v>
      </c>
      <c r="BB82" s="1298">
        <v>3</v>
      </c>
      <c r="BC82" s="1298">
        <v>1</v>
      </c>
      <c r="BD82" s="1300">
        <f t="shared" si="77"/>
        <v>13</v>
      </c>
      <c r="BE82" s="1298">
        <v>1</v>
      </c>
      <c r="BF82" s="1298"/>
      <c r="BG82" s="1298">
        <v>4</v>
      </c>
      <c r="BH82" s="1300">
        <f>SUM(BE82:BG82)</f>
        <v>5</v>
      </c>
      <c r="BI82" s="1298">
        <v>9</v>
      </c>
      <c r="BJ82" s="1298"/>
      <c r="BK82" s="1298"/>
      <c r="BL82" s="1300">
        <f>SUM(BI82:BK82)</f>
        <v>9</v>
      </c>
      <c r="BM82" s="1298">
        <v>1</v>
      </c>
      <c r="BN82" s="1298">
        <v>1</v>
      </c>
      <c r="BO82" s="1298">
        <v>9</v>
      </c>
      <c r="BP82" s="1300">
        <f>SUM(BM82:BO82)</f>
        <v>11</v>
      </c>
      <c r="BQ82" s="1298">
        <v>6</v>
      </c>
      <c r="BR82" s="1298"/>
      <c r="BS82" s="1298">
        <v>2</v>
      </c>
      <c r="BT82" s="1300">
        <f>SUM(BQ82:BS82)</f>
        <v>8</v>
      </c>
    </row>
    <row r="83" spans="1:72" ht="12.75" customHeight="1" x14ac:dyDescent="0.2">
      <c r="A83" s="5288"/>
      <c r="B83" s="5640"/>
      <c r="C83" s="5631"/>
      <c r="D83" s="1321" t="s">
        <v>391</v>
      </c>
      <c r="E83" s="1297">
        <v>2</v>
      </c>
      <c r="F83" s="1298">
        <v>1</v>
      </c>
      <c r="G83" s="1298">
        <v>14</v>
      </c>
      <c r="H83" s="1299">
        <f>SUM(E83:G83)</f>
        <v>17</v>
      </c>
      <c r="I83" s="1297">
        <v>1</v>
      </c>
      <c r="J83" s="1298">
        <v>5</v>
      </c>
      <c r="K83" s="1298">
        <v>3</v>
      </c>
      <c r="L83" s="1318">
        <f t="shared" ref="L83:L88" si="88">SUM(I83:K83)</f>
        <v>9</v>
      </c>
      <c r="M83" s="1297">
        <v>1</v>
      </c>
      <c r="N83" s="1298">
        <v>3</v>
      </c>
      <c r="O83" s="1298">
        <v>4</v>
      </c>
      <c r="P83" s="1318">
        <f t="shared" si="86"/>
        <v>8</v>
      </c>
      <c r="Q83" s="1297">
        <v>2</v>
      </c>
      <c r="R83" s="1298">
        <v>10</v>
      </c>
      <c r="S83" s="1298">
        <v>11</v>
      </c>
      <c r="T83" s="1318">
        <f t="shared" si="87"/>
        <v>23</v>
      </c>
      <c r="U83" s="1297">
        <v>6</v>
      </c>
      <c r="V83" s="1298">
        <v>3</v>
      </c>
      <c r="W83" s="1298">
        <v>3</v>
      </c>
      <c r="X83" s="1299">
        <f>SUM(U83:W83)</f>
        <v>12</v>
      </c>
      <c r="Y83" s="1297">
        <v>6</v>
      </c>
      <c r="Z83" s="1298">
        <v>4</v>
      </c>
      <c r="AA83" s="1298">
        <v>5</v>
      </c>
      <c r="AB83" s="1299">
        <f t="shared" si="60"/>
        <v>15</v>
      </c>
      <c r="AC83" s="1297">
        <v>2</v>
      </c>
      <c r="AD83" s="1298">
        <v>4</v>
      </c>
      <c r="AE83" s="1298">
        <v>8</v>
      </c>
      <c r="AF83" s="1300">
        <f t="shared" si="71"/>
        <v>14</v>
      </c>
      <c r="AG83" s="1298">
        <v>1</v>
      </c>
      <c r="AH83" s="1298"/>
      <c r="AI83" s="1298">
        <v>8</v>
      </c>
      <c r="AJ83" s="1300">
        <f t="shared" si="72"/>
        <v>9</v>
      </c>
      <c r="AK83" s="1298">
        <v>2</v>
      </c>
      <c r="AL83" s="1298">
        <v>2</v>
      </c>
      <c r="AM83" s="1298">
        <v>8</v>
      </c>
      <c r="AN83" s="1300">
        <f t="shared" si="73"/>
        <v>12</v>
      </c>
      <c r="AO83" s="1298">
        <v>8</v>
      </c>
      <c r="AP83" s="1298">
        <v>1</v>
      </c>
      <c r="AQ83" s="1298">
        <v>8</v>
      </c>
      <c r="AR83" s="1300">
        <f t="shared" si="74"/>
        <v>17</v>
      </c>
      <c r="AS83" s="1298">
        <v>2</v>
      </c>
      <c r="AT83" s="1298">
        <v>5</v>
      </c>
      <c r="AU83" s="1298">
        <v>11</v>
      </c>
      <c r="AV83" s="1300">
        <f t="shared" si="75"/>
        <v>18</v>
      </c>
      <c r="AW83" s="1298">
        <v>10</v>
      </c>
      <c r="AX83" s="1298">
        <v>9</v>
      </c>
      <c r="AY83" s="1298">
        <v>9</v>
      </c>
      <c r="AZ83" s="1300">
        <f t="shared" si="76"/>
        <v>28</v>
      </c>
      <c r="BA83" s="1298">
        <v>14</v>
      </c>
      <c r="BB83" s="1298">
        <v>13</v>
      </c>
      <c r="BC83" s="1298">
        <v>10</v>
      </c>
      <c r="BD83" s="1300">
        <f t="shared" si="77"/>
        <v>37</v>
      </c>
      <c r="BE83" s="1298">
        <v>7</v>
      </c>
      <c r="BF83" s="1298">
        <v>1</v>
      </c>
      <c r="BG83" s="1298">
        <v>2</v>
      </c>
      <c r="BH83" s="1300">
        <f t="shared" ref="BH83:BH97" si="89">SUM(BE83:BG83)</f>
        <v>10</v>
      </c>
      <c r="BI83" s="1298"/>
      <c r="BJ83" s="1298">
        <v>2</v>
      </c>
      <c r="BK83" s="1298">
        <v>9</v>
      </c>
      <c r="BL83" s="1300">
        <f t="shared" ref="BL83:BL90" si="90">SUM(BI83:BK83)</f>
        <v>11</v>
      </c>
      <c r="BM83" s="1298">
        <v>6</v>
      </c>
      <c r="BN83" s="1298">
        <v>4</v>
      </c>
      <c r="BO83" s="1298">
        <v>5</v>
      </c>
      <c r="BP83" s="1300">
        <f t="shared" ref="BP83:BP92" si="91">SUM(BM83:BO83)</f>
        <v>15</v>
      </c>
      <c r="BQ83" s="1298">
        <v>3</v>
      </c>
      <c r="BR83" s="1298">
        <v>8</v>
      </c>
      <c r="BS83" s="1298">
        <v>13</v>
      </c>
      <c r="BT83" s="1300">
        <f t="shared" ref="BT83:BT92" si="92">SUM(BQ83:BS83)</f>
        <v>24</v>
      </c>
    </row>
    <row r="84" spans="1:72" ht="12.75" customHeight="1" x14ac:dyDescent="0.2">
      <c r="A84" s="5288"/>
      <c r="B84" s="5640"/>
      <c r="C84" s="5631"/>
      <c r="D84" s="1322" t="s">
        <v>392</v>
      </c>
      <c r="E84" s="1297"/>
      <c r="F84" s="1298"/>
      <c r="G84" s="1298"/>
      <c r="H84" s="1299"/>
      <c r="I84" s="1297">
        <v>2</v>
      </c>
      <c r="J84" s="1298"/>
      <c r="K84" s="1298"/>
      <c r="L84" s="1318">
        <f t="shared" si="88"/>
        <v>2</v>
      </c>
      <c r="M84" s="1297"/>
      <c r="N84" s="1298"/>
      <c r="O84" s="1298"/>
      <c r="P84" s="1318"/>
      <c r="Q84" s="1297"/>
      <c r="R84" s="1298">
        <v>3</v>
      </c>
      <c r="S84" s="1298"/>
      <c r="T84" s="1318">
        <f t="shared" si="87"/>
        <v>3</v>
      </c>
      <c r="U84" s="1297">
        <v>1</v>
      </c>
      <c r="V84" s="1298"/>
      <c r="W84" s="1298">
        <v>3</v>
      </c>
      <c r="X84" s="1299">
        <f t="shared" ref="X84:X89" si="93">SUM(U84:W84)</f>
        <v>4</v>
      </c>
      <c r="Y84" s="1297">
        <v>1</v>
      </c>
      <c r="Z84" s="1298">
        <v>4</v>
      </c>
      <c r="AA84" s="1298"/>
      <c r="AB84" s="1299">
        <f>SUM(Y84:AA84)</f>
        <v>5</v>
      </c>
      <c r="AC84" s="1297">
        <v>3</v>
      </c>
      <c r="AD84" s="1298">
        <v>1</v>
      </c>
      <c r="AE84" s="1298">
        <v>5</v>
      </c>
      <c r="AF84" s="1300">
        <f t="shared" si="71"/>
        <v>9</v>
      </c>
      <c r="AG84" s="1298">
        <v>1</v>
      </c>
      <c r="AH84" s="1298">
        <v>4</v>
      </c>
      <c r="AI84" s="1298">
        <v>3</v>
      </c>
      <c r="AJ84" s="1300">
        <f t="shared" si="72"/>
        <v>8</v>
      </c>
      <c r="AK84" s="1298"/>
      <c r="AL84" s="1298">
        <v>1</v>
      </c>
      <c r="AM84" s="1298"/>
      <c r="AN84" s="1300">
        <f t="shared" si="73"/>
        <v>1</v>
      </c>
      <c r="AO84" s="1298">
        <v>1</v>
      </c>
      <c r="AP84" s="1298"/>
      <c r="AQ84" s="1298">
        <v>2</v>
      </c>
      <c r="AR84" s="1300">
        <f t="shared" si="74"/>
        <v>3</v>
      </c>
      <c r="AS84" s="1298">
        <v>3</v>
      </c>
      <c r="AT84" s="1298">
        <v>1</v>
      </c>
      <c r="AU84" s="1298">
        <v>2</v>
      </c>
      <c r="AV84" s="1300">
        <f t="shared" si="75"/>
        <v>6</v>
      </c>
      <c r="AW84" s="1298">
        <v>3</v>
      </c>
      <c r="AX84" s="1298">
        <v>3</v>
      </c>
      <c r="AY84" s="1298">
        <v>6</v>
      </c>
      <c r="AZ84" s="1300">
        <f t="shared" si="76"/>
        <v>12</v>
      </c>
      <c r="BA84" s="1298">
        <v>2</v>
      </c>
      <c r="BB84" s="1298">
        <v>4</v>
      </c>
      <c r="BC84" s="1298">
        <v>3</v>
      </c>
      <c r="BD84" s="1300">
        <f t="shared" si="77"/>
        <v>9</v>
      </c>
      <c r="BE84" s="1298">
        <v>4</v>
      </c>
      <c r="BF84" s="1298">
        <v>5</v>
      </c>
      <c r="BG84" s="1298">
        <v>5</v>
      </c>
      <c r="BH84" s="1300">
        <f t="shared" si="89"/>
        <v>14</v>
      </c>
      <c r="BI84" s="1298">
        <v>11</v>
      </c>
      <c r="BJ84" s="1298">
        <v>5</v>
      </c>
      <c r="BK84" s="1298"/>
      <c r="BL84" s="1300">
        <f t="shared" si="90"/>
        <v>16</v>
      </c>
      <c r="BM84" s="1298">
        <v>1</v>
      </c>
      <c r="BN84" s="1298">
        <v>2</v>
      </c>
      <c r="BO84" s="1298">
        <v>2</v>
      </c>
      <c r="BP84" s="1300">
        <f t="shared" si="91"/>
        <v>5</v>
      </c>
      <c r="BQ84" s="1298">
        <v>2</v>
      </c>
      <c r="BR84" s="1298">
        <v>3</v>
      </c>
      <c r="BS84" s="1298">
        <v>3</v>
      </c>
      <c r="BT84" s="1300">
        <f t="shared" si="92"/>
        <v>8</v>
      </c>
    </row>
    <row r="85" spans="1:72" ht="12.75" customHeight="1" x14ac:dyDescent="0.2">
      <c r="A85" s="5288"/>
      <c r="B85" s="5640"/>
      <c r="C85" s="5631"/>
      <c r="D85" s="1322" t="s">
        <v>393</v>
      </c>
      <c r="E85" s="1297">
        <v>2</v>
      </c>
      <c r="F85" s="1298">
        <v>4</v>
      </c>
      <c r="G85" s="1298"/>
      <c r="H85" s="1299">
        <f>SUM(E85:G85)</f>
        <v>6</v>
      </c>
      <c r="I85" s="1297">
        <v>2</v>
      </c>
      <c r="J85" s="1298"/>
      <c r="K85" s="1298">
        <v>3</v>
      </c>
      <c r="L85" s="1318">
        <f t="shared" si="88"/>
        <v>5</v>
      </c>
      <c r="M85" s="1297"/>
      <c r="N85" s="1298">
        <v>3</v>
      </c>
      <c r="O85" s="1298">
        <v>1</v>
      </c>
      <c r="P85" s="1318">
        <f t="shared" si="86"/>
        <v>4</v>
      </c>
      <c r="Q85" s="1297">
        <v>3</v>
      </c>
      <c r="R85" s="1298">
        <v>2</v>
      </c>
      <c r="S85" s="1298">
        <v>3</v>
      </c>
      <c r="T85" s="1318">
        <f t="shared" si="87"/>
        <v>8</v>
      </c>
      <c r="U85" s="1297">
        <v>5</v>
      </c>
      <c r="V85" s="1298">
        <v>1</v>
      </c>
      <c r="W85" s="1298"/>
      <c r="X85" s="1299">
        <f t="shared" si="93"/>
        <v>6</v>
      </c>
      <c r="Y85" s="1297">
        <v>1</v>
      </c>
      <c r="Z85" s="1298">
        <v>2</v>
      </c>
      <c r="AA85" s="1298">
        <v>3</v>
      </c>
      <c r="AB85" s="1299">
        <f>SUM(Y85:AA85)</f>
        <v>6</v>
      </c>
      <c r="AC85" s="1297">
        <v>5</v>
      </c>
      <c r="AD85" s="1298">
        <v>3</v>
      </c>
      <c r="AE85" s="1298"/>
      <c r="AF85" s="1300">
        <f t="shared" si="71"/>
        <v>8</v>
      </c>
      <c r="AG85" s="1298"/>
      <c r="AH85" s="1298"/>
      <c r="AI85" s="1298">
        <v>4</v>
      </c>
      <c r="AJ85" s="1300">
        <f t="shared" si="72"/>
        <v>4</v>
      </c>
      <c r="AK85" s="1298">
        <v>3</v>
      </c>
      <c r="AL85" s="1298">
        <v>1</v>
      </c>
      <c r="AM85" s="1298">
        <v>1</v>
      </c>
      <c r="AN85" s="1300">
        <f t="shared" si="73"/>
        <v>5</v>
      </c>
      <c r="AO85" s="1298"/>
      <c r="AP85" s="1298"/>
      <c r="AQ85" s="1298">
        <v>5</v>
      </c>
      <c r="AR85" s="1300">
        <f t="shared" si="74"/>
        <v>5</v>
      </c>
      <c r="AS85" s="1298">
        <v>3</v>
      </c>
      <c r="AT85" s="1298">
        <v>2</v>
      </c>
      <c r="AU85" s="1298">
        <v>1</v>
      </c>
      <c r="AV85" s="1300">
        <f t="shared" si="75"/>
        <v>6</v>
      </c>
      <c r="AW85" s="1298"/>
      <c r="AX85" s="1298"/>
      <c r="AY85" s="1298">
        <v>12</v>
      </c>
      <c r="AZ85" s="1300">
        <f t="shared" si="76"/>
        <v>12</v>
      </c>
      <c r="BA85" s="1298">
        <v>1</v>
      </c>
      <c r="BB85" s="1298">
        <v>8</v>
      </c>
      <c r="BC85" s="1298">
        <v>1</v>
      </c>
      <c r="BD85" s="1300">
        <f t="shared" si="77"/>
        <v>10</v>
      </c>
      <c r="BE85" s="1298"/>
      <c r="BF85" s="1298">
        <v>1</v>
      </c>
      <c r="BG85" s="1298">
        <v>8</v>
      </c>
      <c r="BH85" s="1300">
        <f t="shared" si="89"/>
        <v>9</v>
      </c>
      <c r="BI85" s="1298">
        <v>5</v>
      </c>
      <c r="BJ85" s="1298">
        <v>1</v>
      </c>
      <c r="BK85" s="1298"/>
      <c r="BL85" s="1300">
        <f t="shared" si="90"/>
        <v>6</v>
      </c>
      <c r="BM85" s="1298">
        <v>2</v>
      </c>
      <c r="BN85" s="1298">
        <v>1</v>
      </c>
      <c r="BO85" s="1298">
        <v>5</v>
      </c>
      <c r="BP85" s="1300">
        <f t="shared" si="91"/>
        <v>8</v>
      </c>
      <c r="BQ85" s="1298">
        <v>10</v>
      </c>
      <c r="BR85" s="1298"/>
      <c r="BS85" s="1298"/>
      <c r="BT85" s="1300">
        <f t="shared" si="92"/>
        <v>10</v>
      </c>
    </row>
    <row r="86" spans="1:72" ht="12.75" customHeight="1" x14ac:dyDescent="0.2">
      <c r="A86" s="5288"/>
      <c r="B86" s="5640"/>
      <c r="C86" s="5631"/>
      <c r="D86" s="1322" t="s">
        <v>19</v>
      </c>
      <c r="E86" s="1297"/>
      <c r="F86" s="1298">
        <v>1</v>
      </c>
      <c r="G86" s="1298">
        <v>1</v>
      </c>
      <c r="H86" s="1299">
        <f>SUM(E86:G86)</f>
        <v>2</v>
      </c>
      <c r="I86" s="1297">
        <v>1</v>
      </c>
      <c r="J86" s="1298">
        <v>1</v>
      </c>
      <c r="K86" s="1298"/>
      <c r="L86" s="1318">
        <f t="shared" si="88"/>
        <v>2</v>
      </c>
      <c r="M86" s="1297"/>
      <c r="N86" s="1298">
        <v>1</v>
      </c>
      <c r="O86" s="1298"/>
      <c r="P86" s="1318">
        <f t="shared" si="86"/>
        <v>1</v>
      </c>
      <c r="Q86" s="1297">
        <v>3</v>
      </c>
      <c r="R86" s="1298"/>
      <c r="S86" s="1298">
        <v>1</v>
      </c>
      <c r="T86" s="1318">
        <f t="shared" si="87"/>
        <v>4</v>
      </c>
      <c r="U86" s="1297">
        <v>1</v>
      </c>
      <c r="V86" s="1298">
        <v>2</v>
      </c>
      <c r="W86" s="1298"/>
      <c r="X86" s="1299">
        <f t="shared" si="93"/>
        <v>3</v>
      </c>
      <c r="Y86" s="1297"/>
      <c r="Z86" s="1298"/>
      <c r="AA86" s="1298"/>
      <c r="AB86" s="1299"/>
      <c r="AC86" s="1297">
        <v>5</v>
      </c>
      <c r="AD86" s="1298"/>
      <c r="AE86" s="1298">
        <v>3</v>
      </c>
      <c r="AF86" s="1300">
        <f t="shared" si="71"/>
        <v>8</v>
      </c>
      <c r="AG86" s="1298">
        <v>2</v>
      </c>
      <c r="AH86" s="1298">
        <v>2</v>
      </c>
      <c r="AI86" s="1298">
        <v>2</v>
      </c>
      <c r="AJ86" s="1300">
        <f t="shared" si="72"/>
        <v>6</v>
      </c>
      <c r="AK86" s="1298">
        <v>5</v>
      </c>
      <c r="AL86" s="1298">
        <v>2</v>
      </c>
      <c r="AM86" s="1298">
        <v>3</v>
      </c>
      <c r="AN86" s="1300">
        <f t="shared" si="73"/>
        <v>10</v>
      </c>
      <c r="AO86" s="1298">
        <v>2</v>
      </c>
      <c r="AP86" s="1298">
        <v>1</v>
      </c>
      <c r="AQ86" s="1298">
        <v>2</v>
      </c>
      <c r="AR86" s="1300">
        <f t="shared" si="74"/>
        <v>5</v>
      </c>
      <c r="AS86" s="1298">
        <v>3</v>
      </c>
      <c r="AT86" s="1298">
        <v>1</v>
      </c>
      <c r="AU86" s="1298">
        <v>4</v>
      </c>
      <c r="AV86" s="1300">
        <f t="shared" si="75"/>
        <v>8</v>
      </c>
      <c r="AW86" s="1298">
        <v>9</v>
      </c>
      <c r="AX86" s="1298">
        <v>4</v>
      </c>
      <c r="AY86" s="1298">
        <v>5</v>
      </c>
      <c r="AZ86" s="1300">
        <f t="shared" si="76"/>
        <v>18</v>
      </c>
      <c r="BA86" s="1298">
        <v>4</v>
      </c>
      <c r="BB86" s="1298">
        <v>4</v>
      </c>
      <c r="BC86" s="1298"/>
      <c r="BD86" s="1300">
        <f t="shared" si="77"/>
        <v>8</v>
      </c>
      <c r="BE86" s="1298">
        <v>3</v>
      </c>
      <c r="BF86" s="1298">
        <v>3</v>
      </c>
      <c r="BG86" s="1298">
        <v>4</v>
      </c>
      <c r="BH86" s="1300">
        <f t="shared" si="89"/>
        <v>10</v>
      </c>
      <c r="BI86" s="1298">
        <v>7</v>
      </c>
      <c r="BJ86" s="1298">
        <v>2</v>
      </c>
      <c r="BK86" s="1298">
        <v>2</v>
      </c>
      <c r="BL86" s="1300">
        <f t="shared" si="90"/>
        <v>11</v>
      </c>
      <c r="BM86" s="1298">
        <v>1</v>
      </c>
      <c r="BN86" s="1298">
        <v>6</v>
      </c>
      <c r="BO86" s="1298">
        <v>5</v>
      </c>
      <c r="BP86" s="1300">
        <f t="shared" si="91"/>
        <v>12</v>
      </c>
      <c r="BQ86" s="1298">
        <v>3</v>
      </c>
      <c r="BR86" s="1298">
        <v>4</v>
      </c>
      <c r="BS86" s="1298">
        <v>1</v>
      </c>
      <c r="BT86" s="1300">
        <f t="shared" si="92"/>
        <v>8</v>
      </c>
    </row>
    <row r="87" spans="1:72" ht="12.75" customHeight="1" x14ac:dyDescent="0.2">
      <c r="A87" s="5288"/>
      <c r="B87" s="5640"/>
      <c r="C87" s="5631"/>
      <c r="D87" s="1322" t="s">
        <v>88</v>
      </c>
      <c r="E87" s="1297"/>
      <c r="F87" s="1298">
        <v>6</v>
      </c>
      <c r="G87" s="1298">
        <v>2</v>
      </c>
      <c r="H87" s="1299">
        <f>SUM(E87:G87)</f>
        <v>8</v>
      </c>
      <c r="I87" s="1297"/>
      <c r="J87" s="1298">
        <v>1</v>
      </c>
      <c r="K87" s="1298">
        <v>1</v>
      </c>
      <c r="L87" s="1318">
        <f t="shared" si="88"/>
        <v>2</v>
      </c>
      <c r="M87" s="1297"/>
      <c r="N87" s="1298"/>
      <c r="O87" s="1298">
        <v>2</v>
      </c>
      <c r="P87" s="1318">
        <f t="shared" si="86"/>
        <v>2</v>
      </c>
      <c r="Q87" s="1297">
        <v>1</v>
      </c>
      <c r="R87" s="1298">
        <v>2</v>
      </c>
      <c r="S87" s="1298">
        <v>1</v>
      </c>
      <c r="T87" s="1318">
        <f t="shared" si="87"/>
        <v>4</v>
      </c>
      <c r="U87" s="1297"/>
      <c r="V87" s="1298">
        <v>1</v>
      </c>
      <c r="W87" s="1298">
        <v>1</v>
      </c>
      <c r="X87" s="1299">
        <f t="shared" si="93"/>
        <v>2</v>
      </c>
      <c r="Y87" s="1297">
        <v>4</v>
      </c>
      <c r="Z87" s="1298">
        <v>1</v>
      </c>
      <c r="AA87" s="1298"/>
      <c r="AB87" s="1299">
        <f>SUM(Y87:AA87)</f>
        <v>5</v>
      </c>
      <c r="AC87" s="1297">
        <v>1</v>
      </c>
      <c r="AD87" s="1298">
        <v>2</v>
      </c>
      <c r="AE87" s="1298">
        <v>1</v>
      </c>
      <c r="AF87" s="1300">
        <f t="shared" si="71"/>
        <v>4</v>
      </c>
      <c r="AG87" s="1298"/>
      <c r="AH87" s="1298">
        <v>2</v>
      </c>
      <c r="AI87" s="1298">
        <v>2</v>
      </c>
      <c r="AJ87" s="1300">
        <f t="shared" si="72"/>
        <v>4</v>
      </c>
      <c r="AK87" s="1298">
        <v>1</v>
      </c>
      <c r="AL87" s="1298">
        <v>5</v>
      </c>
      <c r="AM87" s="1298">
        <v>1</v>
      </c>
      <c r="AN87" s="1300">
        <f t="shared" si="73"/>
        <v>7</v>
      </c>
      <c r="AO87" s="1298"/>
      <c r="AP87" s="1298">
        <v>4</v>
      </c>
      <c r="AQ87" s="1298">
        <v>8</v>
      </c>
      <c r="AR87" s="1300">
        <f t="shared" si="74"/>
        <v>12</v>
      </c>
      <c r="AS87" s="1298">
        <v>2</v>
      </c>
      <c r="AT87" s="1298">
        <v>3</v>
      </c>
      <c r="AU87" s="1298">
        <v>1</v>
      </c>
      <c r="AV87" s="1300">
        <f t="shared" si="75"/>
        <v>6</v>
      </c>
      <c r="AW87" s="1298">
        <v>1</v>
      </c>
      <c r="AX87" s="1298">
        <v>5</v>
      </c>
      <c r="AY87" s="1298">
        <v>8</v>
      </c>
      <c r="AZ87" s="1300">
        <f t="shared" si="76"/>
        <v>14</v>
      </c>
      <c r="BA87" s="1298">
        <v>8</v>
      </c>
      <c r="BB87" s="1298">
        <v>2</v>
      </c>
      <c r="BC87" s="1298">
        <v>1</v>
      </c>
      <c r="BD87" s="1300">
        <f t="shared" si="77"/>
        <v>11</v>
      </c>
      <c r="BE87" s="1298">
        <v>1</v>
      </c>
      <c r="BF87" s="1298">
        <v>2</v>
      </c>
      <c r="BG87" s="1298">
        <v>5</v>
      </c>
      <c r="BH87" s="1300">
        <f t="shared" si="89"/>
        <v>8</v>
      </c>
      <c r="BI87" s="1298">
        <v>7</v>
      </c>
      <c r="BJ87" s="1298"/>
      <c r="BK87" s="1298">
        <v>1</v>
      </c>
      <c r="BL87" s="1300">
        <f t="shared" si="90"/>
        <v>8</v>
      </c>
      <c r="BM87" s="1298">
        <v>1</v>
      </c>
      <c r="BN87" s="1298"/>
      <c r="BO87" s="1298"/>
      <c r="BP87" s="1300">
        <f t="shared" si="91"/>
        <v>1</v>
      </c>
      <c r="BQ87" s="1298">
        <v>2</v>
      </c>
      <c r="BR87" s="1298">
        <v>3</v>
      </c>
      <c r="BS87" s="1298">
        <v>1</v>
      </c>
      <c r="BT87" s="1300">
        <f t="shared" si="92"/>
        <v>6</v>
      </c>
    </row>
    <row r="88" spans="1:72" ht="12.75" customHeight="1" x14ac:dyDescent="0.2">
      <c r="A88" s="5288"/>
      <c r="B88" s="5640"/>
      <c r="C88" s="5631"/>
      <c r="D88" s="1322" t="s">
        <v>394</v>
      </c>
      <c r="E88" s="1297"/>
      <c r="F88" s="1298"/>
      <c r="G88" s="1298"/>
      <c r="H88" s="1299"/>
      <c r="I88" s="1297">
        <v>1</v>
      </c>
      <c r="J88" s="1298"/>
      <c r="K88" s="1298"/>
      <c r="L88" s="1318">
        <f t="shared" si="88"/>
        <v>1</v>
      </c>
      <c r="M88" s="1297">
        <v>1</v>
      </c>
      <c r="N88" s="1298"/>
      <c r="O88" s="1298"/>
      <c r="P88" s="1318">
        <f t="shared" si="86"/>
        <v>1</v>
      </c>
      <c r="Q88" s="1297"/>
      <c r="R88" s="1298">
        <v>1</v>
      </c>
      <c r="S88" s="1298"/>
      <c r="T88" s="1318">
        <f t="shared" si="87"/>
        <v>1</v>
      </c>
      <c r="U88" s="1297">
        <v>1</v>
      </c>
      <c r="V88" s="1298">
        <v>2</v>
      </c>
      <c r="W88" s="1298"/>
      <c r="X88" s="1299">
        <f t="shared" si="93"/>
        <v>3</v>
      </c>
      <c r="Y88" s="1297"/>
      <c r="Z88" s="1298"/>
      <c r="AA88" s="1298">
        <v>1</v>
      </c>
      <c r="AB88" s="1299">
        <f>SUM(Y88:AA88)</f>
        <v>1</v>
      </c>
      <c r="AC88" s="1297">
        <v>1</v>
      </c>
      <c r="AD88" s="1298"/>
      <c r="AE88" s="1298">
        <v>2</v>
      </c>
      <c r="AF88" s="1300">
        <f t="shared" si="71"/>
        <v>3</v>
      </c>
      <c r="AG88" s="1298"/>
      <c r="AH88" s="1298">
        <v>1</v>
      </c>
      <c r="AI88" s="1298">
        <v>2</v>
      </c>
      <c r="AJ88" s="1300">
        <f t="shared" si="72"/>
        <v>3</v>
      </c>
      <c r="AK88" s="1298">
        <v>5</v>
      </c>
      <c r="AL88" s="1298">
        <v>4</v>
      </c>
      <c r="AM88" s="1298">
        <v>2</v>
      </c>
      <c r="AN88" s="1300">
        <f t="shared" si="73"/>
        <v>11</v>
      </c>
      <c r="AO88" s="1298">
        <v>5</v>
      </c>
      <c r="AP88" s="1298">
        <v>3</v>
      </c>
      <c r="AQ88" s="1298">
        <v>3</v>
      </c>
      <c r="AR88" s="1300">
        <f t="shared" si="74"/>
        <v>11</v>
      </c>
      <c r="AS88" s="1298">
        <v>2</v>
      </c>
      <c r="AT88" s="1298"/>
      <c r="AU88" s="1298"/>
      <c r="AV88" s="1300">
        <f t="shared" si="75"/>
        <v>2</v>
      </c>
      <c r="AW88" s="1298">
        <v>3</v>
      </c>
      <c r="AX88" s="1298">
        <v>1</v>
      </c>
      <c r="AY88" s="1298">
        <v>7</v>
      </c>
      <c r="AZ88" s="1300">
        <f t="shared" si="76"/>
        <v>11</v>
      </c>
      <c r="BA88" s="1298">
        <v>6</v>
      </c>
      <c r="BB88" s="1298">
        <v>3</v>
      </c>
      <c r="BC88" s="1298"/>
      <c r="BD88" s="1300">
        <f t="shared" si="77"/>
        <v>9</v>
      </c>
      <c r="BE88" s="1298"/>
      <c r="BF88" s="1298">
        <v>2</v>
      </c>
      <c r="BG88" s="1298">
        <v>5</v>
      </c>
      <c r="BH88" s="1300">
        <f t="shared" si="89"/>
        <v>7</v>
      </c>
      <c r="BI88" s="1298">
        <v>6</v>
      </c>
      <c r="BJ88" s="1298">
        <v>1</v>
      </c>
      <c r="BK88" s="1298"/>
      <c r="BL88" s="1300">
        <f t="shared" si="90"/>
        <v>7</v>
      </c>
      <c r="BM88" s="1298"/>
      <c r="BN88" s="1298">
        <v>1</v>
      </c>
      <c r="BO88" s="1298">
        <v>3</v>
      </c>
      <c r="BP88" s="1300">
        <f t="shared" si="91"/>
        <v>4</v>
      </c>
      <c r="BQ88" s="1298">
        <v>6</v>
      </c>
      <c r="BR88" s="1298"/>
      <c r="BS88" s="1298"/>
      <c r="BT88" s="1300">
        <f t="shared" si="92"/>
        <v>6</v>
      </c>
    </row>
    <row r="89" spans="1:72" ht="12.75" customHeight="1" x14ac:dyDescent="0.2">
      <c r="A89" s="5288"/>
      <c r="B89" s="5640"/>
      <c r="C89" s="5631"/>
      <c r="D89" s="1321" t="s">
        <v>139</v>
      </c>
      <c r="E89" s="1297"/>
      <c r="F89" s="1298"/>
      <c r="G89" s="1298"/>
      <c r="H89" s="1299"/>
      <c r="I89" s="1297"/>
      <c r="J89" s="1298"/>
      <c r="K89" s="1298"/>
      <c r="L89" s="1318"/>
      <c r="M89" s="1297"/>
      <c r="N89" s="1298"/>
      <c r="O89" s="1298"/>
      <c r="P89" s="1318"/>
      <c r="Q89" s="1297"/>
      <c r="R89" s="1298"/>
      <c r="S89" s="1298"/>
      <c r="T89" s="1318"/>
      <c r="U89" s="1297"/>
      <c r="V89" s="1298"/>
      <c r="W89" s="1298">
        <v>7</v>
      </c>
      <c r="X89" s="1299">
        <f t="shared" si="93"/>
        <v>7</v>
      </c>
      <c r="Y89" s="1297"/>
      <c r="Z89" s="1298"/>
      <c r="AA89" s="1298"/>
      <c r="AB89" s="1299"/>
      <c r="AC89" s="1297"/>
      <c r="AD89" s="1298"/>
      <c r="AE89" s="1298">
        <v>2</v>
      </c>
      <c r="AF89" s="1300">
        <f t="shared" si="71"/>
        <v>2</v>
      </c>
      <c r="AG89" s="1298"/>
      <c r="AH89" s="1298"/>
      <c r="AI89" s="1298"/>
      <c r="AJ89" s="1300"/>
      <c r="AK89" s="1298"/>
      <c r="AL89" s="1298"/>
      <c r="AM89" s="1298">
        <v>1</v>
      </c>
      <c r="AN89" s="1300">
        <f t="shared" si="73"/>
        <v>1</v>
      </c>
      <c r="AO89" s="1298"/>
      <c r="AP89" s="1298"/>
      <c r="AQ89" s="1298"/>
      <c r="AR89" s="1300">
        <f t="shared" si="74"/>
        <v>0</v>
      </c>
      <c r="AS89" s="1298">
        <v>1</v>
      </c>
      <c r="AT89" s="1298"/>
      <c r="AU89" s="1298"/>
      <c r="AV89" s="1300">
        <f t="shared" si="75"/>
        <v>1</v>
      </c>
      <c r="AW89" s="1298"/>
      <c r="AX89" s="1298"/>
      <c r="AY89" s="1298"/>
      <c r="AZ89" s="1300">
        <f t="shared" si="76"/>
        <v>0</v>
      </c>
      <c r="BA89" s="1298"/>
      <c r="BB89" s="1298"/>
      <c r="BC89" s="1298"/>
      <c r="BD89" s="1300">
        <f t="shared" si="77"/>
        <v>0</v>
      </c>
      <c r="BE89" s="1298"/>
      <c r="BF89" s="1298"/>
      <c r="BG89" s="1298"/>
      <c r="BH89" s="1300">
        <f t="shared" si="89"/>
        <v>0</v>
      </c>
      <c r="BI89" s="1298"/>
      <c r="BJ89" s="1298"/>
      <c r="BK89" s="1298"/>
      <c r="BL89" s="1300">
        <f t="shared" si="90"/>
        <v>0</v>
      </c>
      <c r="BM89" s="1298"/>
      <c r="BN89" s="1298"/>
      <c r="BO89" s="1298"/>
      <c r="BP89" s="1300">
        <f t="shared" si="91"/>
        <v>0</v>
      </c>
      <c r="BQ89" s="1298"/>
      <c r="BR89" s="1298"/>
      <c r="BS89" s="1298"/>
      <c r="BT89" s="1300">
        <f t="shared" si="92"/>
        <v>0</v>
      </c>
    </row>
    <row r="90" spans="1:72" ht="14.25" customHeight="1" x14ac:dyDescent="0.2">
      <c r="A90" s="5288"/>
      <c r="B90" s="5640"/>
      <c r="C90" s="5631"/>
      <c r="D90" s="1321" t="s">
        <v>559</v>
      </c>
      <c r="E90" s="1297"/>
      <c r="F90" s="1298"/>
      <c r="G90" s="1298">
        <v>1</v>
      </c>
      <c r="H90" s="1299">
        <f>SUM(G90)</f>
        <v>1</v>
      </c>
      <c r="I90" s="1297"/>
      <c r="J90" s="1298"/>
      <c r="K90" s="1298"/>
      <c r="L90" s="1318"/>
      <c r="M90" s="1297"/>
      <c r="N90" s="1298"/>
      <c r="O90" s="1298"/>
      <c r="P90" s="1318"/>
      <c r="Q90" s="1297"/>
      <c r="R90" s="1298">
        <v>10</v>
      </c>
      <c r="S90" s="1298"/>
      <c r="T90" s="1318">
        <f t="shared" si="87"/>
        <v>10</v>
      </c>
      <c r="U90" s="1297"/>
      <c r="V90" s="1298"/>
      <c r="W90" s="1298"/>
      <c r="X90" s="1299"/>
      <c r="Y90" s="1297"/>
      <c r="Z90" s="1298"/>
      <c r="AA90" s="1298"/>
      <c r="AB90" s="1299"/>
      <c r="AC90" s="1297"/>
      <c r="AD90" s="1298"/>
      <c r="AE90" s="1298"/>
      <c r="AF90" s="1300"/>
      <c r="AG90" s="1298"/>
      <c r="AH90" s="1298"/>
      <c r="AI90" s="1298"/>
      <c r="AJ90" s="1300"/>
      <c r="AK90" s="1298">
        <v>9</v>
      </c>
      <c r="AL90" s="1298"/>
      <c r="AM90" s="1298"/>
      <c r="AN90" s="1300">
        <f t="shared" si="73"/>
        <v>9</v>
      </c>
      <c r="AO90" s="1298"/>
      <c r="AP90" s="1298"/>
      <c r="AQ90" s="1298">
        <v>1</v>
      </c>
      <c r="AR90" s="1300">
        <f t="shared" si="74"/>
        <v>1</v>
      </c>
      <c r="AS90" s="1298"/>
      <c r="AT90" s="1298"/>
      <c r="AU90" s="1298"/>
      <c r="AV90" s="1300">
        <f t="shared" si="75"/>
        <v>0</v>
      </c>
      <c r="AW90" s="1298"/>
      <c r="AX90" s="1298"/>
      <c r="AY90" s="1298"/>
      <c r="AZ90" s="1300">
        <f t="shared" si="76"/>
        <v>0</v>
      </c>
      <c r="BA90" s="1298"/>
      <c r="BB90" s="1298"/>
      <c r="BC90" s="1298">
        <v>1</v>
      </c>
      <c r="BD90" s="1300">
        <f t="shared" si="77"/>
        <v>1</v>
      </c>
      <c r="BE90" s="1298">
        <v>1</v>
      </c>
      <c r="BF90" s="1298">
        <v>1</v>
      </c>
      <c r="BG90" s="1298"/>
      <c r="BH90" s="1300">
        <f t="shared" si="89"/>
        <v>2</v>
      </c>
      <c r="BI90" s="1298"/>
      <c r="BJ90" s="1298"/>
      <c r="BK90" s="1298"/>
      <c r="BL90" s="1300">
        <f t="shared" si="90"/>
        <v>0</v>
      </c>
      <c r="BM90" s="1298"/>
      <c r="BN90" s="1298"/>
      <c r="BO90" s="1298"/>
      <c r="BP90" s="1300">
        <f t="shared" si="91"/>
        <v>0</v>
      </c>
      <c r="BQ90" s="1298"/>
      <c r="BR90" s="1298"/>
      <c r="BS90" s="1298"/>
      <c r="BT90" s="1300">
        <f t="shared" si="92"/>
        <v>0</v>
      </c>
    </row>
    <row r="91" spans="1:72" ht="14.25" customHeight="1" x14ac:dyDescent="0.2">
      <c r="A91" s="5288"/>
      <c r="B91" s="5640"/>
      <c r="C91" s="5631"/>
      <c r="D91" s="1321" t="s">
        <v>419</v>
      </c>
      <c r="E91" s="1297"/>
      <c r="F91" s="1298"/>
      <c r="G91" s="1298"/>
      <c r="H91" s="1299"/>
      <c r="I91" s="1297"/>
      <c r="J91" s="1298"/>
      <c r="K91" s="1298"/>
      <c r="L91" s="1318"/>
      <c r="M91" s="1297"/>
      <c r="N91" s="1298"/>
      <c r="O91" s="1298"/>
      <c r="P91" s="1318"/>
      <c r="Q91" s="1297"/>
      <c r="R91" s="1298"/>
      <c r="S91" s="1298"/>
      <c r="T91" s="1318"/>
      <c r="U91" s="1297"/>
      <c r="V91" s="1298"/>
      <c r="W91" s="1298"/>
      <c r="X91" s="1299"/>
      <c r="Y91" s="1297"/>
      <c r="Z91" s="1298"/>
      <c r="AA91" s="1298"/>
      <c r="AB91" s="1299"/>
      <c r="AC91" s="1297"/>
      <c r="AD91" s="1298"/>
      <c r="AE91" s="1298"/>
      <c r="AF91" s="1300"/>
      <c r="AG91" s="1298"/>
      <c r="AH91" s="1298"/>
      <c r="AI91" s="1298"/>
      <c r="AJ91" s="1300"/>
      <c r="AK91" s="1298"/>
      <c r="AL91" s="1298"/>
      <c r="AM91" s="1298"/>
      <c r="AN91" s="1300"/>
      <c r="AO91" s="1298"/>
      <c r="AP91" s="1298"/>
      <c r="AQ91" s="1298"/>
      <c r="AR91" s="1300"/>
      <c r="AS91" s="1298"/>
      <c r="AT91" s="1298"/>
      <c r="AU91" s="1298"/>
      <c r="AV91" s="1300"/>
      <c r="AW91" s="1298"/>
      <c r="AX91" s="1298"/>
      <c r="AY91" s="1298"/>
      <c r="AZ91" s="1300"/>
      <c r="BA91" s="1298"/>
      <c r="BB91" s="1298"/>
      <c r="BC91" s="1298"/>
      <c r="BD91" s="1300"/>
      <c r="BE91" s="1298"/>
      <c r="BF91" s="1298"/>
      <c r="BG91" s="1298"/>
      <c r="BH91" s="1300"/>
      <c r="BI91" s="1298"/>
      <c r="BJ91" s="1298"/>
      <c r="BK91" s="1298"/>
      <c r="BL91" s="1300"/>
      <c r="BM91" s="1298">
        <v>2</v>
      </c>
      <c r="BN91" s="1298">
        <v>4</v>
      </c>
      <c r="BO91" s="1298">
        <v>2</v>
      </c>
      <c r="BP91" s="1300">
        <f t="shared" si="91"/>
        <v>8</v>
      </c>
      <c r="BQ91" s="1298"/>
      <c r="BR91" s="1298"/>
      <c r="BS91" s="1298">
        <v>1</v>
      </c>
      <c r="BT91" s="1300">
        <f t="shared" si="92"/>
        <v>1</v>
      </c>
    </row>
    <row r="92" spans="1:72" ht="14.25" customHeight="1" x14ac:dyDescent="0.2">
      <c r="A92" s="5288"/>
      <c r="B92" s="5640"/>
      <c r="C92" s="5632"/>
      <c r="D92" s="1321" t="s">
        <v>560</v>
      </c>
      <c r="E92" s="1297"/>
      <c r="F92" s="1298"/>
      <c r="G92" s="1298"/>
      <c r="H92" s="1299"/>
      <c r="I92" s="1297"/>
      <c r="J92" s="1298"/>
      <c r="K92" s="1298"/>
      <c r="L92" s="1318"/>
      <c r="M92" s="1297">
        <v>1</v>
      </c>
      <c r="N92" s="1298"/>
      <c r="O92" s="1298"/>
      <c r="P92" s="1318">
        <f t="shared" si="86"/>
        <v>1</v>
      </c>
      <c r="Q92" s="1297"/>
      <c r="R92" s="1298">
        <v>12</v>
      </c>
      <c r="S92" s="1298"/>
      <c r="T92" s="1318">
        <f t="shared" si="87"/>
        <v>12</v>
      </c>
      <c r="U92" s="1297"/>
      <c r="V92" s="1298"/>
      <c r="W92" s="1298"/>
      <c r="X92" s="1299"/>
      <c r="Y92" s="1297"/>
      <c r="Z92" s="1298"/>
      <c r="AA92" s="1298"/>
      <c r="AB92" s="1299"/>
      <c r="AC92" s="1297"/>
      <c r="AD92" s="1298"/>
      <c r="AE92" s="1298"/>
      <c r="AF92" s="1300"/>
      <c r="AG92" s="1298"/>
      <c r="AH92" s="1298"/>
      <c r="AI92" s="1298"/>
      <c r="AJ92" s="1300"/>
      <c r="AK92" s="1298"/>
      <c r="AL92" s="1298"/>
      <c r="AM92" s="1298"/>
      <c r="AN92" s="1300"/>
      <c r="AO92" s="1298"/>
      <c r="AP92" s="1298"/>
      <c r="AQ92" s="1298"/>
      <c r="AR92" s="1300"/>
      <c r="AS92" s="1298"/>
      <c r="AT92" s="1298"/>
      <c r="AU92" s="1298"/>
      <c r="AV92" s="1300"/>
      <c r="AW92" s="1298"/>
      <c r="AX92" s="1298"/>
      <c r="AY92" s="1298"/>
      <c r="AZ92" s="1300"/>
      <c r="BA92" s="1298"/>
      <c r="BB92" s="1298"/>
      <c r="BC92" s="1298"/>
      <c r="BD92" s="1300"/>
      <c r="BE92" s="1298"/>
      <c r="BF92" s="1298"/>
      <c r="BG92" s="1298"/>
      <c r="BH92" s="1300"/>
      <c r="BI92" s="1298"/>
      <c r="BJ92" s="1298"/>
      <c r="BK92" s="1298"/>
      <c r="BL92" s="1300"/>
      <c r="BM92" s="1298"/>
      <c r="BN92" s="1298"/>
      <c r="BO92" s="1298"/>
      <c r="BP92" s="1300">
        <f t="shared" si="91"/>
        <v>0</v>
      </c>
      <c r="BQ92" s="1298"/>
      <c r="BR92" s="1298"/>
      <c r="BS92" s="1298"/>
      <c r="BT92" s="1300">
        <f t="shared" si="92"/>
        <v>0</v>
      </c>
    </row>
    <row r="93" spans="1:72" ht="14.25" customHeight="1" x14ac:dyDescent="0.2">
      <c r="A93" s="5288"/>
      <c r="B93" s="5640"/>
      <c r="C93" s="5630" t="s">
        <v>526</v>
      </c>
      <c r="D93" s="1321" t="s">
        <v>90</v>
      </c>
      <c r="E93" s="1297"/>
      <c r="F93" s="1298"/>
      <c r="G93" s="1298"/>
      <c r="H93" s="1299"/>
      <c r="I93" s="1297"/>
      <c r="J93" s="1298"/>
      <c r="K93" s="1298"/>
      <c r="L93" s="1318"/>
      <c r="M93" s="1297"/>
      <c r="N93" s="1298"/>
      <c r="O93" s="1298"/>
      <c r="P93" s="1318"/>
      <c r="Q93" s="1297"/>
      <c r="R93" s="1298"/>
      <c r="S93" s="1298"/>
      <c r="T93" s="1318"/>
      <c r="U93" s="1297"/>
      <c r="V93" s="1298"/>
      <c r="W93" s="1298"/>
      <c r="X93" s="1299"/>
      <c r="Y93" s="1297"/>
      <c r="Z93" s="1298"/>
      <c r="AA93" s="1298"/>
      <c r="AB93" s="1299"/>
      <c r="AC93" s="1297"/>
      <c r="AD93" s="1298">
        <v>1</v>
      </c>
      <c r="AE93" s="1298">
        <v>1</v>
      </c>
      <c r="AF93" s="1300">
        <f>SUM(AC93:AE93)</f>
        <v>2</v>
      </c>
      <c r="AG93" s="1298"/>
      <c r="AH93" s="1298"/>
      <c r="AI93" s="1298">
        <v>1</v>
      </c>
      <c r="AJ93" s="1300">
        <f>SUM(AG93:AI93)</f>
        <v>1</v>
      </c>
      <c r="AK93" s="1298"/>
      <c r="AL93" s="1298"/>
      <c r="AM93" s="1298">
        <v>1</v>
      </c>
      <c r="AN93" s="1300">
        <f>SUM(AK93:AM93)</f>
        <v>1</v>
      </c>
      <c r="AO93" s="1298">
        <v>2</v>
      </c>
      <c r="AP93" s="1298"/>
      <c r="AQ93" s="1298">
        <v>1</v>
      </c>
      <c r="AR93" s="1300">
        <f>SUM(AO93:AQ93)</f>
        <v>3</v>
      </c>
      <c r="AS93" s="1298"/>
      <c r="AT93" s="1298">
        <v>2</v>
      </c>
      <c r="AU93" s="1298">
        <v>2</v>
      </c>
      <c r="AV93" s="1300">
        <f>SUM(AS93:AU93)</f>
        <v>4</v>
      </c>
      <c r="AW93" s="1298">
        <v>1</v>
      </c>
      <c r="AX93" s="1298">
        <v>4</v>
      </c>
      <c r="AY93" s="1298">
        <v>3</v>
      </c>
      <c r="AZ93" s="1300">
        <f>SUM(AW93:AY93)</f>
        <v>8</v>
      </c>
      <c r="BA93" s="1298">
        <v>2</v>
      </c>
      <c r="BB93" s="1298">
        <v>3</v>
      </c>
      <c r="BC93" s="1298">
        <v>2</v>
      </c>
      <c r="BD93" s="1300">
        <f>SUM(BA93:BC93)</f>
        <v>7</v>
      </c>
      <c r="BE93" s="1298">
        <v>5</v>
      </c>
      <c r="BF93" s="1298"/>
      <c r="BG93" s="1298">
        <v>1</v>
      </c>
      <c r="BH93" s="1300">
        <f>SUM(BE93:BG93)</f>
        <v>6</v>
      </c>
      <c r="BI93" s="1298"/>
      <c r="BJ93" s="1298">
        <v>1</v>
      </c>
      <c r="BK93" s="1298">
        <v>3</v>
      </c>
      <c r="BL93" s="1300">
        <f>SUM(BI93:BK93)</f>
        <v>4</v>
      </c>
      <c r="BM93" s="1298">
        <v>2</v>
      </c>
      <c r="BN93" s="1298"/>
      <c r="BO93" s="1298">
        <v>4</v>
      </c>
      <c r="BP93" s="1300">
        <f>SUM(BM93:BO93)</f>
        <v>6</v>
      </c>
      <c r="BQ93" s="1298">
        <v>3</v>
      </c>
      <c r="BR93" s="1298">
        <v>3</v>
      </c>
      <c r="BS93" s="1298">
        <v>3</v>
      </c>
      <c r="BT93" s="1300">
        <f>SUM(BQ93:BS93)</f>
        <v>9</v>
      </c>
    </row>
    <row r="94" spans="1:72" ht="14.25" customHeight="1" x14ac:dyDescent="0.2">
      <c r="A94" s="5288"/>
      <c r="B94" s="5640"/>
      <c r="C94" s="5631"/>
      <c r="D94" s="1321" t="s">
        <v>143</v>
      </c>
      <c r="E94" s="1297"/>
      <c r="F94" s="1298"/>
      <c r="G94" s="1298"/>
      <c r="H94" s="1299"/>
      <c r="I94" s="1297"/>
      <c r="J94" s="1298"/>
      <c r="K94" s="1298"/>
      <c r="L94" s="1318"/>
      <c r="M94" s="1297"/>
      <c r="N94" s="1298"/>
      <c r="O94" s="1298"/>
      <c r="P94" s="1318"/>
      <c r="Q94" s="1297"/>
      <c r="R94" s="1298"/>
      <c r="S94" s="1298"/>
      <c r="T94" s="1318"/>
      <c r="U94" s="1297"/>
      <c r="V94" s="1298"/>
      <c r="W94" s="1298"/>
      <c r="X94" s="1299"/>
      <c r="Y94" s="1297"/>
      <c r="Z94" s="1298"/>
      <c r="AA94" s="1298"/>
      <c r="AB94" s="1299"/>
      <c r="AC94" s="1297">
        <v>1</v>
      </c>
      <c r="AD94" s="1298">
        <v>2</v>
      </c>
      <c r="AE94" s="1298"/>
      <c r="AF94" s="1300">
        <f>SUM(AC94:AE94)</f>
        <v>3</v>
      </c>
      <c r="AG94" s="1298"/>
      <c r="AH94" s="1298"/>
      <c r="AI94" s="1298"/>
      <c r="AJ94" s="1300"/>
      <c r="AK94" s="1298"/>
      <c r="AL94" s="1298">
        <v>1</v>
      </c>
      <c r="AM94" s="1298"/>
      <c r="AN94" s="1300">
        <f t="shared" si="73"/>
        <v>1</v>
      </c>
      <c r="AO94" s="1298"/>
      <c r="AP94" s="1298"/>
      <c r="AQ94" s="1298"/>
      <c r="AR94" s="1300">
        <f t="shared" si="74"/>
        <v>0</v>
      </c>
      <c r="AS94" s="1298">
        <v>1</v>
      </c>
      <c r="AT94" s="1298">
        <v>1</v>
      </c>
      <c r="AU94" s="1298">
        <v>1</v>
      </c>
      <c r="AV94" s="1300">
        <f t="shared" si="75"/>
        <v>3</v>
      </c>
      <c r="AW94" s="1298"/>
      <c r="AX94" s="1298"/>
      <c r="AY94" s="1298"/>
      <c r="AZ94" s="1300">
        <f t="shared" si="76"/>
        <v>0</v>
      </c>
      <c r="BA94" s="1298"/>
      <c r="BB94" s="1298">
        <v>1</v>
      </c>
      <c r="BC94" s="1298"/>
      <c r="BD94" s="1300">
        <f t="shared" si="77"/>
        <v>1</v>
      </c>
      <c r="BE94" s="1298"/>
      <c r="BF94" s="1298"/>
      <c r="BG94" s="1298"/>
      <c r="BH94" s="1300">
        <f t="shared" si="89"/>
        <v>0</v>
      </c>
      <c r="BI94" s="1298">
        <v>1</v>
      </c>
      <c r="BJ94" s="1298"/>
      <c r="BK94" s="1298">
        <v>3</v>
      </c>
      <c r="BL94" s="1300">
        <f>SUM(BI94:BK94)</f>
        <v>4</v>
      </c>
      <c r="BM94" s="1298"/>
      <c r="BN94" s="1298"/>
      <c r="BO94" s="1298">
        <v>2</v>
      </c>
      <c r="BP94" s="1300">
        <f>SUM(BM94:BO94)</f>
        <v>2</v>
      </c>
      <c r="BQ94" s="1298"/>
      <c r="BR94" s="1298"/>
      <c r="BS94" s="1298"/>
      <c r="BT94" s="1300">
        <f>SUM(BQ94:BS94)</f>
        <v>0</v>
      </c>
    </row>
    <row r="95" spans="1:72" ht="14.25" customHeight="1" x14ac:dyDescent="0.2">
      <c r="A95" s="5288"/>
      <c r="B95" s="5640"/>
      <c r="C95" s="5631"/>
      <c r="D95" s="1302" t="s">
        <v>20</v>
      </c>
      <c r="E95" s="1303">
        <v>4</v>
      </c>
      <c r="F95" s="1304">
        <v>1</v>
      </c>
      <c r="G95" s="1304">
        <v>2</v>
      </c>
      <c r="H95" s="1305">
        <f>SUM(E95:G95)</f>
        <v>7</v>
      </c>
      <c r="I95" s="1303">
        <v>1</v>
      </c>
      <c r="J95" s="1304">
        <v>5</v>
      </c>
      <c r="K95" s="1304">
        <v>4</v>
      </c>
      <c r="L95" s="1305">
        <f>SUM(I95:K95)</f>
        <v>10</v>
      </c>
      <c r="M95" s="1303">
        <v>1</v>
      </c>
      <c r="N95" s="1304">
        <v>1</v>
      </c>
      <c r="O95" s="1304">
        <v>3</v>
      </c>
      <c r="P95" s="1305">
        <f>SUM(M95:O95)</f>
        <v>5</v>
      </c>
      <c r="Q95" s="1303">
        <v>5</v>
      </c>
      <c r="R95" s="1304">
        <v>5</v>
      </c>
      <c r="S95" s="1304">
        <v>7</v>
      </c>
      <c r="T95" s="1305">
        <f>SUM(Q95:S95)</f>
        <v>17</v>
      </c>
      <c r="U95" s="1303">
        <v>3</v>
      </c>
      <c r="V95" s="1304">
        <v>4</v>
      </c>
      <c r="W95" s="1304">
        <v>5</v>
      </c>
      <c r="X95" s="1305">
        <f t="shared" ref="X95:X103" si="94">SUM(U95:W95)</f>
        <v>12</v>
      </c>
      <c r="Y95" s="1303">
        <v>4</v>
      </c>
      <c r="Z95" s="1304">
        <v>4</v>
      </c>
      <c r="AA95" s="1304">
        <v>8</v>
      </c>
      <c r="AB95" s="1305">
        <f>SUM(Y95:AA95)</f>
        <v>16</v>
      </c>
      <c r="AC95" s="1303">
        <v>5</v>
      </c>
      <c r="AD95" s="1304">
        <v>7</v>
      </c>
      <c r="AE95" s="1304">
        <v>2</v>
      </c>
      <c r="AF95" s="1306">
        <f>SUM(AC95:AE95)</f>
        <v>14</v>
      </c>
      <c r="AG95" s="1304">
        <v>1</v>
      </c>
      <c r="AH95" s="1304">
        <v>9</v>
      </c>
      <c r="AI95" s="1304">
        <v>8</v>
      </c>
      <c r="AJ95" s="1306">
        <f>SUM(AG95:AI95)</f>
        <v>18</v>
      </c>
      <c r="AK95" s="1304">
        <v>4</v>
      </c>
      <c r="AL95" s="1304">
        <v>7</v>
      </c>
      <c r="AM95" s="1304">
        <v>6</v>
      </c>
      <c r="AN95" s="1306">
        <f t="shared" si="73"/>
        <v>17</v>
      </c>
      <c r="AO95" s="1304">
        <v>1</v>
      </c>
      <c r="AP95" s="1304">
        <v>8</v>
      </c>
      <c r="AQ95" s="1304">
        <v>5</v>
      </c>
      <c r="AR95" s="1306">
        <f t="shared" si="74"/>
        <v>14</v>
      </c>
      <c r="AS95" s="1304">
        <v>2</v>
      </c>
      <c r="AT95" s="1304">
        <v>8</v>
      </c>
      <c r="AU95" s="1304">
        <v>9</v>
      </c>
      <c r="AV95" s="1306">
        <f t="shared" si="75"/>
        <v>19</v>
      </c>
      <c r="AW95" s="1304">
        <v>9</v>
      </c>
      <c r="AX95" s="1304">
        <v>10</v>
      </c>
      <c r="AY95" s="1304">
        <v>20</v>
      </c>
      <c r="AZ95" s="1306">
        <f t="shared" si="76"/>
        <v>39</v>
      </c>
      <c r="BA95" s="1304">
        <v>14</v>
      </c>
      <c r="BB95" s="1304">
        <v>8</v>
      </c>
      <c r="BC95" s="1304">
        <v>3</v>
      </c>
      <c r="BD95" s="1306">
        <f t="shared" si="77"/>
        <v>25</v>
      </c>
      <c r="BE95" s="1304"/>
      <c r="BF95" s="1304">
        <v>8</v>
      </c>
      <c r="BG95" s="1304">
        <v>8</v>
      </c>
      <c r="BH95" s="1306">
        <f t="shared" si="89"/>
        <v>16</v>
      </c>
      <c r="BI95" s="1304">
        <v>6</v>
      </c>
      <c r="BJ95" s="1304">
        <v>9</v>
      </c>
      <c r="BK95" s="1304">
        <v>7</v>
      </c>
      <c r="BL95" s="1306">
        <f>SUM(BI95:BK95)</f>
        <v>22</v>
      </c>
      <c r="BM95" s="1304">
        <v>3</v>
      </c>
      <c r="BN95" s="1304">
        <v>4</v>
      </c>
      <c r="BO95" s="1304">
        <v>11</v>
      </c>
      <c r="BP95" s="1306">
        <f>SUM(BM95:BO95)</f>
        <v>18</v>
      </c>
      <c r="BQ95" s="1304">
        <v>6</v>
      </c>
      <c r="BR95" s="1304">
        <v>10</v>
      </c>
      <c r="BS95" s="1304">
        <v>6</v>
      </c>
      <c r="BT95" s="1306">
        <f>SUM(BQ95:BS95)</f>
        <v>22</v>
      </c>
    </row>
    <row r="96" spans="1:72" ht="14.25" customHeight="1" x14ac:dyDescent="0.2">
      <c r="A96" s="5288"/>
      <c r="B96" s="5641"/>
      <c r="C96" s="1372"/>
      <c r="D96" s="1307" t="s">
        <v>160</v>
      </c>
      <c r="E96" s="1308">
        <f t="shared" ref="E96:AJ96" si="95">SUM(E80:E95)</f>
        <v>8</v>
      </c>
      <c r="F96" s="1309">
        <f t="shared" si="95"/>
        <v>13</v>
      </c>
      <c r="G96" s="1309">
        <f t="shared" si="95"/>
        <v>20</v>
      </c>
      <c r="H96" s="1309">
        <f t="shared" si="95"/>
        <v>41</v>
      </c>
      <c r="I96" s="1308">
        <f t="shared" si="95"/>
        <v>9</v>
      </c>
      <c r="J96" s="1309">
        <f t="shared" si="95"/>
        <v>12</v>
      </c>
      <c r="K96" s="1309">
        <f t="shared" si="95"/>
        <v>15</v>
      </c>
      <c r="L96" s="1309">
        <f t="shared" si="95"/>
        <v>36</v>
      </c>
      <c r="M96" s="1308">
        <f t="shared" si="95"/>
        <v>14</v>
      </c>
      <c r="N96" s="1309">
        <f t="shared" si="95"/>
        <v>9</v>
      </c>
      <c r="O96" s="1309">
        <f t="shared" si="95"/>
        <v>39</v>
      </c>
      <c r="P96" s="1309">
        <f t="shared" si="95"/>
        <v>62</v>
      </c>
      <c r="Q96" s="1308">
        <f t="shared" si="95"/>
        <v>18</v>
      </c>
      <c r="R96" s="1309">
        <f t="shared" si="95"/>
        <v>58</v>
      </c>
      <c r="S96" s="1309">
        <f t="shared" si="95"/>
        <v>25</v>
      </c>
      <c r="T96" s="1309">
        <f t="shared" si="95"/>
        <v>101</v>
      </c>
      <c r="U96" s="1308">
        <f t="shared" si="95"/>
        <v>27</v>
      </c>
      <c r="V96" s="1309">
        <f t="shared" si="95"/>
        <v>19</v>
      </c>
      <c r="W96" s="1309">
        <f t="shared" si="95"/>
        <v>32</v>
      </c>
      <c r="X96" s="1309">
        <f t="shared" si="95"/>
        <v>78</v>
      </c>
      <c r="Y96" s="1308">
        <f t="shared" si="95"/>
        <v>19</v>
      </c>
      <c r="Z96" s="1309">
        <f t="shared" si="95"/>
        <v>18</v>
      </c>
      <c r="AA96" s="1309">
        <f t="shared" si="95"/>
        <v>46</v>
      </c>
      <c r="AB96" s="1309">
        <f t="shared" si="95"/>
        <v>83</v>
      </c>
      <c r="AC96" s="1308">
        <f t="shared" si="95"/>
        <v>26</v>
      </c>
      <c r="AD96" s="1309">
        <f t="shared" si="95"/>
        <v>40</v>
      </c>
      <c r="AE96" s="1309">
        <f t="shared" si="95"/>
        <v>29</v>
      </c>
      <c r="AF96" s="1366">
        <f t="shared" si="95"/>
        <v>95</v>
      </c>
      <c r="AG96" s="1309">
        <f t="shared" si="95"/>
        <v>6</v>
      </c>
      <c r="AH96" s="1309">
        <f t="shared" si="95"/>
        <v>22</v>
      </c>
      <c r="AI96" s="1309">
        <f t="shared" si="95"/>
        <v>33</v>
      </c>
      <c r="AJ96" s="1366">
        <f t="shared" si="95"/>
        <v>61</v>
      </c>
      <c r="AK96" s="1309">
        <f t="shared" ref="AK96:BP96" si="96">SUM(AK80:AK95)</f>
        <v>61</v>
      </c>
      <c r="AL96" s="1309">
        <f t="shared" si="96"/>
        <v>26</v>
      </c>
      <c r="AM96" s="1309">
        <f t="shared" si="96"/>
        <v>42</v>
      </c>
      <c r="AN96" s="1366">
        <f t="shared" si="96"/>
        <v>129</v>
      </c>
      <c r="AO96" s="1309">
        <f t="shared" si="96"/>
        <v>21</v>
      </c>
      <c r="AP96" s="1309">
        <f t="shared" si="96"/>
        <v>19</v>
      </c>
      <c r="AQ96" s="1309">
        <f t="shared" si="96"/>
        <v>77</v>
      </c>
      <c r="AR96" s="1366">
        <f t="shared" si="96"/>
        <v>117</v>
      </c>
      <c r="AS96" s="1309">
        <f t="shared" si="96"/>
        <v>22</v>
      </c>
      <c r="AT96" s="1309">
        <f t="shared" si="96"/>
        <v>25</v>
      </c>
      <c r="AU96" s="1309">
        <f t="shared" si="96"/>
        <v>55</v>
      </c>
      <c r="AV96" s="1366">
        <f t="shared" si="96"/>
        <v>102</v>
      </c>
      <c r="AW96" s="1309">
        <f t="shared" si="96"/>
        <v>48</v>
      </c>
      <c r="AX96" s="1309">
        <f t="shared" si="96"/>
        <v>38</v>
      </c>
      <c r="AY96" s="1309">
        <f t="shared" si="96"/>
        <v>116</v>
      </c>
      <c r="AZ96" s="1366">
        <f t="shared" si="96"/>
        <v>202</v>
      </c>
      <c r="BA96" s="1309">
        <f t="shared" si="96"/>
        <v>61</v>
      </c>
      <c r="BB96" s="1309">
        <f t="shared" si="96"/>
        <v>50</v>
      </c>
      <c r="BC96" s="1309">
        <f t="shared" si="96"/>
        <v>39</v>
      </c>
      <c r="BD96" s="1366">
        <f t="shared" si="96"/>
        <v>150</v>
      </c>
      <c r="BE96" s="1309">
        <f t="shared" si="96"/>
        <v>22</v>
      </c>
      <c r="BF96" s="1309">
        <f t="shared" si="96"/>
        <v>24</v>
      </c>
      <c r="BG96" s="1309">
        <f t="shared" si="96"/>
        <v>42</v>
      </c>
      <c r="BH96" s="1366">
        <f t="shared" si="96"/>
        <v>88</v>
      </c>
      <c r="BI96" s="1309">
        <f t="shared" si="96"/>
        <v>52</v>
      </c>
      <c r="BJ96" s="1309">
        <f t="shared" si="96"/>
        <v>22</v>
      </c>
      <c r="BK96" s="1309">
        <f t="shared" si="96"/>
        <v>25</v>
      </c>
      <c r="BL96" s="1366">
        <f t="shared" si="96"/>
        <v>99</v>
      </c>
      <c r="BM96" s="1309">
        <f t="shared" si="96"/>
        <v>19</v>
      </c>
      <c r="BN96" s="1309">
        <f t="shared" si="96"/>
        <v>23</v>
      </c>
      <c r="BO96" s="1309">
        <f t="shared" si="96"/>
        <v>76</v>
      </c>
      <c r="BP96" s="1366">
        <f t="shared" si="96"/>
        <v>118</v>
      </c>
      <c r="BQ96" s="1309">
        <f t="shared" ref="BQ96:BT96" si="97">SUM(BQ80:BQ95)</f>
        <v>41</v>
      </c>
      <c r="BR96" s="1309">
        <f t="shared" si="97"/>
        <v>32</v>
      </c>
      <c r="BS96" s="1309">
        <f t="shared" si="97"/>
        <v>30</v>
      </c>
      <c r="BT96" s="1366">
        <f t="shared" si="97"/>
        <v>103</v>
      </c>
    </row>
    <row r="97" spans="1:72" ht="12.75" customHeight="1" x14ac:dyDescent="0.2">
      <c r="A97" s="5288"/>
      <c r="B97" s="5642" t="s">
        <v>11</v>
      </c>
      <c r="C97" s="5630" t="s">
        <v>528</v>
      </c>
      <c r="D97" s="1323" t="s">
        <v>839</v>
      </c>
      <c r="E97" s="1311"/>
      <c r="F97" s="1312"/>
      <c r="G97" s="1312"/>
      <c r="H97" s="1292"/>
      <c r="I97" s="1311"/>
      <c r="J97" s="1312"/>
      <c r="K97" s="1312"/>
      <c r="L97" s="1292"/>
      <c r="M97" s="1311"/>
      <c r="N97" s="1312"/>
      <c r="O97" s="1312"/>
      <c r="P97" s="1292"/>
      <c r="Q97" s="1311"/>
      <c r="R97" s="1312"/>
      <c r="S97" s="1312"/>
      <c r="T97" s="1292"/>
      <c r="U97" s="1311"/>
      <c r="V97" s="1312">
        <v>3</v>
      </c>
      <c r="W97" s="1312">
        <v>8</v>
      </c>
      <c r="X97" s="1292">
        <f t="shared" si="94"/>
        <v>11</v>
      </c>
      <c r="Y97" s="1311">
        <v>6</v>
      </c>
      <c r="Z97" s="1312">
        <v>1</v>
      </c>
      <c r="AA97" s="1312">
        <v>1</v>
      </c>
      <c r="AB97" s="1292">
        <f>SUM(Y97:AA97)</f>
        <v>8</v>
      </c>
      <c r="AC97" s="1311"/>
      <c r="AD97" s="1312">
        <v>8</v>
      </c>
      <c r="AE97" s="1312">
        <v>1</v>
      </c>
      <c r="AF97" s="1295">
        <f>SUM(AC97:AE97)</f>
        <v>9</v>
      </c>
      <c r="AG97" s="1312"/>
      <c r="AH97" s="1312"/>
      <c r="AI97" s="1312"/>
      <c r="AJ97" s="1295"/>
      <c r="AK97" s="1312">
        <v>3</v>
      </c>
      <c r="AL97" s="1312">
        <v>9</v>
      </c>
      <c r="AM97" s="1312"/>
      <c r="AN97" s="1295">
        <f t="shared" si="73"/>
        <v>12</v>
      </c>
      <c r="AO97" s="1312"/>
      <c r="AP97" s="1312">
        <v>3</v>
      </c>
      <c r="AQ97" s="1312">
        <v>2</v>
      </c>
      <c r="AR97" s="1295">
        <f t="shared" si="74"/>
        <v>5</v>
      </c>
      <c r="AS97" s="1312"/>
      <c r="AT97" s="1312">
        <v>6</v>
      </c>
      <c r="AU97" s="1312">
        <v>4</v>
      </c>
      <c r="AV97" s="1295">
        <f t="shared" si="75"/>
        <v>10</v>
      </c>
      <c r="AW97" s="1312"/>
      <c r="AX97" s="1312"/>
      <c r="AY97" s="1312"/>
      <c r="AZ97" s="1295">
        <f t="shared" si="76"/>
        <v>0</v>
      </c>
      <c r="BA97" s="1312"/>
      <c r="BB97" s="1312">
        <v>1</v>
      </c>
      <c r="BC97" s="1312"/>
      <c r="BD97" s="1295">
        <f t="shared" si="77"/>
        <v>1</v>
      </c>
      <c r="BE97" s="1312">
        <v>6</v>
      </c>
      <c r="BF97" s="1312">
        <v>1</v>
      </c>
      <c r="BG97" s="1312"/>
      <c r="BH97" s="1319">
        <f t="shared" si="89"/>
        <v>7</v>
      </c>
      <c r="BI97" s="1312"/>
      <c r="BJ97" s="1312"/>
      <c r="BK97" s="1312"/>
      <c r="BL97" s="1319"/>
      <c r="BM97" s="1312">
        <v>9</v>
      </c>
      <c r="BN97" s="1312"/>
      <c r="BO97" s="1312"/>
      <c r="BP97" s="1300">
        <f t="shared" ref="BP97:BP108" si="98">SUM(BM97:BO97)</f>
        <v>9</v>
      </c>
      <c r="BQ97" s="1312"/>
      <c r="BR97" s="1312"/>
      <c r="BS97" s="1312"/>
      <c r="BT97" s="1300">
        <f t="shared" ref="BT97:BT108" si="99">SUM(BQ97:BS97)</f>
        <v>0</v>
      </c>
    </row>
    <row r="98" spans="1:72" ht="12.75" customHeight="1" x14ac:dyDescent="0.2">
      <c r="A98" s="5288"/>
      <c r="B98" s="5640"/>
      <c r="C98" s="5631"/>
      <c r="D98" s="1322" t="s">
        <v>397</v>
      </c>
      <c r="E98" s="1297"/>
      <c r="F98" s="1298"/>
      <c r="G98" s="1298"/>
      <c r="H98" s="1299"/>
      <c r="I98" s="1297">
        <v>7</v>
      </c>
      <c r="J98" s="1298"/>
      <c r="K98" s="1298">
        <v>1</v>
      </c>
      <c r="L98" s="1299">
        <f>SUM(I98:K98)</f>
        <v>8</v>
      </c>
      <c r="M98" s="1297">
        <v>1</v>
      </c>
      <c r="N98" s="1298">
        <v>1</v>
      </c>
      <c r="O98" s="1298"/>
      <c r="P98" s="1299">
        <f>SUM(M98:O98)</f>
        <v>2</v>
      </c>
      <c r="Q98" s="1297">
        <v>1</v>
      </c>
      <c r="R98" s="1298">
        <v>36</v>
      </c>
      <c r="S98" s="1298">
        <v>1</v>
      </c>
      <c r="T98" s="1299">
        <f>SUM(Q98:S98)</f>
        <v>38</v>
      </c>
      <c r="U98" s="1297">
        <v>1</v>
      </c>
      <c r="V98" s="1298"/>
      <c r="W98" s="1298"/>
      <c r="X98" s="1299">
        <f t="shared" si="94"/>
        <v>1</v>
      </c>
      <c r="Y98" s="1297"/>
      <c r="Z98" s="1298"/>
      <c r="AA98" s="1298"/>
      <c r="AB98" s="1299"/>
      <c r="AC98" s="1297"/>
      <c r="AD98" s="1298"/>
      <c r="AE98" s="1298"/>
      <c r="AF98" s="1300"/>
      <c r="AG98" s="1298"/>
      <c r="AH98" s="1298"/>
      <c r="AI98" s="1298"/>
      <c r="AJ98" s="1300"/>
      <c r="AK98" s="1298"/>
      <c r="AL98" s="1298"/>
      <c r="AM98" s="1298"/>
      <c r="AN98" s="1300"/>
      <c r="AO98" s="1298"/>
      <c r="AP98" s="1298"/>
      <c r="AQ98" s="1298">
        <v>4</v>
      </c>
      <c r="AR98" s="1300">
        <f t="shared" si="74"/>
        <v>4</v>
      </c>
      <c r="AS98" s="1298"/>
      <c r="AT98" s="1298"/>
      <c r="AU98" s="1298"/>
      <c r="AV98" s="1300">
        <f t="shared" si="75"/>
        <v>0</v>
      </c>
      <c r="AW98" s="1298">
        <v>4</v>
      </c>
      <c r="AX98" s="1298">
        <v>2</v>
      </c>
      <c r="AY98" s="1298"/>
      <c r="AZ98" s="1300">
        <f t="shared" si="76"/>
        <v>6</v>
      </c>
      <c r="BA98" s="1298"/>
      <c r="BB98" s="1298"/>
      <c r="BC98" s="1298"/>
      <c r="BD98" s="1300">
        <f t="shared" si="77"/>
        <v>0</v>
      </c>
      <c r="BE98" s="1298"/>
      <c r="BF98" s="1298"/>
      <c r="BG98" s="1298"/>
      <c r="BH98" s="1300"/>
      <c r="BI98" s="1298"/>
      <c r="BJ98" s="1298"/>
      <c r="BK98" s="1298"/>
      <c r="BL98" s="1300"/>
      <c r="BM98" s="1298"/>
      <c r="BN98" s="1298"/>
      <c r="BO98" s="1298"/>
      <c r="BP98" s="1300">
        <f t="shared" si="98"/>
        <v>0</v>
      </c>
      <c r="BQ98" s="1298"/>
      <c r="BR98" s="1298"/>
      <c r="BS98" s="1298"/>
      <c r="BT98" s="1300">
        <f t="shared" si="99"/>
        <v>0</v>
      </c>
    </row>
    <row r="99" spans="1:72" ht="12.75" customHeight="1" x14ac:dyDescent="0.2">
      <c r="A99" s="5288"/>
      <c r="B99" s="5640"/>
      <c r="C99" s="5631"/>
      <c r="D99" s="1322" t="s">
        <v>91</v>
      </c>
      <c r="E99" s="1297">
        <v>1</v>
      </c>
      <c r="F99" s="1298"/>
      <c r="G99" s="1298"/>
      <c r="H99" s="1299">
        <f>SUM(E99:G99)</f>
        <v>1</v>
      </c>
      <c r="I99" s="1297"/>
      <c r="J99" s="1298"/>
      <c r="K99" s="1298">
        <v>1</v>
      </c>
      <c r="L99" s="1299">
        <f>SUM(I99:K99)</f>
        <v>1</v>
      </c>
      <c r="M99" s="1297"/>
      <c r="N99" s="1298">
        <v>1</v>
      </c>
      <c r="O99" s="1298">
        <v>1</v>
      </c>
      <c r="P99" s="1299">
        <f>SUM(M99:O99)</f>
        <v>2</v>
      </c>
      <c r="Q99" s="1297"/>
      <c r="R99" s="1298">
        <v>23</v>
      </c>
      <c r="S99" s="1298">
        <v>7</v>
      </c>
      <c r="T99" s="1299">
        <f>SUM(Q99:S99)</f>
        <v>30</v>
      </c>
      <c r="U99" s="1297"/>
      <c r="V99" s="1298">
        <v>5</v>
      </c>
      <c r="W99" s="1298"/>
      <c r="X99" s="1299">
        <f t="shared" si="94"/>
        <v>5</v>
      </c>
      <c r="Y99" s="1297"/>
      <c r="Z99" s="1298"/>
      <c r="AA99" s="1298">
        <v>1</v>
      </c>
      <c r="AB99" s="1299">
        <f>SUM(Y99:AA99)</f>
        <v>1</v>
      </c>
      <c r="AC99" s="1297">
        <v>3</v>
      </c>
      <c r="AD99" s="1298"/>
      <c r="AE99" s="1298"/>
      <c r="AF99" s="1300">
        <f>SUM(AC99:AE99)</f>
        <v>3</v>
      </c>
      <c r="AG99" s="1298"/>
      <c r="AH99" s="1298"/>
      <c r="AI99" s="1298">
        <v>1</v>
      </c>
      <c r="AJ99" s="1300">
        <f t="shared" ref="AJ99:AJ107" si="100">SUM(AG99:AI99)</f>
        <v>1</v>
      </c>
      <c r="AK99" s="1298"/>
      <c r="AL99" s="1298"/>
      <c r="AM99" s="1298"/>
      <c r="AN99" s="1300"/>
      <c r="AO99" s="1298"/>
      <c r="AP99" s="1298"/>
      <c r="AQ99" s="1298"/>
      <c r="AR99" s="1300">
        <f t="shared" si="74"/>
        <v>0</v>
      </c>
      <c r="AS99" s="1298">
        <v>1</v>
      </c>
      <c r="AT99" s="1298">
        <v>4</v>
      </c>
      <c r="AU99" s="1298">
        <v>2</v>
      </c>
      <c r="AV99" s="1300">
        <f t="shared" si="75"/>
        <v>7</v>
      </c>
      <c r="AW99" s="1298"/>
      <c r="AX99" s="1298"/>
      <c r="AY99" s="1298"/>
      <c r="AZ99" s="1300">
        <f t="shared" si="76"/>
        <v>0</v>
      </c>
      <c r="BA99" s="1298"/>
      <c r="BB99" s="1298"/>
      <c r="BC99" s="1298">
        <v>2</v>
      </c>
      <c r="BD99" s="1300">
        <f t="shared" si="77"/>
        <v>2</v>
      </c>
      <c r="BE99" s="1298"/>
      <c r="BF99" s="1298"/>
      <c r="BG99" s="1298"/>
      <c r="BH99" s="1300"/>
      <c r="BI99" s="1298"/>
      <c r="BJ99" s="1298"/>
      <c r="BK99" s="1298"/>
      <c r="BL99" s="1300"/>
      <c r="BM99" s="1298"/>
      <c r="BN99" s="1298">
        <v>1</v>
      </c>
      <c r="BO99" s="1298"/>
      <c r="BP99" s="1300">
        <f t="shared" si="98"/>
        <v>1</v>
      </c>
      <c r="BQ99" s="1298">
        <v>5</v>
      </c>
      <c r="BR99" s="1298">
        <v>1</v>
      </c>
      <c r="BS99" s="1298"/>
      <c r="BT99" s="1300">
        <f t="shared" si="99"/>
        <v>6</v>
      </c>
    </row>
    <row r="100" spans="1:72" ht="12.75" customHeight="1" x14ac:dyDescent="0.2">
      <c r="A100" s="5288"/>
      <c r="B100" s="5640"/>
      <c r="C100" s="5630" t="s">
        <v>527</v>
      </c>
      <c r="D100" s="1322" t="s">
        <v>579</v>
      </c>
      <c r="E100" s="1297"/>
      <c r="F100" s="1298"/>
      <c r="G100" s="1298"/>
      <c r="H100" s="1299"/>
      <c r="I100" s="1297"/>
      <c r="J100" s="1298"/>
      <c r="K100" s="1298"/>
      <c r="L100" s="1299"/>
      <c r="M100" s="1297"/>
      <c r="N100" s="1298"/>
      <c r="O100" s="1298"/>
      <c r="P100" s="1299"/>
      <c r="Q100" s="1297"/>
      <c r="R100" s="1298"/>
      <c r="S100" s="1298"/>
      <c r="T100" s="1299"/>
      <c r="U100" s="1297"/>
      <c r="V100" s="1298"/>
      <c r="W100" s="1298"/>
      <c r="X100" s="1299"/>
      <c r="Y100" s="1297"/>
      <c r="Z100" s="1298"/>
      <c r="AA100" s="1298"/>
      <c r="AB100" s="1299"/>
      <c r="AC100" s="1297"/>
      <c r="AD100" s="1298"/>
      <c r="AE100" s="1298"/>
      <c r="AF100" s="1300"/>
      <c r="AG100" s="1298"/>
      <c r="AH100" s="1298"/>
      <c r="AI100" s="1298"/>
      <c r="AJ100" s="1300"/>
      <c r="AK100" s="1298"/>
      <c r="AL100" s="1298"/>
      <c r="AM100" s="1298"/>
      <c r="AN100" s="1300"/>
      <c r="AO100" s="1298"/>
      <c r="AP100" s="1298"/>
      <c r="AQ100" s="1298"/>
      <c r="AR100" s="1300"/>
      <c r="AS100" s="1298"/>
      <c r="AT100" s="1298"/>
      <c r="AU100" s="1298"/>
      <c r="AV100" s="1300"/>
      <c r="AW100" s="1298"/>
      <c r="AX100" s="1298"/>
      <c r="AY100" s="1298"/>
      <c r="AZ100" s="1300"/>
      <c r="BA100" s="1298"/>
      <c r="BB100" s="1298"/>
      <c r="BC100" s="1298">
        <v>4</v>
      </c>
      <c r="BD100" s="1300">
        <f>SUM(BA100:BC100)</f>
        <v>4</v>
      </c>
      <c r="BE100" s="1298"/>
      <c r="BF100" s="1298"/>
      <c r="BG100" s="1298"/>
      <c r="BH100" s="1300"/>
      <c r="BI100" s="1298">
        <v>1</v>
      </c>
      <c r="BJ100" s="1298">
        <v>3</v>
      </c>
      <c r="BK100" s="1298">
        <v>2</v>
      </c>
      <c r="BL100" s="1300">
        <f>SUM(BI100:BK100)</f>
        <v>6</v>
      </c>
      <c r="BM100" s="1298"/>
      <c r="BN100" s="1298"/>
      <c r="BO100" s="1298"/>
      <c r="BP100" s="1300">
        <f t="shared" si="98"/>
        <v>0</v>
      </c>
      <c r="BQ100" s="1298">
        <v>1</v>
      </c>
      <c r="BR100" s="1298">
        <v>3</v>
      </c>
      <c r="BS100" s="1298">
        <v>1</v>
      </c>
      <c r="BT100" s="1300">
        <f t="shared" si="99"/>
        <v>5</v>
      </c>
    </row>
    <row r="101" spans="1:72" ht="12.75" customHeight="1" x14ac:dyDescent="0.2">
      <c r="A101" s="5288"/>
      <c r="B101" s="5640"/>
      <c r="C101" s="5631"/>
      <c r="D101" s="1322" t="s">
        <v>94</v>
      </c>
      <c r="E101" s="1297"/>
      <c r="F101" s="1298">
        <v>1</v>
      </c>
      <c r="G101" s="1298">
        <v>3</v>
      </c>
      <c r="H101" s="1299">
        <f>SUM(E101:G101)</f>
        <v>4</v>
      </c>
      <c r="I101" s="1297"/>
      <c r="J101" s="1298"/>
      <c r="K101" s="1298">
        <v>1</v>
      </c>
      <c r="L101" s="1299">
        <f t="shared" ref="L101:L108" si="101">SUM(I101:K101)</f>
        <v>1</v>
      </c>
      <c r="M101" s="1297">
        <v>1</v>
      </c>
      <c r="N101" s="1298"/>
      <c r="O101" s="1298"/>
      <c r="P101" s="1299">
        <f t="shared" ref="P101:P107" si="102">SUM(M101:O101)</f>
        <v>1</v>
      </c>
      <c r="Q101" s="1297"/>
      <c r="R101" s="1298">
        <v>1</v>
      </c>
      <c r="S101" s="1298"/>
      <c r="T101" s="1299">
        <f t="shared" ref="T101:T107" si="103">SUM(Q101:S101)</f>
        <v>1</v>
      </c>
      <c r="U101" s="1297">
        <v>2</v>
      </c>
      <c r="V101" s="1298">
        <v>3</v>
      </c>
      <c r="W101" s="1298">
        <v>4</v>
      </c>
      <c r="X101" s="1299">
        <f t="shared" si="94"/>
        <v>9</v>
      </c>
      <c r="Y101" s="1297">
        <v>1</v>
      </c>
      <c r="Z101" s="1298">
        <v>5</v>
      </c>
      <c r="AA101" s="1298"/>
      <c r="AB101" s="1299">
        <f>SUM(Y101:AA101)</f>
        <v>6</v>
      </c>
      <c r="AC101" s="1297"/>
      <c r="AD101" s="1298"/>
      <c r="AE101" s="1298">
        <v>6</v>
      </c>
      <c r="AF101" s="1300">
        <f>SUM(AC101:AE101)</f>
        <v>6</v>
      </c>
      <c r="AG101" s="1298">
        <v>3</v>
      </c>
      <c r="AH101" s="1298">
        <v>1</v>
      </c>
      <c r="AI101" s="1298"/>
      <c r="AJ101" s="1300">
        <f t="shared" si="100"/>
        <v>4</v>
      </c>
      <c r="AK101" s="1298"/>
      <c r="AL101" s="1298"/>
      <c r="AM101" s="1298"/>
      <c r="AN101" s="1300"/>
      <c r="AO101" s="1298">
        <v>1</v>
      </c>
      <c r="AP101" s="1298">
        <v>2</v>
      </c>
      <c r="AQ101" s="1298">
        <v>2</v>
      </c>
      <c r="AR101" s="1300">
        <f t="shared" si="74"/>
        <v>5</v>
      </c>
      <c r="AS101" s="1298">
        <v>1</v>
      </c>
      <c r="AT101" s="1298">
        <v>4</v>
      </c>
      <c r="AU101" s="1298">
        <v>3</v>
      </c>
      <c r="AV101" s="1300">
        <f t="shared" si="75"/>
        <v>8</v>
      </c>
      <c r="AW101" s="1298">
        <v>1</v>
      </c>
      <c r="AX101" s="1298">
        <v>2</v>
      </c>
      <c r="AY101" s="1298">
        <v>7</v>
      </c>
      <c r="AZ101" s="1300">
        <f t="shared" si="76"/>
        <v>10</v>
      </c>
      <c r="BA101" s="1298"/>
      <c r="BB101" s="1298"/>
      <c r="BC101" s="1298"/>
      <c r="BD101" s="1300">
        <f t="shared" si="77"/>
        <v>0</v>
      </c>
      <c r="BE101" s="1298"/>
      <c r="BF101" s="1298"/>
      <c r="BG101" s="1298">
        <v>1</v>
      </c>
      <c r="BH101" s="1300">
        <f>SUM(BE101:BG101)</f>
        <v>1</v>
      </c>
      <c r="BI101" s="1298">
        <v>1</v>
      </c>
      <c r="BJ101" s="1298">
        <v>1</v>
      </c>
      <c r="BK101" s="1298">
        <v>1</v>
      </c>
      <c r="BL101" s="1300">
        <f>SUM(BI101:BK101)</f>
        <v>3</v>
      </c>
      <c r="BM101" s="1298"/>
      <c r="BN101" s="1298">
        <v>1</v>
      </c>
      <c r="BO101" s="1298">
        <v>1</v>
      </c>
      <c r="BP101" s="1300">
        <f t="shared" si="98"/>
        <v>2</v>
      </c>
      <c r="BQ101" s="1298">
        <v>2</v>
      </c>
      <c r="BR101" s="1298">
        <v>3</v>
      </c>
      <c r="BS101" s="1298">
        <v>2</v>
      </c>
      <c r="BT101" s="1300">
        <f t="shared" si="99"/>
        <v>7</v>
      </c>
    </row>
    <row r="102" spans="1:72" ht="12.75" customHeight="1" x14ac:dyDescent="0.2">
      <c r="A102" s="5288"/>
      <c r="B102" s="5640"/>
      <c r="C102" s="5631"/>
      <c r="D102" s="1322" t="s">
        <v>93</v>
      </c>
      <c r="E102" s="1297">
        <v>1</v>
      </c>
      <c r="F102" s="1298"/>
      <c r="G102" s="1298">
        <v>1</v>
      </c>
      <c r="H102" s="1299">
        <f>SUM(E102:G102)</f>
        <v>2</v>
      </c>
      <c r="I102" s="1297"/>
      <c r="J102" s="1298">
        <v>1</v>
      </c>
      <c r="K102" s="1298">
        <v>1</v>
      </c>
      <c r="L102" s="1299">
        <f t="shared" si="101"/>
        <v>2</v>
      </c>
      <c r="M102" s="1297">
        <v>1</v>
      </c>
      <c r="N102" s="1298">
        <v>1</v>
      </c>
      <c r="O102" s="1298">
        <v>1</v>
      </c>
      <c r="P102" s="1299">
        <f t="shared" si="102"/>
        <v>3</v>
      </c>
      <c r="Q102" s="1297"/>
      <c r="R102" s="1298"/>
      <c r="S102" s="1298"/>
      <c r="T102" s="1299"/>
      <c r="U102" s="1297"/>
      <c r="V102" s="1298">
        <v>1</v>
      </c>
      <c r="W102" s="1298"/>
      <c r="X102" s="1299">
        <f t="shared" si="94"/>
        <v>1</v>
      </c>
      <c r="Y102" s="1297"/>
      <c r="Z102" s="1298">
        <v>4</v>
      </c>
      <c r="AA102" s="1298">
        <v>2</v>
      </c>
      <c r="AB102" s="1299">
        <f>SUM(Y102:AA102)</f>
        <v>6</v>
      </c>
      <c r="AC102" s="1297">
        <v>4</v>
      </c>
      <c r="AD102" s="1298"/>
      <c r="AE102" s="1298">
        <v>5</v>
      </c>
      <c r="AF102" s="1300">
        <f>SUM(AC102:AE102)</f>
        <v>9</v>
      </c>
      <c r="AG102" s="1298"/>
      <c r="AH102" s="1298">
        <v>1</v>
      </c>
      <c r="AI102" s="1298">
        <v>9</v>
      </c>
      <c r="AJ102" s="1300">
        <f t="shared" si="100"/>
        <v>10</v>
      </c>
      <c r="AK102" s="1298">
        <v>2</v>
      </c>
      <c r="AL102" s="1298">
        <v>2</v>
      </c>
      <c r="AM102" s="1298">
        <v>1</v>
      </c>
      <c r="AN102" s="1300">
        <f t="shared" ref="AN102:AN107" si="104">SUM(AK102:AM102)</f>
        <v>5</v>
      </c>
      <c r="AO102" s="1298">
        <v>6</v>
      </c>
      <c r="AP102" s="1298">
        <v>2</v>
      </c>
      <c r="AQ102" s="1298">
        <v>1</v>
      </c>
      <c r="AR102" s="1300">
        <f t="shared" si="74"/>
        <v>9</v>
      </c>
      <c r="AS102" s="1298">
        <v>2</v>
      </c>
      <c r="AT102" s="1298">
        <v>8</v>
      </c>
      <c r="AU102" s="1298">
        <v>7</v>
      </c>
      <c r="AV102" s="1300">
        <f t="shared" si="75"/>
        <v>17</v>
      </c>
      <c r="AW102" s="1298">
        <v>4</v>
      </c>
      <c r="AX102" s="1298">
        <v>1</v>
      </c>
      <c r="AY102" s="1298">
        <v>7</v>
      </c>
      <c r="AZ102" s="1300">
        <f t="shared" si="76"/>
        <v>12</v>
      </c>
      <c r="BA102" s="1298">
        <v>13</v>
      </c>
      <c r="BB102" s="1298">
        <v>1</v>
      </c>
      <c r="BC102" s="1298">
        <v>7</v>
      </c>
      <c r="BD102" s="1300">
        <f t="shared" si="77"/>
        <v>21</v>
      </c>
      <c r="BE102" s="1298">
        <v>1</v>
      </c>
      <c r="BF102" s="1298">
        <v>4</v>
      </c>
      <c r="BG102" s="1298">
        <v>5</v>
      </c>
      <c r="BH102" s="1300">
        <f t="shared" ref="BH102:BH110" si="105">SUM(BE102:BG102)</f>
        <v>10</v>
      </c>
      <c r="BI102" s="1298">
        <v>3</v>
      </c>
      <c r="BJ102" s="1298">
        <v>3</v>
      </c>
      <c r="BK102" s="1298">
        <v>13</v>
      </c>
      <c r="BL102" s="1300">
        <f t="shared" ref="BL102:BL108" si="106">SUM(BI102:BK102)</f>
        <v>19</v>
      </c>
      <c r="BM102" s="1298">
        <v>1</v>
      </c>
      <c r="BN102" s="1298"/>
      <c r="BO102" s="1298">
        <v>3</v>
      </c>
      <c r="BP102" s="1300">
        <f t="shared" si="98"/>
        <v>4</v>
      </c>
      <c r="BQ102" s="1298">
        <v>7</v>
      </c>
      <c r="BR102" s="1298"/>
      <c r="BS102" s="1298">
        <v>3</v>
      </c>
      <c r="BT102" s="1300">
        <f t="shared" si="99"/>
        <v>10</v>
      </c>
    </row>
    <row r="103" spans="1:72" ht="12.75" customHeight="1" x14ac:dyDescent="0.2">
      <c r="A103" s="5288"/>
      <c r="B103" s="5640"/>
      <c r="C103" s="5631"/>
      <c r="D103" s="1322" t="s">
        <v>398</v>
      </c>
      <c r="E103" s="1297">
        <v>1</v>
      </c>
      <c r="F103" s="1298"/>
      <c r="G103" s="1298">
        <v>2</v>
      </c>
      <c r="H103" s="1299">
        <f>SUM(E103:G103)</f>
        <v>3</v>
      </c>
      <c r="I103" s="1297"/>
      <c r="J103" s="1298">
        <v>3</v>
      </c>
      <c r="K103" s="1298">
        <v>5</v>
      </c>
      <c r="L103" s="1299">
        <f t="shared" si="101"/>
        <v>8</v>
      </c>
      <c r="M103" s="1297"/>
      <c r="N103" s="1298"/>
      <c r="O103" s="1298">
        <v>3</v>
      </c>
      <c r="P103" s="1299">
        <f t="shared" si="102"/>
        <v>3</v>
      </c>
      <c r="Q103" s="1297">
        <v>1</v>
      </c>
      <c r="R103" s="1298">
        <v>1</v>
      </c>
      <c r="S103" s="1298"/>
      <c r="T103" s="1299">
        <f t="shared" si="103"/>
        <v>2</v>
      </c>
      <c r="U103" s="1297">
        <v>1</v>
      </c>
      <c r="V103" s="1298">
        <v>3</v>
      </c>
      <c r="W103" s="1298"/>
      <c r="X103" s="1299">
        <f t="shared" si="94"/>
        <v>4</v>
      </c>
      <c r="Y103" s="1297"/>
      <c r="Z103" s="1298">
        <v>4</v>
      </c>
      <c r="AA103" s="1298"/>
      <c r="AB103" s="1299">
        <f>SUM(Y103:AA103)</f>
        <v>4</v>
      </c>
      <c r="AC103" s="1297">
        <v>1</v>
      </c>
      <c r="AD103" s="1298">
        <v>5</v>
      </c>
      <c r="AE103" s="1298">
        <v>1</v>
      </c>
      <c r="AF103" s="1300">
        <f>SUM(AC103:AE103)</f>
        <v>7</v>
      </c>
      <c r="AG103" s="1298"/>
      <c r="AH103" s="1298">
        <v>2</v>
      </c>
      <c r="AI103" s="1298"/>
      <c r="AJ103" s="1300">
        <f t="shared" si="100"/>
        <v>2</v>
      </c>
      <c r="AK103" s="1298"/>
      <c r="AL103" s="1298">
        <v>2</v>
      </c>
      <c r="AM103" s="1298">
        <v>1</v>
      </c>
      <c r="AN103" s="1300">
        <f t="shared" si="104"/>
        <v>3</v>
      </c>
      <c r="AO103" s="1298"/>
      <c r="AP103" s="1298">
        <v>1</v>
      </c>
      <c r="AQ103" s="1298">
        <v>1</v>
      </c>
      <c r="AR103" s="1300">
        <f t="shared" si="74"/>
        <v>2</v>
      </c>
      <c r="AS103" s="1298">
        <v>5</v>
      </c>
      <c r="AT103" s="1298">
        <v>1</v>
      </c>
      <c r="AU103" s="1298">
        <v>1</v>
      </c>
      <c r="AV103" s="1300">
        <f t="shared" si="75"/>
        <v>7</v>
      </c>
      <c r="AW103" s="1298"/>
      <c r="AX103" s="1298">
        <v>7</v>
      </c>
      <c r="AY103" s="1298">
        <v>4</v>
      </c>
      <c r="AZ103" s="1300">
        <f t="shared" si="76"/>
        <v>11</v>
      </c>
      <c r="BA103" s="1298">
        <v>1</v>
      </c>
      <c r="BB103" s="1298"/>
      <c r="BC103" s="1298">
        <v>3</v>
      </c>
      <c r="BD103" s="1300">
        <f t="shared" si="77"/>
        <v>4</v>
      </c>
      <c r="BE103" s="1298">
        <v>1</v>
      </c>
      <c r="BF103" s="1298">
        <v>4</v>
      </c>
      <c r="BG103" s="1298"/>
      <c r="BH103" s="1300">
        <f t="shared" si="105"/>
        <v>5</v>
      </c>
      <c r="BI103" s="1298">
        <v>1</v>
      </c>
      <c r="BJ103" s="1298">
        <v>2</v>
      </c>
      <c r="BK103" s="1298">
        <v>6</v>
      </c>
      <c r="BL103" s="1300">
        <f t="shared" si="106"/>
        <v>9</v>
      </c>
      <c r="BM103" s="1298">
        <v>2</v>
      </c>
      <c r="BN103" s="1298">
        <v>1</v>
      </c>
      <c r="BO103" s="1298"/>
      <c r="BP103" s="1300">
        <f t="shared" si="98"/>
        <v>3</v>
      </c>
      <c r="BQ103" s="1298">
        <v>2</v>
      </c>
      <c r="BR103" s="1298">
        <v>5</v>
      </c>
      <c r="BS103" s="1298">
        <v>1</v>
      </c>
      <c r="BT103" s="1300">
        <f t="shared" si="99"/>
        <v>8</v>
      </c>
    </row>
    <row r="104" spans="1:72" ht="12.75" customHeight="1" x14ac:dyDescent="0.2">
      <c r="A104" s="5288"/>
      <c r="B104" s="5640"/>
      <c r="C104" s="5631"/>
      <c r="D104" s="1322" t="s">
        <v>636</v>
      </c>
      <c r="E104" s="1297"/>
      <c r="F104" s="1298"/>
      <c r="G104" s="1298">
        <v>1</v>
      </c>
      <c r="H104" s="1299">
        <f>SUM(E104:G104)</f>
        <v>1</v>
      </c>
      <c r="I104" s="1297">
        <v>1</v>
      </c>
      <c r="J104" s="1298"/>
      <c r="K104" s="1298"/>
      <c r="L104" s="1299">
        <f t="shared" si="101"/>
        <v>1</v>
      </c>
      <c r="M104" s="1297"/>
      <c r="N104" s="1298"/>
      <c r="O104" s="1298">
        <v>1</v>
      </c>
      <c r="P104" s="1299">
        <f t="shared" si="102"/>
        <v>1</v>
      </c>
      <c r="Q104" s="1297"/>
      <c r="R104" s="1298"/>
      <c r="S104" s="1298"/>
      <c r="T104" s="1299"/>
      <c r="U104" s="1297"/>
      <c r="V104" s="1298"/>
      <c r="W104" s="1298"/>
      <c r="X104" s="1299"/>
      <c r="Y104" s="1297"/>
      <c r="Z104" s="1298"/>
      <c r="AA104" s="1298"/>
      <c r="AB104" s="1299"/>
      <c r="AC104" s="1297"/>
      <c r="AD104" s="1298"/>
      <c r="AE104" s="1298"/>
      <c r="AF104" s="1300"/>
      <c r="AG104" s="1298">
        <v>1</v>
      </c>
      <c r="AH104" s="1298">
        <v>1</v>
      </c>
      <c r="AI104" s="1298"/>
      <c r="AJ104" s="1300">
        <f t="shared" si="100"/>
        <v>2</v>
      </c>
      <c r="AK104" s="1298">
        <v>1</v>
      </c>
      <c r="AL104" s="1298">
        <v>1</v>
      </c>
      <c r="AM104" s="1298"/>
      <c r="AN104" s="1300">
        <f t="shared" si="104"/>
        <v>2</v>
      </c>
      <c r="AO104" s="1298">
        <v>1</v>
      </c>
      <c r="AP104" s="1298">
        <v>1</v>
      </c>
      <c r="AQ104" s="1298">
        <v>2</v>
      </c>
      <c r="AR104" s="1300">
        <f t="shared" si="74"/>
        <v>4</v>
      </c>
      <c r="AS104" s="1298"/>
      <c r="AT104" s="1298"/>
      <c r="AU104" s="1298"/>
      <c r="AV104" s="1300">
        <f t="shared" si="75"/>
        <v>0</v>
      </c>
      <c r="AW104" s="1298"/>
      <c r="AX104" s="1298"/>
      <c r="AY104" s="1298">
        <v>2</v>
      </c>
      <c r="AZ104" s="1300">
        <f t="shared" si="76"/>
        <v>2</v>
      </c>
      <c r="BA104" s="1298"/>
      <c r="BB104" s="1298"/>
      <c r="BC104" s="1298"/>
      <c r="BD104" s="1300">
        <f t="shared" si="77"/>
        <v>0</v>
      </c>
      <c r="BE104" s="1298">
        <v>1</v>
      </c>
      <c r="BF104" s="1298"/>
      <c r="BG104" s="1298"/>
      <c r="BH104" s="1300">
        <f t="shared" si="105"/>
        <v>1</v>
      </c>
      <c r="BI104" s="1298"/>
      <c r="BJ104" s="1298"/>
      <c r="BK104" s="1298"/>
      <c r="BL104" s="1300"/>
      <c r="BM104" s="1298"/>
      <c r="BN104" s="1298">
        <v>5</v>
      </c>
      <c r="BO104" s="1298"/>
      <c r="BP104" s="1300">
        <f t="shared" si="98"/>
        <v>5</v>
      </c>
      <c r="BQ104" s="1298"/>
      <c r="BR104" s="1298"/>
      <c r="BS104" s="1298"/>
      <c r="BT104" s="1300">
        <f t="shared" si="99"/>
        <v>0</v>
      </c>
    </row>
    <row r="105" spans="1:72" ht="12.75" customHeight="1" x14ac:dyDescent="0.2">
      <c r="A105" s="5288"/>
      <c r="B105" s="5640"/>
      <c r="C105" s="5631"/>
      <c r="D105" s="1322" t="s">
        <v>95</v>
      </c>
      <c r="E105" s="1297"/>
      <c r="F105" s="1298"/>
      <c r="G105" s="1298"/>
      <c r="H105" s="1299"/>
      <c r="I105" s="1297"/>
      <c r="J105" s="1298"/>
      <c r="K105" s="1298">
        <v>2</v>
      </c>
      <c r="L105" s="1299">
        <f t="shared" si="101"/>
        <v>2</v>
      </c>
      <c r="M105" s="1297">
        <v>5</v>
      </c>
      <c r="N105" s="1298"/>
      <c r="O105" s="1298"/>
      <c r="P105" s="1299">
        <f t="shared" si="102"/>
        <v>5</v>
      </c>
      <c r="Q105" s="1297">
        <v>1</v>
      </c>
      <c r="R105" s="1298"/>
      <c r="S105" s="1298">
        <v>1</v>
      </c>
      <c r="T105" s="1299">
        <f t="shared" si="103"/>
        <v>2</v>
      </c>
      <c r="U105" s="1297">
        <v>1</v>
      </c>
      <c r="V105" s="1298">
        <v>2</v>
      </c>
      <c r="W105" s="1298">
        <v>3</v>
      </c>
      <c r="X105" s="1299">
        <f>SUM(U105:W105)</f>
        <v>6</v>
      </c>
      <c r="Y105" s="1297">
        <v>3</v>
      </c>
      <c r="Z105" s="1298">
        <v>2</v>
      </c>
      <c r="AA105" s="1298">
        <v>4</v>
      </c>
      <c r="AB105" s="1299">
        <f>SUM(Y105:AA105)</f>
        <v>9</v>
      </c>
      <c r="AC105" s="1297"/>
      <c r="AD105" s="1298">
        <v>1</v>
      </c>
      <c r="AE105" s="1298"/>
      <c r="AF105" s="1300">
        <f>SUM(AC105:AE105)</f>
        <v>1</v>
      </c>
      <c r="AG105" s="1298">
        <v>2</v>
      </c>
      <c r="AH105" s="1298">
        <v>2</v>
      </c>
      <c r="AI105" s="1298">
        <v>5</v>
      </c>
      <c r="AJ105" s="1300">
        <f t="shared" si="100"/>
        <v>9</v>
      </c>
      <c r="AK105" s="1298">
        <v>2</v>
      </c>
      <c r="AL105" s="1298">
        <v>1</v>
      </c>
      <c r="AM105" s="1298">
        <v>5</v>
      </c>
      <c r="AN105" s="1300">
        <f t="shared" si="104"/>
        <v>8</v>
      </c>
      <c r="AO105" s="1298">
        <v>1</v>
      </c>
      <c r="AP105" s="1298">
        <v>5</v>
      </c>
      <c r="AQ105" s="1298">
        <v>3</v>
      </c>
      <c r="AR105" s="1300">
        <f t="shared" si="74"/>
        <v>9</v>
      </c>
      <c r="AS105" s="1298">
        <v>3</v>
      </c>
      <c r="AT105" s="1298">
        <v>2</v>
      </c>
      <c r="AU105" s="1298">
        <v>3</v>
      </c>
      <c r="AV105" s="1300">
        <f t="shared" si="75"/>
        <v>8</v>
      </c>
      <c r="AW105" s="1298"/>
      <c r="AX105" s="1298">
        <v>7</v>
      </c>
      <c r="AY105" s="1298">
        <v>2</v>
      </c>
      <c r="AZ105" s="1300">
        <f t="shared" si="76"/>
        <v>9</v>
      </c>
      <c r="BA105" s="1298">
        <v>4</v>
      </c>
      <c r="BB105" s="1298">
        <v>12</v>
      </c>
      <c r="BC105" s="1298">
        <v>3</v>
      </c>
      <c r="BD105" s="1300">
        <f t="shared" si="77"/>
        <v>19</v>
      </c>
      <c r="BE105" s="1298">
        <v>4</v>
      </c>
      <c r="BF105" s="1298"/>
      <c r="BG105" s="1298">
        <v>6</v>
      </c>
      <c r="BH105" s="1300">
        <f t="shared" si="105"/>
        <v>10</v>
      </c>
      <c r="BI105" s="1298">
        <v>3</v>
      </c>
      <c r="BJ105" s="1298">
        <v>6</v>
      </c>
      <c r="BK105" s="1298">
        <v>1</v>
      </c>
      <c r="BL105" s="1300">
        <f t="shared" si="106"/>
        <v>10</v>
      </c>
      <c r="BM105" s="1298">
        <v>3</v>
      </c>
      <c r="BN105" s="1298">
        <v>5</v>
      </c>
      <c r="BO105" s="1298">
        <v>7</v>
      </c>
      <c r="BP105" s="1300">
        <f t="shared" si="98"/>
        <v>15</v>
      </c>
      <c r="BQ105" s="1298">
        <v>4</v>
      </c>
      <c r="BR105" s="1298">
        <v>4</v>
      </c>
      <c r="BS105" s="1298">
        <v>4</v>
      </c>
      <c r="BT105" s="1300">
        <f t="shared" si="99"/>
        <v>12</v>
      </c>
    </row>
    <row r="106" spans="1:72" ht="12.75" customHeight="1" x14ac:dyDescent="0.2">
      <c r="A106" s="5288"/>
      <c r="B106" s="5640"/>
      <c r="C106" s="5632"/>
      <c r="D106" s="1322" t="s">
        <v>92</v>
      </c>
      <c r="E106" s="1297"/>
      <c r="F106" s="1298"/>
      <c r="G106" s="1298"/>
      <c r="H106" s="1299"/>
      <c r="I106" s="1297"/>
      <c r="J106" s="1298"/>
      <c r="K106" s="1298"/>
      <c r="L106" s="1299"/>
      <c r="M106" s="1297"/>
      <c r="N106" s="1298"/>
      <c r="O106" s="1298"/>
      <c r="P106" s="1299"/>
      <c r="Q106" s="1297"/>
      <c r="R106" s="1298"/>
      <c r="S106" s="1298"/>
      <c r="T106" s="1299"/>
      <c r="U106" s="1297"/>
      <c r="V106" s="1298"/>
      <c r="W106" s="1298"/>
      <c r="X106" s="1299"/>
      <c r="Y106" s="1297"/>
      <c r="Z106" s="1298">
        <v>1</v>
      </c>
      <c r="AA106" s="1298"/>
      <c r="AB106" s="1299">
        <f>SUM(Y106:AA106)</f>
        <v>1</v>
      </c>
      <c r="AC106" s="1297">
        <v>2</v>
      </c>
      <c r="AD106" s="1298">
        <v>1</v>
      </c>
      <c r="AE106" s="1298">
        <v>2</v>
      </c>
      <c r="AF106" s="1300">
        <f>SUM(AC106:AE106)</f>
        <v>5</v>
      </c>
      <c r="AG106" s="1298">
        <v>3</v>
      </c>
      <c r="AH106" s="1298">
        <v>4</v>
      </c>
      <c r="AI106" s="1298">
        <v>3</v>
      </c>
      <c r="AJ106" s="1300">
        <f t="shared" si="100"/>
        <v>10</v>
      </c>
      <c r="AK106" s="1298">
        <v>1</v>
      </c>
      <c r="AL106" s="1298">
        <v>6</v>
      </c>
      <c r="AM106" s="1298">
        <v>8</v>
      </c>
      <c r="AN106" s="1300">
        <f t="shared" si="104"/>
        <v>15</v>
      </c>
      <c r="AO106" s="1298">
        <v>3</v>
      </c>
      <c r="AP106" s="1298">
        <v>3</v>
      </c>
      <c r="AQ106" s="1298">
        <v>1</v>
      </c>
      <c r="AR106" s="1300">
        <f t="shared" si="74"/>
        <v>7</v>
      </c>
      <c r="AS106" s="1298">
        <v>5</v>
      </c>
      <c r="AT106" s="1298">
        <v>8</v>
      </c>
      <c r="AU106" s="1298">
        <v>5</v>
      </c>
      <c r="AV106" s="1300">
        <f t="shared" si="75"/>
        <v>18</v>
      </c>
      <c r="AW106" s="1298">
        <v>6</v>
      </c>
      <c r="AX106" s="1298">
        <v>4</v>
      </c>
      <c r="AY106" s="1298">
        <v>3</v>
      </c>
      <c r="AZ106" s="1300">
        <f t="shared" si="76"/>
        <v>13</v>
      </c>
      <c r="BA106" s="1298">
        <v>4</v>
      </c>
      <c r="BB106" s="1298">
        <v>4</v>
      </c>
      <c r="BC106" s="1298">
        <v>6</v>
      </c>
      <c r="BD106" s="1300">
        <f t="shared" si="77"/>
        <v>14</v>
      </c>
      <c r="BE106" s="1298">
        <v>4</v>
      </c>
      <c r="BF106" s="1298">
        <v>1</v>
      </c>
      <c r="BG106" s="1298">
        <v>1</v>
      </c>
      <c r="BH106" s="1300">
        <f t="shared" si="105"/>
        <v>6</v>
      </c>
      <c r="BI106" s="1298">
        <v>6</v>
      </c>
      <c r="BJ106" s="1298">
        <v>3</v>
      </c>
      <c r="BK106" s="1298">
        <v>5</v>
      </c>
      <c r="BL106" s="1300">
        <f t="shared" si="106"/>
        <v>14</v>
      </c>
      <c r="BM106" s="1298">
        <v>1</v>
      </c>
      <c r="BN106" s="1298">
        <v>12</v>
      </c>
      <c r="BO106" s="1298">
        <v>9</v>
      </c>
      <c r="BP106" s="1300">
        <f t="shared" si="98"/>
        <v>22</v>
      </c>
      <c r="BQ106" s="1298">
        <v>2</v>
      </c>
      <c r="BR106" s="1298">
        <v>6</v>
      </c>
      <c r="BS106" s="1298">
        <v>12</v>
      </c>
      <c r="BT106" s="1300">
        <f t="shared" si="99"/>
        <v>20</v>
      </c>
    </row>
    <row r="107" spans="1:72" ht="12.75" customHeight="1" x14ac:dyDescent="0.2">
      <c r="A107" s="5288"/>
      <c r="B107" s="5640"/>
      <c r="C107" s="5630" t="s">
        <v>526</v>
      </c>
      <c r="D107" s="1321" t="s">
        <v>637</v>
      </c>
      <c r="E107" s="1297"/>
      <c r="F107" s="1298">
        <v>2</v>
      </c>
      <c r="G107" s="1298">
        <v>3</v>
      </c>
      <c r="H107" s="1299">
        <f>SUM(E107:G107)</f>
        <v>5</v>
      </c>
      <c r="I107" s="1297">
        <v>1</v>
      </c>
      <c r="J107" s="1298">
        <v>2</v>
      </c>
      <c r="K107" s="1298">
        <v>1</v>
      </c>
      <c r="L107" s="1299">
        <f>SUM(I107:K107)</f>
        <v>4</v>
      </c>
      <c r="M107" s="1297">
        <v>1</v>
      </c>
      <c r="N107" s="1298">
        <v>1</v>
      </c>
      <c r="O107" s="1298">
        <v>1</v>
      </c>
      <c r="P107" s="1299">
        <f t="shared" si="102"/>
        <v>3</v>
      </c>
      <c r="Q107" s="1297">
        <v>1</v>
      </c>
      <c r="R107" s="1298">
        <v>1</v>
      </c>
      <c r="S107" s="1298"/>
      <c r="T107" s="1299">
        <f t="shared" si="103"/>
        <v>2</v>
      </c>
      <c r="U107" s="1297">
        <v>3</v>
      </c>
      <c r="V107" s="1298">
        <v>1</v>
      </c>
      <c r="W107" s="1298">
        <v>5</v>
      </c>
      <c r="X107" s="1299">
        <f>SUM(U107:W107)</f>
        <v>9</v>
      </c>
      <c r="Y107" s="1297">
        <v>2</v>
      </c>
      <c r="Z107" s="1298"/>
      <c r="AA107" s="1298">
        <v>1</v>
      </c>
      <c r="AB107" s="1299">
        <f>SUM(Y107:AA107)</f>
        <v>3</v>
      </c>
      <c r="AC107" s="1297">
        <v>2</v>
      </c>
      <c r="AD107" s="1298">
        <v>6</v>
      </c>
      <c r="AE107" s="1298">
        <v>4</v>
      </c>
      <c r="AF107" s="1300">
        <f>SUM(AC107:AE107)</f>
        <v>12</v>
      </c>
      <c r="AG107" s="1298">
        <v>6</v>
      </c>
      <c r="AH107" s="1298">
        <v>4</v>
      </c>
      <c r="AI107" s="1298">
        <v>2</v>
      </c>
      <c r="AJ107" s="1300">
        <f t="shared" si="100"/>
        <v>12</v>
      </c>
      <c r="AK107" s="1298">
        <v>2</v>
      </c>
      <c r="AL107" s="1298">
        <v>4</v>
      </c>
      <c r="AM107" s="1298">
        <v>5</v>
      </c>
      <c r="AN107" s="1300">
        <f t="shared" si="104"/>
        <v>11</v>
      </c>
      <c r="AO107" s="1298">
        <v>2</v>
      </c>
      <c r="AP107" s="1298">
        <v>2</v>
      </c>
      <c r="AQ107" s="1298">
        <v>2</v>
      </c>
      <c r="AR107" s="1300">
        <f t="shared" si="74"/>
        <v>6</v>
      </c>
      <c r="AS107" s="1298">
        <v>1</v>
      </c>
      <c r="AT107" s="1298">
        <v>1</v>
      </c>
      <c r="AU107" s="1298">
        <v>2</v>
      </c>
      <c r="AV107" s="1300">
        <f t="shared" si="75"/>
        <v>4</v>
      </c>
      <c r="AW107" s="1298">
        <v>1</v>
      </c>
      <c r="AX107" s="1298">
        <v>5</v>
      </c>
      <c r="AY107" s="1298">
        <v>5</v>
      </c>
      <c r="AZ107" s="1300">
        <f t="shared" si="76"/>
        <v>11</v>
      </c>
      <c r="BA107" s="1298">
        <v>3</v>
      </c>
      <c r="BB107" s="1298">
        <v>4</v>
      </c>
      <c r="BC107" s="1298">
        <v>7</v>
      </c>
      <c r="BD107" s="1300">
        <f t="shared" si="77"/>
        <v>14</v>
      </c>
      <c r="BE107" s="1298">
        <v>7</v>
      </c>
      <c r="BF107" s="1298">
        <v>1</v>
      </c>
      <c r="BG107" s="1298">
        <v>7</v>
      </c>
      <c r="BH107" s="1300">
        <f t="shared" si="105"/>
        <v>15</v>
      </c>
      <c r="BI107" s="1298">
        <v>4</v>
      </c>
      <c r="BJ107" s="1298"/>
      <c r="BK107" s="1298">
        <v>3</v>
      </c>
      <c r="BL107" s="1300">
        <f t="shared" si="106"/>
        <v>7</v>
      </c>
      <c r="BM107" s="1298">
        <v>3</v>
      </c>
      <c r="BN107" s="1298">
        <v>3</v>
      </c>
      <c r="BO107" s="1298">
        <v>1</v>
      </c>
      <c r="BP107" s="1300">
        <f t="shared" si="98"/>
        <v>7</v>
      </c>
      <c r="BQ107" s="1298">
        <v>6</v>
      </c>
      <c r="BR107" s="1298">
        <v>2</v>
      </c>
      <c r="BS107" s="1298">
        <v>4</v>
      </c>
      <c r="BT107" s="1300">
        <f t="shared" si="99"/>
        <v>12</v>
      </c>
    </row>
    <row r="108" spans="1:72" ht="12.75" customHeight="1" x14ac:dyDescent="0.2">
      <c r="A108" s="5288"/>
      <c r="B108" s="5640"/>
      <c r="C108" s="5631"/>
      <c r="D108" s="1302" t="s">
        <v>96</v>
      </c>
      <c r="E108" s="1303"/>
      <c r="F108" s="1304"/>
      <c r="G108" s="1304"/>
      <c r="H108" s="1305"/>
      <c r="I108" s="1303"/>
      <c r="J108" s="1304"/>
      <c r="K108" s="1304"/>
      <c r="L108" s="1305">
        <f t="shared" si="101"/>
        <v>0</v>
      </c>
      <c r="M108" s="1303"/>
      <c r="N108" s="1304"/>
      <c r="O108" s="1304"/>
      <c r="P108" s="1305"/>
      <c r="Q108" s="1303"/>
      <c r="R108" s="1304"/>
      <c r="S108" s="1304"/>
      <c r="T108" s="1305"/>
      <c r="U108" s="1303"/>
      <c r="V108" s="1304"/>
      <c r="W108" s="1304"/>
      <c r="X108" s="1305"/>
      <c r="Y108" s="1303"/>
      <c r="Z108" s="1304"/>
      <c r="AA108" s="1304"/>
      <c r="AB108" s="1305"/>
      <c r="AC108" s="1303"/>
      <c r="AD108" s="1304"/>
      <c r="AE108" s="1304"/>
      <c r="AF108" s="1306"/>
      <c r="AG108" s="1304"/>
      <c r="AH108" s="1304"/>
      <c r="AI108" s="1304"/>
      <c r="AJ108" s="1306"/>
      <c r="AK108" s="1304"/>
      <c r="AL108" s="1304"/>
      <c r="AM108" s="1304"/>
      <c r="AN108" s="1306"/>
      <c r="AO108" s="1304">
        <v>2</v>
      </c>
      <c r="AP108" s="1304">
        <v>5</v>
      </c>
      <c r="AQ108" s="1304"/>
      <c r="AR108" s="1306">
        <f t="shared" si="74"/>
        <v>7</v>
      </c>
      <c r="AS108" s="1304"/>
      <c r="AT108" s="1304">
        <v>2</v>
      </c>
      <c r="AU108" s="1304"/>
      <c r="AV108" s="1306">
        <f t="shared" si="75"/>
        <v>2</v>
      </c>
      <c r="AW108" s="1304"/>
      <c r="AX108" s="1304">
        <v>3</v>
      </c>
      <c r="AY108" s="1304">
        <v>1</v>
      </c>
      <c r="AZ108" s="1306">
        <f t="shared" si="76"/>
        <v>4</v>
      </c>
      <c r="BA108" s="1304">
        <v>2</v>
      </c>
      <c r="BB108" s="1304">
        <v>1</v>
      </c>
      <c r="BC108" s="1304">
        <v>1</v>
      </c>
      <c r="BD108" s="1306">
        <f t="shared" si="77"/>
        <v>4</v>
      </c>
      <c r="BE108" s="1304"/>
      <c r="BF108" s="1304">
        <v>1</v>
      </c>
      <c r="BG108" s="1304">
        <v>1</v>
      </c>
      <c r="BH108" s="1306">
        <f t="shared" si="105"/>
        <v>2</v>
      </c>
      <c r="BI108" s="1304"/>
      <c r="BJ108" s="1304">
        <v>2</v>
      </c>
      <c r="BK108" s="1304">
        <v>3</v>
      </c>
      <c r="BL108" s="1306">
        <f t="shared" si="106"/>
        <v>5</v>
      </c>
      <c r="BM108" s="1304">
        <v>3</v>
      </c>
      <c r="BN108" s="1304">
        <v>2</v>
      </c>
      <c r="BO108" s="1304">
        <v>1</v>
      </c>
      <c r="BP108" s="1306">
        <f t="shared" si="98"/>
        <v>6</v>
      </c>
      <c r="BQ108" s="1304"/>
      <c r="BR108" s="1304"/>
      <c r="BS108" s="1304">
        <v>1</v>
      </c>
      <c r="BT108" s="1306">
        <f t="shared" si="99"/>
        <v>1</v>
      </c>
    </row>
    <row r="109" spans="1:72" ht="12.75" customHeight="1" x14ac:dyDescent="0.2">
      <c r="A109" s="5288"/>
      <c r="B109" s="5641"/>
      <c r="C109" s="1372"/>
      <c r="D109" s="1307" t="s">
        <v>160</v>
      </c>
      <c r="E109" s="1308">
        <f t="shared" ref="E109:AJ109" si="107">SUM(E97:E108)</f>
        <v>3</v>
      </c>
      <c r="F109" s="1309">
        <f t="shared" si="107"/>
        <v>3</v>
      </c>
      <c r="G109" s="1309">
        <f t="shared" si="107"/>
        <v>10</v>
      </c>
      <c r="H109" s="1309">
        <f t="shared" si="107"/>
        <v>16</v>
      </c>
      <c r="I109" s="1308">
        <f t="shared" si="107"/>
        <v>9</v>
      </c>
      <c r="J109" s="1309">
        <f t="shared" si="107"/>
        <v>6</v>
      </c>
      <c r="K109" s="1309">
        <f t="shared" si="107"/>
        <v>12</v>
      </c>
      <c r="L109" s="1309">
        <f t="shared" si="107"/>
        <v>27</v>
      </c>
      <c r="M109" s="1308">
        <f t="shared" si="107"/>
        <v>9</v>
      </c>
      <c r="N109" s="1309">
        <f t="shared" si="107"/>
        <v>4</v>
      </c>
      <c r="O109" s="1309">
        <f t="shared" si="107"/>
        <v>7</v>
      </c>
      <c r="P109" s="1309">
        <f t="shared" si="107"/>
        <v>20</v>
      </c>
      <c r="Q109" s="1308">
        <f t="shared" si="107"/>
        <v>4</v>
      </c>
      <c r="R109" s="1309">
        <f t="shared" si="107"/>
        <v>62</v>
      </c>
      <c r="S109" s="1309">
        <f t="shared" si="107"/>
        <v>9</v>
      </c>
      <c r="T109" s="1309">
        <f t="shared" si="107"/>
        <v>75</v>
      </c>
      <c r="U109" s="1308">
        <f t="shared" si="107"/>
        <v>8</v>
      </c>
      <c r="V109" s="1309">
        <f t="shared" si="107"/>
        <v>18</v>
      </c>
      <c r="W109" s="1309">
        <f t="shared" si="107"/>
        <v>20</v>
      </c>
      <c r="X109" s="1309">
        <f t="shared" si="107"/>
        <v>46</v>
      </c>
      <c r="Y109" s="1308">
        <f t="shared" si="107"/>
        <v>12</v>
      </c>
      <c r="Z109" s="1309">
        <f t="shared" si="107"/>
        <v>17</v>
      </c>
      <c r="AA109" s="1309">
        <f t="shared" si="107"/>
        <v>9</v>
      </c>
      <c r="AB109" s="1309">
        <f t="shared" si="107"/>
        <v>38</v>
      </c>
      <c r="AC109" s="1308">
        <f t="shared" si="107"/>
        <v>12</v>
      </c>
      <c r="AD109" s="1309">
        <f t="shared" si="107"/>
        <v>21</v>
      </c>
      <c r="AE109" s="1309">
        <f t="shared" si="107"/>
        <v>19</v>
      </c>
      <c r="AF109" s="1366">
        <f t="shared" si="107"/>
        <v>52</v>
      </c>
      <c r="AG109" s="1309">
        <f t="shared" si="107"/>
        <v>15</v>
      </c>
      <c r="AH109" s="1309">
        <f t="shared" si="107"/>
        <v>15</v>
      </c>
      <c r="AI109" s="1309">
        <f t="shared" si="107"/>
        <v>20</v>
      </c>
      <c r="AJ109" s="1366">
        <f t="shared" si="107"/>
        <v>50</v>
      </c>
      <c r="AK109" s="1309">
        <f t="shared" ref="AK109:BH109" si="108">SUM(AK97:AK108)</f>
        <v>11</v>
      </c>
      <c r="AL109" s="1309">
        <f t="shared" si="108"/>
        <v>25</v>
      </c>
      <c r="AM109" s="1309">
        <f t="shared" si="108"/>
        <v>20</v>
      </c>
      <c r="AN109" s="1366">
        <f t="shared" si="108"/>
        <v>56</v>
      </c>
      <c r="AO109" s="1309">
        <f t="shared" si="108"/>
        <v>16</v>
      </c>
      <c r="AP109" s="1309">
        <f t="shared" si="108"/>
        <v>24</v>
      </c>
      <c r="AQ109" s="1309">
        <f t="shared" si="108"/>
        <v>18</v>
      </c>
      <c r="AR109" s="1366">
        <f t="shared" si="108"/>
        <v>58</v>
      </c>
      <c r="AS109" s="1309">
        <f t="shared" si="108"/>
        <v>18</v>
      </c>
      <c r="AT109" s="1309">
        <f t="shared" si="108"/>
        <v>36</v>
      </c>
      <c r="AU109" s="1309">
        <f t="shared" si="108"/>
        <v>27</v>
      </c>
      <c r="AV109" s="1366">
        <f t="shared" si="108"/>
        <v>81</v>
      </c>
      <c r="AW109" s="1309">
        <f t="shared" si="108"/>
        <v>16</v>
      </c>
      <c r="AX109" s="1309">
        <f t="shared" si="108"/>
        <v>31</v>
      </c>
      <c r="AY109" s="1309">
        <f t="shared" si="108"/>
        <v>31</v>
      </c>
      <c r="AZ109" s="1366">
        <f t="shared" si="108"/>
        <v>78</v>
      </c>
      <c r="BA109" s="1309">
        <f t="shared" si="108"/>
        <v>27</v>
      </c>
      <c r="BB109" s="1309">
        <f t="shared" si="108"/>
        <v>23</v>
      </c>
      <c r="BC109" s="1309">
        <f t="shared" si="108"/>
        <v>33</v>
      </c>
      <c r="BD109" s="1366">
        <f t="shared" si="108"/>
        <v>83</v>
      </c>
      <c r="BE109" s="1309">
        <f t="shared" si="108"/>
        <v>24</v>
      </c>
      <c r="BF109" s="1309">
        <f t="shared" si="108"/>
        <v>12</v>
      </c>
      <c r="BG109" s="1309">
        <f t="shared" si="108"/>
        <v>21</v>
      </c>
      <c r="BH109" s="1366">
        <f t="shared" si="108"/>
        <v>57</v>
      </c>
      <c r="BI109" s="1309">
        <f t="shared" ref="BI109:BP109" si="109">SUM(BI97:BI108)</f>
        <v>19</v>
      </c>
      <c r="BJ109" s="1309">
        <f t="shared" si="109"/>
        <v>20</v>
      </c>
      <c r="BK109" s="1309">
        <f t="shared" si="109"/>
        <v>34</v>
      </c>
      <c r="BL109" s="1366">
        <f t="shared" si="109"/>
        <v>73</v>
      </c>
      <c r="BM109" s="1309">
        <f t="shared" si="109"/>
        <v>22</v>
      </c>
      <c r="BN109" s="1309">
        <f t="shared" si="109"/>
        <v>30</v>
      </c>
      <c r="BO109" s="1309">
        <f t="shared" si="109"/>
        <v>22</v>
      </c>
      <c r="BP109" s="1366">
        <f t="shared" si="109"/>
        <v>74</v>
      </c>
      <c r="BQ109" s="1309">
        <f t="shared" ref="BQ109:BT109" si="110">SUM(BQ97:BQ108)</f>
        <v>29</v>
      </c>
      <c r="BR109" s="1309">
        <f t="shared" si="110"/>
        <v>24</v>
      </c>
      <c r="BS109" s="1309">
        <f t="shared" si="110"/>
        <v>28</v>
      </c>
      <c r="BT109" s="1366">
        <f t="shared" si="110"/>
        <v>81</v>
      </c>
    </row>
    <row r="110" spans="1:72" ht="12.75" customHeight="1" x14ac:dyDescent="0.2">
      <c r="A110" s="5288"/>
      <c r="B110" s="5287" t="s">
        <v>7</v>
      </c>
      <c r="C110" s="5630" t="s">
        <v>527</v>
      </c>
      <c r="D110" s="1326" t="s">
        <v>1</v>
      </c>
      <c r="E110" s="1316"/>
      <c r="F110" s="1317"/>
      <c r="G110" s="1317"/>
      <c r="H110" s="1318"/>
      <c r="I110" s="1316"/>
      <c r="J110" s="1317"/>
      <c r="K110" s="1317"/>
      <c r="L110" s="1318"/>
      <c r="M110" s="1316"/>
      <c r="N110" s="1317"/>
      <c r="O110" s="1317"/>
      <c r="P110" s="1318"/>
      <c r="Q110" s="1316"/>
      <c r="R110" s="1317">
        <v>10</v>
      </c>
      <c r="S110" s="1317">
        <v>9</v>
      </c>
      <c r="T110" s="1318">
        <f>SUM(Q110:S110)</f>
        <v>19</v>
      </c>
      <c r="U110" s="1316"/>
      <c r="V110" s="1317"/>
      <c r="W110" s="1317"/>
      <c r="X110" s="1318"/>
      <c r="Y110" s="1316"/>
      <c r="Z110" s="1317">
        <v>15</v>
      </c>
      <c r="AA110" s="1317"/>
      <c r="AB110" s="1318">
        <f>SUM(Y110:AA110)</f>
        <v>15</v>
      </c>
      <c r="AC110" s="1316">
        <v>1</v>
      </c>
      <c r="AD110" s="1317">
        <v>12</v>
      </c>
      <c r="AE110" s="1317">
        <v>4</v>
      </c>
      <c r="AF110" s="1319">
        <f>SUM(AC110:AE110)</f>
        <v>17</v>
      </c>
      <c r="AG110" s="1317">
        <v>1</v>
      </c>
      <c r="AH110" s="1317">
        <v>25</v>
      </c>
      <c r="AI110" s="1317"/>
      <c r="AJ110" s="1319">
        <f>SUM(AG110:AI110)</f>
        <v>26</v>
      </c>
      <c r="AK110" s="1317"/>
      <c r="AL110" s="1317">
        <v>20</v>
      </c>
      <c r="AM110" s="1317"/>
      <c r="AN110" s="1319">
        <f>SUM(AK110:AM110)</f>
        <v>20</v>
      </c>
      <c r="AO110" s="1317"/>
      <c r="AP110" s="1317">
        <v>17</v>
      </c>
      <c r="AQ110" s="1317">
        <v>1</v>
      </c>
      <c r="AR110" s="1319">
        <f t="shared" si="74"/>
        <v>18</v>
      </c>
      <c r="AS110" s="1317">
        <v>1</v>
      </c>
      <c r="AT110" s="1317">
        <v>8</v>
      </c>
      <c r="AU110" s="1317">
        <v>8</v>
      </c>
      <c r="AV110" s="1319">
        <f t="shared" si="75"/>
        <v>17</v>
      </c>
      <c r="AW110" s="1317"/>
      <c r="AX110" s="1317">
        <v>2</v>
      </c>
      <c r="AY110" s="1317">
        <v>13</v>
      </c>
      <c r="AZ110" s="1319">
        <f t="shared" si="76"/>
        <v>15</v>
      </c>
      <c r="BA110" s="1317"/>
      <c r="BB110" s="1317"/>
      <c r="BC110" s="1317">
        <v>17</v>
      </c>
      <c r="BD110" s="1319">
        <f t="shared" si="77"/>
        <v>17</v>
      </c>
      <c r="BE110" s="1317"/>
      <c r="BF110" s="1317"/>
      <c r="BG110" s="1317">
        <v>12</v>
      </c>
      <c r="BH110" s="1306">
        <f t="shared" si="105"/>
        <v>12</v>
      </c>
      <c r="BI110" s="1317">
        <v>3</v>
      </c>
      <c r="BJ110" s="1317"/>
      <c r="BK110" s="1317">
        <v>15</v>
      </c>
      <c r="BL110" s="1306">
        <f>SUM(BI110:BK110)</f>
        <v>18</v>
      </c>
      <c r="BM110" s="1317">
        <v>3</v>
      </c>
      <c r="BN110" s="1317">
        <v>11</v>
      </c>
      <c r="BO110" s="1317">
        <v>5</v>
      </c>
      <c r="BP110" s="1306">
        <f>SUM(BM110:BO110)</f>
        <v>19</v>
      </c>
      <c r="BQ110" s="1317"/>
      <c r="BR110" s="1317">
        <v>4</v>
      </c>
      <c r="BS110" s="1317">
        <v>15</v>
      </c>
      <c r="BT110" s="1306">
        <f>SUM(BQ110:BS110)</f>
        <v>19</v>
      </c>
    </row>
    <row r="111" spans="1:72" ht="12.75" customHeight="1" x14ac:dyDescent="0.2">
      <c r="A111" s="5288"/>
      <c r="B111" s="5288"/>
      <c r="C111" s="5631"/>
      <c r="D111" s="1327" t="s">
        <v>537</v>
      </c>
      <c r="E111" s="1297"/>
      <c r="F111" s="1298"/>
      <c r="G111" s="1298"/>
      <c r="H111" s="1299"/>
      <c r="I111" s="1297"/>
      <c r="J111" s="1298"/>
      <c r="K111" s="1298"/>
      <c r="L111" s="1299"/>
      <c r="M111" s="1297"/>
      <c r="N111" s="1298"/>
      <c r="O111" s="1298"/>
      <c r="P111" s="1299"/>
      <c r="Q111" s="1297"/>
      <c r="R111" s="1298"/>
      <c r="S111" s="1298"/>
      <c r="T111" s="1299"/>
      <c r="U111" s="1297"/>
      <c r="V111" s="1298"/>
      <c r="W111" s="1298"/>
      <c r="X111" s="1299"/>
      <c r="Y111" s="1297"/>
      <c r="Z111" s="1298"/>
      <c r="AA111" s="1298"/>
      <c r="AB111" s="1299"/>
      <c r="AC111" s="1297"/>
      <c r="AD111" s="1298"/>
      <c r="AE111" s="1298"/>
      <c r="AF111" s="1300"/>
      <c r="AG111" s="1298"/>
      <c r="AH111" s="1298"/>
      <c r="AI111" s="1298"/>
      <c r="AJ111" s="1300"/>
      <c r="AK111" s="1298"/>
      <c r="AL111" s="1298"/>
      <c r="AM111" s="1298"/>
      <c r="AN111" s="1300"/>
      <c r="AO111" s="1298"/>
      <c r="AP111" s="1298"/>
      <c r="AQ111" s="1298"/>
      <c r="AR111" s="1300"/>
      <c r="AS111" s="1298"/>
      <c r="AT111" s="1298"/>
      <c r="AU111" s="1298"/>
      <c r="AV111" s="1300"/>
      <c r="AW111" s="1298"/>
      <c r="AX111" s="1298"/>
      <c r="AY111" s="1298"/>
      <c r="AZ111" s="1300"/>
      <c r="BA111" s="1298">
        <v>4</v>
      </c>
      <c r="BB111" s="1298">
        <v>9</v>
      </c>
      <c r="BC111" s="1298"/>
      <c r="BD111" s="1300">
        <f t="shared" si="77"/>
        <v>13</v>
      </c>
      <c r="BE111" s="1298"/>
      <c r="BF111" s="1298"/>
      <c r="BG111" s="1298"/>
      <c r="BH111" s="1306"/>
      <c r="BI111" s="1298"/>
      <c r="BJ111" s="1298">
        <v>4</v>
      </c>
      <c r="BK111" s="1298">
        <v>5</v>
      </c>
      <c r="BL111" s="1306">
        <f>SUM(BI111:BK111)</f>
        <v>9</v>
      </c>
      <c r="BM111" s="1298"/>
      <c r="BN111" s="1298">
        <v>1</v>
      </c>
      <c r="BO111" s="1298"/>
      <c r="BP111" s="1306">
        <f>SUM(BM111:BO111)</f>
        <v>1</v>
      </c>
      <c r="BQ111" s="1298"/>
      <c r="BR111" s="1298">
        <v>9</v>
      </c>
      <c r="BS111" s="1298">
        <v>6</v>
      </c>
      <c r="BT111" s="1306">
        <f>SUM(BQ111:BS111)</f>
        <v>15</v>
      </c>
    </row>
    <row r="112" spans="1:72" ht="12.75" customHeight="1" x14ac:dyDescent="0.2">
      <c r="A112" s="5288"/>
      <c r="B112" s="5288"/>
      <c r="C112" s="5632"/>
      <c r="D112" s="1328" t="s">
        <v>538</v>
      </c>
      <c r="E112" s="1303"/>
      <c r="F112" s="1304"/>
      <c r="G112" s="1304"/>
      <c r="H112" s="1305"/>
      <c r="I112" s="1303"/>
      <c r="J112" s="1304"/>
      <c r="K112" s="1304"/>
      <c r="L112" s="1305"/>
      <c r="M112" s="1303"/>
      <c r="N112" s="1304"/>
      <c r="O112" s="1304"/>
      <c r="P112" s="1305"/>
      <c r="Q112" s="1303"/>
      <c r="R112" s="1304"/>
      <c r="S112" s="1304"/>
      <c r="T112" s="1305"/>
      <c r="U112" s="1303"/>
      <c r="V112" s="1304"/>
      <c r="W112" s="1304"/>
      <c r="X112" s="1305"/>
      <c r="Y112" s="1303"/>
      <c r="Z112" s="1304"/>
      <c r="AA112" s="1304"/>
      <c r="AB112" s="1305"/>
      <c r="AC112" s="1303"/>
      <c r="AD112" s="1304"/>
      <c r="AE112" s="1304"/>
      <c r="AF112" s="1306"/>
      <c r="AG112" s="1304"/>
      <c r="AH112" s="1304"/>
      <c r="AI112" s="1304"/>
      <c r="AJ112" s="1306"/>
      <c r="AK112" s="1304"/>
      <c r="AL112" s="1304"/>
      <c r="AM112" s="1304"/>
      <c r="AN112" s="1306"/>
      <c r="AO112" s="1304"/>
      <c r="AP112" s="1304"/>
      <c r="AQ112" s="1304"/>
      <c r="AR112" s="1306"/>
      <c r="AS112" s="1304"/>
      <c r="AT112" s="1304"/>
      <c r="AU112" s="1304"/>
      <c r="AV112" s="1306"/>
      <c r="AW112" s="1304"/>
      <c r="AX112" s="1304"/>
      <c r="AY112" s="1304"/>
      <c r="AZ112" s="1306"/>
      <c r="BA112" s="1304"/>
      <c r="BB112" s="1304"/>
      <c r="BC112" s="1304"/>
      <c r="BD112" s="1306"/>
      <c r="BE112" s="1304"/>
      <c r="BF112" s="1304">
        <v>1</v>
      </c>
      <c r="BG112" s="1304">
        <v>1</v>
      </c>
      <c r="BH112" s="1306">
        <f>SUM(BE112:BG112)</f>
        <v>2</v>
      </c>
      <c r="BI112" s="1304"/>
      <c r="BJ112" s="1304">
        <v>24</v>
      </c>
      <c r="BK112" s="1304"/>
      <c r="BL112" s="1306">
        <f>SUM(BI112:BK112)</f>
        <v>24</v>
      </c>
      <c r="BM112" s="1304">
        <v>2</v>
      </c>
      <c r="BN112" s="1304"/>
      <c r="BO112" s="1304">
        <v>1</v>
      </c>
      <c r="BP112" s="1306">
        <f>SUM(BM112:BO112)</f>
        <v>3</v>
      </c>
      <c r="BQ112" s="1304">
        <v>17</v>
      </c>
      <c r="BR112" s="1304"/>
      <c r="BS112" s="1304"/>
      <c r="BT112" s="1306">
        <f>SUM(BQ112:BS112)</f>
        <v>17</v>
      </c>
    </row>
    <row r="113" spans="1:72" ht="12.75" customHeight="1" x14ac:dyDescent="0.2">
      <c r="A113" s="5288"/>
      <c r="B113" s="5288"/>
      <c r="C113" s="1096" t="s">
        <v>526</v>
      </c>
      <c r="D113" s="1369" t="s">
        <v>2</v>
      </c>
      <c r="E113" s="1303"/>
      <c r="F113" s="1304"/>
      <c r="G113" s="1304"/>
      <c r="H113" s="1305"/>
      <c r="I113" s="1303"/>
      <c r="J113" s="1304"/>
      <c r="K113" s="1304"/>
      <c r="L113" s="1305"/>
      <c r="M113" s="1303"/>
      <c r="N113" s="1304"/>
      <c r="O113" s="1304"/>
      <c r="P113" s="1305"/>
      <c r="Q113" s="1303"/>
      <c r="R113" s="1304"/>
      <c r="S113" s="1304"/>
      <c r="T113" s="1305"/>
      <c r="U113" s="1303"/>
      <c r="V113" s="1304"/>
      <c r="W113" s="1304"/>
      <c r="X113" s="1305"/>
      <c r="Y113" s="1303"/>
      <c r="Z113" s="1304"/>
      <c r="AA113" s="1304"/>
      <c r="AB113" s="1305"/>
      <c r="AC113" s="1303"/>
      <c r="AD113" s="1304"/>
      <c r="AE113" s="1304"/>
      <c r="AF113" s="1306"/>
      <c r="AG113" s="1304"/>
      <c r="AH113" s="1304"/>
      <c r="AI113" s="1304"/>
      <c r="AJ113" s="1306"/>
      <c r="AK113" s="1304"/>
      <c r="AL113" s="1304"/>
      <c r="AM113" s="1304"/>
      <c r="AN113" s="1306"/>
      <c r="AO113" s="1304"/>
      <c r="AP113" s="1304">
        <v>1</v>
      </c>
      <c r="AQ113" s="1304">
        <v>1</v>
      </c>
      <c r="AR113" s="1306">
        <f t="shared" si="74"/>
        <v>2</v>
      </c>
      <c r="AS113" s="1304"/>
      <c r="AT113" s="1304"/>
      <c r="AU113" s="1304">
        <v>2</v>
      </c>
      <c r="AV113" s="1306">
        <f t="shared" si="75"/>
        <v>2</v>
      </c>
      <c r="AW113" s="1304"/>
      <c r="AX113" s="1304"/>
      <c r="AY113" s="1304">
        <v>3</v>
      </c>
      <c r="AZ113" s="1306">
        <f t="shared" si="76"/>
        <v>3</v>
      </c>
      <c r="BA113" s="1304"/>
      <c r="BB113" s="1304">
        <v>2</v>
      </c>
      <c r="BC113" s="1304">
        <v>1</v>
      </c>
      <c r="BD113" s="1306">
        <f t="shared" si="77"/>
        <v>3</v>
      </c>
      <c r="BE113" s="1304">
        <v>1</v>
      </c>
      <c r="BF113" s="1304">
        <v>1</v>
      </c>
      <c r="BG113" s="1304">
        <v>4</v>
      </c>
      <c r="BH113" s="1306">
        <f>SUM(BE113:BG113)</f>
        <v>6</v>
      </c>
      <c r="BI113" s="1304"/>
      <c r="BJ113" s="1304"/>
      <c r="BK113" s="1304">
        <v>2</v>
      </c>
      <c r="BL113" s="1306">
        <f>SUM(BI113:BK113)</f>
        <v>2</v>
      </c>
      <c r="BM113" s="1304">
        <v>2</v>
      </c>
      <c r="BN113" s="1304">
        <v>2</v>
      </c>
      <c r="BO113" s="1304">
        <v>2</v>
      </c>
      <c r="BP113" s="1306">
        <f>SUM(BM113:BO113)</f>
        <v>6</v>
      </c>
      <c r="BQ113" s="1304">
        <v>3</v>
      </c>
      <c r="BR113" s="1304">
        <v>3</v>
      </c>
      <c r="BS113" s="1304"/>
      <c r="BT113" s="1306">
        <f>SUM(BQ113:BS113)</f>
        <v>6</v>
      </c>
    </row>
    <row r="114" spans="1:72" ht="12.75" customHeight="1" x14ac:dyDescent="0.2">
      <c r="A114" s="5288"/>
      <c r="B114" s="5289"/>
      <c r="C114" s="1371"/>
      <c r="D114" s="1370" t="s">
        <v>160</v>
      </c>
      <c r="E114" s="1308"/>
      <c r="F114" s="1309"/>
      <c r="G114" s="1309"/>
      <c r="H114" s="1309"/>
      <c r="I114" s="1308"/>
      <c r="J114" s="1309"/>
      <c r="K114" s="1309"/>
      <c r="L114" s="1309"/>
      <c r="M114" s="1308"/>
      <c r="N114" s="1309"/>
      <c r="O114" s="1309"/>
      <c r="P114" s="1309"/>
      <c r="Q114" s="1308"/>
      <c r="R114" s="1309">
        <f>SUM(R110:R113)</f>
        <v>10</v>
      </c>
      <c r="S114" s="1309">
        <f t="shared" ref="S114:BH114" si="111">SUM(S110:S113)</f>
        <v>9</v>
      </c>
      <c r="T114" s="1309">
        <f t="shared" si="111"/>
        <v>19</v>
      </c>
      <c r="U114" s="1308">
        <f t="shared" si="111"/>
        <v>0</v>
      </c>
      <c r="V114" s="1309">
        <f t="shared" si="111"/>
        <v>0</v>
      </c>
      <c r="W114" s="1309">
        <f t="shared" si="111"/>
        <v>0</v>
      </c>
      <c r="X114" s="1309">
        <f t="shared" si="111"/>
        <v>0</v>
      </c>
      <c r="Y114" s="1308">
        <f t="shared" si="111"/>
        <v>0</v>
      </c>
      <c r="Z114" s="1309">
        <f t="shared" si="111"/>
        <v>15</v>
      </c>
      <c r="AA114" s="1309">
        <f t="shared" si="111"/>
        <v>0</v>
      </c>
      <c r="AB114" s="1309">
        <f t="shared" si="111"/>
        <v>15</v>
      </c>
      <c r="AC114" s="1308">
        <f t="shared" si="111"/>
        <v>1</v>
      </c>
      <c r="AD114" s="1309">
        <f t="shared" si="111"/>
        <v>12</v>
      </c>
      <c r="AE114" s="1309">
        <f t="shared" si="111"/>
        <v>4</v>
      </c>
      <c r="AF114" s="1366">
        <f t="shared" si="111"/>
        <v>17</v>
      </c>
      <c r="AG114" s="1309">
        <f t="shared" si="111"/>
        <v>1</v>
      </c>
      <c r="AH114" s="1309">
        <f t="shared" si="111"/>
        <v>25</v>
      </c>
      <c r="AI114" s="1309">
        <f t="shared" si="111"/>
        <v>0</v>
      </c>
      <c r="AJ114" s="1366">
        <f t="shared" si="111"/>
        <v>26</v>
      </c>
      <c r="AK114" s="1309">
        <f t="shared" si="111"/>
        <v>0</v>
      </c>
      <c r="AL114" s="1309">
        <f t="shared" si="111"/>
        <v>20</v>
      </c>
      <c r="AM114" s="1309">
        <f t="shared" si="111"/>
        <v>0</v>
      </c>
      <c r="AN114" s="1366">
        <f t="shared" si="111"/>
        <v>20</v>
      </c>
      <c r="AO114" s="1309">
        <f t="shared" si="111"/>
        <v>0</v>
      </c>
      <c r="AP114" s="1309">
        <f t="shared" si="111"/>
        <v>18</v>
      </c>
      <c r="AQ114" s="1309">
        <f t="shared" si="111"/>
        <v>2</v>
      </c>
      <c r="AR114" s="1366">
        <f t="shared" si="111"/>
        <v>20</v>
      </c>
      <c r="AS114" s="1309">
        <f t="shared" si="111"/>
        <v>1</v>
      </c>
      <c r="AT114" s="1309">
        <f t="shared" si="111"/>
        <v>8</v>
      </c>
      <c r="AU114" s="1309">
        <f t="shared" si="111"/>
        <v>10</v>
      </c>
      <c r="AV114" s="1366">
        <f t="shared" si="111"/>
        <v>19</v>
      </c>
      <c r="AW114" s="1309">
        <f t="shared" si="111"/>
        <v>0</v>
      </c>
      <c r="AX114" s="1309">
        <f t="shared" si="111"/>
        <v>2</v>
      </c>
      <c r="AY114" s="1309">
        <f t="shared" si="111"/>
        <v>16</v>
      </c>
      <c r="AZ114" s="1366">
        <f t="shared" si="111"/>
        <v>18</v>
      </c>
      <c r="BA114" s="1309">
        <f t="shared" si="111"/>
        <v>4</v>
      </c>
      <c r="BB114" s="1309">
        <f t="shared" si="111"/>
        <v>11</v>
      </c>
      <c r="BC114" s="1309">
        <f t="shared" si="111"/>
        <v>18</v>
      </c>
      <c r="BD114" s="1366">
        <f t="shared" si="111"/>
        <v>33</v>
      </c>
      <c r="BE114" s="1309">
        <f t="shared" si="111"/>
        <v>1</v>
      </c>
      <c r="BF114" s="1309">
        <f t="shared" si="111"/>
        <v>2</v>
      </c>
      <c r="BG114" s="1309">
        <f t="shared" si="111"/>
        <v>17</v>
      </c>
      <c r="BH114" s="1366">
        <f t="shared" si="111"/>
        <v>20</v>
      </c>
      <c r="BI114" s="1309">
        <f t="shared" ref="BI114:BP114" si="112">SUM(BI110:BI113)</f>
        <v>3</v>
      </c>
      <c r="BJ114" s="1309">
        <f t="shared" si="112"/>
        <v>28</v>
      </c>
      <c r="BK114" s="1309">
        <f t="shared" si="112"/>
        <v>22</v>
      </c>
      <c r="BL114" s="1366">
        <f t="shared" si="112"/>
        <v>53</v>
      </c>
      <c r="BM114" s="1309">
        <f t="shared" si="112"/>
        <v>7</v>
      </c>
      <c r="BN114" s="1309">
        <f t="shared" si="112"/>
        <v>14</v>
      </c>
      <c r="BO114" s="1309">
        <f t="shared" si="112"/>
        <v>8</v>
      </c>
      <c r="BP114" s="1366">
        <f t="shared" si="112"/>
        <v>29</v>
      </c>
      <c r="BQ114" s="1309">
        <f t="shared" ref="BQ114:BT114" si="113">SUM(BQ110:BQ113)</f>
        <v>20</v>
      </c>
      <c r="BR114" s="1309">
        <f t="shared" si="113"/>
        <v>16</v>
      </c>
      <c r="BS114" s="1309">
        <f t="shared" si="113"/>
        <v>21</v>
      </c>
      <c r="BT114" s="1366">
        <f t="shared" si="113"/>
        <v>57</v>
      </c>
    </row>
    <row r="115" spans="1:72" ht="12.75" customHeight="1" x14ac:dyDescent="0.2">
      <c r="A115" s="5289"/>
      <c r="B115" s="2690"/>
      <c r="C115" s="2699"/>
      <c r="D115" s="2700" t="s">
        <v>531</v>
      </c>
      <c r="E115" s="2693">
        <f t="shared" ref="E115:AJ115" si="114">SUM(E109,E96,E114)</f>
        <v>11</v>
      </c>
      <c r="F115" s="2694">
        <f t="shared" si="114"/>
        <v>16</v>
      </c>
      <c r="G115" s="2694">
        <f t="shared" si="114"/>
        <v>30</v>
      </c>
      <c r="H115" s="2694">
        <f t="shared" si="114"/>
        <v>57</v>
      </c>
      <c r="I115" s="2693">
        <f t="shared" si="114"/>
        <v>18</v>
      </c>
      <c r="J115" s="2694">
        <f t="shared" si="114"/>
        <v>18</v>
      </c>
      <c r="K115" s="2694">
        <f t="shared" si="114"/>
        <v>27</v>
      </c>
      <c r="L115" s="2694">
        <f t="shared" si="114"/>
        <v>63</v>
      </c>
      <c r="M115" s="2693">
        <f t="shared" si="114"/>
        <v>23</v>
      </c>
      <c r="N115" s="2694">
        <f t="shared" si="114"/>
        <v>13</v>
      </c>
      <c r="O115" s="2694">
        <f t="shared" si="114"/>
        <v>46</v>
      </c>
      <c r="P115" s="2694">
        <f t="shared" si="114"/>
        <v>82</v>
      </c>
      <c r="Q115" s="2693">
        <f t="shared" si="114"/>
        <v>22</v>
      </c>
      <c r="R115" s="2694">
        <f t="shared" si="114"/>
        <v>130</v>
      </c>
      <c r="S115" s="2694">
        <f t="shared" si="114"/>
        <v>43</v>
      </c>
      <c r="T115" s="2694">
        <f t="shared" si="114"/>
        <v>195</v>
      </c>
      <c r="U115" s="2693">
        <f t="shared" si="114"/>
        <v>35</v>
      </c>
      <c r="V115" s="2694">
        <f t="shared" si="114"/>
        <v>37</v>
      </c>
      <c r="W115" s="2694">
        <f t="shared" si="114"/>
        <v>52</v>
      </c>
      <c r="X115" s="2694">
        <f t="shared" si="114"/>
        <v>124</v>
      </c>
      <c r="Y115" s="2693">
        <f t="shared" si="114"/>
        <v>31</v>
      </c>
      <c r="Z115" s="2694">
        <f t="shared" si="114"/>
        <v>50</v>
      </c>
      <c r="AA115" s="2694">
        <f t="shared" si="114"/>
        <v>55</v>
      </c>
      <c r="AB115" s="2694">
        <f t="shared" si="114"/>
        <v>136</v>
      </c>
      <c r="AC115" s="2693">
        <f t="shared" si="114"/>
        <v>39</v>
      </c>
      <c r="AD115" s="2694">
        <f t="shared" si="114"/>
        <v>73</v>
      </c>
      <c r="AE115" s="2694">
        <f t="shared" si="114"/>
        <v>52</v>
      </c>
      <c r="AF115" s="2695">
        <f t="shared" si="114"/>
        <v>164</v>
      </c>
      <c r="AG115" s="2694">
        <f t="shared" si="114"/>
        <v>22</v>
      </c>
      <c r="AH115" s="2694">
        <f t="shared" si="114"/>
        <v>62</v>
      </c>
      <c r="AI115" s="2694">
        <f t="shared" si="114"/>
        <v>53</v>
      </c>
      <c r="AJ115" s="2695">
        <f t="shared" si="114"/>
        <v>137</v>
      </c>
      <c r="AK115" s="2694">
        <f t="shared" ref="AK115:BH115" si="115">SUM(AK109,AK96,AK114)</f>
        <v>72</v>
      </c>
      <c r="AL115" s="2694">
        <f t="shared" si="115"/>
        <v>71</v>
      </c>
      <c r="AM115" s="2694">
        <f t="shared" si="115"/>
        <v>62</v>
      </c>
      <c r="AN115" s="2695">
        <f t="shared" si="115"/>
        <v>205</v>
      </c>
      <c r="AO115" s="2694">
        <f t="shared" si="115"/>
        <v>37</v>
      </c>
      <c r="AP115" s="2694">
        <f t="shared" si="115"/>
        <v>61</v>
      </c>
      <c r="AQ115" s="2694">
        <f t="shared" si="115"/>
        <v>97</v>
      </c>
      <c r="AR115" s="2695">
        <f t="shared" si="115"/>
        <v>195</v>
      </c>
      <c r="AS115" s="2694">
        <f t="shared" si="115"/>
        <v>41</v>
      </c>
      <c r="AT115" s="2694">
        <f t="shared" si="115"/>
        <v>69</v>
      </c>
      <c r="AU115" s="2694">
        <f t="shared" si="115"/>
        <v>92</v>
      </c>
      <c r="AV115" s="2695">
        <f t="shared" si="115"/>
        <v>202</v>
      </c>
      <c r="AW115" s="2694">
        <f t="shared" si="115"/>
        <v>64</v>
      </c>
      <c r="AX115" s="2694">
        <f t="shared" si="115"/>
        <v>71</v>
      </c>
      <c r="AY115" s="2694">
        <f t="shared" si="115"/>
        <v>163</v>
      </c>
      <c r="AZ115" s="2695">
        <f t="shared" si="115"/>
        <v>298</v>
      </c>
      <c r="BA115" s="2694">
        <f t="shared" si="115"/>
        <v>92</v>
      </c>
      <c r="BB115" s="2694">
        <f t="shared" si="115"/>
        <v>84</v>
      </c>
      <c r="BC115" s="2694">
        <f t="shared" si="115"/>
        <v>90</v>
      </c>
      <c r="BD115" s="2695">
        <f t="shared" si="115"/>
        <v>266</v>
      </c>
      <c r="BE115" s="2694">
        <f t="shared" si="115"/>
        <v>47</v>
      </c>
      <c r="BF115" s="2694">
        <f t="shared" si="115"/>
        <v>38</v>
      </c>
      <c r="BG115" s="2694">
        <f t="shared" si="115"/>
        <v>80</v>
      </c>
      <c r="BH115" s="2695">
        <f t="shared" si="115"/>
        <v>165</v>
      </c>
      <c r="BI115" s="2694">
        <f t="shared" ref="BI115:BP115" si="116">SUM(BI109,BI96,BI114)</f>
        <v>74</v>
      </c>
      <c r="BJ115" s="2694">
        <f t="shared" si="116"/>
        <v>70</v>
      </c>
      <c r="BK115" s="2694">
        <f t="shared" si="116"/>
        <v>81</v>
      </c>
      <c r="BL115" s="2695">
        <f t="shared" si="116"/>
        <v>225</v>
      </c>
      <c r="BM115" s="2694">
        <f t="shared" si="116"/>
        <v>48</v>
      </c>
      <c r="BN115" s="2694">
        <f t="shared" si="116"/>
        <v>67</v>
      </c>
      <c r="BO115" s="2694">
        <f t="shared" si="116"/>
        <v>106</v>
      </c>
      <c r="BP115" s="2695">
        <f t="shared" si="116"/>
        <v>221</v>
      </c>
      <c r="BQ115" s="2694">
        <f t="shared" ref="BQ115:BT115" si="117">SUM(BQ109,BQ96,BQ114)</f>
        <v>90</v>
      </c>
      <c r="BR115" s="2694">
        <f t="shared" si="117"/>
        <v>72</v>
      </c>
      <c r="BS115" s="2694">
        <f t="shared" si="117"/>
        <v>79</v>
      </c>
      <c r="BT115" s="2695">
        <f t="shared" si="117"/>
        <v>241</v>
      </c>
    </row>
    <row r="116" spans="1:72" ht="12.75" customHeight="1" x14ac:dyDescent="0.2">
      <c r="A116" s="5625" t="s">
        <v>436</v>
      </c>
      <c r="B116" s="5625" t="s">
        <v>6</v>
      </c>
      <c r="C116" s="1584" t="s">
        <v>527</v>
      </c>
      <c r="D116" s="1326" t="s">
        <v>638</v>
      </c>
      <c r="E116" s="1311"/>
      <c r="F116" s="1312"/>
      <c r="G116" s="1312"/>
      <c r="H116" s="1295"/>
      <c r="I116" s="1317"/>
      <c r="J116" s="1317"/>
      <c r="K116" s="1317"/>
      <c r="L116" s="1318"/>
      <c r="M116" s="1311"/>
      <c r="N116" s="1312"/>
      <c r="O116" s="1312"/>
      <c r="P116" s="1295"/>
      <c r="Q116" s="1317"/>
      <c r="R116" s="1317"/>
      <c r="S116" s="1317"/>
      <c r="T116" s="1318"/>
      <c r="U116" s="1311"/>
      <c r="V116" s="1312"/>
      <c r="W116" s="1312"/>
      <c r="X116" s="1295"/>
      <c r="Y116" s="1317"/>
      <c r="Z116" s="1317"/>
      <c r="AA116" s="1317"/>
      <c r="AB116" s="1318"/>
      <c r="AC116" s="1311"/>
      <c r="AD116" s="1312"/>
      <c r="AE116" s="1312"/>
      <c r="AF116" s="1295"/>
      <c r="AG116" s="1317"/>
      <c r="AH116" s="1317"/>
      <c r="AI116" s="1317"/>
      <c r="AJ116" s="1318"/>
      <c r="AK116" s="1311"/>
      <c r="AL116" s="1312"/>
      <c r="AM116" s="1312"/>
      <c r="AN116" s="1295"/>
      <c r="AO116" s="1317"/>
      <c r="AP116" s="1317"/>
      <c r="AQ116" s="1317"/>
      <c r="AR116" s="1318"/>
      <c r="AS116" s="1311"/>
      <c r="AT116" s="1312"/>
      <c r="AU116" s="1312"/>
      <c r="AV116" s="1295"/>
      <c r="AW116" s="1317"/>
      <c r="AX116" s="1317"/>
      <c r="AY116" s="1317"/>
      <c r="AZ116" s="1318"/>
      <c r="BA116" s="1311"/>
      <c r="BB116" s="1312"/>
      <c r="BC116" s="1312"/>
      <c r="BD116" s="1295"/>
      <c r="BE116" s="1317"/>
      <c r="BF116" s="1317"/>
      <c r="BG116" s="1317"/>
      <c r="BH116" s="1306"/>
      <c r="BI116" s="1317">
        <v>5</v>
      </c>
      <c r="BJ116" s="1317">
        <v>3</v>
      </c>
      <c r="BK116" s="1317">
        <v>2</v>
      </c>
      <c r="BL116" s="1306">
        <f>SUM(BI116:BK116)</f>
        <v>10</v>
      </c>
      <c r="BM116" s="1317">
        <v>3</v>
      </c>
      <c r="BN116" s="1317">
        <v>1</v>
      </c>
      <c r="BO116" s="1317">
        <v>2</v>
      </c>
      <c r="BP116" s="1306">
        <f>SUM(BM116:BO116)</f>
        <v>6</v>
      </c>
      <c r="BQ116" s="1317">
        <v>3</v>
      </c>
      <c r="BR116" s="1317">
        <v>1</v>
      </c>
      <c r="BS116" s="1317">
        <v>5</v>
      </c>
      <c r="BT116" s="1306">
        <f>SUM(BQ116:BS116)</f>
        <v>9</v>
      </c>
    </row>
    <row r="117" spans="1:72" ht="12.75" customHeight="1" x14ac:dyDescent="0.2">
      <c r="A117" s="5626"/>
      <c r="B117" s="5626"/>
      <c r="C117" s="1592" t="s">
        <v>526</v>
      </c>
      <c r="D117" s="1327" t="s">
        <v>638</v>
      </c>
      <c r="E117" s="1297"/>
      <c r="F117" s="1298"/>
      <c r="G117" s="1298"/>
      <c r="H117" s="1300"/>
      <c r="I117" s="1298"/>
      <c r="J117" s="1298"/>
      <c r="K117" s="1298"/>
      <c r="L117" s="1299"/>
      <c r="M117" s="1297"/>
      <c r="N117" s="1298"/>
      <c r="O117" s="1298"/>
      <c r="P117" s="1300"/>
      <c r="Q117" s="1298"/>
      <c r="R117" s="1298"/>
      <c r="S117" s="1298"/>
      <c r="T117" s="1299"/>
      <c r="U117" s="1297"/>
      <c r="V117" s="1298"/>
      <c r="W117" s="1298"/>
      <c r="X117" s="1300"/>
      <c r="Y117" s="1298"/>
      <c r="Z117" s="1298"/>
      <c r="AA117" s="1298"/>
      <c r="AB117" s="1299"/>
      <c r="AC117" s="1297"/>
      <c r="AD117" s="1298"/>
      <c r="AE117" s="1298"/>
      <c r="AF117" s="1300"/>
      <c r="AG117" s="1298"/>
      <c r="AH117" s="1298"/>
      <c r="AI117" s="1298"/>
      <c r="AJ117" s="1299"/>
      <c r="AK117" s="1297"/>
      <c r="AL117" s="1298"/>
      <c r="AM117" s="1298"/>
      <c r="AN117" s="1300"/>
      <c r="AO117" s="1298"/>
      <c r="AP117" s="1298"/>
      <c r="AQ117" s="1298"/>
      <c r="AR117" s="1299"/>
      <c r="AS117" s="1297"/>
      <c r="AT117" s="1298"/>
      <c r="AU117" s="1298"/>
      <c r="AV117" s="1300"/>
      <c r="AW117" s="1298"/>
      <c r="AX117" s="1298"/>
      <c r="AY117" s="1298"/>
      <c r="AZ117" s="1299"/>
      <c r="BA117" s="1297"/>
      <c r="BB117" s="1298"/>
      <c r="BC117" s="1298"/>
      <c r="BD117" s="1300"/>
      <c r="BE117" s="1298"/>
      <c r="BF117" s="1298"/>
      <c r="BG117" s="1298"/>
      <c r="BH117" s="1306"/>
      <c r="BI117" s="1298"/>
      <c r="BJ117" s="1298"/>
      <c r="BK117" s="1298"/>
      <c r="BL117" s="1306">
        <f>SUM(BI117:BK117)</f>
        <v>0</v>
      </c>
      <c r="BM117" s="1298"/>
      <c r="BN117" s="1298">
        <v>1</v>
      </c>
      <c r="BO117" s="1298">
        <v>1</v>
      </c>
      <c r="BP117" s="1306">
        <f>SUM(BM117:BO117)</f>
        <v>2</v>
      </c>
      <c r="BQ117" s="1298"/>
      <c r="BR117" s="1298">
        <v>1</v>
      </c>
      <c r="BS117" s="1298"/>
      <c r="BT117" s="1306">
        <f>SUM(BQ117:BS117)</f>
        <v>1</v>
      </c>
    </row>
    <row r="118" spans="1:72" ht="12.75" customHeight="1" x14ac:dyDescent="0.2">
      <c r="A118" s="5626"/>
      <c r="B118" s="5627"/>
      <c r="C118" s="1574"/>
      <c r="D118" s="1370"/>
      <c r="E118" s="1308"/>
      <c r="F118" s="1309"/>
      <c r="G118" s="1309"/>
      <c r="H118" s="1366"/>
      <c r="I118" s="1309"/>
      <c r="J118" s="1309"/>
      <c r="K118" s="1309"/>
      <c r="L118" s="1309"/>
      <c r="M118" s="1308"/>
      <c r="N118" s="1309"/>
      <c r="O118" s="1309"/>
      <c r="P118" s="1366"/>
      <c r="Q118" s="1309"/>
      <c r="R118" s="1309"/>
      <c r="S118" s="1309"/>
      <c r="T118" s="1309"/>
      <c r="U118" s="1308"/>
      <c r="V118" s="1309"/>
      <c r="W118" s="1309"/>
      <c r="X118" s="1366"/>
      <c r="Y118" s="1309"/>
      <c r="Z118" s="1309"/>
      <c r="AA118" s="1309"/>
      <c r="AB118" s="1309"/>
      <c r="AC118" s="1308"/>
      <c r="AD118" s="1309"/>
      <c r="AE118" s="1309"/>
      <c r="AF118" s="1366"/>
      <c r="AG118" s="1309"/>
      <c r="AH118" s="1309"/>
      <c r="AI118" s="1309"/>
      <c r="AJ118" s="1309"/>
      <c r="AK118" s="1308"/>
      <c r="AL118" s="1309"/>
      <c r="AM118" s="1309"/>
      <c r="AN118" s="1366"/>
      <c r="AO118" s="1309"/>
      <c r="AP118" s="1309"/>
      <c r="AQ118" s="1309"/>
      <c r="AR118" s="1309"/>
      <c r="AS118" s="1308"/>
      <c r="AT118" s="1309"/>
      <c r="AU118" s="1309"/>
      <c r="AV118" s="1366"/>
      <c r="AW118" s="1309"/>
      <c r="AX118" s="1309"/>
      <c r="AY118" s="1309"/>
      <c r="AZ118" s="1309"/>
      <c r="BA118" s="1308"/>
      <c r="BB118" s="1309"/>
      <c r="BC118" s="1309"/>
      <c r="BD118" s="1366"/>
      <c r="BE118" s="1309"/>
      <c r="BF118" s="1309"/>
      <c r="BG118" s="1309"/>
      <c r="BH118" s="1366"/>
      <c r="BI118" s="1308">
        <f t="shared" ref="BI118:BP118" si="118">SUM(BI116:BI117)</f>
        <v>5</v>
      </c>
      <c r="BJ118" s="1309">
        <f t="shared" si="118"/>
        <v>3</v>
      </c>
      <c r="BK118" s="1309">
        <f t="shared" si="118"/>
        <v>2</v>
      </c>
      <c r="BL118" s="1366">
        <f t="shared" si="118"/>
        <v>10</v>
      </c>
      <c r="BM118" s="1308">
        <f t="shared" si="118"/>
        <v>3</v>
      </c>
      <c r="BN118" s="1309">
        <f t="shared" si="118"/>
        <v>2</v>
      </c>
      <c r="BO118" s="1309">
        <f t="shared" si="118"/>
        <v>3</v>
      </c>
      <c r="BP118" s="1366">
        <f t="shared" si="118"/>
        <v>8</v>
      </c>
      <c r="BQ118" s="1308">
        <f t="shared" ref="BQ118:BT118" si="119">SUM(BQ116:BQ117)</f>
        <v>3</v>
      </c>
      <c r="BR118" s="1309">
        <f t="shared" si="119"/>
        <v>2</v>
      </c>
      <c r="BS118" s="1309">
        <f t="shared" si="119"/>
        <v>5</v>
      </c>
      <c r="BT118" s="1366">
        <f t="shared" si="119"/>
        <v>10</v>
      </c>
    </row>
    <row r="119" spans="1:72" ht="12.75" customHeight="1" x14ac:dyDescent="0.2">
      <c r="A119" s="5626"/>
      <c r="B119" s="5625" t="s">
        <v>9</v>
      </c>
      <c r="C119" s="1592" t="s">
        <v>527</v>
      </c>
      <c r="D119" s="1327" t="s">
        <v>415</v>
      </c>
      <c r="E119" s="1590"/>
      <c r="F119" s="1583"/>
      <c r="G119" s="1583"/>
      <c r="H119" s="1591"/>
      <c r="I119" s="1583"/>
      <c r="J119" s="1583"/>
      <c r="K119" s="1583"/>
      <c r="L119" s="1583"/>
      <c r="M119" s="1590"/>
      <c r="N119" s="1583"/>
      <c r="O119" s="1583"/>
      <c r="P119" s="1591"/>
      <c r="Q119" s="1583"/>
      <c r="R119" s="1583"/>
      <c r="S119" s="1583"/>
      <c r="T119" s="1583"/>
      <c r="U119" s="1590"/>
      <c r="V119" s="1583"/>
      <c r="W119" s="1583"/>
      <c r="X119" s="1591"/>
      <c r="Y119" s="1583"/>
      <c r="Z119" s="1583"/>
      <c r="AA119" s="1583"/>
      <c r="AB119" s="1583"/>
      <c r="AC119" s="1590"/>
      <c r="AD119" s="1583"/>
      <c r="AE119" s="1583"/>
      <c r="AF119" s="1591"/>
      <c r="AG119" s="1583"/>
      <c r="AH119" s="1583"/>
      <c r="AI119" s="1583"/>
      <c r="AJ119" s="1583"/>
      <c r="AK119" s="1590"/>
      <c r="AL119" s="1583"/>
      <c r="AM119" s="1583"/>
      <c r="AN119" s="1591"/>
      <c r="AO119" s="1583"/>
      <c r="AP119" s="1583"/>
      <c r="AQ119" s="1583"/>
      <c r="AR119" s="1583"/>
      <c r="AS119" s="1590"/>
      <c r="AT119" s="1583"/>
      <c r="AU119" s="1583"/>
      <c r="AV119" s="1591"/>
      <c r="AW119" s="1583"/>
      <c r="AX119" s="1583"/>
      <c r="AY119" s="1583"/>
      <c r="AZ119" s="1583"/>
      <c r="BA119" s="1590"/>
      <c r="BB119" s="1583"/>
      <c r="BC119" s="1583"/>
      <c r="BD119" s="1591"/>
      <c r="BE119" s="1588"/>
      <c r="BF119" s="1588"/>
      <c r="BG119" s="1588"/>
      <c r="BH119" s="1588"/>
      <c r="BI119" s="1587"/>
      <c r="BJ119" s="1588"/>
      <c r="BK119" s="1588"/>
      <c r="BL119" s="1589">
        <f>SUM(BI119:BK119)</f>
        <v>0</v>
      </c>
      <c r="BM119" s="1587"/>
      <c r="BN119" s="1588"/>
      <c r="BO119" s="1588">
        <v>8</v>
      </c>
      <c r="BP119" s="1589">
        <f>SUM(BM119:BO119)</f>
        <v>8</v>
      </c>
      <c r="BQ119" s="1587"/>
      <c r="BR119" s="1588"/>
      <c r="BS119" s="4841">
        <v>11</v>
      </c>
      <c r="BT119" s="1589">
        <f>SUM(BQ119:BS119)</f>
        <v>11</v>
      </c>
    </row>
    <row r="120" spans="1:72" ht="12.75" customHeight="1" x14ac:dyDescent="0.2">
      <c r="A120" s="5626"/>
      <c r="B120" s="5627"/>
      <c r="C120" s="1574"/>
      <c r="D120" s="1370"/>
      <c r="E120" s="1308"/>
      <c r="F120" s="1309"/>
      <c r="G120" s="1309"/>
      <c r="H120" s="1366"/>
      <c r="I120" s="1309"/>
      <c r="J120" s="1309"/>
      <c r="K120" s="1309"/>
      <c r="L120" s="1309"/>
      <c r="M120" s="1308"/>
      <c r="N120" s="1309"/>
      <c r="O120" s="1309"/>
      <c r="P120" s="1366"/>
      <c r="Q120" s="1309"/>
      <c r="R120" s="1309"/>
      <c r="S120" s="1309"/>
      <c r="T120" s="1309"/>
      <c r="U120" s="1308"/>
      <c r="V120" s="1309"/>
      <c r="W120" s="1309"/>
      <c r="X120" s="1366"/>
      <c r="Y120" s="1309"/>
      <c r="Z120" s="1309"/>
      <c r="AA120" s="1309"/>
      <c r="AB120" s="1309"/>
      <c r="AC120" s="1308"/>
      <c r="AD120" s="1309"/>
      <c r="AE120" s="1309"/>
      <c r="AF120" s="1366"/>
      <c r="AG120" s="1309"/>
      <c r="AH120" s="1309"/>
      <c r="AI120" s="1309"/>
      <c r="AJ120" s="1309"/>
      <c r="AK120" s="1308"/>
      <c r="AL120" s="1309"/>
      <c r="AM120" s="1309"/>
      <c r="AN120" s="1366"/>
      <c r="AO120" s="1309"/>
      <c r="AP120" s="1309"/>
      <c r="AQ120" s="1309"/>
      <c r="AR120" s="1309"/>
      <c r="AS120" s="1308"/>
      <c r="AT120" s="1309"/>
      <c r="AU120" s="1309"/>
      <c r="AV120" s="1366"/>
      <c r="AW120" s="1309"/>
      <c r="AX120" s="1309"/>
      <c r="AY120" s="1309"/>
      <c r="AZ120" s="1309"/>
      <c r="BA120" s="1308"/>
      <c r="BB120" s="1309"/>
      <c r="BC120" s="1309"/>
      <c r="BD120" s="1366"/>
      <c r="BE120" s="1309"/>
      <c r="BF120" s="1309"/>
      <c r="BG120" s="1309"/>
      <c r="BH120" s="1309"/>
      <c r="BI120" s="1308">
        <f t="shared" ref="BI120:BP120" si="120">SUM(BI119)</f>
        <v>0</v>
      </c>
      <c r="BJ120" s="1309">
        <f t="shared" si="120"/>
        <v>0</v>
      </c>
      <c r="BK120" s="1309">
        <f t="shared" si="120"/>
        <v>0</v>
      </c>
      <c r="BL120" s="1366">
        <f t="shared" si="120"/>
        <v>0</v>
      </c>
      <c r="BM120" s="1308">
        <f t="shared" si="120"/>
        <v>0</v>
      </c>
      <c r="BN120" s="1309">
        <f t="shared" si="120"/>
        <v>0</v>
      </c>
      <c r="BO120" s="1309">
        <f t="shared" si="120"/>
        <v>8</v>
      </c>
      <c r="BP120" s="1366">
        <f t="shared" si="120"/>
        <v>8</v>
      </c>
      <c r="BQ120" s="1308">
        <f t="shared" ref="BQ120:BT120" si="121">SUM(BQ119)</f>
        <v>0</v>
      </c>
      <c r="BR120" s="1309">
        <f t="shared" si="121"/>
        <v>0</v>
      </c>
      <c r="BS120" s="1309">
        <f t="shared" si="121"/>
        <v>11</v>
      </c>
      <c r="BT120" s="1366">
        <f t="shared" si="121"/>
        <v>11</v>
      </c>
    </row>
    <row r="121" spans="1:72" ht="12.75" customHeight="1" x14ac:dyDescent="0.2">
      <c r="A121" s="5626"/>
      <c r="B121" s="5628" t="s">
        <v>74</v>
      </c>
      <c r="C121" s="1365" t="s">
        <v>528</v>
      </c>
      <c r="D121" s="1327" t="s">
        <v>639</v>
      </c>
      <c r="E121" s="1321"/>
      <c r="F121" s="1327"/>
      <c r="G121" s="1327"/>
      <c r="H121" s="1586"/>
      <c r="I121" s="1327"/>
      <c r="J121" s="1327"/>
      <c r="K121" s="1327"/>
      <c r="L121" s="1327"/>
      <c r="M121" s="1321"/>
      <c r="N121" s="1327"/>
      <c r="O121" s="1327"/>
      <c r="P121" s="1586"/>
      <c r="Q121" s="1327"/>
      <c r="R121" s="1327"/>
      <c r="S121" s="1327"/>
      <c r="T121" s="1327"/>
      <c r="U121" s="1321"/>
      <c r="V121" s="1327"/>
      <c r="W121" s="1327"/>
      <c r="X121" s="1586"/>
      <c r="Y121" s="1327"/>
      <c r="Z121" s="1327"/>
      <c r="AA121" s="1327"/>
      <c r="AB121" s="1327"/>
      <c r="AC121" s="1321"/>
      <c r="AD121" s="1327"/>
      <c r="AE121" s="1327"/>
      <c r="AF121" s="1586"/>
      <c r="AG121" s="1327"/>
      <c r="AH121" s="1327"/>
      <c r="AI121" s="1327"/>
      <c r="AJ121" s="1327"/>
      <c r="AK121" s="1321"/>
      <c r="AL121" s="1327"/>
      <c r="AM121" s="1327"/>
      <c r="AN121" s="1586"/>
      <c r="AO121" s="1327"/>
      <c r="AP121" s="1327"/>
      <c r="AQ121" s="1327"/>
      <c r="AR121" s="1327"/>
      <c r="AS121" s="1321"/>
      <c r="AT121" s="1327"/>
      <c r="AU121" s="1327"/>
      <c r="AV121" s="1586"/>
      <c r="AW121" s="1327"/>
      <c r="AX121" s="1327"/>
      <c r="AY121" s="1327"/>
      <c r="AZ121" s="1327"/>
      <c r="BA121" s="1321"/>
      <c r="BB121" s="1327"/>
      <c r="BC121" s="1327"/>
      <c r="BD121" s="1586"/>
      <c r="BE121" s="1796"/>
      <c r="BF121" s="1585"/>
      <c r="BG121" s="1585"/>
      <c r="BH121" s="1797"/>
      <c r="BI121" s="1317"/>
      <c r="BJ121" s="1317">
        <v>2</v>
      </c>
      <c r="BK121" s="1585"/>
      <c r="BL121" s="1306">
        <f>SUM(BI121:BK121)</f>
        <v>2</v>
      </c>
      <c r="BM121" s="1317"/>
      <c r="BN121" s="1317">
        <v>2</v>
      </c>
      <c r="BO121" s="1585"/>
      <c r="BP121" s="1306">
        <f>SUM(BM121:BO121)</f>
        <v>2</v>
      </c>
      <c r="BQ121" s="1317"/>
      <c r="BR121" s="1317">
        <v>2</v>
      </c>
      <c r="BS121" s="1585"/>
      <c r="BT121" s="1306">
        <f>SUM(BQ121:BS121)</f>
        <v>2</v>
      </c>
    </row>
    <row r="122" spans="1:72" ht="12.75" customHeight="1" x14ac:dyDescent="0.2">
      <c r="A122" s="5626"/>
      <c r="B122" s="5628"/>
      <c r="C122" s="1365" t="s">
        <v>527</v>
      </c>
      <c r="D122" s="1327" t="s">
        <v>639</v>
      </c>
      <c r="E122" s="1321"/>
      <c r="F122" s="1327"/>
      <c r="G122" s="1327"/>
      <c r="H122" s="1586"/>
      <c r="I122" s="1327"/>
      <c r="J122" s="1327"/>
      <c r="K122" s="1327"/>
      <c r="L122" s="1327"/>
      <c r="M122" s="1321"/>
      <c r="N122" s="1327"/>
      <c r="O122" s="1327"/>
      <c r="P122" s="1586"/>
      <c r="Q122" s="1327"/>
      <c r="R122" s="1327"/>
      <c r="S122" s="1327"/>
      <c r="T122" s="1327"/>
      <c r="U122" s="1321"/>
      <c r="V122" s="1327"/>
      <c r="W122" s="1327"/>
      <c r="X122" s="1586"/>
      <c r="Y122" s="1327"/>
      <c r="Z122" s="1327"/>
      <c r="AA122" s="1327"/>
      <c r="AB122" s="1327"/>
      <c r="AC122" s="1321"/>
      <c r="AD122" s="1327"/>
      <c r="AE122" s="1327"/>
      <c r="AF122" s="1586"/>
      <c r="AG122" s="1327"/>
      <c r="AH122" s="1327"/>
      <c r="AI122" s="1327"/>
      <c r="AJ122" s="1327"/>
      <c r="AK122" s="1321"/>
      <c r="AL122" s="1327"/>
      <c r="AM122" s="1327"/>
      <c r="AN122" s="1586"/>
      <c r="AO122" s="1327"/>
      <c r="AP122" s="1327"/>
      <c r="AQ122" s="1327"/>
      <c r="AR122" s="1327"/>
      <c r="AS122" s="1321"/>
      <c r="AT122" s="1327"/>
      <c r="AU122" s="1327"/>
      <c r="AV122" s="1586"/>
      <c r="AW122" s="1327"/>
      <c r="AX122" s="1327"/>
      <c r="AY122" s="1327"/>
      <c r="AZ122" s="1327"/>
      <c r="BA122" s="1321"/>
      <c r="BB122" s="1327"/>
      <c r="BC122" s="1327"/>
      <c r="BD122" s="1586"/>
      <c r="BE122" s="1321"/>
      <c r="BF122" s="1327"/>
      <c r="BG122" s="1327"/>
      <c r="BH122" s="1586"/>
      <c r="BI122" s="1327"/>
      <c r="BJ122" s="1317"/>
      <c r="BK122" s="1327"/>
      <c r="BL122" s="1306">
        <f>SUM(BI122:BK122)</f>
        <v>0</v>
      </c>
      <c r="BM122" s="1327"/>
      <c r="BN122" s="1317"/>
      <c r="BO122" s="1298">
        <v>1</v>
      </c>
      <c r="BP122" s="1306">
        <f>SUM(BM122:BO122)</f>
        <v>1</v>
      </c>
      <c r="BQ122" s="1327"/>
      <c r="BR122" s="1317">
        <v>5</v>
      </c>
      <c r="BS122" s="1298">
        <v>1</v>
      </c>
      <c r="BT122" s="1306">
        <f>SUM(BQ122:BS122)</f>
        <v>6</v>
      </c>
    </row>
    <row r="123" spans="1:72" ht="12.75" customHeight="1" x14ac:dyDescent="0.2">
      <c r="A123" s="5626"/>
      <c r="B123" s="5628"/>
      <c r="C123" s="5646" t="s">
        <v>526</v>
      </c>
      <c r="D123" s="1327" t="s">
        <v>639</v>
      </c>
      <c r="E123" s="1321"/>
      <c r="F123" s="1327"/>
      <c r="G123" s="1327"/>
      <c r="H123" s="1586"/>
      <c r="I123" s="1327"/>
      <c r="J123" s="1327"/>
      <c r="K123" s="1327"/>
      <c r="L123" s="1327"/>
      <c r="M123" s="1321"/>
      <c r="N123" s="1327"/>
      <c r="O123" s="1327"/>
      <c r="P123" s="1586"/>
      <c r="Q123" s="1327"/>
      <c r="R123" s="1327"/>
      <c r="S123" s="1327"/>
      <c r="T123" s="1327"/>
      <c r="U123" s="1321"/>
      <c r="V123" s="1327"/>
      <c r="W123" s="1327"/>
      <c r="X123" s="1586"/>
      <c r="Y123" s="1327"/>
      <c r="Z123" s="1327"/>
      <c r="AA123" s="1327"/>
      <c r="AB123" s="1327"/>
      <c r="AC123" s="1321"/>
      <c r="AD123" s="1327"/>
      <c r="AE123" s="1327"/>
      <c r="AF123" s="1586"/>
      <c r="AG123" s="1327"/>
      <c r="AH123" s="1327"/>
      <c r="AI123" s="1327"/>
      <c r="AJ123" s="1327"/>
      <c r="AK123" s="1321"/>
      <c r="AL123" s="1327"/>
      <c r="AM123" s="1327"/>
      <c r="AN123" s="1586"/>
      <c r="AO123" s="1327"/>
      <c r="AP123" s="1327"/>
      <c r="AQ123" s="1327"/>
      <c r="AR123" s="1327"/>
      <c r="AS123" s="1321"/>
      <c r="AT123" s="1327"/>
      <c r="AU123" s="1327"/>
      <c r="AV123" s="1586"/>
      <c r="AW123" s="1327"/>
      <c r="AX123" s="1327"/>
      <c r="AY123" s="1327"/>
      <c r="AZ123" s="1327"/>
      <c r="BA123" s="1321"/>
      <c r="BB123" s="1327"/>
      <c r="BC123" s="1327"/>
      <c r="BD123" s="1586"/>
      <c r="BE123" s="1321"/>
      <c r="BF123" s="1327"/>
      <c r="BG123" s="1327"/>
      <c r="BH123" s="1586"/>
      <c r="BI123" s="1327"/>
      <c r="BJ123" s="1317"/>
      <c r="BK123" s="1327"/>
      <c r="BL123" s="1306">
        <f>SUM(BI123:BK123)</f>
        <v>0</v>
      </c>
      <c r="BM123" s="1327"/>
      <c r="BN123" s="1317"/>
      <c r="BO123" s="1327"/>
      <c r="BP123" s="1306">
        <f>SUM(BM123:BO123)</f>
        <v>0</v>
      </c>
      <c r="BQ123" s="1327"/>
      <c r="BR123" s="1317">
        <v>1</v>
      </c>
      <c r="BS123" s="1327"/>
      <c r="BT123" s="1306">
        <f>SUM(BQ123:BS123)</f>
        <v>1</v>
      </c>
    </row>
    <row r="124" spans="1:72" ht="12.75" customHeight="1" x14ac:dyDescent="0.2">
      <c r="A124" s="5626"/>
      <c r="B124" s="5629"/>
      <c r="C124" s="5644"/>
      <c r="D124" s="4843" t="s">
        <v>637</v>
      </c>
      <c r="E124" s="4844"/>
      <c r="F124" s="4843"/>
      <c r="G124" s="4843"/>
      <c r="H124" s="4845"/>
      <c r="I124" s="4843"/>
      <c r="J124" s="4843"/>
      <c r="K124" s="4843"/>
      <c r="L124" s="4843"/>
      <c r="M124" s="4844"/>
      <c r="N124" s="4843"/>
      <c r="O124" s="4843"/>
      <c r="P124" s="4845"/>
      <c r="Q124" s="4843"/>
      <c r="R124" s="4843"/>
      <c r="S124" s="4843"/>
      <c r="T124" s="4843"/>
      <c r="U124" s="4844"/>
      <c r="V124" s="4843"/>
      <c r="W124" s="4843"/>
      <c r="X124" s="4845"/>
      <c r="Y124" s="4843"/>
      <c r="Z124" s="4843"/>
      <c r="AA124" s="4843"/>
      <c r="AB124" s="4843"/>
      <c r="AC124" s="4844"/>
      <c r="AD124" s="4843"/>
      <c r="AE124" s="4843"/>
      <c r="AF124" s="4845"/>
      <c r="AG124" s="4843"/>
      <c r="AH124" s="4843"/>
      <c r="AI124" s="4843"/>
      <c r="AJ124" s="4843"/>
      <c r="AK124" s="4844"/>
      <c r="AL124" s="4843"/>
      <c r="AM124" s="4843"/>
      <c r="AN124" s="4845"/>
      <c r="AO124" s="4843"/>
      <c r="AP124" s="4843"/>
      <c r="AQ124" s="4843"/>
      <c r="AR124" s="4843"/>
      <c r="AS124" s="4844"/>
      <c r="AT124" s="4843"/>
      <c r="AU124" s="4843"/>
      <c r="AV124" s="4845"/>
      <c r="AW124" s="4843"/>
      <c r="AX124" s="4843"/>
      <c r="AY124" s="4843"/>
      <c r="AZ124" s="4843"/>
      <c r="BA124" s="4844"/>
      <c r="BB124" s="4843"/>
      <c r="BC124" s="4843"/>
      <c r="BD124" s="4845"/>
      <c r="BE124" s="4844"/>
      <c r="BF124" s="4843"/>
      <c r="BG124" s="4843"/>
      <c r="BH124" s="4845"/>
      <c r="BI124" s="4843"/>
      <c r="BJ124" s="4842"/>
      <c r="BK124" s="4843"/>
      <c r="BL124" s="1591"/>
      <c r="BM124" s="4843"/>
      <c r="BN124" s="4842"/>
      <c r="BO124" s="4843"/>
      <c r="BP124" s="1591"/>
      <c r="BQ124" s="4843"/>
      <c r="BR124" s="4842"/>
      <c r="BS124" s="1298">
        <v>1</v>
      </c>
      <c r="BT124" s="1306">
        <f>SUM(BQ124:BS124)</f>
        <v>1</v>
      </c>
    </row>
    <row r="125" spans="1:72" ht="12.75" customHeight="1" x14ac:dyDescent="0.2">
      <c r="A125" s="5626"/>
      <c r="B125" s="5628"/>
      <c r="C125" s="1574"/>
      <c r="D125" s="1370"/>
      <c r="E125" s="1308"/>
      <c r="F125" s="1309"/>
      <c r="G125" s="1309"/>
      <c r="H125" s="1366"/>
      <c r="I125" s="1309"/>
      <c r="J125" s="1309"/>
      <c r="K125" s="1309"/>
      <c r="L125" s="1309"/>
      <c r="M125" s="1308"/>
      <c r="N125" s="1309"/>
      <c r="O125" s="1309"/>
      <c r="P125" s="1366"/>
      <c r="Q125" s="1309"/>
      <c r="R125" s="1309"/>
      <c r="S125" s="1309"/>
      <c r="T125" s="1309"/>
      <c r="U125" s="1308"/>
      <c r="V125" s="1309"/>
      <c r="W125" s="1309"/>
      <c r="X125" s="1366"/>
      <c r="Y125" s="1309"/>
      <c r="Z125" s="1309"/>
      <c r="AA125" s="1309"/>
      <c r="AB125" s="1309"/>
      <c r="AC125" s="1308"/>
      <c r="AD125" s="1309"/>
      <c r="AE125" s="1309"/>
      <c r="AF125" s="1366"/>
      <c r="AG125" s="1309"/>
      <c r="AH125" s="1309"/>
      <c r="AI125" s="1309"/>
      <c r="AJ125" s="1309"/>
      <c r="AK125" s="1308"/>
      <c r="AL125" s="1309"/>
      <c r="AM125" s="1309"/>
      <c r="AN125" s="1366"/>
      <c r="AO125" s="1309"/>
      <c r="AP125" s="1309"/>
      <c r="AQ125" s="1309"/>
      <c r="AR125" s="1309"/>
      <c r="AS125" s="1308"/>
      <c r="AT125" s="1309"/>
      <c r="AU125" s="1309"/>
      <c r="AV125" s="1366"/>
      <c r="AW125" s="1309"/>
      <c r="AX125" s="1309"/>
      <c r="AY125" s="1309"/>
      <c r="AZ125" s="1309"/>
      <c r="BA125" s="1308"/>
      <c r="BB125" s="1309"/>
      <c r="BC125" s="1309"/>
      <c r="BD125" s="1366"/>
      <c r="BE125" s="1308"/>
      <c r="BF125" s="1309"/>
      <c r="BG125" s="1309"/>
      <c r="BH125" s="1366"/>
      <c r="BI125" s="1309">
        <f t="shared" ref="BI125:BP125" si="122">SUM(BI121:BI123)</f>
        <v>0</v>
      </c>
      <c r="BJ125" s="1309">
        <f t="shared" si="122"/>
        <v>2</v>
      </c>
      <c r="BK125" s="1309">
        <f t="shared" si="122"/>
        <v>0</v>
      </c>
      <c r="BL125" s="1366">
        <f t="shared" si="122"/>
        <v>2</v>
      </c>
      <c r="BM125" s="1309">
        <f t="shared" si="122"/>
        <v>0</v>
      </c>
      <c r="BN125" s="1309">
        <f t="shared" si="122"/>
        <v>2</v>
      </c>
      <c r="BO125" s="1309">
        <f t="shared" si="122"/>
        <v>1</v>
      </c>
      <c r="BP125" s="1366">
        <f t="shared" si="122"/>
        <v>3</v>
      </c>
      <c r="BQ125" s="1308">
        <f t="shared" ref="BQ125" si="123">SUM(BQ121:BQ123)</f>
        <v>0</v>
      </c>
      <c r="BR125" s="1309">
        <f>SUM(BR121:BR124)</f>
        <v>8</v>
      </c>
      <c r="BS125" s="1309">
        <f t="shared" ref="BS125:BT125" si="124">SUM(BS121:BS124)</f>
        <v>2</v>
      </c>
      <c r="BT125" s="1366">
        <f t="shared" si="124"/>
        <v>10</v>
      </c>
    </row>
    <row r="126" spans="1:72" ht="15" x14ac:dyDescent="0.2">
      <c r="A126" s="5627"/>
      <c r="B126" s="2697"/>
      <c r="C126" s="2697"/>
      <c r="D126" s="2698" t="s">
        <v>532</v>
      </c>
      <c r="E126" s="2697"/>
      <c r="F126" s="2697"/>
      <c r="G126" s="2697"/>
      <c r="H126" s="2697"/>
      <c r="I126" s="2697"/>
      <c r="J126" s="2697"/>
      <c r="K126" s="2697"/>
      <c r="L126" s="2697"/>
      <c r="M126" s="2697"/>
      <c r="N126" s="2697"/>
      <c r="O126" s="2697"/>
      <c r="P126" s="2697"/>
      <c r="Q126" s="2697"/>
      <c r="R126" s="2697"/>
      <c r="S126" s="2697"/>
      <c r="T126" s="2697"/>
      <c r="U126" s="2697"/>
      <c r="V126" s="2697"/>
      <c r="W126" s="2697"/>
      <c r="X126" s="2697"/>
      <c r="Y126" s="2697"/>
      <c r="Z126" s="2697"/>
      <c r="AA126" s="2697"/>
      <c r="AB126" s="2697"/>
      <c r="AC126" s="2697"/>
      <c r="AD126" s="2697"/>
      <c r="AE126" s="2697"/>
      <c r="AF126" s="2697"/>
      <c r="AG126" s="2697"/>
      <c r="AH126" s="2697"/>
      <c r="AI126" s="2697"/>
      <c r="AJ126" s="2697"/>
      <c r="AK126" s="2697"/>
      <c r="AL126" s="2697"/>
      <c r="AM126" s="2697"/>
      <c r="AN126" s="2697"/>
      <c r="AO126" s="2697"/>
      <c r="AP126" s="2697"/>
      <c r="AQ126" s="2697"/>
      <c r="AR126" s="2697"/>
      <c r="AS126" s="2697"/>
      <c r="AT126" s="2697"/>
      <c r="AU126" s="2697"/>
      <c r="AV126" s="2697"/>
      <c r="AW126" s="2697"/>
      <c r="AX126" s="2697"/>
      <c r="AY126" s="2697"/>
      <c r="AZ126" s="2697"/>
      <c r="BA126" s="2697"/>
      <c r="BB126" s="2697"/>
      <c r="BC126" s="2697"/>
      <c r="BD126" s="2697"/>
      <c r="BE126" s="2697"/>
      <c r="BF126" s="2697"/>
      <c r="BG126" s="2697"/>
      <c r="BH126" s="2697"/>
      <c r="BI126" s="2691">
        <f t="shared" ref="BI126:BP126" si="125">SUM(BI118,BI120,BI125)</f>
        <v>5</v>
      </c>
      <c r="BJ126" s="2691">
        <f t="shared" si="125"/>
        <v>5</v>
      </c>
      <c r="BK126" s="2691">
        <f t="shared" si="125"/>
        <v>2</v>
      </c>
      <c r="BL126" s="2692">
        <f t="shared" si="125"/>
        <v>12</v>
      </c>
      <c r="BM126" s="2691">
        <f t="shared" si="125"/>
        <v>3</v>
      </c>
      <c r="BN126" s="2691">
        <f t="shared" si="125"/>
        <v>4</v>
      </c>
      <c r="BO126" s="2691">
        <f t="shared" si="125"/>
        <v>12</v>
      </c>
      <c r="BP126" s="2692">
        <f t="shared" si="125"/>
        <v>19</v>
      </c>
      <c r="BQ126" s="2691">
        <f t="shared" ref="BQ126:BT126" si="126">SUM(BQ118,BQ120,BQ125)</f>
        <v>3</v>
      </c>
      <c r="BR126" s="2691">
        <f t="shared" si="126"/>
        <v>10</v>
      </c>
      <c r="BS126" s="2691">
        <f t="shared" si="126"/>
        <v>18</v>
      </c>
      <c r="BT126" s="2692">
        <f t="shared" si="126"/>
        <v>31</v>
      </c>
    </row>
    <row r="127" spans="1:72" s="1022" customFormat="1" ht="15" x14ac:dyDescent="0.2">
      <c r="A127" s="1330"/>
      <c r="B127" s="5205" t="s">
        <v>76</v>
      </c>
      <c r="C127" s="5206"/>
      <c r="D127" s="5636"/>
      <c r="E127" s="1331">
        <f t="shared" ref="E127:AJ127" si="127">SUM(E38,E79,E115)</f>
        <v>32</v>
      </c>
      <c r="F127" s="1332">
        <f t="shared" si="127"/>
        <v>69</v>
      </c>
      <c r="G127" s="1332">
        <f t="shared" si="127"/>
        <v>132</v>
      </c>
      <c r="H127" s="1332">
        <f t="shared" si="127"/>
        <v>233</v>
      </c>
      <c r="I127" s="1331">
        <f t="shared" si="127"/>
        <v>45</v>
      </c>
      <c r="J127" s="1332">
        <f t="shared" si="127"/>
        <v>82</v>
      </c>
      <c r="K127" s="1332">
        <f t="shared" si="127"/>
        <v>86</v>
      </c>
      <c r="L127" s="1332">
        <f t="shared" si="127"/>
        <v>213</v>
      </c>
      <c r="M127" s="1331">
        <f t="shared" si="127"/>
        <v>60</v>
      </c>
      <c r="N127" s="1332">
        <f t="shared" si="127"/>
        <v>151</v>
      </c>
      <c r="O127" s="1332">
        <f t="shared" si="127"/>
        <v>128</v>
      </c>
      <c r="P127" s="1332">
        <f t="shared" si="127"/>
        <v>339</v>
      </c>
      <c r="Q127" s="1331">
        <f t="shared" si="127"/>
        <v>80</v>
      </c>
      <c r="R127" s="1332">
        <f t="shared" si="127"/>
        <v>397</v>
      </c>
      <c r="S127" s="1332">
        <f t="shared" si="127"/>
        <v>138</v>
      </c>
      <c r="T127" s="1332">
        <f t="shared" si="127"/>
        <v>615</v>
      </c>
      <c r="U127" s="1331">
        <f t="shared" si="127"/>
        <v>108</v>
      </c>
      <c r="V127" s="1332">
        <f t="shared" si="127"/>
        <v>134</v>
      </c>
      <c r="W127" s="1332">
        <f t="shared" si="127"/>
        <v>147</v>
      </c>
      <c r="X127" s="1332">
        <f t="shared" si="127"/>
        <v>389</v>
      </c>
      <c r="Y127" s="1331">
        <f t="shared" si="127"/>
        <v>102</v>
      </c>
      <c r="Z127" s="1332">
        <f t="shared" si="127"/>
        <v>219</v>
      </c>
      <c r="AA127" s="1332">
        <f t="shared" si="127"/>
        <v>154</v>
      </c>
      <c r="AB127" s="1332">
        <f t="shared" si="127"/>
        <v>475</v>
      </c>
      <c r="AC127" s="1331">
        <f t="shared" si="127"/>
        <v>116</v>
      </c>
      <c r="AD127" s="1332">
        <f t="shared" si="127"/>
        <v>258</v>
      </c>
      <c r="AE127" s="1332">
        <f t="shared" si="127"/>
        <v>127</v>
      </c>
      <c r="AF127" s="1333">
        <f t="shared" si="127"/>
        <v>501</v>
      </c>
      <c r="AG127" s="1332">
        <f t="shared" si="127"/>
        <v>77</v>
      </c>
      <c r="AH127" s="1332">
        <f t="shared" si="127"/>
        <v>201</v>
      </c>
      <c r="AI127" s="1332">
        <f t="shared" si="127"/>
        <v>243</v>
      </c>
      <c r="AJ127" s="1333">
        <f t="shared" si="127"/>
        <v>521</v>
      </c>
      <c r="AK127" s="1332">
        <f t="shared" ref="AK127:BH127" si="128">SUM(AK38,AK79,AK115)</f>
        <v>151</v>
      </c>
      <c r="AL127" s="1332">
        <f t="shared" si="128"/>
        <v>227</v>
      </c>
      <c r="AM127" s="1332">
        <f t="shared" si="128"/>
        <v>162</v>
      </c>
      <c r="AN127" s="1333">
        <f t="shared" si="128"/>
        <v>540</v>
      </c>
      <c r="AO127" s="1332">
        <f t="shared" si="128"/>
        <v>185</v>
      </c>
      <c r="AP127" s="1332">
        <f t="shared" si="128"/>
        <v>178</v>
      </c>
      <c r="AQ127" s="1332">
        <f t="shared" si="128"/>
        <v>199</v>
      </c>
      <c r="AR127" s="1333">
        <f t="shared" si="128"/>
        <v>562</v>
      </c>
      <c r="AS127" s="1332">
        <f t="shared" si="128"/>
        <v>145</v>
      </c>
      <c r="AT127" s="1332">
        <f t="shared" si="128"/>
        <v>236</v>
      </c>
      <c r="AU127" s="1332">
        <f t="shared" si="128"/>
        <v>246</v>
      </c>
      <c r="AV127" s="1333">
        <f t="shared" si="128"/>
        <v>627</v>
      </c>
      <c r="AW127" s="1332">
        <f t="shared" si="128"/>
        <v>181</v>
      </c>
      <c r="AX127" s="1332">
        <f t="shared" si="128"/>
        <v>271</v>
      </c>
      <c r="AY127" s="1332">
        <f t="shared" si="128"/>
        <v>285</v>
      </c>
      <c r="AZ127" s="1333">
        <f t="shared" si="128"/>
        <v>737</v>
      </c>
      <c r="BA127" s="1332">
        <f t="shared" si="128"/>
        <v>310</v>
      </c>
      <c r="BB127" s="1332">
        <f t="shared" si="128"/>
        <v>261</v>
      </c>
      <c r="BC127" s="1332">
        <f t="shared" si="128"/>
        <v>290</v>
      </c>
      <c r="BD127" s="1333">
        <f t="shared" si="128"/>
        <v>861</v>
      </c>
      <c r="BE127" s="1332">
        <f t="shared" si="128"/>
        <v>159</v>
      </c>
      <c r="BF127" s="1332">
        <f t="shared" si="128"/>
        <v>227</v>
      </c>
      <c r="BG127" s="1332">
        <f t="shared" si="128"/>
        <v>277</v>
      </c>
      <c r="BH127" s="1333">
        <f t="shared" si="128"/>
        <v>663</v>
      </c>
      <c r="BI127" s="1331">
        <f t="shared" ref="BI127:BP127" si="129">SUM(BI38,BI79,BI115,BI126)</f>
        <v>220</v>
      </c>
      <c r="BJ127" s="1332">
        <f t="shared" si="129"/>
        <v>247</v>
      </c>
      <c r="BK127" s="1332">
        <f t="shared" si="129"/>
        <v>265</v>
      </c>
      <c r="BL127" s="1333">
        <f t="shared" si="129"/>
        <v>732</v>
      </c>
      <c r="BM127" s="1331">
        <f t="shared" si="129"/>
        <v>180</v>
      </c>
      <c r="BN127" s="1332">
        <f t="shared" si="129"/>
        <v>292</v>
      </c>
      <c r="BO127" s="1332">
        <f t="shared" si="129"/>
        <v>343</v>
      </c>
      <c r="BP127" s="1333">
        <f t="shared" si="129"/>
        <v>815</v>
      </c>
      <c r="BQ127" s="1331">
        <f t="shared" ref="BQ127:BT127" si="130">SUM(BQ38,BQ79,BQ115,BQ126)</f>
        <v>209</v>
      </c>
      <c r="BR127" s="1332">
        <f t="shared" si="130"/>
        <v>236</v>
      </c>
      <c r="BS127" s="1332">
        <f t="shared" si="130"/>
        <v>214</v>
      </c>
      <c r="BT127" s="1333">
        <f t="shared" si="130"/>
        <v>659</v>
      </c>
    </row>
    <row r="128" spans="1:72" x14ac:dyDescent="0.2">
      <c r="B128" s="1057" t="s">
        <v>1321</v>
      </c>
      <c r="C128" s="1057"/>
      <c r="D128" s="1057"/>
      <c r="E128" s="1054"/>
      <c r="F128" s="1054"/>
      <c r="G128" s="1054"/>
      <c r="H128" s="1056"/>
      <c r="I128" s="1054"/>
      <c r="J128" s="1054"/>
      <c r="K128" s="1054"/>
      <c r="L128" s="1056"/>
      <c r="M128" s="1054"/>
      <c r="N128" s="1054"/>
      <c r="O128" s="1054"/>
      <c r="P128" s="1056"/>
      <c r="Q128" s="1054"/>
      <c r="R128" s="1054"/>
      <c r="S128" s="1054"/>
      <c r="T128" s="1056"/>
    </row>
    <row r="129" spans="2:4" x14ac:dyDescent="0.2">
      <c r="B129" s="1058" t="s">
        <v>0</v>
      </c>
      <c r="C129" s="1058"/>
      <c r="D129" s="1058"/>
    </row>
  </sheetData>
  <mergeCells count="61">
    <mergeCell ref="C39:C45"/>
    <mergeCell ref="C33:C36"/>
    <mergeCell ref="C123:C124"/>
    <mergeCell ref="C62:C66"/>
    <mergeCell ref="C6:C10"/>
    <mergeCell ref="C24:C26"/>
    <mergeCell ref="C46:C51"/>
    <mergeCell ref="C17:C23"/>
    <mergeCell ref="C54:C61"/>
    <mergeCell ref="C11:C12"/>
    <mergeCell ref="C80:C81"/>
    <mergeCell ref="C110:C112"/>
    <mergeCell ref="C100:C106"/>
    <mergeCell ref="C107:C108"/>
    <mergeCell ref="B14:B27"/>
    <mergeCell ref="C14:C16"/>
    <mergeCell ref="B28:B37"/>
    <mergeCell ref="BQ3:BT3"/>
    <mergeCell ref="C30:C32"/>
    <mergeCell ref="AS3:AV3"/>
    <mergeCell ref="BI3:BL3"/>
    <mergeCell ref="U3:X3"/>
    <mergeCell ref="Y3:AB3"/>
    <mergeCell ref="AC3:AF3"/>
    <mergeCell ref="AG3:AJ3"/>
    <mergeCell ref="M3:P3"/>
    <mergeCell ref="Q3:T3"/>
    <mergeCell ref="AK3:AN3"/>
    <mergeCell ref="C3:C4"/>
    <mergeCell ref="A3:A4"/>
    <mergeCell ref="B3:B4"/>
    <mergeCell ref="D3:D4"/>
    <mergeCell ref="E3:H3"/>
    <mergeCell ref="B127:D127"/>
    <mergeCell ref="A39:A79"/>
    <mergeCell ref="B39:B52"/>
    <mergeCell ref="B53:B67"/>
    <mergeCell ref="B68:B78"/>
    <mergeCell ref="A80:A115"/>
    <mergeCell ref="B80:B96"/>
    <mergeCell ref="B97:B109"/>
    <mergeCell ref="B110:B114"/>
    <mergeCell ref="C68:C69"/>
    <mergeCell ref="C70:C74"/>
    <mergeCell ref="C75:C77"/>
    <mergeCell ref="A1:C1"/>
    <mergeCell ref="BM3:BP3"/>
    <mergeCell ref="A116:A126"/>
    <mergeCell ref="B116:B118"/>
    <mergeCell ref="B119:B120"/>
    <mergeCell ref="B121:B125"/>
    <mergeCell ref="C82:C92"/>
    <mergeCell ref="C93:C95"/>
    <mergeCell ref="C97:C99"/>
    <mergeCell ref="AW3:AZ3"/>
    <mergeCell ref="BA3:BD3"/>
    <mergeCell ref="BE3:BH3"/>
    <mergeCell ref="A5:A38"/>
    <mergeCell ref="B5:B13"/>
    <mergeCell ref="AO3:AR3"/>
    <mergeCell ref="I3:L3"/>
  </mergeCells>
  <printOptions horizontalCentered="1" verticalCentered="1"/>
  <pageMargins left="0.39370078740157483" right="0.39370078740157483" top="0.27559055118110237" bottom="0.19685039370078741" header="0" footer="0.31496062992125984"/>
  <pageSetup scale="50" pageOrder="overThenDown" orientation="landscape" horizontalDpi="1200" verticalDpi="1200" r:id="rId1"/>
  <headerFooter alignWithMargins="0"/>
  <rowBreaks count="1" manualBreakCount="1">
    <brk id="79" max="16383" man="1"/>
  </rowBreaks>
  <colBreaks count="2" manualBreakCount="2">
    <brk id="24" max="1048575" man="1"/>
    <brk id="44" max="1048575" man="1"/>
  </colBreaks>
  <ignoredErrors>
    <ignoredError sqref="E13:BP13 E27:BP27 BP17 E24:BL26 E37:BP38 E33:BK33 E52:BP52 E67:BP67 E118:BP118 E96:BP96 E92:BL95 E78:BP80 E109:BP109 BO103:BP103 E114:BP115 E110:BL113 E51:BG51 BO21:BO22 BO28:BP28 BP33 E46:BL50 E53:BL66 E68:BL77 BO87:BP87 E97:BL108 BO104 E116:BL117 E125:BP126 BO121:BP121 E14:BL22 BP30 BP46:BP50 BP53:BP58 BP62:BP66 BP76:BP77 BP68:BP73 E81:BN81 BP81:BP86 E82:BL90 BP88:BP89 BP105:BP108 BP101:BP102 BP110:BP113 BP116:BP117 E120:BP120 E119:BN119 BP119 BP122 BP93:BP95 BO92 BO90:BP90 BO100:BP100 BO97:BO99 E121:BL123 BO123:BP123 BO74 BO59:BO61 BO51 BO29 BO25 BO18:BO19 BO16 BI51:BK51 E28:BL30 BP39:BP44 E39:BL44 BT13:BT27 BT109:BT120" formula="1"/>
  </ignoredError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BR114"/>
  <sheetViews>
    <sheetView showGridLines="0" zoomScaleNormal="100" zoomScaleSheetLayoutView="80" workbookViewId="0">
      <pane xSplit="2" ySplit="5" topLeftCell="X75" activePane="bottomRight" state="frozen"/>
      <selection pane="topRight" activeCell="D1" sqref="D1"/>
      <selection pane="bottomLeft" activeCell="A8" sqref="A8"/>
      <selection pane="bottomRight" activeCell="BP1" sqref="BP1"/>
    </sheetView>
  </sheetViews>
  <sheetFormatPr baseColWidth="10" defaultRowHeight="12.75" x14ac:dyDescent="0.2"/>
  <cols>
    <col min="1" max="1" width="15.28515625" style="209" customWidth="1"/>
    <col min="2" max="2" width="17.7109375" style="209" customWidth="1"/>
    <col min="3" max="25" width="6.7109375" style="209" customWidth="1"/>
    <col min="26" max="26" width="6.7109375" style="222" customWidth="1"/>
    <col min="27" max="29" width="6.7109375" style="209" customWidth="1"/>
    <col min="30" max="30" width="6.7109375" style="222" customWidth="1"/>
    <col min="31" max="33" width="6.7109375" style="209" customWidth="1"/>
    <col min="34" max="34" width="6.7109375" style="222" customWidth="1"/>
    <col min="35" max="37" width="6.7109375" style="209" customWidth="1"/>
    <col min="38" max="38" width="6.7109375" style="222" customWidth="1"/>
    <col min="39" max="70" width="6.7109375" style="209" customWidth="1"/>
    <col min="71" max="271" width="11.42578125" style="209"/>
    <col min="272" max="272" width="1.140625" style="209" customWidth="1"/>
    <col min="273" max="273" width="17" style="209" customWidth="1"/>
    <col min="274" max="274" width="24.7109375" style="209" customWidth="1"/>
    <col min="275" max="290" width="0" style="209" hidden="1" customWidth="1"/>
    <col min="291" max="310" width="7.85546875" style="209" customWidth="1"/>
    <col min="311" max="527" width="11.42578125" style="209"/>
    <col min="528" max="528" width="1.140625" style="209" customWidth="1"/>
    <col min="529" max="529" width="17" style="209" customWidth="1"/>
    <col min="530" max="530" width="24.7109375" style="209" customWidth="1"/>
    <col min="531" max="546" width="0" style="209" hidden="1" customWidth="1"/>
    <col min="547" max="566" width="7.85546875" style="209" customWidth="1"/>
    <col min="567" max="783" width="11.42578125" style="209"/>
    <col min="784" max="784" width="1.140625" style="209" customWidth="1"/>
    <col min="785" max="785" width="17" style="209" customWidth="1"/>
    <col min="786" max="786" width="24.7109375" style="209" customWidth="1"/>
    <col min="787" max="802" width="0" style="209" hidden="1" customWidth="1"/>
    <col min="803" max="822" width="7.85546875" style="209" customWidth="1"/>
    <col min="823" max="1039" width="11.42578125" style="209"/>
    <col min="1040" max="1040" width="1.140625" style="209" customWidth="1"/>
    <col min="1041" max="1041" width="17" style="209" customWidth="1"/>
    <col min="1042" max="1042" width="24.7109375" style="209" customWidth="1"/>
    <col min="1043" max="1058" width="0" style="209" hidden="1" customWidth="1"/>
    <col min="1059" max="1078" width="7.85546875" style="209" customWidth="1"/>
    <col min="1079" max="1295" width="11.42578125" style="209"/>
    <col min="1296" max="1296" width="1.140625" style="209" customWidth="1"/>
    <col min="1297" max="1297" width="17" style="209" customWidth="1"/>
    <col min="1298" max="1298" width="24.7109375" style="209" customWidth="1"/>
    <col min="1299" max="1314" width="0" style="209" hidden="1" customWidth="1"/>
    <col min="1315" max="1334" width="7.85546875" style="209" customWidth="1"/>
    <col min="1335" max="1551" width="11.42578125" style="209"/>
    <col min="1552" max="1552" width="1.140625" style="209" customWidth="1"/>
    <col min="1553" max="1553" width="17" style="209" customWidth="1"/>
    <col min="1554" max="1554" width="24.7109375" style="209" customWidth="1"/>
    <col min="1555" max="1570" width="0" style="209" hidden="1" customWidth="1"/>
    <col min="1571" max="1590" width="7.85546875" style="209" customWidth="1"/>
    <col min="1591" max="1807" width="11.42578125" style="209"/>
    <col min="1808" max="1808" width="1.140625" style="209" customWidth="1"/>
    <col min="1809" max="1809" width="17" style="209" customWidth="1"/>
    <col min="1810" max="1810" width="24.7109375" style="209" customWidth="1"/>
    <col min="1811" max="1826" width="0" style="209" hidden="1" customWidth="1"/>
    <col min="1827" max="1846" width="7.85546875" style="209" customWidth="1"/>
    <col min="1847" max="2063" width="11.42578125" style="209"/>
    <col min="2064" max="2064" width="1.140625" style="209" customWidth="1"/>
    <col min="2065" max="2065" width="17" style="209" customWidth="1"/>
    <col min="2066" max="2066" width="24.7109375" style="209" customWidth="1"/>
    <col min="2067" max="2082" width="0" style="209" hidden="1" customWidth="1"/>
    <col min="2083" max="2102" width="7.85546875" style="209" customWidth="1"/>
    <col min="2103" max="2319" width="11.42578125" style="209"/>
    <col min="2320" max="2320" width="1.140625" style="209" customWidth="1"/>
    <col min="2321" max="2321" width="17" style="209" customWidth="1"/>
    <col min="2322" max="2322" width="24.7109375" style="209" customWidth="1"/>
    <col min="2323" max="2338" width="0" style="209" hidden="1" customWidth="1"/>
    <col min="2339" max="2358" width="7.85546875" style="209" customWidth="1"/>
    <col min="2359" max="2575" width="11.42578125" style="209"/>
    <col min="2576" max="2576" width="1.140625" style="209" customWidth="1"/>
    <col min="2577" max="2577" width="17" style="209" customWidth="1"/>
    <col min="2578" max="2578" width="24.7109375" style="209" customWidth="1"/>
    <col min="2579" max="2594" width="0" style="209" hidden="1" customWidth="1"/>
    <col min="2595" max="2614" width="7.85546875" style="209" customWidth="1"/>
    <col min="2615" max="2831" width="11.42578125" style="209"/>
    <col min="2832" max="2832" width="1.140625" style="209" customWidth="1"/>
    <col min="2833" max="2833" width="17" style="209" customWidth="1"/>
    <col min="2834" max="2834" width="24.7109375" style="209" customWidth="1"/>
    <col min="2835" max="2850" width="0" style="209" hidden="1" customWidth="1"/>
    <col min="2851" max="2870" width="7.85546875" style="209" customWidth="1"/>
    <col min="2871" max="3087" width="11.42578125" style="209"/>
    <col min="3088" max="3088" width="1.140625" style="209" customWidth="1"/>
    <col min="3089" max="3089" width="17" style="209" customWidth="1"/>
    <col min="3090" max="3090" width="24.7109375" style="209" customWidth="1"/>
    <col min="3091" max="3106" width="0" style="209" hidden="1" customWidth="1"/>
    <col min="3107" max="3126" width="7.85546875" style="209" customWidth="1"/>
    <col min="3127" max="3343" width="11.42578125" style="209"/>
    <col min="3344" max="3344" width="1.140625" style="209" customWidth="1"/>
    <col min="3345" max="3345" width="17" style="209" customWidth="1"/>
    <col min="3346" max="3346" width="24.7109375" style="209" customWidth="1"/>
    <col min="3347" max="3362" width="0" style="209" hidden="1" customWidth="1"/>
    <col min="3363" max="3382" width="7.85546875" style="209" customWidth="1"/>
    <col min="3383" max="3599" width="11.42578125" style="209"/>
    <col min="3600" max="3600" width="1.140625" style="209" customWidth="1"/>
    <col min="3601" max="3601" width="17" style="209" customWidth="1"/>
    <col min="3602" max="3602" width="24.7109375" style="209" customWidth="1"/>
    <col min="3603" max="3618" width="0" style="209" hidden="1" customWidth="1"/>
    <col min="3619" max="3638" width="7.85546875" style="209" customWidth="1"/>
    <col min="3639" max="3855" width="11.42578125" style="209"/>
    <col min="3856" max="3856" width="1.140625" style="209" customWidth="1"/>
    <col min="3857" max="3857" width="17" style="209" customWidth="1"/>
    <col min="3858" max="3858" width="24.7109375" style="209" customWidth="1"/>
    <col min="3859" max="3874" width="0" style="209" hidden="1" customWidth="1"/>
    <col min="3875" max="3894" width="7.85546875" style="209" customWidth="1"/>
    <col min="3895" max="4111" width="11.42578125" style="209"/>
    <col min="4112" max="4112" width="1.140625" style="209" customWidth="1"/>
    <col min="4113" max="4113" width="17" style="209" customWidth="1"/>
    <col min="4114" max="4114" width="24.7109375" style="209" customWidth="1"/>
    <col min="4115" max="4130" width="0" style="209" hidden="1" customWidth="1"/>
    <col min="4131" max="4150" width="7.85546875" style="209" customWidth="1"/>
    <col min="4151" max="4367" width="11.42578125" style="209"/>
    <col min="4368" max="4368" width="1.140625" style="209" customWidth="1"/>
    <col min="4369" max="4369" width="17" style="209" customWidth="1"/>
    <col min="4370" max="4370" width="24.7109375" style="209" customWidth="1"/>
    <col min="4371" max="4386" width="0" style="209" hidden="1" customWidth="1"/>
    <col min="4387" max="4406" width="7.85546875" style="209" customWidth="1"/>
    <col min="4407" max="4623" width="11.42578125" style="209"/>
    <col min="4624" max="4624" width="1.140625" style="209" customWidth="1"/>
    <col min="4625" max="4625" width="17" style="209" customWidth="1"/>
    <col min="4626" max="4626" width="24.7109375" style="209" customWidth="1"/>
    <col min="4627" max="4642" width="0" style="209" hidden="1" customWidth="1"/>
    <col min="4643" max="4662" width="7.85546875" style="209" customWidth="1"/>
    <col min="4663" max="4879" width="11.42578125" style="209"/>
    <col min="4880" max="4880" width="1.140625" style="209" customWidth="1"/>
    <col min="4881" max="4881" width="17" style="209" customWidth="1"/>
    <col min="4882" max="4882" width="24.7109375" style="209" customWidth="1"/>
    <col min="4883" max="4898" width="0" style="209" hidden="1" customWidth="1"/>
    <col min="4899" max="4918" width="7.85546875" style="209" customWidth="1"/>
    <col min="4919" max="5135" width="11.42578125" style="209"/>
    <col min="5136" max="5136" width="1.140625" style="209" customWidth="1"/>
    <col min="5137" max="5137" width="17" style="209" customWidth="1"/>
    <col min="5138" max="5138" width="24.7109375" style="209" customWidth="1"/>
    <col min="5139" max="5154" width="0" style="209" hidden="1" customWidth="1"/>
    <col min="5155" max="5174" width="7.85546875" style="209" customWidth="1"/>
    <col min="5175" max="5391" width="11.42578125" style="209"/>
    <col min="5392" max="5392" width="1.140625" style="209" customWidth="1"/>
    <col min="5393" max="5393" width="17" style="209" customWidth="1"/>
    <col min="5394" max="5394" width="24.7109375" style="209" customWidth="1"/>
    <col min="5395" max="5410" width="0" style="209" hidden="1" customWidth="1"/>
    <col min="5411" max="5430" width="7.85546875" style="209" customWidth="1"/>
    <col min="5431" max="5647" width="11.42578125" style="209"/>
    <col min="5648" max="5648" width="1.140625" style="209" customWidth="1"/>
    <col min="5649" max="5649" width="17" style="209" customWidth="1"/>
    <col min="5650" max="5650" width="24.7109375" style="209" customWidth="1"/>
    <col min="5651" max="5666" width="0" style="209" hidden="1" customWidth="1"/>
    <col min="5667" max="5686" width="7.85546875" style="209" customWidth="1"/>
    <col min="5687" max="5903" width="11.42578125" style="209"/>
    <col min="5904" max="5904" width="1.140625" style="209" customWidth="1"/>
    <col min="5905" max="5905" width="17" style="209" customWidth="1"/>
    <col min="5906" max="5906" width="24.7109375" style="209" customWidth="1"/>
    <col min="5907" max="5922" width="0" style="209" hidden="1" customWidth="1"/>
    <col min="5923" max="5942" width="7.85546875" style="209" customWidth="1"/>
    <col min="5943" max="6159" width="11.42578125" style="209"/>
    <col min="6160" max="6160" width="1.140625" style="209" customWidth="1"/>
    <col min="6161" max="6161" width="17" style="209" customWidth="1"/>
    <col min="6162" max="6162" width="24.7109375" style="209" customWidth="1"/>
    <col min="6163" max="6178" width="0" style="209" hidden="1" customWidth="1"/>
    <col min="6179" max="6198" width="7.85546875" style="209" customWidth="1"/>
    <col min="6199" max="6415" width="11.42578125" style="209"/>
    <col min="6416" max="6416" width="1.140625" style="209" customWidth="1"/>
    <col min="6417" max="6417" width="17" style="209" customWidth="1"/>
    <col min="6418" max="6418" width="24.7109375" style="209" customWidth="1"/>
    <col min="6419" max="6434" width="0" style="209" hidden="1" customWidth="1"/>
    <col min="6435" max="6454" width="7.85546875" style="209" customWidth="1"/>
    <col min="6455" max="6671" width="11.42578125" style="209"/>
    <col min="6672" max="6672" width="1.140625" style="209" customWidth="1"/>
    <col min="6673" max="6673" width="17" style="209" customWidth="1"/>
    <col min="6674" max="6674" width="24.7109375" style="209" customWidth="1"/>
    <col min="6675" max="6690" width="0" style="209" hidden="1" customWidth="1"/>
    <col min="6691" max="6710" width="7.85546875" style="209" customWidth="1"/>
    <col min="6711" max="6927" width="11.42578125" style="209"/>
    <col min="6928" max="6928" width="1.140625" style="209" customWidth="1"/>
    <col min="6929" max="6929" width="17" style="209" customWidth="1"/>
    <col min="6930" max="6930" width="24.7109375" style="209" customWidth="1"/>
    <col min="6931" max="6946" width="0" style="209" hidden="1" customWidth="1"/>
    <col min="6947" max="6966" width="7.85546875" style="209" customWidth="1"/>
    <col min="6967" max="7183" width="11.42578125" style="209"/>
    <col min="7184" max="7184" width="1.140625" style="209" customWidth="1"/>
    <col min="7185" max="7185" width="17" style="209" customWidth="1"/>
    <col min="7186" max="7186" width="24.7109375" style="209" customWidth="1"/>
    <col min="7187" max="7202" width="0" style="209" hidden="1" customWidth="1"/>
    <col min="7203" max="7222" width="7.85546875" style="209" customWidth="1"/>
    <col min="7223" max="7439" width="11.42578125" style="209"/>
    <col min="7440" max="7440" width="1.140625" style="209" customWidth="1"/>
    <col min="7441" max="7441" width="17" style="209" customWidth="1"/>
    <col min="7442" max="7442" width="24.7109375" style="209" customWidth="1"/>
    <col min="7443" max="7458" width="0" style="209" hidden="1" customWidth="1"/>
    <col min="7459" max="7478" width="7.85546875" style="209" customWidth="1"/>
    <col min="7479" max="7695" width="11.42578125" style="209"/>
    <col min="7696" max="7696" width="1.140625" style="209" customWidth="1"/>
    <col min="7697" max="7697" width="17" style="209" customWidth="1"/>
    <col min="7698" max="7698" width="24.7109375" style="209" customWidth="1"/>
    <col min="7699" max="7714" width="0" style="209" hidden="1" customWidth="1"/>
    <col min="7715" max="7734" width="7.85546875" style="209" customWidth="1"/>
    <col min="7735" max="7951" width="11.42578125" style="209"/>
    <col min="7952" max="7952" width="1.140625" style="209" customWidth="1"/>
    <col min="7953" max="7953" width="17" style="209" customWidth="1"/>
    <col min="7954" max="7954" width="24.7109375" style="209" customWidth="1"/>
    <col min="7955" max="7970" width="0" style="209" hidden="1" customWidth="1"/>
    <col min="7971" max="7990" width="7.85546875" style="209" customWidth="1"/>
    <col min="7991" max="8207" width="11.42578125" style="209"/>
    <col min="8208" max="8208" width="1.140625" style="209" customWidth="1"/>
    <col min="8209" max="8209" width="17" style="209" customWidth="1"/>
    <col min="8210" max="8210" width="24.7109375" style="209" customWidth="1"/>
    <col min="8211" max="8226" width="0" style="209" hidden="1" customWidth="1"/>
    <col min="8227" max="8246" width="7.85546875" style="209" customWidth="1"/>
    <col min="8247" max="8463" width="11.42578125" style="209"/>
    <col min="8464" max="8464" width="1.140625" style="209" customWidth="1"/>
    <col min="8465" max="8465" width="17" style="209" customWidth="1"/>
    <col min="8466" max="8466" width="24.7109375" style="209" customWidth="1"/>
    <col min="8467" max="8482" width="0" style="209" hidden="1" customWidth="1"/>
    <col min="8483" max="8502" width="7.85546875" style="209" customWidth="1"/>
    <col min="8503" max="8719" width="11.42578125" style="209"/>
    <col min="8720" max="8720" width="1.140625" style="209" customWidth="1"/>
    <col min="8721" max="8721" width="17" style="209" customWidth="1"/>
    <col min="8722" max="8722" width="24.7109375" style="209" customWidth="1"/>
    <col min="8723" max="8738" width="0" style="209" hidden="1" customWidth="1"/>
    <col min="8739" max="8758" width="7.85546875" style="209" customWidth="1"/>
    <col min="8759" max="8975" width="11.42578125" style="209"/>
    <col min="8976" max="8976" width="1.140625" style="209" customWidth="1"/>
    <col min="8977" max="8977" width="17" style="209" customWidth="1"/>
    <col min="8978" max="8978" width="24.7109375" style="209" customWidth="1"/>
    <col min="8979" max="8994" width="0" style="209" hidden="1" customWidth="1"/>
    <col min="8995" max="9014" width="7.85546875" style="209" customWidth="1"/>
    <col min="9015" max="9231" width="11.42578125" style="209"/>
    <col min="9232" max="9232" width="1.140625" style="209" customWidth="1"/>
    <col min="9233" max="9233" width="17" style="209" customWidth="1"/>
    <col min="9234" max="9234" width="24.7109375" style="209" customWidth="1"/>
    <col min="9235" max="9250" width="0" style="209" hidden="1" customWidth="1"/>
    <col min="9251" max="9270" width="7.85546875" style="209" customWidth="1"/>
    <col min="9271" max="9487" width="11.42578125" style="209"/>
    <col min="9488" max="9488" width="1.140625" style="209" customWidth="1"/>
    <col min="9489" max="9489" width="17" style="209" customWidth="1"/>
    <col min="9490" max="9490" width="24.7109375" style="209" customWidth="1"/>
    <col min="9491" max="9506" width="0" style="209" hidden="1" customWidth="1"/>
    <col min="9507" max="9526" width="7.85546875" style="209" customWidth="1"/>
    <col min="9527" max="9743" width="11.42578125" style="209"/>
    <col min="9744" max="9744" width="1.140625" style="209" customWidth="1"/>
    <col min="9745" max="9745" width="17" style="209" customWidth="1"/>
    <col min="9746" max="9746" width="24.7109375" style="209" customWidth="1"/>
    <col min="9747" max="9762" width="0" style="209" hidden="1" customWidth="1"/>
    <col min="9763" max="9782" width="7.85546875" style="209" customWidth="1"/>
    <col min="9783" max="9999" width="11.42578125" style="209"/>
    <col min="10000" max="10000" width="1.140625" style="209" customWidth="1"/>
    <col min="10001" max="10001" width="17" style="209" customWidth="1"/>
    <col min="10002" max="10002" width="24.7109375" style="209" customWidth="1"/>
    <col min="10003" max="10018" width="0" style="209" hidden="1" customWidth="1"/>
    <col min="10019" max="10038" width="7.85546875" style="209" customWidth="1"/>
    <col min="10039" max="10255" width="11.42578125" style="209"/>
    <col min="10256" max="10256" width="1.140625" style="209" customWidth="1"/>
    <col min="10257" max="10257" width="17" style="209" customWidth="1"/>
    <col min="10258" max="10258" width="24.7109375" style="209" customWidth="1"/>
    <col min="10259" max="10274" width="0" style="209" hidden="1" customWidth="1"/>
    <col min="10275" max="10294" width="7.85546875" style="209" customWidth="1"/>
    <col min="10295" max="10511" width="11.42578125" style="209"/>
    <col min="10512" max="10512" width="1.140625" style="209" customWidth="1"/>
    <col min="10513" max="10513" width="17" style="209" customWidth="1"/>
    <col min="10514" max="10514" width="24.7109375" style="209" customWidth="1"/>
    <col min="10515" max="10530" width="0" style="209" hidden="1" customWidth="1"/>
    <col min="10531" max="10550" width="7.85546875" style="209" customWidth="1"/>
    <col min="10551" max="10767" width="11.42578125" style="209"/>
    <col min="10768" max="10768" width="1.140625" style="209" customWidth="1"/>
    <col min="10769" max="10769" width="17" style="209" customWidth="1"/>
    <col min="10770" max="10770" width="24.7109375" style="209" customWidth="1"/>
    <col min="10771" max="10786" width="0" style="209" hidden="1" customWidth="1"/>
    <col min="10787" max="10806" width="7.85546875" style="209" customWidth="1"/>
    <col min="10807" max="11023" width="11.42578125" style="209"/>
    <col min="11024" max="11024" width="1.140625" style="209" customWidth="1"/>
    <col min="11025" max="11025" width="17" style="209" customWidth="1"/>
    <col min="11026" max="11026" width="24.7109375" style="209" customWidth="1"/>
    <col min="11027" max="11042" width="0" style="209" hidden="1" customWidth="1"/>
    <col min="11043" max="11062" width="7.85546875" style="209" customWidth="1"/>
    <col min="11063" max="11279" width="11.42578125" style="209"/>
    <col min="11280" max="11280" width="1.140625" style="209" customWidth="1"/>
    <col min="11281" max="11281" width="17" style="209" customWidth="1"/>
    <col min="11282" max="11282" width="24.7109375" style="209" customWidth="1"/>
    <col min="11283" max="11298" width="0" style="209" hidden="1" customWidth="1"/>
    <col min="11299" max="11318" width="7.85546875" style="209" customWidth="1"/>
    <col min="11319" max="11535" width="11.42578125" style="209"/>
    <col min="11536" max="11536" width="1.140625" style="209" customWidth="1"/>
    <col min="11537" max="11537" width="17" style="209" customWidth="1"/>
    <col min="11538" max="11538" width="24.7109375" style="209" customWidth="1"/>
    <col min="11539" max="11554" width="0" style="209" hidden="1" customWidth="1"/>
    <col min="11555" max="11574" width="7.85546875" style="209" customWidth="1"/>
    <col min="11575" max="11791" width="11.42578125" style="209"/>
    <col min="11792" max="11792" width="1.140625" style="209" customWidth="1"/>
    <col min="11793" max="11793" width="17" style="209" customWidth="1"/>
    <col min="11794" max="11794" width="24.7109375" style="209" customWidth="1"/>
    <col min="11795" max="11810" width="0" style="209" hidden="1" customWidth="1"/>
    <col min="11811" max="11830" width="7.85546875" style="209" customWidth="1"/>
    <col min="11831" max="12047" width="11.42578125" style="209"/>
    <col min="12048" max="12048" width="1.140625" style="209" customWidth="1"/>
    <col min="12049" max="12049" width="17" style="209" customWidth="1"/>
    <col min="12050" max="12050" width="24.7109375" style="209" customWidth="1"/>
    <col min="12051" max="12066" width="0" style="209" hidden="1" customWidth="1"/>
    <col min="12067" max="12086" width="7.85546875" style="209" customWidth="1"/>
    <col min="12087" max="12303" width="11.42578125" style="209"/>
    <col min="12304" max="12304" width="1.140625" style="209" customWidth="1"/>
    <col min="12305" max="12305" width="17" style="209" customWidth="1"/>
    <col min="12306" max="12306" width="24.7109375" style="209" customWidth="1"/>
    <col min="12307" max="12322" width="0" style="209" hidden="1" customWidth="1"/>
    <col min="12323" max="12342" width="7.85546875" style="209" customWidth="1"/>
    <col min="12343" max="12559" width="11.42578125" style="209"/>
    <col min="12560" max="12560" width="1.140625" style="209" customWidth="1"/>
    <col min="12561" max="12561" width="17" style="209" customWidth="1"/>
    <col min="12562" max="12562" width="24.7109375" style="209" customWidth="1"/>
    <col min="12563" max="12578" width="0" style="209" hidden="1" customWidth="1"/>
    <col min="12579" max="12598" width="7.85546875" style="209" customWidth="1"/>
    <col min="12599" max="12815" width="11.42578125" style="209"/>
    <col min="12816" max="12816" width="1.140625" style="209" customWidth="1"/>
    <col min="12817" max="12817" width="17" style="209" customWidth="1"/>
    <col min="12818" max="12818" width="24.7109375" style="209" customWidth="1"/>
    <col min="12819" max="12834" width="0" style="209" hidden="1" customWidth="1"/>
    <col min="12835" max="12854" width="7.85546875" style="209" customWidth="1"/>
    <col min="12855" max="13071" width="11.42578125" style="209"/>
    <col min="13072" max="13072" width="1.140625" style="209" customWidth="1"/>
    <col min="13073" max="13073" width="17" style="209" customWidth="1"/>
    <col min="13074" max="13074" width="24.7109375" style="209" customWidth="1"/>
    <col min="13075" max="13090" width="0" style="209" hidden="1" customWidth="1"/>
    <col min="13091" max="13110" width="7.85546875" style="209" customWidth="1"/>
    <col min="13111" max="13327" width="11.42578125" style="209"/>
    <col min="13328" max="13328" width="1.140625" style="209" customWidth="1"/>
    <col min="13329" max="13329" width="17" style="209" customWidth="1"/>
    <col min="13330" max="13330" width="24.7109375" style="209" customWidth="1"/>
    <col min="13331" max="13346" width="0" style="209" hidden="1" customWidth="1"/>
    <col min="13347" max="13366" width="7.85546875" style="209" customWidth="1"/>
    <col min="13367" max="13583" width="11.42578125" style="209"/>
    <col min="13584" max="13584" width="1.140625" style="209" customWidth="1"/>
    <col min="13585" max="13585" width="17" style="209" customWidth="1"/>
    <col min="13586" max="13586" width="24.7109375" style="209" customWidth="1"/>
    <col min="13587" max="13602" width="0" style="209" hidden="1" customWidth="1"/>
    <col min="13603" max="13622" width="7.85546875" style="209" customWidth="1"/>
    <col min="13623" max="13839" width="11.42578125" style="209"/>
    <col min="13840" max="13840" width="1.140625" style="209" customWidth="1"/>
    <col min="13841" max="13841" width="17" style="209" customWidth="1"/>
    <col min="13842" max="13842" width="24.7109375" style="209" customWidth="1"/>
    <col min="13843" max="13858" width="0" style="209" hidden="1" customWidth="1"/>
    <col min="13859" max="13878" width="7.85546875" style="209" customWidth="1"/>
    <col min="13879" max="14095" width="11.42578125" style="209"/>
    <col min="14096" max="14096" width="1.140625" style="209" customWidth="1"/>
    <col min="14097" max="14097" width="17" style="209" customWidth="1"/>
    <col min="14098" max="14098" width="24.7109375" style="209" customWidth="1"/>
    <col min="14099" max="14114" width="0" style="209" hidden="1" customWidth="1"/>
    <col min="14115" max="14134" width="7.85546875" style="209" customWidth="1"/>
    <col min="14135" max="14351" width="11.42578125" style="209"/>
    <col min="14352" max="14352" width="1.140625" style="209" customWidth="1"/>
    <col min="14353" max="14353" width="17" style="209" customWidth="1"/>
    <col min="14354" max="14354" width="24.7109375" style="209" customWidth="1"/>
    <col min="14355" max="14370" width="0" style="209" hidden="1" customWidth="1"/>
    <col min="14371" max="14390" width="7.85546875" style="209" customWidth="1"/>
    <col min="14391" max="14607" width="11.42578125" style="209"/>
    <col min="14608" max="14608" width="1.140625" style="209" customWidth="1"/>
    <col min="14609" max="14609" width="17" style="209" customWidth="1"/>
    <col min="14610" max="14610" width="24.7109375" style="209" customWidth="1"/>
    <col min="14611" max="14626" width="0" style="209" hidden="1" customWidth="1"/>
    <col min="14627" max="14646" width="7.85546875" style="209" customWidth="1"/>
    <col min="14647" max="14863" width="11.42578125" style="209"/>
    <col min="14864" max="14864" width="1.140625" style="209" customWidth="1"/>
    <col min="14865" max="14865" width="17" style="209" customWidth="1"/>
    <col min="14866" max="14866" width="24.7109375" style="209" customWidth="1"/>
    <col min="14867" max="14882" width="0" style="209" hidden="1" customWidth="1"/>
    <col min="14883" max="14902" width="7.85546875" style="209" customWidth="1"/>
    <col min="14903" max="15119" width="11.42578125" style="209"/>
    <col min="15120" max="15120" width="1.140625" style="209" customWidth="1"/>
    <col min="15121" max="15121" width="17" style="209" customWidth="1"/>
    <col min="15122" max="15122" width="24.7109375" style="209" customWidth="1"/>
    <col min="15123" max="15138" width="0" style="209" hidden="1" customWidth="1"/>
    <col min="15139" max="15158" width="7.85546875" style="209" customWidth="1"/>
    <col min="15159" max="15375" width="11.42578125" style="209"/>
    <col min="15376" max="15376" width="1.140625" style="209" customWidth="1"/>
    <col min="15377" max="15377" width="17" style="209" customWidth="1"/>
    <col min="15378" max="15378" width="24.7109375" style="209" customWidth="1"/>
    <col min="15379" max="15394" width="0" style="209" hidden="1" customWidth="1"/>
    <col min="15395" max="15414" width="7.85546875" style="209" customWidth="1"/>
    <col min="15415" max="15631" width="11.42578125" style="209"/>
    <col min="15632" max="15632" width="1.140625" style="209" customWidth="1"/>
    <col min="15633" max="15633" width="17" style="209" customWidth="1"/>
    <col min="15634" max="15634" width="24.7109375" style="209" customWidth="1"/>
    <col min="15635" max="15650" width="0" style="209" hidden="1" customWidth="1"/>
    <col min="15651" max="15670" width="7.85546875" style="209" customWidth="1"/>
    <col min="15671" max="15887" width="11.42578125" style="209"/>
    <col min="15888" max="15888" width="1.140625" style="209" customWidth="1"/>
    <col min="15889" max="15889" width="17" style="209" customWidth="1"/>
    <col min="15890" max="15890" width="24.7109375" style="209" customWidth="1"/>
    <col min="15891" max="15906" width="0" style="209" hidden="1" customWidth="1"/>
    <col min="15907" max="15926" width="7.85546875" style="209" customWidth="1"/>
    <col min="15927" max="16143" width="11.42578125" style="209"/>
    <col min="16144" max="16144" width="1.140625" style="209" customWidth="1"/>
    <col min="16145" max="16145" width="17" style="209" customWidth="1"/>
    <col min="16146" max="16146" width="24.7109375" style="209" customWidth="1"/>
    <col min="16147" max="16162" width="0" style="209" hidden="1" customWidth="1"/>
    <col min="16163" max="16182" width="7.85546875" style="209" customWidth="1"/>
    <col min="16183" max="16384" width="11.42578125" style="209"/>
  </cols>
  <sheetData>
    <row r="1" spans="1:70" ht="44.25" customHeight="1" x14ac:dyDescent="0.2">
      <c r="A1" s="5058" t="s">
        <v>1368</v>
      </c>
      <c r="B1" s="5058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  <c r="R1" s="657"/>
      <c r="S1" s="657"/>
      <c r="T1" s="657"/>
      <c r="U1" s="657"/>
      <c r="V1" s="657"/>
      <c r="W1" s="657"/>
      <c r="X1" s="657"/>
      <c r="Y1" s="657"/>
      <c r="Z1" s="657"/>
      <c r="AA1" s="657"/>
      <c r="AB1" s="657"/>
      <c r="AC1" s="657"/>
      <c r="AD1" s="657"/>
      <c r="AE1" s="657"/>
      <c r="AF1" s="657"/>
      <c r="AG1" s="657"/>
      <c r="AH1" s="657"/>
      <c r="AI1" s="657"/>
      <c r="AJ1" s="657"/>
      <c r="AK1" s="657"/>
      <c r="AL1" s="657"/>
      <c r="AM1" s="657"/>
      <c r="AN1" s="657"/>
      <c r="AO1" s="657"/>
      <c r="AP1" s="657"/>
    </row>
    <row r="2" spans="1:70" ht="12" customHeight="1" x14ac:dyDescent="0.2">
      <c r="A2" s="768"/>
      <c r="B2" s="768"/>
      <c r="C2" s="768"/>
      <c r="D2" s="768"/>
      <c r="E2" s="768"/>
      <c r="F2" s="768"/>
      <c r="G2" s="768"/>
      <c r="H2" s="768"/>
      <c r="I2" s="768"/>
      <c r="J2" s="768"/>
      <c r="K2" s="768"/>
      <c r="L2" s="768"/>
      <c r="M2" s="768"/>
      <c r="N2" s="768"/>
      <c r="O2" s="768"/>
      <c r="P2" s="768"/>
      <c r="Q2" s="768"/>
      <c r="R2" s="768"/>
      <c r="S2" s="768"/>
      <c r="T2" s="768"/>
      <c r="U2" s="768"/>
      <c r="V2" s="768"/>
      <c r="W2" s="768"/>
      <c r="X2" s="768"/>
      <c r="Y2" s="768"/>
      <c r="Z2" s="768"/>
      <c r="AA2" s="768"/>
      <c r="AB2" s="768"/>
      <c r="AC2" s="768"/>
      <c r="AD2" s="768"/>
      <c r="AE2" s="768"/>
      <c r="AF2" s="768"/>
      <c r="AG2" s="768"/>
      <c r="AH2" s="768"/>
      <c r="AI2" s="768"/>
      <c r="AJ2" s="768"/>
      <c r="AK2" s="768"/>
      <c r="AL2" s="768"/>
    </row>
    <row r="3" spans="1:70" ht="12.75" customHeight="1" x14ac:dyDescent="0.2">
      <c r="A3" s="5531" t="s">
        <v>164</v>
      </c>
      <c r="B3" s="5648" t="s">
        <v>25</v>
      </c>
      <c r="C3" s="5444">
        <v>1999</v>
      </c>
      <c r="D3" s="5445"/>
      <c r="E3" s="5445"/>
      <c r="F3" s="5446"/>
      <c r="G3" s="5444">
        <v>2000</v>
      </c>
      <c r="H3" s="5445"/>
      <c r="I3" s="5445"/>
      <c r="J3" s="5446"/>
      <c r="K3" s="5444">
        <v>2001</v>
      </c>
      <c r="L3" s="5445"/>
      <c r="M3" s="5445"/>
      <c r="N3" s="5446"/>
      <c r="O3" s="5444">
        <v>2002</v>
      </c>
      <c r="P3" s="5445"/>
      <c r="Q3" s="5445"/>
      <c r="R3" s="5446"/>
      <c r="S3" s="5444">
        <v>2003</v>
      </c>
      <c r="T3" s="5445"/>
      <c r="U3" s="5445"/>
      <c r="V3" s="5446"/>
      <c r="W3" s="5444">
        <v>2004</v>
      </c>
      <c r="X3" s="5445"/>
      <c r="Y3" s="5445"/>
      <c r="Z3" s="5446"/>
      <c r="AA3" s="5444">
        <v>2005</v>
      </c>
      <c r="AB3" s="5445"/>
      <c r="AC3" s="5445"/>
      <c r="AD3" s="5446"/>
      <c r="AE3" s="5444">
        <v>2006</v>
      </c>
      <c r="AF3" s="5445"/>
      <c r="AG3" s="5445"/>
      <c r="AH3" s="5446"/>
      <c r="AI3" s="5444">
        <v>2007</v>
      </c>
      <c r="AJ3" s="5445"/>
      <c r="AK3" s="5445"/>
      <c r="AL3" s="5446"/>
      <c r="AM3" s="5444">
        <v>2008</v>
      </c>
      <c r="AN3" s="5445"/>
      <c r="AO3" s="5445"/>
      <c r="AP3" s="5446"/>
      <c r="AQ3" s="5444">
        <v>2009</v>
      </c>
      <c r="AR3" s="5445"/>
      <c r="AS3" s="5445"/>
      <c r="AT3" s="5446"/>
      <c r="AU3" s="5444">
        <v>2010</v>
      </c>
      <c r="AV3" s="5445"/>
      <c r="AW3" s="5445"/>
      <c r="AX3" s="5446"/>
      <c r="AY3" s="5444">
        <v>2011</v>
      </c>
      <c r="AZ3" s="5445"/>
      <c r="BA3" s="5445"/>
      <c r="BB3" s="5446"/>
      <c r="BC3" s="5444">
        <v>2012</v>
      </c>
      <c r="BD3" s="5445"/>
      <c r="BE3" s="5445"/>
      <c r="BF3" s="5446"/>
      <c r="BG3" s="5444">
        <v>2013</v>
      </c>
      <c r="BH3" s="5445"/>
      <c r="BI3" s="5445"/>
      <c r="BJ3" s="5446"/>
      <c r="BK3" s="5444">
        <v>2014</v>
      </c>
      <c r="BL3" s="5445"/>
      <c r="BM3" s="5445"/>
      <c r="BN3" s="5446"/>
      <c r="BO3" s="5444">
        <v>2015</v>
      </c>
      <c r="BP3" s="5445"/>
      <c r="BQ3" s="5445"/>
      <c r="BR3" s="5446"/>
    </row>
    <row r="4" spans="1:70" ht="15" x14ac:dyDescent="0.2">
      <c r="A4" s="5532"/>
      <c r="B4" s="5648"/>
      <c r="C4" s="1092" t="s">
        <v>670</v>
      </c>
      <c r="D4" s="1093" t="s">
        <v>668</v>
      </c>
      <c r="E4" s="1094" t="s">
        <v>669</v>
      </c>
      <c r="F4" s="1090" t="s">
        <v>160</v>
      </c>
      <c r="G4" s="1832" t="s">
        <v>670</v>
      </c>
      <c r="H4" s="1833" t="s">
        <v>668</v>
      </c>
      <c r="I4" s="1834" t="s">
        <v>669</v>
      </c>
      <c r="J4" s="1090" t="s">
        <v>160</v>
      </c>
      <c r="K4" s="1832" t="s">
        <v>670</v>
      </c>
      <c r="L4" s="1833" t="s">
        <v>668</v>
      </c>
      <c r="M4" s="1834" t="s">
        <v>669</v>
      </c>
      <c r="N4" s="1090" t="s">
        <v>160</v>
      </c>
      <c r="O4" s="1832" t="s">
        <v>670</v>
      </c>
      <c r="P4" s="1833" t="s">
        <v>668</v>
      </c>
      <c r="Q4" s="1834" t="s">
        <v>669</v>
      </c>
      <c r="R4" s="1090" t="s">
        <v>160</v>
      </c>
      <c r="S4" s="1832" t="s">
        <v>670</v>
      </c>
      <c r="T4" s="1833" t="s">
        <v>668</v>
      </c>
      <c r="U4" s="1834" t="s">
        <v>669</v>
      </c>
      <c r="V4" s="1090" t="s">
        <v>160</v>
      </c>
      <c r="W4" s="1832" t="s">
        <v>670</v>
      </c>
      <c r="X4" s="1833" t="s">
        <v>668</v>
      </c>
      <c r="Y4" s="1834" t="s">
        <v>669</v>
      </c>
      <c r="Z4" s="1090" t="s">
        <v>160</v>
      </c>
      <c r="AA4" s="1832" t="s">
        <v>670</v>
      </c>
      <c r="AB4" s="1833" t="s">
        <v>668</v>
      </c>
      <c r="AC4" s="1834" t="s">
        <v>669</v>
      </c>
      <c r="AD4" s="1090" t="s">
        <v>160</v>
      </c>
      <c r="AE4" s="1832" t="s">
        <v>670</v>
      </c>
      <c r="AF4" s="1833" t="s">
        <v>668</v>
      </c>
      <c r="AG4" s="1834" t="s">
        <v>669</v>
      </c>
      <c r="AH4" s="1090" t="s">
        <v>160</v>
      </c>
      <c r="AI4" s="1832" t="s">
        <v>670</v>
      </c>
      <c r="AJ4" s="1833" t="s">
        <v>668</v>
      </c>
      <c r="AK4" s="1834" t="s">
        <v>669</v>
      </c>
      <c r="AL4" s="1090" t="s">
        <v>160</v>
      </c>
      <c r="AM4" s="1832" t="s">
        <v>670</v>
      </c>
      <c r="AN4" s="1833" t="s">
        <v>668</v>
      </c>
      <c r="AO4" s="1834" t="s">
        <v>669</v>
      </c>
      <c r="AP4" s="1090" t="s">
        <v>160</v>
      </c>
      <c r="AQ4" s="1832" t="s">
        <v>670</v>
      </c>
      <c r="AR4" s="1833" t="s">
        <v>668</v>
      </c>
      <c r="AS4" s="1834" t="s">
        <v>669</v>
      </c>
      <c r="AT4" s="1090" t="s">
        <v>160</v>
      </c>
      <c r="AU4" s="1832" t="s">
        <v>670</v>
      </c>
      <c r="AV4" s="1833" t="s">
        <v>668</v>
      </c>
      <c r="AW4" s="1834" t="s">
        <v>669</v>
      </c>
      <c r="AX4" s="1090" t="s">
        <v>160</v>
      </c>
      <c r="AY4" s="1832" t="s">
        <v>670</v>
      </c>
      <c r="AZ4" s="1833" t="s">
        <v>668</v>
      </c>
      <c r="BA4" s="1834" t="s">
        <v>669</v>
      </c>
      <c r="BB4" s="1090" t="s">
        <v>160</v>
      </c>
      <c r="BC4" s="1832" t="s">
        <v>670</v>
      </c>
      <c r="BD4" s="1833" t="s">
        <v>668</v>
      </c>
      <c r="BE4" s="1834" t="s">
        <v>669</v>
      </c>
      <c r="BF4" s="1090" t="s">
        <v>160</v>
      </c>
      <c r="BG4" s="1832" t="s">
        <v>670</v>
      </c>
      <c r="BH4" s="1833" t="s">
        <v>668</v>
      </c>
      <c r="BI4" s="1834" t="s">
        <v>669</v>
      </c>
      <c r="BJ4" s="1090" t="s">
        <v>160</v>
      </c>
      <c r="BK4" s="2168" t="s">
        <v>670</v>
      </c>
      <c r="BL4" s="2169" t="s">
        <v>668</v>
      </c>
      <c r="BM4" s="2170" t="s">
        <v>669</v>
      </c>
      <c r="BN4" s="1090" t="s">
        <v>160</v>
      </c>
      <c r="BO4" s="4802" t="s">
        <v>670</v>
      </c>
      <c r="BP4" s="4803" t="s">
        <v>668</v>
      </c>
      <c r="BQ4" s="4804" t="s">
        <v>669</v>
      </c>
      <c r="BR4" s="1090" t="s">
        <v>160</v>
      </c>
    </row>
    <row r="5" spans="1:70" ht="12.75" customHeight="1" x14ac:dyDescent="0.2">
      <c r="A5" s="263"/>
      <c r="B5" s="263"/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3"/>
      <c r="P5" s="263"/>
      <c r="Q5" s="263"/>
      <c r="R5" s="263"/>
      <c r="S5" s="263"/>
      <c r="T5" s="263"/>
      <c r="U5" s="263"/>
      <c r="V5" s="263"/>
      <c r="W5" s="263"/>
      <c r="X5" s="263"/>
      <c r="Y5" s="263"/>
      <c r="Z5" s="263"/>
      <c r="AA5" s="263"/>
      <c r="AB5" s="263"/>
      <c r="AC5" s="263"/>
      <c r="AD5" s="263"/>
      <c r="AE5" s="263"/>
      <c r="AF5" s="263"/>
      <c r="AG5" s="263"/>
      <c r="AH5" s="263"/>
      <c r="AI5" s="263"/>
      <c r="AJ5" s="263"/>
      <c r="AK5" s="263"/>
      <c r="AL5" s="263"/>
      <c r="AM5" s="263"/>
      <c r="AN5" s="263"/>
      <c r="AO5" s="263"/>
      <c r="AP5" s="263"/>
      <c r="AQ5" s="263"/>
      <c r="AR5" s="263"/>
      <c r="AS5" s="263"/>
      <c r="AT5" s="263"/>
      <c r="AU5" s="263"/>
      <c r="AV5" s="263"/>
      <c r="AW5" s="263"/>
      <c r="AX5" s="263"/>
      <c r="AY5" s="263"/>
      <c r="AZ5" s="263"/>
      <c r="BA5" s="263"/>
      <c r="BB5" s="263"/>
      <c r="BC5" s="263"/>
      <c r="BD5" s="263"/>
      <c r="BE5" s="263"/>
      <c r="BF5" s="263"/>
      <c r="BG5" s="263"/>
      <c r="BH5" s="263"/>
      <c r="BI5" s="263"/>
      <c r="BJ5" s="263"/>
      <c r="BK5" s="263"/>
      <c r="BL5" s="263"/>
      <c r="BM5" s="263"/>
      <c r="BN5" s="263"/>
      <c r="BO5" s="263"/>
      <c r="BP5" s="263"/>
      <c r="BQ5" s="263"/>
      <c r="BR5" s="263"/>
    </row>
    <row r="6" spans="1:70" ht="12.75" customHeight="1" x14ac:dyDescent="0.2">
      <c r="A6" s="5489" t="s">
        <v>5</v>
      </c>
      <c r="B6" s="1067" t="s">
        <v>631</v>
      </c>
      <c r="C6" s="1334">
        <f>+'EGRESO-POS plan'!E5</f>
        <v>0</v>
      </c>
      <c r="D6" s="1335">
        <f>+'EGRESO-POS plan'!F5</f>
        <v>0</v>
      </c>
      <c r="E6" s="1335">
        <f>+'EGRESO-POS plan'!G5</f>
        <v>0</v>
      </c>
      <c r="F6" s="1336">
        <f>SUM(C6:E6)</f>
        <v>0</v>
      </c>
      <c r="G6" s="1334">
        <f>+'EGRESO-POS plan'!I5</f>
        <v>0</v>
      </c>
      <c r="H6" s="1335">
        <f>+'EGRESO-POS plan'!J5</f>
        <v>0</v>
      </c>
      <c r="I6" s="1335">
        <f>+'EGRESO-POS plan'!K5</f>
        <v>0</v>
      </c>
      <c r="J6" s="1336">
        <f>SUM(G6:I6)</f>
        <v>0</v>
      </c>
      <c r="K6" s="1334">
        <f>+'EGRESO-POS plan'!M5</f>
        <v>0</v>
      </c>
      <c r="L6" s="1335">
        <f>+'EGRESO-POS plan'!N5</f>
        <v>0</v>
      </c>
      <c r="M6" s="1335">
        <f>+'EGRESO-POS plan'!O5</f>
        <v>0</v>
      </c>
      <c r="N6" s="1336">
        <f>SUM(K6:M6)</f>
        <v>0</v>
      </c>
      <c r="O6" s="1334">
        <f>+'EGRESO-POS plan'!Q5</f>
        <v>1</v>
      </c>
      <c r="P6" s="1335">
        <f>+'EGRESO-POS plan'!R5</f>
        <v>0</v>
      </c>
      <c r="Q6" s="1335">
        <f>+'EGRESO-POS plan'!S5</f>
        <v>0</v>
      </c>
      <c r="R6" s="1336">
        <f>SUM(O6:Q6)</f>
        <v>1</v>
      </c>
      <c r="S6" s="1334"/>
      <c r="T6" s="1335">
        <v>2</v>
      </c>
      <c r="U6" s="1335"/>
      <c r="V6" s="1336">
        <v>2</v>
      </c>
      <c r="W6" s="1335"/>
      <c r="X6" s="1335"/>
      <c r="Y6" s="1335"/>
      <c r="Z6" s="1337"/>
      <c r="AA6" s="1334"/>
      <c r="AB6" s="1335"/>
      <c r="AC6" s="1335"/>
      <c r="AD6" s="1336"/>
      <c r="AE6" s="1335"/>
      <c r="AF6" s="1335"/>
      <c r="AG6" s="1335"/>
      <c r="AH6" s="1336"/>
      <c r="AI6" s="1335"/>
      <c r="AJ6" s="1335"/>
      <c r="AK6" s="1335"/>
      <c r="AL6" s="1337"/>
      <c r="AM6" s="1068"/>
      <c r="AN6" s="1069"/>
      <c r="AO6" s="1069"/>
      <c r="AP6" s="1069"/>
      <c r="AQ6" s="1068"/>
      <c r="AR6" s="1069"/>
      <c r="AS6" s="1069"/>
      <c r="AT6" s="1086"/>
      <c r="AU6" s="1068"/>
      <c r="AV6" s="1069"/>
      <c r="AW6" s="1069"/>
      <c r="AX6" s="1086">
        <f>AU6+AV6+AW6</f>
        <v>0</v>
      </c>
      <c r="AY6" s="1068"/>
      <c r="AZ6" s="1069"/>
      <c r="BA6" s="1069"/>
      <c r="BB6" s="1086"/>
      <c r="BC6" s="1068"/>
      <c r="BD6" s="1069"/>
      <c r="BE6" s="1069"/>
      <c r="BF6" s="1086"/>
      <c r="BG6" s="1068"/>
      <c r="BH6" s="1069"/>
      <c r="BI6" s="1069"/>
      <c r="BJ6" s="1086"/>
      <c r="BK6" s="1068"/>
      <c r="BL6" s="1069"/>
      <c r="BM6" s="1069"/>
      <c r="BN6" s="1086"/>
      <c r="BO6" s="1068"/>
      <c r="BP6" s="1069"/>
      <c r="BQ6" s="1069"/>
      <c r="BR6" s="1086"/>
    </row>
    <row r="7" spans="1:70" ht="12.75" customHeight="1" x14ac:dyDescent="0.2">
      <c r="A7" s="5470"/>
      <c r="B7" s="1072" t="s">
        <v>632</v>
      </c>
      <c r="C7" s="1338">
        <f>+'EGRESO-POS plan'!E6+'EGRESO-POS plan'!E7+'EGRESO-POS plan'!E8</f>
        <v>0</v>
      </c>
      <c r="D7" s="1339">
        <f>+'EGRESO-POS plan'!F6+'EGRESO-POS plan'!F7+'EGRESO-POS plan'!F8</f>
        <v>2</v>
      </c>
      <c r="E7" s="1339">
        <f>+'EGRESO-POS plan'!G6+'EGRESO-POS plan'!G7+'EGRESO-POS plan'!G8</f>
        <v>1</v>
      </c>
      <c r="F7" s="1340">
        <f t="shared" ref="F7:F21" si="0">SUM(C7:E7)</f>
        <v>3</v>
      </c>
      <c r="G7" s="1338">
        <f>+'EGRESO-POS plan'!I6+'EGRESO-POS plan'!I7+'EGRESO-POS plan'!I8</f>
        <v>1</v>
      </c>
      <c r="H7" s="1339">
        <f>+'EGRESO-POS plan'!J6+'EGRESO-POS plan'!J7+'EGRESO-POS plan'!J8</f>
        <v>0</v>
      </c>
      <c r="I7" s="1339">
        <f>+'EGRESO-POS plan'!K6+'EGRESO-POS plan'!K7+'EGRESO-POS plan'!K8</f>
        <v>1</v>
      </c>
      <c r="J7" s="1340">
        <f t="shared" ref="J7:J21" si="1">SUM(G7:I7)</f>
        <v>2</v>
      </c>
      <c r="K7" s="1338">
        <f>+'EGRESO-POS plan'!M6+'EGRESO-POS plan'!M7+'EGRESO-POS plan'!M8</f>
        <v>2</v>
      </c>
      <c r="L7" s="1339">
        <f>+'EGRESO-POS plan'!N6+'EGRESO-POS plan'!N7+'EGRESO-POS plan'!N8</f>
        <v>4</v>
      </c>
      <c r="M7" s="1339">
        <f>+'EGRESO-POS plan'!O6+'EGRESO-POS plan'!O7+'EGRESO-POS plan'!O8</f>
        <v>7</v>
      </c>
      <c r="N7" s="1340">
        <f t="shared" ref="N7:N21" si="2">SUM(K7:M7)</f>
        <v>13</v>
      </c>
      <c r="O7" s="1338">
        <f>+'EGRESO-POS plan'!Q6+'EGRESO-POS plan'!Q7+'EGRESO-POS plan'!Q8</f>
        <v>0</v>
      </c>
      <c r="P7" s="1339">
        <f>+'EGRESO-POS plan'!R6+'EGRESO-POS plan'!R7+'EGRESO-POS plan'!R8</f>
        <v>6</v>
      </c>
      <c r="Q7" s="1339">
        <f>+'EGRESO-POS plan'!S6+'EGRESO-POS plan'!S7+'EGRESO-POS plan'!S8</f>
        <v>7</v>
      </c>
      <c r="R7" s="1340">
        <f t="shared" ref="R7:R21" si="3">SUM(O7:Q7)</f>
        <v>13</v>
      </c>
      <c r="S7" s="1338">
        <v>4</v>
      </c>
      <c r="T7" s="1339">
        <v>11</v>
      </c>
      <c r="U7" s="1339">
        <v>6</v>
      </c>
      <c r="V7" s="1340">
        <v>21</v>
      </c>
      <c r="W7" s="1339">
        <v>6</v>
      </c>
      <c r="X7" s="1339">
        <v>6</v>
      </c>
      <c r="Y7" s="1339">
        <v>8</v>
      </c>
      <c r="Z7" s="1341">
        <v>20</v>
      </c>
      <c r="AA7" s="1338">
        <v>5</v>
      </c>
      <c r="AB7" s="1339">
        <v>14</v>
      </c>
      <c r="AC7" s="1339">
        <v>7</v>
      </c>
      <c r="AD7" s="1340">
        <v>26</v>
      </c>
      <c r="AE7" s="1339">
        <v>7</v>
      </c>
      <c r="AF7" s="1339">
        <v>10</v>
      </c>
      <c r="AG7" s="1339">
        <v>6</v>
      </c>
      <c r="AH7" s="1340">
        <v>23</v>
      </c>
      <c r="AI7" s="1339">
        <v>13</v>
      </c>
      <c r="AJ7" s="1339">
        <v>9</v>
      </c>
      <c r="AK7" s="1339">
        <v>12</v>
      </c>
      <c r="AL7" s="1341">
        <v>34</v>
      </c>
      <c r="AM7" s="1073">
        <v>10</v>
      </c>
      <c r="AN7" s="1074">
        <v>11</v>
      </c>
      <c r="AO7" s="1074">
        <v>12</v>
      </c>
      <c r="AP7" s="1074">
        <v>33</v>
      </c>
      <c r="AQ7" s="1073">
        <v>1</v>
      </c>
      <c r="AR7" s="1074">
        <v>12</v>
      </c>
      <c r="AS7" s="1074">
        <v>2</v>
      </c>
      <c r="AT7" s="1077">
        <v>15</v>
      </c>
      <c r="AU7" s="1073">
        <v>5</v>
      </c>
      <c r="AV7" s="1074">
        <v>7</v>
      </c>
      <c r="AW7" s="1074">
        <v>7</v>
      </c>
      <c r="AX7" s="1077">
        <f t="shared" ref="AX7:AX21" si="4">AU7+AV7+AW7</f>
        <v>19</v>
      </c>
      <c r="AY7" s="1073">
        <v>12</v>
      </c>
      <c r="AZ7" s="1074">
        <v>12</v>
      </c>
      <c r="BA7" s="1074">
        <v>7</v>
      </c>
      <c r="BB7" s="1077">
        <f t="shared" ref="BB7:BB21" si="5">AY7+AZ7+BA7</f>
        <v>31</v>
      </c>
      <c r="BC7" s="1073">
        <f>SUM('EGRESO-POS plan'!BE6,'EGRESO-POS plan'!BE7,'EGRESO-POS plan'!BE8)</f>
        <v>15</v>
      </c>
      <c r="BD7" s="1074">
        <f>SUM('EGRESO-POS plan'!BF6,'EGRESO-POS plan'!BF7,'EGRESO-POS plan'!BF8)</f>
        <v>12</v>
      </c>
      <c r="BE7" s="1074">
        <f>SUM('EGRESO-POS plan'!BG6,'EGRESO-POS plan'!BG7,'EGRESO-POS plan'!BG8)</f>
        <v>12</v>
      </c>
      <c r="BF7" s="1077">
        <f>SUM(BC7:BE7)</f>
        <v>39</v>
      </c>
      <c r="BG7" s="1073">
        <f>SUM('EGRESO-POS plan'!BI6,'EGRESO-POS plan'!BI7,'EGRESO-POS plan'!BI8)</f>
        <v>7</v>
      </c>
      <c r="BH7" s="1074">
        <f>SUM('EGRESO-POS plan'!BJ6,'EGRESO-POS plan'!BJ7,'EGRESO-POS plan'!BJ8)</f>
        <v>8</v>
      </c>
      <c r="BI7" s="1074">
        <f>SUM('EGRESO-POS plan'!BK6,'EGRESO-POS plan'!BK7,'EGRESO-POS plan'!BK8)</f>
        <v>8</v>
      </c>
      <c r="BJ7" s="1077">
        <f>SUM(BG7:BI7)</f>
        <v>23</v>
      </c>
      <c r="BK7" s="1073">
        <f>SUM('EGRESO-POS plan'!BM6,'EGRESO-POS plan'!BM7,'EGRESO-POS plan'!BM8)</f>
        <v>10</v>
      </c>
      <c r="BL7" s="1074">
        <f>SUM('EGRESO-POS plan'!BN6:BN10)</f>
        <v>14</v>
      </c>
      <c r="BM7" s="1074">
        <f>SUM('EGRESO-POS plan'!BO6:BO10)</f>
        <v>14</v>
      </c>
      <c r="BN7" s="1077">
        <f>SUM(BK7:BM7)</f>
        <v>38</v>
      </c>
      <c r="BO7" s="1073">
        <f>SUM('EGRESO-POS plan'!BQ6:BQ10)</f>
        <v>15</v>
      </c>
      <c r="BP7" s="1074">
        <f>SUM('EGRESO-POS plan'!BR6:BR10)</f>
        <v>11</v>
      </c>
      <c r="BQ7" s="1074">
        <f>SUM('EGRESO-POS plan'!BS6:BS10)</f>
        <v>8</v>
      </c>
      <c r="BR7" s="1077">
        <f>SUM(BO7:BQ7)</f>
        <v>34</v>
      </c>
    </row>
    <row r="8" spans="1:70" s="222" customFormat="1" ht="12.75" customHeight="1" x14ac:dyDescent="0.2">
      <c r="A8" s="5470"/>
      <c r="B8" s="1078" t="s">
        <v>633</v>
      </c>
      <c r="C8" s="1338">
        <f>+'EGRESO-POS plan'!E11+'EGRESO-POS plan'!E12</f>
        <v>0</v>
      </c>
      <c r="D8" s="1339">
        <f>+'EGRESO-POS plan'!F11+'EGRESO-POS plan'!F12</f>
        <v>0</v>
      </c>
      <c r="E8" s="1339">
        <f>+'EGRESO-POS plan'!G11+'EGRESO-POS plan'!G12</f>
        <v>0</v>
      </c>
      <c r="F8" s="1340">
        <f t="shared" si="0"/>
        <v>0</v>
      </c>
      <c r="G8" s="1338">
        <f>+'EGRESO-POS plan'!I11+'EGRESO-POS plan'!I12</f>
        <v>0</v>
      </c>
      <c r="H8" s="1339">
        <f>+'EGRESO-POS plan'!J11+'EGRESO-POS plan'!J12</f>
        <v>0</v>
      </c>
      <c r="I8" s="1339">
        <f>+'EGRESO-POS plan'!K11+'EGRESO-POS plan'!K12</f>
        <v>0</v>
      </c>
      <c r="J8" s="1340">
        <f t="shared" si="1"/>
        <v>0</v>
      </c>
      <c r="K8" s="1338">
        <f>+'EGRESO-POS plan'!M11+'EGRESO-POS plan'!M12</f>
        <v>0</v>
      </c>
      <c r="L8" s="1339">
        <f>+'EGRESO-POS plan'!N11+'EGRESO-POS plan'!N12</f>
        <v>0</v>
      </c>
      <c r="M8" s="1339">
        <f>+'EGRESO-POS plan'!O11+'EGRESO-POS plan'!O12</f>
        <v>0</v>
      </c>
      <c r="N8" s="1340">
        <f t="shared" si="2"/>
        <v>0</v>
      </c>
      <c r="O8" s="1338">
        <f>+'EGRESO-POS plan'!Q11+'EGRESO-POS plan'!Q12</f>
        <v>0</v>
      </c>
      <c r="P8" s="1339">
        <f>+'EGRESO-POS plan'!R11+'EGRESO-POS plan'!R12</f>
        <v>0</v>
      </c>
      <c r="Q8" s="1339">
        <f>+'EGRESO-POS plan'!S11+'EGRESO-POS plan'!S12</f>
        <v>1</v>
      </c>
      <c r="R8" s="1340">
        <f t="shared" si="3"/>
        <v>1</v>
      </c>
      <c r="S8" s="1338">
        <v>1</v>
      </c>
      <c r="T8" s="1339">
        <v>1</v>
      </c>
      <c r="U8" s="1339">
        <v>0</v>
      </c>
      <c r="V8" s="1340">
        <v>2</v>
      </c>
      <c r="W8" s="1339">
        <v>1</v>
      </c>
      <c r="X8" s="1339">
        <v>1</v>
      </c>
      <c r="Y8" s="1339">
        <v>2</v>
      </c>
      <c r="Z8" s="1341">
        <v>4</v>
      </c>
      <c r="AA8" s="1338">
        <v>1</v>
      </c>
      <c r="AB8" s="1339">
        <v>5</v>
      </c>
      <c r="AC8" s="1339">
        <v>3</v>
      </c>
      <c r="AD8" s="1340">
        <v>9</v>
      </c>
      <c r="AE8" s="1339">
        <v>1</v>
      </c>
      <c r="AF8" s="1339">
        <v>2</v>
      </c>
      <c r="AG8" s="1339">
        <v>4</v>
      </c>
      <c r="AH8" s="1340">
        <v>7</v>
      </c>
      <c r="AI8" s="1339">
        <v>0</v>
      </c>
      <c r="AJ8" s="1339">
        <v>1</v>
      </c>
      <c r="AK8" s="1339">
        <v>1</v>
      </c>
      <c r="AL8" s="1341">
        <v>2</v>
      </c>
      <c r="AM8" s="1073">
        <v>2</v>
      </c>
      <c r="AN8" s="1074">
        <v>1</v>
      </c>
      <c r="AO8" s="1074">
        <v>0</v>
      </c>
      <c r="AP8" s="1074">
        <v>3</v>
      </c>
      <c r="AQ8" s="1073">
        <v>0</v>
      </c>
      <c r="AR8" s="1074">
        <v>2</v>
      </c>
      <c r="AS8" s="1074">
        <v>1</v>
      </c>
      <c r="AT8" s="1077">
        <v>3</v>
      </c>
      <c r="AU8" s="1073">
        <v>1</v>
      </c>
      <c r="AV8" s="1074">
        <v>3</v>
      </c>
      <c r="AW8" s="1074">
        <v>2</v>
      </c>
      <c r="AX8" s="1077">
        <f t="shared" si="4"/>
        <v>6</v>
      </c>
      <c r="AY8" s="1073">
        <v>3</v>
      </c>
      <c r="AZ8" s="1074">
        <v>6</v>
      </c>
      <c r="BA8" s="1074">
        <v>2</v>
      </c>
      <c r="BB8" s="1077">
        <f t="shared" si="5"/>
        <v>11</v>
      </c>
      <c r="BC8" s="1073">
        <f>SUM('EGRESO-POS plan'!BE11,'EGRESO-POS plan'!BE12)</f>
        <v>0</v>
      </c>
      <c r="BD8" s="1074">
        <f>SUM('EGRESO-POS plan'!BF11,'EGRESO-POS plan'!BF12)</f>
        <v>1</v>
      </c>
      <c r="BE8" s="1074">
        <f>SUM('EGRESO-POS plan'!BG11,'EGRESO-POS plan'!BG12)</f>
        <v>5</v>
      </c>
      <c r="BF8" s="1077">
        <f>SUM(BC8:BE8)</f>
        <v>6</v>
      </c>
      <c r="BG8" s="1073">
        <f>SUM('EGRESO-POS plan'!BI11,'EGRESO-POS plan'!BI12)</f>
        <v>2</v>
      </c>
      <c r="BH8" s="1074">
        <f>SUM('EGRESO-POS plan'!BJ11,'EGRESO-POS plan'!BJ12)</f>
        <v>5</v>
      </c>
      <c r="BI8" s="1074">
        <f>SUM('EGRESO-POS plan'!BK11,'EGRESO-POS plan'!BK12)</f>
        <v>6</v>
      </c>
      <c r="BJ8" s="1077">
        <f>SUM(BG8:BI8)</f>
        <v>13</v>
      </c>
      <c r="BK8" s="1073">
        <f>SUM('EGRESO-POS plan'!BM11,'EGRESO-POS plan'!BM12)</f>
        <v>1</v>
      </c>
      <c r="BL8" s="1074">
        <f>SUM('EGRESO-POS plan'!BN11,'EGRESO-POS plan'!BN12)</f>
        <v>1</v>
      </c>
      <c r="BM8" s="1074">
        <f>SUM('EGRESO-POS plan'!BO11:BO12)</f>
        <v>3</v>
      </c>
      <c r="BN8" s="1077">
        <f>SUM(BK8:BM8)</f>
        <v>5</v>
      </c>
      <c r="BO8" s="1073">
        <f>SUM('EGRESO-POS plan'!BQ11,'EGRESO-POS plan'!BQ12)</f>
        <v>1</v>
      </c>
      <c r="BP8" s="1074">
        <f>SUM('EGRESO-POS plan'!BR11,'EGRESO-POS plan'!BR12)</f>
        <v>3</v>
      </c>
      <c r="BQ8" s="1074">
        <f>SUM('EGRESO-POS plan'!BS11:BS12)</f>
        <v>0</v>
      </c>
      <c r="BR8" s="1077">
        <f>SUM(BO8:BQ8)</f>
        <v>4</v>
      </c>
    </row>
    <row r="9" spans="1:70" s="222" customFormat="1" ht="12.75" customHeight="1" x14ac:dyDescent="0.2">
      <c r="A9" s="5471"/>
      <c r="B9" s="583" t="s">
        <v>13</v>
      </c>
      <c r="C9" s="1193">
        <f>SUM(C6:C8)</f>
        <v>0</v>
      </c>
      <c r="D9" s="1194">
        <f>SUM(D6:D8)</f>
        <v>2</v>
      </c>
      <c r="E9" s="1194">
        <f>SUM(E6:E8)</f>
        <v>1</v>
      </c>
      <c r="F9" s="1185">
        <f t="shared" si="0"/>
        <v>3</v>
      </c>
      <c r="G9" s="1193">
        <f>SUM(G6:G8)</f>
        <v>1</v>
      </c>
      <c r="H9" s="1194">
        <f>SUM(H6:H8)</f>
        <v>0</v>
      </c>
      <c r="I9" s="1194">
        <f>SUM(I6:I8)</f>
        <v>1</v>
      </c>
      <c r="J9" s="1185">
        <f t="shared" si="1"/>
        <v>2</v>
      </c>
      <c r="K9" s="1193">
        <f>SUM(K6:K8)</f>
        <v>2</v>
      </c>
      <c r="L9" s="1194">
        <f>SUM(L6:L8)</f>
        <v>4</v>
      </c>
      <c r="M9" s="1194">
        <f>SUM(M6:M8)</f>
        <v>7</v>
      </c>
      <c r="N9" s="1185">
        <f t="shared" si="2"/>
        <v>13</v>
      </c>
      <c r="O9" s="1193">
        <f>SUM(O6:O8)</f>
        <v>1</v>
      </c>
      <c r="P9" s="1194">
        <f>SUM(P6:P8)</f>
        <v>6</v>
      </c>
      <c r="Q9" s="1194">
        <f>SUM(Q6:Q8)</f>
        <v>8</v>
      </c>
      <c r="R9" s="1185">
        <f t="shared" si="3"/>
        <v>15</v>
      </c>
      <c r="S9" s="1193">
        <v>5</v>
      </c>
      <c r="T9" s="1194">
        <v>14</v>
      </c>
      <c r="U9" s="1194">
        <v>6</v>
      </c>
      <c r="V9" s="1185">
        <v>25</v>
      </c>
      <c r="W9" s="1194">
        <v>7</v>
      </c>
      <c r="X9" s="1194">
        <v>7</v>
      </c>
      <c r="Y9" s="1194">
        <v>10</v>
      </c>
      <c r="Z9" s="1194">
        <v>24</v>
      </c>
      <c r="AA9" s="1193">
        <v>6</v>
      </c>
      <c r="AB9" s="1194">
        <v>19</v>
      </c>
      <c r="AC9" s="1194">
        <v>10</v>
      </c>
      <c r="AD9" s="1185">
        <v>35</v>
      </c>
      <c r="AE9" s="1194">
        <v>8</v>
      </c>
      <c r="AF9" s="1194">
        <v>12</v>
      </c>
      <c r="AG9" s="1194">
        <v>10</v>
      </c>
      <c r="AH9" s="1185">
        <v>30</v>
      </c>
      <c r="AI9" s="1194">
        <v>13</v>
      </c>
      <c r="AJ9" s="1194">
        <v>10</v>
      </c>
      <c r="AK9" s="1194">
        <v>13</v>
      </c>
      <c r="AL9" s="1194">
        <v>36</v>
      </c>
      <c r="AM9" s="578">
        <v>12</v>
      </c>
      <c r="AN9" s="579">
        <v>12</v>
      </c>
      <c r="AO9" s="579">
        <v>12</v>
      </c>
      <c r="AP9" s="579">
        <v>36</v>
      </c>
      <c r="AQ9" s="578">
        <f t="shared" ref="AQ9:AW9" si="6">SUM(AQ6:AQ8)</f>
        <v>1</v>
      </c>
      <c r="AR9" s="579">
        <f t="shared" si="6"/>
        <v>14</v>
      </c>
      <c r="AS9" s="579">
        <f t="shared" si="6"/>
        <v>3</v>
      </c>
      <c r="AT9" s="580">
        <f t="shared" si="6"/>
        <v>18</v>
      </c>
      <c r="AU9" s="578">
        <f t="shared" si="6"/>
        <v>6</v>
      </c>
      <c r="AV9" s="579">
        <f t="shared" si="6"/>
        <v>10</v>
      </c>
      <c r="AW9" s="579">
        <f t="shared" si="6"/>
        <v>9</v>
      </c>
      <c r="AX9" s="580">
        <f t="shared" si="4"/>
        <v>25</v>
      </c>
      <c r="AY9" s="578">
        <f>SUM(AY6:AY8)</f>
        <v>15</v>
      </c>
      <c r="AZ9" s="579">
        <f>SUM(AZ6:AZ8)</f>
        <v>18</v>
      </c>
      <c r="BA9" s="579">
        <f>SUM(BA6:BA8)</f>
        <v>9</v>
      </c>
      <c r="BB9" s="580">
        <f t="shared" si="5"/>
        <v>42</v>
      </c>
      <c r="BC9" s="578">
        <f t="shared" ref="BC9:BJ9" si="7">SUM(BC6:BC8)</f>
        <v>15</v>
      </c>
      <c r="BD9" s="579">
        <f t="shared" si="7"/>
        <v>13</v>
      </c>
      <c r="BE9" s="579">
        <f t="shared" si="7"/>
        <v>17</v>
      </c>
      <c r="BF9" s="580">
        <f t="shared" si="7"/>
        <v>45</v>
      </c>
      <c r="BG9" s="578">
        <f t="shared" si="7"/>
        <v>9</v>
      </c>
      <c r="BH9" s="579">
        <f t="shared" si="7"/>
        <v>13</v>
      </c>
      <c r="BI9" s="579">
        <f t="shared" si="7"/>
        <v>14</v>
      </c>
      <c r="BJ9" s="580">
        <f t="shared" si="7"/>
        <v>36</v>
      </c>
      <c r="BK9" s="578">
        <f t="shared" ref="BK9:BR9" si="8">SUM(BK6:BK8)</f>
        <v>11</v>
      </c>
      <c r="BL9" s="579">
        <f t="shared" si="8"/>
        <v>15</v>
      </c>
      <c r="BM9" s="579">
        <f t="shared" si="8"/>
        <v>17</v>
      </c>
      <c r="BN9" s="580">
        <f t="shared" si="8"/>
        <v>43</v>
      </c>
      <c r="BO9" s="578">
        <f t="shared" si="8"/>
        <v>16</v>
      </c>
      <c r="BP9" s="579">
        <f t="shared" si="8"/>
        <v>14</v>
      </c>
      <c r="BQ9" s="579">
        <f t="shared" si="8"/>
        <v>8</v>
      </c>
      <c r="BR9" s="580">
        <f t="shared" si="8"/>
        <v>38</v>
      </c>
    </row>
    <row r="10" spans="1:70" ht="12.75" customHeight="1" x14ac:dyDescent="0.2">
      <c r="A10" s="5489" t="s">
        <v>6</v>
      </c>
      <c r="B10" s="1067" t="s">
        <v>631</v>
      </c>
      <c r="C10" s="1342">
        <f>+'EGRESO-POS plan'!E14+'EGRESO-POS plan'!E15</f>
        <v>0</v>
      </c>
      <c r="D10" s="1343">
        <f>+'EGRESO-POS plan'!F14+'EGRESO-POS plan'!F15</f>
        <v>0</v>
      </c>
      <c r="E10" s="1343">
        <f>+'EGRESO-POS plan'!G14+'EGRESO-POS plan'!G15</f>
        <v>2</v>
      </c>
      <c r="F10" s="1344">
        <f t="shared" si="0"/>
        <v>2</v>
      </c>
      <c r="G10" s="1342">
        <f>+'EGRESO-POS plan'!I14+'EGRESO-POS plan'!I15</f>
        <v>0</v>
      </c>
      <c r="H10" s="1343">
        <f>+'EGRESO-POS plan'!J14+'EGRESO-POS plan'!J15</f>
        <v>1</v>
      </c>
      <c r="I10" s="1343">
        <f>+'EGRESO-POS plan'!K14+'EGRESO-POS plan'!K15</f>
        <v>3</v>
      </c>
      <c r="J10" s="1344">
        <f t="shared" si="1"/>
        <v>4</v>
      </c>
      <c r="K10" s="1342">
        <f>+'EGRESO-POS plan'!M14+'EGRESO-POS plan'!M15</f>
        <v>0</v>
      </c>
      <c r="L10" s="1343">
        <f>+'EGRESO-POS plan'!N14+'EGRESO-POS plan'!N15</f>
        <v>8</v>
      </c>
      <c r="M10" s="1343">
        <f>+'EGRESO-POS plan'!O14+'EGRESO-POS plan'!O15</f>
        <v>1</v>
      </c>
      <c r="N10" s="1344">
        <f t="shared" si="2"/>
        <v>9</v>
      </c>
      <c r="O10" s="1342">
        <f>+'EGRESO-POS plan'!Q14+'EGRESO-POS plan'!Q15</f>
        <v>1</v>
      </c>
      <c r="P10" s="1343">
        <f>+'EGRESO-POS plan'!R14+'EGRESO-POS plan'!R15</f>
        <v>54</v>
      </c>
      <c r="Q10" s="1343">
        <f>+'EGRESO-POS plan'!S14+'EGRESO-POS plan'!S15</f>
        <v>10</v>
      </c>
      <c r="R10" s="1344">
        <f t="shared" si="3"/>
        <v>65</v>
      </c>
      <c r="S10" s="1342">
        <v>0</v>
      </c>
      <c r="T10" s="1343">
        <v>8</v>
      </c>
      <c r="U10" s="1343">
        <v>0</v>
      </c>
      <c r="V10" s="1344">
        <v>8</v>
      </c>
      <c r="W10" s="1343">
        <v>0</v>
      </c>
      <c r="X10" s="1343">
        <v>8</v>
      </c>
      <c r="Y10" s="1343">
        <v>5</v>
      </c>
      <c r="Z10" s="1345">
        <v>13</v>
      </c>
      <c r="AA10" s="1342">
        <v>6</v>
      </c>
      <c r="AB10" s="1343">
        <v>22</v>
      </c>
      <c r="AC10" s="1343">
        <v>0</v>
      </c>
      <c r="AD10" s="1344">
        <v>28</v>
      </c>
      <c r="AE10" s="1343">
        <v>0</v>
      </c>
      <c r="AF10" s="1343">
        <v>21</v>
      </c>
      <c r="AG10" s="1343">
        <v>2</v>
      </c>
      <c r="AH10" s="1344">
        <v>23</v>
      </c>
      <c r="AI10" s="1343">
        <v>1</v>
      </c>
      <c r="AJ10" s="1343">
        <v>17</v>
      </c>
      <c r="AK10" s="1343">
        <v>9</v>
      </c>
      <c r="AL10" s="1345">
        <v>27</v>
      </c>
      <c r="AM10" s="1346">
        <v>0</v>
      </c>
      <c r="AN10" s="1347">
        <v>5</v>
      </c>
      <c r="AO10" s="1347">
        <v>0</v>
      </c>
      <c r="AP10" s="1347">
        <v>5</v>
      </c>
      <c r="AQ10" s="1346">
        <v>1</v>
      </c>
      <c r="AR10" s="1347">
        <v>9</v>
      </c>
      <c r="AS10" s="1347">
        <v>1</v>
      </c>
      <c r="AT10" s="1348">
        <v>11</v>
      </c>
      <c r="AU10" s="1346"/>
      <c r="AV10" s="1347">
        <v>7</v>
      </c>
      <c r="AW10" s="1347"/>
      <c r="AX10" s="1348">
        <f t="shared" si="4"/>
        <v>7</v>
      </c>
      <c r="AY10" s="1346">
        <v>1</v>
      </c>
      <c r="AZ10" s="1347">
        <v>17</v>
      </c>
      <c r="BA10" s="1347">
        <v>1</v>
      </c>
      <c r="BB10" s="1348">
        <f t="shared" si="5"/>
        <v>19</v>
      </c>
      <c r="BC10" s="1068">
        <f>SUM('EGRESO-POS plan'!BE14,'EGRESO-POS plan'!BE15,'EGRESO-POS plan'!BE16)</f>
        <v>0</v>
      </c>
      <c r="BD10" s="1069">
        <f>SUM('EGRESO-POS plan'!BF14,'EGRESO-POS plan'!BF15,'EGRESO-POS plan'!BF16)</f>
        <v>24</v>
      </c>
      <c r="BE10" s="1069">
        <f>SUM('EGRESO-POS plan'!BG14,'EGRESO-POS plan'!BG15,'EGRESO-POS plan'!BG16)</f>
        <v>0</v>
      </c>
      <c r="BF10" s="1086">
        <f>SUM(BC10:BE10)</f>
        <v>24</v>
      </c>
      <c r="BG10" s="1068">
        <f>SUM('EGRESO-POS plan'!BI14,'EGRESO-POS plan'!BI15,'EGRESO-POS plan'!BI16)</f>
        <v>0</v>
      </c>
      <c r="BH10" s="1069">
        <f>SUM('EGRESO-POS plan'!BJ14,'EGRESO-POS plan'!BJ15,'EGRESO-POS plan'!BJ16)</f>
        <v>9</v>
      </c>
      <c r="BI10" s="1069">
        <f>SUM('EGRESO-POS plan'!BK14,'EGRESO-POS plan'!BK15,'EGRESO-POS plan'!BK16)</f>
        <v>2</v>
      </c>
      <c r="BJ10" s="1086">
        <f>SUM(BG10:BI10)</f>
        <v>11</v>
      </c>
      <c r="BK10" s="1068">
        <f>SUM('EGRESO-POS plan'!BM14,'EGRESO-POS plan'!BM15,'EGRESO-POS plan'!BM16)</f>
        <v>0</v>
      </c>
      <c r="BL10" s="1069">
        <f>SUM('EGRESO-POS plan'!BN14,'EGRESO-POS plan'!BN15,'EGRESO-POS plan'!BN16)</f>
        <v>16</v>
      </c>
      <c r="BM10" s="1069">
        <f>SUM('EGRESO-POS plan'!BO14:BO16)</f>
        <v>6</v>
      </c>
      <c r="BN10" s="1086">
        <f>SUM(BK10:BM10)</f>
        <v>22</v>
      </c>
      <c r="BO10" s="1068">
        <f>SUM('EGRESO-POS plan'!BQ14,'EGRESO-POS plan'!BQ15,'EGRESO-POS plan'!BQ16)</f>
        <v>1</v>
      </c>
      <c r="BP10" s="1069">
        <f>SUM('EGRESO-POS plan'!BR14,'EGRESO-POS plan'!BR15,'EGRESO-POS plan'!BR16)</f>
        <v>11</v>
      </c>
      <c r="BQ10" s="1069">
        <f>SUM('EGRESO-POS plan'!BS14:BS16)</f>
        <v>3</v>
      </c>
      <c r="BR10" s="1086">
        <f>SUM(BO10:BQ10)</f>
        <v>15</v>
      </c>
    </row>
    <row r="11" spans="1:70" ht="12.75" customHeight="1" x14ac:dyDescent="0.2">
      <c r="A11" s="5470"/>
      <c r="B11" s="1072" t="s">
        <v>632</v>
      </c>
      <c r="C11" s="1338">
        <f>+'EGRESO-POS plan'!E18+'EGRESO-POS plan'!E19+'EGRESO-POS plan'!E20+'EGRESO-POS plan'!E21+'EGRESO-POS plan'!E22</f>
        <v>0</v>
      </c>
      <c r="D11" s="1339">
        <f>+'EGRESO-POS plan'!F18+'EGRESO-POS plan'!F19+'EGRESO-POS plan'!F20+'EGRESO-POS plan'!F21+'EGRESO-POS plan'!F22</f>
        <v>5</v>
      </c>
      <c r="E11" s="1339">
        <f>+'EGRESO-POS plan'!G18+'EGRESO-POS plan'!G19+'EGRESO-POS plan'!G20+'EGRESO-POS plan'!G21+'EGRESO-POS plan'!G22</f>
        <v>2</v>
      </c>
      <c r="F11" s="1340">
        <f t="shared" si="0"/>
        <v>7</v>
      </c>
      <c r="G11" s="1338">
        <f>+'EGRESO-POS plan'!I18+'EGRESO-POS plan'!I19+'EGRESO-POS plan'!I20+'EGRESO-POS plan'!I21+'EGRESO-POS plan'!I22</f>
        <v>0</v>
      </c>
      <c r="H11" s="1339">
        <f>+'EGRESO-POS plan'!J18+'EGRESO-POS plan'!J19+'EGRESO-POS plan'!J20+'EGRESO-POS plan'!J21+'EGRESO-POS plan'!J22</f>
        <v>0</v>
      </c>
      <c r="I11" s="1339">
        <f>+'EGRESO-POS plan'!K18+'EGRESO-POS plan'!K19+'EGRESO-POS plan'!K20+'EGRESO-POS plan'!K21+'EGRESO-POS plan'!K22</f>
        <v>4</v>
      </c>
      <c r="J11" s="1340">
        <f t="shared" si="1"/>
        <v>4</v>
      </c>
      <c r="K11" s="1338">
        <f>+'EGRESO-POS plan'!M18+'EGRESO-POS plan'!M19+'EGRESO-POS plan'!M20+'EGRESO-POS plan'!M21+'EGRESO-POS plan'!M22</f>
        <v>1</v>
      </c>
      <c r="L11" s="1339">
        <f>+'EGRESO-POS plan'!N18+'EGRESO-POS plan'!N19+'EGRESO-POS plan'!N20+'EGRESO-POS plan'!N21+'EGRESO-POS plan'!N22</f>
        <v>4</v>
      </c>
      <c r="M11" s="1339">
        <f>+'EGRESO-POS plan'!O18+'EGRESO-POS plan'!O19+'EGRESO-POS plan'!O20+'EGRESO-POS plan'!O21+'EGRESO-POS plan'!O22</f>
        <v>5</v>
      </c>
      <c r="N11" s="1340">
        <f t="shared" si="2"/>
        <v>10</v>
      </c>
      <c r="O11" s="1338">
        <f>+'EGRESO-POS plan'!Q18+'EGRESO-POS plan'!Q19+'EGRESO-POS plan'!Q20+'EGRESO-POS plan'!Q21+'EGRESO-POS plan'!Q22</f>
        <v>2</v>
      </c>
      <c r="P11" s="1339">
        <f>+'EGRESO-POS plan'!R18+'EGRESO-POS plan'!R19+'EGRESO-POS plan'!R20+'EGRESO-POS plan'!R21+'EGRESO-POS plan'!R22</f>
        <v>69</v>
      </c>
      <c r="Q11" s="1339">
        <f>+'EGRESO-POS plan'!S18+'EGRESO-POS plan'!S19+'EGRESO-POS plan'!S20+'EGRESO-POS plan'!S21+'EGRESO-POS plan'!S22</f>
        <v>3</v>
      </c>
      <c r="R11" s="1340">
        <f t="shared" si="3"/>
        <v>74</v>
      </c>
      <c r="S11" s="1338">
        <v>15</v>
      </c>
      <c r="T11" s="1339">
        <v>5</v>
      </c>
      <c r="U11" s="1339">
        <v>6</v>
      </c>
      <c r="V11" s="1340">
        <v>26</v>
      </c>
      <c r="W11" s="1339">
        <v>10</v>
      </c>
      <c r="X11" s="1339">
        <v>5</v>
      </c>
      <c r="Y11" s="1339">
        <v>1</v>
      </c>
      <c r="Z11" s="1341">
        <v>16</v>
      </c>
      <c r="AA11" s="1338">
        <v>6</v>
      </c>
      <c r="AB11" s="1339">
        <v>2</v>
      </c>
      <c r="AC11" s="1339">
        <v>1</v>
      </c>
      <c r="AD11" s="1340">
        <v>9</v>
      </c>
      <c r="AE11" s="1339">
        <v>6</v>
      </c>
      <c r="AF11" s="1339">
        <v>4</v>
      </c>
      <c r="AG11" s="1339">
        <v>13</v>
      </c>
      <c r="AH11" s="1340">
        <v>23</v>
      </c>
      <c r="AI11" s="1339">
        <v>8</v>
      </c>
      <c r="AJ11" s="1339">
        <v>4</v>
      </c>
      <c r="AK11" s="1339">
        <v>0</v>
      </c>
      <c r="AL11" s="1341">
        <v>12</v>
      </c>
      <c r="AM11" s="1073">
        <v>3</v>
      </c>
      <c r="AN11" s="1074">
        <v>11</v>
      </c>
      <c r="AO11" s="1074">
        <v>3</v>
      </c>
      <c r="AP11" s="1074">
        <v>17</v>
      </c>
      <c r="AQ11" s="1073">
        <v>6</v>
      </c>
      <c r="AR11" s="1074">
        <v>9</v>
      </c>
      <c r="AS11" s="1074">
        <v>3</v>
      </c>
      <c r="AT11" s="1077">
        <v>18</v>
      </c>
      <c r="AU11" s="1073">
        <v>6</v>
      </c>
      <c r="AV11" s="1074">
        <v>12</v>
      </c>
      <c r="AW11" s="1074">
        <v>4</v>
      </c>
      <c r="AX11" s="1077">
        <f t="shared" si="4"/>
        <v>22</v>
      </c>
      <c r="AY11" s="1073">
        <v>4</v>
      </c>
      <c r="AZ11" s="1074">
        <v>16</v>
      </c>
      <c r="BA11" s="1074">
        <v>6</v>
      </c>
      <c r="BB11" s="1077">
        <f t="shared" si="5"/>
        <v>26</v>
      </c>
      <c r="BC11" s="1073">
        <f>SUM('EGRESO-POS plan'!BE17,'EGRESO-POS plan'!BE18,'EGRESO-POS plan'!BE19,'EGRESO-POS plan'!BE20,'EGRESO-POS plan'!BE21,'EGRESO-POS plan'!BE22)</f>
        <v>10</v>
      </c>
      <c r="BD11" s="1074">
        <f>SUM('EGRESO-POS plan'!BF17,'EGRESO-POS plan'!BF18,'EGRESO-POS plan'!BF19,'EGRESO-POS plan'!BF20,'EGRESO-POS plan'!BF21,'EGRESO-POS plan'!BF22)</f>
        <v>3</v>
      </c>
      <c r="BE11" s="1074">
        <f>SUM('EGRESO-POS plan'!BG17,'EGRESO-POS plan'!BG18,'EGRESO-POS plan'!BG19,'EGRESO-POS plan'!BG20,'EGRESO-POS plan'!BG21,'EGRESO-POS plan'!BG22)</f>
        <v>3</v>
      </c>
      <c r="BF11" s="1077">
        <f>SUM(BC11:BE11)</f>
        <v>16</v>
      </c>
      <c r="BG11" s="1073">
        <f>SUM('EGRESO-POS plan'!BI17,'EGRESO-POS plan'!BI18,'EGRESO-POS plan'!BI19,'EGRESO-POS plan'!BI20,'EGRESO-POS plan'!BI21,'EGRESO-POS plan'!BI22)</f>
        <v>2</v>
      </c>
      <c r="BH11" s="1074">
        <f>SUM('EGRESO-POS plan'!BJ17,'EGRESO-POS plan'!BJ18,'EGRESO-POS plan'!BJ19,'EGRESO-POS plan'!BJ20,'EGRESO-POS plan'!BJ21,'EGRESO-POS plan'!BJ22)</f>
        <v>3</v>
      </c>
      <c r="BI11" s="1074">
        <f>SUM('EGRESO-POS plan'!BK17,'EGRESO-POS plan'!BK18,'EGRESO-POS plan'!BK19,'EGRESO-POS plan'!BK20,'EGRESO-POS plan'!BK21,'EGRESO-POS plan'!BK22)</f>
        <v>15</v>
      </c>
      <c r="BJ11" s="1077">
        <f>SUM(BG11:BI11)</f>
        <v>20</v>
      </c>
      <c r="BK11" s="1073">
        <f>SUM('EGRESO-POS plan'!BM17,'EGRESO-POS plan'!BM18,'EGRESO-POS plan'!BM19,'EGRESO-POS plan'!BM20,'EGRESO-POS plan'!BM21,'EGRESO-POS plan'!BM22)</f>
        <v>9</v>
      </c>
      <c r="BL11" s="1074">
        <f>SUM('EGRESO-POS plan'!BN17,'EGRESO-POS plan'!BN18,'EGRESO-POS plan'!BN19,'EGRESO-POS plan'!BN20,'EGRESO-POS plan'!BN21,'EGRESO-POS plan'!BN22)</f>
        <v>8</v>
      </c>
      <c r="BM11" s="1074">
        <f>SUM('EGRESO-POS plan'!BO17:BO23)</f>
        <v>8</v>
      </c>
      <c r="BN11" s="1077">
        <f>SUM(BK11:BM11)</f>
        <v>25</v>
      </c>
      <c r="BO11" s="1073">
        <f>SUM('EGRESO-POS plan'!BQ17:BQ23)</f>
        <v>8</v>
      </c>
      <c r="BP11" s="1074">
        <f>SUM('EGRESO-POS plan'!BR17:BR23)</f>
        <v>7</v>
      </c>
      <c r="BQ11" s="1074">
        <f>SUM('EGRESO-POS plan'!BS17:BS23)</f>
        <v>7</v>
      </c>
      <c r="BR11" s="1077">
        <f>SUM(BO11:BQ11)</f>
        <v>22</v>
      </c>
    </row>
    <row r="12" spans="1:70" ht="12.75" customHeight="1" x14ac:dyDescent="0.2">
      <c r="A12" s="5470"/>
      <c r="B12" s="1078" t="s">
        <v>633</v>
      </c>
      <c r="C12" s="1338">
        <f>+'EGRESO-POS plan'!E25+'EGRESO-POS plan'!E26</f>
        <v>0</v>
      </c>
      <c r="D12" s="1339">
        <f>+'EGRESO-POS plan'!F25+'EGRESO-POS plan'!F26</f>
        <v>0</v>
      </c>
      <c r="E12" s="1339">
        <f>+'EGRESO-POS plan'!G25+'EGRESO-POS plan'!G26</f>
        <v>0</v>
      </c>
      <c r="F12" s="1340">
        <f t="shared" si="0"/>
        <v>0</v>
      </c>
      <c r="G12" s="1338">
        <f>+'EGRESO-POS plan'!I25+'EGRESO-POS plan'!I26</f>
        <v>0</v>
      </c>
      <c r="H12" s="1339">
        <f>+'EGRESO-POS plan'!J25+'EGRESO-POS plan'!J26</f>
        <v>0</v>
      </c>
      <c r="I12" s="1339">
        <f>+'EGRESO-POS plan'!K25+'EGRESO-POS plan'!K26</f>
        <v>0</v>
      </c>
      <c r="J12" s="1340">
        <f t="shared" si="1"/>
        <v>0</v>
      </c>
      <c r="K12" s="1338">
        <f>+'EGRESO-POS plan'!M25+'EGRESO-POS plan'!M26</f>
        <v>0</v>
      </c>
      <c r="L12" s="1339">
        <f>+'EGRESO-POS plan'!N25+'EGRESO-POS plan'!N26</f>
        <v>0</v>
      </c>
      <c r="M12" s="1339">
        <f>+'EGRESO-POS plan'!O25+'EGRESO-POS plan'!O26</f>
        <v>0</v>
      </c>
      <c r="N12" s="1340">
        <f t="shared" si="2"/>
        <v>0</v>
      </c>
      <c r="O12" s="1338">
        <f>+'EGRESO-POS plan'!Q25+'EGRESO-POS plan'!Q26</f>
        <v>0</v>
      </c>
      <c r="P12" s="1339">
        <f>+'EGRESO-POS plan'!R25+'EGRESO-POS plan'!R26</f>
        <v>0</v>
      </c>
      <c r="Q12" s="1339">
        <f>+'EGRESO-POS plan'!S25+'EGRESO-POS plan'!S26</f>
        <v>0</v>
      </c>
      <c r="R12" s="1340">
        <f t="shared" si="3"/>
        <v>0</v>
      </c>
      <c r="S12" s="1338">
        <v>0</v>
      </c>
      <c r="T12" s="1339">
        <v>0</v>
      </c>
      <c r="U12" s="1339">
        <v>0</v>
      </c>
      <c r="V12" s="1340">
        <v>0</v>
      </c>
      <c r="W12" s="1339">
        <v>0</v>
      </c>
      <c r="X12" s="1339">
        <v>0</v>
      </c>
      <c r="Y12" s="1339">
        <v>0</v>
      </c>
      <c r="Z12" s="1341">
        <v>0</v>
      </c>
      <c r="AA12" s="1338">
        <v>0</v>
      </c>
      <c r="AB12" s="1339">
        <v>0</v>
      </c>
      <c r="AC12" s="1339">
        <v>0</v>
      </c>
      <c r="AD12" s="1340">
        <v>0</v>
      </c>
      <c r="AE12" s="1339">
        <v>1</v>
      </c>
      <c r="AF12" s="1339">
        <v>0</v>
      </c>
      <c r="AG12" s="1339">
        <v>0</v>
      </c>
      <c r="AH12" s="1340">
        <v>1</v>
      </c>
      <c r="AI12" s="1339">
        <v>0</v>
      </c>
      <c r="AJ12" s="1339">
        <v>0</v>
      </c>
      <c r="AK12" s="1339">
        <v>0</v>
      </c>
      <c r="AL12" s="1341">
        <v>0</v>
      </c>
      <c r="AM12" s="1073">
        <v>0</v>
      </c>
      <c r="AN12" s="1074">
        <v>0</v>
      </c>
      <c r="AO12" s="1074">
        <v>0</v>
      </c>
      <c r="AP12" s="1074">
        <v>0</v>
      </c>
      <c r="AQ12" s="1073">
        <v>0</v>
      </c>
      <c r="AR12" s="1074">
        <v>0</v>
      </c>
      <c r="AS12" s="1074">
        <v>2</v>
      </c>
      <c r="AT12" s="1077">
        <v>2</v>
      </c>
      <c r="AU12" s="1073"/>
      <c r="AV12" s="1074">
        <v>1</v>
      </c>
      <c r="AW12" s="1074">
        <v>2</v>
      </c>
      <c r="AX12" s="1077">
        <f t="shared" si="4"/>
        <v>3</v>
      </c>
      <c r="AY12" s="1073">
        <v>1</v>
      </c>
      <c r="AZ12" s="1074">
        <v>4</v>
      </c>
      <c r="BA12" s="1074">
        <v>1</v>
      </c>
      <c r="BB12" s="1077">
        <f t="shared" si="5"/>
        <v>6</v>
      </c>
      <c r="BC12" s="1073">
        <f>SUM('EGRESO-POS plan'!BE24,'EGRESO-POS plan'!BE25,'EGRESO-POS plan'!BE26)</f>
        <v>4</v>
      </c>
      <c r="BD12" s="1074">
        <f>SUM('EGRESO-POS plan'!BF24,'EGRESO-POS plan'!BF25,'EGRESO-POS plan'!BF26)</f>
        <v>2</v>
      </c>
      <c r="BE12" s="1074">
        <f>SUM('EGRESO-POS plan'!BG24,'EGRESO-POS plan'!BG25,'EGRESO-POS plan'!BG26)</f>
        <v>0</v>
      </c>
      <c r="BF12" s="1077">
        <f>SUM(BC12:BE12)</f>
        <v>6</v>
      </c>
      <c r="BG12" s="1073">
        <f>SUM('EGRESO-POS plan'!BI24,'EGRESO-POS plan'!BI25,'EGRESO-POS plan'!BI26)</f>
        <v>1</v>
      </c>
      <c r="BH12" s="1074">
        <f>SUM('EGRESO-POS plan'!BJ24,'EGRESO-POS plan'!BJ25,'EGRESO-POS plan'!BJ26)</f>
        <v>2</v>
      </c>
      <c r="BI12" s="1074">
        <f>SUM('EGRESO-POS plan'!BK24,'EGRESO-POS plan'!BK25,'EGRESO-POS plan'!BK26)</f>
        <v>5</v>
      </c>
      <c r="BJ12" s="1077">
        <f>SUM(BG12:BI12)</f>
        <v>8</v>
      </c>
      <c r="BK12" s="1073">
        <f>SUM('EGRESO-POS plan'!BM24,'EGRESO-POS plan'!BM25,'EGRESO-POS plan'!BM26)</f>
        <v>7</v>
      </c>
      <c r="BL12" s="1074">
        <f>SUM('EGRESO-POS plan'!BN24,'EGRESO-POS plan'!BN25,'EGRESO-POS plan'!BN26)</f>
        <v>2</v>
      </c>
      <c r="BM12" s="1074">
        <f>SUM('EGRESO-POS plan'!BO24:BO26)</f>
        <v>3</v>
      </c>
      <c r="BN12" s="1077">
        <f>SUM(BK12:BM12)</f>
        <v>12</v>
      </c>
      <c r="BO12" s="1073">
        <f>SUM('EGRESO-POS plan'!BQ24,'EGRESO-POS plan'!BQ25,'EGRESO-POS plan'!BQ26)</f>
        <v>2</v>
      </c>
      <c r="BP12" s="1074">
        <f>SUM('EGRESO-POS plan'!BR24,'EGRESO-POS plan'!BR25,'EGRESO-POS plan'!BR26)</f>
        <v>1</v>
      </c>
      <c r="BQ12" s="1074">
        <f>SUM('EGRESO-POS plan'!BS24:BS26)</f>
        <v>4</v>
      </c>
      <c r="BR12" s="1077">
        <f>SUM(BO12:BQ12)</f>
        <v>7</v>
      </c>
    </row>
    <row r="13" spans="1:70" s="222" customFormat="1" ht="12.75" customHeight="1" x14ac:dyDescent="0.2">
      <c r="A13" s="5471"/>
      <c r="B13" s="583" t="s">
        <v>14</v>
      </c>
      <c r="C13" s="1193">
        <f>SUM(C10:C12)</f>
        <v>0</v>
      </c>
      <c r="D13" s="1194">
        <f>SUM(D10:D12)</f>
        <v>5</v>
      </c>
      <c r="E13" s="1194">
        <f>SUM(E10:E12)</f>
        <v>4</v>
      </c>
      <c r="F13" s="1185">
        <f t="shared" si="0"/>
        <v>9</v>
      </c>
      <c r="G13" s="1193">
        <f>SUM(G10:G12)</f>
        <v>0</v>
      </c>
      <c r="H13" s="1194">
        <f>SUM(H10:H12)</f>
        <v>1</v>
      </c>
      <c r="I13" s="1194">
        <f>SUM(I10:I12)</f>
        <v>7</v>
      </c>
      <c r="J13" s="1185">
        <f t="shared" si="1"/>
        <v>8</v>
      </c>
      <c r="K13" s="1193">
        <f>SUM(K10:K12)</f>
        <v>1</v>
      </c>
      <c r="L13" s="1194">
        <f>SUM(L10:L12)</f>
        <v>12</v>
      </c>
      <c r="M13" s="1194">
        <f>SUM(M10:M12)</f>
        <v>6</v>
      </c>
      <c r="N13" s="1185">
        <f t="shared" si="2"/>
        <v>19</v>
      </c>
      <c r="O13" s="1193">
        <f>SUM(O10:O12)</f>
        <v>3</v>
      </c>
      <c r="P13" s="1194">
        <f>SUM(P10:P12)</f>
        <v>123</v>
      </c>
      <c r="Q13" s="1194">
        <f>SUM(Q10:Q12)</f>
        <v>13</v>
      </c>
      <c r="R13" s="1185">
        <f t="shared" si="3"/>
        <v>139</v>
      </c>
      <c r="S13" s="1193">
        <v>15</v>
      </c>
      <c r="T13" s="1194">
        <v>13</v>
      </c>
      <c r="U13" s="1194">
        <v>6</v>
      </c>
      <c r="V13" s="1185">
        <v>34</v>
      </c>
      <c r="W13" s="1194">
        <v>10</v>
      </c>
      <c r="X13" s="1194">
        <v>13</v>
      </c>
      <c r="Y13" s="1194">
        <v>6</v>
      </c>
      <c r="Z13" s="1194">
        <v>29</v>
      </c>
      <c r="AA13" s="1193">
        <v>12</v>
      </c>
      <c r="AB13" s="1194">
        <v>24</v>
      </c>
      <c r="AC13" s="1194">
        <v>1</v>
      </c>
      <c r="AD13" s="1185">
        <v>37</v>
      </c>
      <c r="AE13" s="1194">
        <v>7</v>
      </c>
      <c r="AF13" s="1194">
        <v>25</v>
      </c>
      <c r="AG13" s="1194">
        <v>15</v>
      </c>
      <c r="AH13" s="1185">
        <v>47</v>
      </c>
      <c r="AI13" s="1194">
        <v>9</v>
      </c>
      <c r="AJ13" s="1194">
        <v>21</v>
      </c>
      <c r="AK13" s="1194">
        <v>9</v>
      </c>
      <c r="AL13" s="1194">
        <v>39</v>
      </c>
      <c r="AM13" s="578">
        <v>3</v>
      </c>
      <c r="AN13" s="579">
        <v>16</v>
      </c>
      <c r="AO13" s="579">
        <v>3</v>
      </c>
      <c r="AP13" s="579">
        <v>22</v>
      </c>
      <c r="AQ13" s="578">
        <f t="shared" ref="AQ13:AW13" si="9">SUM(AQ10:AQ12)</f>
        <v>7</v>
      </c>
      <c r="AR13" s="579">
        <f t="shared" si="9"/>
        <v>18</v>
      </c>
      <c r="AS13" s="579">
        <f t="shared" si="9"/>
        <v>6</v>
      </c>
      <c r="AT13" s="580">
        <f t="shared" si="9"/>
        <v>31</v>
      </c>
      <c r="AU13" s="578">
        <f t="shared" si="9"/>
        <v>6</v>
      </c>
      <c r="AV13" s="579">
        <f t="shared" si="9"/>
        <v>20</v>
      </c>
      <c r="AW13" s="579">
        <f t="shared" si="9"/>
        <v>6</v>
      </c>
      <c r="AX13" s="580">
        <f t="shared" si="4"/>
        <v>32</v>
      </c>
      <c r="AY13" s="578">
        <f>SUM(AY10:AY12)</f>
        <v>6</v>
      </c>
      <c r="AZ13" s="579">
        <f>SUM(AZ10:AZ12)</f>
        <v>37</v>
      </c>
      <c r="BA13" s="579">
        <f>SUM(BA10:BA12)</f>
        <v>8</v>
      </c>
      <c r="BB13" s="580">
        <f t="shared" si="5"/>
        <v>51</v>
      </c>
      <c r="BC13" s="578">
        <f t="shared" ref="BC13:BJ13" si="10">SUM(BC10:BC12)</f>
        <v>14</v>
      </c>
      <c r="BD13" s="579">
        <f t="shared" si="10"/>
        <v>29</v>
      </c>
      <c r="BE13" s="579">
        <f t="shared" si="10"/>
        <v>3</v>
      </c>
      <c r="BF13" s="580">
        <f t="shared" si="10"/>
        <v>46</v>
      </c>
      <c r="BG13" s="578">
        <f t="shared" si="10"/>
        <v>3</v>
      </c>
      <c r="BH13" s="579">
        <f t="shared" si="10"/>
        <v>14</v>
      </c>
      <c r="BI13" s="579">
        <f t="shared" si="10"/>
        <v>22</v>
      </c>
      <c r="BJ13" s="580">
        <f t="shared" si="10"/>
        <v>39</v>
      </c>
      <c r="BK13" s="578">
        <f t="shared" ref="BK13:BR13" si="11">SUM(BK10:BK12)</f>
        <v>16</v>
      </c>
      <c r="BL13" s="579">
        <f t="shared" si="11"/>
        <v>26</v>
      </c>
      <c r="BM13" s="579">
        <f t="shared" si="11"/>
        <v>17</v>
      </c>
      <c r="BN13" s="580">
        <f t="shared" si="11"/>
        <v>59</v>
      </c>
      <c r="BO13" s="578">
        <f t="shared" si="11"/>
        <v>11</v>
      </c>
      <c r="BP13" s="579">
        <f t="shared" si="11"/>
        <v>19</v>
      </c>
      <c r="BQ13" s="579">
        <f t="shared" si="11"/>
        <v>14</v>
      </c>
      <c r="BR13" s="580">
        <f t="shared" si="11"/>
        <v>44</v>
      </c>
    </row>
    <row r="14" spans="1:70" ht="12.75" customHeight="1" x14ac:dyDescent="0.2">
      <c r="A14" s="5489" t="s">
        <v>7</v>
      </c>
      <c r="B14" s="1067" t="s">
        <v>631</v>
      </c>
      <c r="C14" s="1334">
        <f>+'EGRESO-POS plan'!E28+'EGRESO-POS plan'!E29</f>
        <v>0</v>
      </c>
      <c r="D14" s="1335">
        <f>+'EGRESO-POS plan'!F28+'EGRESO-POS plan'!F29</f>
        <v>0</v>
      </c>
      <c r="E14" s="1335">
        <f>+'EGRESO-POS plan'!G28+'EGRESO-POS plan'!G29</f>
        <v>17</v>
      </c>
      <c r="F14" s="1336">
        <f t="shared" si="0"/>
        <v>17</v>
      </c>
      <c r="G14" s="1334">
        <f>+'EGRESO-POS plan'!I28+'EGRESO-POS plan'!I29</f>
        <v>0</v>
      </c>
      <c r="H14" s="1335">
        <f>+'EGRESO-POS plan'!J28+'EGRESO-POS plan'!J29</f>
        <v>3</v>
      </c>
      <c r="I14" s="1335">
        <f>+'EGRESO-POS plan'!K28+'EGRESO-POS plan'!K29</f>
        <v>6</v>
      </c>
      <c r="J14" s="1336">
        <f t="shared" si="1"/>
        <v>9</v>
      </c>
      <c r="K14" s="1334">
        <f>+'EGRESO-POS plan'!M28+'EGRESO-POS plan'!M29</f>
        <v>1</v>
      </c>
      <c r="L14" s="1335">
        <f>+'EGRESO-POS plan'!N28+'EGRESO-POS plan'!N29</f>
        <v>7</v>
      </c>
      <c r="M14" s="1335">
        <f>+'EGRESO-POS plan'!O28+'EGRESO-POS plan'!O29</f>
        <v>2</v>
      </c>
      <c r="N14" s="1336">
        <f t="shared" si="2"/>
        <v>10</v>
      </c>
      <c r="O14" s="1334">
        <f>+'EGRESO-POS plan'!Q28+'EGRESO-POS plan'!Q29</f>
        <v>3</v>
      </c>
      <c r="P14" s="1335">
        <f>+'EGRESO-POS plan'!R28+'EGRESO-POS plan'!R29</f>
        <v>69</v>
      </c>
      <c r="Q14" s="1335">
        <f>+'EGRESO-POS plan'!S28+'EGRESO-POS plan'!S29</f>
        <v>26</v>
      </c>
      <c r="R14" s="1336">
        <f t="shared" si="3"/>
        <v>98</v>
      </c>
      <c r="S14" s="1334">
        <v>0</v>
      </c>
      <c r="T14" s="1335">
        <v>1</v>
      </c>
      <c r="U14" s="1335">
        <v>2</v>
      </c>
      <c r="V14" s="1336">
        <v>3</v>
      </c>
      <c r="W14" s="1335">
        <v>2</v>
      </c>
      <c r="X14" s="1335">
        <v>15</v>
      </c>
      <c r="Y14" s="1335">
        <v>7</v>
      </c>
      <c r="Z14" s="1337">
        <v>24</v>
      </c>
      <c r="AA14" s="1334">
        <v>1</v>
      </c>
      <c r="AB14" s="1335">
        <v>4</v>
      </c>
      <c r="AC14" s="1335">
        <v>9</v>
      </c>
      <c r="AD14" s="1336">
        <v>14</v>
      </c>
      <c r="AE14" s="1335">
        <v>0</v>
      </c>
      <c r="AF14" s="1335">
        <v>13</v>
      </c>
      <c r="AG14" s="1335">
        <v>4</v>
      </c>
      <c r="AH14" s="1336">
        <v>17</v>
      </c>
      <c r="AI14" s="1335">
        <v>0</v>
      </c>
      <c r="AJ14" s="1335">
        <v>16</v>
      </c>
      <c r="AK14" s="1335">
        <v>1</v>
      </c>
      <c r="AL14" s="1337">
        <v>17</v>
      </c>
      <c r="AM14" s="1068">
        <v>1</v>
      </c>
      <c r="AN14" s="1069">
        <v>2</v>
      </c>
      <c r="AO14" s="1069">
        <v>11</v>
      </c>
      <c r="AP14" s="1069">
        <v>14</v>
      </c>
      <c r="AQ14" s="1068">
        <v>10</v>
      </c>
      <c r="AR14" s="1069">
        <v>4</v>
      </c>
      <c r="AS14" s="1069">
        <v>47</v>
      </c>
      <c r="AT14" s="1086">
        <v>61</v>
      </c>
      <c r="AU14" s="1068">
        <v>1</v>
      </c>
      <c r="AV14" s="1069">
        <v>1</v>
      </c>
      <c r="AW14" s="1069">
        <v>24</v>
      </c>
      <c r="AX14" s="1086">
        <f t="shared" si="4"/>
        <v>26</v>
      </c>
      <c r="AY14" s="1068"/>
      <c r="AZ14" s="1069">
        <v>2</v>
      </c>
      <c r="BA14" s="1069">
        <v>32</v>
      </c>
      <c r="BB14" s="1086">
        <f t="shared" si="5"/>
        <v>34</v>
      </c>
      <c r="BC14" s="1068">
        <f>SUM('EGRESO-POS plan'!BE28)</f>
        <v>1</v>
      </c>
      <c r="BD14" s="1069">
        <f>SUM('EGRESO-POS plan'!BF28)</f>
        <v>4</v>
      </c>
      <c r="BE14" s="1069">
        <f>SUM('EGRESO-POS plan'!BG28)</f>
        <v>1</v>
      </c>
      <c r="BF14" s="1086">
        <f>SUM(BC14:BE14)</f>
        <v>6</v>
      </c>
      <c r="BG14" s="1068">
        <f>SUM('EGRESO-POS plan'!BI28)</f>
        <v>0</v>
      </c>
      <c r="BH14" s="1069">
        <f>SUM('EGRESO-POS plan'!BJ28)</f>
        <v>5</v>
      </c>
      <c r="BI14" s="1069">
        <f>SUM('EGRESO-POS plan'!BK28)</f>
        <v>28</v>
      </c>
      <c r="BJ14" s="1086">
        <f>SUM(BG14:BI14)</f>
        <v>33</v>
      </c>
      <c r="BK14" s="1068">
        <f>SUM('EGRESO-POS plan'!BM28)</f>
        <v>0</v>
      </c>
      <c r="BL14" s="1069">
        <f>SUM('EGRESO-POS plan'!BN28)</f>
        <v>1</v>
      </c>
      <c r="BM14" s="1069">
        <f>SUM('EGRESO-POS plan'!BO28)</f>
        <v>0</v>
      </c>
      <c r="BN14" s="1086">
        <f>SUM(BK14:BM14)</f>
        <v>1</v>
      </c>
      <c r="BO14" s="1068">
        <f>SUM('EGRESO-POS plan'!BQ28)</f>
        <v>0</v>
      </c>
      <c r="BP14" s="1069">
        <f>SUM('EGRESO-POS plan'!BR28)</f>
        <v>0</v>
      </c>
      <c r="BQ14" s="1069">
        <f>SUM('EGRESO-POS plan'!BS28)</f>
        <v>0</v>
      </c>
      <c r="BR14" s="1086">
        <f>SUM(BO14:BQ14)</f>
        <v>0</v>
      </c>
    </row>
    <row r="15" spans="1:70" ht="12.75" customHeight="1" x14ac:dyDescent="0.2">
      <c r="A15" s="5470"/>
      <c r="B15" s="1072" t="s">
        <v>632</v>
      </c>
      <c r="C15" s="1338">
        <f>+'EGRESO-POS plan'!E30</f>
        <v>1</v>
      </c>
      <c r="D15" s="1339">
        <f>+'EGRESO-POS plan'!F30</f>
        <v>0</v>
      </c>
      <c r="E15" s="1339">
        <f>+'EGRESO-POS plan'!G30</f>
        <v>0</v>
      </c>
      <c r="F15" s="1340">
        <f t="shared" si="0"/>
        <v>1</v>
      </c>
      <c r="G15" s="1338">
        <f>+'EGRESO-POS plan'!I30</f>
        <v>0</v>
      </c>
      <c r="H15" s="1339">
        <f>+'EGRESO-POS plan'!J30</f>
        <v>0</v>
      </c>
      <c r="I15" s="1339">
        <f>+'EGRESO-POS plan'!K30</f>
        <v>0</v>
      </c>
      <c r="J15" s="1340">
        <f t="shared" si="1"/>
        <v>0</v>
      </c>
      <c r="K15" s="1338">
        <f>+'EGRESO-POS plan'!M30</f>
        <v>2</v>
      </c>
      <c r="L15" s="1339">
        <f>+'EGRESO-POS plan'!N30</f>
        <v>0</v>
      </c>
      <c r="M15" s="1339">
        <f>+'EGRESO-POS plan'!O30</f>
        <v>1</v>
      </c>
      <c r="N15" s="1340">
        <f t="shared" si="2"/>
        <v>3</v>
      </c>
      <c r="O15" s="1338">
        <f>+'EGRESO-POS plan'!Q30</f>
        <v>7</v>
      </c>
      <c r="P15" s="1339">
        <f>+'EGRESO-POS plan'!R30</f>
        <v>6</v>
      </c>
      <c r="Q15" s="1339">
        <f>+'EGRESO-POS plan'!S30</f>
        <v>5</v>
      </c>
      <c r="R15" s="1340">
        <f t="shared" si="3"/>
        <v>18</v>
      </c>
      <c r="S15" s="1338">
        <v>1</v>
      </c>
      <c r="T15" s="1339">
        <v>2</v>
      </c>
      <c r="U15" s="1339">
        <v>4</v>
      </c>
      <c r="V15" s="1340">
        <v>7</v>
      </c>
      <c r="W15" s="1339">
        <v>2</v>
      </c>
      <c r="X15" s="1339">
        <v>1</v>
      </c>
      <c r="Y15" s="1339">
        <v>2</v>
      </c>
      <c r="Z15" s="1341">
        <v>5</v>
      </c>
      <c r="AA15" s="1338">
        <v>4</v>
      </c>
      <c r="AB15" s="1339">
        <v>1</v>
      </c>
      <c r="AC15" s="1339">
        <v>5</v>
      </c>
      <c r="AD15" s="1340">
        <v>10</v>
      </c>
      <c r="AE15" s="1339">
        <v>2</v>
      </c>
      <c r="AF15" s="1339">
        <v>2</v>
      </c>
      <c r="AG15" s="1339">
        <v>5</v>
      </c>
      <c r="AH15" s="1340">
        <v>9</v>
      </c>
      <c r="AI15" s="1339">
        <v>4</v>
      </c>
      <c r="AJ15" s="1339">
        <v>0</v>
      </c>
      <c r="AK15" s="1339">
        <v>0</v>
      </c>
      <c r="AL15" s="1341">
        <v>4</v>
      </c>
      <c r="AM15" s="1073">
        <v>3</v>
      </c>
      <c r="AN15" s="1074">
        <v>6</v>
      </c>
      <c r="AO15" s="1074">
        <v>2</v>
      </c>
      <c r="AP15" s="1074">
        <v>11</v>
      </c>
      <c r="AQ15" s="1073">
        <v>2</v>
      </c>
      <c r="AR15" s="1074">
        <v>5</v>
      </c>
      <c r="AS15" s="1074">
        <v>1</v>
      </c>
      <c r="AT15" s="1077">
        <v>8</v>
      </c>
      <c r="AU15" s="1073">
        <v>2</v>
      </c>
      <c r="AV15" s="1074">
        <v>11</v>
      </c>
      <c r="AW15" s="1074">
        <v>3</v>
      </c>
      <c r="AX15" s="1077">
        <f t="shared" si="4"/>
        <v>16</v>
      </c>
      <c r="AY15" s="1073">
        <v>1</v>
      </c>
      <c r="AZ15" s="1074">
        <v>12</v>
      </c>
      <c r="BA15" s="1074">
        <v>11</v>
      </c>
      <c r="BB15" s="1077">
        <f t="shared" si="5"/>
        <v>24</v>
      </c>
      <c r="BC15" s="1073">
        <f>SUM('EGRESO-POS plan'!BE30)</f>
        <v>4</v>
      </c>
      <c r="BD15" s="1074">
        <f>SUM('EGRESO-POS plan'!BF30)</f>
        <v>5</v>
      </c>
      <c r="BE15" s="1074">
        <f>SUM('EGRESO-POS plan'!BG30)</f>
        <v>13</v>
      </c>
      <c r="BF15" s="1077">
        <f>SUM(BC15:BE15)</f>
        <v>22</v>
      </c>
      <c r="BG15" s="1073">
        <f>SUM('EGRESO-POS plan'!BI30)</f>
        <v>6</v>
      </c>
      <c r="BH15" s="1074">
        <f>SUM('EGRESO-POS plan'!BJ30)</f>
        <v>25</v>
      </c>
      <c r="BI15" s="1074">
        <f>SUM('EGRESO-POS plan'!BK30)</f>
        <v>6</v>
      </c>
      <c r="BJ15" s="1077">
        <f>SUM(BG15:BI15)</f>
        <v>37</v>
      </c>
      <c r="BK15" s="1073">
        <f>SUM('EGRESO-POS plan'!BM30)</f>
        <v>4</v>
      </c>
      <c r="BL15" s="1074">
        <f>SUM('EGRESO-POS plan'!BN30)</f>
        <v>11</v>
      </c>
      <c r="BM15" s="1074">
        <f>SUM('EGRESO-POS plan'!BO30)</f>
        <v>11</v>
      </c>
      <c r="BN15" s="1077">
        <f>SUM(BK15:BM15)</f>
        <v>26</v>
      </c>
      <c r="BO15" s="1073">
        <f>SUM('EGRESO-POS plan'!BQ30:BQ32)</f>
        <v>8</v>
      </c>
      <c r="BP15" s="1074">
        <f>SUM('EGRESO-POS plan'!BR30:BR32)</f>
        <v>8</v>
      </c>
      <c r="BQ15" s="1074">
        <f>SUM('EGRESO-POS plan'!BS30:BS32)</f>
        <v>2</v>
      </c>
      <c r="BR15" s="1077">
        <f>SUM(BO15:BQ15)</f>
        <v>18</v>
      </c>
    </row>
    <row r="16" spans="1:70" ht="12.75" customHeight="1" x14ac:dyDescent="0.2">
      <c r="A16" s="5470"/>
      <c r="B16" s="1078" t="s">
        <v>633</v>
      </c>
      <c r="C16" s="1338">
        <f>+'EGRESO-POS plan'!E33</f>
        <v>0</v>
      </c>
      <c r="D16" s="1339">
        <f>+'EGRESO-POS plan'!F33</f>
        <v>0</v>
      </c>
      <c r="E16" s="1339">
        <f>+'EGRESO-POS plan'!G33</f>
        <v>0</v>
      </c>
      <c r="F16" s="1340">
        <f t="shared" si="0"/>
        <v>0</v>
      </c>
      <c r="G16" s="1338">
        <f>+'EGRESO-POS plan'!I33</f>
        <v>0</v>
      </c>
      <c r="H16" s="1339">
        <f>+'EGRESO-POS plan'!J33</f>
        <v>0</v>
      </c>
      <c r="I16" s="1339">
        <f>+'EGRESO-POS plan'!K33</f>
        <v>0</v>
      </c>
      <c r="J16" s="1340">
        <f t="shared" si="1"/>
        <v>0</v>
      </c>
      <c r="K16" s="1338">
        <f>+'EGRESO-POS plan'!M33</f>
        <v>1</v>
      </c>
      <c r="L16" s="1339">
        <f>+'EGRESO-POS plan'!N33</f>
        <v>6</v>
      </c>
      <c r="M16" s="1339">
        <f>+'EGRESO-POS plan'!O33</f>
        <v>4</v>
      </c>
      <c r="N16" s="1340">
        <f t="shared" si="2"/>
        <v>11</v>
      </c>
      <c r="O16" s="1338">
        <f>+'EGRESO-POS plan'!Q33</f>
        <v>0</v>
      </c>
      <c r="P16" s="1339">
        <f>+'EGRESO-POS plan'!R33</f>
        <v>0</v>
      </c>
      <c r="Q16" s="1339">
        <f>+'EGRESO-POS plan'!S33</f>
        <v>0</v>
      </c>
      <c r="R16" s="1340">
        <f t="shared" si="3"/>
        <v>0</v>
      </c>
      <c r="S16" s="1338">
        <v>0</v>
      </c>
      <c r="T16" s="1339">
        <v>0</v>
      </c>
      <c r="U16" s="1339">
        <v>0</v>
      </c>
      <c r="V16" s="1340">
        <v>0</v>
      </c>
      <c r="W16" s="1339">
        <v>0</v>
      </c>
      <c r="X16" s="1339">
        <v>1</v>
      </c>
      <c r="Y16" s="1339">
        <v>1</v>
      </c>
      <c r="Z16" s="1341">
        <v>2</v>
      </c>
      <c r="AA16" s="1338">
        <v>0</v>
      </c>
      <c r="AB16" s="1339">
        <v>6</v>
      </c>
      <c r="AC16" s="1339">
        <v>1</v>
      </c>
      <c r="AD16" s="1340">
        <v>7</v>
      </c>
      <c r="AE16" s="1339">
        <v>1</v>
      </c>
      <c r="AF16" s="1339">
        <v>1</v>
      </c>
      <c r="AG16" s="1339">
        <v>2</v>
      </c>
      <c r="AH16" s="1340">
        <v>4</v>
      </c>
      <c r="AI16" s="1339">
        <v>0</v>
      </c>
      <c r="AJ16" s="1339">
        <v>0</v>
      </c>
      <c r="AK16" s="1339">
        <v>1</v>
      </c>
      <c r="AL16" s="1341">
        <v>1</v>
      </c>
      <c r="AM16" s="1073">
        <v>1</v>
      </c>
      <c r="AN16" s="1074">
        <v>0</v>
      </c>
      <c r="AO16" s="1074">
        <v>0</v>
      </c>
      <c r="AP16" s="1074">
        <v>1</v>
      </c>
      <c r="AQ16" s="1073">
        <v>1</v>
      </c>
      <c r="AR16" s="1074">
        <v>1</v>
      </c>
      <c r="AS16" s="1074">
        <v>1</v>
      </c>
      <c r="AT16" s="1077">
        <v>3</v>
      </c>
      <c r="AU16" s="1073">
        <v>1</v>
      </c>
      <c r="AV16" s="1074">
        <v>1</v>
      </c>
      <c r="AW16" s="1074">
        <v>3</v>
      </c>
      <c r="AX16" s="1077">
        <f t="shared" si="4"/>
        <v>5</v>
      </c>
      <c r="AY16" s="1073">
        <v>1</v>
      </c>
      <c r="AZ16" s="1074">
        <v>4</v>
      </c>
      <c r="BA16" s="1074">
        <v>2</v>
      </c>
      <c r="BB16" s="1077">
        <f t="shared" si="5"/>
        <v>7</v>
      </c>
      <c r="BC16" s="1073">
        <f>SUM('EGRESO-POS plan'!BE33)</f>
        <v>0</v>
      </c>
      <c r="BD16" s="1074">
        <f>SUM('EGRESO-POS plan'!BF33)</f>
        <v>1</v>
      </c>
      <c r="BE16" s="1074">
        <f>SUM('EGRESO-POS plan'!BG33)</f>
        <v>1</v>
      </c>
      <c r="BF16" s="1077">
        <f>SUM(BC16:BE16)</f>
        <v>2</v>
      </c>
      <c r="BG16" s="1073">
        <f>SUM('EGRESO-POS plan'!BI33)</f>
        <v>3</v>
      </c>
      <c r="BH16" s="1074">
        <f>SUM('EGRESO-POS plan'!BJ33)</f>
        <v>5</v>
      </c>
      <c r="BI16" s="1074">
        <f>SUM('EGRESO-POS plan'!BK33)</f>
        <v>1</v>
      </c>
      <c r="BJ16" s="1077">
        <f>SUM(BG16:BI16)</f>
        <v>9</v>
      </c>
      <c r="BK16" s="1073">
        <f>SUM('EGRESO-POS plan'!BM33)</f>
        <v>3</v>
      </c>
      <c r="BL16" s="1074">
        <f>SUM('EGRESO-POS plan'!BN33)</f>
        <v>5</v>
      </c>
      <c r="BM16" s="1074">
        <f>SUM('EGRESO-POS plan'!BO33)</f>
        <v>1</v>
      </c>
      <c r="BN16" s="1077">
        <f>SUM(BK16:BM16)</f>
        <v>9</v>
      </c>
      <c r="BO16" s="1073">
        <f>SUM('EGRESO-POS plan'!BQ33:BQ36)</f>
        <v>0</v>
      </c>
      <c r="BP16" s="1074">
        <f>SUM('EGRESO-POS plan'!BR33:BR36)</f>
        <v>3</v>
      </c>
      <c r="BQ16" s="1074">
        <f>SUM('EGRESO-POS plan'!BS33:BS36)</f>
        <v>2</v>
      </c>
      <c r="BR16" s="1077">
        <f>SUM(BO16:BQ16)</f>
        <v>5</v>
      </c>
    </row>
    <row r="17" spans="1:70" s="222" customFormat="1" ht="12.75" customHeight="1" x14ac:dyDescent="0.2">
      <c r="A17" s="5471"/>
      <c r="B17" s="583" t="s">
        <v>15</v>
      </c>
      <c r="C17" s="1193">
        <f>SUM(C14:C16)</f>
        <v>1</v>
      </c>
      <c r="D17" s="1194">
        <f>SUM(D14:D16)</f>
        <v>0</v>
      </c>
      <c r="E17" s="1194">
        <f>SUM(E14:E16)</f>
        <v>17</v>
      </c>
      <c r="F17" s="1185">
        <f t="shared" si="0"/>
        <v>18</v>
      </c>
      <c r="G17" s="1193">
        <f>SUM(G14:G16)</f>
        <v>0</v>
      </c>
      <c r="H17" s="1194">
        <f>SUM(H14:H16)</f>
        <v>3</v>
      </c>
      <c r="I17" s="1194">
        <f>SUM(I14:I16)</f>
        <v>6</v>
      </c>
      <c r="J17" s="1185">
        <f t="shared" si="1"/>
        <v>9</v>
      </c>
      <c r="K17" s="1193">
        <f>SUM(K14:K16)</f>
        <v>4</v>
      </c>
      <c r="L17" s="1194">
        <f>SUM(L14:L16)</f>
        <v>13</v>
      </c>
      <c r="M17" s="1194">
        <f>SUM(M14:M16)</f>
        <v>7</v>
      </c>
      <c r="N17" s="1185">
        <f t="shared" si="2"/>
        <v>24</v>
      </c>
      <c r="O17" s="1193">
        <f>SUM(O14:O16)</f>
        <v>10</v>
      </c>
      <c r="P17" s="1194">
        <f>SUM(P14:P16)</f>
        <v>75</v>
      </c>
      <c r="Q17" s="1194">
        <f>SUM(Q14:Q16)</f>
        <v>31</v>
      </c>
      <c r="R17" s="1185">
        <f t="shared" si="3"/>
        <v>116</v>
      </c>
      <c r="S17" s="1193">
        <v>1</v>
      </c>
      <c r="T17" s="1194">
        <v>3</v>
      </c>
      <c r="U17" s="1194">
        <v>6</v>
      </c>
      <c r="V17" s="1185">
        <v>10</v>
      </c>
      <c r="W17" s="1194">
        <v>4</v>
      </c>
      <c r="X17" s="1194">
        <v>17</v>
      </c>
      <c r="Y17" s="1194">
        <v>10</v>
      </c>
      <c r="Z17" s="1194">
        <v>31</v>
      </c>
      <c r="AA17" s="1193">
        <v>5</v>
      </c>
      <c r="AB17" s="1194">
        <v>11</v>
      </c>
      <c r="AC17" s="1194">
        <v>15</v>
      </c>
      <c r="AD17" s="1185">
        <v>31</v>
      </c>
      <c r="AE17" s="1194">
        <v>3</v>
      </c>
      <c r="AF17" s="1194">
        <v>16</v>
      </c>
      <c r="AG17" s="1194">
        <v>11</v>
      </c>
      <c r="AH17" s="1185">
        <v>30</v>
      </c>
      <c r="AI17" s="1194">
        <v>4</v>
      </c>
      <c r="AJ17" s="1194">
        <v>16</v>
      </c>
      <c r="AK17" s="1194">
        <v>2</v>
      </c>
      <c r="AL17" s="1194">
        <v>22</v>
      </c>
      <c r="AM17" s="578">
        <v>5</v>
      </c>
      <c r="AN17" s="579">
        <v>8</v>
      </c>
      <c r="AO17" s="579">
        <v>13</v>
      </c>
      <c r="AP17" s="579">
        <v>26</v>
      </c>
      <c r="AQ17" s="578">
        <f t="shared" ref="AQ17:AW17" si="12">SUM(AQ14:AQ16)</f>
        <v>13</v>
      </c>
      <c r="AR17" s="579">
        <f t="shared" si="12"/>
        <v>10</v>
      </c>
      <c r="AS17" s="579">
        <f t="shared" si="12"/>
        <v>49</v>
      </c>
      <c r="AT17" s="580">
        <f t="shared" si="12"/>
        <v>72</v>
      </c>
      <c r="AU17" s="578">
        <f t="shared" si="12"/>
        <v>4</v>
      </c>
      <c r="AV17" s="579">
        <f t="shared" si="12"/>
        <v>13</v>
      </c>
      <c r="AW17" s="579">
        <f t="shared" si="12"/>
        <v>30</v>
      </c>
      <c r="AX17" s="580">
        <f t="shared" si="4"/>
        <v>47</v>
      </c>
      <c r="AY17" s="578">
        <f>SUM(AY14:AY16)</f>
        <v>2</v>
      </c>
      <c r="AZ17" s="579">
        <f>SUM(AZ14:AZ16)</f>
        <v>18</v>
      </c>
      <c r="BA17" s="579">
        <f>SUM(BA14:BA16)</f>
        <v>45</v>
      </c>
      <c r="BB17" s="580">
        <f t="shared" si="5"/>
        <v>65</v>
      </c>
      <c r="BC17" s="578">
        <f t="shared" ref="BC17:BJ17" si="13">SUM(BC14:BC16)</f>
        <v>5</v>
      </c>
      <c r="BD17" s="579">
        <f t="shared" si="13"/>
        <v>10</v>
      </c>
      <c r="BE17" s="579">
        <f t="shared" si="13"/>
        <v>15</v>
      </c>
      <c r="BF17" s="580">
        <f t="shared" si="13"/>
        <v>30</v>
      </c>
      <c r="BG17" s="578">
        <f t="shared" si="13"/>
        <v>9</v>
      </c>
      <c r="BH17" s="579">
        <f t="shared" si="13"/>
        <v>35</v>
      </c>
      <c r="BI17" s="579">
        <f t="shared" si="13"/>
        <v>35</v>
      </c>
      <c r="BJ17" s="580">
        <f t="shared" si="13"/>
        <v>79</v>
      </c>
      <c r="BK17" s="578">
        <f t="shared" ref="BK17:BR17" si="14">SUM(BK14:BK16)</f>
        <v>7</v>
      </c>
      <c r="BL17" s="579">
        <f t="shared" si="14"/>
        <v>17</v>
      </c>
      <c r="BM17" s="579">
        <f t="shared" si="14"/>
        <v>12</v>
      </c>
      <c r="BN17" s="580">
        <f t="shared" si="14"/>
        <v>36</v>
      </c>
      <c r="BO17" s="578">
        <f t="shared" si="14"/>
        <v>8</v>
      </c>
      <c r="BP17" s="579">
        <f t="shared" si="14"/>
        <v>11</v>
      </c>
      <c r="BQ17" s="579">
        <f t="shared" si="14"/>
        <v>4</v>
      </c>
      <c r="BR17" s="580">
        <f t="shared" si="14"/>
        <v>23</v>
      </c>
    </row>
    <row r="18" spans="1:70" ht="12.75" customHeight="1" x14ac:dyDescent="0.2">
      <c r="A18" s="5549" t="s">
        <v>694</v>
      </c>
      <c r="B18" s="1067" t="s">
        <v>631</v>
      </c>
      <c r="C18" s="1334">
        <f>+C6+C10+C14</f>
        <v>0</v>
      </c>
      <c r="D18" s="1335">
        <f t="shared" ref="D18:E20" si="15">+D6+D10+D14</f>
        <v>0</v>
      </c>
      <c r="E18" s="1335">
        <f t="shared" si="15"/>
        <v>19</v>
      </c>
      <c r="F18" s="1336">
        <f t="shared" si="0"/>
        <v>19</v>
      </c>
      <c r="G18" s="1334">
        <f t="shared" ref="G18:I20" si="16">+G6+G10+G14</f>
        <v>0</v>
      </c>
      <c r="H18" s="1335">
        <f t="shared" si="16"/>
        <v>4</v>
      </c>
      <c r="I18" s="1335">
        <f t="shared" si="16"/>
        <v>9</v>
      </c>
      <c r="J18" s="1336">
        <f t="shared" si="1"/>
        <v>13</v>
      </c>
      <c r="K18" s="1334">
        <f t="shared" ref="K18:M20" si="17">+K6+K10+K14</f>
        <v>1</v>
      </c>
      <c r="L18" s="1335">
        <f t="shared" si="17"/>
        <v>15</v>
      </c>
      <c r="M18" s="1335">
        <f t="shared" si="17"/>
        <v>3</v>
      </c>
      <c r="N18" s="1336">
        <f t="shared" si="2"/>
        <v>19</v>
      </c>
      <c r="O18" s="1334">
        <f t="shared" ref="O18:Q20" si="18">+O6+O10+O14</f>
        <v>5</v>
      </c>
      <c r="P18" s="1335">
        <f t="shared" si="18"/>
        <v>123</v>
      </c>
      <c r="Q18" s="1335">
        <f t="shared" si="18"/>
        <v>36</v>
      </c>
      <c r="R18" s="1336">
        <f t="shared" si="3"/>
        <v>164</v>
      </c>
      <c r="S18" s="1334">
        <f t="shared" ref="S18:AL20" si="19">S6+S10+S14</f>
        <v>0</v>
      </c>
      <c r="T18" s="1335">
        <f t="shared" si="19"/>
        <v>11</v>
      </c>
      <c r="U18" s="1335">
        <f t="shared" si="19"/>
        <v>2</v>
      </c>
      <c r="V18" s="1336">
        <f t="shared" si="19"/>
        <v>13</v>
      </c>
      <c r="W18" s="1335">
        <f t="shared" si="19"/>
        <v>2</v>
      </c>
      <c r="X18" s="1335">
        <f t="shared" si="19"/>
        <v>23</v>
      </c>
      <c r="Y18" s="1335">
        <f t="shared" si="19"/>
        <v>12</v>
      </c>
      <c r="Z18" s="1337">
        <f t="shared" si="19"/>
        <v>37</v>
      </c>
      <c r="AA18" s="1334">
        <f t="shared" si="19"/>
        <v>7</v>
      </c>
      <c r="AB18" s="1335">
        <f t="shared" si="19"/>
        <v>26</v>
      </c>
      <c r="AC18" s="1335">
        <f t="shared" si="19"/>
        <v>9</v>
      </c>
      <c r="AD18" s="1336">
        <f t="shared" si="19"/>
        <v>42</v>
      </c>
      <c r="AE18" s="1335">
        <f t="shared" si="19"/>
        <v>0</v>
      </c>
      <c r="AF18" s="1335">
        <f t="shared" si="19"/>
        <v>34</v>
      </c>
      <c r="AG18" s="1335">
        <f t="shared" si="19"/>
        <v>6</v>
      </c>
      <c r="AH18" s="1336">
        <f t="shared" si="19"/>
        <v>40</v>
      </c>
      <c r="AI18" s="1335">
        <f t="shared" si="19"/>
        <v>1</v>
      </c>
      <c r="AJ18" s="1335">
        <f t="shared" si="19"/>
        <v>33</v>
      </c>
      <c r="AK18" s="1335">
        <f t="shared" si="19"/>
        <v>10</v>
      </c>
      <c r="AL18" s="1337">
        <f t="shared" si="19"/>
        <v>44</v>
      </c>
      <c r="AM18" s="1068">
        <v>1</v>
      </c>
      <c r="AN18" s="1069">
        <v>7</v>
      </c>
      <c r="AO18" s="1069">
        <v>11</v>
      </c>
      <c r="AP18" s="1069">
        <v>19</v>
      </c>
      <c r="AQ18" s="1068">
        <f t="shared" ref="AQ18:AW20" si="20">SUM(AQ6,AQ10,AQ14)</f>
        <v>11</v>
      </c>
      <c r="AR18" s="1069">
        <f t="shared" si="20"/>
        <v>13</v>
      </c>
      <c r="AS18" s="1069">
        <f t="shared" si="20"/>
        <v>48</v>
      </c>
      <c r="AT18" s="1086">
        <f t="shared" si="20"/>
        <v>72</v>
      </c>
      <c r="AU18" s="1068">
        <f t="shared" si="20"/>
        <v>1</v>
      </c>
      <c r="AV18" s="1069">
        <f t="shared" si="20"/>
        <v>8</v>
      </c>
      <c r="AW18" s="1069">
        <f t="shared" si="20"/>
        <v>24</v>
      </c>
      <c r="AX18" s="1086">
        <f t="shared" si="4"/>
        <v>33</v>
      </c>
      <c r="AY18" s="1068">
        <f t="shared" ref="AY18:BA20" si="21">SUM(AY6,AY10,AY14)</f>
        <v>1</v>
      </c>
      <c r="AZ18" s="1069">
        <f t="shared" si="21"/>
        <v>19</v>
      </c>
      <c r="BA18" s="1069">
        <f t="shared" si="21"/>
        <v>33</v>
      </c>
      <c r="BB18" s="1086">
        <f t="shared" si="5"/>
        <v>53</v>
      </c>
      <c r="BC18" s="1068">
        <f>SUM(BC6,BC10,BC14)</f>
        <v>1</v>
      </c>
      <c r="BD18" s="1069">
        <f>SUM(BD6,BD10,BD14)</f>
        <v>28</v>
      </c>
      <c r="BE18" s="1069">
        <f>SUM(BE6,BE10,BE14)</f>
        <v>1</v>
      </c>
      <c r="BF18" s="1086">
        <f>SUM(BC18:BE18)</f>
        <v>30</v>
      </c>
      <c r="BG18" s="1068">
        <f t="shared" ref="BG18:BI20" si="22">SUM(BG6,BG10,BG14)</f>
        <v>0</v>
      </c>
      <c r="BH18" s="1069">
        <f t="shared" si="22"/>
        <v>14</v>
      </c>
      <c r="BI18" s="1069">
        <f t="shared" si="22"/>
        <v>30</v>
      </c>
      <c r="BJ18" s="1086">
        <f>SUM(BG18:BI18)</f>
        <v>44</v>
      </c>
      <c r="BK18" s="1068">
        <f t="shared" ref="BK18:BM20" si="23">SUM(BK6,BK10,BK14)</f>
        <v>0</v>
      </c>
      <c r="BL18" s="1069">
        <f t="shared" si="23"/>
        <v>17</v>
      </c>
      <c r="BM18" s="1069">
        <f t="shared" si="23"/>
        <v>6</v>
      </c>
      <c r="BN18" s="1086">
        <f>SUM(BK18:BM18)</f>
        <v>23</v>
      </c>
      <c r="BO18" s="1068">
        <f t="shared" ref="BO18:BQ18" si="24">SUM(BO6,BO10,BO14)</f>
        <v>1</v>
      </c>
      <c r="BP18" s="1069">
        <f t="shared" si="24"/>
        <v>11</v>
      </c>
      <c r="BQ18" s="1069">
        <f t="shared" si="24"/>
        <v>3</v>
      </c>
      <c r="BR18" s="1086">
        <f>SUM(BO18:BQ18)</f>
        <v>15</v>
      </c>
    </row>
    <row r="19" spans="1:70" ht="15" x14ac:dyDescent="0.2">
      <c r="A19" s="5550"/>
      <c r="B19" s="1072" t="s">
        <v>632</v>
      </c>
      <c r="C19" s="1338">
        <f>+C7+C11+C15</f>
        <v>1</v>
      </c>
      <c r="D19" s="1339">
        <f t="shared" si="15"/>
        <v>7</v>
      </c>
      <c r="E19" s="1339">
        <f t="shared" si="15"/>
        <v>3</v>
      </c>
      <c r="F19" s="1340">
        <f t="shared" si="0"/>
        <v>11</v>
      </c>
      <c r="G19" s="1338">
        <f t="shared" si="16"/>
        <v>1</v>
      </c>
      <c r="H19" s="1339">
        <f t="shared" si="16"/>
        <v>0</v>
      </c>
      <c r="I19" s="1339">
        <f t="shared" si="16"/>
        <v>5</v>
      </c>
      <c r="J19" s="1340">
        <f t="shared" si="1"/>
        <v>6</v>
      </c>
      <c r="K19" s="1338">
        <f t="shared" si="17"/>
        <v>5</v>
      </c>
      <c r="L19" s="1339">
        <f t="shared" si="17"/>
        <v>8</v>
      </c>
      <c r="M19" s="1339">
        <f t="shared" si="17"/>
        <v>13</v>
      </c>
      <c r="N19" s="1340">
        <f t="shared" si="2"/>
        <v>26</v>
      </c>
      <c r="O19" s="1338">
        <f t="shared" si="18"/>
        <v>9</v>
      </c>
      <c r="P19" s="1339">
        <f t="shared" si="18"/>
        <v>81</v>
      </c>
      <c r="Q19" s="1339">
        <f t="shared" si="18"/>
        <v>15</v>
      </c>
      <c r="R19" s="1340">
        <f t="shared" si="3"/>
        <v>105</v>
      </c>
      <c r="S19" s="1338">
        <f t="shared" si="19"/>
        <v>20</v>
      </c>
      <c r="T19" s="1339">
        <f t="shared" si="19"/>
        <v>18</v>
      </c>
      <c r="U19" s="1339">
        <f t="shared" si="19"/>
        <v>16</v>
      </c>
      <c r="V19" s="1340">
        <f t="shared" si="19"/>
        <v>54</v>
      </c>
      <c r="W19" s="1339">
        <f t="shared" si="19"/>
        <v>18</v>
      </c>
      <c r="X19" s="1339">
        <f t="shared" si="19"/>
        <v>12</v>
      </c>
      <c r="Y19" s="1339">
        <f t="shared" si="19"/>
        <v>11</v>
      </c>
      <c r="Z19" s="1341">
        <f t="shared" si="19"/>
        <v>41</v>
      </c>
      <c r="AA19" s="1338">
        <f t="shared" si="19"/>
        <v>15</v>
      </c>
      <c r="AB19" s="1339">
        <f t="shared" si="19"/>
        <v>17</v>
      </c>
      <c r="AC19" s="1339">
        <f t="shared" si="19"/>
        <v>13</v>
      </c>
      <c r="AD19" s="1340">
        <f t="shared" si="19"/>
        <v>45</v>
      </c>
      <c r="AE19" s="1339">
        <f t="shared" si="19"/>
        <v>15</v>
      </c>
      <c r="AF19" s="1339">
        <f t="shared" si="19"/>
        <v>16</v>
      </c>
      <c r="AG19" s="1339">
        <f t="shared" si="19"/>
        <v>24</v>
      </c>
      <c r="AH19" s="1340">
        <f t="shared" si="19"/>
        <v>55</v>
      </c>
      <c r="AI19" s="1339">
        <f t="shared" si="19"/>
        <v>25</v>
      </c>
      <c r="AJ19" s="1339">
        <f t="shared" si="19"/>
        <v>13</v>
      </c>
      <c r="AK19" s="1339">
        <f t="shared" si="19"/>
        <v>12</v>
      </c>
      <c r="AL19" s="1341">
        <f t="shared" si="19"/>
        <v>50</v>
      </c>
      <c r="AM19" s="1073">
        <v>16</v>
      </c>
      <c r="AN19" s="1074">
        <v>28</v>
      </c>
      <c r="AO19" s="1074">
        <v>17</v>
      </c>
      <c r="AP19" s="1074">
        <v>61</v>
      </c>
      <c r="AQ19" s="1073">
        <f t="shared" si="20"/>
        <v>9</v>
      </c>
      <c r="AR19" s="1074">
        <f t="shared" si="20"/>
        <v>26</v>
      </c>
      <c r="AS19" s="1074">
        <f t="shared" si="20"/>
        <v>6</v>
      </c>
      <c r="AT19" s="1077">
        <f t="shared" si="20"/>
        <v>41</v>
      </c>
      <c r="AU19" s="1073">
        <f t="shared" si="20"/>
        <v>13</v>
      </c>
      <c r="AV19" s="1074">
        <f t="shared" si="20"/>
        <v>30</v>
      </c>
      <c r="AW19" s="1074">
        <f t="shared" si="20"/>
        <v>14</v>
      </c>
      <c r="AX19" s="1077">
        <f t="shared" si="4"/>
        <v>57</v>
      </c>
      <c r="AY19" s="1073">
        <f t="shared" si="21"/>
        <v>17</v>
      </c>
      <c r="AZ19" s="1074">
        <f t="shared" si="21"/>
        <v>40</v>
      </c>
      <c r="BA19" s="1074">
        <f t="shared" si="21"/>
        <v>24</v>
      </c>
      <c r="BB19" s="1077">
        <f t="shared" si="5"/>
        <v>81</v>
      </c>
      <c r="BC19" s="1073">
        <f t="shared" ref="BC19:BE20" si="25">SUM(BC7,BC11,BC15)</f>
        <v>29</v>
      </c>
      <c r="BD19" s="1074">
        <f t="shared" si="25"/>
        <v>20</v>
      </c>
      <c r="BE19" s="1074">
        <f t="shared" si="25"/>
        <v>28</v>
      </c>
      <c r="BF19" s="1077">
        <f>SUM(BC19:BE19)</f>
        <v>77</v>
      </c>
      <c r="BG19" s="1073">
        <f t="shared" si="22"/>
        <v>15</v>
      </c>
      <c r="BH19" s="1074">
        <f t="shared" si="22"/>
        <v>36</v>
      </c>
      <c r="BI19" s="1074">
        <f t="shared" si="22"/>
        <v>29</v>
      </c>
      <c r="BJ19" s="1077">
        <f>SUM(BG19:BI19)</f>
        <v>80</v>
      </c>
      <c r="BK19" s="1073">
        <f t="shared" si="23"/>
        <v>23</v>
      </c>
      <c r="BL19" s="1074">
        <f t="shared" si="23"/>
        <v>33</v>
      </c>
      <c r="BM19" s="1074">
        <f t="shared" si="23"/>
        <v>33</v>
      </c>
      <c r="BN19" s="1077">
        <f>SUM(BK19:BM19)</f>
        <v>89</v>
      </c>
      <c r="BO19" s="1073">
        <f>SUM(BO7,BO11,BO15)</f>
        <v>31</v>
      </c>
      <c r="BP19" s="1074">
        <f t="shared" ref="BP19:BQ19" si="26">SUM(BP7,BP11,BP15)</f>
        <v>26</v>
      </c>
      <c r="BQ19" s="1074">
        <f t="shared" si="26"/>
        <v>17</v>
      </c>
      <c r="BR19" s="1077">
        <f>SUM(BO19:BQ19)</f>
        <v>74</v>
      </c>
    </row>
    <row r="20" spans="1:70" ht="15" x14ac:dyDescent="0.2">
      <c r="A20" s="5550"/>
      <c r="B20" s="1078" t="s">
        <v>633</v>
      </c>
      <c r="C20" s="1349">
        <f>+C8+C12+C16</f>
        <v>0</v>
      </c>
      <c r="D20" s="1350">
        <f t="shared" si="15"/>
        <v>0</v>
      </c>
      <c r="E20" s="1350">
        <f t="shared" si="15"/>
        <v>0</v>
      </c>
      <c r="F20" s="1351">
        <f t="shared" si="0"/>
        <v>0</v>
      </c>
      <c r="G20" s="1349">
        <f t="shared" si="16"/>
        <v>0</v>
      </c>
      <c r="H20" s="1350">
        <f t="shared" si="16"/>
        <v>0</v>
      </c>
      <c r="I20" s="1350">
        <f t="shared" si="16"/>
        <v>0</v>
      </c>
      <c r="J20" s="1351">
        <f t="shared" si="1"/>
        <v>0</v>
      </c>
      <c r="K20" s="1349">
        <f t="shared" si="17"/>
        <v>1</v>
      </c>
      <c r="L20" s="1350">
        <f t="shared" si="17"/>
        <v>6</v>
      </c>
      <c r="M20" s="1350">
        <f t="shared" si="17"/>
        <v>4</v>
      </c>
      <c r="N20" s="1351">
        <f t="shared" si="2"/>
        <v>11</v>
      </c>
      <c r="O20" s="1349">
        <f t="shared" si="18"/>
        <v>0</v>
      </c>
      <c r="P20" s="1350">
        <f t="shared" si="18"/>
        <v>0</v>
      </c>
      <c r="Q20" s="1350">
        <f t="shared" si="18"/>
        <v>1</v>
      </c>
      <c r="R20" s="1351">
        <f t="shared" si="3"/>
        <v>1</v>
      </c>
      <c r="S20" s="1349">
        <f t="shared" si="19"/>
        <v>1</v>
      </c>
      <c r="T20" s="1350">
        <f t="shared" si="19"/>
        <v>1</v>
      </c>
      <c r="U20" s="1350">
        <f t="shared" si="19"/>
        <v>0</v>
      </c>
      <c r="V20" s="1351">
        <f t="shared" si="19"/>
        <v>2</v>
      </c>
      <c r="W20" s="1350">
        <f t="shared" si="19"/>
        <v>1</v>
      </c>
      <c r="X20" s="1350">
        <f t="shared" si="19"/>
        <v>2</v>
      </c>
      <c r="Y20" s="1350">
        <f t="shared" si="19"/>
        <v>3</v>
      </c>
      <c r="Z20" s="1352">
        <f t="shared" si="19"/>
        <v>6</v>
      </c>
      <c r="AA20" s="1349">
        <f t="shared" si="19"/>
        <v>1</v>
      </c>
      <c r="AB20" s="1350">
        <f t="shared" si="19"/>
        <v>11</v>
      </c>
      <c r="AC20" s="1350">
        <f t="shared" si="19"/>
        <v>4</v>
      </c>
      <c r="AD20" s="1351">
        <f t="shared" si="19"/>
        <v>16</v>
      </c>
      <c r="AE20" s="1350">
        <f t="shared" si="19"/>
        <v>3</v>
      </c>
      <c r="AF20" s="1350">
        <f t="shared" si="19"/>
        <v>3</v>
      </c>
      <c r="AG20" s="1350">
        <f t="shared" si="19"/>
        <v>6</v>
      </c>
      <c r="AH20" s="1351">
        <f t="shared" si="19"/>
        <v>12</v>
      </c>
      <c r="AI20" s="1350">
        <f t="shared" si="19"/>
        <v>0</v>
      </c>
      <c r="AJ20" s="1350">
        <f t="shared" si="19"/>
        <v>1</v>
      </c>
      <c r="AK20" s="1350">
        <f t="shared" si="19"/>
        <v>2</v>
      </c>
      <c r="AL20" s="1352">
        <f t="shared" si="19"/>
        <v>3</v>
      </c>
      <c r="AM20" s="1079">
        <v>3</v>
      </c>
      <c r="AN20" s="1080">
        <v>1</v>
      </c>
      <c r="AO20" s="1080">
        <v>0</v>
      </c>
      <c r="AP20" s="1080">
        <v>4</v>
      </c>
      <c r="AQ20" s="1079">
        <f t="shared" si="20"/>
        <v>1</v>
      </c>
      <c r="AR20" s="1080">
        <f t="shared" si="20"/>
        <v>3</v>
      </c>
      <c r="AS20" s="1080">
        <f t="shared" si="20"/>
        <v>4</v>
      </c>
      <c r="AT20" s="1083">
        <f t="shared" si="20"/>
        <v>8</v>
      </c>
      <c r="AU20" s="1079">
        <f t="shared" si="20"/>
        <v>2</v>
      </c>
      <c r="AV20" s="1080">
        <f t="shared" si="20"/>
        <v>5</v>
      </c>
      <c r="AW20" s="1080">
        <f t="shared" si="20"/>
        <v>7</v>
      </c>
      <c r="AX20" s="1083">
        <f t="shared" si="4"/>
        <v>14</v>
      </c>
      <c r="AY20" s="1079">
        <f t="shared" si="21"/>
        <v>5</v>
      </c>
      <c r="AZ20" s="1080">
        <f t="shared" si="21"/>
        <v>14</v>
      </c>
      <c r="BA20" s="1080">
        <f t="shared" si="21"/>
        <v>5</v>
      </c>
      <c r="BB20" s="1083">
        <f t="shared" si="5"/>
        <v>24</v>
      </c>
      <c r="BC20" s="1079">
        <f t="shared" si="25"/>
        <v>4</v>
      </c>
      <c r="BD20" s="1080">
        <f t="shared" si="25"/>
        <v>4</v>
      </c>
      <c r="BE20" s="1080">
        <f t="shared" si="25"/>
        <v>6</v>
      </c>
      <c r="BF20" s="1083">
        <f>SUM(BC20:BE20)</f>
        <v>14</v>
      </c>
      <c r="BG20" s="1079">
        <f t="shared" si="22"/>
        <v>6</v>
      </c>
      <c r="BH20" s="1080">
        <f t="shared" si="22"/>
        <v>12</v>
      </c>
      <c r="BI20" s="1080">
        <f t="shared" si="22"/>
        <v>12</v>
      </c>
      <c r="BJ20" s="1083">
        <f>SUM(BG20:BI20)</f>
        <v>30</v>
      </c>
      <c r="BK20" s="1079">
        <f t="shared" si="23"/>
        <v>11</v>
      </c>
      <c r="BL20" s="1080">
        <f t="shared" si="23"/>
        <v>8</v>
      </c>
      <c r="BM20" s="1080">
        <f t="shared" si="23"/>
        <v>7</v>
      </c>
      <c r="BN20" s="1083">
        <f>SUM(BK20:BM20)</f>
        <v>26</v>
      </c>
      <c r="BO20" s="1079">
        <f t="shared" ref="BO20:BQ20" si="27">SUM(BO8,BO12,BO16)</f>
        <v>3</v>
      </c>
      <c r="BP20" s="1080">
        <f t="shared" si="27"/>
        <v>7</v>
      </c>
      <c r="BQ20" s="1080">
        <f t="shared" si="27"/>
        <v>6</v>
      </c>
      <c r="BR20" s="1083">
        <f>SUM(BO20:BQ20)</f>
        <v>16</v>
      </c>
    </row>
    <row r="21" spans="1:70" s="224" customFormat="1" ht="15" x14ac:dyDescent="0.2">
      <c r="A21" s="5551"/>
      <c r="B21" s="2669" t="s">
        <v>12</v>
      </c>
      <c r="C21" s="2655">
        <f>SUM(C18:C20)</f>
        <v>1</v>
      </c>
      <c r="D21" s="2656">
        <f>SUM(D18:D20)</f>
        <v>7</v>
      </c>
      <c r="E21" s="2656">
        <f>SUM(E18:E20)</f>
        <v>22</v>
      </c>
      <c r="F21" s="2657">
        <f t="shared" si="0"/>
        <v>30</v>
      </c>
      <c r="G21" s="2655">
        <f>SUM(G18:G20)</f>
        <v>1</v>
      </c>
      <c r="H21" s="2656">
        <f>SUM(H18:H20)</f>
        <v>4</v>
      </c>
      <c r="I21" s="2656">
        <f>SUM(I18:I20)</f>
        <v>14</v>
      </c>
      <c r="J21" s="2657">
        <f t="shared" si="1"/>
        <v>19</v>
      </c>
      <c r="K21" s="2655">
        <f>SUM(K18:K20)</f>
        <v>7</v>
      </c>
      <c r="L21" s="2656">
        <f>SUM(L18:L20)</f>
        <v>29</v>
      </c>
      <c r="M21" s="2656">
        <f>SUM(M18:M20)</f>
        <v>20</v>
      </c>
      <c r="N21" s="2657">
        <f t="shared" si="2"/>
        <v>56</v>
      </c>
      <c r="O21" s="2655">
        <f>SUM(O18:O20)</f>
        <v>14</v>
      </c>
      <c r="P21" s="2656">
        <f>SUM(P18:P20)</f>
        <v>204</v>
      </c>
      <c r="Q21" s="2656">
        <f>SUM(Q18:Q20)</f>
        <v>52</v>
      </c>
      <c r="R21" s="2657">
        <f t="shared" si="3"/>
        <v>270</v>
      </c>
      <c r="S21" s="2655">
        <f>SUM(S18:S20)</f>
        <v>21</v>
      </c>
      <c r="T21" s="2656">
        <f>SUM(T18:T20)</f>
        <v>30</v>
      </c>
      <c r="U21" s="2656">
        <f>SUM(U18:U20)</f>
        <v>18</v>
      </c>
      <c r="V21" s="2657">
        <f>SUM(V18:V20)</f>
        <v>69</v>
      </c>
      <c r="W21" s="2656">
        <f t="shared" ref="W21:AL21" si="28">SUM(W18:W20)</f>
        <v>21</v>
      </c>
      <c r="X21" s="2656">
        <f t="shared" si="28"/>
        <v>37</v>
      </c>
      <c r="Y21" s="2656">
        <f t="shared" si="28"/>
        <v>26</v>
      </c>
      <c r="Z21" s="2656">
        <f t="shared" si="28"/>
        <v>84</v>
      </c>
      <c r="AA21" s="2655">
        <f t="shared" si="28"/>
        <v>23</v>
      </c>
      <c r="AB21" s="2656">
        <f t="shared" si="28"/>
        <v>54</v>
      </c>
      <c r="AC21" s="2656">
        <f t="shared" si="28"/>
        <v>26</v>
      </c>
      <c r="AD21" s="2657">
        <f t="shared" si="28"/>
        <v>103</v>
      </c>
      <c r="AE21" s="2656">
        <f t="shared" si="28"/>
        <v>18</v>
      </c>
      <c r="AF21" s="2656">
        <f t="shared" si="28"/>
        <v>53</v>
      </c>
      <c r="AG21" s="2656">
        <f t="shared" si="28"/>
        <v>36</v>
      </c>
      <c r="AH21" s="2657">
        <f t="shared" si="28"/>
        <v>107</v>
      </c>
      <c r="AI21" s="2656">
        <f t="shared" si="28"/>
        <v>26</v>
      </c>
      <c r="AJ21" s="2656">
        <f t="shared" si="28"/>
        <v>47</v>
      </c>
      <c r="AK21" s="2656">
        <f t="shared" si="28"/>
        <v>24</v>
      </c>
      <c r="AL21" s="2656">
        <f t="shared" si="28"/>
        <v>97</v>
      </c>
      <c r="AM21" s="2612">
        <v>20</v>
      </c>
      <c r="AN21" s="2613">
        <v>36</v>
      </c>
      <c r="AO21" s="2613">
        <v>28</v>
      </c>
      <c r="AP21" s="2613">
        <v>84</v>
      </c>
      <c r="AQ21" s="2612">
        <f t="shared" ref="AQ21:AW21" si="29">SUM(AQ18:AQ20)</f>
        <v>21</v>
      </c>
      <c r="AR21" s="2613">
        <f t="shared" si="29"/>
        <v>42</v>
      </c>
      <c r="AS21" s="2613">
        <f t="shared" si="29"/>
        <v>58</v>
      </c>
      <c r="AT21" s="2614">
        <f t="shared" si="29"/>
        <v>121</v>
      </c>
      <c r="AU21" s="2612">
        <f t="shared" si="29"/>
        <v>16</v>
      </c>
      <c r="AV21" s="2613">
        <f t="shared" si="29"/>
        <v>43</v>
      </c>
      <c r="AW21" s="2613">
        <f t="shared" si="29"/>
        <v>45</v>
      </c>
      <c r="AX21" s="2614">
        <f t="shared" si="4"/>
        <v>104</v>
      </c>
      <c r="AY21" s="2612">
        <f>SUM(AY18:AY20)</f>
        <v>23</v>
      </c>
      <c r="AZ21" s="2613">
        <f>SUM(AZ18:AZ20)</f>
        <v>73</v>
      </c>
      <c r="BA21" s="2613">
        <f>SUM(BA18:BA20)</f>
        <v>62</v>
      </c>
      <c r="BB21" s="2614">
        <f t="shared" si="5"/>
        <v>158</v>
      </c>
      <c r="BC21" s="2612">
        <f t="shared" ref="BC21:BJ21" si="30">SUM(BC18:BC20)</f>
        <v>34</v>
      </c>
      <c r="BD21" s="2613">
        <f t="shared" si="30"/>
        <v>52</v>
      </c>
      <c r="BE21" s="2613">
        <f t="shared" si="30"/>
        <v>35</v>
      </c>
      <c r="BF21" s="2614">
        <f t="shared" si="30"/>
        <v>121</v>
      </c>
      <c r="BG21" s="2612">
        <f t="shared" si="30"/>
        <v>21</v>
      </c>
      <c r="BH21" s="2613">
        <f t="shared" si="30"/>
        <v>62</v>
      </c>
      <c r="BI21" s="2613">
        <f t="shared" si="30"/>
        <v>71</v>
      </c>
      <c r="BJ21" s="2614">
        <f t="shared" si="30"/>
        <v>154</v>
      </c>
      <c r="BK21" s="2612">
        <f t="shared" ref="BK21:BR21" si="31">SUM(BK18:BK20)</f>
        <v>34</v>
      </c>
      <c r="BL21" s="2613">
        <f t="shared" si="31"/>
        <v>58</v>
      </c>
      <c r="BM21" s="2613">
        <f t="shared" si="31"/>
        <v>46</v>
      </c>
      <c r="BN21" s="2614">
        <f t="shared" si="31"/>
        <v>138</v>
      </c>
      <c r="BO21" s="2612">
        <f t="shared" si="31"/>
        <v>35</v>
      </c>
      <c r="BP21" s="2613">
        <f t="shared" si="31"/>
        <v>44</v>
      </c>
      <c r="BQ21" s="2613">
        <f t="shared" si="31"/>
        <v>26</v>
      </c>
      <c r="BR21" s="2614">
        <f t="shared" si="31"/>
        <v>105</v>
      </c>
    </row>
    <row r="22" spans="1:70" ht="15" x14ac:dyDescent="0.2">
      <c r="A22" s="263"/>
      <c r="B22" s="936"/>
      <c r="C22" s="779"/>
      <c r="D22" s="779"/>
      <c r="E22" s="779"/>
      <c r="F22" s="779"/>
      <c r="G22" s="779"/>
      <c r="H22" s="779"/>
      <c r="I22" s="779"/>
      <c r="J22" s="779"/>
      <c r="K22" s="779"/>
      <c r="L22" s="779"/>
      <c r="M22" s="779"/>
      <c r="N22" s="779"/>
      <c r="O22" s="779"/>
      <c r="P22" s="779"/>
      <c r="Q22" s="779"/>
      <c r="R22" s="779"/>
      <c r="S22" s="779"/>
      <c r="T22" s="779"/>
      <c r="U22" s="779"/>
      <c r="V22" s="779"/>
      <c r="W22" s="779"/>
      <c r="X22" s="779"/>
      <c r="Y22" s="779"/>
      <c r="Z22" s="779"/>
      <c r="AA22" s="779"/>
      <c r="AB22" s="779"/>
      <c r="AC22" s="779"/>
      <c r="AD22" s="779"/>
      <c r="AE22" s="779"/>
      <c r="AF22" s="779"/>
      <c r="AG22" s="779"/>
      <c r="AH22" s="779"/>
      <c r="AI22" s="779"/>
      <c r="AJ22" s="779"/>
      <c r="AK22" s="779"/>
      <c r="AL22" s="779"/>
      <c r="AM22" s="779"/>
      <c r="AN22" s="779"/>
      <c r="AO22" s="779"/>
      <c r="AP22" s="779"/>
      <c r="AQ22" s="779"/>
      <c r="AR22" s="779"/>
      <c r="AS22" s="779"/>
      <c r="AT22" s="779"/>
      <c r="AU22" s="779"/>
      <c r="AV22" s="779"/>
      <c r="AW22" s="779"/>
      <c r="AX22" s="779"/>
      <c r="AY22" s="779"/>
      <c r="AZ22" s="779"/>
      <c r="BA22" s="779"/>
      <c r="BB22" s="779"/>
      <c r="BC22" s="779"/>
      <c r="BD22" s="779"/>
      <c r="BE22" s="779"/>
      <c r="BF22" s="779"/>
      <c r="BG22" s="779"/>
      <c r="BH22" s="779"/>
      <c r="BI22" s="779"/>
      <c r="BJ22" s="779"/>
      <c r="BK22" s="779"/>
      <c r="BL22" s="779"/>
      <c r="BM22" s="779"/>
      <c r="BN22" s="779"/>
      <c r="BO22" s="779"/>
      <c r="BP22" s="779"/>
      <c r="BQ22" s="779"/>
      <c r="BR22" s="779"/>
    </row>
    <row r="23" spans="1:70" ht="15" x14ac:dyDescent="0.2">
      <c r="A23" s="5473" t="s">
        <v>5</v>
      </c>
      <c r="B23" s="1067" t="s">
        <v>631</v>
      </c>
      <c r="C23" s="1334"/>
      <c r="D23" s="1335"/>
      <c r="E23" s="1335"/>
      <c r="F23" s="1336"/>
      <c r="G23" s="1334"/>
      <c r="H23" s="1335"/>
      <c r="I23" s="1335"/>
      <c r="J23" s="1336"/>
      <c r="K23" s="1334"/>
      <c r="L23" s="1335"/>
      <c r="M23" s="1335"/>
      <c r="N23" s="1336"/>
      <c r="O23" s="1334"/>
      <c r="P23" s="1335"/>
      <c r="Q23" s="1335"/>
      <c r="R23" s="1336"/>
      <c r="S23" s="1334"/>
      <c r="T23" s="1335"/>
      <c r="U23" s="1335"/>
      <c r="V23" s="1336"/>
      <c r="W23" s="1334"/>
      <c r="X23" s="1335"/>
      <c r="Y23" s="1335"/>
      <c r="Z23" s="1337"/>
      <c r="AA23" s="1334"/>
      <c r="AB23" s="1335"/>
      <c r="AC23" s="1335"/>
      <c r="AD23" s="1336"/>
      <c r="AE23" s="1335"/>
      <c r="AF23" s="1335"/>
      <c r="AG23" s="1335"/>
      <c r="AH23" s="1336"/>
      <c r="AI23" s="1335"/>
      <c r="AJ23" s="1335"/>
      <c r="AK23" s="1335"/>
      <c r="AL23" s="1337"/>
      <c r="AM23" s="1068"/>
      <c r="AN23" s="1069"/>
      <c r="AO23" s="1069"/>
      <c r="AP23" s="1086"/>
      <c r="AQ23" s="1068"/>
      <c r="AR23" s="1069"/>
      <c r="AS23" s="1069"/>
      <c r="AT23" s="1086"/>
      <c r="AU23" s="1068"/>
      <c r="AV23" s="1069"/>
      <c r="AW23" s="1069"/>
      <c r="AX23" s="1086"/>
      <c r="AY23" s="1068"/>
      <c r="AZ23" s="1069"/>
      <c r="BA23" s="1069"/>
      <c r="BB23" s="1086"/>
      <c r="BC23" s="1068"/>
      <c r="BD23" s="1069"/>
      <c r="BE23" s="1069"/>
      <c r="BF23" s="1086"/>
      <c r="BG23" s="1068"/>
      <c r="BH23" s="1069"/>
      <c r="BI23" s="1069"/>
      <c r="BJ23" s="1086"/>
      <c r="BK23" s="1068"/>
      <c r="BL23" s="1069"/>
      <c r="BM23" s="1069"/>
      <c r="BN23" s="1086"/>
      <c r="BO23" s="1068"/>
      <c r="BP23" s="1069"/>
      <c r="BQ23" s="1069"/>
      <c r="BR23" s="1086"/>
    </row>
    <row r="24" spans="1:70" ht="15" x14ac:dyDescent="0.2">
      <c r="A24" s="5474"/>
      <c r="B24" s="1072" t="s">
        <v>632</v>
      </c>
      <c r="C24" s="1338">
        <f>+'EGRESO-POS plan'!E39+'EGRESO-POS plan'!E40+'EGRESO-POS plan'!E41+'EGRESO-POS plan'!E42+'EGRESO-POS plan'!E43+'EGRESO-POS plan'!E44</f>
        <v>5</v>
      </c>
      <c r="D24" s="1339">
        <f>+'EGRESO-POS plan'!F39+'EGRESO-POS plan'!F40+'EGRESO-POS plan'!F41+'EGRESO-POS plan'!F42+'EGRESO-POS plan'!F43+'EGRESO-POS plan'!F44</f>
        <v>20</v>
      </c>
      <c r="E24" s="1339">
        <f>+'EGRESO-POS plan'!G39+'EGRESO-POS plan'!G40+'EGRESO-POS plan'!G41+'EGRESO-POS plan'!G42+'EGRESO-POS plan'!G43+'EGRESO-POS plan'!G44</f>
        <v>10</v>
      </c>
      <c r="F24" s="1340">
        <f t="shared" ref="F24:F38" si="32">SUM(C24:E24)</f>
        <v>35</v>
      </c>
      <c r="G24" s="1338">
        <f>+'EGRESO-POS plan'!I39+'EGRESO-POS plan'!I40+'EGRESO-POS plan'!I41+'EGRESO-POS plan'!I42+'EGRESO-POS plan'!I43+'EGRESO-POS plan'!I44</f>
        <v>6</v>
      </c>
      <c r="H24" s="1339">
        <f>+'EGRESO-POS plan'!J39+'EGRESO-POS plan'!J40+'EGRESO-POS plan'!J41+'EGRESO-POS plan'!J42+'EGRESO-POS plan'!J43+'EGRESO-POS plan'!J44</f>
        <v>13</v>
      </c>
      <c r="I24" s="1339">
        <f>+'EGRESO-POS plan'!K39+'EGRESO-POS plan'!K40+'EGRESO-POS plan'!K41+'EGRESO-POS plan'!K42+'EGRESO-POS plan'!K43+'EGRESO-POS plan'!K44</f>
        <v>13</v>
      </c>
      <c r="J24" s="1340">
        <f t="shared" ref="J24:J38" si="33">SUM(G24:I24)</f>
        <v>32</v>
      </c>
      <c r="K24" s="1338">
        <f>+'EGRESO-POS plan'!M39+'EGRESO-POS plan'!M40+'EGRESO-POS plan'!M41+'EGRESO-POS plan'!M42+'EGRESO-POS plan'!M43+'EGRESO-POS plan'!M44</f>
        <v>4</v>
      </c>
      <c r="L24" s="1339">
        <f>+'EGRESO-POS plan'!N39+'EGRESO-POS plan'!N40+'EGRESO-POS plan'!N41+'EGRESO-POS plan'!N42+'EGRESO-POS plan'!N43+'EGRESO-POS plan'!N44</f>
        <v>23</v>
      </c>
      <c r="M24" s="1339">
        <f>+'EGRESO-POS plan'!O39+'EGRESO-POS plan'!O40+'EGRESO-POS plan'!O41+'EGRESO-POS plan'!O42+'EGRESO-POS plan'!O43+'EGRESO-POS plan'!O44</f>
        <v>11</v>
      </c>
      <c r="N24" s="1340">
        <f t="shared" ref="N24:N38" si="34">SUM(K24:M24)</f>
        <v>38</v>
      </c>
      <c r="O24" s="1338">
        <f>+'EGRESO-POS plan'!Q39+'EGRESO-POS plan'!Q40+'EGRESO-POS plan'!Q41+'EGRESO-POS plan'!Q42+'EGRESO-POS plan'!Q43+'EGRESO-POS plan'!Q44</f>
        <v>9</v>
      </c>
      <c r="P24" s="1339">
        <f>+'EGRESO-POS plan'!R39+'EGRESO-POS plan'!R40+'EGRESO-POS plan'!R41+'EGRESO-POS plan'!R42+'EGRESO-POS plan'!R43+'EGRESO-POS plan'!R44</f>
        <v>12</v>
      </c>
      <c r="Q24" s="1339">
        <f>+'EGRESO-POS plan'!S39+'EGRESO-POS plan'!S40+'EGRESO-POS plan'!S41+'EGRESO-POS plan'!S42+'EGRESO-POS plan'!S43+'EGRESO-POS plan'!S44</f>
        <v>5</v>
      </c>
      <c r="R24" s="1340">
        <f t="shared" ref="R24:R38" si="35">SUM(O24:Q24)</f>
        <v>26</v>
      </c>
      <c r="S24" s="1338">
        <v>7</v>
      </c>
      <c r="T24" s="1339">
        <v>10</v>
      </c>
      <c r="U24" s="1339">
        <v>8</v>
      </c>
      <c r="V24" s="1340">
        <v>25</v>
      </c>
      <c r="W24" s="1338">
        <v>6</v>
      </c>
      <c r="X24" s="1339">
        <v>10</v>
      </c>
      <c r="Y24" s="1339">
        <v>7</v>
      </c>
      <c r="Z24" s="1341">
        <v>23</v>
      </c>
      <c r="AA24" s="1338">
        <v>11</v>
      </c>
      <c r="AB24" s="1339">
        <v>7</v>
      </c>
      <c r="AC24" s="1339">
        <v>5</v>
      </c>
      <c r="AD24" s="1340">
        <v>23</v>
      </c>
      <c r="AE24" s="1339">
        <v>9</v>
      </c>
      <c r="AF24" s="1339">
        <v>5</v>
      </c>
      <c r="AG24" s="1339">
        <v>14</v>
      </c>
      <c r="AH24" s="1340">
        <v>28</v>
      </c>
      <c r="AI24" s="1339">
        <v>5</v>
      </c>
      <c r="AJ24" s="1339">
        <v>17</v>
      </c>
      <c r="AK24" s="1339">
        <v>10</v>
      </c>
      <c r="AL24" s="1341">
        <v>32</v>
      </c>
      <c r="AM24" s="1073">
        <v>9</v>
      </c>
      <c r="AN24" s="1074">
        <v>11</v>
      </c>
      <c r="AO24" s="1074">
        <v>9</v>
      </c>
      <c r="AP24" s="1077">
        <v>29</v>
      </c>
      <c r="AQ24" s="1073">
        <v>17</v>
      </c>
      <c r="AR24" s="1074">
        <v>20</v>
      </c>
      <c r="AS24" s="1074">
        <v>16</v>
      </c>
      <c r="AT24" s="1077">
        <v>53</v>
      </c>
      <c r="AU24" s="1073">
        <v>18</v>
      </c>
      <c r="AV24" s="1074">
        <v>25</v>
      </c>
      <c r="AW24" s="1074">
        <v>14</v>
      </c>
      <c r="AX24" s="1077">
        <f t="shared" ref="AX24:AX38" si="36">AU24+AV24+AW24</f>
        <v>57</v>
      </c>
      <c r="AY24" s="1073">
        <v>17</v>
      </c>
      <c r="AZ24" s="1074">
        <v>12</v>
      </c>
      <c r="BA24" s="1074">
        <v>20</v>
      </c>
      <c r="BB24" s="1077">
        <f t="shared" ref="BB24:BB38" si="37">AY24+AZ24+BA24</f>
        <v>49</v>
      </c>
      <c r="BC24" s="1073">
        <f>SUM('EGRESO-POS plan'!BE39,'EGRESO-POS plan'!BE40,'EGRESO-POS plan'!BE41,'EGRESO-POS plan'!BE42,'EGRESO-POS plan'!BE43,'EGRESO-POS plan'!BE44)</f>
        <v>13</v>
      </c>
      <c r="BD24" s="1074">
        <f>SUM('EGRESO-POS plan'!BF39,'EGRESO-POS plan'!BF40,'EGRESO-POS plan'!BF41,'EGRESO-POS plan'!BF42,'EGRESO-POS plan'!BF43,'EGRESO-POS plan'!BF44)</f>
        <v>15</v>
      </c>
      <c r="BE24" s="1074">
        <f>SUM('EGRESO-POS plan'!BG39,'EGRESO-POS plan'!BG40,'EGRESO-POS plan'!BG41,'EGRESO-POS plan'!BG42,'EGRESO-POS plan'!BG43,'EGRESO-POS plan'!BG44)</f>
        <v>21</v>
      </c>
      <c r="BF24" s="1077">
        <f>SUM(BC24:BE24)</f>
        <v>49</v>
      </c>
      <c r="BG24" s="1073">
        <f>SUM('EGRESO-POS plan'!BI39,'EGRESO-POS plan'!BI40,'EGRESO-POS plan'!BI41,'EGRESO-POS plan'!BI42,'EGRESO-POS plan'!BI43,'EGRESO-POS plan'!BI44)</f>
        <v>21</v>
      </c>
      <c r="BH24" s="1074">
        <f>SUM('EGRESO-POS plan'!BJ39,'EGRESO-POS plan'!BJ40,'EGRESO-POS plan'!BJ41,'EGRESO-POS plan'!BJ42,'EGRESO-POS plan'!BJ43,'EGRESO-POS plan'!BJ44)</f>
        <v>26</v>
      </c>
      <c r="BI24" s="1074">
        <f>SUM('EGRESO-POS plan'!BK39,'EGRESO-POS plan'!BK40,'EGRESO-POS plan'!BK41,'EGRESO-POS plan'!BK42,'EGRESO-POS plan'!BK43,'EGRESO-POS plan'!BK44)</f>
        <v>17</v>
      </c>
      <c r="BJ24" s="1077">
        <f>SUM(BG24:BI24)</f>
        <v>64</v>
      </c>
      <c r="BK24" s="1073">
        <f>SUM('EGRESO-POS plan'!BM39,'EGRESO-POS plan'!BM40,'EGRESO-POS plan'!BM41,'EGRESO-POS plan'!BM42,'EGRESO-POS plan'!BM43,'EGRESO-POS plan'!BM44)</f>
        <v>28</v>
      </c>
      <c r="BL24" s="1074">
        <f>SUM('EGRESO-POS plan'!BN39,'EGRESO-POS plan'!BN40,'EGRESO-POS plan'!BN41,'EGRESO-POS plan'!BN42,'EGRESO-POS plan'!BN43,'EGRESO-POS plan'!BN44)</f>
        <v>24</v>
      </c>
      <c r="BM24" s="1074">
        <f>SUM('EGRESO-POS plan'!BO39,'EGRESO-POS plan'!BO40,'EGRESO-POS plan'!BO41,'EGRESO-POS plan'!BO42,'EGRESO-POS plan'!BO43,'EGRESO-POS plan'!BO44)</f>
        <v>20</v>
      </c>
      <c r="BN24" s="1077">
        <f>SUM(BK24:BM24)</f>
        <v>72</v>
      </c>
      <c r="BO24" s="1073">
        <f>SUM('EGRESO-POS plan'!BQ39:BQ45)</f>
        <v>16</v>
      </c>
      <c r="BP24" s="1074">
        <f>SUM('EGRESO-POS plan'!BR39:BR45)</f>
        <v>24</v>
      </c>
      <c r="BQ24" s="1074">
        <f>SUM('EGRESO-POS plan'!BS39:BS45)</f>
        <v>19</v>
      </c>
      <c r="BR24" s="1077">
        <f>SUM(BO24:BQ24)</f>
        <v>59</v>
      </c>
    </row>
    <row r="25" spans="1:70" ht="15" x14ac:dyDescent="0.2">
      <c r="A25" s="5474"/>
      <c r="B25" s="1078" t="s">
        <v>633</v>
      </c>
      <c r="C25" s="1338">
        <f>+'EGRESO-POS plan'!E46+'EGRESO-POS plan'!E47+'EGRESO-POS plan'!E48+'EGRESO-POS plan'!E49+'EGRESO-POS plan'!E50+'EGRESO-POS plan'!E51</f>
        <v>4</v>
      </c>
      <c r="D25" s="1339">
        <f>+'EGRESO-POS plan'!F46+'EGRESO-POS plan'!F47+'EGRESO-POS plan'!F48+'EGRESO-POS plan'!F49+'EGRESO-POS plan'!F50+'EGRESO-POS plan'!F51</f>
        <v>7</v>
      </c>
      <c r="E25" s="1339">
        <f>+'EGRESO-POS plan'!G46+'EGRESO-POS plan'!G47+'EGRESO-POS plan'!G48+'EGRESO-POS plan'!G49+'EGRESO-POS plan'!G50+'EGRESO-POS plan'!G51</f>
        <v>13</v>
      </c>
      <c r="F25" s="1340">
        <f t="shared" si="32"/>
        <v>24</v>
      </c>
      <c r="G25" s="1338">
        <f>+'EGRESO-POS plan'!I46+'EGRESO-POS plan'!I47+'EGRESO-POS plan'!I48+'EGRESO-POS plan'!I49+'EGRESO-POS plan'!I50+'EGRESO-POS plan'!I51</f>
        <v>4</v>
      </c>
      <c r="H25" s="1339">
        <f>+'EGRESO-POS plan'!J46+'EGRESO-POS plan'!J47+'EGRESO-POS plan'!J48+'EGRESO-POS plan'!J49+'EGRESO-POS plan'!J50+'EGRESO-POS plan'!J51</f>
        <v>7</v>
      </c>
      <c r="I25" s="1339">
        <f>+'EGRESO-POS plan'!K46+'EGRESO-POS plan'!K47+'EGRESO-POS plan'!K48+'EGRESO-POS plan'!K49+'EGRESO-POS plan'!K50+'EGRESO-POS plan'!K51</f>
        <v>8</v>
      </c>
      <c r="J25" s="1340">
        <f t="shared" si="33"/>
        <v>19</v>
      </c>
      <c r="K25" s="1338">
        <f>+'EGRESO-POS plan'!M46+'EGRESO-POS plan'!M47+'EGRESO-POS plan'!M48+'EGRESO-POS plan'!M49+'EGRESO-POS plan'!M50+'EGRESO-POS plan'!M51</f>
        <v>10</v>
      </c>
      <c r="L25" s="1339">
        <f>+'EGRESO-POS plan'!N46+'EGRESO-POS plan'!N47+'EGRESO-POS plan'!N48+'EGRESO-POS plan'!N49+'EGRESO-POS plan'!N50+'EGRESO-POS plan'!N51</f>
        <v>15</v>
      </c>
      <c r="M25" s="1339">
        <f>+'EGRESO-POS plan'!O46+'EGRESO-POS plan'!O47+'EGRESO-POS plan'!O48+'EGRESO-POS plan'!O49+'EGRESO-POS plan'!O50+'EGRESO-POS plan'!O51</f>
        <v>1</v>
      </c>
      <c r="N25" s="1340">
        <f t="shared" si="34"/>
        <v>26</v>
      </c>
      <c r="O25" s="1338">
        <f>+'EGRESO-POS plan'!Q46+'EGRESO-POS plan'!Q47+'EGRESO-POS plan'!Q48+'EGRESO-POS plan'!Q49+'EGRESO-POS plan'!Q50+'EGRESO-POS plan'!Q51</f>
        <v>6</v>
      </c>
      <c r="P25" s="1339">
        <f>+'EGRESO-POS plan'!R46+'EGRESO-POS plan'!R47+'EGRESO-POS plan'!R48+'EGRESO-POS plan'!R49+'EGRESO-POS plan'!R50+'EGRESO-POS plan'!R51</f>
        <v>10</v>
      </c>
      <c r="Q25" s="1339">
        <f>+'EGRESO-POS plan'!S46+'EGRESO-POS plan'!S47+'EGRESO-POS plan'!S48+'EGRESO-POS plan'!S49+'EGRESO-POS plan'!S50+'EGRESO-POS plan'!S51</f>
        <v>10</v>
      </c>
      <c r="R25" s="1340">
        <f t="shared" si="35"/>
        <v>26</v>
      </c>
      <c r="S25" s="1338">
        <v>7</v>
      </c>
      <c r="T25" s="1339">
        <v>12</v>
      </c>
      <c r="U25" s="1339">
        <v>8</v>
      </c>
      <c r="V25" s="1340">
        <v>27</v>
      </c>
      <c r="W25" s="1338">
        <v>9</v>
      </c>
      <c r="X25" s="1339">
        <v>9</v>
      </c>
      <c r="Y25" s="1339">
        <v>15</v>
      </c>
      <c r="Z25" s="1341">
        <v>33</v>
      </c>
      <c r="AA25" s="1338">
        <v>6</v>
      </c>
      <c r="AB25" s="1339">
        <v>9</v>
      </c>
      <c r="AC25" s="1339">
        <v>2</v>
      </c>
      <c r="AD25" s="1340">
        <v>17</v>
      </c>
      <c r="AE25" s="1339">
        <v>3</v>
      </c>
      <c r="AF25" s="1339">
        <v>2</v>
      </c>
      <c r="AG25" s="1339">
        <v>17</v>
      </c>
      <c r="AH25" s="1340">
        <v>22</v>
      </c>
      <c r="AI25" s="1339">
        <v>4</v>
      </c>
      <c r="AJ25" s="1339">
        <v>11</v>
      </c>
      <c r="AK25" s="1339">
        <v>11</v>
      </c>
      <c r="AL25" s="1341">
        <v>26</v>
      </c>
      <c r="AM25" s="1073">
        <v>11</v>
      </c>
      <c r="AN25" s="1074">
        <v>6</v>
      </c>
      <c r="AO25" s="1074">
        <v>12</v>
      </c>
      <c r="AP25" s="1077">
        <v>29</v>
      </c>
      <c r="AQ25" s="1073">
        <v>6</v>
      </c>
      <c r="AR25" s="1074">
        <v>11</v>
      </c>
      <c r="AS25" s="1074">
        <v>8</v>
      </c>
      <c r="AT25" s="1077">
        <v>25</v>
      </c>
      <c r="AU25" s="1073">
        <v>12</v>
      </c>
      <c r="AV25" s="1074">
        <v>13</v>
      </c>
      <c r="AW25" s="1074">
        <v>11</v>
      </c>
      <c r="AX25" s="1077">
        <f t="shared" si="36"/>
        <v>36</v>
      </c>
      <c r="AY25" s="1073">
        <v>5</v>
      </c>
      <c r="AZ25" s="1074">
        <v>10</v>
      </c>
      <c r="BA25" s="1074">
        <v>8</v>
      </c>
      <c r="BB25" s="1077">
        <f t="shared" si="37"/>
        <v>23</v>
      </c>
      <c r="BC25" s="1073">
        <f>SUM('EGRESO-POS plan'!BE46,'EGRESO-POS plan'!BE47,'EGRESO-POS plan'!BE48,'EGRESO-POS plan'!BE49,'EGRESO-POS plan'!BE50,'EGRESO-POS plan'!BE51)</f>
        <v>3</v>
      </c>
      <c r="BD25" s="1074">
        <f>SUM('EGRESO-POS plan'!BF46,'EGRESO-POS plan'!BF47,'EGRESO-POS plan'!BF48,'EGRESO-POS plan'!BF49,'EGRESO-POS plan'!BF50,'EGRESO-POS plan'!BF51)</f>
        <v>10</v>
      </c>
      <c r="BE25" s="1074">
        <f>SUM('EGRESO-POS plan'!BG46,'EGRESO-POS plan'!BG47,'EGRESO-POS plan'!BG48,'EGRESO-POS plan'!BG49,'EGRESO-POS plan'!BG50,'EGRESO-POS plan'!BG51)</f>
        <v>9</v>
      </c>
      <c r="BF25" s="1077">
        <f>SUM(BC25:BE25)</f>
        <v>22</v>
      </c>
      <c r="BG25" s="1073">
        <f>SUM('EGRESO-POS plan'!BI46,'EGRESO-POS plan'!BI47,'EGRESO-POS plan'!BI48,'EGRESO-POS plan'!BI49,'EGRESO-POS plan'!BI50,'EGRESO-POS plan'!BI51)</f>
        <v>8</v>
      </c>
      <c r="BH25" s="1074">
        <f>SUM('EGRESO-POS plan'!BJ46,'EGRESO-POS plan'!BJ47,'EGRESO-POS plan'!BJ48,'EGRESO-POS plan'!BJ49,'EGRESO-POS plan'!BJ50,'EGRESO-POS plan'!BJ51)</f>
        <v>6</v>
      </c>
      <c r="BI25" s="1074">
        <f>SUM('EGRESO-POS plan'!BK46,'EGRESO-POS plan'!BK47,'EGRESO-POS plan'!BK48,'EGRESO-POS plan'!BK49,'EGRESO-POS plan'!BK50,'EGRESO-POS plan'!BK51)</f>
        <v>10</v>
      </c>
      <c r="BJ25" s="1077">
        <f>SUM(BG25:BI25)</f>
        <v>24</v>
      </c>
      <c r="BK25" s="1073">
        <f>SUM('EGRESO-POS plan'!BM46,'EGRESO-POS plan'!BM47,'EGRESO-POS plan'!BM48,'EGRESO-POS plan'!BM49,'EGRESO-POS plan'!BM50,'EGRESO-POS plan'!BM51)</f>
        <v>8</v>
      </c>
      <c r="BL25" s="1074">
        <f>SUM('EGRESO-POS plan'!BN46,'EGRESO-POS plan'!BN47,'EGRESO-POS plan'!BN48,'EGRESO-POS plan'!BN49,'EGRESO-POS plan'!BN50,'EGRESO-POS plan'!BN51)</f>
        <v>17</v>
      </c>
      <c r="BM25" s="1074">
        <f>SUM('EGRESO-POS plan'!BO46,'EGRESO-POS plan'!BO47,'EGRESO-POS plan'!BO48,'EGRESO-POS plan'!BO49,'EGRESO-POS plan'!BO50,'EGRESO-POS plan'!BO51)</f>
        <v>12</v>
      </c>
      <c r="BN25" s="1077">
        <f>SUM(BK25:BM25)</f>
        <v>37</v>
      </c>
      <c r="BO25" s="1073">
        <f>SUM('EGRESO-POS plan'!BQ46,'EGRESO-POS plan'!BQ47,'EGRESO-POS plan'!BQ48,'EGRESO-POS plan'!BQ49,'EGRESO-POS plan'!BQ50,'EGRESO-POS plan'!BQ51)</f>
        <v>8</v>
      </c>
      <c r="BP25" s="1074">
        <f>SUM('EGRESO-POS plan'!BR46,'EGRESO-POS plan'!BR47,'EGRESO-POS plan'!BR48,'EGRESO-POS plan'!BR49,'EGRESO-POS plan'!BR50,'EGRESO-POS plan'!BR51)</f>
        <v>3</v>
      </c>
      <c r="BQ25" s="1074">
        <f>SUM('EGRESO-POS plan'!BS46,'EGRESO-POS plan'!BS47,'EGRESO-POS plan'!BS48,'EGRESO-POS plan'!BS49,'EGRESO-POS plan'!BS50,'EGRESO-POS plan'!BS51)</f>
        <v>12</v>
      </c>
      <c r="BR25" s="1077">
        <f>SUM(BO25:BQ25)</f>
        <v>23</v>
      </c>
    </row>
    <row r="26" spans="1:70" s="222" customFormat="1" ht="15" x14ac:dyDescent="0.2">
      <c r="A26" s="5474"/>
      <c r="B26" s="583" t="s">
        <v>14</v>
      </c>
      <c r="C26" s="1193">
        <f>SUM(C23:C25)</f>
        <v>9</v>
      </c>
      <c r="D26" s="1194">
        <f>SUM(D23:D25)</f>
        <v>27</v>
      </c>
      <c r="E26" s="1194">
        <f>SUM(E23:E25)</f>
        <v>23</v>
      </c>
      <c r="F26" s="1185">
        <f t="shared" si="32"/>
        <v>59</v>
      </c>
      <c r="G26" s="1193">
        <f>SUM(G23:G25)</f>
        <v>10</v>
      </c>
      <c r="H26" s="1194">
        <f>SUM(H23:H25)</f>
        <v>20</v>
      </c>
      <c r="I26" s="1194">
        <f>SUM(I23:I25)</f>
        <v>21</v>
      </c>
      <c r="J26" s="1185">
        <f t="shared" si="33"/>
        <v>51</v>
      </c>
      <c r="K26" s="1193">
        <f>SUM(K23:K25)</f>
        <v>14</v>
      </c>
      <c r="L26" s="1194">
        <f>SUM(L23:L25)</f>
        <v>38</v>
      </c>
      <c r="M26" s="1194">
        <f>SUM(M23:M25)</f>
        <v>12</v>
      </c>
      <c r="N26" s="1185">
        <f t="shared" si="34"/>
        <v>64</v>
      </c>
      <c r="O26" s="1193">
        <f>SUM(O23:O25)</f>
        <v>15</v>
      </c>
      <c r="P26" s="1194">
        <f>SUM(P23:P25)</f>
        <v>22</v>
      </c>
      <c r="Q26" s="1194">
        <f>SUM(Q23:Q25)</f>
        <v>15</v>
      </c>
      <c r="R26" s="1185">
        <f t="shared" si="35"/>
        <v>52</v>
      </c>
      <c r="S26" s="1193">
        <v>14</v>
      </c>
      <c r="T26" s="1194">
        <v>22</v>
      </c>
      <c r="U26" s="1194">
        <v>16</v>
      </c>
      <c r="V26" s="1185">
        <v>52</v>
      </c>
      <c r="W26" s="1193">
        <v>15</v>
      </c>
      <c r="X26" s="1194">
        <v>19</v>
      </c>
      <c r="Y26" s="1194">
        <v>22</v>
      </c>
      <c r="Z26" s="1194">
        <v>56</v>
      </c>
      <c r="AA26" s="1193">
        <v>17</v>
      </c>
      <c r="AB26" s="1194">
        <v>16</v>
      </c>
      <c r="AC26" s="1194">
        <v>7</v>
      </c>
      <c r="AD26" s="1185">
        <v>40</v>
      </c>
      <c r="AE26" s="1194">
        <v>12</v>
      </c>
      <c r="AF26" s="1194">
        <v>7</v>
      </c>
      <c r="AG26" s="1194">
        <v>31</v>
      </c>
      <c r="AH26" s="1185">
        <v>50</v>
      </c>
      <c r="AI26" s="1194">
        <v>9</v>
      </c>
      <c r="AJ26" s="1194">
        <v>28</v>
      </c>
      <c r="AK26" s="1194">
        <v>21</v>
      </c>
      <c r="AL26" s="1194">
        <v>58</v>
      </c>
      <c r="AM26" s="578">
        <v>20</v>
      </c>
      <c r="AN26" s="579">
        <v>17</v>
      </c>
      <c r="AO26" s="579">
        <v>21</v>
      </c>
      <c r="AP26" s="579">
        <v>58</v>
      </c>
      <c r="AQ26" s="578">
        <v>23</v>
      </c>
      <c r="AR26" s="579">
        <v>31</v>
      </c>
      <c r="AS26" s="579">
        <v>24</v>
      </c>
      <c r="AT26" s="580">
        <v>78</v>
      </c>
      <c r="AU26" s="578">
        <f>SUM(AU23:AU25)</f>
        <v>30</v>
      </c>
      <c r="AV26" s="579">
        <f>SUM(AV23:AV25)</f>
        <v>38</v>
      </c>
      <c r="AW26" s="579">
        <f>SUM(AW23:AW25)</f>
        <v>25</v>
      </c>
      <c r="AX26" s="580">
        <f t="shared" si="36"/>
        <v>93</v>
      </c>
      <c r="AY26" s="578">
        <f>SUM(AY23:AY25)</f>
        <v>22</v>
      </c>
      <c r="AZ26" s="579">
        <f>SUM(AZ23:AZ25)</f>
        <v>22</v>
      </c>
      <c r="BA26" s="579">
        <f>SUM(BA23:BA25)</f>
        <v>28</v>
      </c>
      <c r="BB26" s="580">
        <f t="shared" si="37"/>
        <v>72</v>
      </c>
      <c r="BC26" s="578">
        <f t="shared" ref="BC26:BJ26" si="38">SUM(BC23:BC25)</f>
        <v>16</v>
      </c>
      <c r="BD26" s="579">
        <f t="shared" si="38"/>
        <v>25</v>
      </c>
      <c r="BE26" s="579">
        <f t="shared" si="38"/>
        <v>30</v>
      </c>
      <c r="BF26" s="580">
        <f t="shared" si="38"/>
        <v>71</v>
      </c>
      <c r="BG26" s="578">
        <f t="shared" si="38"/>
        <v>29</v>
      </c>
      <c r="BH26" s="579">
        <f t="shared" si="38"/>
        <v>32</v>
      </c>
      <c r="BI26" s="579">
        <f t="shared" si="38"/>
        <v>27</v>
      </c>
      <c r="BJ26" s="580">
        <f t="shared" si="38"/>
        <v>88</v>
      </c>
      <c r="BK26" s="578">
        <f t="shared" ref="BK26:BR26" si="39">SUM(BK23:BK25)</f>
        <v>36</v>
      </c>
      <c r="BL26" s="579">
        <f t="shared" si="39"/>
        <v>41</v>
      </c>
      <c r="BM26" s="579">
        <f t="shared" si="39"/>
        <v>32</v>
      </c>
      <c r="BN26" s="580">
        <f t="shared" si="39"/>
        <v>109</v>
      </c>
      <c r="BO26" s="578">
        <f t="shared" si="39"/>
        <v>24</v>
      </c>
      <c r="BP26" s="579">
        <f t="shared" si="39"/>
        <v>27</v>
      </c>
      <c r="BQ26" s="579">
        <f t="shared" si="39"/>
        <v>31</v>
      </c>
      <c r="BR26" s="580">
        <f t="shared" si="39"/>
        <v>82</v>
      </c>
    </row>
    <row r="27" spans="1:70" ht="15" x14ac:dyDescent="0.2">
      <c r="A27" s="5473" t="s">
        <v>6</v>
      </c>
      <c r="B27" s="1067" t="s">
        <v>631</v>
      </c>
      <c r="C27" s="1342">
        <f>+'EGRESO-POS plan'!E53</f>
        <v>0</v>
      </c>
      <c r="D27" s="1343">
        <f>+'EGRESO-POS plan'!F53</f>
        <v>0</v>
      </c>
      <c r="E27" s="1343">
        <f>+'EGRESO-POS plan'!G53</f>
        <v>25</v>
      </c>
      <c r="F27" s="1344">
        <f t="shared" si="32"/>
        <v>25</v>
      </c>
      <c r="G27" s="1342">
        <f>+'EGRESO-POS plan'!I53</f>
        <v>0</v>
      </c>
      <c r="H27" s="1343">
        <f>+'EGRESO-POS plan'!J53</f>
        <v>3</v>
      </c>
      <c r="I27" s="1343">
        <f>+'EGRESO-POS plan'!K53</f>
        <v>0</v>
      </c>
      <c r="J27" s="1344">
        <f t="shared" si="33"/>
        <v>3</v>
      </c>
      <c r="K27" s="1342">
        <f>+'EGRESO-POS plan'!M53</f>
        <v>0</v>
      </c>
      <c r="L27" s="1343">
        <f>+'EGRESO-POS plan'!N53</f>
        <v>1</v>
      </c>
      <c r="M27" s="1343">
        <f>+'EGRESO-POS plan'!O53</f>
        <v>0</v>
      </c>
      <c r="N27" s="1344">
        <f t="shared" si="34"/>
        <v>1</v>
      </c>
      <c r="O27" s="1342">
        <f>+'EGRESO-POS plan'!Q53</f>
        <v>0</v>
      </c>
      <c r="P27" s="1343">
        <f>+'EGRESO-POS plan'!R53</f>
        <v>1</v>
      </c>
      <c r="Q27" s="1343">
        <f>+'EGRESO-POS plan'!S53</f>
        <v>0</v>
      </c>
      <c r="R27" s="1344">
        <f t="shared" si="35"/>
        <v>1</v>
      </c>
      <c r="S27" s="1342">
        <v>2</v>
      </c>
      <c r="T27" s="1343">
        <v>3</v>
      </c>
      <c r="U27" s="1343">
        <v>6</v>
      </c>
      <c r="V27" s="1344">
        <v>11</v>
      </c>
      <c r="W27" s="1342">
        <v>2</v>
      </c>
      <c r="X27" s="1343">
        <v>32</v>
      </c>
      <c r="Y27" s="1343">
        <v>2</v>
      </c>
      <c r="Z27" s="1345">
        <v>36</v>
      </c>
      <c r="AA27" s="1342">
        <v>0</v>
      </c>
      <c r="AB27" s="1343">
        <v>65</v>
      </c>
      <c r="AC27" s="1343">
        <v>5</v>
      </c>
      <c r="AD27" s="1344">
        <v>70</v>
      </c>
      <c r="AE27" s="1343">
        <v>0</v>
      </c>
      <c r="AF27" s="1343">
        <v>12</v>
      </c>
      <c r="AG27" s="1343">
        <v>58</v>
      </c>
      <c r="AH27" s="1344">
        <v>70</v>
      </c>
      <c r="AI27" s="1343">
        <v>0</v>
      </c>
      <c r="AJ27" s="1343">
        <v>0</v>
      </c>
      <c r="AK27" s="1343">
        <v>0</v>
      </c>
      <c r="AL27" s="1345">
        <v>0</v>
      </c>
      <c r="AM27" s="1346">
        <v>63</v>
      </c>
      <c r="AN27" s="1347">
        <v>16</v>
      </c>
      <c r="AO27" s="1347">
        <v>1</v>
      </c>
      <c r="AP27" s="1348">
        <v>80</v>
      </c>
      <c r="AQ27" s="1353"/>
      <c r="AR27" s="1354"/>
      <c r="AS27" s="1354"/>
      <c r="AT27" s="1355"/>
      <c r="AU27" s="1353"/>
      <c r="AV27" s="1074">
        <v>15</v>
      </c>
      <c r="AW27" s="1354"/>
      <c r="AX27" s="1086">
        <f t="shared" si="36"/>
        <v>15</v>
      </c>
      <c r="AY27" s="1073">
        <v>61</v>
      </c>
      <c r="AZ27" s="1074">
        <v>1</v>
      </c>
      <c r="BA27" s="1074">
        <v>46</v>
      </c>
      <c r="BB27" s="1086">
        <f t="shared" si="37"/>
        <v>108</v>
      </c>
      <c r="BC27" s="1068">
        <f>SUM('EGRESO-POS plan'!BE53)</f>
        <v>4</v>
      </c>
      <c r="BD27" s="1069">
        <f>SUM('EGRESO-POS plan'!BF53)</f>
        <v>44</v>
      </c>
      <c r="BE27" s="1069">
        <f>SUM('EGRESO-POS plan'!BG53)</f>
        <v>52</v>
      </c>
      <c r="BF27" s="1086">
        <f>SUM(BC27:BE27)</f>
        <v>100</v>
      </c>
      <c r="BG27" s="1068">
        <f>SUM('EGRESO-POS plan'!BI53)</f>
        <v>1</v>
      </c>
      <c r="BH27" s="1069">
        <f>SUM('EGRESO-POS plan'!BJ53)</f>
        <v>13</v>
      </c>
      <c r="BI27" s="1069">
        <f>SUM('EGRESO-POS plan'!BK53)</f>
        <v>2</v>
      </c>
      <c r="BJ27" s="1086">
        <f>SUM(BG27:BI27)</f>
        <v>16</v>
      </c>
      <c r="BK27" s="1068">
        <f>SUM('EGRESO-POS plan'!BM53)</f>
        <v>0</v>
      </c>
      <c r="BL27" s="1069">
        <f>SUM('EGRESO-POS plan'!BN53)</f>
        <v>7</v>
      </c>
      <c r="BM27" s="1069">
        <f>SUM('EGRESO-POS plan'!BO53)</f>
        <v>17</v>
      </c>
      <c r="BN27" s="1086">
        <f>SUM(BK27:BM27)</f>
        <v>24</v>
      </c>
      <c r="BO27" s="1068">
        <f>SUM('EGRESO-POS plan'!BQ53)</f>
        <v>0</v>
      </c>
      <c r="BP27" s="1069">
        <f>SUM('EGRESO-POS plan'!BR53)</f>
        <v>15</v>
      </c>
      <c r="BQ27" s="1069">
        <f>SUM('EGRESO-POS plan'!BS53)</f>
        <v>0</v>
      </c>
      <c r="BR27" s="1086">
        <f>SUM(BO27:BQ27)</f>
        <v>15</v>
      </c>
    </row>
    <row r="28" spans="1:70" ht="15" x14ac:dyDescent="0.2">
      <c r="A28" s="5474"/>
      <c r="B28" s="1072" t="s">
        <v>632</v>
      </c>
      <c r="C28" s="1338">
        <f>+'EGRESO-POS plan'!E54+'EGRESO-POS plan'!E55+'EGRESO-POS plan'!E56+'EGRESO-POS plan'!E57+'EGRESO-POS plan'!E58+'EGRESO-POS plan'!E59+'EGRESO-POS plan'!E60+'EGRESO-POS plan'!E61</f>
        <v>7</v>
      </c>
      <c r="D28" s="1339">
        <f>+'EGRESO-POS plan'!F54+'EGRESO-POS plan'!F55+'EGRESO-POS plan'!F56+'EGRESO-POS plan'!F57+'EGRESO-POS plan'!F58+'EGRESO-POS plan'!F59+'EGRESO-POS plan'!F60+'EGRESO-POS plan'!F61</f>
        <v>7</v>
      </c>
      <c r="E28" s="1339">
        <f>+'EGRESO-POS plan'!G54+'EGRESO-POS plan'!G55+'EGRESO-POS plan'!G56+'EGRESO-POS plan'!G57+'EGRESO-POS plan'!G58+'EGRESO-POS plan'!G59+'EGRESO-POS plan'!G60+'EGRESO-POS plan'!G61</f>
        <v>19</v>
      </c>
      <c r="F28" s="1340">
        <f t="shared" si="32"/>
        <v>33</v>
      </c>
      <c r="G28" s="1338">
        <f>+'EGRESO-POS plan'!I54+'EGRESO-POS plan'!I55+'EGRESO-POS plan'!I56+'EGRESO-POS plan'!I57+'EGRESO-POS plan'!I58+'EGRESO-POS plan'!I59+'EGRESO-POS plan'!I60+'EGRESO-POS plan'!I61</f>
        <v>5</v>
      </c>
      <c r="H28" s="1339">
        <f>+'EGRESO-POS plan'!J54+'EGRESO-POS plan'!J55+'EGRESO-POS plan'!J56+'EGRESO-POS plan'!J57+'EGRESO-POS plan'!J58+'EGRESO-POS plan'!J59+'EGRESO-POS plan'!J60+'EGRESO-POS plan'!J61</f>
        <v>24</v>
      </c>
      <c r="I28" s="1339">
        <f>+'EGRESO-POS plan'!K54+'EGRESO-POS plan'!K55+'EGRESO-POS plan'!K56+'EGRESO-POS plan'!K57+'EGRESO-POS plan'!K58+'EGRESO-POS plan'!K59+'EGRESO-POS plan'!K60+'EGRESO-POS plan'!K61</f>
        <v>12</v>
      </c>
      <c r="J28" s="1340">
        <f t="shared" si="33"/>
        <v>41</v>
      </c>
      <c r="K28" s="1338">
        <f>+'EGRESO-POS plan'!M54+'EGRESO-POS plan'!M55+'EGRESO-POS plan'!M56+'EGRESO-POS plan'!M57+'EGRESO-POS plan'!M58+'EGRESO-POS plan'!M59+'EGRESO-POS plan'!M60+'EGRESO-POS plan'!M61</f>
        <v>8</v>
      </c>
      <c r="L28" s="1339">
        <f>+'EGRESO-POS plan'!N54+'EGRESO-POS plan'!N55+'EGRESO-POS plan'!N56+'EGRESO-POS plan'!N57+'EGRESO-POS plan'!N58+'EGRESO-POS plan'!N59+'EGRESO-POS plan'!N60+'EGRESO-POS plan'!N61</f>
        <v>46</v>
      </c>
      <c r="M28" s="1339">
        <f>+'EGRESO-POS plan'!O54+'EGRESO-POS plan'!O55+'EGRESO-POS plan'!O56+'EGRESO-POS plan'!O57+'EGRESO-POS plan'!O58+'EGRESO-POS plan'!O59+'EGRESO-POS plan'!O60+'EGRESO-POS plan'!O61</f>
        <v>17</v>
      </c>
      <c r="N28" s="1340">
        <f t="shared" si="34"/>
        <v>71</v>
      </c>
      <c r="O28" s="1338">
        <f>+'EGRESO-POS plan'!Q54+'EGRESO-POS plan'!Q55+'EGRESO-POS plan'!Q56+'EGRESO-POS plan'!Q57+'EGRESO-POS plan'!Q58+'EGRESO-POS plan'!Q59+'EGRESO-POS plan'!Q60+'EGRESO-POS plan'!Q61</f>
        <v>11</v>
      </c>
      <c r="P28" s="1339">
        <f>+'EGRESO-POS plan'!R54+'EGRESO-POS plan'!R55+'EGRESO-POS plan'!R56+'EGRESO-POS plan'!R57+'EGRESO-POS plan'!R58+'EGRESO-POS plan'!R59+'EGRESO-POS plan'!R60+'EGRESO-POS plan'!R61</f>
        <v>12</v>
      </c>
      <c r="Q28" s="1339">
        <f>+'EGRESO-POS plan'!S54+'EGRESO-POS plan'!S55+'EGRESO-POS plan'!S56+'EGRESO-POS plan'!S57+'EGRESO-POS plan'!S58+'EGRESO-POS plan'!S59+'EGRESO-POS plan'!S60+'EGRESO-POS plan'!S61</f>
        <v>8</v>
      </c>
      <c r="R28" s="1340">
        <f t="shared" si="35"/>
        <v>31</v>
      </c>
      <c r="S28" s="1338">
        <v>11</v>
      </c>
      <c r="T28" s="1339">
        <v>14</v>
      </c>
      <c r="U28" s="1339">
        <v>13</v>
      </c>
      <c r="V28" s="1340">
        <v>38</v>
      </c>
      <c r="W28" s="1338">
        <v>8</v>
      </c>
      <c r="X28" s="1339">
        <v>20</v>
      </c>
      <c r="Y28" s="1339">
        <v>9</v>
      </c>
      <c r="Z28" s="1341">
        <v>37</v>
      </c>
      <c r="AA28" s="1338">
        <v>8</v>
      </c>
      <c r="AB28" s="1339">
        <v>14</v>
      </c>
      <c r="AC28" s="1339">
        <v>3</v>
      </c>
      <c r="AD28" s="1340">
        <v>25</v>
      </c>
      <c r="AE28" s="1339">
        <v>4</v>
      </c>
      <c r="AF28" s="1339">
        <v>28</v>
      </c>
      <c r="AG28" s="1339">
        <v>13</v>
      </c>
      <c r="AH28" s="1340">
        <v>45</v>
      </c>
      <c r="AI28" s="1339">
        <v>11</v>
      </c>
      <c r="AJ28" s="1339">
        <v>34</v>
      </c>
      <c r="AK28" s="1339">
        <v>11</v>
      </c>
      <c r="AL28" s="1341">
        <v>56</v>
      </c>
      <c r="AM28" s="1073">
        <v>5</v>
      </c>
      <c r="AN28" s="1074">
        <v>12</v>
      </c>
      <c r="AO28" s="1074">
        <v>15</v>
      </c>
      <c r="AP28" s="1077">
        <v>32</v>
      </c>
      <c r="AQ28" s="1073">
        <v>16</v>
      </c>
      <c r="AR28" s="1074">
        <v>42</v>
      </c>
      <c r="AS28" s="1074">
        <v>17</v>
      </c>
      <c r="AT28" s="1077">
        <v>75</v>
      </c>
      <c r="AU28" s="1073">
        <v>21</v>
      </c>
      <c r="AV28" s="1074">
        <v>44</v>
      </c>
      <c r="AW28" s="1074">
        <v>14</v>
      </c>
      <c r="AX28" s="1077">
        <f t="shared" si="36"/>
        <v>79</v>
      </c>
      <c r="AY28" s="1073">
        <v>50</v>
      </c>
      <c r="AZ28" s="1074">
        <v>31</v>
      </c>
      <c r="BA28" s="1074">
        <v>17</v>
      </c>
      <c r="BB28" s="1077">
        <f t="shared" si="37"/>
        <v>98</v>
      </c>
      <c r="BC28" s="1073">
        <f>SUM('EGRESO-POS plan'!BE54,'EGRESO-POS plan'!BE55,'EGRESO-POS plan'!BE56,'EGRESO-POS plan'!BE57,'EGRESO-POS plan'!BE58,'EGRESO-POS plan'!BE59,'EGRESO-POS plan'!BE60,'EGRESO-POS plan'!BE61)</f>
        <v>12</v>
      </c>
      <c r="BD28" s="1074">
        <f>SUM('EGRESO-POS plan'!BF54,'EGRESO-POS plan'!BF55,'EGRESO-POS plan'!BF56,'EGRESO-POS plan'!BF57,'EGRESO-POS plan'!BF58,'EGRESO-POS plan'!BF59,'EGRESO-POS plan'!BF60,'EGRESO-POS plan'!BF61)</f>
        <v>27</v>
      </c>
      <c r="BE28" s="1074">
        <f>SUM('EGRESO-POS plan'!BG54,'EGRESO-POS plan'!BG55,'EGRESO-POS plan'!BG56,'EGRESO-POS plan'!BG57,'EGRESO-POS plan'!BG58,'EGRESO-POS plan'!BG59,'EGRESO-POS plan'!BG60,'EGRESO-POS plan'!BG61)</f>
        <v>24</v>
      </c>
      <c r="BF28" s="1077">
        <f>SUM(BC28:BE28)</f>
        <v>63</v>
      </c>
      <c r="BG28" s="1073">
        <f>SUM('EGRESO-POS plan'!BI54,'EGRESO-POS plan'!BI55,'EGRESO-POS plan'!BI56,'EGRESO-POS plan'!BI57,'EGRESO-POS plan'!BI58,'EGRESO-POS plan'!BI59,'EGRESO-POS plan'!BI60,'EGRESO-POS plan'!BI61)</f>
        <v>44</v>
      </c>
      <c r="BH28" s="1074">
        <f>SUM('EGRESO-POS plan'!BJ54,'EGRESO-POS plan'!BJ55,'EGRESO-POS plan'!BJ56,'EGRESO-POS plan'!BJ57,'EGRESO-POS plan'!BJ58,'EGRESO-POS plan'!BJ59,'EGRESO-POS plan'!BJ60,'EGRESO-POS plan'!BJ61)</f>
        <v>9</v>
      </c>
      <c r="BI28" s="1074">
        <f>SUM('EGRESO-POS plan'!BK54,'EGRESO-POS plan'!BK55,'EGRESO-POS plan'!BK56,'EGRESO-POS plan'!BK57,'EGRESO-POS plan'!BK58,'EGRESO-POS plan'!BK59,'EGRESO-POS plan'!BK60,'EGRESO-POS plan'!BK61)</f>
        <v>12</v>
      </c>
      <c r="BJ28" s="1077">
        <f>SUM(BG28:BI28)</f>
        <v>65</v>
      </c>
      <c r="BK28" s="1073">
        <f>SUM('EGRESO-POS plan'!BM54,'EGRESO-POS plan'!BM55,'EGRESO-POS plan'!BM56,'EGRESO-POS plan'!BM57,'EGRESO-POS plan'!BM58,'EGRESO-POS plan'!BM59,'EGRESO-POS plan'!BM60,'EGRESO-POS plan'!BM61)</f>
        <v>11</v>
      </c>
      <c r="BL28" s="1074">
        <f>SUM('EGRESO-POS plan'!BN54,'EGRESO-POS plan'!BN55,'EGRESO-POS plan'!BN56,'EGRESO-POS plan'!BN57,'EGRESO-POS plan'!BN58,'EGRESO-POS plan'!BN59,'EGRESO-POS plan'!BN60,'EGRESO-POS plan'!BN61)</f>
        <v>44</v>
      </c>
      <c r="BM28" s="1074">
        <f>SUM('EGRESO-POS plan'!BO54,'EGRESO-POS plan'!BO55,'EGRESO-POS plan'!BO56,'EGRESO-POS plan'!BO57,'EGRESO-POS plan'!BO58,'EGRESO-POS plan'!BO59,'EGRESO-POS plan'!BO60,'EGRESO-POS plan'!BO61)</f>
        <v>59</v>
      </c>
      <c r="BN28" s="1077">
        <f>SUM(BK28:BM28)</f>
        <v>114</v>
      </c>
      <c r="BO28" s="1073">
        <f>SUM('EGRESO-POS plan'!BQ54,'EGRESO-POS plan'!BQ55,'EGRESO-POS plan'!BQ56,'EGRESO-POS plan'!BQ57,'EGRESO-POS plan'!BQ58,'EGRESO-POS plan'!BQ59,'EGRESO-POS plan'!BQ60,'EGRESO-POS plan'!BQ61)</f>
        <v>12</v>
      </c>
      <c r="BP28" s="1074">
        <f>SUM('EGRESO-POS plan'!BR54,'EGRESO-POS plan'!BR55,'EGRESO-POS plan'!BR56,'EGRESO-POS plan'!BR57,'EGRESO-POS plan'!BR58,'EGRESO-POS plan'!BR59,'EGRESO-POS plan'!BR60,'EGRESO-POS plan'!BR61)</f>
        <v>2</v>
      </c>
      <c r="BQ28" s="1074">
        <f>SUM('EGRESO-POS plan'!BS54,'EGRESO-POS plan'!BS55,'EGRESO-POS plan'!BS56,'EGRESO-POS plan'!BS57,'EGRESO-POS plan'!BS58,'EGRESO-POS plan'!BS59,'EGRESO-POS plan'!BS60,'EGRESO-POS plan'!BS61)</f>
        <v>13</v>
      </c>
      <c r="BR28" s="1077">
        <f>SUM(BO28:BQ28)</f>
        <v>27</v>
      </c>
    </row>
    <row r="29" spans="1:70" ht="15" x14ac:dyDescent="0.2">
      <c r="A29" s="5474"/>
      <c r="B29" s="1078" t="s">
        <v>633</v>
      </c>
      <c r="C29" s="1338">
        <f>+'EGRESO-POS plan'!E62+'EGRESO-POS plan'!E63+'EGRESO-POS plan'!E64+'EGRESO-POS plan'!E65+'EGRESO-POS plan'!E66</f>
        <v>1</v>
      </c>
      <c r="D29" s="1339">
        <f>+'EGRESO-POS plan'!F62+'EGRESO-POS plan'!F63+'EGRESO-POS plan'!F64+'EGRESO-POS plan'!F65+'EGRESO-POS plan'!F66</f>
        <v>0</v>
      </c>
      <c r="E29" s="1339">
        <f>+'EGRESO-POS plan'!G62+'EGRESO-POS plan'!G63+'EGRESO-POS plan'!G64+'EGRESO-POS plan'!G65+'EGRESO-POS plan'!G66</f>
        <v>0</v>
      </c>
      <c r="F29" s="1340">
        <f t="shared" si="32"/>
        <v>1</v>
      </c>
      <c r="G29" s="1338">
        <f>+'EGRESO-POS plan'!I62+'EGRESO-POS plan'!I63+'EGRESO-POS plan'!I64+'EGRESO-POS plan'!I65+'EGRESO-POS plan'!I66</f>
        <v>0</v>
      </c>
      <c r="H29" s="1339">
        <f>+'EGRESO-POS plan'!J62+'EGRESO-POS plan'!J63+'EGRESO-POS plan'!J64+'EGRESO-POS plan'!J65+'EGRESO-POS plan'!J66</f>
        <v>0</v>
      </c>
      <c r="I29" s="1339">
        <f>+'EGRESO-POS plan'!K62+'EGRESO-POS plan'!K63+'EGRESO-POS plan'!K64+'EGRESO-POS plan'!K65+'EGRESO-POS plan'!K66</f>
        <v>6</v>
      </c>
      <c r="J29" s="1340">
        <f t="shared" si="33"/>
        <v>6</v>
      </c>
      <c r="K29" s="1338">
        <f>+'EGRESO-POS plan'!M62+'EGRESO-POS plan'!M63+'EGRESO-POS plan'!M64+'EGRESO-POS plan'!M65+'EGRESO-POS plan'!M66</f>
        <v>1</v>
      </c>
      <c r="L29" s="1339">
        <f>+'EGRESO-POS plan'!N62+'EGRESO-POS plan'!N63+'EGRESO-POS plan'!N64+'EGRESO-POS plan'!N65+'EGRESO-POS plan'!N66</f>
        <v>8</v>
      </c>
      <c r="M29" s="1339">
        <f>+'EGRESO-POS plan'!O62+'EGRESO-POS plan'!O63+'EGRESO-POS plan'!O64+'EGRESO-POS plan'!O65+'EGRESO-POS plan'!O66</f>
        <v>7</v>
      </c>
      <c r="N29" s="1340">
        <f t="shared" si="34"/>
        <v>16</v>
      </c>
      <c r="O29" s="1338">
        <f>+'EGRESO-POS plan'!Q62+'EGRESO-POS plan'!Q63+'EGRESO-POS plan'!Q64+'EGRESO-POS plan'!Q65+'EGRESO-POS plan'!Q66</f>
        <v>7</v>
      </c>
      <c r="P29" s="1339">
        <f>+'EGRESO-POS plan'!R62+'EGRESO-POS plan'!R63+'EGRESO-POS plan'!R64+'EGRESO-POS plan'!R65+'EGRESO-POS plan'!R66</f>
        <v>9</v>
      </c>
      <c r="Q29" s="1339">
        <f>+'EGRESO-POS plan'!S62+'EGRESO-POS plan'!S63+'EGRESO-POS plan'!S64+'EGRESO-POS plan'!S65+'EGRESO-POS plan'!S66</f>
        <v>9</v>
      </c>
      <c r="R29" s="1340">
        <f t="shared" si="35"/>
        <v>25</v>
      </c>
      <c r="S29" s="1338">
        <v>3</v>
      </c>
      <c r="T29" s="1339">
        <v>9</v>
      </c>
      <c r="U29" s="1339">
        <v>21</v>
      </c>
      <c r="V29" s="1340">
        <v>33</v>
      </c>
      <c r="W29" s="1338">
        <v>12</v>
      </c>
      <c r="X29" s="1339">
        <v>17</v>
      </c>
      <c r="Y29" s="1339">
        <v>15</v>
      </c>
      <c r="Z29" s="1341">
        <v>44</v>
      </c>
      <c r="AA29" s="1338">
        <v>5</v>
      </c>
      <c r="AB29" s="1339">
        <v>14</v>
      </c>
      <c r="AC29" s="1339">
        <v>10</v>
      </c>
      <c r="AD29" s="1340">
        <v>29</v>
      </c>
      <c r="AE29" s="1339">
        <v>6</v>
      </c>
      <c r="AF29" s="1339">
        <v>13</v>
      </c>
      <c r="AG29" s="1339">
        <v>30</v>
      </c>
      <c r="AH29" s="1340">
        <v>49</v>
      </c>
      <c r="AI29" s="1339">
        <v>13</v>
      </c>
      <c r="AJ29" s="1339">
        <v>25</v>
      </c>
      <c r="AK29" s="1339">
        <v>15</v>
      </c>
      <c r="AL29" s="1341">
        <v>53</v>
      </c>
      <c r="AM29" s="1073">
        <v>12</v>
      </c>
      <c r="AN29" s="1074">
        <v>16</v>
      </c>
      <c r="AO29" s="1074">
        <v>10</v>
      </c>
      <c r="AP29" s="1077">
        <v>38</v>
      </c>
      <c r="AQ29" s="1073">
        <v>14</v>
      </c>
      <c r="AR29" s="1074">
        <v>17</v>
      </c>
      <c r="AS29" s="1074">
        <v>19</v>
      </c>
      <c r="AT29" s="1077">
        <v>50</v>
      </c>
      <c r="AU29" s="1073">
        <v>12</v>
      </c>
      <c r="AV29" s="1074">
        <v>22</v>
      </c>
      <c r="AW29" s="1074">
        <v>12</v>
      </c>
      <c r="AX29" s="1077">
        <f t="shared" si="36"/>
        <v>46</v>
      </c>
      <c r="AY29" s="1073">
        <v>30</v>
      </c>
      <c r="AZ29" s="1074">
        <v>16</v>
      </c>
      <c r="BA29" s="1074">
        <v>14</v>
      </c>
      <c r="BB29" s="1077">
        <f t="shared" si="37"/>
        <v>60</v>
      </c>
      <c r="BC29" s="1073">
        <f>SUM('EGRESO-POS plan'!BE62,'EGRESO-POS plan'!BE63,'EGRESO-POS plan'!BE64,'EGRESO-POS plan'!BE65,'EGRESO-POS plan'!BE66)</f>
        <v>17</v>
      </c>
      <c r="BD29" s="1074">
        <f>SUM('EGRESO-POS plan'!BF62,'EGRESO-POS plan'!BF63,'EGRESO-POS plan'!BF64,'EGRESO-POS plan'!BF65,'EGRESO-POS plan'!BF66)</f>
        <v>13</v>
      </c>
      <c r="BE29" s="1074">
        <f>SUM('EGRESO-POS plan'!BG62,'EGRESO-POS plan'!BG63,'EGRESO-POS plan'!BG64,'EGRESO-POS plan'!BG65,'EGRESO-POS plan'!BG66)</f>
        <v>19</v>
      </c>
      <c r="BF29" s="1077">
        <f>SUM(BC29:BE29)</f>
        <v>49</v>
      </c>
      <c r="BG29" s="1073">
        <f>SUM('EGRESO-POS plan'!BI62,'EGRESO-POS plan'!BI63,'EGRESO-POS plan'!BI64,'EGRESO-POS plan'!BI65,'EGRESO-POS plan'!BI66)</f>
        <v>19</v>
      </c>
      <c r="BH29" s="1074">
        <f>SUM('EGRESO-POS plan'!BJ62,'EGRESO-POS plan'!BJ63,'EGRESO-POS plan'!BJ64,'EGRESO-POS plan'!BJ65,'EGRESO-POS plan'!BJ66)</f>
        <v>16</v>
      </c>
      <c r="BI29" s="1074">
        <f>SUM('EGRESO-POS plan'!BK62,'EGRESO-POS plan'!BK63,'EGRESO-POS plan'!BK64,'EGRESO-POS plan'!BK65,'EGRESO-POS plan'!BK66)</f>
        <v>23</v>
      </c>
      <c r="BJ29" s="1077">
        <f>SUM(BG29:BI29)</f>
        <v>58</v>
      </c>
      <c r="BK29" s="1073">
        <f>SUM('EGRESO-POS plan'!BM62,'EGRESO-POS plan'!BM63,'EGRESO-POS plan'!BM64,'EGRESO-POS plan'!BM65,'EGRESO-POS plan'!BM66)</f>
        <v>22</v>
      </c>
      <c r="BL29" s="1074">
        <f>SUM('EGRESO-POS plan'!BN62,'EGRESO-POS plan'!BN63,'EGRESO-POS plan'!BN64,'EGRESO-POS plan'!BN65,'EGRESO-POS plan'!BN66)</f>
        <v>21</v>
      </c>
      <c r="BM29" s="1074">
        <f>SUM('EGRESO-POS plan'!BO62,'EGRESO-POS plan'!BO63,'EGRESO-POS plan'!BO64,'EGRESO-POS plan'!BO65,'EGRESO-POS plan'!BO66)</f>
        <v>34</v>
      </c>
      <c r="BN29" s="1077">
        <f>SUM(BK29:BM29)</f>
        <v>77</v>
      </c>
      <c r="BO29" s="1073">
        <f>SUM('EGRESO-POS plan'!BQ62,'EGRESO-POS plan'!BQ63,'EGRESO-POS plan'!BQ64,'EGRESO-POS plan'!BQ65,'EGRESO-POS plan'!BQ66)</f>
        <v>16</v>
      </c>
      <c r="BP29" s="1074">
        <f>SUM('EGRESO-POS plan'!BR62,'EGRESO-POS plan'!BR63,'EGRESO-POS plan'!BR64,'EGRESO-POS plan'!BR65,'EGRESO-POS plan'!BR66)</f>
        <v>17</v>
      </c>
      <c r="BQ29" s="1074">
        <f>SUM('EGRESO-POS plan'!BS62,'EGRESO-POS plan'!BS63,'EGRESO-POS plan'!BS64,'EGRESO-POS plan'!BS65,'EGRESO-POS plan'!BS66)</f>
        <v>7</v>
      </c>
      <c r="BR29" s="1077">
        <f>SUM(BO29:BQ29)</f>
        <v>40</v>
      </c>
    </row>
    <row r="30" spans="1:70" s="222" customFormat="1" ht="15" x14ac:dyDescent="0.2">
      <c r="A30" s="5474"/>
      <c r="B30" s="583" t="s">
        <v>420</v>
      </c>
      <c r="C30" s="1193">
        <f>SUM(C27:C29)</f>
        <v>8</v>
      </c>
      <c r="D30" s="1194">
        <f>SUM(D27:D29)</f>
        <v>7</v>
      </c>
      <c r="E30" s="1194">
        <f>SUM(E27:E29)</f>
        <v>44</v>
      </c>
      <c r="F30" s="1185">
        <f t="shared" si="32"/>
        <v>59</v>
      </c>
      <c r="G30" s="1193">
        <f>SUM(G27:G29)</f>
        <v>5</v>
      </c>
      <c r="H30" s="1194">
        <f>SUM(H27:H29)</f>
        <v>27</v>
      </c>
      <c r="I30" s="1194">
        <f>SUM(I27:I29)</f>
        <v>18</v>
      </c>
      <c r="J30" s="1185">
        <f t="shared" si="33"/>
        <v>50</v>
      </c>
      <c r="K30" s="1193">
        <f>SUM(K27:K29)</f>
        <v>9</v>
      </c>
      <c r="L30" s="1194">
        <f>SUM(L27:L29)</f>
        <v>55</v>
      </c>
      <c r="M30" s="1194">
        <f>SUM(M27:M29)</f>
        <v>24</v>
      </c>
      <c r="N30" s="1185">
        <f t="shared" si="34"/>
        <v>88</v>
      </c>
      <c r="O30" s="1193">
        <f>SUM(O27:O29)</f>
        <v>18</v>
      </c>
      <c r="P30" s="1194">
        <f>SUM(P27:P29)</f>
        <v>22</v>
      </c>
      <c r="Q30" s="1194">
        <f>SUM(Q27:Q29)</f>
        <v>17</v>
      </c>
      <c r="R30" s="1185">
        <f t="shared" si="35"/>
        <v>57</v>
      </c>
      <c r="S30" s="1193">
        <v>16</v>
      </c>
      <c r="T30" s="1194">
        <v>26</v>
      </c>
      <c r="U30" s="1194">
        <v>40</v>
      </c>
      <c r="V30" s="1185">
        <v>82</v>
      </c>
      <c r="W30" s="1193">
        <v>22</v>
      </c>
      <c r="X30" s="1194">
        <v>69</v>
      </c>
      <c r="Y30" s="1194">
        <v>26</v>
      </c>
      <c r="Z30" s="1194">
        <v>117</v>
      </c>
      <c r="AA30" s="1193">
        <v>13</v>
      </c>
      <c r="AB30" s="1194">
        <v>93</v>
      </c>
      <c r="AC30" s="1194">
        <v>18</v>
      </c>
      <c r="AD30" s="1185">
        <v>124</v>
      </c>
      <c r="AE30" s="1194">
        <v>10</v>
      </c>
      <c r="AF30" s="1194">
        <v>53</v>
      </c>
      <c r="AG30" s="1194">
        <v>101</v>
      </c>
      <c r="AH30" s="1185">
        <v>164</v>
      </c>
      <c r="AI30" s="1194">
        <v>24</v>
      </c>
      <c r="AJ30" s="1194">
        <v>59</v>
      </c>
      <c r="AK30" s="1194">
        <v>26</v>
      </c>
      <c r="AL30" s="1194">
        <v>109</v>
      </c>
      <c r="AM30" s="578">
        <v>80</v>
      </c>
      <c r="AN30" s="579">
        <v>44</v>
      </c>
      <c r="AO30" s="579">
        <v>26</v>
      </c>
      <c r="AP30" s="579">
        <v>150</v>
      </c>
      <c r="AQ30" s="578">
        <v>30</v>
      </c>
      <c r="AR30" s="579">
        <v>59</v>
      </c>
      <c r="AS30" s="579">
        <v>36</v>
      </c>
      <c r="AT30" s="580">
        <v>125</v>
      </c>
      <c r="AU30" s="578">
        <f>SUM(AU27:AU29)</f>
        <v>33</v>
      </c>
      <c r="AV30" s="579">
        <f>SUM(AV27:AV29)</f>
        <v>81</v>
      </c>
      <c r="AW30" s="579">
        <f>SUM(AW27:AW29)</f>
        <v>26</v>
      </c>
      <c r="AX30" s="580">
        <f t="shared" si="36"/>
        <v>140</v>
      </c>
      <c r="AY30" s="578">
        <f>SUM(AY27:AY29)</f>
        <v>141</v>
      </c>
      <c r="AZ30" s="579">
        <f>SUM(AZ27:AZ29)</f>
        <v>48</v>
      </c>
      <c r="BA30" s="579">
        <f>SUM(BA27:BA29)</f>
        <v>77</v>
      </c>
      <c r="BB30" s="580">
        <f t="shared" si="37"/>
        <v>266</v>
      </c>
      <c r="BC30" s="578">
        <f t="shared" ref="BC30:BJ30" si="40">SUM(BC27:BC29)</f>
        <v>33</v>
      </c>
      <c r="BD30" s="579">
        <f t="shared" si="40"/>
        <v>84</v>
      </c>
      <c r="BE30" s="579">
        <f t="shared" si="40"/>
        <v>95</v>
      </c>
      <c r="BF30" s="580">
        <f t="shared" si="40"/>
        <v>212</v>
      </c>
      <c r="BG30" s="578">
        <f t="shared" si="40"/>
        <v>64</v>
      </c>
      <c r="BH30" s="579">
        <f t="shared" si="40"/>
        <v>38</v>
      </c>
      <c r="BI30" s="579">
        <f t="shared" si="40"/>
        <v>37</v>
      </c>
      <c r="BJ30" s="580">
        <f t="shared" si="40"/>
        <v>139</v>
      </c>
      <c r="BK30" s="578">
        <f t="shared" ref="BK30:BR30" si="41">SUM(BK27:BK29)</f>
        <v>33</v>
      </c>
      <c r="BL30" s="579">
        <f t="shared" si="41"/>
        <v>72</v>
      </c>
      <c r="BM30" s="579">
        <f t="shared" si="41"/>
        <v>110</v>
      </c>
      <c r="BN30" s="580">
        <f t="shared" si="41"/>
        <v>215</v>
      </c>
      <c r="BO30" s="578">
        <f t="shared" si="41"/>
        <v>28</v>
      </c>
      <c r="BP30" s="579">
        <f t="shared" si="41"/>
        <v>34</v>
      </c>
      <c r="BQ30" s="579">
        <f t="shared" si="41"/>
        <v>20</v>
      </c>
      <c r="BR30" s="580">
        <f t="shared" si="41"/>
        <v>82</v>
      </c>
    </row>
    <row r="31" spans="1:70" ht="15" x14ac:dyDescent="0.2">
      <c r="A31" s="5473" t="s">
        <v>11</v>
      </c>
      <c r="B31" s="1067" t="s">
        <v>631</v>
      </c>
      <c r="C31" s="1334">
        <f>+'EGRESO-POS plan'!E68+'EGRESO-POS plan'!E69</f>
        <v>0</v>
      </c>
      <c r="D31" s="1335">
        <f>+'EGRESO-POS plan'!F68+'EGRESO-POS plan'!F69</f>
        <v>0</v>
      </c>
      <c r="E31" s="1335">
        <f>+'EGRESO-POS plan'!G68+'EGRESO-POS plan'!G69</f>
        <v>1</v>
      </c>
      <c r="F31" s="1336">
        <f t="shared" si="32"/>
        <v>1</v>
      </c>
      <c r="G31" s="1334">
        <f>+'EGRESO-POS plan'!I68+'EGRESO-POS plan'!I69</f>
        <v>2</v>
      </c>
      <c r="H31" s="1335">
        <f>+'EGRESO-POS plan'!J68+'EGRESO-POS plan'!J69</f>
        <v>0</v>
      </c>
      <c r="I31" s="1335">
        <f>+'EGRESO-POS plan'!K68+'EGRESO-POS plan'!K69</f>
        <v>0</v>
      </c>
      <c r="J31" s="1336">
        <f t="shared" si="33"/>
        <v>2</v>
      </c>
      <c r="K31" s="1334">
        <f>+'EGRESO-POS plan'!M68+'EGRESO-POS plan'!M69</f>
        <v>0</v>
      </c>
      <c r="L31" s="1335">
        <f>+'EGRESO-POS plan'!N68+'EGRESO-POS plan'!N69</f>
        <v>4</v>
      </c>
      <c r="M31" s="1335">
        <f>+'EGRESO-POS plan'!O68+'EGRESO-POS plan'!O69</f>
        <v>5</v>
      </c>
      <c r="N31" s="1336">
        <f t="shared" si="34"/>
        <v>9</v>
      </c>
      <c r="O31" s="1334">
        <f>+'EGRESO-POS plan'!Q68+'EGRESO-POS plan'!Q69</f>
        <v>0</v>
      </c>
      <c r="P31" s="1335">
        <f>+'EGRESO-POS plan'!R68+'EGRESO-POS plan'!R69</f>
        <v>1</v>
      </c>
      <c r="Q31" s="1335">
        <f>+'EGRESO-POS plan'!S68+'EGRESO-POS plan'!S69</f>
        <v>0</v>
      </c>
      <c r="R31" s="1336">
        <f t="shared" si="35"/>
        <v>1</v>
      </c>
      <c r="S31" s="1334">
        <v>14</v>
      </c>
      <c r="T31" s="1335">
        <v>6</v>
      </c>
      <c r="U31" s="1335">
        <v>1</v>
      </c>
      <c r="V31" s="1336">
        <v>21</v>
      </c>
      <c r="W31" s="1334">
        <v>1</v>
      </c>
      <c r="X31" s="1335">
        <v>7</v>
      </c>
      <c r="Y31" s="1335">
        <v>6</v>
      </c>
      <c r="Z31" s="1337">
        <v>14</v>
      </c>
      <c r="AA31" s="1334">
        <v>3</v>
      </c>
      <c r="AB31" s="1335">
        <v>9</v>
      </c>
      <c r="AC31" s="1335">
        <v>4</v>
      </c>
      <c r="AD31" s="1336">
        <v>16</v>
      </c>
      <c r="AE31" s="1335">
        <v>0</v>
      </c>
      <c r="AF31" s="1335">
        <v>6</v>
      </c>
      <c r="AG31" s="1335">
        <v>5</v>
      </c>
      <c r="AH31" s="1336">
        <v>11</v>
      </c>
      <c r="AI31" s="1335">
        <v>4</v>
      </c>
      <c r="AJ31" s="1335">
        <v>8</v>
      </c>
      <c r="AK31" s="1335">
        <v>10</v>
      </c>
      <c r="AL31" s="1337">
        <v>22</v>
      </c>
      <c r="AM31" s="1068">
        <v>5</v>
      </c>
      <c r="AN31" s="1069">
        <v>6</v>
      </c>
      <c r="AO31" s="1069">
        <v>5</v>
      </c>
      <c r="AP31" s="1086">
        <v>16</v>
      </c>
      <c r="AQ31" s="1068">
        <v>7</v>
      </c>
      <c r="AR31" s="1069">
        <v>15</v>
      </c>
      <c r="AS31" s="1069">
        <v>3</v>
      </c>
      <c r="AT31" s="1086">
        <v>25</v>
      </c>
      <c r="AU31" s="1068">
        <v>3</v>
      </c>
      <c r="AV31" s="1069">
        <v>11</v>
      </c>
      <c r="AW31" s="1069">
        <v>8</v>
      </c>
      <c r="AX31" s="1086">
        <f t="shared" si="36"/>
        <v>22</v>
      </c>
      <c r="AY31" s="1068">
        <v>7</v>
      </c>
      <c r="AZ31" s="1069">
        <v>8</v>
      </c>
      <c r="BA31" s="1069">
        <v>7</v>
      </c>
      <c r="BB31" s="1086">
        <f t="shared" si="37"/>
        <v>22</v>
      </c>
      <c r="BC31" s="1068">
        <f>SUM('EGRESO-POS plan'!BE68,'EGRESO-POS plan'!BE69)</f>
        <v>3</v>
      </c>
      <c r="BD31" s="1069">
        <f>SUM('EGRESO-POS plan'!BF68,'EGRESO-POS plan'!BF69)</f>
        <v>8</v>
      </c>
      <c r="BE31" s="1069">
        <f>SUM('EGRESO-POS plan'!BG68,'EGRESO-POS plan'!BG69)</f>
        <v>6</v>
      </c>
      <c r="BF31" s="1086">
        <f>SUM(BC31:BE31)</f>
        <v>17</v>
      </c>
      <c r="BG31" s="1068">
        <f>SUM('EGRESO-POS plan'!BI68,'EGRESO-POS plan'!BI69)</f>
        <v>7</v>
      </c>
      <c r="BH31" s="1069">
        <f>SUM('EGRESO-POS plan'!BJ68,'EGRESO-POS plan'!BJ69)</f>
        <v>9</v>
      </c>
      <c r="BI31" s="1069">
        <f>SUM('EGRESO-POS plan'!BK68,'EGRESO-POS plan'!BK69)</f>
        <v>13</v>
      </c>
      <c r="BJ31" s="1086">
        <f>SUM(BG31:BI31)</f>
        <v>29</v>
      </c>
      <c r="BK31" s="1068">
        <f>SUM('EGRESO-POS plan'!BM68,'EGRESO-POS plan'!BM69)</f>
        <v>1</v>
      </c>
      <c r="BL31" s="1069">
        <f>SUM('EGRESO-POS plan'!BN68,'EGRESO-POS plan'!BN69)</f>
        <v>6</v>
      </c>
      <c r="BM31" s="1069">
        <f>SUM('EGRESO-POS plan'!BO68,'EGRESO-POS plan'!BO69)</f>
        <v>5</v>
      </c>
      <c r="BN31" s="1086">
        <f>SUM(BK31:BM31)</f>
        <v>12</v>
      </c>
      <c r="BO31" s="1068">
        <f>SUM('EGRESO-POS plan'!BQ68,'EGRESO-POS plan'!BQ69)</f>
        <v>5</v>
      </c>
      <c r="BP31" s="1069">
        <f>SUM('EGRESO-POS plan'!BR68,'EGRESO-POS plan'!BR69)</f>
        <v>5</v>
      </c>
      <c r="BQ31" s="1069">
        <f>SUM('EGRESO-POS plan'!BS68,'EGRESO-POS plan'!BS69)</f>
        <v>10</v>
      </c>
      <c r="BR31" s="1086">
        <f>SUM(BO31:BQ31)</f>
        <v>20</v>
      </c>
    </row>
    <row r="32" spans="1:70" ht="15" x14ac:dyDescent="0.2">
      <c r="A32" s="5474"/>
      <c r="B32" s="1072" t="s">
        <v>632</v>
      </c>
      <c r="C32" s="1338">
        <f>+'EGRESO-POS plan'!E70+'EGRESO-POS plan'!E71+'EGRESO-POS plan'!E72+'EGRESO-POS plan'!E73+'EGRESO-POS plan'!E74</f>
        <v>1</v>
      </c>
      <c r="D32" s="1339">
        <f>+'EGRESO-POS plan'!F70+'EGRESO-POS plan'!F71+'EGRESO-POS plan'!F72+'EGRESO-POS plan'!F73+'EGRESO-POS plan'!F74</f>
        <v>10</v>
      </c>
      <c r="E32" s="1339">
        <f>+'EGRESO-POS plan'!G70+'EGRESO-POS plan'!G71+'EGRESO-POS plan'!G72+'EGRESO-POS plan'!G73+'EGRESO-POS plan'!G74</f>
        <v>11</v>
      </c>
      <c r="F32" s="1340">
        <f t="shared" si="32"/>
        <v>22</v>
      </c>
      <c r="G32" s="1338">
        <f>+'EGRESO-POS plan'!I70+'EGRESO-POS plan'!I71+'EGRESO-POS plan'!I72+'EGRESO-POS plan'!I73+'EGRESO-POS plan'!I74</f>
        <v>5</v>
      </c>
      <c r="H32" s="1339">
        <f>+'EGRESO-POS plan'!J70+'EGRESO-POS plan'!J71+'EGRESO-POS plan'!J72+'EGRESO-POS plan'!J73+'EGRESO-POS plan'!J74</f>
        <v>10</v>
      </c>
      <c r="I32" s="1339">
        <f>+'EGRESO-POS plan'!K70+'EGRESO-POS plan'!K71+'EGRESO-POS plan'!K72+'EGRESO-POS plan'!K73+'EGRESO-POS plan'!K74</f>
        <v>3</v>
      </c>
      <c r="J32" s="1340">
        <f t="shared" si="33"/>
        <v>18</v>
      </c>
      <c r="K32" s="1338">
        <f>+'EGRESO-POS plan'!M70+'EGRESO-POS plan'!M71+'EGRESO-POS plan'!M72+'EGRESO-POS plan'!M73+'EGRESO-POS plan'!M74</f>
        <v>3</v>
      </c>
      <c r="L32" s="1339">
        <f>+'EGRESO-POS plan'!N70+'EGRESO-POS plan'!N71+'EGRESO-POS plan'!N72+'EGRESO-POS plan'!N73+'EGRESO-POS plan'!N74</f>
        <v>9</v>
      </c>
      <c r="M32" s="1339">
        <f>+'EGRESO-POS plan'!O70+'EGRESO-POS plan'!O71+'EGRESO-POS plan'!O72+'EGRESO-POS plan'!O73+'EGRESO-POS plan'!O74</f>
        <v>18</v>
      </c>
      <c r="N32" s="1340">
        <f t="shared" si="34"/>
        <v>30</v>
      </c>
      <c r="O32" s="1338">
        <f>+'EGRESO-POS plan'!Q70+'EGRESO-POS plan'!Q71+'EGRESO-POS plan'!Q72+'EGRESO-POS plan'!Q73+'EGRESO-POS plan'!Q74</f>
        <v>5</v>
      </c>
      <c r="P32" s="1339">
        <f>+'EGRESO-POS plan'!R70+'EGRESO-POS plan'!R71+'EGRESO-POS plan'!R72+'EGRESO-POS plan'!R73+'EGRESO-POS plan'!R74</f>
        <v>13</v>
      </c>
      <c r="Q32" s="1339">
        <f>+'EGRESO-POS plan'!S70+'EGRESO-POS plan'!S71+'EGRESO-POS plan'!S72+'EGRESO-POS plan'!S73+'EGRESO-POS plan'!S74</f>
        <v>9</v>
      </c>
      <c r="R32" s="1340">
        <f t="shared" si="35"/>
        <v>27</v>
      </c>
      <c r="S32" s="1338">
        <v>3</v>
      </c>
      <c r="T32" s="1339">
        <v>6</v>
      </c>
      <c r="U32" s="1339">
        <v>14</v>
      </c>
      <c r="V32" s="1340">
        <v>23</v>
      </c>
      <c r="W32" s="1338">
        <v>4</v>
      </c>
      <c r="X32" s="1339">
        <v>25</v>
      </c>
      <c r="Y32" s="1339">
        <v>13</v>
      </c>
      <c r="Z32" s="1341">
        <v>42</v>
      </c>
      <c r="AA32" s="1338">
        <v>8</v>
      </c>
      <c r="AB32" s="1339">
        <v>7</v>
      </c>
      <c r="AC32" s="1339">
        <v>15</v>
      </c>
      <c r="AD32" s="1340">
        <v>30</v>
      </c>
      <c r="AE32" s="1339">
        <v>8</v>
      </c>
      <c r="AF32" s="1339">
        <v>13</v>
      </c>
      <c r="AG32" s="1339">
        <v>14</v>
      </c>
      <c r="AH32" s="1340">
        <v>35</v>
      </c>
      <c r="AI32" s="1339">
        <v>11</v>
      </c>
      <c r="AJ32" s="1339">
        <v>6</v>
      </c>
      <c r="AK32" s="1339">
        <v>7</v>
      </c>
      <c r="AL32" s="1341">
        <v>24</v>
      </c>
      <c r="AM32" s="1073">
        <v>14</v>
      </c>
      <c r="AN32" s="1074">
        <v>7</v>
      </c>
      <c r="AO32" s="1074">
        <v>13</v>
      </c>
      <c r="AP32" s="1077">
        <v>34</v>
      </c>
      <c r="AQ32" s="1073">
        <v>9</v>
      </c>
      <c r="AR32" s="1074">
        <v>6</v>
      </c>
      <c r="AS32" s="1074">
        <v>19</v>
      </c>
      <c r="AT32" s="1077">
        <v>34</v>
      </c>
      <c r="AU32" s="1073">
        <v>27</v>
      </c>
      <c r="AV32" s="1074">
        <v>16</v>
      </c>
      <c r="AW32" s="1074">
        <v>9</v>
      </c>
      <c r="AX32" s="1077">
        <f t="shared" si="36"/>
        <v>52</v>
      </c>
      <c r="AY32" s="1073">
        <v>8</v>
      </c>
      <c r="AZ32" s="1074">
        <v>20</v>
      </c>
      <c r="BA32" s="1074">
        <v>19</v>
      </c>
      <c r="BB32" s="1077">
        <f t="shared" si="37"/>
        <v>47</v>
      </c>
      <c r="BC32" s="1073">
        <f>SUM('EGRESO-POS plan'!BE70,'EGRESO-POS plan'!BE71,'EGRESO-POS plan'!BE72,'EGRESO-POS plan'!BE73)</f>
        <v>18</v>
      </c>
      <c r="BD32" s="1074">
        <f>SUM('EGRESO-POS plan'!BF70,'EGRESO-POS plan'!BF71,'EGRESO-POS plan'!BF72,'EGRESO-POS plan'!BF73)</f>
        <v>12</v>
      </c>
      <c r="BE32" s="1074">
        <f>SUM('EGRESO-POS plan'!BG70,'EGRESO-POS plan'!BG71,'EGRESO-POS plan'!BG72,'EGRESO-POS plan'!BG73)</f>
        <v>15</v>
      </c>
      <c r="BF32" s="1077">
        <f>SUM(BC32:BE32)</f>
        <v>45</v>
      </c>
      <c r="BG32" s="1073">
        <f>SUM('EGRESO-POS plan'!BI70,'EGRESO-POS plan'!BI71,'EGRESO-POS plan'!BI72,'EGRESO-POS plan'!BI73)</f>
        <v>10</v>
      </c>
      <c r="BH32" s="1074">
        <f>SUM('EGRESO-POS plan'!BJ70,'EGRESO-POS plan'!BJ71,'EGRESO-POS plan'!BJ72,'EGRESO-POS plan'!BJ73)</f>
        <v>16</v>
      </c>
      <c r="BI32" s="1074">
        <f>SUM('EGRESO-POS plan'!BK70,'EGRESO-POS plan'!BK71,'EGRESO-POS plan'!BK72,'EGRESO-POS plan'!BK73)</f>
        <v>26</v>
      </c>
      <c r="BJ32" s="1077">
        <f>SUM(BG32:BI32)</f>
        <v>52</v>
      </c>
      <c r="BK32" s="1073">
        <f>SUM('EGRESO-POS plan'!BM70,'EGRESO-POS plan'!BM71,'EGRESO-POS plan'!BM72,'EGRESO-POS plan'!BM73)</f>
        <v>20</v>
      </c>
      <c r="BL32" s="1074">
        <f>SUM('EGRESO-POS plan'!BN70,'EGRESO-POS plan'!BN71,'EGRESO-POS plan'!BN72,'EGRESO-POS plan'!BN73)</f>
        <v>22</v>
      </c>
      <c r="BM32" s="1074">
        <f>SUM('EGRESO-POS plan'!BO70,'EGRESO-POS plan'!BO71,'EGRESO-POS plan'!BO72,'EGRESO-POS plan'!BO73)</f>
        <v>21</v>
      </c>
      <c r="BN32" s="1077">
        <f>SUM(BK32:BM32)</f>
        <v>63</v>
      </c>
      <c r="BO32" s="1073">
        <f>SUM('EGRESO-POS plan'!BQ70,'EGRESO-POS plan'!BQ71,'EGRESO-POS plan'!BQ72,'EGRESO-POS plan'!BQ73)</f>
        <v>8</v>
      </c>
      <c r="BP32" s="1074">
        <f>SUM('EGRESO-POS plan'!BR70,'EGRESO-POS plan'!BR71,'EGRESO-POS plan'!BR72,'EGRESO-POS plan'!BR73)</f>
        <v>32</v>
      </c>
      <c r="BQ32" s="1074">
        <f>SUM('EGRESO-POS plan'!BS70,'EGRESO-POS plan'!BS71,'EGRESO-POS plan'!BS72,'EGRESO-POS plan'!BS73)</f>
        <v>18</v>
      </c>
      <c r="BR32" s="1077">
        <f>SUM(BO32:BQ32)</f>
        <v>58</v>
      </c>
    </row>
    <row r="33" spans="1:70" ht="15" x14ac:dyDescent="0.2">
      <c r="A33" s="5474"/>
      <c r="B33" s="1078" t="s">
        <v>633</v>
      </c>
      <c r="C33" s="1338">
        <f>+'EGRESO-POS plan'!E77</f>
        <v>2</v>
      </c>
      <c r="D33" s="1339">
        <f>+'EGRESO-POS plan'!F77</f>
        <v>2</v>
      </c>
      <c r="E33" s="1339">
        <f>+'EGRESO-POS plan'!G77</f>
        <v>1</v>
      </c>
      <c r="F33" s="1340">
        <f t="shared" si="32"/>
        <v>5</v>
      </c>
      <c r="G33" s="1338">
        <f>+'EGRESO-POS plan'!I75+'EGRESO-POS plan'!I76+'EGRESO-POS plan'!I77</f>
        <v>4</v>
      </c>
      <c r="H33" s="1339">
        <f>+'EGRESO-POS plan'!J75+'EGRESO-POS plan'!J76+'EGRESO-POS plan'!J77</f>
        <v>3</v>
      </c>
      <c r="I33" s="1339">
        <f>+'EGRESO-POS plan'!K75+'EGRESO-POS plan'!K76+'EGRESO-POS plan'!K77</f>
        <v>3</v>
      </c>
      <c r="J33" s="1340">
        <f t="shared" si="33"/>
        <v>10</v>
      </c>
      <c r="K33" s="1338">
        <f>+'EGRESO-POS plan'!M75+'EGRESO-POS plan'!M76+'EGRESO-POS plan'!M77</f>
        <v>4</v>
      </c>
      <c r="L33" s="1339">
        <f>+'EGRESO-POS plan'!N75+'EGRESO-POS plan'!N76+'EGRESO-POS plan'!N77</f>
        <v>3</v>
      </c>
      <c r="M33" s="1339">
        <f>+'EGRESO-POS plan'!O75+'EGRESO-POS plan'!O76+'EGRESO-POS plan'!O77</f>
        <v>3</v>
      </c>
      <c r="N33" s="1340">
        <f t="shared" si="34"/>
        <v>10</v>
      </c>
      <c r="O33" s="1338">
        <f>+'EGRESO-POS plan'!Q75+'EGRESO-POS plan'!Q76+'EGRESO-POS plan'!Q77</f>
        <v>6</v>
      </c>
      <c r="P33" s="1339">
        <f>+'EGRESO-POS plan'!R75+'EGRESO-POS plan'!R76+'EGRESO-POS plan'!R77</f>
        <v>5</v>
      </c>
      <c r="Q33" s="1339">
        <f>+'EGRESO-POS plan'!S75+'EGRESO-POS plan'!S76+'EGRESO-POS plan'!S77</f>
        <v>2</v>
      </c>
      <c r="R33" s="1340">
        <f t="shared" si="35"/>
        <v>13</v>
      </c>
      <c r="S33" s="1338">
        <v>5</v>
      </c>
      <c r="T33" s="1339">
        <v>7</v>
      </c>
      <c r="U33" s="1339">
        <v>6</v>
      </c>
      <c r="V33" s="1340">
        <v>18</v>
      </c>
      <c r="W33" s="1338">
        <v>8</v>
      </c>
      <c r="X33" s="1339">
        <v>12</v>
      </c>
      <c r="Y33" s="1339">
        <v>6</v>
      </c>
      <c r="Z33" s="1341">
        <v>26</v>
      </c>
      <c r="AA33" s="1338">
        <v>13</v>
      </c>
      <c r="AB33" s="1339">
        <v>6</v>
      </c>
      <c r="AC33" s="1339">
        <v>5</v>
      </c>
      <c r="AD33" s="1340">
        <v>24</v>
      </c>
      <c r="AE33" s="1339">
        <v>7</v>
      </c>
      <c r="AF33" s="1339">
        <v>7</v>
      </c>
      <c r="AG33" s="1339">
        <v>3</v>
      </c>
      <c r="AH33" s="1340">
        <v>17</v>
      </c>
      <c r="AI33" s="1339">
        <v>5</v>
      </c>
      <c r="AJ33" s="1339">
        <v>8</v>
      </c>
      <c r="AK33" s="1339">
        <v>12</v>
      </c>
      <c r="AL33" s="1341">
        <v>25</v>
      </c>
      <c r="AM33" s="1073">
        <v>9</v>
      </c>
      <c r="AN33" s="1074">
        <v>7</v>
      </c>
      <c r="AO33" s="1074">
        <v>9</v>
      </c>
      <c r="AP33" s="1077">
        <v>25</v>
      </c>
      <c r="AQ33" s="1073">
        <v>14</v>
      </c>
      <c r="AR33" s="1074">
        <v>14</v>
      </c>
      <c r="AS33" s="1074">
        <v>14</v>
      </c>
      <c r="AT33" s="1077">
        <v>42</v>
      </c>
      <c r="AU33" s="1073">
        <v>8</v>
      </c>
      <c r="AV33" s="1074">
        <v>11</v>
      </c>
      <c r="AW33" s="1074">
        <v>9</v>
      </c>
      <c r="AX33" s="1077">
        <f t="shared" si="36"/>
        <v>28</v>
      </c>
      <c r="AY33" s="1073">
        <v>17</v>
      </c>
      <c r="AZ33" s="1074">
        <v>6</v>
      </c>
      <c r="BA33" s="1074">
        <v>7</v>
      </c>
      <c r="BB33" s="1077">
        <f t="shared" si="37"/>
        <v>30</v>
      </c>
      <c r="BC33" s="1073">
        <f>SUM('EGRESO-POS plan'!BE75,'EGRESO-POS plan'!BE76,'EGRESO-POS plan'!BE77)</f>
        <v>8</v>
      </c>
      <c r="BD33" s="1074">
        <f>SUM('EGRESO-POS plan'!BF75,'EGRESO-POS plan'!BF76,'EGRESO-POS plan'!BF77)</f>
        <v>8</v>
      </c>
      <c r="BE33" s="1074">
        <f>SUM('EGRESO-POS plan'!BG75,'EGRESO-POS plan'!BG76,'EGRESO-POS plan'!BG77)</f>
        <v>16</v>
      </c>
      <c r="BF33" s="1077">
        <f>SUM(BC33:BE33)</f>
        <v>32</v>
      </c>
      <c r="BG33" s="1073">
        <f>SUM('EGRESO-POS plan'!BI75,'EGRESO-POS plan'!BI76,'EGRESO-POS plan'!BI77)</f>
        <v>10</v>
      </c>
      <c r="BH33" s="1074">
        <f>SUM('EGRESO-POS plan'!BJ75,'EGRESO-POS plan'!BJ76,'EGRESO-POS plan'!BJ77)</f>
        <v>15</v>
      </c>
      <c r="BI33" s="1074">
        <f>SUM('EGRESO-POS plan'!BK75,'EGRESO-POS plan'!BK76,'EGRESO-POS plan'!BK77)</f>
        <v>8</v>
      </c>
      <c r="BJ33" s="1077">
        <f>SUM(BG33:BI33)</f>
        <v>33</v>
      </c>
      <c r="BK33" s="1073">
        <f>SUM('EGRESO-POS plan'!BM75,'EGRESO-POS plan'!BM76,'EGRESO-POS plan'!BM77)</f>
        <v>5</v>
      </c>
      <c r="BL33" s="1074">
        <f>SUM('EGRESO-POS plan'!BN75,'EGRESO-POS plan'!BN76,'EGRESO-POS plan'!BN77)</f>
        <v>22</v>
      </c>
      <c r="BM33" s="1074">
        <f>SUM('EGRESO-POS plan'!BO75,'EGRESO-POS plan'!BO76,'EGRESO-POS plan'!BO77)</f>
        <v>11</v>
      </c>
      <c r="BN33" s="1077">
        <f>SUM(BK33:BM33)</f>
        <v>38</v>
      </c>
      <c r="BO33" s="1073">
        <f>SUM('EGRESO-POS plan'!BQ75,'EGRESO-POS plan'!BQ76,'EGRESO-POS plan'!BQ77)</f>
        <v>16</v>
      </c>
      <c r="BP33" s="1074">
        <f>SUM('EGRESO-POS plan'!BR75,'EGRESO-POS plan'!BR76,'EGRESO-POS plan'!BR77)</f>
        <v>12</v>
      </c>
      <c r="BQ33" s="1074">
        <f>SUM('EGRESO-POS plan'!BS75,'EGRESO-POS plan'!BS76,'EGRESO-POS plan'!BS77)</f>
        <v>12</v>
      </c>
      <c r="BR33" s="1077">
        <f>SUM(BO33:BQ33)</f>
        <v>40</v>
      </c>
    </row>
    <row r="34" spans="1:70" s="222" customFormat="1" ht="15" x14ac:dyDescent="0.2">
      <c r="A34" s="5474"/>
      <c r="B34" s="583" t="s">
        <v>421</v>
      </c>
      <c r="C34" s="1193">
        <f>SUM(C31:C33)</f>
        <v>3</v>
      </c>
      <c r="D34" s="1194">
        <f>SUM(D31:D33)</f>
        <v>12</v>
      </c>
      <c r="E34" s="1194">
        <f>SUM(E31:E33)</f>
        <v>13</v>
      </c>
      <c r="F34" s="1185">
        <f>SUM(C34:E34)</f>
        <v>28</v>
      </c>
      <c r="G34" s="1193">
        <f>SUM(G31:G33)</f>
        <v>11</v>
      </c>
      <c r="H34" s="1194">
        <f>SUM(H31:H33)</f>
        <v>13</v>
      </c>
      <c r="I34" s="1194">
        <f>SUM(I31:I33)</f>
        <v>6</v>
      </c>
      <c r="J34" s="1185">
        <f t="shared" si="33"/>
        <v>30</v>
      </c>
      <c r="K34" s="1193">
        <f>SUM(K31:K33)</f>
        <v>7</v>
      </c>
      <c r="L34" s="1194">
        <f>SUM(L31:L33)</f>
        <v>16</v>
      </c>
      <c r="M34" s="1194">
        <f>SUM(M31:M33)</f>
        <v>26</v>
      </c>
      <c r="N34" s="1185">
        <f t="shared" si="34"/>
        <v>49</v>
      </c>
      <c r="O34" s="1193">
        <f>SUM(O31:O33)</f>
        <v>11</v>
      </c>
      <c r="P34" s="1194">
        <f>SUM(P31:P33)</f>
        <v>19</v>
      </c>
      <c r="Q34" s="1194">
        <f>SUM(Q31:Q33)</f>
        <v>11</v>
      </c>
      <c r="R34" s="1185">
        <f t="shared" si="35"/>
        <v>41</v>
      </c>
      <c r="S34" s="1193">
        <v>22</v>
      </c>
      <c r="T34" s="1194">
        <v>19</v>
      </c>
      <c r="U34" s="1194">
        <v>21</v>
      </c>
      <c r="V34" s="1185">
        <v>62</v>
      </c>
      <c r="W34" s="1193">
        <v>13</v>
      </c>
      <c r="X34" s="1194">
        <v>44</v>
      </c>
      <c r="Y34" s="1194">
        <v>25</v>
      </c>
      <c r="Z34" s="1194">
        <v>82</v>
      </c>
      <c r="AA34" s="1193">
        <v>24</v>
      </c>
      <c r="AB34" s="1194">
        <v>22</v>
      </c>
      <c r="AC34" s="1194">
        <v>24</v>
      </c>
      <c r="AD34" s="1185">
        <v>70</v>
      </c>
      <c r="AE34" s="1194">
        <v>15</v>
      </c>
      <c r="AF34" s="1194">
        <v>26</v>
      </c>
      <c r="AG34" s="1194">
        <v>22</v>
      </c>
      <c r="AH34" s="1185">
        <v>63</v>
      </c>
      <c r="AI34" s="1194">
        <v>20</v>
      </c>
      <c r="AJ34" s="1194">
        <v>22</v>
      </c>
      <c r="AK34" s="1194">
        <v>29</v>
      </c>
      <c r="AL34" s="1194">
        <v>71</v>
      </c>
      <c r="AM34" s="578">
        <v>28</v>
      </c>
      <c r="AN34" s="579">
        <v>20</v>
      </c>
      <c r="AO34" s="579">
        <v>27</v>
      </c>
      <c r="AP34" s="579">
        <v>75</v>
      </c>
      <c r="AQ34" s="578">
        <v>30</v>
      </c>
      <c r="AR34" s="579">
        <v>35</v>
      </c>
      <c r="AS34" s="579">
        <v>36</v>
      </c>
      <c r="AT34" s="580">
        <v>101</v>
      </c>
      <c r="AU34" s="578">
        <f>SUM(AU31:AU33)</f>
        <v>38</v>
      </c>
      <c r="AV34" s="579">
        <f>SUM(AV31:AV33)</f>
        <v>38</v>
      </c>
      <c r="AW34" s="579">
        <f>SUM(AW31:AW33)</f>
        <v>26</v>
      </c>
      <c r="AX34" s="580">
        <f t="shared" si="36"/>
        <v>102</v>
      </c>
      <c r="AY34" s="578">
        <f>SUM(AY31:AY33)</f>
        <v>32</v>
      </c>
      <c r="AZ34" s="579">
        <f>SUM(AZ31:AZ33)</f>
        <v>34</v>
      </c>
      <c r="BA34" s="579">
        <f>SUM(BA31:BA33)</f>
        <v>33</v>
      </c>
      <c r="BB34" s="580">
        <f t="shared" si="37"/>
        <v>99</v>
      </c>
      <c r="BC34" s="578">
        <f t="shared" ref="BC34:BJ34" si="42">SUM(BC31:BC33)</f>
        <v>29</v>
      </c>
      <c r="BD34" s="579">
        <f t="shared" si="42"/>
        <v>28</v>
      </c>
      <c r="BE34" s="579">
        <f t="shared" si="42"/>
        <v>37</v>
      </c>
      <c r="BF34" s="580">
        <f t="shared" si="42"/>
        <v>94</v>
      </c>
      <c r="BG34" s="578">
        <f t="shared" si="42"/>
        <v>27</v>
      </c>
      <c r="BH34" s="579">
        <f t="shared" si="42"/>
        <v>40</v>
      </c>
      <c r="BI34" s="579">
        <f t="shared" si="42"/>
        <v>47</v>
      </c>
      <c r="BJ34" s="580">
        <f t="shared" si="42"/>
        <v>114</v>
      </c>
      <c r="BK34" s="578">
        <f t="shared" ref="BK34:BR34" si="43">SUM(BK31:BK33)</f>
        <v>26</v>
      </c>
      <c r="BL34" s="579">
        <f t="shared" si="43"/>
        <v>50</v>
      </c>
      <c r="BM34" s="579">
        <f t="shared" si="43"/>
        <v>37</v>
      </c>
      <c r="BN34" s="580">
        <f t="shared" si="43"/>
        <v>113</v>
      </c>
      <c r="BO34" s="578">
        <f t="shared" si="43"/>
        <v>29</v>
      </c>
      <c r="BP34" s="579">
        <f t="shared" si="43"/>
        <v>49</v>
      </c>
      <c r="BQ34" s="579">
        <f t="shared" si="43"/>
        <v>40</v>
      </c>
      <c r="BR34" s="580">
        <f t="shared" si="43"/>
        <v>118</v>
      </c>
    </row>
    <row r="35" spans="1:70" ht="15" customHeight="1" x14ac:dyDescent="0.2">
      <c r="A35" s="5552" t="s">
        <v>696</v>
      </c>
      <c r="B35" s="1067" t="s">
        <v>631</v>
      </c>
      <c r="C35" s="1334">
        <f>+C23+C27+C31</f>
        <v>0</v>
      </c>
      <c r="D35" s="1335">
        <f t="shared" ref="D35:E37" si="44">+D23+D27+D31</f>
        <v>0</v>
      </c>
      <c r="E35" s="1335">
        <f t="shared" si="44"/>
        <v>26</v>
      </c>
      <c r="F35" s="1336">
        <f t="shared" si="32"/>
        <v>26</v>
      </c>
      <c r="G35" s="1334">
        <f t="shared" ref="G35:I37" si="45">+G23+G27+G31</f>
        <v>2</v>
      </c>
      <c r="H35" s="1335">
        <f t="shared" si="45"/>
        <v>3</v>
      </c>
      <c r="I35" s="1335">
        <f t="shared" si="45"/>
        <v>0</v>
      </c>
      <c r="J35" s="1336">
        <f t="shared" si="33"/>
        <v>5</v>
      </c>
      <c r="K35" s="1334">
        <f t="shared" ref="K35:M37" si="46">+K23+K27+K31</f>
        <v>0</v>
      </c>
      <c r="L35" s="1335">
        <f t="shared" si="46"/>
        <v>5</v>
      </c>
      <c r="M35" s="1335">
        <f t="shared" si="46"/>
        <v>5</v>
      </c>
      <c r="N35" s="1336">
        <f t="shared" si="34"/>
        <v>10</v>
      </c>
      <c r="O35" s="1334">
        <f t="shared" ref="O35:Q37" si="47">+O23+O27+O31</f>
        <v>0</v>
      </c>
      <c r="P35" s="1335">
        <f t="shared" si="47"/>
        <v>2</v>
      </c>
      <c r="Q35" s="1335">
        <f t="shared" si="47"/>
        <v>0</v>
      </c>
      <c r="R35" s="1336">
        <f t="shared" si="35"/>
        <v>2</v>
      </c>
      <c r="S35" s="1334">
        <f t="shared" ref="S35:AL37" si="48">S23+S27+S31</f>
        <v>16</v>
      </c>
      <c r="T35" s="1335">
        <f t="shared" si="48"/>
        <v>9</v>
      </c>
      <c r="U35" s="1335">
        <f t="shared" si="48"/>
        <v>7</v>
      </c>
      <c r="V35" s="1336">
        <f t="shared" si="48"/>
        <v>32</v>
      </c>
      <c r="W35" s="1334">
        <f t="shared" si="48"/>
        <v>3</v>
      </c>
      <c r="X35" s="1335">
        <f t="shared" si="48"/>
        <v>39</v>
      </c>
      <c r="Y35" s="1335">
        <f t="shared" si="48"/>
        <v>8</v>
      </c>
      <c r="Z35" s="1337">
        <f t="shared" si="48"/>
        <v>50</v>
      </c>
      <c r="AA35" s="1334">
        <f t="shared" si="48"/>
        <v>3</v>
      </c>
      <c r="AB35" s="1335">
        <f t="shared" si="48"/>
        <v>74</v>
      </c>
      <c r="AC35" s="1335">
        <f t="shared" si="48"/>
        <v>9</v>
      </c>
      <c r="AD35" s="1336">
        <f t="shared" si="48"/>
        <v>86</v>
      </c>
      <c r="AE35" s="1335">
        <f t="shared" si="48"/>
        <v>0</v>
      </c>
      <c r="AF35" s="1335">
        <f t="shared" si="48"/>
        <v>18</v>
      </c>
      <c r="AG35" s="1335">
        <f t="shared" si="48"/>
        <v>63</v>
      </c>
      <c r="AH35" s="1336">
        <f t="shared" si="48"/>
        <v>81</v>
      </c>
      <c r="AI35" s="1335">
        <f t="shared" si="48"/>
        <v>4</v>
      </c>
      <c r="AJ35" s="1335">
        <f t="shared" si="48"/>
        <v>8</v>
      </c>
      <c r="AK35" s="1335">
        <f t="shared" si="48"/>
        <v>10</v>
      </c>
      <c r="AL35" s="1337">
        <f t="shared" si="48"/>
        <v>22</v>
      </c>
      <c r="AM35" s="1068">
        <v>68</v>
      </c>
      <c r="AN35" s="1069">
        <v>22</v>
      </c>
      <c r="AO35" s="1069">
        <v>6</v>
      </c>
      <c r="AP35" s="1086">
        <v>96</v>
      </c>
      <c r="AQ35" s="1068">
        <f t="shared" ref="AQ35:AW37" si="49">SUM(AQ23,AQ27,AQ31)</f>
        <v>7</v>
      </c>
      <c r="AR35" s="1069">
        <f t="shared" si="49"/>
        <v>15</v>
      </c>
      <c r="AS35" s="1069">
        <f t="shared" si="49"/>
        <v>3</v>
      </c>
      <c r="AT35" s="1086">
        <f t="shared" si="49"/>
        <v>25</v>
      </c>
      <c r="AU35" s="1068">
        <f t="shared" si="49"/>
        <v>3</v>
      </c>
      <c r="AV35" s="1069">
        <f t="shared" si="49"/>
        <v>26</v>
      </c>
      <c r="AW35" s="1069">
        <f t="shared" si="49"/>
        <v>8</v>
      </c>
      <c r="AX35" s="1086">
        <f t="shared" si="36"/>
        <v>37</v>
      </c>
      <c r="AY35" s="1068">
        <f t="shared" ref="AY35:BA37" si="50">SUM(AY23,AY27,AY31)</f>
        <v>68</v>
      </c>
      <c r="AZ35" s="1069">
        <f t="shared" si="50"/>
        <v>9</v>
      </c>
      <c r="BA35" s="1069">
        <f t="shared" si="50"/>
        <v>53</v>
      </c>
      <c r="BB35" s="1086">
        <f t="shared" si="37"/>
        <v>130</v>
      </c>
      <c r="BC35" s="1068">
        <f t="shared" ref="BC35:BJ35" si="51">SUM(BC23,BC27,BC31)</f>
        <v>7</v>
      </c>
      <c r="BD35" s="1069">
        <f t="shared" si="51"/>
        <v>52</v>
      </c>
      <c r="BE35" s="1069">
        <f t="shared" si="51"/>
        <v>58</v>
      </c>
      <c r="BF35" s="1086">
        <f t="shared" si="51"/>
        <v>117</v>
      </c>
      <c r="BG35" s="1068">
        <f t="shared" si="51"/>
        <v>8</v>
      </c>
      <c r="BH35" s="1069">
        <f t="shared" si="51"/>
        <v>22</v>
      </c>
      <c r="BI35" s="1069">
        <f t="shared" si="51"/>
        <v>15</v>
      </c>
      <c r="BJ35" s="1086">
        <f t="shared" si="51"/>
        <v>45</v>
      </c>
      <c r="BK35" s="1068">
        <f t="shared" ref="BK35:BN37" si="52">SUM(BK23,BK27,BK31)</f>
        <v>1</v>
      </c>
      <c r="BL35" s="1069">
        <f t="shared" si="52"/>
        <v>13</v>
      </c>
      <c r="BM35" s="1069">
        <f t="shared" si="52"/>
        <v>22</v>
      </c>
      <c r="BN35" s="1086">
        <f t="shared" si="52"/>
        <v>36</v>
      </c>
      <c r="BO35" s="1068">
        <f t="shared" ref="BO35:BR35" si="53">SUM(BO23,BO27,BO31)</f>
        <v>5</v>
      </c>
      <c r="BP35" s="1069">
        <f t="shared" si="53"/>
        <v>20</v>
      </c>
      <c r="BQ35" s="1069">
        <f t="shared" si="53"/>
        <v>10</v>
      </c>
      <c r="BR35" s="1086">
        <f t="shared" si="53"/>
        <v>35</v>
      </c>
    </row>
    <row r="36" spans="1:70" ht="15" x14ac:dyDescent="0.2">
      <c r="A36" s="5553"/>
      <c r="B36" s="1072" t="s">
        <v>632</v>
      </c>
      <c r="C36" s="1338">
        <f>+C24+C28+C32</f>
        <v>13</v>
      </c>
      <c r="D36" s="1339">
        <f t="shared" si="44"/>
        <v>37</v>
      </c>
      <c r="E36" s="1339">
        <f t="shared" si="44"/>
        <v>40</v>
      </c>
      <c r="F36" s="1340">
        <f t="shared" si="32"/>
        <v>90</v>
      </c>
      <c r="G36" s="1338">
        <f t="shared" si="45"/>
        <v>16</v>
      </c>
      <c r="H36" s="1339">
        <f t="shared" si="45"/>
        <v>47</v>
      </c>
      <c r="I36" s="1339">
        <f t="shared" si="45"/>
        <v>28</v>
      </c>
      <c r="J36" s="1340">
        <f t="shared" si="33"/>
        <v>91</v>
      </c>
      <c r="K36" s="1338">
        <f t="shared" si="46"/>
        <v>15</v>
      </c>
      <c r="L36" s="1339">
        <f t="shared" si="46"/>
        <v>78</v>
      </c>
      <c r="M36" s="1339">
        <f t="shared" si="46"/>
        <v>46</v>
      </c>
      <c r="N36" s="1340">
        <f t="shared" si="34"/>
        <v>139</v>
      </c>
      <c r="O36" s="1338">
        <f t="shared" si="47"/>
        <v>25</v>
      </c>
      <c r="P36" s="1339">
        <f t="shared" si="47"/>
        <v>37</v>
      </c>
      <c r="Q36" s="1339">
        <f t="shared" si="47"/>
        <v>22</v>
      </c>
      <c r="R36" s="1340">
        <f t="shared" si="35"/>
        <v>84</v>
      </c>
      <c r="S36" s="1338">
        <f t="shared" si="48"/>
        <v>21</v>
      </c>
      <c r="T36" s="1339">
        <f t="shared" si="48"/>
        <v>30</v>
      </c>
      <c r="U36" s="1339">
        <f t="shared" si="48"/>
        <v>35</v>
      </c>
      <c r="V36" s="1340">
        <f t="shared" si="48"/>
        <v>86</v>
      </c>
      <c r="W36" s="1338">
        <f t="shared" si="48"/>
        <v>18</v>
      </c>
      <c r="X36" s="1339">
        <f t="shared" si="48"/>
        <v>55</v>
      </c>
      <c r="Y36" s="1339">
        <f t="shared" si="48"/>
        <v>29</v>
      </c>
      <c r="Z36" s="1341">
        <f t="shared" si="48"/>
        <v>102</v>
      </c>
      <c r="AA36" s="1338">
        <f t="shared" si="48"/>
        <v>27</v>
      </c>
      <c r="AB36" s="1339">
        <f t="shared" si="48"/>
        <v>28</v>
      </c>
      <c r="AC36" s="1339">
        <f t="shared" si="48"/>
        <v>23</v>
      </c>
      <c r="AD36" s="1340">
        <f t="shared" si="48"/>
        <v>78</v>
      </c>
      <c r="AE36" s="1339">
        <f t="shared" si="48"/>
        <v>21</v>
      </c>
      <c r="AF36" s="1339">
        <f t="shared" si="48"/>
        <v>46</v>
      </c>
      <c r="AG36" s="1339">
        <f t="shared" si="48"/>
        <v>41</v>
      </c>
      <c r="AH36" s="1340">
        <f t="shared" si="48"/>
        <v>108</v>
      </c>
      <c r="AI36" s="1339">
        <f t="shared" si="48"/>
        <v>27</v>
      </c>
      <c r="AJ36" s="1339">
        <f t="shared" si="48"/>
        <v>57</v>
      </c>
      <c r="AK36" s="1339">
        <f t="shared" si="48"/>
        <v>28</v>
      </c>
      <c r="AL36" s="1341">
        <f t="shared" si="48"/>
        <v>112</v>
      </c>
      <c r="AM36" s="1073">
        <v>28</v>
      </c>
      <c r="AN36" s="1074">
        <v>30</v>
      </c>
      <c r="AO36" s="1074">
        <v>37</v>
      </c>
      <c r="AP36" s="1077">
        <v>95</v>
      </c>
      <c r="AQ36" s="1073">
        <f t="shared" si="49"/>
        <v>42</v>
      </c>
      <c r="AR36" s="1074">
        <f t="shared" si="49"/>
        <v>68</v>
      </c>
      <c r="AS36" s="1074">
        <f t="shared" si="49"/>
        <v>52</v>
      </c>
      <c r="AT36" s="1077">
        <f t="shared" si="49"/>
        <v>162</v>
      </c>
      <c r="AU36" s="1073">
        <f t="shared" si="49"/>
        <v>66</v>
      </c>
      <c r="AV36" s="1074">
        <f t="shared" si="49"/>
        <v>85</v>
      </c>
      <c r="AW36" s="1074">
        <f t="shared" si="49"/>
        <v>37</v>
      </c>
      <c r="AX36" s="1077">
        <f t="shared" si="36"/>
        <v>188</v>
      </c>
      <c r="AY36" s="1073">
        <f t="shared" si="50"/>
        <v>75</v>
      </c>
      <c r="AZ36" s="1074">
        <f t="shared" si="50"/>
        <v>63</v>
      </c>
      <c r="BA36" s="1074">
        <f t="shared" si="50"/>
        <v>56</v>
      </c>
      <c r="BB36" s="1077">
        <f t="shared" si="37"/>
        <v>194</v>
      </c>
      <c r="BC36" s="1073">
        <f t="shared" ref="BC36:BF37" si="54">SUM(BC24,BC28,BC32)</f>
        <v>43</v>
      </c>
      <c r="BD36" s="1074">
        <f t="shared" si="54"/>
        <v>54</v>
      </c>
      <c r="BE36" s="1074">
        <f t="shared" si="54"/>
        <v>60</v>
      </c>
      <c r="BF36" s="1077">
        <f t="shared" si="54"/>
        <v>157</v>
      </c>
      <c r="BG36" s="1073">
        <f t="shared" ref="BG36:BJ37" si="55">SUM(BG24,BG28,BG32)</f>
        <v>75</v>
      </c>
      <c r="BH36" s="1074">
        <f t="shared" si="55"/>
        <v>51</v>
      </c>
      <c r="BI36" s="1074">
        <f t="shared" si="55"/>
        <v>55</v>
      </c>
      <c r="BJ36" s="1077">
        <f t="shared" si="55"/>
        <v>181</v>
      </c>
      <c r="BK36" s="1073">
        <f t="shared" si="52"/>
        <v>59</v>
      </c>
      <c r="BL36" s="1074">
        <f t="shared" si="52"/>
        <v>90</v>
      </c>
      <c r="BM36" s="1074">
        <f t="shared" si="52"/>
        <v>100</v>
      </c>
      <c r="BN36" s="1077">
        <f t="shared" si="52"/>
        <v>249</v>
      </c>
      <c r="BO36" s="1073">
        <f t="shared" ref="BO36:BR36" si="56">SUM(BO24,BO28,BO32)</f>
        <v>36</v>
      </c>
      <c r="BP36" s="1074">
        <f t="shared" si="56"/>
        <v>58</v>
      </c>
      <c r="BQ36" s="1074">
        <f t="shared" si="56"/>
        <v>50</v>
      </c>
      <c r="BR36" s="1077">
        <f t="shared" si="56"/>
        <v>144</v>
      </c>
    </row>
    <row r="37" spans="1:70" ht="15" x14ac:dyDescent="0.2">
      <c r="A37" s="5553"/>
      <c r="B37" s="1078" t="s">
        <v>633</v>
      </c>
      <c r="C37" s="1338">
        <f>+C25+C29+C33</f>
        <v>7</v>
      </c>
      <c r="D37" s="1339">
        <f t="shared" si="44"/>
        <v>9</v>
      </c>
      <c r="E37" s="1339">
        <f t="shared" si="44"/>
        <v>14</v>
      </c>
      <c r="F37" s="1340">
        <f t="shared" si="32"/>
        <v>30</v>
      </c>
      <c r="G37" s="1338">
        <f t="shared" si="45"/>
        <v>8</v>
      </c>
      <c r="H37" s="1339">
        <f t="shared" si="45"/>
        <v>10</v>
      </c>
      <c r="I37" s="1339">
        <f t="shared" si="45"/>
        <v>17</v>
      </c>
      <c r="J37" s="1340">
        <f t="shared" si="33"/>
        <v>35</v>
      </c>
      <c r="K37" s="1338">
        <f t="shared" si="46"/>
        <v>15</v>
      </c>
      <c r="L37" s="1339">
        <f t="shared" si="46"/>
        <v>26</v>
      </c>
      <c r="M37" s="1339">
        <f t="shared" si="46"/>
        <v>11</v>
      </c>
      <c r="N37" s="1340">
        <f t="shared" si="34"/>
        <v>52</v>
      </c>
      <c r="O37" s="1338">
        <f t="shared" si="47"/>
        <v>19</v>
      </c>
      <c r="P37" s="1339">
        <f t="shared" si="47"/>
        <v>24</v>
      </c>
      <c r="Q37" s="1339">
        <f t="shared" si="47"/>
        <v>21</v>
      </c>
      <c r="R37" s="1340">
        <f t="shared" si="35"/>
        <v>64</v>
      </c>
      <c r="S37" s="1338">
        <f t="shared" si="48"/>
        <v>15</v>
      </c>
      <c r="T37" s="1339">
        <f t="shared" si="48"/>
        <v>28</v>
      </c>
      <c r="U37" s="1339">
        <f t="shared" si="48"/>
        <v>35</v>
      </c>
      <c r="V37" s="1340">
        <f t="shared" si="48"/>
        <v>78</v>
      </c>
      <c r="W37" s="1338">
        <f t="shared" si="48"/>
        <v>29</v>
      </c>
      <c r="X37" s="1339">
        <f t="shared" si="48"/>
        <v>38</v>
      </c>
      <c r="Y37" s="1339">
        <f t="shared" si="48"/>
        <v>36</v>
      </c>
      <c r="Z37" s="1341">
        <f t="shared" si="48"/>
        <v>103</v>
      </c>
      <c r="AA37" s="1338">
        <f t="shared" si="48"/>
        <v>24</v>
      </c>
      <c r="AB37" s="1339">
        <f t="shared" si="48"/>
        <v>29</v>
      </c>
      <c r="AC37" s="1339">
        <f t="shared" si="48"/>
        <v>17</v>
      </c>
      <c r="AD37" s="1340">
        <f t="shared" si="48"/>
        <v>70</v>
      </c>
      <c r="AE37" s="1339">
        <f t="shared" si="48"/>
        <v>16</v>
      </c>
      <c r="AF37" s="1339">
        <f t="shared" si="48"/>
        <v>22</v>
      </c>
      <c r="AG37" s="1339">
        <f t="shared" si="48"/>
        <v>50</v>
      </c>
      <c r="AH37" s="1340">
        <f t="shared" si="48"/>
        <v>88</v>
      </c>
      <c r="AI37" s="1339">
        <f t="shared" si="48"/>
        <v>22</v>
      </c>
      <c r="AJ37" s="1339">
        <f t="shared" si="48"/>
        <v>44</v>
      </c>
      <c r="AK37" s="1339">
        <f t="shared" si="48"/>
        <v>38</v>
      </c>
      <c r="AL37" s="1341">
        <f t="shared" si="48"/>
        <v>104</v>
      </c>
      <c r="AM37" s="1073">
        <v>32</v>
      </c>
      <c r="AN37" s="1074">
        <v>29</v>
      </c>
      <c r="AO37" s="1074">
        <v>31</v>
      </c>
      <c r="AP37" s="1077">
        <v>92</v>
      </c>
      <c r="AQ37" s="1073">
        <f t="shared" si="49"/>
        <v>34</v>
      </c>
      <c r="AR37" s="1074">
        <f t="shared" si="49"/>
        <v>42</v>
      </c>
      <c r="AS37" s="1074">
        <f t="shared" si="49"/>
        <v>41</v>
      </c>
      <c r="AT37" s="1077">
        <f t="shared" si="49"/>
        <v>117</v>
      </c>
      <c r="AU37" s="1073">
        <f t="shared" si="49"/>
        <v>32</v>
      </c>
      <c r="AV37" s="1074">
        <f t="shared" si="49"/>
        <v>46</v>
      </c>
      <c r="AW37" s="1074">
        <f t="shared" si="49"/>
        <v>32</v>
      </c>
      <c r="AX37" s="1077">
        <f t="shared" si="36"/>
        <v>110</v>
      </c>
      <c r="AY37" s="1073">
        <f t="shared" si="50"/>
        <v>52</v>
      </c>
      <c r="AZ37" s="1074">
        <f t="shared" si="50"/>
        <v>32</v>
      </c>
      <c r="BA37" s="1074">
        <f t="shared" si="50"/>
        <v>29</v>
      </c>
      <c r="BB37" s="1077">
        <f t="shared" si="37"/>
        <v>113</v>
      </c>
      <c r="BC37" s="1073">
        <f t="shared" si="54"/>
        <v>28</v>
      </c>
      <c r="BD37" s="1074">
        <f t="shared" si="54"/>
        <v>31</v>
      </c>
      <c r="BE37" s="1074">
        <f t="shared" si="54"/>
        <v>44</v>
      </c>
      <c r="BF37" s="1077">
        <f t="shared" si="54"/>
        <v>103</v>
      </c>
      <c r="BG37" s="1073">
        <f t="shared" si="55"/>
        <v>37</v>
      </c>
      <c r="BH37" s="1074">
        <f t="shared" si="55"/>
        <v>37</v>
      </c>
      <c r="BI37" s="1074">
        <f t="shared" si="55"/>
        <v>41</v>
      </c>
      <c r="BJ37" s="1077">
        <f t="shared" si="55"/>
        <v>115</v>
      </c>
      <c r="BK37" s="1073">
        <f t="shared" si="52"/>
        <v>35</v>
      </c>
      <c r="BL37" s="1074">
        <f t="shared" si="52"/>
        <v>60</v>
      </c>
      <c r="BM37" s="1074">
        <f t="shared" si="52"/>
        <v>57</v>
      </c>
      <c r="BN37" s="1077">
        <f t="shared" si="52"/>
        <v>152</v>
      </c>
      <c r="BO37" s="1073">
        <f t="shared" ref="BO37:BR37" si="57">SUM(BO25,BO29,BO33)</f>
        <v>40</v>
      </c>
      <c r="BP37" s="1074">
        <f t="shared" si="57"/>
        <v>32</v>
      </c>
      <c r="BQ37" s="1074">
        <f t="shared" si="57"/>
        <v>31</v>
      </c>
      <c r="BR37" s="1077">
        <f t="shared" si="57"/>
        <v>103</v>
      </c>
    </row>
    <row r="38" spans="1:70" s="222" customFormat="1" ht="15" x14ac:dyDescent="0.2">
      <c r="A38" s="5554"/>
      <c r="B38" s="2668" t="s">
        <v>12</v>
      </c>
      <c r="C38" s="2652">
        <f>SUM(C35:C37)</f>
        <v>20</v>
      </c>
      <c r="D38" s="2653">
        <f>SUM(D35:D37)</f>
        <v>46</v>
      </c>
      <c r="E38" s="2653">
        <f>SUM(E35:E37)</f>
        <v>80</v>
      </c>
      <c r="F38" s="2654">
        <f t="shared" si="32"/>
        <v>146</v>
      </c>
      <c r="G38" s="2652">
        <f>SUM(G35:G37)</f>
        <v>26</v>
      </c>
      <c r="H38" s="2653">
        <f>SUM(H35:H37)</f>
        <v>60</v>
      </c>
      <c r="I38" s="2653">
        <f>SUM(I35:I37)</f>
        <v>45</v>
      </c>
      <c r="J38" s="2654">
        <f t="shared" si="33"/>
        <v>131</v>
      </c>
      <c r="K38" s="2652">
        <f>SUM(K35:K37)</f>
        <v>30</v>
      </c>
      <c r="L38" s="2653">
        <f>SUM(L35:L37)</f>
        <v>109</v>
      </c>
      <c r="M38" s="2653">
        <f>SUM(M35:M37)</f>
        <v>62</v>
      </c>
      <c r="N38" s="2654">
        <f t="shared" si="34"/>
        <v>201</v>
      </c>
      <c r="O38" s="2652">
        <f>SUM(O35:O37)</f>
        <v>44</v>
      </c>
      <c r="P38" s="2653">
        <f>SUM(P35:P37)</f>
        <v>63</v>
      </c>
      <c r="Q38" s="2653">
        <f>SUM(Q35:Q37)</f>
        <v>43</v>
      </c>
      <c r="R38" s="2654">
        <f t="shared" si="35"/>
        <v>150</v>
      </c>
      <c r="S38" s="2652">
        <f>SUM(S35:S37)</f>
        <v>52</v>
      </c>
      <c r="T38" s="2653">
        <f>SUM(T35:T37)</f>
        <v>67</v>
      </c>
      <c r="U38" s="2653">
        <f>SUM(U35:U37)</f>
        <v>77</v>
      </c>
      <c r="V38" s="2654">
        <f>SUM(V35:V37)</f>
        <v>196</v>
      </c>
      <c r="W38" s="2652">
        <f t="shared" ref="W38:AL38" si="58">SUM(W35:W37)</f>
        <v>50</v>
      </c>
      <c r="X38" s="2653">
        <f t="shared" si="58"/>
        <v>132</v>
      </c>
      <c r="Y38" s="2653">
        <f t="shared" si="58"/>
        <v>73</v>
      </c>
      <c r="Z38" s="2653">
        <f t="shared" si="58"/>
        <v>255</v>
      </c>
      <c r="AA38" s="2652">
        <f t="shared" si="58"/>
        <v>54</v>
      </c>
      <c r="AB38" s="2653">
        <f t="shared" si="58"/>
        <v>131</v>
      </c>
      <c r="AC38" s="2653">
        <f t="shared" si="58"/>
        <v>49</v>
      </c>
      <c r="AD38" s="2654">
        <f t="shared" si="58"/>
        <v>234</v>
      </c>
      <c r="AE38" s="2653">
        <f t="shared" si="58"/>
        <v>37</v>
      </c>
      <c r="AF38" s="2653">
        <f t="shared" si="58"/>
        <v>86</v>
      </c>
      <c r="AG38" s="2653">
        <f t="shared" si="58"/>
        <v>154</v>
      </c>
      <c r="AH38" s="2654">
        <f t="shared" si="58"/>
        <v>277</v>
      </c>
      <c r="AI38" s="2653">
        <f t="shared" si="58"/>
        <v>53</v>
      </c>
      <c r="AJ38" s="2653">
        <f t="shared" si="58"/>
        <v>109</v>
      </c>
      <c r="AK38" s="2653">
        <f t="shared" si="58"/>
        <v>76</v>
      </c>
      <c r="AL38" s="2653">
        <f t="shared" si="58"/>
        <v>238</v>
      </c>
      <c r="AM38" s="2620">
        <v>128</v>
      </c>
      <c r="AN38" s="2621">
        <v>81</v>
      </c>
      <c r="AO38" s="2621">
        <v>74</v>
      </c>
      <c r="AP38" s="2621">
        <v>283</v>
      </c>
      <c r="AQ38" s="2620">
        <f t="shared" ref="AQ38:AW38" si="59">SUM(AQ35:AQ37)</f>
        <v>83</v>
      </c>
      <c r="AR38" s="2621">
        <f t="shared" si="59"/>
        <v>125</v>
      </c>
      <c r="AS38" s="2621">
        <f t="shared" si="59"/>
        <v>96</v>
      </c>
      <c r="AT38" s="2622">
        <f t="shared" si="59"/>
        <v>304</v>
      </c>
      <c r="AU38" s="2620">
        <f t="shared" si="59"/>
        <v>101</v>
      </c>
      <c r="AV38" s="2621">
        <f t="shared" si="59"/>
        <v>157</v>
      </c>
      <c r="AW38" s="2621">
        <f t="shared" si="59"/>
        <v>77</v>
      </c>
      <c r="AX38" s="2622">
        <f t="shared" si="36"/>
        <v>335</v>
      </c>
      <c r="AY38" s="2620">
        <f>SUM(AY35:AY37)</f>
        <v>195</v>
      </c>
      <c r="AZ38" s="2621">
        <f>SUM(AZ35:AZ37)</f>
        <v>104</v>
      </c>
      <c r="BA38" s="2621">
        <f>SUM(BA35:BA37)</f>
        <v>138</v>
      </c>
      <c r="BB38" s="2622">
        <f t="shared" si="37"/>
        <v>437</v>
      </c>
      <c r="BC38" s="2620">
        <f t="shared" ref="BC38:BJ38" si="60">SUM(BC35:BC37)</f>
        <v>78</v>
      </c>
      <c r="BD38" s="2621">
        <f t="shared" si="60"/>
        <v>137</v>
      </c>
      <c r="BE38" s="2621">
        <f t="shared" si="60"/>
        <v>162</v>
      </c>
      <c r="BF38" s="2622">
        <f t="shared" si="60"/>
        <v>377</v>
      </c>
      <c r="BG38" s="2620">
        <f t="shared" si="60"/>
        <v>120</v>
      </c>
      <c r="BH38" s="2621">
        <f t="shared" si="60"/>
        <v>110</v>
      </c>
      <c r="BI38" s="2621">
        <f t="shared" si="60"/>
        <v>111</v>
      </c>
      <c r="BJ38" s="2622">
        <f t="shared" si="60"/>
        <v>341</v>
      </c>
      <c r="BK38" s="2620">
        <f t="shared" ref="BK38:BR38" si="61">SUM(BK35:BK37)</f>
        <v>95</v>
      </c>
      <c r="BL38" s="2621">
        <f t="shared" si="61"/>
        <v>163</v>
      </c>
      <c r="BM38" s="2621">
        <f t="shared" si="61"/>
        <v>179</v>
      </c>
      <c r="BN38" s="2622">
        <f t="shared" si="61"/>
        <v>437</v>
      </c>
      <c r="BO38" s="2620">
        <f t="shared" si="61"/>
        <v>81</v>
      </c>
      <c r="BP38" s="2621">
        <f t="shared" si="61"/>
        <v>110</v>
      </c>
      <c r="BQ38" s="2621">
        <f t="shared" si="61"/>
        <v>91</v>
      </c>
      <c r="BR38" s="2622">
        <f t="shared" si="61"/>
        <v>282</v>
      </c>
    </row>
    <row r="39" spans="1:70" ht="15" x14ac:dyDescent="0.2">
      <c r="A39" s="263"/>
      <c r="B39" s="263"/>
      <c r="C39" s="779"/>
      <c r="D39" s="779"/>
      <c r="E39" s="779"/>
      <c r="F39" s="779"/>
      <c r="G39" s="779"/>
      <c r="H39" s="779"/>
      <c r="I39" s="779"/>
      <c r="J39" s="779"/>
      <c r="K39" s="779"/>
      <c r="L39" s="779"/>
      <c r="M39" s="779"/>
      <c r="N39" s="779"/>
      <c r="O39" s="779"/>
      <c r="P39" s="779"/>
      <c r="Q39" s="779"/>
      <c r="R39" s="779"/>
      <c r="S39" s="779"/>
      <c r="T39" s="779"/>
      <c r="U39" s="779"/>
      <c r="V39" s="779"/>
      <c r="W39" s="779"/>
      <c r="X39" s="779"/>
      <c r="Y39" s="779"/>
      <c r="Z39" s="779"/>
      <c r="AA39" s="779"/>
      <c r="AB39" s="779"/>
      <c r="AC39" s="779"/>
      <c r="AD39" s="779"/>
      <c r="AE39" s="779"/>
      <c r="AF39" s="779"/>
      <c r="AG39" s="779"/>
      <c r="AH39" s="779"/>
      <c r="AI39" s="779"/>
      <c r="AJ39" s="779"/>
      <c r="AK39" s="779"/>
      <c r="AL39" s="779"/>
      <c r="AM39" s="779"/>
      <c r="AN39" s="779"/>
      <c r="AO39" s="779"/>
      <c r="AP39" s="779"/>
      <c r="AQ39" s="779"/>
      <c r="AR39" s="779"/>
      <c r="AS39" s="779"/>
      <c r="AT39" s="779"/>
      <c r="AU39" s="779"/>
      <c r="AV39" s="779"/>
      <c r="AW39" s="779"/>
      <c r="AX39" s="779"/>
      <c r="AY39" s="779"/>
      <c r="AZ39" s="779"/>
      <c r="BA39" s="779"/>
      <c r="BB39" s="779"/>
      <c r="BC39" s="779"/>
      <c r="BD39" s="779"/>
      <c r="BE39" s="779"/>
      <c r="BF39" s="779"/>
      <c r="BG39" s="779"/>
      <c r="BH39" s="779"/>
      <c r="BI39" s="779"/>
      <c r="BJ39" s="779"/>
      <c r="BK39" s="779"/>
      <c r="BL39" s="779"/>
      <c r="BM39" s="779"/>
      <c r="BN39" s="779"/>
      <c r="BO39" s="779"/>
      <c r="BP39" s="779"/>
      <c r="BQ39" s="779"/>
      <c r="BR39" s="779"/>
    </row>
    <row r="40" spans="1:70" ht="15" x14ac:dyDescent="0.2">
      <c r="A40" s="5478" t="s">
        <v>6</v>
      </c>
      <c r="B40" s="1067" t="s">
        <v>631</v>
      </c>
      <c r="C40" s="1334">
        <f>+'EGRESO-POS plan'!E80+'EGRESO-POS plan'!E81</f>
        <v>0</v>
      </c>
      <c r="D40" s="1335">
        <f>+'EGRESO-POS plan'!F80+'EGRESO-POS plan'!F81</f>
        <v>0</v>
      </c>
      <c r="E40" s="1335">
        <f>+'EGRESO-POS plan'!G80+'EGRESO-POS plan'!G81</f>
        <v>0</v>
      </c>
      <c r="F40" s="1336">
        <f t="shared" ref="F40:F76" si="62">SUM(C40:E40)</f>
        <v>0</v>
      </c>
      <c r="G40" s="1334">
        <f>+'EGRESO-POS plan'!I80+'EGRESO-POS plan'!I81</f>
        <v>1</v>
      </c>
      <c r="H40" s="1335">
        <f>+'EGRESO-POS plan'!J80+'EGRESO-POS plan'!J81</f>
        <v>0</v>
      </c>
      <c r="I40" s="1335">
        <f>+'EGRESO-POS plan'!K80+'EGRESO-POS plan'!K81</f>
        <v>4</v>
      </c>
      <c r="J40" s="1336">
        <f t="shared" ref="J40:J55" si="63">SUM(G40:I40)</f>
        <v>5</v>
      </c>
      <c r="K40" s="1334">
        <f>+'EGRESO-POS plan'!M80+'EGRESO-POS plan'!M81</f>
        <v>9</v>
      </c>
      <c r="L40" s="1335">
        <f>+'EGRESO-POS plan'!N80+'EGRESO-POS plan'!N81</f>
        <v>0</v>
      </c>
      <c r="M40" s="1335">
        <f>+'EGRESO-POS plan'!O80+'EGRESO-POS plan'!O81</f>
        <v>27</v>
      </c>
      <c r="N40" s="1336">
        <f t="shared" ref="N40:N77" si="64">SUM(K40:M40)</f>
        <v>36</v>
      </c>
      <c r="O40" s="1334">
        <f>+'EGRESO-POS plan'!Q80+'EGRESO-POS plan'!Q81</f>
        <v>3</v>
      </c>
      <c r="P40" s="1335">
        <f>+'EGRESO-POS plan'!R80+'EGRESO-POS plan'!R81</f>
        <v>12</v>
      </c>
      <c r="Q40" s="1335">
        <f>+'EGRESO-POS plan'!S80+'EGRESO-POS plan'!S81</f>
        <v>0</v>
      </c>
      <c r="R40" s="1336">
        <f t="shared" ref="R40:R77" si="65">SUM(O40:Q40)</f>
        <v>15</v>
      </c>
      <c r="S40" s="1334">
        <v>0</v>
      </c>
      <c r="T40" s="1335">
        <v>1</v>
      </c>
      <c r="U40" s="1335">
        <v>12</v>
      </c>
      <c r="V40" s="1336">
        <v>13</v>
      </c>
      <c r="W40" s="1334">
        <v>1</v>
      </c>
      <c r="X40" s="1335">
        <v>1</v>
      </c>
      <c r="Y40" s="1335">
        <v>27</v>
      </c>
      <c r="Z40" s="1337">
        <v>29</v>
      </c>
      <c r="AA40" s="1334">
        <v>0</v>
      </c>
      <c r="AB40" s="1335">
        <v>16</v>
      </c>
      <c r="AC40" s="1335">
        <v>3</v>
      </c>
      <c r="AD40" s="1336">
        <v>19</v>
      </c>
      <c r="AE40" s="1335">
        <v>0</v>
      </c>
      <c r="AF40" s="1335">
        <v>2</v>
      </c>
      <c r="AG40" s="1335">
        <v>0</v>
      </c>
      <c r="AH40" s="1336">
        <v>2</v>
      </c>
      <c r="AI40" s="1335">
        <v>31</v>
      </c>
      <c r="AJ40" s="1335">
        <v>0</v>
      </c>
      <c r="AK40" s="1335">
        <v>15</v>
      </c>
      <c r="AL40" s="1337">
        <v>46</v>
      </c>
      <c r="AM40" s="1068">
        <v>0</v>
      </c>
      <c r="AN40" s="1069">
        <v>0</v>
      </c>
      <c r="AO40" s="1069">
        <v>42</v>
      </c>
      <c r="AP40" s="1086">
        <v>42</v>
      </c>
      <c r="AQ40" s="1068">
        <v>1</v>
      </c>
      <c r="AR40" s="1069">
        <v>0</v>
      </c>
      <c r="AS40" s="1069">
        <v>18</v>
      </c>
      <c r="AT40" s="1086">
        <v>19</v>
      </c>
      <c r="AU40" s="1068"/>
      <c r="AV40" s="1069"/>
      <c r="AW40" s="1069">
        <v>40</v>
      </c>
      <c r="AX40" s="1086">
        <f t="shared" ref="AX40:AX55" si="66">AU40+AV40+AW40</f>
        <v>40</v>
      </c>
      <c r="AY40" s="1068">
        <v>1</v>
      </c>
      <c r="AZ40" s="1069">
        <v>1</v>
      </c>
      <c r="BA40" s="1069">
        <v>17</v>
      </c>
      <c r="BB40" s="1086">
        <f t="shared" ref="BB40:BB55" si="67">AY40+AZ40+BA40</f>
        <v>19</v>
      </c>
      <c r="BC40" s="1068">
        <f>SUM('EGRESO-POS plan'!BE80,'EGRESO-POS plan'!BE81)</f>
        <v>0</v>
      </c>
      <c r="BD40" s="1069">
        <f>SUM('EGRESO-POS plan'!BF80,'EGRESO-POS plan'!BF81)</f>
        <v>1</v>
      </c>
      <c r="BE40" s="1069">
        <f>SUM('EGRESO-POS plan'!BG80,'EGRESO-POS plan'!BG81)</f>
        <v>0</v>
      </c>
      <c r="BF40" s="1086">
        <f>SUM(BC40:BE40)</f>
        <v>1</v>
      </c>
      <c r="BG40" s="1068">
        <f>SUM('EGRESO-POS plan'!BI80,'EGRESO-POS plan'!BI81)</f>
        <v>0</v>
      </c>
      <c r="BH40" s="1069">
        <f>SUM('EGRESO-POS plan'!BJ80,'EGRESO-POS plan'!BJ81)</f>
        <v>1</v>
      </c>
      <c r="BI40" s="1069">
        <f>SUM('EGRESO-POS plan'!BK80,'EGRESO-POS plan'!BK81)</f>
        <v>0</v>
      </c>
      <c r="BJ40" s="1086">
        <f>SUM(BG40:BI40)</f>
        <v>1</v>
      </c>
      <c r="BK40" s="1068">
        <f>SUM('EGRESO-POS plan'!BM80:BM81)</f>
        <v>0</v>
      </c>
      <c r="BL40" s="1069">
        <f>SUM('EGRESO-POS plan'!BN80,'EGRESO-POS plan'!BN81)</f>
        <v>0</v>
      </c>
      <c r="BM40" s="1069">
        <f>SUM('EGRESO-POS plan'!BO80:BO81)</f>
        <v>28</v>
      </c>
      <c r="BN40" s="1086">
        <f>SUM(BK40:BM40)</f>
        <v>28</v>
      </c>
      <c r="BO40" s="1068">
        <f>SUM('EGRESO-POS plan'!BQ80:BQ81)</f>
        <v>0</v>
      </c>
      <c r="BP40" s="1069">
        <f>SUM('EGRESO-POS plan'!BR80,'EGRESO-POS plan'!BR81)</f>
        <v>1</v>
      </c>
      <c r="BQ40" s="1069">
        <f>SUM('EGRESO-POS plan'!BS80:BS81)</f>
        <v>0</v>
      </c>
      <c r="BR40" s="1086">
        <f>SUM(BO40:BQ40)</f>
        <v>1</v>
      </c>
    </row>
    <row r="41" spans="1:70" ht="15" x14ac:dyDescent="0.2">
      <c r="A41" s="5479"/>
      <c r="B41" s="1072" t="s">
        <v>632</v>
      </c>
      <c r="C41" s="1338">
        <f>+'EGRESO-POS plan'!E82+'EGRESO-POS plan'!E83+'EGRESO-POS plan'!E84+'EGRESO-POS plan'!E85+'EGRESO-POS plan'!E86+'EGRESO-POS plan'!E87+'EGRESO-POS plan'!E88+'EGRESO-POS plan'!E89+'EGRESO-POS plan'!E90+'EGRESO-POS plan'!E92</f>
        <v>4</v>
      </c>
      <c r="D41" s="1339">
        <f>+'EGRESO-POS plan'!F82+'EGRESO-POS plan'!F83+'EGRESO-POS plan'!F84+'EGRESO-POS plan'!F85+'EGRESO-POS plan'!F86+'EGRESO-POS plan'!F87+'EGRESO-POS plan'!F88+'EGRESO-POS plan'!F89+'EGRESO-POS plan'!F90+'EGRESO-POS plan'!F92</f>
        <v>12</v>
      </c>
      <c r="E41" s="1339">
        <f>+'EGRESO-POS plan'!G82+'EGRESO-POS plan'!G83+'EGRESO-POS plan'!G84+'EGRESO-POS plan'!G85+'EGRESO-POS plan'!G86+'EGRESO-POS plan'!G87+'EGRESO-POS plan'!G88+'EGRESO-POS plan'!G89+'EGRESO-POS plan'!G90+'EGRESO-POS plan'!G92</f>
        <v>18</v>
      </c>
      <c r="F41" s="1340">
        <f t="shared" si="62"/>
        <v>34</v>
      </c>
      <c r="G41" s="1338">
        <f>+'EGRESO-POS plan'!I82+'EGRESO-POS plan'!I83+'EGRESO-POS plan'!I84+'EGRESO-POS plan'!I85+'EGRESO-POS plan'!I86+'EGRESO-POS plan'!I87+'EGRESO-POS plan'!I88+'EGRESO-POS plan'!I89+'EGRESO-POS plan'!I90+'EGRESO-POS plan'!I92</f>
        <v>7</v>
      </c>
      <c r="H41" s="1339">
        <f>+'EGRESO-POS plan'!J82+'EGRESO-POS plan'!J83+'EGRESO-POS plan'!J84+'EGRESO-POS plan'!J85+'EGRESO-POS plan'!J86+'EGRESO-POS plan'!J87+'EGRESO-POS plan'!J88+'EGRESO-POS plan'!J89+'EGRESO-POS plan'!J90+'EGRESO-POS plan'!J92</f>
        <v>7</v>
      </c>
      <c r="I41" s="1339">
        <f>+'EGRESO-POS plan'!K82+'EGRESO-POS plan'!K83+'EGRESO-POS plan'!K84+'EGRESO-POS plan'!K85+'EGRESO-POS plan'!K86+'EGRESO-POS plan'!K87+'EGRESO-POS plan'!K88+'EGRESO-POS plan'!K89+'EGRESO-POS plan'!K90+'EGRESO-POS plan'!K92</f>
        <v>7</v>
      </c>
      <c r="J41" s="1340">
        <f t="shared" si="63"/>
        <v>21</v>
      </c>
      <c r="K41" s="1338">
        <f>+'EGRESO-POS plan'!M82+'EGRESO-POS plan'!M83+'EGRESO-POS plan'!M84+'EGRESO-POS plan'!M85+'EGRESO-POS plan'!M86+'EGRESO-POS plan'!M87+'EGRESO-POS plan'!M88+'EGRESO-POS plan'!M89+'EGRESO-POS plan'!M90+'EGRESO-POS plan'!M92</f>
        <v>4</v>
      </c>
      <c r="L41" s="1339">
        <f>+'EGRESO-POS plan'!N82+'EGRESO-POS plan'!N83+'EGRESO-POS plan'!N84+'EGRESO-POS plan'!N85+'EGRESO-POS plan'!N86+'EGRESO-POS plan'!N87+'EGRESO-POS plan'!N88+'EGRESO-POS plan'!N89+'EGRESO-POS plan'!N90+'EGRESO-POS plan'!N92</f>
        <v>8</v>
      </c>
      <c r="M41" s="1339">
        <f>+'EGRESO-POS plan'!O82+'EGRESO-POS plan'!O83+'EGRESO-POS plan'!O84+'EGRESO-POS plan'!O85+'EGRESO-POS plan'!O86+'EGRESO-POS plan'!O87+'EGRESO-POS plan'!O88+'EGRESO-POS plan'!O89+'EGRESO-POS plan'!O90+'EGRESO-POS plan'!O92</f>
        <v>9</v>
      </c>
      <c r="N41" s="1340">
        <f t="shared" si="64"/>
        <v>21</v>
      </c>
      <c r="O41" s="1338">
        <f>+'EGRESO-POS plan'!Q82+'EGRESO-POS plan'!Q83+'EGRESO-POS plan'!Q84+'EGRESO-POS plan'!Q85+'EGRESO-POS plan'!Q86+'EGRESO-POS plan'!Q87+'EGRESO-POS plan'!Q88+'EGRESO-POS plan'!Q89+'EGRESO-POS plan'!Q90+'EGRESO-POS plan'!Q92</f>
        <v>10</v>
      </c>
      <c r="P41" s="1339">
        <f>+'EGRESO-POS plan'!R82+'EGRESO-POS plan'!R83+'EGRESO-POS plan'!R84+'EGRESO-POS plan'!R85+'EGRESO-POS plan'!R86+'EGRESO-POS plan'!R87+'EGRESO-POS plan'!R88+'EGRESO-POS plan'!R89+'EGRESO-POS plan'!R90+'EGRESO-POS plan'!R92</f>
        <v>41</v>
      </c>
      <c r="Q41" s="1339">
        <f>+'EGRESO-POS plan'!S82+'EGRESO-POS plan'!S83+'EGRESO-POS plan'!S84+'EGRESO-POS plan'!S85+'EGRESO-POS plan'!S86+'EGRESO-POS plan'!S87+'EGRESO-POS plan'!S88+'EGRESO-POS plan'!S89+'EGRESO-POS plan'!S90+'EGRESO-POS plan'!S92</f>
        <v>18</v>
      </c>
      <c r="R41" s="1340">
        <f t="shared" si="65"/>
        <v>69</v>
      </c>
      <c r="S41" s="1338">
        <v>24</v>
      </c>
      <c r="T41" s="1339">
        <v>14</v>
      </c>
      <c r="U41" s="1339">
        <v>15</v>
      </c>
      <c r="V41" s="1340">
        <v>53</v>
      </c>
      <c r="W41" s="1338">
        <v>14</v>
      </c>
      <c r="X41" s="1339">
        <v>13</v>
      </c>
      <c r="Y41" s="1339">
        <v>11</v>
      </c>
      <c r="Z41" s="1341">
        <v>38</v>
      </c>
      <c r="AA41" s="1338">
        <v>20</v>
      </c>
      <c r="AB41" s="1339">
        <v>14</v>
      </c>
      <c r="AC41" s="1339">
        <v>23</v>
      </c>
      <c r="AD41" s="1340">
        <v>57</v>
      </c>
      <c r="AE41" s="1339">
        <v>5</v>
      </c>
      <c r="AF41" s="1339">
        <v>11</v>
      </c>
      <c r="AG41" s="1339">
        <v>24</v>
      </c>
      <c r="AH41" s="1340">
        <v>40</v>
      </c>
      <c r="AI41" s="1339">
        <v>26</v>
      </c>
      <c r="AJ41" s="1339">
        <v>18</v>
      </c>
      <c r="AK41" s="1339">
        <v>20</v>
      </c>
      <c r="AL41" s="1341">
        <v>64</v>
      </c>
      <c r="AM41" s="1073">
        <v>18</v>
      </c>
      <c r="AN41" s="1074">
        <v>11</v>
      </c>
      <c r="AO41" s="1074">
        <v>29</v>
      </c>
      <c r="AP41" s="1077">
        <v>58</v>
      </c>
      <c r="AQ41" s="1073">
        <v>18</v>
      </c>
      <c r="AR41" s="1074">
        <v>14</v>
      </c>
      <c r="AS41" s="1074">
        <v>25</v>
      </c>
      <c r="AT41" s="1077">
        <v>57</v>
      </c>
      <c r="AU41" s="1073">
        <v>38</v>
      </c>
      <c r="AV41" s="1074">
        <v>24</v>
      </c>
      <c r="AW41" s="1074">
        <v>53</v>
      </c>
      <c r="AX41" s="1077">
        <f t="shared" si="66"/>
        <v>115</v>
      </c>
      <c r="AY41" s="1073">
        <v>44</v>
      </c>
      <c r="AZ41" s="1074">
        <v>37</v>
      </c>
      <c r="BA41" s="1074">
        <v>17</v>
      </c>
      <c r="BB41" s="1077">
        <f t="shared" si="67"/>
        <v>98</v>
      </c>
      <c r="BC41" s="1073">
        <f>SUM('EGRESO-POS plan'!BE82,'EGRESO-POS plan'!BE83,'EGRESO-POS plan'!BE84,'EGRESO-POS plan'!BE85,'EGRESO-POS plan'!BE86,'EGRESO-POS plan'!BE87,'EGRESO-POS plan'!BE88,'EGRESO-POS plan'!BE89,'EGRESO-POS plan'!BE90)</f>
        <v>17</v>
      </c>
      <c r="BD41" s="1074">
        <f>SUM('EGRESO-POS plan'!BF82,'EGRESO-POS plan'!BF83,'EGRESO-POS plan'!BF84,'EGRESO-POS plan'!BF85,'EGRESO-POS plan'!BF86,'EGRESO-POS plan'!BF87,'EGRESO-POS plan'!BF88,'EGRESO-POS plan'!BF89,'EGRESO-POS plan'!BF90)</f>
        <v>15</v>
      </c>
      <c r="BE41" s="1074">
        <f>SUM('EGRESO-POS plan'!BG82,'EGRESO-POS plan'!BG83,'EGRESO-POS plan'!BG84,'EGRESO-POS plan'!BG85,'EGRESO-POS plan'!BG86,'EGRESO-POS plan'!BG87,'EGRESO-POS plan'!BG88,'EGRESO-POS plan'!BG89,'EGRESO-POS plan'!BG90)</f>
        <v>33</v>
      </c>
      <c r="BF41" s="1077">
        <f>SUM(BC41:BE41)</f>
        <v>65</v>
      </c>
      <c r="BG41" s="1073">
        <f>SUM('EGRESO-POS plan'!BI82,'EGRESO-POS plan'!BI83,'EGRESO-POS plan'!BI84,'EGRESO-POS plan'!BI85,'EGRESO-POS plan'!BI86,'EGRESO-POS plan'!BI87,'EGRESO-POS plan'!BI88,'EGRESO-POS plan'!BI89,'EGRESO-POS plan'!BI90)</f>
        <v>45</v>
      </c>
      <c r="BH41" s="1074">
        <f>SUM('EGRESO-POS plan'!BJ82,'EGRESO-POS plan'!BJ83,'EGRESO-POS plan'!BJ84,'EGRESO-POS plan'!BJ85,'EGRESO-POS plan'!BJ86,'EGRESO-POS plan'!BJ87,'EGRESO-POS plan'!BJ88,'EGRESO-POS plan'!BJ89,'EGRESO-POS plan'!BJ90)</f>
        <v>11</v>
      </c>
      <c r="BI41" s="1074">
        <f>SUM('EGRESO-POS plan'!BK82,'EGRESO-POS plan'!BK83,'EGRESO-POS plan'!BK84,'EGRESO-POS plan'!BK85,'EGRESO-POS plan'!BK86,'EGRESO-POS plan'!BK87,'EGRESO-POS plan'!BK88,'EGRESO-POS plan'!BK89,'EGRESO-POS plan'!BK90)</f>
        <v>12</v>
      </c>
      <c r="BJ41" s="1077">
        <f>SUM(BG41:BI41)</f>
        <v>68</v>
      </c>
      <c r="BK41" s="1073">
        <f>SUM('EGRESO-POS plan'!BM82:BM92)</f>
        <v>14</v>
      </c>
      <c r="BL41" s="1074">
        <f>SUM('EGRESO-POS plan'!BN82:BN92)</f>
        <v>19</v>
      </c>
      <c r="BM41" s="1074">
        <f>SUM('EGRESO-POS plan'!BO82:BO92)</f>
        <v>31</v>
      </c>
      <c r="BN41" s="1077">
        <f>SUM('EGRESO-POS plan'!BP82:BP92)</f>
        <v>64</v>
      </c>
      <c r="BO41" s="1073">
        <f>SUM('EGRESO-POS plan'!BQ82:BQ92)</f>
        <v>32</v>
      </c>
      <c r="BP41" s="1074">
        <f>SUM('EGRESO-POS plan'!BR82:BR92)</f>
        <v>18</v>
      </c>
      <c r="BQ41" s="1074">
        <f>SUM('EGRESO-POS plan'!BS82:BS92)</f>
        <v>21</v>
      </c>
      <c r="BR41" s="1077">
        <f>SUM('EGRESO-POS plan'!BT82:BT92)</f>
        <v>71</v>
      </c>
    </row>
    <row r="42" spans="1:70" ht="15" x14ac:dyDescent="0.2">
      <c r="A42" s="5479"/>
      <c r="B42" s="1078" t="s">
        <v>633</v>
      </c>
      <c r="C42" s="1338">
        <f>+'EGRESO-POS plan'!E94+'EGRESO-POS plan'!E95</f>
        <v>4</v>
      </c>
      <c r="D42" s="1339">
        <f>+'EGRESO-POS plan'!F94+'EGRESO-POS plan'!F95</f>
        <v>1</v>
      </c>
      <c r="E42" s="1339">
        <f>+'EGRESO-POS plan'!G94+'EGRESO-POS plan'!G95</f>
        <v>2</v>
      </c>
      <c r="F42" s="1340">
        <f t="shared" si="62"/>
        <v>7</v>
      </c>
      <c r="G42" s="1338">
        <f>+'EGRESO-POS plan'!I94+'EGRESO-POS plan'!I95</f>
        <v>1</v>
      </c>
      <c r="H42" s="1339">
        <f>+'EGRESO-POS plan'!J94+'EGRESO-POS plan'!J95</f>
        <v>5</v>
      </c>
      <c r="I42" s="1339">
        <f>+'EGRESO-POS plan'!K94+'EGRESO-POS plan'!K95</f>
        <v>4</v>
      </c>
      <c r="J42" s="1340">
        <f t="shared" si="63"/>
        <v>10</v>
      </c>
      <c r="K42" s="1338">
        <f>+'EGRESO-POS plan'!M94+'EGRESO-POS plan'!M95</f>
        <v>1</v>
      </c>
      <c r="L42" s="1339">
        <f>+'EGRESO-POS plan'!N94+'EGRESO-POS plan'!N95</f>
        <v>1</v>
      </c>
      <c r="M42" s="1339">
        <f>+'EGRESO-POS plan'!O94+'EGRESO-POS plan'!O95</f>
        <v>3</v>
      </c>
      <c r="N42" s="1340">
        <f t="shared" si="64"/>
        <v>5</v>
      </c>
      <c r="O42" s="1338">
        <f>+'EGRESO-POS plan'!Q94+'EGRESO-POS plan'!Q95</f>
        <v>5</v>
      </c>
      <c r="P42" s="1339">
        <f>+'EGRESO-POS plan'!R94+'EGRESO-POS plan'!R95</f>
        <v>5</v>
      </c>
      <c r="Q42" s="1339">
        <f>+'EGRESO-POS plan'!S94+'EGRESO-POS plan'!S95</f>
        <v>7</v>
      </c>
      <c r="R42" s="1340">
        <f t="shared" si="65"/>
        <v>17</v>
      </c>
      <c r="S42" s="1338">
        <v>3</v>
      </c>
      <c r="T42" s="1339">
        <v>4</v>
      </c>
      <c r="U42" s="1339">
        <v>5</v>
      </c>
      <c r="V42" s="1340">
        <v>12</v>
      </c>
      <c r="W42" s="1338">
        <v>4</v>
      </c>
      <c r="X42" s="1339">
        <v>4</v>
      </c>
      <c r="Y42" s="1339">
        <v>8</v>
      </c>
      <c r="Z42" s="1341">
        <v>16</v>
      </c>
      <c r="AA42" s="1338">
        <v>6</v>
      </c>
      <c r="AB42" s="1339">
        <v>10</v>
      </c>
      <c r="AC42" s="1339">
        <v>3</v>
      </c>
      <c r="AD42" s="1340">
        <v>19</v>
      </c>
      <c r="AE42" s="1339">
        <v>1</v>
      </c>
      <c r="AF42" s="1339">
        <v>9</v>
      </c>
      <c r="AG42" s="1339">
        <v>9</v>
      </c>
      <c r="AH42" s="1340">
        <v>19</v>
      </c>
      <c r="AI42" s="1339">
        <v>4</v>
      </c>
      <c r="AJ42" s="1339">
        <v>8</v>
      </c>
      <c r="AK42" s="1339">
        <v>7</v>
      </c>
      <c r="AL42" s="1341">
        <v>19</v>
      </c>
      <c r="AM42" s="1073">
        <v>3</v>
      </c>
      <c r="AN42" s="1074">
        <v>8</v>
      </c>
      <c r="AO42" s="1074">
        <v>6</v>
      </c>
      <c r="AP42" s="1077">
        <v>17</v>
      </c>
      <c r="AQ42" s="1073">
        <v>3</v>
      </c>
      <c r="AR42" s="1074">
        <v>11</v>
      </c>
      <c r="AS42" s="1074">
        <v>12</v>
      </c>
      <c r="AT42" s="1077">
        <v>26</v>
      </c>
      <c r="AU42" s="1073">
        <v>10</v>
      </c>
      <c r="AV42" s="1074">
        <v>14</v>
      </c>
      <c r="AW42" s="1074">
        <v>23</v>
      </c>
      <c r="AX42" s="1077">
        <f t="shared" si="66"/>
        <v>47</v>
      </c>
      <c r="AY42" s="1073">
        <v>16</v>
      </c>
      <c r="AZ42" s="1074">
        <v>12</v>
      </c>
      <c r="BA42" s="1074">
        <v>5</v>
      </c>
      <c r="BB42" s="1077">
        <f t="shared" si="67"/>
        <v>33</v>
      </c>
      <c r="BC42" s="1073">
        <f>SUM('EGRESO-POS plan'!BE93,'EGRESO-POS plan'!BE94,'EGRESO-POS plan'!BE95)</f>
        <v>5</v>
      </c>
      <c r="BD42" s="1074">
        <f>SUM('EGRESO-POS plan'!BF93,'EGRESO-POS plan'!BF94,'EGRESO-POS plan'!BF95)</f>
        <v>8</v>
      </c>
      <c r="BE42" s="1074">
        <f>SUM('EGRESO-POS plan'!BG93,'EGRESO-POS plan'!BG94,'EGRESO-POS plan'!BG95)</f>
        <v>9</v>
      </c>
      <c r="BF42" s="1077">
        <f>SUM(BC42:BE42)</f>
        <v>22</v>
      </c>
      <c r="BG42" s="1073">
        <f>SUM('EGRESO-POS plan'!BI93,'EGRESO-POS plan'!BI94,'EGRESO-POS plan'!BI95)</f>
        <v>7</v>
      </c>
      <c r="BH42" s="1074">
        <f>SUM('EGRESO-POS plan'!BJ93,'EGRESO-POS plan'!BJ94,'EGRESO-POS plan'!BJ95)</f>
        <v>10</v>
      </c>
      <c r="BI42" s="1074">
        <f>SUM('EGRESO-POS plan'!BK93,'EGRESO-POS plan'!BK94,'EGRESO-POS plan'!BK95)</f>
        <v>13</v>
      </c>
      <c r="BJ42" s="1077">
        <f>SUM(BG42:BI42)</f>
        <v>30</v>
      </c>
      <c r="BK42" s="1073">
        <f>SUM('EGRESO-POS plan'!BM93:BM95)</f>
        <v>5</v>
      </c>
      <c r="BL42" s="1074">
        <f>SUM('EGRESO-POS plan'!BN93,'EGRESO-POS plan'!BN94,'EGRESO-POS plan'!BN95)</f>
        <v>4</v>
      </c>
      <c r="BM42" s="1074">
        <f>SUM('EGRESO-POS plan'!BO93:BO95)</f>
        <v>17</v>
      </c>
      <c r="BN42" s="1077">
        <f>SUM(BK42:BM42)</f>
        <v>26</v>
      </c>
      <c r="BO42" s="1073">
        <f>SUM('EGRESO-POS plan'!BQ93:BQ95)</f>
        <v>9</v>
      </c>
      <c r="BP42" s="1074">
        <f>SUM('EGRESO-POS plan'!BR93,'EGRESO-POS plan'!BR94,'EGRESO-POS plan'!BR95)</f>
        <v>13</v>
      </c>
      <c r="BQ42" s="1074">
        <f>SUM('EGRESO-POS plan'!BS93:BS95)</f>
        <v>9</v>
      </c>
      <c r="BR42" s="1077">
        <f>SUM(BO42:BQ42)</f>
        <v>31</v>
      </c>
    </row>
    <row r="43" spans="1:70" s="222" customFormat="1" ht="15" x14ac:dyDescent="0.2">
      <c r="A43" s="5479"/>
      <c r="B43" s="583" t="s">
        <v>13</v>
      </c>
      <c r="C43" s="1193">
        <f>SUM(C40:C42)</f>
        <v>8</v>
      </c>
      <c r="D43" s="1194">
        <f>SUM(D40:D42)</f>
        <v>13</v>
      </c>
      <c r="E43" s="1194">
        <f>SUM(E40:E42)</f>
        <v>20</v>
      </c>
      <c r="F43" s="1185">
        <f t="shared" si="62"/>
        <v>41</v>
      </c>
      <c r="G43" s="1193">
        <f>SUM(G40:G42)</f>
        <v>9</v>
      </c>
      <c r="H43" s="1194">
        <f>SUM(H40:H42)</f>
        <v>12</v>
      </c>
      <c r="I43" s="1194">
        <f>SUM(I40:I42)</f>
        <v>15</v>
      </c>
      <c r="J43" s="1185">
        <f t="shared" si="63"/>
        <v>36</v>
      </c>
      <c r="K43" s="1193">
        <f>SUM(K40:K42)</f>
        <v>14</v>
      </c>
      <c r="L43" s="1194">
        <f>SUM(L40:L42)</f>
        <v>9</v>
      </c>
      <c r="M43" s="1194">
        <f>SUM(M40:M42)</f>
        <v>39</v>
      </c>
      <c r="N43" s="1185">
        <f t="shared" si="64"/>
        <v>62</v>
      </c>
      <c r="O43" s="1193">
        <f>SUM(O40:O42)</f>
        <v>18</v>
      </c>
      <c r="P43" s="1194">
        <f>SUM(P40:P42)</f>
        <v>58</v>
      </c>
      <c r="Q43" s="1194">
        <f>SUM(Q40:Q42)</f>
        <v>25</v>
      </c>
      <c r="R43" s="1185">
        <f t="shared" si="65"/>
        <v>101</v>
      </c>
      <c r="S43" s="1193">
        <v>27</v>
      </c>
      <c r="T43" s="1194">
        <v>19</v>
      </c>
      <c r="U43" s="1194">
        <v>32</v>
      </c>
      <c r="V43" s="1185">
        <v>78</v>
      </c>
      <c r="W43" s="1193">
        <v>19</v>
      </c>
      <c r="X43" s="1194">
        <v>18</v>
      </c>
      <c r="Y43" s="1194">
        <v>46</v>
      </c>
      <c r="Z43" s="1194">
        <v>83</v>
      </c>
      <c r="AA43" s="1193">
        <v>26</v>
      </c>
      <c r="AB43" s="1194">
        <v>40</v>
      </c>
      <c r="AC43" s="1194">
        <v>29</v>
      </c>
      <c r="AD43" s="1185">
        <v>95</v>
      </c>
      <c r="AE43" s="1194">
        <v>6</v>
      </c>
      <c r="AF43" s="1194">
        <v>22</v>
      </c>
      <c r="AG43" s="1194">
        <v>33</v>
      </c>
      <c r="AH43" s="1185">
        <v>61</v>
      </c>
      <c r="AI43" s="1194">
        <v>61</v>
      </c>
      <c r="AJ43" s="1194">
        <v>26</v>
      </c>
      <c r="AK43" s="1194">
        <v>42</v>
      </c>
      <c r="AL43" s="1194">
        <v>129</v>
      </c>
      <c r="AM43" s="578">
        <v>21</v>
      </c>
      <c r="AN43" s="579">
        <v>19</v>
      </c>
      <c r="AO43" s="579">
        <v>77</v>
      </c>
      <c r="AP43" s="579">
        <v>117</v>
      </c>
      <c r="AQ43" s="578">
        <v>22</v>
      </c>
      <c r="AR43" s="579">
        <v>25</v>
      </c>
      <c r="AS43" s="579">
        <v>55</v>
      </c>
      <c r="AT43" s="580">
        <v>102</v>
      </c>
      <c r="AU43" s="578">
        <f>SUM(AU40:AU42)</f>
        <v>48</v>
      </c>
      <c r="AV43" s="579">
        <f>SUM(AV40:AV42)</f>
        <v>38</v>
      </c>
      <c r="AW43" s="579">
        <f>SUM(AW40:AW42)</f>
        <v>116</v>
      </c>
      <c r="AX43" s="580">
        <f t="shared" si="66"/>
        <v>202</v>
      </c>
      <c r="AY43" s="578">
        <f>SUM(AY40:AY42)</f>
        <v>61</v>
      </c>
      <c r="AZ43" s="579">
        <f>SUM(AZ40:AZ42)</f>
        <v>50</v>
      </c>
      <c r="BA43" s="579">
        <f>SUM(BA40:BA42)</f>
        <v>39</v>
      </c>
      <c r="BB43" s="580">
        <f t="shared" si="67"/>
        <v>150</v>
      </c>
      <c r="BC43" s="578">
        <f t="shared" ref="BC43:BJ43" si="68">SUM(BC40:BC42)</f>
        <v>22</v>
      </c>
      <c r="BD43" s="579">
        <f t="shared" si="68"/>
        <v>24</v>
      </c>
      <c r="BE43" s="579">
        <f t="shared" si="68"/>
        <v>42</v>
      </c>
      <c r="BF43" s="580">
        <f t="shared" si="68"/>
        <v>88</v>
      </c>
      <c r="BG43" s="578">
        <f t="shared" si="68"/>
        <v>52</v>
      </c>
      <c r="BH43" s="579">
        <f t="shared" si="68"/>
        <v>22</v>
      </c>
      <c r="BI43" s="579">
        <f t="shared" si="68"/>
        <v>25</v>
      </c>
      <c r="BJ43" s="580">
        <f t="shared" si="68"/>
        <v>99</v>
      </c>
      <c r="BK43" s="578">
        <f t="shared" ref="BK43:BR43" si="69">SUM(BK40:BK42)</f>
        <v>19</v>
      </c>
      <c r="BL43" s="579">
        <f t="shared" si="69"/>
        <v>23</v>
      </c>
      <c r="BM43" s="579">
        <f t="shared" si="69"/>
        <v>76</v>
      </c>
      <c r="BN43" s="580">
        <f t="shared" si="69"/>
        <v>118</v>
      </c>
      <c r="BO43" s="578">
        <f t="shared" si="69"/>
        <v>41</v>
      </c>
      <c r="BP43" s="579">
        <f t="shared" si="69"/>
        <v>32</v>
      </c>
      <c r="BQ43" s="579">
        <f t="shared" si="69"/>
        <v>30</v>
      </c>
      <c r="BR43" s="580">
        <f t="shared" si="69"/>
        <v>103</v>
      </c>
    </row>
    <row r="44" spans="1:70" ht="15" x14ac:dyDescent="0.2">
      <c r="A44" s="5478" t="s">
        <v>11</v>
      </c>
      <c r="B44" s="1067" t="s">
        <v>631</v>
      </c>
      <c r="C44" s="1342">
        <f>+'EGRESO-POS plan'!E97+'EGRESO-POS plan'!E98+'EGRESO-POS plan'!E99</f>
        <v>1</v>
      </c>
      <c r="D44" s="1343">
        <f>+'EGRESO-POS plan'!F97+'EGRESO-POS plan'!F98+'EGRESO-POS plan'!F99</f>
        <v>0</v>
      </c>
      <c r="E44" s="1343">
        <f>+'EGRESO-POS plan'!G97+'EGRESO-POS plan'!G98+'EGRESO-POS plan'!G99</f>
        <v>0</v>
      </c>
      <c r="F44" s="1344">
        <f t="shared" si="62"/>
        <v>1</v>
      </c>
      <c r="G44" s="1342">
        <f>+'EGRESO-POS plan'!I97+'EGRESO-POS plan'!I98+'EGRESO-POS plan'!I99</f>
        <v>7</v>
      </c>
      <c r="H44" s="1343">
        <f>+'EGRESO-POS plan'!J97+'EGRESO-POS plan'!J98+'EGRESO-POS plan'!J99</f>
        <v>0</v>
      </c>
      <c r="I44" s="1343">
        <f>+'EGRESO-POS plan'!K97+'EGRESO-POS plan'!K98+'EGRESO-POS plan'!K99</f>
        <v>2</v>
      </c>
      <c r="J44" s="1344">
        <f t="shared" si="63"/>
        <v>9</v>
      </c>
      <c r="K44" s="1342">
        <f>+'EGRESO-POS plan'!M97+'EGRESO-POS plan'!M98+'EGRESO-POS plan'!M99</f>
        <v>1</v>
      </c>
      <c r="L44" s="1343">
        <f>+'EGRESO-POS plan'!N97+'EGRESO-POS plan'!N98+'EGRESO-POS plan'!N99</f>
        <v>2</v>
      </c>
      <c r="M44" s="1343">
        <f>+'EGRESO-POS plan'!O97+'EGRESO-POS plan'!O98+'EGRESO-POS plan'!O99</f>
        <v>1</v>
      </c>
      <c r="N44" s="1344">
        <f t="shared" si="64"/>
        <v>4</v>
      </c>
      <c r="O44" s="1342">
        <f>+'EGRESO-POS plan'!Q97+'EGRESO-POS plan'!Q98+'EGRESO-POS plan'!Q99</f>
        <v>1</v>
      </c>
      <c r="P44" s="1343">
        <f>+'EGRESO-POS plan'!R97+'EGRESO-POS plan'!R98+'EGRESO-POS plan'!R99</f>
        <v>59</v>
      </c>
      <c r="Q44" s="1343">
        <f>+'EGRESO-POS plan'!S97+'EGRESO-POS plan'!S98+'EGRESO-POS plan'!S99</f>
        <v>8</v>
      </c>
      <c r="R44" s="1344">
        <f t="shared" si="65"/>
        <v>68</v>
      </c>
      <c r="S44" s="1342">
        <v>1</v>
      </c>
      <c r="T44" s="1343">
        <v>8</v>
      </c>
      <c r="U44" s="1343">
        <v>8</v>
      </c>
      <c r="V44" s="1344">
        <v>17</v>
      </c>
      <c r="W44" s="1342">
        <v>6</v>
      </c>
      <c r="X44" s="1343">
        <v>1</v>
      </c>
      <c r="Y44" s="1343">
        <v>2</v>
      </c>
      <c r="Z44" s="1345">
        <v>9</v>
      </c>
      <c r="AA44" s="1342">
        <v>3</v>
      </c>
      <c r="AB44" s="1343">
        <v>8</v>
      </c>
      <c r="AC44" s="1343">
        <v>1</v>
      </c>
      <c r="AD44" s="1344">
        <v>12</v>
      </c>
      <c r="AE44" s="1343">
        <v>0</v>
      </c>
      <c r="AF44" s="1343">
        <v>0</v>
      </c>
      <c r="AG44" s="1343">
        <v>1</v>
      </c>
      <c r="AH44" s="1344">
        <v>1</v>
      </c>
      <c r="AI44" s="1343">
        <v>3</v>
      </c>
      <c r="AJ44" s="1343">
        <v>9</v>
      </c>
      <c r="AK44" s="1343">
        <v>0</v>
      </c>
      <c r="AL44" s="1345">
        <v>12</v>
      </c>
      <c r="AM44" s="1346">
        <v>0</v>
      </c>
      <c r="AN44" s="1347">
        <v>3</v>
      </c>
      <c r="AO44" s="1347">
        <v>6</v>
      </c>
      <c r="AP44" s="1348">
        <v>9</v>
      </c>
      <c r="AQ44" s="1346">
        <v>1</v>
      </c>
      <c r="AR44" s="1347">
        <v>10</v>
      </c>
      <c r="AS44" s="1347">
        <v>6</v>
      </c>
      <c r="AT44" s="1348">
        <v>17</v>
      </c>
      <c r="AU44" s="1346">
        <v>4</v>
      </c>
      <c r="AV44" s="1347">
        <v>2</v>
      </c>
      <c r="AW44" s="1347"/>
      <c r="AX44" s="1348">
        <f t="shared" si="66"/>
        <v>6</v>
      </c>
      <c r="AY44" s="1346"/>
      <c r="AZ44" s="1347">
        <v>1</v>
      </c>
      <c r="BA44" s="1347">
        <v>2</v>
      </c>
      <c r="BB44" s="1348">
        <f t="shared" si="67"/>
        <v>3</v>
      </c>
      <c r="BC44" s="1068">
        <f>SUM('EGRESO-POS plan'!BE97,'EGRESO-POS plan'!BE98,'EGRESO-POS plan'!BE99)</f>
        <v>6</v>
      </c>
      <c r="BD44" s="1069">
        <f>SUM('EGRESO-POS plan'!BF97,'EGRESO-POS plan'!BF98,'EGRESO-POS plan'!BF99)</f>
        <v>1</v>
      </c>
      <c r="BE44" s="1069">
        <f>SUM('EGRESO-POS plan'!BG97,'EGRESO-POS plan'!BG98,'EGRESO-POS plan'!BG99)</f>
        <v>0</v>
      </c>
      <c r="BF44" s="1086">
        <f>SUM(BC44:BE44)</f>
        <v>7</v>
      </c>
      <c r="BG44" s="1068">
        <f>SUM('EGRESO-POS plan'!BI97,'EGRESO-POS plan'!BI98,'EGRESO-POS plan'!BI99)</f>
        <v>0</v>
      </c>
      <c r="BH44" s="1069">
        <f>SUM('EGRESO-POS plan'!BJ97,'EGRESO-POS plan'!BJ98,'EGRESO-POS plan'!BJ99)</f>
        <v>0</v>
      </c>
      <c r="BI44" s="1069">
        <f>SUM('EGRESO-POS plan'!BK97,'EGRESO-POS plan'!BK98,'EGRESO-POS plan'!BK99)</f>
        <v>0</v>
      </c>
      <c r="BJ44" s="1086">
        <f>SUM(BG44:BI44)</f>
        <v>0</v>
      </c>
      <c r="BK44" s="1068">
        <f>SUM('EGRESO-POS plan'!BM97,'EGRESO-POS plan'!BM98,'EGRESO-POS plan'!BM99)</f>
        <v>9</v>
      </c>
      <c r="BL44" s="1069">
        <f>SUM('EGRESO-POS plan'!BN97,'EGRESO-POS plan'!BN98,'EGRESO-POS plan'!BN99)</f>
        <v>1</v>
      </c>
      <c r="BM44" s="1069">
        <f>SUM('EGRESO-POS plan'!BO97,'EGRESO-POS plan'!BO98,'EGRESO-POS plan'!BO99)</f>
        <v>0</v>
      </c>
      <c r="BN44" s="1086">
        <f>SUM(BK44:BM44)</f>
        <v>10</v>
      </c>
      <c r="BO44" s="1068">
        <f>SUM('EGRESO-POS plan'!BQ97,'EGRESO-POS plan'!BQ98,'EGRESO-POS plan'!BQ99)</f>
        <v>5</v>
      </c>
      <c r="BP44" s="1069">
        <f>SUM('EGRESO-POS plan'!BR97,'EGRESO-POS plan'!BR98,'EGRESO-POS plan'!BR99)</f>
        <v>1</v>
      </c>
      <c r="BQ44" s="1069">
        <f>SUM('EGRESO-POS plan'!BS97,'EGRESO-POS plan'!BS98,'EGRESO-POS plan'!BS99)</f>
        <v>0</v>
      </c>
      <c r="BR44" s="1086">
        <f>SUM(BO44:BQ44)</f>
        <v>6</v>
      </c>
    </row>
    <row r="45" spans="1:70" ht="15" x14ac:dyDescent="0.2">
      <c r="A45" s="5479"/>
      <c r="B45" s="1072" t="s">
        <v>632</v>
      </c>
      <c r="C45" s="1338">
        <f>+'EGRESO-POS plan'!E100+'EGRESO-POS plan'!E101+'EGRESO-POS plan'!E102+'EGRESO-POS plan'!E103+'EGRESO-POS plan'!E104+'EGRESO-POS plan'!E105+'EGRESO-POS plan'!E106</f>
        <v>2</v>
      </c>
      <c r="D45" s="1339">
        <f>+'EGRESO-POS plan'!F100+'EGRESO-POS plan'!F101+'EGRESO-POS plan'!F102+'EGRESO-POS plan'!F103+'EGRESO-POS plan'!F104+'EGRESO-POS plan'!F105+'EGRESO-POS plan'!F106</f>
        <v>1</v>
      </c>
      <c r="E45" s="1339">
        <f>+'EGRESO-POS plan'!G100+'EGRESO-POS plan'!G101+'EGRESO-POS plan'!G102+'EGRESO-POS plan'!G103+'EGRESO-POS plan'!G104+'EGRESO-POS plan'!G105+'EGRESO-POS plan'!G106</f>
        <v>7</v>
      </c>
      <c r="F45" s="1340">
        <f t="shared" si="62"/>
        <v>10</v>
      </c>
      <c r="G45" s="1338">
        <f>+'EGRESO-POS plan'!I100+'EGRESO-POS plan'!I101+'EGRESO-POS plan'!I102+'EGRESO-POS plan'!I103+'EGRESO-POS plan'!I104+'EGRESO-POS plan'!I105+'EGRESO-POS plan'!I106</f>
        <v>1</v>
      </c>
      <c r="H45" s="1339">
        <f>+'EGRESO-POS plan'!J100+'EGRESO-POS plan'!J101+'EGRESO-POS plan'!J102+'EGRESO-POS plan'!J103+'EGRESO-POS plan'!J104+'EGRESO-POS plan'!J105+'EGRESO-POS plan'!J106</f>
        <v>4</v>
      </c>
      <c r="I45" s="1339">
        <f>+'EGRESO-POS plan'!K100+'EGRESO-POS plan'!K101+'EGRESO-POS plan'!K102+'EGRESO-POS plan'!K103+'EGRESO-POS plan'!K104+'EGRESO-POS plan'!K105+'EGRESO-POS plan'!K106</f>
        <v>9</v>
      </c>
      <c r="J45" s="1340">
        <f t="shared" si="63"/>
        <v>14</v>
      </c>
      <c r="K45" s="1338">
        <f>+'EGRESO-POS plan'!M100+'EGRESO-POS plan'!M101+'EGRESO-POS plan'!M102+'EGRESO-POS plan'!M103+'EGRESO-POS plan'!M104+'EGRESO-POS plan'!M105+'EGRESO-POS plan'!M106</f>
        <v>7</v>
      </c>
      <c r="L45" s="1339">
        <f>+'EGRESO-POS plan'!N100+'EGRESO-POS plan'!N101+'EGRESO-POS plan'!N102+'EGRESO-POS plan'!N103+'EGRESO-POS plan'!N104+'EGRESO-POS plan'!N105+'EGRESO-POS plan'!N106</f>
        <v>1</v>
      </c>
      <c r="M45" s="1339">
        <f>+'EGRESO-POS plan'!O100+'EGRESO-POS plan'!O101+'EGRESO-POS plan'!O102+'EGRESO-POS plan'!O103+'EGRESO-POS plan'!O104+'EGRESO-POS plan'!O105+'EGRESO-POS plan'!O106</f>
        <v>5</v>
      </c>
      <c r="N45" s="1340">
        <f t="shared" si="64"/>
        <v>13</v>
      </c>
      <c r="O45" s="1338">
        <f>+'EGRESO-POS plan'!Q100+'EGRESO-POS plan'!Q101+'EGRESO-POS plan'!Q102+'EGRESO-POS plan'!Q103+'EGRESO-POS plan'!Q104+'EGRESO-POS plan'!Q105+'EGRESO-POS plan'!Q106</f>
        <v>2</v>
      </c>
      <c r="P45" s="1339">
        <f>+'EGRESO-POS plan'!R100+'EGRESO-POS plan'!R101+'EGRESO-POS plan'!R102+'EGRESO-POS plan'!R103+'EGRESO-POS plan'!R104+'EGRESO-POS plan'!R105+'EGRESO-POS plan'!R106</f>
        <v>2</v>
      </c>
      <c r="Q45" s="1339">
        <f>+'EGRESO-POS plan'!S100+'EGRESO-POS plan'!S101+'EGRESO-POS plan'!S102+'EGRESO-POS plan'!S103+'EGRESO-POS plan'!S104+'EGRESO-POS plan'!S105+'EGRESO-POS plan'!S106</f>
        <v>1</v>
      </c>
      <c r="R45" s="1340">
        <f t="shared" si="65"/>
        <v>5</v>
      </c>
      <c r="S45" s="1338">
        <v>4</v>
      </c>
      <c r="T45" s="1339">
        <v>9</v>
      </c>
      <c r="U45" s="1339">
        <v>7</v>
      </c>
      <c r="V45" s="1340">
        <v>20</v>
      </c>
      <c r="W45" s="1338">
        <v>4</v>
      </c>
      <c r="X45" s="1339">
        <v>16</v>
      </c>
      <c r="Y45" s="1339">
        <v>6</v>
      </c>
      <c r="Z45" s="1341">
        <v>26</v>
      </c>
      <c r="AA45" s="1338">
        <v>7</v>
      </c>
      <c r="AB45" s="1339">
        <v>7</v>
      </c>
      <c r="AC45" s="1339">
        <v>14</v>
      </c>
      <c r="AD45" s="1340">
        <v>28</v>
      </c>
      <c r="AE45" s="1339">
        <v>9</v>
      </c>
      <c r="AF45" s="1339">
        <v>11</v>
      </c>
      <c r="AG45" s="1339">
        <v>17</v>
      </c>
      <c r="AH45" s="1340">
        <v>37</v>
      </c>
      <c r="AI45" s="1339">
        <v>6</v>
      </c>
      <c r="AJ45" s="1339">
        <v>12</v>
      </c>
      <c r="AK45" s="1339">
        <v>15</v>
      </c>
      <c r="AL45" s="1341">
        <v>33</v>
      </c>
      <c r="AM45" s="1073">
        <v>12</v>
      </c>
      <c r="AN45" s="1074">
        <v>14</v>
      </c>
      <c r="AO45" s="1074">
        <v>10</v>
      </c>
      <c r="AP45" s="1077">
        <v>36</v>
      </c>
      <c r="AQ45" s="1073">
        <v>16</v>
      </c>
      <c r="AR45" s="1074">
        <v>23</v>
      </c>
      <c r="AS45" s="1074">
        <v>19</v>
      </c>
      <c r="AT45" s="1077">
        <v>58</v>
      </c>
      <c r="AU45" s="1073">
        <v>11</v>
      </c>
      <c r="AV45" s="1074">
        <v>21</v>
      </c>
      <c r="AW45" s="1074">
        <v>25</v>
      </c>
      <c r="AX45" s="1077">
        <f t="shared" si="66"/>
        <v>57</v>
      </c>
      <c r="AY45" s="1073">
        <v>22</v>
      </c>
      <c r="AZ45" s="1074">
        <v>17</v>
      </c>
      <c r="BA45" s="1074">
        <v>23</v>
      </c>
      <c r="BB45" s="1077">
        <f t="shared" si="67"/>
        <v>62</v>
      </c>
      <c r="BC45" s="1073">
        <f>SUM('EGRESO-POS plan'!BE100,'EGRESO-POS plan'!BE101,'EGRESO-POS plan'!BE102,'EGRESO-POS plan'!BE103,'EGRESO-POS plan'!BE104,'EGRESO-POS plan'!BE105,'EGRESO-POS plan'!BE106)</f>
        <v>11</v>
      </c>
      <c r="BD45" s="1074">
        <f>SUM('EGRESO-POS plan'!BF100,'EGRESO-POS plan'!BF101,'EGRESO-POS plan'!BF102,'EGRESO-POS plan'!BF103,'EGRESO-POS plan'!BF104,'EGRESO-POS plan'!BF105,'EGRESO-POS plan'!BF106)</f>
        <v>9</v>
      </c>
      <c r="BE45" s="1074">
        <f>SUM('EGRESO-POS plan'!BG100,'EGRESO-POS plan'!BG101,'EGRESO-POS plan'!BG102,'EGRESO-POS plan'!BG103,'EGRESO-POS plan'!BG104,'EGRESO-POS plan'!BG105,'EGRESO-POS plan'!BG106)</f>
        <v>13</v>
      </c>
      <c r="BF45" s="1077">
        <f>SUM(BC45:BE45)</f>
        <v>33</v>
      </c>
      <c r="BG45" s="1073">
        <f>SUM('EGRESO-POS plan'!BI100,'EGRESO-POS plan'!BI101,'EGRESO-POS plan'!BI102,'EGRESO-POS plan'!BI103,'EGRESO-POS plan'!BI104,'EGRESO-POS plan'!BI105,'EGRESO-POS plan'!BI106)</f>
        <v>15</v>
      </c>
      <c r="BH45" s="1074">
        <f>SUM('EGRESO-POS plan'!BJ100,'EGRESO-POS plan'!BJ101,'EGRESO-POS plan'!BJ102,'EGRESO-POS plan'!BJ103,'EGRESO-POS plan'!BJ104,'EGRESO-POS plan'!BJ105,'EGRESO-POS plan'!BJ106)</f>
        <v>18</v>
      </c>
      <c r="BI45" s="1074">
        <f>SUM('EGRESO-POS plan'!BK100,'EGRESO-POS plan'!BK101,'EGRESO-POS plan'!BK102,'EGRESO-POS plan'!BK103,'EGRESO-POS plan'!BK104,'EGRESO-POS plan'!BK105,'EGRESO-POS plan'!BK106)</f>
        <v>28</v>
      </c>
      <c r="BJ45" s="1077">
        <f>SUM(BG45:BI45)</f>
        <v>61</v>
      </c>
      <c r="BK45" s="1073">
        <f>SUM('EGRESO-POS plan'!BM100,'EGRESO-POS plan'!BM101,'EGRESO-POS plan'!BM102,'EGRESO-POS plan'!BM103,'EGRESO-POS plan'!BM104,'EGRESO-POS plan'!BM105,'EGRESO-POS plan'!BM106)</f>
        <v>7</v>
      </c>
      <c r="BL45" s="1074">
        <f>SUM('EGRESO-POS plan'!BN100,'EGRESO-POS plan'!BN101,'EGRESO-POS plan'!BN102,'EGRESO-POS plan'!BN103,'EGRESO-POS plan'!BN104,'EGRESO-POS plan'!BN105,'EGRESO-POS plan'!BN106)</f>
        <v>24</v>
      </c>
      <c r="BM45" s="1074">
        <f>SUM('EGRESO-POS plan'!BO100,'EGRESO-POS plan'!BO101,'EGRESO-POS plan'!BO102,'EGRESO-POS plan'!BO103,'EGRESO-POS plan'!BO104,'EGRESO-POS plan'!BO105,'EGRESO-POS plan'!BO106)</f>
        <v>20</v>
      </c>
      <c r="BN45" s="1077">
        <f>SUM(BK45:BM45)</f>
        <v>51</v>
      </c>
      <c r="BO45" s="1073">
        <f>SUM('EGRESO-POS plan'!BQ100,'EGRESO-POS plan'!BQ101,'EGRESO-POS plan'!BQ102,'EGRESO-POS plan'!BQ103,'EGRESO-POS plan'!BQ104,'EGRESO-POS plan'!BQ105,'EGRESO-POS plan'!BQ106)</f>
        <v>18</v>
      </c>
      <c r="BP45" s="1074">
        <f>SUM('EGRESO-POS plan'!BR100,'EGRESO-POS plan'!BR101,'EGRESO-POS plan'!BR102,'EGRESO-POS plan'!BR103,'EGRESO-POS plan'!BR104,'EGRESO-POS plan'!BR105,'EGRESO-POS plan'!BR106)</f>
        <v>21</v>
      </c>
      <c r="BQ45" s="1074">
        <f>SUM('EGRESO-POS plan'!BS100,'EGRESO-POS plan'!BS101,'EGRESO-POS plan'!BS102,'EGRESO-POS plan'!BS103,'EGRESO-POS plan'!BS104,'EGRESO-POS plan'!BS105,'EGRESO-POS plan'!BS106)</f>
        <v>23</v>
      </c>
      <c r="BR45" s="1077">
        <f>SUM(BO45:BQ45)</f>
        <v>62</v>
      </c>
    </row>
    <row r="46" spans="1:70" ht="15" x14ac:dyDescent="0.2">
      <c r="A46" s="5479"/>
      <c r="B46" s="1078" t="s">
        <v>633</v>
      </c>
      <c r="C46" s="1338">
        <f>+'EGRESO-POS plan'!E107+'EGRESO-POS plan'!E108</f>
        <v>0</v>
      </c>
      <c r="D46" s="1339">
        <f>+'EGRESO-POS plan'!F107+'EGRESO-POS plan'!F108</f>
        <v>2</v>
      </c>
      <c r="E46" s="1339">
        <f>+'EGRESO-POS plan'!G107+'EGRESO-POS plan'!G108</f>
        <v>3</v>
      </c>
      <c r="F46" s="1340">
        <f t="shared" si="62"/>
        <v>5</v>
      </c>
      <c r="G46" s="1338">
        <f>+'EGRESO-POS plan'!I107+'EGRESO-POS plan'!I108</f>
        <v>1</v>
      </c>
      <c r="H46" s="1339">
        <f>+'EGRESO-POS plan'!J107+'EGRESO-POS plan'!J108</f>
        <v>2</v>
      </c>
      <c r="I46" s="1339">
        <f>+'EGRESO-POS plan'!K107+'EGRESO-POS plan'!K108</f>
        <v>1</v>
      </c>
      <c r="J46" s="1340">
        <f t="shared" si="63"/>
        <v>4</v>
      </c>
      <c r="K46" s="1338">
        <f>+'EGRESO-POS plan'!M107+'EGRESO-POS plan'!M108</f>
        <v>1</v>
      </c>
      <c r="L46" s="1339">
        <f>+'EGRESO-POS plan'!N107+'EGRESO-POS plan'!N108</f>
        <v>1</v>
      </c>
      <c r="M46" s="1339">
        <f>+'EGRESO-POS plan'!O107+'EGRESO-POS plan'!O108</f>
        <v>1</v>
      </c>
      <c r="N46" s="1340">
        <f t="shared" si="64"/>
        <v>3</v>
      </c>
      <c r="O46" s="1338">
        <f>+'EGRESO-POS plan'!Q107+'EGRESO-POS plan'!Q108</f>
        <v>1</v>
      </c>
      <c r="P46" s="1339">
        <f>+'EGRESO-POS plan'!R107+'EGRESO-POS plan'!R108</f>
        <v>1</v>
      </c>
      <c r="Q46" s="1339">
        <f>+'EGRESO-POS plan'!S107+'EGRESO-POS plan'!S108</f>
        <v>0</v>
      </c>
      <c r="R46" s="1340">
        <f t="shared" si="65"/>
        <v>2</v>
      </c>
      <c r="S46" s="1338">
        <v>3</v>
      </c>
      <c r="T46" s="1339">
        <v>1</v>
      </c>
      <c r="U46" s="1339">
        <v>5</v>
      </c>
      <c r="V46" s="1340">
        <v>9</v>
      </c>
      <c r="W46" s="1338">
        <v>2</v>
      </c>
      <c r="X46" s="1339">
        <v>0</v>
      </c>
      <c r="Y46" s="1339">
        <v>1</v>
      </c>
      <c r="Z46" s="1341">
        <v>3</v>
      </c>
      <c r="AA46" s="1338">
        <v>2</v>
      </c>
      <c r="AB46" s="1339">
        <v>6</v>
      </c>
      <c r="AC46" s="1339">
        <v>4</v>
      </c>
      <c r="AD46" s="1340">
        <v>12</v>
      </c>
      <c r="AE46" s="1339">
        <v>6</v>
      </c>
      <c r="AF46" s="1339">
        <v>4</v>
      </c>
      <c r="AG46" s="1339">
        <v>2</v>
      </c>
      <c r="AH46" s="1340">
        <v>12</v>
      </c>
      <c r="AI46" s="1339">
        <v>2</v>
      </c>
      <c r="AJ46" s="1339">
        <v>4</v>
      </c>
      <c r="AK46" s="1339">
        <v>5</v>
      </c>
      <c r="AL46" s="1341">
        <v>11</v>
      </c>
      <c r="AM46" s="1073">
        <v>4</v>
      </c>
      <c r="AN46" s="1074">
        <v>7</v>
      </c>
      <c r="AO46" s="1074">
        <v>2</v>
      </c>
      <c r="AP46" s="1077">
        <v>13</v>
      </c>
      <c r="AQ46" s="1073">
        <v>1</v>
      </c>
      <c r="AR46" s="1074">
        <v>3</v>
      </c>
      <c r="AS46" s="1074">
        <v>2</v>
      </c>
      <c r="AT46" s="1077">
        <v>6</v>
      </c>
      <c r="AU46" s="1073">
        <v>1</v>
      </c>
      <c r="AV46" s="1074">
        <v>8</v>
      </c>
      <c r="AW46" s="1074">
        <v>6</v>
      </c>
      <c r="AX46" s="1077">
        <f t="shared" si="66"/>
        <v>15</v>
      </c>
      <c r="AY46" s="1073">
        <v>5</v>
      </c>
      <c r="AZ46" s="1074">
        <v>5</v>
      </c>
      <c r="BA46" s="1074">
        <v>8</v>
      </c>
      <c r="BB46" s="1077">
        <f t="shared" si="67"/>
        <v>18</v>
      </c>
      <c r="BC46" s="1073">
        <f>SUM('EGRESO-POS plan'!BE107,'EGRESO-POS plan'!BE108)</f>
        <v>7</v>
      </c>
      <c r="BD46" s="1074">
        <f>SUM('EGRESO-POS plan'!BF107,'EGRESO-POS plan'!BF108)</f>
        <v>2</v>
      </c>
      <c r="BE46" s="1074">
        <f>SUM('EGRESO-POS plan'!BG107,'EGRESO-POS plan'!BG108)</f>
        <v>8</v>
      </c>
      <c r="BF46" s="1077">
        <f>SUM(BC46:BE46)</f>
        <v>17</v>
      </c>
      <c r="BG46" s="1073">
        <f>SUM('EGRESO-POS plan'!BI107,'EGRESO-POS plan'!BI108)</f>
        <v>4</v>
      </c>
      <c r="BH46" s="1074">
        <f>SUM('EGRESO-POS plan'!BJ107,'EGRESO-POS plan'!BJ108)</f>
        <v>2</v>
      </c>
      <c r="BI46" s="1074">
        <f>SUM('EGRESO-POS plan'!BK107,'EGRESO-POS plan'!BK108)</f>
        <v>6</v>
      </c>
      <c r="BJ46" s="1077">
        <f>SUM(BG46:BI46)</f>
        <v>12</v>
      </c>
      <c r="BK46" s="1073">
        <f>SUM('EGRESO-POS plan'!BM107,'EGRESO-POS plan'!BM108)</f>
        <v>6</v>
      </c>
      <c r="BL46" s="1074">
        <f>SUM('EGRESO-POS plan'!BN107,'EGRESO-POS plan'!BN108)</f>
        <v>5</v>
      </c>
      <c r="BM46" s="1074">
        <f>SUM('EGRESO-POS plan'!BO107,'EGRESO-POS plan'!BO108)</f>
        <v>2</v>
      </c>
      <c r="BN46" s="1077">
        <f>SUM(BK46:BM46)</f>
        <v>13</v>
      </c>
      <c r="BO46" s="1073">
        <f>SUM('EGRESO-POS plan'!BQ107,'EGRESO-POS plan'!BQ108)</f>
        <v>6</v>
      </c>
      <c r="BP46" s="1074">
        <f>SUM('EGRESO-POS plan'!BR107,'EGRESO-POS plan'!BR108)</f>
        <v>2</v>
      </c>
      <c r="BQ46" s="1074">
        <f>SUM('EGRESO-POS plan'!BS107,'EGRESO-POS plan'!BS108)</f>
        <v>5</v>
      </c>
      <c r="BR46" s="1077">
        <f>SUM(BO46:BQ46)</f>
        <v>13</v>
      </c>
    </row>
    <row r="47" spans="1:70" s="222" customFormat="1" ht="15" x14ac:dyDescent="0.2">
      <c r="A47" s="5479"/>
      <c r="B47" s="583" t="s">
        <v>14</v>
      </c>
      <c r="C47" s="1193">
        <f>SUM(C44:C46)</f>
        <v>3</v>
      </c>
      <c r="D47" s="1194">
        <f>SUM(D44:D46)</f>
        <v>3</v>
      </c>
      <c r="E47" s="1194">
        <f>SUM(E44:E46)</f>
        <v>10</v>
      </c>
      <c r="F47" s="1185">
        <f t="shared" si="62"/>
        <v>16</v>
      </c>
      <c r="G47" s="1193">
        <f>SUM(G44:G46)</f>
        <v>9</v>
      </c>
      <c r="H47" s="1194">
        <f>SUM(H44:H46)</f>
        <v>6</v>
      </c>
      <c r="I47" s="1194">
        <f>SUM(I44:I46)</f>
        <v>12</v>
      </c>
      <c r="J47" s="1185">
        <f t="shared" si="63"/>
        <v>27</v>
      </c>
      <c r="K47" s="1193">
        <f>SUM(K44:K46)</f>
        <v>9</v>
      </c>
      <c r="L47" s="1194">
        <f>SUM(L44:L46)</f>
        <v>4</v>
      </c>
      <c r="M47" s="1194">
        <f>SUM(M44:M46)</f>
        <v>7</v>
      </c>
      <c r="N47" s="1185">
        <f t="shared" si="64"/>
        <v>20</v>
      </c>
      <c r="O47" s="1193">
        <f>SUM(O44:O46)</f>
        <v>4</v>
      </c>
      <c r="P47" s="1194">
        <f>SUM(P44:P46)</f>
        <v>62</v>
      </c>
      <c r="Q47" s="1194">
        <f>SUM(Q44:Q46)</f>
        <v>9</v>
      </c>
      <c r="R47" s="1185">
        <f t="shared" si="65"/>
        <v>75</v>
      </c>
      <c r="S47" s="1193">
        <v>8</v>
      </c>
      <c r="T47" s="1194">
        <v>18</v>
      </c>
      <c r="U47" s="1194">
        <v>20</v>
      </c>
      <c r="V47" s="1185">
        <v>46</v>
      </c>
      <c r="W47" s="1193">
        <v>12</v>
      </c>
      <c r="X47" s="1194">
        <v>17</v>
      </c>
      <c r="Y47" s="1194">
        <v>9</v>
      </c>
      <c r="Z47" s="1194">
        <v>38</v>
      </c>
      <c r="AA47" s="1193">
        <v>12</v>
      </c>
      <c r="AB47" s="1194">
        <v>21</v>
      </c>
      <c r="AC47" s="1194">
        <v>19</v>
      </c>
      <c r="AD47" s="1185">
        <v>52</v>
      </c>
      <c r="AE47" s="1194">
        <v>15</v>
      </c>
      <c r="AF47" s="1194">
        <v>15</v>
      </c>
      <c r="AG47" s="1194">
        <v>20</v>
      </c>
      <c r="AH47" s="1185">
        <v>50</v>
      </c>
      <c r="AI47" s="1194">
        <v>11</v>
      </c>
      <c r="AJ47" s="1194">
        <v>25</v>
      </c>
      <c r="AK47" s="1194">
        <v>20</v>
      </c>
      <c r="AL47" s="1194">
        <v>56</v>
      </c>
      <c r="AM47" s="578">
        <v>16</v>
      </c>
      <c r="AN47" s="579">
        <v>24</v>
      </c>
      <c r="AO47" s="579">
        <v>18</v>
      </c>
      <c r="AP47" s="579">
        <v>58</v>
      </c>
      <c r="AQ47" s="578">
        <v>18</v>
      </c>
      <c r="AR47" s="579">
        <v>36</v>
      </c>
      <c r="AS47" s="579">
        <v>27</v>
      </c>
      <c r="AT47" s="580">
        <v>81</v>
      </c>
      <c r="AU47" s="578">
        <f>SUM(AU44:AU46)</f>
        <v>16</v>
      </c>
      <c r="AV47" s="579">
        <f>SUM(AV44:AV46)</f>
        <v>31</v>
      </c>
      <c r="AW47" s="579">
        <f>SUM(AW44:AW46)</f>
        <v>31</v>
      </c>
      <c r="AX47" s="580">
        <f t="shared" si="66"/>
        <v>78</v>
      </c>
      <c r="AY47" s="578">
        <f>SUM(AY44:AY46)</f>
        <v>27</v>
      </c>
      <c r="AZ47" s="579">
        <f>SUM(AZ44:AZ46)</f>
        <v>23</v>
      </c>
      <c r="BA47" s="579">
        <f>SUM(BA44:BA46)</f>
        <v>33</v>
      </c>
      <c r="BB47" s="580">
        <f t="shared" si="67"/>
        <v>83</v>
      </c>
      <c r="BC47" s="578">
        <f t="shared" ref="BC47:BJ47" si="70">SUM(BC44:BC46)</f>
        <v>24</v>
      </c>
      <c r="BD47" s="579">
        <f t="shared" si="70"/>
        <v>12</v>
      </c>
      <c r="BE47" s="579">
        <f t="shared" si="70"/>
        <v>21</v>
      </c>
      <c r="BF47" s="580">
        <f t="shared" si="70"/>
        <v>57</v>
      </c>
      <c r="BG47" s="578">
        <f t="shared" si="70"/>
        <v>19</v>
      </c>
      <c r="BH47" s="579">
        <f t="shared" si="70"/>
        <v>20</v>
      </c>
      <c r="BI47" s="579">
        <f t="shared" si="70"/>
        <v>34</v>
      </c>
      <c r="BJ47" s="580">
        <f t="shared" si="70"/>
        <v>73</v>
      </c>
      <c r="BK47" s="578">
        <f t="shared" ref="BK47:BR47" si="71">SUM(BK44:BK46)</f>
        <v>22</v>
      </c>
      <c r="BL47" s="579">
        <f t="shared" si="71"/>
        <v>30</v>
      </c>
      <c r="BM47" s="579">
        <f t="shared" si="71"/>
        <v>22</v>
      </c>
      <c r="BN47" s="580">
        <f t="shared" si="71"/>
        <v>74</v>
      </c>
      <c r="BO47" s="578">
        <f t="shared" si="71"/>
        <v>29</v>
      </c>
      <c r="BP47" s="579">
        <f t="shared" si="71"/>
        <v>24</v>
      </c>
      <c r="BQ47" s="579">
        <f t="shared" si="71"/>
        <v>28</v>
      </c>
      <c r="BR47" s="580">
        <f t="shared" si="71"/>
        <v>81</v>
      </c>
    </row>
    <row r="48" spans="1:70" ht="15" x14ac:dyDescent="0.2">
      <c r="A48" s="5478" t="s">
        <v>7</v>
      </c>
      <c r="B48" s="1067" t="s">
        <v>631</v>
      </c>
      <c r="C48" s="1334"/>
      <c r="D48" s="1335"/>
      <c r="E48" s="1335"/>
      <c r="F48" s="1336"/>
      <c r="G48" s="1334"/>
      <c r="H48" s="1335"/>
      <c r="I48" s="1335"/>
      <c r="J48" s="1336"/>
      <c r="K48" s="1334"/>
      <c r="L48" s="1335"/>
      <c r="M48" s="1335"/>
      <c r="N48" s="1336"/>
      <c r="O48" s="1334"/>
      <c r="P48" s="1335"/>
      <c r="Q48" s="1335"/>
      <c r="R48" s="1336"/>
      <c r="S48" s="1334"/>
      <c r="T48" s="1335"/>
      <c r="U48" s="1335"/>
      <c r="V48" s="1336"/>
      <c r="W48" s="1334"/>
      <c r="X48" s="1335"/>
      <c r="Y48" s="1335"/>
      <c r="Z48" s="1337"/>
      <c r="AA48" s="1334"/>
      <c r="AB48" s="1335"/>
      <c r="AC48" s="1335"/>
      <c r="AD48" s="1336"/>
      <c r="AE48" s="1335"/>
      <c r="AF48" s="1335"/>
      <c r="AG48" s="1335"/>
      <c r="AH48" s="1336"/>
      <c r="AI48" s="1335"/>
      <c r="AJ48" s="1335"/>
      <c r="AK48" s="1335"/>
      <c r="AL48" s="1337"/>
      <c r="AM48" s="1068"/>
      <c r="AN48" s="1069"/>
      <c r="AO48" s="1069"/>
      <c r="AP48" s="1086"/>
      <c r="AQ48" s="1068"/>
      <c r="AR48" s="1069"/>
      <c r="AS48" s="1069"/>
      <c r="AT48" s="1086"/>
      <c r="AU48" s="1068"/>
      <c r="AV48" s="1069"/>
      <c r="AW48" s="1069"/>
      <c r="AX48" s="1086"/>
      <c r="AY48" s="1068"/>
      <c r="AZ48" s="1069"/>
      <c r="BA48" s="1069"/>
      <c r="BB48" s="1086"/>
      <c r="BC48" s="1068"/>
      <c r="BD48" s="1069"/>
      <c r="BE48" s="1069"/>
      <c r="BF48" s="1086"/>
      <c r="BG48" s="1068"/>
      <c r="BH48" s="1069"/>
      <c r="BI48" s="1069"/>
      <c r="BJ48" s="1086"/>
      <c r="BK48" s="1068"/>
      <c r="BL48" s="1069"/>
      <c r="BM48" s="1069"/>
      <c r="BN48" s="1086"/>
      <c r="BO48" s="1068"/>
      <c r="BP48" s="1069"/>
      <c r="BQ48" s="1069"/>
      <c r="BR48" s="1086"/>
    </row>
    <row r="49" spans="1:70" ht="15" x14ac:dyDescent="0.2">
      <c r="A49" s="5479"/>
      <c r="B49" s="1072" t="s">
        <v>632</v>
      </c>
      <c r="C49" s="1338"/>
      <c r="D49" s="1339"/>
      <c r="E49" s="1339"/>
      <c r="F49" s="1340">
        <f t="shared" si="62"/>
        <v>0</v>
      </c>
      <c r="G49" s="1338"/>
      <c r="H49" s="1339"/>
      <c r="I49" s="1339"/>
      <c r="J49" s="1340">
        <f t="shared" si="63"/>
        <v>0</v>
      </c>
      <c r="K49" s="1338"/>
      <c r="L49" s="1339"/>
      <c r="M49" s="1339"/>
      <c r="N49" s="1340">
        <f t="shared" si="64"/>
        <v>0</v>
      </c>
      <c r="O49" s="1338"/>
      <c r="P49" s="1339">
        <f>+'EGRESO-POS plan'!R110</f>
        <v>10</v>
      </c>
      <c r="Q49" s="1339">
        <f>+'EGRESO-POS plan'!S110</f>
        <v>9</v>
      </c>
      <c r="R49" s="1340">
        <f t="shared" si="65"/>
        <v>19</v>
      </c>
      <c r="S49" s="1338">
        <v>0</v>
      </c>
      <c r="T49" s="1339">
        <v>0</v>
      </c>
      <c r="U49" s="1339">
        <v>0</v>
      </c>
      <c r="V49" s="1340">
        <v>0</v>
      </c>
      <c r="W49" s="1338">
        <v>0</v>
      </c>
      <c r="X49" s="1339">
        <v>15</v>
      </c>
      <c r="Y49" s="1339">
        <v>0</v>
      </c>
      <c r="Z49" s="1341">
        <v>15</v>
      </c>
      <c r="AA49" s="1338">
        <v>1</v>
      </c>
      <c r="AB49" s="1339">
        <v>12</v>
      </c>
      <c r="AC49" s="1339">
        <v>4</v>
      </c>
      <c r="AD49" s="1340">
        <v>17</v>
      </c>
      <c r="AE49" s="1339">
        <v>1</v>
      </c>
      <c r="AF49" s="1339">
        <v>25</v>
      </c>
      <c r="AG49" s="1339">
        <v>0</v>
      </c>
      <c r="AH49" s="1340">
        <v>26</v>
      </c>
      <c r="AI49" s="1339">
        <v>0</v>
      </c>
      <c r="AJ49" s="1339">
        <v>20</v>
      </c>
      <c r="AK49" s="1339">
        <v>0</v>
      </c>
      <c r="AL49" s="1341">
        <v>20</v>
      </c>
      <c r="AM49" s="1073">
        <v>0</v>
      </c>
      <c r="AN49" s="1074">
        <v>17</v>
      </c>
      <c r="AO49" s="1074">
        <v>1</v>
      </c>
      <c r="AP49" s="1077">
        <v>18</v>
      </c>
      <c r="AQ49" s="1073">
        <v>1</v>
      </c>
      <c r="AR49" s="1074">
        <v>8</v>
      </c>
      <c r="AS49" s="1074">
        <v>8</v>
      </c>
      <c r="AT49" s="1077">
        <v>17</v>
      </c>
      <c r="AU49" s="1073"/>
      <c r="AV49" s="1074">
        <v>2</v>
      </c>
      <c r="AW49" s="1074">
        <v>13</v>
      </c>
      <c r="AX49" s="1077">
        <f t="shared" si="66"/>
        <v>15</v>
      </c>
      <c r="AY49" s="1073">
        <v>4</v>
      </c>
      <c r="AZ49" s="1074">
        <v>9</v>
      </c>
      <c r="BA49" s="1074">
        <v>17</v>
      </c>
      <c r="BB49" s="1077">
        <f t="shared" si="67"/>
        <v>30</v>
      </c>
      <c r="BC49" s="1073">
        <f>SUM('EGRESO-POS plan'!BE110,'EGRESO-POS plan'!BE111,'EGRESO-POS plan'!BE112)</f>
        <v>0</v>
      </c>
      <c r="BD49" s="1074">
        <f>SUM('EGRESO-POS plan'!BF110,'EGRESO-POS plan'!BF111,'EGRESO-POS plan'!BF112)</f>
        <v>1</v>
      </c>
      <c r="BE49" s="1074">
        <f>SUM('EGRESO-POS plan'!BG110,'EGRESO-POS plan'!BG111,'EGRESO-POS plan'!BG112)</f>
        <v>13</v>
      </c>
      <c r="BF49" s="1077">
        <f>SUM(BC49:BE49)</f>
        <v>14</v>
      </c>
      <c r="BG49" s="1073">
        <f>SUM('EGRESO-POS plan'!BI110,'EGRESO-POS plan'!BI111,'EGRESO-POS plan'!BI112)</f>
        <v>3</v>
      </c>
      <c r="BH49" s="1074">
        <f>SUM('EGRESO-POS plan'!BJ110,'EGRESO-POS plan'!BJ111,'EGRESO-POS plan'!BJ112)</f>
        <v>28</v>
      </c>
      <c r="BI49" s="1074">
        <f>SUM('EGRESO-POS plan'!BK110,'EGRESO-POS plan'!BK111,'EGRESO-POS plan'!BK112)</f>
        <v>20</v>
      </c>
      <c r="BJ49" s="1077">
        <f>SUM(BG49:BI49)</f>
        <v>51</v>
      </c>
      <c r="BK49" s="1073">
        <f>SUM('EGRESO-POS plan'!BM110,'EGRESO-POS plan'!BM111,'EGRESO-POS plan'!BM112)</f>
        <v>5</v>
      </c>
      <c r="BL49" s="1074">
        <f>SUM('EGRESO-POS plan'!BN110,'EGRESO-POS plan'!BN111,'EGRESO-POS plan'!BN112)</f>
        <v>12</v>
      </c>
      <c r="BM49" s="1074">
        <f>SUM('EGRESO-POS plan'!BO110,'EGRESO-POS plan'!BO111,'EGRESO-POS plan'!BO112)</f>
        <v>6</v>
      </c>
      <c r="BN49" s="1077">
        <f>SUM(BK49:BM49)</f>
        <v>23</v>
      </c>
      <c r="BO49" s="1073">
        <f>SUM('EGRESO-POS plan'!BQ110,'EGRESO-POS plan'!BQ111,'EGRESO-POS plan'!BQ112)</f>
        <v>17</v>
      </c>
      <c r="BP49" s="1074">
        <f>SUM('EGRESO-POS plan'!BR110,'EGRESO-POS plan'!BR111,'EGRESO-POS plan'!BR112)</f>
        <v>13</v>
      </c>
      <c r="BQ49" s="1074">
        <f>SUM('EGRESO-POS plan'!BS110,'EGRESO-POS plan'!BS111,'EGRESO-POS plan'!BS112)</f>
        <v>21</v>
      </c>
      <c r="BR49" s="1077">
        <f>SUM(BO49:BQ49)</f>
        <v>51</v>
      </c>
    </row>
    <row r="50" spans="1:70" ht="15" x14ac:dyDescent="0.2">
      <c r="A50" s="5479"/>
      <c r="B50" s="1078" t="s">
        <v>633</v>
      </c>
      <c r="C50" s="1338"/>
      <c r="D50" s="1339"/>
      <c r="E50" s="1339"/>
      <c r="F50" s="1340">
        <f t="shared" si="62"/>
        <v>0</v>
      </c>
      <c r="G50" s="1338"/>
      <c r="H50" s="1339"/>
      <c r="I50" s="1339"/>
      <c r="J50" s="1340">
        <f t="shared" si="63"/>
        <v>0</v>
      </c>
      <c r="K50" s="1338"/>
      <c r="L50" s="1339"/>
      <c r="M50" s="1339"/>
      <c r="N50" s="1340">
        <f t="shared" si="64"/>
        <v>0</v>
      </c>
      <c r="O50" s="1338"/>
      <c r="P50" s="1339"/>
      <c r="Q50" s="1339"/>
      <c r="R50" s="1340">
        <f t="shared" si="65"/>
        <v>0</v>
      </c>
      <c r="S50" s="1338">
        <v>0</v>
      </c>
      <c r="T50" s="1339">
        <v>0</v>
      </c>
      <c r="U50" s="1339">
        <v>0</v>
      </c>
      <c r="V50" s="1340">
        <v>0</v>
      </c>
      <c r="W50" s="1338">
        <v>0</v>
      </c>
      <c r="X50" s="1339">
        <v>0</v>
      </c>
      <c r="Y50" s="1339">
        <v>0</v>
      </c>
      <c r="Z50" s="1341">
        <v>0</v>
      </c>
      <c r="AA50" s="1338">
        <v>0</v>
      </c>
      <c r="AB50" s="1339">
        <v>0</v>
      </c>
      <c r="AC50" s="1339">
        <v>0</v>
      </c>
      <c r="AD50" s="1340">
        <v>0</v>
      </c>
      <c r="AE50" s="1339">
        <v>0</v>
      </c>
      <c r="AF50" s="1339">
        <v>0</v>
      </c>
      <c r="AG50" s="1339">
        <v>0</v>
      </c>
      <c r="AH50" s="1340">
        <v>0</v>
      </c>
      <c r="AI50" s="1339">
        <v>0</v>
      </c>
      <c r="AJ50" s="1339">
        <v>0</v>
      </c>
      <c r="AK50" s="1339">
        <v>0</v>
      </c>
      <c r="AL50" s="1341">
        <v>0</v>
      </c>
      <c r="AM50" s="1073">
        <v>0</v>
      </c>
      <c r="AN50" s="1074">
        <v>1</v>
      </c>
      <c r="AO50" s="1074">
        <v>1</v>
      </c>
      <c r="AP50" s="1077">
        <v>2</v>
      </c>
      <c r="AQ50" s="1073">
        <v>0</v>
      </c>
      <c r="AR50" s="1074">
        <v>0</v>
      </c>
      <c r="AS50" s="1074">
        <v>2</v>
      </c>
      <c r="AT50" s="1077">
        <v>2</v>
      </c>
      <c r="AU50" s="1073"/>
      <c r="AV50" s="1074"/>
      <c r="AW50" s="1074">
        <v>3</v>
      </c>
      <c r="AX50" s="1077">
        <f t="shared" si="66"/>
        <v>3</v>
      </c>
      <c r="AY50" s="1073"/>
      <c r="AZ50" s="1074">
        <v>2</v>
      </c>
      <c r="BA50" s="1074">
        <v>1</v>
      </c>
      <c r="BB50" s="1077">
        <f t="shared" si="67"/>
        <v>3</v>
      </c>
      <c r="BC50" s="1073">
        <f>SUM('EGRESO-POS plan'!BE113)</f>
        <v>1</v>
      </c>
      <c r="BD50" s="1074">
        <f>SUM('EGRESO-POS plan'!BF113)</f>
        <v>1</v>
      </c>
      <c r="BE50" s="1074">
        <f>SUM('EGRESO-POS plan'!BG113)</f>
        <v>4</v>
      </c>
      <c r="BF50" s="1077">
        <f>SUM(BC50:BE50)</f>
        <v>6</v>
      </c>
      <c r="BG50" s="1073">
        <f>SUM('EGRESO-POS plan'!BI113)</f>
        <v>0</v>
      </c>
      <c r="BH50" s="1074">
        <f>SUM('EGRESO-POS plan'!BJ113)</f>
        <v>0</v>
      </c>
      <c r="BI50" s="1074">
        <f>SUM('EGRESO-POS plan'!BK113)</f>
        <v>2</v>
      </c>
      <c r="BJ50" s="1077">
        <f>SUM(BG50:BI50)</f>
        <v>2</v>
      </c>
      <c r="BK50" s="1073">
        <f>SUM('EGRESO-POS plan'!BM113)</f>
        <v>2</v>
      </c>
      <c r="BL50" s="1074">
        <f>SUM('EGRESO-POS plan'!BN113)</f>
        <v>2</v>
      </c>
      <c r="BM50" s="1074">
        <f>SUM('EGRESO-POS plan'!BO113)</f>
        <v>2</v>
      </c>
      <c r="BN50" s="1077">
        <f>SUM(BK50:BM50)</f>
        <v>6</v>
      </c>
      <c r="BO50" s="1073">
        <f>SUM('EGRESO-POS plan'!BQ113)</f>
        <v>3</v>
      </c>
      <c r="BP50" s="1074">
        <f>SUM('EGRESO-POS plan'!BR113)</f>
        <v>3</v>
      </c>
      <c r="BQ50" s="1074">
        <f>SUM('EGRESO-POS plan'!BS113)</f>
        <v>0</v>
      </c>
      <c r="BR50" s="1077">
        <f>SUM(BO50:BQ50)</f>
        <v>6</v>
      </c>
    </row>
    <row r="51" spans="1:70" s="222" customFormat="1" ht="15" x14ac:dyDescent="0.2">
      <c r="A51" s="5479"/>
      <c r="B51" s="583" t="s">
        <v>30</v>
      </c>
      <c r="C51" s="1193">
        <f>SUM(C48:C50)</f>
        <v>0</v>
      </c>
      <c r="D51" s="1194">
        <f>SUM(D48:D50)</f>
        <v>0</v>
      </c>
      <c r="E51" s="1194">
        <f>SUM(E48:E50)</f>
        <v>0</v>
      </c>
      <c r="F51" s="1185">
        <f t="shared" si="62"/>
        <v>0</v>
      </c>
      <c r="G51" s="1193">
        <f>SUM(G48:G50)</f>
        <v>0</v>
      </c>
      <c r="H51" s="1194">
        <f>SUM(H48:H50)</f>
        <v>0</v>
      </c>
      <c r="I51" s="1194">
        <f>SUM(I48:I50)</f>
        <v>0</v>
      </c>
      <c r="J51" s="1185">
        <f t="shared" si="63"/>
        <v>0</v>
      </c>
      <c r="K51" s="1193">
        <f>SUM(K48:K50)</f>
        <v>0</v>
      </c>
      <c r="L51" s="1194">
        <f>SUM(L48:L50)</f>
        <v>0</v>
      </c>
      <c r="M51" s="1194">
        <f>SUM(M48:M50)</f>
        <v>0</v>
      </c>
      <c r="N51" s="1185">
        <f t="shared" si="64"/>
        <v>0</v>
      </c>
      <c r="O51" s="1193">
        <f>SUM(O48:O50)</f>
        <v>0</v>
      </c>
      <c r="P51" s="1194">
        <f>SUM(P48:P50)</f>
        <v>10</v>
      </c>
      <c r="Q51" s="1194">
        <f>SUM(Q48:Q50)</f>
        <v>9</v>
      </c>
      <c r="R51" s="1185">
        <f t="shared" si="65"/>
        <v>19</v>
      </c>
      <c r="S51" s="1193">
        <v>0</v>
      </c>
      <c r="T51" s="1194">
        <v>0</v>
      </c>
      <c r="U51" s="1194">
        <v>0</v>
      </c>
      <c r="V51" s="1185">
        <v>0</v>
      </c>
      <c r="W51" s="1193">
        <v>0</v>
      </c>
      <c r="X51" s="1194">
        <v>15</v>
      </c>
      <c r="Y51" s="1194">
        <v>0</v>
      </c>
      <c r="Z51" s="1194">
        <v>15</v>
      </c>
      <c r="AA51" s="1193">
        <v>1</v>
      </c>
      <c r="AB51" s="1194">
        <v>12</v>
      </c>
      <c r="AC51" s="1194">
        <v>4</v>
      </c>
      <c r="AD51" s="1185">
        <v>17</v>
      </c>
      <c r="AE51" s="1194">
        <v>1</v>
      </c>
      <c r="AF51" s="1194">
        <v>25</v>
      </c>
      <c r="AG51" s="1194">
        <v>0</v>
      </c>
      <c r="AH51" s="1185">
        <v>26</v>
      </c>
      <c r="AI51" s="1194">
        <v>0</v>
      </c>
      <c r="AJ51" s="1194">
        <v>20</v>
      </c>
      <c r="AK51" s="1194">
        <v>0</v>
      </c>
      <c r="AL51" s="1194">
        <v>20</v>
      </c>
      <c r="AM51" s="578">
        <v>0</v>
      </c>
      <c r="AN51" s="579">
        <v>18</v>
      </c>
      <c r="AO51" s="579">
        <v>2</v>
      </c>
      <c r="AP51" s="579">
        <v>20</v>
      </c>
      <c r="AQ51" s="578">
        <v>1</v>
      </c>
      <c r="AR51" s="579">
        <v>8</v>
      </c>
      <c r="AS51" s="579">
        <v>10</v>
      </c>
      <c r="AT51" s="580">
        <v>19</v>
      </c>
      <c r="AU51" s="578">
        <f>SUM(AU48:AU50)</f>
        <v>0</v>
      </c>
      <c r="AV51" s="579">
        <f>SUM(AV48:AV50)</f>
        <v>2</v>
      </c>
      <c r="AW51" s="579">
        <f>SUM(AW48:AW50)</f>
        <v>16</v>
      </c>
      <c r="AX51" s="580">
        <f t="shared" si="66"/>
        <v>18</v>
      </c>
      <c r="AY51" s="578">
        <f>SUM(AY48:AY50)</f>
        <v>4</v>
      </c>
      <c r="AZ51" s="579">
        <f>SUM(AZ48:AZ50)</f>
        <v>11</v>
      </c>
      <c r="BA51" s="579">
        <f>SUM(BA48:BA50)</f>
        <v>18</v>
      </c>
      <c r="BB51" s="580">
        <f t="shared" si="67"/>
        <v>33</v>
      </c>
      <c r="BC51" s="578">
        <f t="shared" ref="BC51:BJ51" si="72">SUM(BC48:BC50)</f>
        <v>1</v>
      </c>
      <c r="BD51" s="579">
        <f t="shared" si="72"/>
        <v>2</v>
      </c>
      <c r="BE51" s="579">
        <f t="shared" si="72"/>
        <v>17</v>
      </c>
      <c r="BF51" s="580">
        <f t="shared" si="72"/>
        <v>20</v>
      </c>
      <c r="BG51" s="578">
        <f t="shared" si="72"/>
        <v>3</v>
      </c>
      <c r="BH51" s="579">
        <f t="shared" si="72"/>
        <v>28</v>
      </c>
      <c r="BI51" s="579">
        <f t="shared" si="72"/>
        <v>22</v>
      </c>
      <c r="BJ51" s="580">
        <f t="shared" si="72"/>
        <v>53</v>
      </c>
      <c r="BK51" s="578">
        <f t="shared" ref="BK51:BR51" si="73">SUM(BK48:BK50)</f>
        <v>7</v>
      </c>
      <c r="BL51" s="579">
        <f t="shared" si="73"/>
        <v>14</v>
      </c>
      <c r="BM51" s="579">
        <f t="shared" si="73"/>
        <v>8</v>
      </c>
      <c r="BN51" s="580">
        <f t="shared" si="73"/>
        <v>29</v>
      </c>
      <c r="BO51" s="578">
        <f t="shared" si="73"/>
        <v>20</v>
      </c>
      <c r="BP51" s="579">
        <f t="shared" si="73"/>
        <v>16</v>
      </c>
      <c r="BQ51" s="579">
        <f t="shared" si="73"/>
        <v>21</v>
      </c>
      <c r="BR51" s="580">
        <f t="shared" si="73"/>
        <v>57</v>
      </c>
    </row>
    <row r="52" spans="1:70" ht="15" customHeight="1" x14ac:dyDescent="0.2">
      <c r="A52" s="5555" t="s">
        <v>697</v>
      </c>
      <c r="B52" s="1067" t="s">
        <v>631</v>
      </c>
      <c r="C52" s="1334">
        <f>+C40+C44+C48</f>
        <v>1</v>
      </c>
      <c r="D52" s="1335">
        <f t="shared" ref="D52:E54" si="74">+D40+D44+D48</f>
        <v>0</v>
      </c>
      <c r="E52" s="1335">
        <f t="shared" si="74"/>
        <v>0</v>
      </c>
      <c r="F52" s="1336">
        <f t="shared" si="62"/>
        <v>1</v>
      </c>
      <c r="G52" s="1334">
        <f t="shared" ref="G52:I54" si="75">+G40+G44+G48</f>
        <v>8</v>
      </c>
      <c r="H52" s="1335">
        <f t="shared" si="75"/>
        <v>0</v>
      </c>
      <c r="I52" s="1335">
        <f t="shared" si="75"/>
        <v>6</v>
      </c>
      <c r="J52" s="1336">
        <f t="shared" si="63"/>
        <v>14</v>
      </c>
      <c r="K52" s="1334">
        <f t="shared" ref="K52:M54" si="76">+K40+K44+K48</f>
        <v>10</v>
      </c>
      <c r="L52" s="1335">
        <f t="shared" si="76"/>
        <v>2</v>
      </c>
      <c r="M52" s="1335">
        <f t="shared" si="76"/>
        <v>28</v>
      </c>
      <c r="N52" s="1336">
        <f t="shared" si="64"/>
        <v>40</v>
      </c>
      <c r="O52" s="1334">
        <f t="shared" ref="O52:Q54" si="77">+O40+O44+O48</f>
        <v>4</v>
      </c>
      <c r="P52" s="1335">
        <f t="shared" si="77"/>
        <v>71</v>
      </c>
      <c r="Q52" s="1335">
        <f t="shared" si="77"/>
        <v>8</v>
      </c>
      <c r="R52" s="1336">
        <f t="shared" si="65"/>
        <v>83</v>
      </c>
      <c r="S52" s="1334">
        <f t="shared" ref="S52:AL54" si="78">S40+S44+S48</f>
        <v>1</v>
      </c>
      <c r="T52" s="1335">
        <f t="shared" si="78"/>
        <v>9</v>
      </c>
      <c r="U52" s="1335">
        <f t="shared" si="78"/>
        <v>20</v>
      </c>
      <c r="V52" s="1336">
        <f t="shared" si="78"/>
        <v>30</v>
      </c>
      <c r="W52" s="1334">
        <f t="shared" si="78"/>
        <v>7</v>
      </c>
      <c r="X52" s="1335">
        <f t="shared" si="78"/>
        <v>2</v>
      </c>
      <c r="Y52" s="1335">
        <f t="shared" si="78"/>
        <v>29</v>
      </c>
      <c r="Z52" s="1337">
        <f t="shared" si="78"/>
        <v>38</v>
      </c>
      <c r="AA52" s="1334">
        <f t="shared" si="78"/>
        <v>3</v>
      </c>
      <c r="AB52" s="1335">
        <f t="shared" si="78"/>
        <v>24</v>
      </c>
      <c r="AC52" s="1335">
        <f t="shared" si="78"/>
        <v>4</v>
      </c>
      <c r="AD52" s="1336">
        <f t="shared" si="78"/>
        <v>31</v>
      </c>
      <c r="AE52" s="1335">
        <f t="shared" si="78"/>
        <v>0</v>
      </c>
      <c r="AF52" s="1335">
        <f t="shared" si="78"/>
        <v>2</v>
      </c>
      <c r="AG52" s="1335">
        <f t="shared" si="78"/>
        <v>1</v>
      </c>
      <c r="AH52" s="1336">
        <f t="shared" si="78"/>
        <v>3</v>
      </c>
      <c r="AI52" s="1335">
        <f t="shared" si="78"/>
        <v>34</v>
      </c>
      <c r="AJ52" s="1335">
        <f t="shared" si="78"/>
        <v>9</v>
      </c>
      <c r="AK52" s="1335">
        <f t="shared" si="78"/>
        <v>15</v>
      </c>
      <c r="AL52" s="1337">
        <f t="shared" si="78"/>
        <v>58</v>
      </c>
      <c r="AM52" s="1068">
        <v>0</v>
      </c>
      <c r="AN52" s="1069">
        <v>3</v>
      </c>
      <c r="AO52" s="1069">
        <v>48</v>
      </c>
      <c r="AP52" s="1069">
        <v>51</v>
      </c>
      <c r="AQ52" s="1068">
        <f t="shared" ref="AQ52:AW54" si="79">SUM(AQ40,AQ44,AQ48)</f>
        <v>2</v>
      </c>
      <c r="AR52" s="1069">
        <f t="shared" si="79"/>
        <v>10</v>
      </c>
      <c r="AS52" s="1069">
        <f t="shared" si="79"/>
        <v>24</v>
      </c>
      <c r="AT52" s="1086">
        <f t="shared" si="79"/>
        <v>36</v>
      </c>
      <c r="AU52" s="1068">
        <f t="shared" si="79"/>
        <v>4</v>
      </c>
      <c r="AV52" s="1069">
        <f t="shared" si="79"/>
        <v>2</v>
      </c>
      <c r="AW52" s="1069">
        <f t="shared" si="79"/>
        <v>40</v>
      </c>
      <c r="AX52" s="1086">
        <f t="shared" si="66"/>
        <v>46</v>
      </c>
      <c r="AY52" s="1068">
        <f t="shared" ref="AY52:BA54" si="80">SUM(AY40,AY44,AY48)</f>
        <v>1</v>
      </c>
      <c r="AZ52" s="1069">
        <f t="shared" si="80"/>
        <v>2</v>
      </c>
      <c r="BA52" s="1069">
        <f t="shared" si="80"/>
        <v>19</v>
      </c>
      <c r="BB52" s="1086">
        <f t="shared" si="67"/>
        <v>22</v>
      </c>
      <c r="BC52" s="1068">
        <f>SUM(BC40,BC44,BC48)</f>
        <v>6</v>
      </c>
      <c r="BD52" s="1069">
        <f>SUM(BD40,BD44,BD48)</f>
        <v>2</v>
      </c>
      <c r="BE52" s="1069">
        <f>SUM(BE40,BE44,BE48)</f>
        <v>0</v>
      </c>
      <c r="BF52" s="1086">
        <f>SUM(BC52:BE52)</f>
        <v>8</v>
      </c>
      <c r="BG52" s="1068">
        <f t="shared" ref="BG52:BI54" si="81">SUM(BG40,BG44,BG48)</f>
        <v>0</v>
      </c>
      <c r="BH52" s="1069">
        <f t="shared" si="81"/>
        <v>1</v>
      </c>
      <c r="BI52" s="1069">
        <f t="shared" si="81"/>
        <v>0</v>
      </c>
      <c r="BJ52" s="1086">
        <f>SUM(BG52:BI52)</f>
        <v>1</v>
      </c>
      <c r="BK52" s="1068">
        <f t="shared" ref="BK52:BM54" si="82">SUM(BK40,BK44,BK48)</f>
        <v>9</v>
      </c>
      <c r="BL52" s="1069">
        <f t="shared" si="82"/>
        <v>1</v>
      </c>
      <c r="BM52" s="1069">
        <f t="shared" si="82"/>
        <v>28</v>
      </c>
      <c r="BN52" s="1086">
        <f>SUM(BK52:BM52)</f>
        <v>38</v>
      </c>
      <c r="BO52" s="1068">
        <f t="shared" ref="BO52:BQ52" si="83">SUM(BO40,BO44,BO48)</f>
        <v>5</v>
      </c>
      <c r="BP52" s="1069">
        <f t="shared" si="83"/>
        <v>2</v>
      </c>
      <c r="BQ52" s="1069">
        <f t="shared" si="83"/>
        <v>0</v>
      </c>
      <c r="BR52" s="1086">
        <f>SUM(BO52:BQ52)</f>
        <v>7</v>
      </c>
    </row>
    <row r="53" spans="1:70" ht="15" x14ac:dyDescent="0.2">
      <c r="A53" s="5556"/>
      <c r="B53" s="1072" t="s">
        <v>632</v>
      </c>
      <c r="C53" s="1338">
        <f>+C41+C45+C49</f>
        <v>6</v>
      </c>
      <c r="D53" s="1339">
        <f t="shared" si="74"/>
        <v>13</v>
      </c>
      <c r="E53" s="1339">
        <f t="shared" si="74"/>
        <v>25</v>
      </c>
      <c r="F53" s="1340">
        <f t="shared" si="62"/>
        <v>44</v>
      </c>
      <c r="G53" s="1338">
        <f t="shared" si="75"/>
        <v>8</v>
      </c>
      <c r="H53" s="1339">
        <f t="shared" si="75"/>
        <v>11</v>
      </c>
      <c r="I53" s="1339">
        <f t="shared" si="75"/>
        <v>16</v>
      </c>
      <c r="J53" s="1340">
        <f t="shared" si="63"/>
        <v>35</v>
      </c>
      <c r="K53" s="1338">
        <f t="shared" si="76"/>
        <v>11</v>
      </c>
      <c r="L53" s="1339">
        <f t="shared" si="76"/>
        <v>9</v>
      </c>
      <c r="M53" s="1339">
        <f t="shared" si="76"/>
        <v>14</v>
      </c>
      <c r="N53" s="1340">
        <f t="shared" si="64"/>
        <v>34</v>
      </c>
      <c r="O53" s="1338">
        <f t="shared" si="77"/>
        <v>12</v>
      </c>
      <c r="P53" s="1339">
        <f t="shared" si="77"/>
        <v>53</v>
      </c>
      <c r="Q53" s="1339">
        <f t="shared" si="77"/>
        <v>28</v>
      </c>
      <c r="R53" s="1340">
        <f t="shared" si="65"/>
        <v>93</v>
      </c>
      <c r="S53" s="1338">
        <f t="shared" si="78"/>
        <v>28</v>
      </c>
      <c r="T53" s="1339">
        <f t="shared" si="78"/>
        <v>23</v>
      </c>
      <c r="U53" s="1339">
        <f t="shared" si="78"/>
        <v>22</v>
      </c>
      <c r="V53" s="1340">
        <f t="shared" si="78"/>
        <v>73</v>
      </c>
      <c r="W53" s="1338">
        <f t="shared" si="78"/>
        <v>18</v>
      </c>
      <c r="X53" s="1339">
        <f t="shared" si="78"/>
        <v>44</v>
      </c>
      <c r="Y53" s="1339">
        <f t="shared" si="78"/>
        <v>17</v>
      </c>
      <c r="Z53" s="1341">
        <f t="shared" si="78"/>
        <v>79</v>
      </c>
      <c r="AA53" s="1338">
        <f t="shared" si="78"/>
        <v>28</v>
      </c>
      <c r="AB53" s="1339">
        <f t="shared" si="78"/>
        <v>33</v>
      </c>
      <c r="AC53" s="1339">
        <f t="shared" si="78"/>
        <v>41</v>
      </c>
      <c r="AD53" s="1340">
        <f t="shared" si="78"/>
        <v>102</v>
      </c>
      <c r="AE53" s="1339">
        <f t="shared" si="78"/>
        <v>15</v>
      </c>
      <c r="AF53" s="1339">
        <f t="shared" si="78"/>
        <v>47</v>
      </c>
      <c r="AG53" s="1339">
        <f t="shared" si="78"/>
        <v>41</v>
      </c>
      <c r="AH53" s="1340">
        <f t="shared" si="78"/>
        <v>103</v>
      </c>
      <c r="AI53" s="1339">
        <f t="shared" si="78"/>
        <v>32</v>
      </c>
      <c r="AJ53" s="1339">
        <f t="shared" si="78"/>
        <v>50</v>
      </c>
      <c r="AK53" s="1339">
        <f t="shared" si="78"/>
        <v>35</v>
      </c>
      <c r="AL53" s="1341">
        <f t="shared" si="78"/>
        <v>117</v>
      </c>
      <c r="AM53" s="1073">
        <v>30</v>
      </c>
      <c r="AN53" s="1074">
        <v>42</v>
      </c>
      <c r="AO53" s="1074">
        <v>40</v>
      </c>
      <c r="AP53" s="1074">
        <v>112</v>
      </c>
      <c r="AQ53" s="1073">
        <f t="shared" si="79"/>
        <v>35</v>
      </c>
      <c r="AR53" s="1074">
        <f t="shared" si="79"/>
        <v>45</v>
      </c>
      <c r="AS53" s="1074">
        <f t="shared" si="79"/>
        <v>52</v>
      </c>
      <c r="AT53" s="1077">
        <f t="shared" si="79"/>
        <v>132</v>
      </c>
      <c r="AU53" s="1073">
        <f t="shared" si="79"/>
        <v>49</v>
      </c>
      <c r="AV53" s="1074">
        <f t="shared" si="79"/>
        <v>47</v>
      </c>
      <c r="AW53" s="1074">
        <f t="shared" si="79"/>
        <v>91</v>
      </c>
      <c r="AX53" s="1077">
        <f t="shared" si="66"/>
        <v>187</v>
      </c>
      <c r="AY53" s="1073">
        <f t="shared" si="80"/>
        <v>70</v>
      </c>
      <c r="AZ53" s="1074">
        <f t="shared" si="80"/>
        <v>63</v>
      </c>
      <c r="BA53" s="1074">
        <f t="shared" si="80"/>
        <v>57</v>
      </c>
      <c r="BB53" s="1077">
        <f t="shared" si="67"/>
        <v>190</v>
      </c>
      <c r="BC53" s="1073">
        <f t="shared" ref="BC53:BE54" si="84">SUM(BC41,BC45,BC49)</f>
        <v>28</v>
      </c>
      <c r="BD53" s="1074">
        <f t="shared" si="84"/>
        <v>25</v>
      </c>
      <c r="BE53" s="1074">
        <f t="shared" si="84"/>
        <v>59</v>
      </c>
      <c r="BF53" s="1077">
        <f>SUM(BC53:BE53)</f>
        <v>112</v>
      </c>
      <c r="BG53" s="1073">
        <f t="shared" si="81"/>
        <v>63</v>
      </c>
      <c r="BH53" s="1074">
        <f t="shared" si="81"/>
        <v>57</v>
      </c>
      <c r="BI53" s="1074">
        <f t="shared" si="81"/>
        <v>60</v>
      </c>
      <c r="BJ53" s="1077">
        <f>SUM(BG53:BI53)</f>
        <v>180</v>
      </c>
      <c r="BK53" s="1073">
        <f t="shared" si="82"/>
        <v>26</v>
      </c>
      <c r="BL53" s="1074">
        <f t="shared" si="82"/>
        <v>55</v>
      </c>
      <c r="BM53" s="1074">
        <f t="shared" si="82"/>
        <v>57</v>
      </c>
      <c r="BN53" s="1077">
        <f>SUM(BK53:BM53)</f>
        <v>138</v>
      </c>
      <c r="BO53" s="1073">
        <f t="shared" ref="BO53:BQ53" si="85">SUM(BO41,BO45,BO49)</f>
        <v>67</v>
      </c>
      <c r="BP53" s="1074">
        <f t="shared" si="85"/>
        <v>52</v>
      </c>
      <c r="BQ53" s="1074">
        <f t="shared" si="85"/>
        <v>65</v>
      </c>
      <c r="BR53" s="1077">
        <f>SUM(BO53:BQ53)</f>
        <v>184</v>
      </c>
    </row>
    <row r="54" spans="1:70" ht="15" x14ac:dyDescent="0.2">
      <c r="A54" s="5556"/>
      <c r="B54" s="1078" t="s">
        <v>633</v>
      </c>
      <c r="C54" s="1338">
        <f>+C42+C46+C50</f>
        <v>4</v>
      </c>
      <c r="D54" s="1339">
        <f t="shared" si="74"/>
        <v>3</v>
      </c>
      <c r="E54" s="1339">
        <f t="shared" si="74"/>
        <v>5</v>
      </c>
      <c r="F54" s="1340">
        <f t="shared" si="62"/>
        <v>12</v>
      </c>
      <c r="G54" s="1338">
        <f t="shared" si="75"/>
        <v>2</v>
      </c>
      <c r="H54" s="1339">
        <f t="shared" si="75"/>
        <v>7</v>
      </c>
      <c r="I54" s="1339">
        <f t="shared" si="75"/>
        <v>5</v>
      </c>
      <c r="J54" s="1340">
        <f t="shared" si="63"/>
        <v>14</v>
      </c>
      <c r="K54" s="1338">
        <f t="shared" si="76"/>
        <v>2</v>
      </c>
      <c r="L54" s="1339">
        <f t="shared" si="76"/>
        <v>2</v>
      </c>
      <c r="M54" s="1339">
        <f t="shared" si="76"/>
        <v>4</v>
      </c>
      <c r="N54" s="1340">
        <f t="shared" si="64"/>
        <v>8</v>
      </c>
      <c r="O54" s="1338">
        <f t="shared" si="77"/>
        <v>6</v>
      </c>
      <c r="P54" s="1339">
        <f t="shared" si="77"/>
        <v>6</v>
      </c>
      <c r="Q54" s="1339">
        <f t="shared" si="77"/>
        <v>7</v>
      </c>
      <c r="R54" s="1340">
        <f t="shared" si="65"/>
        <v>19</v>
      </c>
      <c r="S54" s="1338">
        <f t="shared" si="78"/>
        <v>6</v>
      </c>
      <c r="T54" s="1339">
        <f t="shared" si="78"/>
        <v>5</v>
      </c>
      <c r="U54" s="1339">
        <f t="shared" si="78"/>
        <v>10</v>
      </c>
      <c r="V54" s="1340">
        <f t="shared" si="78"/>
        <v>21</v>
      </c>
      <c r="W54" s="1338">
        <f t="shared" si="78"/>
        <v>6</v>
      </c>
      <c r="X54" s="1339">
        <f t="shared" si="78"/>
        <v>4</v>
      </c>
      <c r="Y54" s="1339">
        <f t="shared" si="78"/>
        <v>9</v>
      </c>
      <c r="Z54" s="1341">
        <f t="shared" si="78"/>
        <v>19</v>
      </c>
      <c r="AA54" s="1338">
        <f t="shared" si="78"/>
        <v>8</v>
      </c>
      <c r="AB54" s="1339">
        <f t="shared" si="78"/>
        <v>16</v>
      </c>
      <c r="AC54" s="1339">
        <f t="shared" si="78"/>
        <v>7</v>
      </c>
      <c r="AD54" s="1340">
        <f t="shared" si="78"/>
        <v>31</v>
      </c>
      <c r="AE54" s="1339">
        <f t="shared" si="78"/>
        <v>7</v>
      </c>
      <c r="AF54" s="1339">
        <f t="shared" si="78"/>
        <v>13</v>
      </c>
      <c r="AG54" s="1339">
        <f t="shared" si="78"/>
        <v>11</v>
      </c>
      <c r="AH54" s="1340">
        <f t="shared" si="78"/>
        <v>31</v>
      </c>
      <c r="AI54" s="1339">
        <f t="shared" si="78"/>
        <v>6</v>
      </c>
      <c r="AJ54" s="1339">
        <f t="shared" si="78"/>
        <v>12</v>
      </c>
      <c r="AK54" s="1339">
        <f t="shared" si="78"/>
        <v>12</v>
      </c>
      <c r="AL54" s="1341">
        <f t="shared" si="78"/>
        <v>30</v>
      </c>
      <c r="AM54" s="1073">
        <v>7</v>
      </c>
      <c r="AN54" s="1074">
        <v>16</v>
      </c>
      <c r="AO54" s="1074">
        <v>9</v>
      </c>
      <c r="AP54" s="1074">
        <v>32</v>
      </c>
      <c r="AQ54" s="1073">
        <f t="shared" si="79"/>
        <v>4</v>
      </c>
      <c r="AR54" s="1074">
        <f t="shared" si="79"/>
        <v>14</v>
      </c>
      <c r="AS54" s="1074">
        <f t="shared" si="79"/>
        <v>16</v>
      </c>
      <c r="AT54" s="1077">
        <f t="shared" si="79"/>
        <v>34</v>
      </c>
      <c r="AU54" s="1073">
        <f t="shared" si="79"/>
        <v>11</v>
      </c>
      <c r="AV54" s="1074">
        <f t="shared" si="79"/>
        <v>22</v>
      </c>
      <c r="AW54" s="1074">
        <f t="shared" si="79"/>
        <v>32</v>
      </c>
      <c r="AX54" s="1077">
        <f t="shared" si="66"/>
        <v>65</v>
      </c>
      <c r="AY54" s="1073">
        <f t="shared" si="80"/>
        <v>21</v>
      </c>
      <c r="AZ54" s="1074">
        <f t="shared" si="80"/>
        <v>19</v>
      </c>
      <c r="BA54" s="1074">
        <f t="shared" si="80"/>
        <v>14</v>
      </c>
      <c r="BB54" s="1077">
        <f t="shared" si="67"/>
        <v>54</v>
      </c>
      <c r="BC54" s="1073">
        <f t="shared" si="84"/>
        <v>13</v>
      </c>
      <c r="BD54" s="1074">
        <f t="shared" si="84"/>
        <v>11</v>
      </c>
      <c r="BE54" s="1074">
        <f t="shared" si="84"/>
        <v>21</v>
      </c>
      <c r="BF54" s="1077">
        <f>SUM(BC54:BE54)</f>
        <v>45</v>
      </c>
      <c r="BG54" s="1073">
        <f t="shared" si="81"/>
        <v>11</v>
      </c>
      <c r="BH54" s="1074">
        <f t="shared" si="81"/>
        <v>12</v>
      </c>
      <c r="BI54" s="1074">
        <f t="shared" si="81"/>
        <v>21</v>
      </c>
      <c r="BJ54" s="1077">
        <f>SUM(BG54:BI54)</f>
        <v>44</v>
      </c>
      <c r="BK54" s="1073">
        <f t="shared" si="82"/>
        <v>13</v>
      </c>
      <c r="BL54" s="1074">
        <f t="shared" si="82"/>
        <v>11</v>
      </c>
      <c r="BM54" s="1074">
        <f t="shared" si="82"/>
        <v>21</v>
      </c>
      <c r="BN54" s="1077">
        <f>SUM(BK54:BM54)</f>
        <v>45</v>
      </c>
      <c r="BO54" s="1073">
        <f t="shared" ref="BO54:BQ54" si="86">SUM(BO42,BO46,BO50)</f>
        <v>18</v>
      </c>
      <c r="BP54" s="1074">
        <f t="shared" si="86"/>
        <v>18</v>
      </c>
      <c r="BQ54" s="1074">
        <f t="shared" si="86"/>
        <v>14</v>
      </c>
      <c r="BR54" s="1077">
        <f>SUM(BO54:BQ54)</f>
        <v>50</v>
      </c>
    </row>
    <row r="55" spans="1:70" s="222" customFormat="1" ht="15" x14ac:dyDescent="0.2">
      <c r="A55" s="5557"/>
      <c r="B55" s="2666" t="s">
        <v>12</v>
      </c>
      <c r="C55" s="2649">
        <f>SUM(C52:C54)</f>
        <v>11</v>
      </c>
      <c r="D55" s="2650">
        <f>SUM(D52:D54)</f>
        <v>16</v>
      </c>
      <c r="E55" s="2650">
        <f>SUM(E52:E54)</f>
        <v>30</v>
      </c>
      <c r="F55" s="2651">
        <f t="shared" si="62"/>
        <v>57</v>
      </c>
      <c r="G55" s="2649">
        <f>SUM(G52:G54)</f>
        <v>18</v>
      </c>
      <c r="H55" s="2650">
        <f>SUM(H52:H54)</f>
        <v>18</v>
      </c>
      <c r="I55" s="2650">
        <f>SUM(I52:I54)</f>
        <v>27</v>
      </c>
      <c r="J55" s="2651">
        <f t="shared" si="63"/>
        <v>63</v>
      </c>
      <c r="K55" s="2649">
        <f>SUM(K52:K54)</f>
        <v>23</v>
      </c>
      <c r="L55" s="2650">
        <f>SUM(L52:L54)</f>
        <v>13</v>
      </c>
      <c r="M55" s="2650">
        <f>SUM(M52:M54)</f>
        <v>46</v>
      </c>
      <c r="N55" s="2651">
        <f t="shared" si="64"/>
        <v>82</v>
      </c>
      <c r="O55" s="2649">
        <f>SUM(O52:O54)</f>
        <v>22</v>
      </c>
      <c r="P55" s="2650">
        <f>SUM(P52:P54)</f>
        <v>130</v>
      </c>
      <c r="Q55" s="2650">
        <f>SUM(Q52:Q54)</f>
        <v>43</v>
      </c>
      <c r="R55" s="2651">
        <f t="shared" si="65"/>
        <v>195</v>
      </c>
      <c r="S55" s="2649">
        <f>SUM(S52:S54)</f>
        <v>35</v>
      </c>
      <c r="T55" s="2650">
        <f>SUM(T52:T54)</f>
        <v>37</v>
      </c>
      <c r="U55" s="2650">
        <f>SUM(U52:U54)</f>
        <v>52</v>
      </c>
      <c r="V55" s="2651">
        <f>SUM(V52:V54)</f>
        <v>124</v>
      </c>
      <c r="W55" s="2649">
        <f t="shared" ref="W55:AL55" si="87">SUM(W52:W54)</f>
        <v>31</v>
      </c>
      <c r="X55" s="2650">
        <f t="shared" si="87"/>
        <v>50</v>
      </c>
      <c r="Y55" s="2650">
        <f t="shared" si="87"/>
        <v>55</v>
      </c>
      <c r="Z55" s="2650">
        <f t="shared" si="87"/>
        <v>136</v>
      </c>
      <c r="AA55" s="2649">
        <f t="shared" si="87"/>
        <v>39</v>
      </c>
      <c r="AB55" s="2650">
        <f t="shared" si="87"/>
        <v>73</v>
      </c>
      <c r="AC55" s="2650">
        <f t="shared" si="87"/>
        <v>52</v>
      </c>
      <c r="AD55" s="2651">
        <f t="shared" si="87"/>
        <v>164</v>
      </c>
      <c r="AE55" s="2650">
        <f t="shared" si="87"/>
        <v>22</v>
      </c>
      <c r="AF55" s="2650">
        <f t="shared" si="87"/>
        <v>62</v>
      </c>
      <c r="AG55" s="2650">
        <f t="shared" si="87"/>
        <v>53</v>
      </c>
      <c r="AH55" s="2651">
        <f t="shared" si="87"/>
        <v>137</v>
      </c>
      <c r="AI55" s="2650">
        <f t="shared" si="87"/>
        <v>72</v>
      </c>
      <c r="AJ55" s="2650">
        <f t="shared" si="87"/>
        <v>71</v>
      </c>
      <c r="AK55" s="2650">
        <f t="shared" si="87"/>
        <v>62</v>
      </c>
      <c r="AL55" s="2650">
        <f t="shared" si="87"/>
        <v>205</v>
      </c>
      <c r="AM55" s="2624">
        <v>37</v>
      </c>
      <c r="AN55" s="2625">
        <v>61</v>
      </c>
      <c r="AO55" s="2625">
        <v>97</v>
      </c>
      <c r="AP55" s="2625">
        <v>195</v>
      </c>
      <c r="AQ55" s="2624">
        <f t="shared" ref="AQ55:AW55" si="88">SUM(AQ52:AQ54)</f>
        <v>41</v>
      </c>
      <c r="AR55" s="2625">
        <f t="shared" si="88"/>
        <v>69</v>
      </c>
      <c r="AS55" s="2625">
        <f t="shared" si="88"/>
        <v>92</v>
      </c>
      <c r="AT55" s="2626">
        <f t="shared" si="88"/>
        <v>202</v>
      </c>
      <c r="AU55" s="2624">
        <f t="shared" si="88"/>
        <v>64</v>
      </c>
      <c r="AV55" s="2625">
        <f t="shared" si="88"/>
        <v>71</v>
      </c>
      <c r="AW55" s="2625">
        <f t="shared" si="88"/>
        <v>163</v>
      </c>
      <c r="AX55" s="2626">
        <f t="shared" si="66"/>
        <v>298</v>
      </c>
      <c r="AY55" s="2624">
        <f>SUM(AY52:AY54)</f>
        <v>92</v>
      </c>
      <c r="AZ55" s="2625">
        <f>SUM(AZ52:AZ54)</f>
        <v>84</v>
      </c>
      <c r="BA55" s="2625">
        <f>SUM(BA52:BA54)</f>
        <v>90</v>
      </c>
      <c r="BB55" s="2626">
        <f t="shared" si="67"/>
        <v>266</v>
      </c>
      <c r="BC55" s="2624">
        <f t="shared" ref="BC55:BJ55" si="89">SUM(BC52:BC54)</f>
        <v>47</v>
      </c>
      <c r="BD55" s="2625">
        <f t="shared" si="89"/>
        <v>38</v>
      </c>
      <c r="BE55" s="2625">
        <f t="shared" si="89"/>
        <v>80</v>
      </c>
      <c r="BF55" s="2626">
        <f t="shared" si="89"/>
        <v>165</v>
      </c>
      <c r="BG55" s="2624">
        <f t="shared" si="89"/>
        <v>74</v>
      </c>
      <c r="BH55" s="2625">
        <f t="shared" si="89"/>
        <v>70</v>
      </c>
      <c r="BI55" s="2625">
        <f t="shared" si="89"/>
        <v>81</v>
      </c>
      <c r="BJ55" s="2626">
        <f t="shared" si="89"/>
        <v>225</v>
      </c>
      <c r="BK55" s="2624">
        <f t="shared" ref="BK55:BR55" si="90">SUM(BK52:BK54)</f>
        <v>48</v>
      </c>
      <c r="BL55" s="2625">
        <f t="shared" si="90"/>
        <v>67</v>
      </c>
      <c r="BM55" s="2625">
        <f t="shared" si="90"/>
        <v>106</v>
      </c>
      <c r="BN55" s="2626">
        <f t="shared" si="90"/>
        <v>221</v>
      </c>
      <c r="BO55" s="2624">
        <f t="shared" si="90"/>
        <v>90</v>
      </c>
      <c r="BP55" s="2625">
        <f t="shared" si="90"/>
        <v>72</v>
      </c>
      <c r="BQ55" s="2625">
        <f t="shared" si="90"/>
        <v>79</v>
      </c>
      <c r="BR55" s="2626">
        <f t="shared" si="90"/>
        <v>241</v>
      </c>
    </row>
    <row r="56" spans="1:70" s="222" customFormat="1" ht="15" x14ac:dyDescent="0.2">
      <c r="A56" s="263"/>
      <c r="B56" s="263"/>
    </row>
    <row r="57" spans="1:70" s="222" customFormat="1" ht="15" x14ac:dyDescent="0.2">
      <c r="A57" s="5483" t="s">
        <v>6</v>
      </c>
      <c r="B57" s="1067" t="s">
        <v>631</v>
      </c>
      <c r="C57" s="1334"/>
      <c r="D57" s="1335"/>
      <c r="E57" s="1335"/>
      <c r="F57" s="1336"/>
      <c r="G57" s="1334"/>
      <c r="H57" s="1335"/>
      <c r="I57" s="1335"/>
      <c r="J57" s="1336"/>
      <c r="K57" s="1334"/>
      <c r="L57" s="1335"/>
      <c r="M57" s="1335"/>
      <c r="N57" s="1336"/>
      <c r="O57" s="1334"/>
      <c r="P57" s="1335"/>
      <c r="Q57" s="1335"/>
      <c r="R57" s="1336"/>
      <c r="S57" s="1334"/>
      <c r="T57" s="1335"/>
      <c r="U57" s="1335"/>
      <c r="V57" s="1336"/>
      <c r="W57" s="1334"/>
      <c r="X57" s="1335"/>
      <c r="Y57" s="1335"/>
      <c r="Z57" s="1337"/>
      <c r="AA57" s="1334"/>
      <c r="AB57" s="1335"/>
      <c r="AC57" s="1335"/>
      <c r="AD57" s="1336"/>
      <c r="AE57" s="1335"/>
      <c r="AF57" s="1335"/>
      <c r="AG57" s="1335"/>
      <c r="AH57" s="1336"/>
      <c r="AI57" s="1335"/>
      <c r="AJ57" s="1335"/>
      <c r="AK57" s="1335"/>
      <c r="AL57" s="1337"/>
      <c r="AM57" s="1068"/>
      <c r="AN57" s="1069"/>
      <c r="AO57" s="1069"/>
      <c r="AP57" s="1086"/>
      <c r="AQ57" s="1068"/>
      <c r="AR57" s="1069"/>
      <c r="AS57" s="1069"/>
      <c r="AT57" s="1086"/>
      <c r="AU57" s="1068"/>
      <c r="AV57" s="1069"/>
      <c r="AW57" s="1069"/>
      <c r="AX57" s="1086"/>
      <c r="AY57" s="1068"/>
      <c r="AZ57" s="1069"/>
      <c r="BA57" s="1069"/>
      <c r="BB57" s="1086"/>
      <c r="BC57" s="1068"/>
      <c r="BD57" s="1069"/>
      <c r="BE57" s="1069"/>
      <c r="BF57" s="1086"/>
      <c r="BG57" s="1068"/>
      <c r="BH57" s="1069"/>
      <c r="BI57" s="1069"/>
      <c r="BJ57" s="1086">
        <f>SUM(BG57:BI57)</f>
        <v>0</v>
      </c>
      <c r="BK57" s="1068"/>
      <c r="BL57" s="1069"/>
      <c r="BM57" s="1069"/>
      <c r="BN57" s="1086">
        <f>SUM(BK57:BM57)</f>
        <v>0</v>
      </c>
      <c r="BO57" s="1068"/>
      <c r="BP57" s="1069"/>
      <c r="BQ57" s="1069"/>
      <c r="BR57" s="1086">
        <f>SUM(BO57:BQ57)</f>
        <v>0</v>
      </c>
    </row>
    <row r="58" spans="1:70" s="222" customFormat="1" ht="15" x14ac:dyDescent="0.2">
      <c r="A58" s="5484"/>
      <c r="B58" s="1072" t="s">
        <v>632</v>
      </c>
      <c r="C58" s="1338"/>
      <c r="D58" s="1339"/>
      <c r="E58" s="1339"/>
      <c r="F58" s="1340"/>
      <c r="G58" s="1338"/>
      <c r="H58" s="1339"/>
      <c r="I58" s="1339"/>
      <c r="J58" s="1340"/>
      <c r="K58" s="1338"/>
      <c r="L58" s="1339"/>
      <c r="M58" s="1339"/>
      <c r="N58" s="1340"/>
      <c r="O58" s="1338"/>
      <c r="P58" s="1339"/>
      <c r="Q58" s="1339"/>
      <c r="R58" s="1340"/>
      <c r="S58" s="1338"/>
      <c r="T58" s="1339"/>
      <c r="U58" s="1339"/>
      <c r="V58" s="1340"/>
      <c r="W58" s="1338"/>
      <c r="X58" s="1339"/>
      <c r="Y58" s="1339"/>
      <c r="Z58" s="1341"/>
      <c r="AA58" s="1338"/>
      <c r="AB58" s="1339"/>
      <c r="AC58" s="1339"/>
      <c r="AD58" s="1340"/>
      <c r="AE58" s="1339"/>
      <c r="AF58" s="1339"/>
      <c r="AG58" s="1339"/>
      <c r="AH58" s="1340"/>
      <c r="AI58" s="1339"/>
      <c r="AJ58" s="1339"/>
      <c r="AK58" s="1339"/>
      <c r="AL58" s="1341"/>
      <c r="AM58" s="1073"/>
      <c r="AN58" s="1074"/>
      <c r="AO58" s="1074"/>
      <c r="AP58" s="1077"/>
      <c r="AQ58" s="1073"/>
      <c r="AR58" s="1074"/>
      <c r="AS58" s="1074"/>
      <c r="AT58" s="1077"/>
      <c r="AU58" s="1073"/>
      <c r="AV58" s="1074"/>
      <c r="AW58" s="1074"/>
      <c r="AX58" s="1077"/>
      <c r="AY58" s="1073"/>
      <c r="AZ58" s="1074"/>
      <c r="BA58" s="1074"/>
      <c r="BB58" s="1077"/>
      <c r="BC58" s="1073"/>
      <c r="BD58" s="1074"/>
      <c r="BE58" s="1074"/>
      <c r="BF58" s="1077"/>
      <c r="BG58" s="1073">
        <f>SUM('EGRESO-POS plan'!BI116:BI117)</f>
        <v>5</v>
      </c>
      <c r="BH58" s="1074">
        <f>SUM('EGRESO-POS plan'!BJ116:BJ117)</f>
        <v>3</v>
      </c>
      <c r="BI58" s="1074">
        <f>SUM('EGRESO-POS plan'!BK116:BK117)</f>
        <v>2</v>
      </c>
      <c r="BJ58" s="1077">
        <f>SUM(BG58:BI58)</f>
        <v>10</v>
      </c>
      <c r="BK58" s="1073">
        <f>SUM('EGRESO-POS plan'!BM116)</f>
        <v>3</v>
      </c>
      <c r="BL58" s="1074">
        <f>SUM('EGRESO-POS plan'!BN116)</f>
        <v>1</v>
      </c>
      <c r="BM58" s="1074">
        <f>SUM('EGRESO-POS plan'!BO116)</f>
        <v>2</v>
      </c>
      <c r="BN58" s="1077">
        <f>SUM(BK58:BM58)</f>
        <v>6</v>
      </c>
      <c r="BO58" s="1073">
        <f>SUM('EGRESO-POS plan'!BQ116)</f>
        <v>3</v>
      </c>
      <c r="BP58" s="1074">
        <f>SUM('EGRESO-POS plan'!BR116)</f>
        <v>1</v>
      </c>
      <c r="BQ58" s="1074">
        <f>SUM('EGRESO-POS plan'!BS116)</f>
        <v>5</v>
      </c>
      <c r="BR58" s="1077">
        <f>SUM(BO58:BQ58)</f>
        <v>9</v>
      </c>
    </row>
    <row r="59" spans="1:70" s="222" customFormat="1" ht="15" x14ac:dyDescent="0.2">
      <c r="A59" s="5484"/>
      <c r="B59" s="1078" t="s">
        <v>633</v>
      </c>
      <c r="C59" s="1338"/>
      <c r="D59" s="1339"/>
      <c r="E59" s="1339"/>
      <c r="F59" s="1340"/>
      <c r="G59" s="1338"/>
      <c r="H59" s="1339"/>
      <c r="I59" s="1339"/>
      <c r="J59" s="1340"/>
      <c r="K59" s="1338"/>
      <c r="L59" s="1339"/>
      <c r="M59" s="1339"/>
      <c r="N59" s="1340"/>
      <c r="O59" s="1338"/>
      <c r="P59" s="1339"/>
      <c r="Q59" s="1339"/>
      <c r="R59" s="1340"/>
      <c r="S59" s="1338"/>
      <c r="T59" s="1339"/>
      <c r="U59" s="1339"/>
      <c r="V59" s="1340"/>
      <c r="W59" s="1338"/>
      <c r="X59" s="1339"/>
      <c r="Y59" s="1339"/>
      <c r="Z59" s="1341"/>
      <c r="AA59" s="1338"/>
      <c r="AB59" s="1339"/>
      <c r="AC59" s="1339"/>
      <c r="AD59" s="1340"/>
      <c r="AE59" s="1339"/>
      <c r="AF59" s="1339"/>
      <c r="AG59" s="1339"/>
      <c r="AH59" s="1340"/>
      <c r="AI59" s="1339"/>
      <c r="AJ59" s="1339"/>
      <c r="AK59" s="1339"/>
      <c r="AL59" s="1341"/>
      <c r="AM59" s="1073"/>
      <c r="AN59" s="1074"/>
      <c r="AO59" s="1074"/>
      <c r="AP59" s="1077"/>
      <c r="AQ59" s="1073"/>
      <c r="AR59" s="1074"/>
      <c r="AS59" s="1074"/>
      <c r="AT59" s="1077"/>
      <c r="AU59" s="1073"/>
      <c r="AV59" s="1074"/>
      <c r="AW59" s="1074"/>
      <c r="AX59" s="1077"/>
      <c r="AY59" s="1073"/>
      <c r="AZ59" s="1074"/>
      <c r="BA59" s="1074"/>
      <c r="BB59" s="1077"/>
      <c r="BC59" s="1073"/>
      <c r="BD59" s="1074"/>
      <c r="BE59" s="1074"/>
      <c r="BF59" s="1077"/>
      <c r="BG59" s="1073"/>
      <c r="BH59" s="1074"/>
      <c r="BI59" s="1074"/>
      <c r="BJ59" s="1077">
        <f>SUM(BG59:BI59)</f>
        <v>0</v>
      </c>
      <c r="BK59" s="1073">
        <f>SUM('EGRESO-POS plan'!BM117)</f>
        <v>0</v>
      </c>
      <c r="BL59" s="1074">
        <f>SUM('EGRESO-POS plan'!BN117)</f>
        <v>1</v>
      </c>
      <c r="BM59" s="1074">
        <f>SUM('EGRESO-POS plan'!BO117)</f>
        <v>1</v>
      </c>
      <c r="BN59" s="1077">
        <f>SUM(BK59:BM59)</f>
        <v>2</v>
      </c>
      <c r="BO59" s="1073">
        <f>SUM('EGRESO-POS plan'!BQ117)</f>
        <v>0</v>
      </c>
      <c r="BP59" s="1074">
        <f>SUM('EGRESO-POS plan'!BR117)</f>
        <v>1</v>
      </c>
      <c r="BQ59" s="1074">
        <f>SUM('EGRESO-POS plan'!BS117)</f>
        <v>0</v>
      </c>
      <c r="BR59" s="1077">
        <f>SUM(BO59:BQ59)</f>
        <v>1</v>
      </c>
    </row>
    <row r="60" spans="1:70" s="222" customFormat="1" ht="15" x14ac:dyDescent="0.2">
      <c r="A60" s="5485"/>
      <c r="B60" s="583" t="s">
        <v>14</v>
      </c>
      <c r="C60" s="1193"/>
      <c r="D60" s="1194"/>
      <c r="E60" s="1194"/>
      <c r="F60" s="1185"/>
      <c r="G60" s="1193"/>
      <c r="H60" s="1194"/>
      <c r="I60" s="1194"/>
      <c r="J60" s="1185"/>
      <c r="K60" s="1193"/>
      <c r="L60" s="1194"/>
      <c r="M60" s="1194"/>
      <c r="N60" s="1185"/>
      <c r="O60" s="1193"/>
      <c r="P60" s="1194"/>
      <c r="Q60" s="1194"/>
      <c r="R60" s="1185"/>
      <c r="S60" s="1193"/>
      <c r="T60" s="1194"/>
      <c r="U60" s="1194"/>
      <c r="V60" s="1185"/>
      <c r="W60" s="1193"/>
      <c r="X60" s="1194"/>
      <c r="Y60" s="1194"/>
      <c r="Z60" s="1194"/>
      <c r="AA60" s="1193"/>
      <c r="AB60" s="1194"/>
      <c r="AC60" s="1194"/>
      <c r="AD60" s="1185"/>
      <c r="AE60" s="1194"/>
      <c r="AF60" s="1194"/>
      <c r="AG60" s="1194"/>
      <c r="AH60" s="1185"/>
      <c r="AI60" s="1194"/>
      <c r="AJ60" s="1194"/>
      <c r="AK60" s="1194"/>
      <c r="AL60" s="1194"/>
      <c r="AM60" s="578"/>
      <c r="AN60" s="579"/>
      <c r="AO60" s="579"/>
      <c r="AP60" s="579"/>
      <c r="AQ60" s="578"/>
      <c r="AR60" s="579"/>
      <c r="AS60" s="579"/>
      <c r="AT60" s="580"/>
      <c r="AU60" s="578"/>
      <c r="AV60" s="579"/>
      <c r="AW60" s="579"/>
      <c r="AX60" s="580"/>
      <c r="AY60" s="578"/>
      <c r="AZ60" s="579"/>
      <c r="BA60" s="579"/>
      <c r="BB60" s="580"/>
      <c r="BC60" s="578"/>
      <c r="BD60" s="579"/>
      <c r="BE60" s="579"/>
      <c r="BF60" s="580"/>
      <c r="BG60" s="578">
        <f t="shared" ref="BG60:BN60" si="91">SUM(BG57:BG59)</f>
        <v>5</v>
      </c>
      <c r="BH60" s="579">
        <f t="shared" si="91"/>
        <v>3</v>
      </c>
      <c r="BI60" s="579">
        <f t="shared" si="91"/>
        <v>2</v>
      </c>
      <c r="BJ60" s="580">
        <f t="shared" si="91"/>
        <v>10</v>
      </c>
      <c r="BK60" s="578">
        <f t="shared" si="91"/>
        <v>3</v>
      </c>
      <c r="BL60" s="579">
        <f t="shared" si="91"/>
        <v>2</v>
      </c>
      <c r="BM60" s="579">
        <f t="shared" si="91"/>
        <v>3</v>
      </c>
      <c r="BN60" s="580">
        <f t="shared" si="91"/>
        <v>8</v>
      </c>
      <c r="BO60" s="578">
        <f t="shared" ref="BO60:BR60" si="92">SUM(BO57:BO59)</f>
        <v>3</v>
      </c>
      <c r="BP60" s="579">
        <f t="shared" si="92"/>
        <v>2</v>
      </c>
      <c r="BQ60" s="579">
        <f t="shared" si="92"/>
        <v>5</v>
      </c>
      <c r="BR60" s="580">
        <f t="shared" si="92"/>
        <v>10</v>
      </c>
    </row>
    <row r="61" spans="1:70" s="222" customFormat="1" ht="15" x14ac:dyDescent="0.2">
      <c r="A61" s="5483" t="s">
        <v>9</v>
      </c>
      <c r="B61" s="1067" t="s">
        <v>631</v>
      </c>
      <c r="C61" s="1342"/>
      <c r="D61" s="1343"/>
      <c r="E61" s="1343"/>
      <c r="F61" s="1344"/>
      <c r="G61" s="1342"/>
      <c r="H61" s="1343"/>
      <c r="I61" s="1343"/>
      <c r="J61" s="1344"/>
      <c r="K61" s="1342"/>
      <c r="L61" s="1343"/>
      <c r="M61" s="1343"/>
      <c r="N61" s="1344"/>
      <c r="O61" s="1342"/>
      <c r="P61" s="1343"/>
      <c r="Q61" s="1343"/>
      <c r="R61" s="1344"/>
      <c r="S61" s="1342"/>
      <c r="T61" s="1343"/>
      <c r="U61" s="1343"/>
      <c r="V61" s="1344"/>
      <c r="W61" s="1342"/>
      <c r="X61" s="1343"/>
      <c r="Y61" s="1343"/>
      <c r="Z61" s="1345"/>
      <c r="AA61" s="1342"/>
      <c r="AB61" s="1343"/>
      <c r="AC61" s="1343"/>
      <c r="AD61" s="1344"/>
      <c r="AE61" s="1343"/>
      <c r="AF61" s="1343"/>
      <c r="AG61" s="1343"/>
      <c r="AH61" s="1344"/>
      <c r="AI61" s="1343"/>
      <c r="AJ61" s="1343"/>
      <c r="AK61" s="1343"/>
      <c r="AL61" s="1345"/>
      <c r="AM61" s="1346"/>
      <c r="AN61" s="1347"/>
      <c r="AO61" s="1347"/>
      <c r="AP61" s="1348"/>
      <c r="AQ61" s="1346"/>
      <c r="AR61" s="1347"/>
      <c r="AS61" s="1347"/>
      <c r="AT61" s="1348"/>
      <c r="AU61" s="1346"/>
      <c r="AV61" s="1347"/>
      <c r="AW61" s="1347"/>
      <c r="AX61" s="1348"/>
      <c r="AY61" s="1346"/>
      <c r="AZ61" s="1347"/>
      <c r="BA61" s="1347"/>
      <c r="BB61" s="1348"/>
      <c r="BC61" s="1068"/>
      <c r="BD61" s="1069"/>
      <c r="BE61" s="1069"/>
      <c r="BF61" s="1086"/>
      <c r="BG61" s="1068"/>
      <c r="BH61" s="1069"/>
      <c r="BI61" s="1069"/>
      <c r="BJ61" s="1086">
        <f>SUM(BG61:BI61)</f>
        <v>0</v>
      </c>
      <c r="BK61" s="1068"/>
      <c r="BL61" s="1069"/>
      <c r="BM61" s="1069"/>
      <c r="BN61" s="1086">
        <f>SUM(BK61:BM61)</f>
        <v>0</v>
      </c>
      <c r="BO61" s="1068"/>
      <c r="BP61" s="1069"/>
      <c r="BQ61" s="1069"/>
      <c r="BR61" s="1086">
        <f>SUM(BO61:BQ61)</f>
        <v>0</v>
      </c>
    </row>
    <row r="62" spans="1:70" s="222" customFormat="1" ht="15" x14ac:dyDescent="0.2">
      <c r="A62" s="5484"/>
      <c r="B62" s="1072" t="s">
        <v>632</v>
      </c>
      <c r="C62" s="1338"/>
      <c r="D62" s="1339"/>
      <c r="E62" s="1339"/>
      <c r="F62" s="1340"/>
      <c r="G62" s="1338"/>
      <c r="H62" s="1339"/>
      <c r="I62" s="1339"/>
      <c r="J62" s="1340"/>
      <c r="K62" s="1338"/>
      <c r="L62" s="1339"/>
      <c r="M62" s="1339"/>
      <c r="N62" s="1340"/>
      <c r="O62" s="1338"/>
      <c r="P62" s="1339"/>
      <c r="Q62" s="1339"/>
      <c r="R62" s="1340"/>
      <c r="S62" s="1338"/>
      <c r="T62" s="1339"/>
      <c r="U62" s="1339"/>
      <c r="V62" s="1340"/>
      <c r="W62" s="1338"/>
      <c r="X62" s="1339"/>
      <c r="Y62" s="1339"/>
      <c r="Z62" s="1341"/>
      <c r="AA62" s="1338"/>
      <c r="AB62" s="1339"/>
      <c r="AC62" s="1339"/>
      <c r="AD62" s="1340"/>
      <c r="AE62" s="1339"/>
      <c r="AF62" s="1339"/>
      <c r="AG62" s="1339"/>
      <c r="AH62" s="1340"/>
      <c r="AI62" s="1339"/>
      <c r="AJ62" s="1339"/>
      <c r="AK62" s="1339"/>
      <c r="AL62" s="1341"/>
      <c r="AM62" s="1073"/>
      <c r="AN62" s="1074"/>
      <c r="AO62" s="1074"/>
      <c r="AP62" s="1077"/>
      <c r="AQ62" s="1073"/>
      <c r="AR62" s="1074"/>
      <c r="AS62" s="1074"/>
      <c r="AT62" s="1077"/>
      <c r="AU62" s="1073"/>
      <c r="AV62" s="1074"/>
      <c r="AW62" s="1074"/>
      <c r="AX62" s="1077"/>
      <c r="AY62" s="1073"/>
      <c r="AZ62" s="1074"/>
      <c r="BA62" s="1074"/>
      <c r="BB62" s="1077"/>
      <c r="BC62" s="1073"/>
      <c r="BD62" s="1074"/>
      <c r="BE62" s="1074"/>
      <c r="BF62" s="1077"/>
      <c r="BG62" s="1073"/>
      <c r="BH62" s="1074"/>
      <c r="BI62" s="1074"/>
      <c r="BJ62" s="1077">
        <f>SUM(BG62:BI62)</f>
        <v>0</v>
      </c>
      <c r="BK62" s="1073"/>
      <c r="BL62" s="1074"/>
      <c r="BM62" s="1074">
        <f>SUM('EGRESO-POS plan'!BO119)</f>
        <v>8</v>
      </c>
      <c r="BN62" s="1077">
        <f>SUM(BK62:BM62)</f>
        <v>8</v>
      </c>
      <c r="BO62" s="1073"/>
      <c r="BP62" s="1074"/>
      <c r="BQ62" s="1074">
        <f>SUM('EGRESO-POS plan'!BS119)</f>
        <v>11</v>
      </c>
      <c r="BR62" s="1077">
        <f>SUM(BO62:BQ62)</f>
        <v>11</v>
      </c>
    </row>
    <row r="63" spans="1:70" s="222" customFormat="1" ht="15" x14ac:dyDescent="0.2">
      <c r="A63" s="5484"/>
      <c r="B63" s="1078" t="s">
        <v>633</v>
      </c>
      <c r="C63" s="1338"/>
      <c r="D63" s="1339"/>
      <c r="E63" s="1339"/>
      <c r="F63" s="1340"/>
      <c r="G63" s="1338"/>
      <c r="H63" s="1339"/>
      <c r="I63" s="1339"/>
      <c r="J63" s="1340"/>
      <c r="K63" s="1338"/>
      <c r="L63" s="1339"/>
      <c r="M63" s="1339"/>
      <c r="N63" s="1340"/>
      <c r="O63" s="1338"/>
      <c r="P63" s="1339"/>
      <c r="Q63" s="1339"/>
      <c r="R63" s="1340"/>
      <c r="S63" s="1338"/>
      <c r="T63" s="1339"/>
      <c r="U63" s="1339"/>
      <c r="V63" s="1340"/>
      <c r="W63" s="1338"/>
      <c r="X63" s="1339"/>
      <c r="Y63" s="1339"/>
      <c r="Z63" s="1341"/>
      <c r="AA63" s="1338"/>
      <c r="AB63" s="1339"/>
      <c r="AC63" s="1339"/>
      <c r="AD63" s="1340"/>
      <c r="AE63" s="1339"/>
      <c r="AF63" s="1339"/>
      <c r="AG63" s="1339"/>
      <c r="AH63" s="1340"/>
      <c r="AI63" s="1339"/>
      <c r="AJ63" s="1339"/>
      <c r="AK63" s="1339"/>
      <c r="AL63" s="1341"/>
      <c r="AM63" s="1073"/>
      <c r="AN63" s="1074"/>
      <c r="AO63" s="1074"/>
      <c r="AP63" s="1077"/>
      <c r="AQ63" s="1073"/>
      <c r="AR63" s="1074"/>
      <c r="AS63" s="1074"/>
      <c r="AT63" s="1077"/>
      <c r="AU63" s="1073"/>
      <c r="AV63" s="1074"/>
      <c r="AW63" s="1074"/>
      <c r="AX63" s="1077"/>
      <c r="AY63" s="1073"/>
      <c r="AZ63" s="1074"/>
      <c r="BA63" s="1074"/>
      <c r="BB63" s="1077"/>
      <c r="BC63" s="1073"/>
      <c r="BD63" s="1074"/>
      <c r="BE63" s="1074"/>
      <c r="BF63" s="1077"/>
      <c r="BG63" s="1073"/>
      <c r="BH63" s="1074"/>
      <c r="BI63" s="1074"/>
      <c r="BJ63" s="1077">
        <f>SUM(BG63:BI63)</f>
        <v>0</v>
      </c>
      <c r="BK63" s="1073"/>
      <c r="BL63" s="1074"/>
      <c r="BM63" s="1074"/>
      <c r="BN63" s="1077">
        <f>SUM(BK63:BM63)</f>
        <v>0</v>
      </c>
      <c r="BO63" s="1073"/>
      <c r="BP63" s="1074"/>
      <c r="BQ63" s="1074"/>
      <c r="BR63" s="1077">
        <f>SUM(BO63:BQ63)</f>
        <v>0</v>
      </c>
    </row>
    <row r="64" spans="1:70" s="222" customFormat="1" ht="15" x14ac:dyDescent="0.2">
      <c r="A64" s="5485"/>
      <c r="B64" s="583" t="s">
        <v>30</v>
      </c>
      <c r="C64" s="1193"/>
      <c r="D64" s="1194"/>
      <c r="E64" s="1194"/>
      <c r="F64" s="1185"/>
      <c r="G64" s="1193"/>
      <c r="H64" s="1194"/>
      <c r="I64" s="1194"/>
      <c r="J64" s="1185"/>
      <c r="K64" s="1193"/>
      <c r="L64" s="1194"/>
      <c r="M64" s="1194"/>
      <c r="N64" s="1185"/>
      <c r="O64" s="1193"/>
      <c r="P64" s="1194"/>
      <c r="Q64" s="1194"/>
      <c r="R64" s="1185"/>
      <c r="S64" s="1193"/>
      <c r="T64" s="1194"/>
      <c r="U64" s="1194"/>
      <c r="V64" s="1185"/>
      <c r="W64" s="1193"/>
      <c r="X64" s="1194"/>
      <c r="Y64" s="1194"/>
      <c r="Z64" s="1194"/>
      <c r="AA64" s="1193"/>
      <c r="AB64" s="1194"/>
      <c r="AC64" s="1194"/>
      <c r="AD64" s="1185"/>
      <c r="AE64" s="1194"/>
      <c r="AF64" s="1194"/>
      <c r="AG64" s="1194"/>
      <c r="AH64" s="1185"/>
      <c r="AI64" s="1194"/>
      <c r="AJ64" s="1194"/>
      <c r="AK64" s="1194"/>
      <c r="AL64" s="1194"/>
      <c r="AM64" s="578"/>
      <c r="AN64" s="579"/>
      <c r="AO64" s="579"/>
      <c r="AP64" s="579"/>
      <c r="AQ64" s="578"/>
      <c r="AR64" s="579"/>
      <c r="AS64" s="579"/>
      <c r="AT64" s="580"/>
      <c r="AU64" s="578"/>
      <c r="AV64" s="579"/>
      <c r="AW64" s="579"/>
      <c r="AX64" s="580"/>
      <c r="AY64" s="578"/>
      <c r="AZ64" s="579"/>
      <c r="BA64" s="579"/>
      <c r="BB64" s="580"/>
      <c r="BC64" s="578"/>
      <c r="BD64" s="579"/>
      <c r="BE64" s="579"/>
      <c r="BF64" s="580"/>
      <c r="BG64" s="578">
        <f t="shared" ref="BG64:BN64" si="93">SUM(BG61:BG63)</f>
        <v>0</v>
      </c>
      <c r="BH64" s="579">
        <f t="shared" si="93"/>
        <v>0</v>
      </c>
      <c r="BI64" s="579">
        <f t="shared" si="93"/>
        <v>0</v>
      </c>
      <c r="BJ64" s="580">
        <f t="shared" si="93"/>
        <v>0</v>
      </c>
      <c r="BK64" s="578">
        <f t="shared" si="93"/>
        <v>0</v>
      </c>
      <c r="BL64" s="579">
        <f t="shared" si="93"/>
        <v>0</v>
      </c>
      <c r="BM64" s="579">
        <f t="shared" si="93"/>
        <v>8</v>
      </c>
      <c r="BN64" s="580">
        <f t="shared" si="93"/>
        <v>8</v>
      </c>
      <c r="BO64" s="578">
        <f t="shared" ref="BO64:BR64" si="94">SUM(BO61:BO63)</f>
        <v>0</v>
      </c>
      <c r="BP64" s="579">
        <f t="shared" si="94"/>
        <v>0</v>
      </c>
      <c r="BQ64" s="579">
        <f t="shared" si="94"/>
        <v>11</v>
      </c>
      <c r="BR64" s="580">
        <f t="shared" si="94"/>
        <v>11</v>
      </c>
    </row>
    <row r="65" spans="1:70" s="222" customFormat="1" ht="15" x14ac:dyDescent="0.2">
      <c r="A65" s="5483" t="s">
        <v>74</v>
      </c>
      <c r="B65" s="1067" t="s">
        <v>631</v>
      </c>
      <c r="C65" s="1334"/>
      <c r="D65" s="1335"/>
      <c r="E65" s="1335"/>
      <c r="F65" s="1336"/>
      <c r="G65" s="1334"/>
      <c r="H65" s="1335"/>
      <c r="I65" s="1335"/>
      <c r="J65" s="1336"/>
      <c r="K65" s="1334"/>
      <c r="L65" s="1335"/>
      <c r="M65" s="1335"/>
      <c r="N65" s="1336"/>
      <c r="O65" s="1334"/>
      <c r="P65" s="1335"/>
      <c r="Q65" s="1335"/>
      <c r="R65" s="1336"/>
      <c r="S65" s="1334"/>
      <c r="T65" s="1335"/>
      <c r="U65" s="1335"/>
      <c r="V65" s="1336"/>
      <c r="W65" s="1334"/>
      <c r="X65" s="1335"/>
      <c r="Y65" s="1335"/>
      <c r="Z65" s="1337"/>
      <c r="AA65" s="1334"/>
      <c r="AB65" s="1335"/>
      <c r="AC65" s="1335"/>
      <c r="AD65" s="1336"/>
      <c r="AE65" s="1335"/>
      <c r="AF65" s="1335"/>
      <c r="AG65" s="1335"/>
      <c r="AH65" s="1336"/>
      <c r="AI65" s="1335"/>
      <c r="AJ65" s="1335"/>
      <c r="AK65" s="1335"/>
      <c r="AL65" s="1337"/>
      <c r="AM65" s="1068"/>
      <c r="AN65" s="1069"/>
      <c r="AO65" s="1069"/>
      <c r="AP65" s="1086"/>
      <c r="AQ65" s="1068"/>
      <c r="AR65" s="1069"/>
      <c r="AS65" s="1069"/>
      <c r="AT65" s="1086"/>
      <c r="AU65" s="1068"/>
      <c r="AV65" s="1069"/>
      <c r="AW65" s="1069"/>
      <c r="AX65" s="1086"/>
      <c r="AY65" s="1068"/>
      <c r="AZ65" s="1069"/>
      <c r="BA65" s="1069"/>
      <c r="BB65" s="1086"/>
      <c r="BC65" s="1068"/>
      <c r="BD65" s="1069"/>
      <c r="BE65" s="1069"/>
      <c r="BF65" s="1086"/>
      <c r="BG65" s="1068"/>
      <c r="BH65" s="1069">
        <f>SUM('EGRESO-POS plan'!BJ121)</f>
        <v>2</v>
      </c>
      <c r="BI65" s="1069"/>
      <c r="BJ65" s="1077">
        <f>SUM(BG65:BI65)</f>
        <v>2</v>
      </c>
      <c r="BK65" s="1068"/>
      <c r="BL65" s="1069">
        <f>SUM('EGRESO-POS plan'!BN121)</f>
        <v>2</v>
      </c>
      <c r="BM65" s="1069"/>
      <c r="BN65" s="1077">
        <f>SUM(BK65:BM65)</f>
        <v>2</v>
      </c>
      <c r="BO65" s="1068"/>
      <c r="BP65" s="1069">
        <f>SUM('EGRESO-POS plan'!BR121)</f>
        <v>2</v>
      </c>
      <c r="BQ65" s="1069"/>
      <c r="BR65" s="1077">
        <f>SUM(BO65:BQ65)</f>
        <v>2</v>
      </c>
    </row>
    <row r="66" spans="1:70" s="222" customFormat="1" ht="15" x14ac:dyDescent="0.2">
      <c r="A66" s="5484"/>
      <c r="B66" s="1072" t="s">
        <v>632</v>
      </c>
      <c r="C66" s="1338"/>
      <c r="D66" s="1339"/>
      <c r="E66" s="1339"/>
      <c r="F66" s="1340"/>
      <c r="G66" s="1338"/>
      <c r="H66" s="1339"/>
      <c r="I66" s="1339"/>
      <c r="J66" s="1340"/>
      <c r="K66" s="1338"/>
      <c r="L66" s="1339"/>
      <c r="M66" s="1339"/>
      <c r="N66" s="1340"/>
      <c r="O66" s="1338"/>
      <c r="P66" s="1339"/>
      <c r="Q66" s="1339"/>
      <c r="R66" s="1340"/>
      <c r="S66" s="1338"/>
      <c r="T66" s="1339"/>
      <c r="U66" s="1339"/>
      <c r="V66" s="1340"/>
      <c r="W66" s="1338"/>
      <c r="X66" s="1339"/>
      <c r="Y66" s="1339"/>
      <c r="Z66" s="1341"/>
      <c r="AA66" s="1338"/>
      <c r="AB66" s="1339"/>
      <c r="AC66" s="1339"/>
      <c r="AD66" s="1340"/>
      <c r="AE66" s="1339"/>
      <c r="AF66" s="1339"/>
      <c r="AG66" s="1339"/>
      <c r="AH66" s="1340"/>
      <c r="AI66" s="1339"/>
      <c r="AJ66" s="1339"/>
      <c r="AK66" s="1339"/>
      <c r="AL66" s="1341"/>
      <c r="AM66" s="1073"/>
      <c r="AN66" s="1074"/>
      <c r="AO66" s="1074"/>
      <c r="AP66" s="1077"/>
      <c r="AQ66" s="1073"/>
      <c r="AR66" s="1074"/>
      <c r="AS66" s="1074"/>
      <c r="AT66" s="1077"/>
      <c r="AU66" s="1073"/>
      <c r="AV66" s="1074"/>
      <c r="AW66" s="1074"/>
      <c r="AX66" s="1077"/>
      <c r="AY66" s="1073"/>
      <c r="AZ66" s="1074"/>
      <c r="BA66" s="1074"/>
      <c r="BB66" s="1077"/>
      <c r="BC66" s="1073"/>
      <c r="BD66" s="1074"/>
      <c r="BE66" s="1074"/>
      <c r="BF66" s="1077"/>
      <c r="BG66" s="1073"/>
      <c r="BH66" s="1074"/>
      <c r="BI66" s="1074"/>
      <c r="BJ66" s="1077">
        <f>SUM(BG66:BI66)</f>
        <v>0</v>
      </c>
      <c r="BK66" s="1073"/>
      <c r="BL66" s="1074"/>
      <c r="BM66" s="1074">
        <f>SUM('EGRESO-POS plan'!BO122)</f>
        <v>1</v>
      </c>
      <c r="BN66" s="1077">
        <f>SUM(BK66:BM66)</f>
        <v>1</v>
      </c>
      <c r="BO66" s="1073"/>
      <c r="BP66" s="1074">
        <v>5</v>
      </c>
      <c r="BQ66" s="1074">
        <f>SUM('EGRESO-POS plan'!BS122)</f>
        <v>1</v>
      </c>
      <c r="BR66" s="1077">
        <f>SUM(BO66:BQ66)</f>
        <v>6</v>
      </c>
    </row>
    <row r="67" spans="1:70" s="222" customFormat="1" ht="15" x14ac:dyDescent="0.2">
      <c r="A67" s="5484"/>
      <c r="B67" s="1078" t="s">
        <v>633</v>
      </c>
      <c r="C67" s="1338"/>
      <c r="D67" s="1339"/>
      <c r="E67" s="1339"/>
      <c r="F67" s="1340"/>
      <c r="G67" s="1338"/>
      <c r="H67" s="1339"/>
      <c r="I67" s="1339"/>
      <c r="J67" s="1340"/>
      <c r="K67" s="1338"/>
      <c r="L67" s="1339"/>
      <c r="M67" s="1339"/>
      <c r="N67" s="1340"/>
      <c r="O67" s="1338"/>
      <c r="P67" s="1339"/>
      <c r="Q67" s="1339"/>
      <c r="R67" s="1340"/>
      <c r="S67" s="1338"/>
      <c r="T67" s="1339"/>
      <c r="U67" s="1339"/>
      <c r="V67" s="1340"/>
      <c r="W67" s="1338"/>
      <c r="X67" s="1339"/>
      <c r="Y67" s="1339"/>
      <c r="Z67" s="1341"/>
      <c r="AA67" s="1338"/>
      <c r="AB67" s="1339"/>
      <c r="AC67" s="1339"/>
      <c r="AD67" s="1340"/>
      <c r="AE67" s="1339"/>
      <c r="AF67" s="1339"/>
      <c r="AG67" s="1339"/>
      <c r="AH67" s="1340"/>
      <c r="AI67" s="1339"/>
      <c r="AJ67" s="1339"/>
      <c r="AK67" s="1339"/>
      <c r="AL67" s="1341"/>
      <c r="AM67" s="1073"/>
      <c r="AN67" s="1074"/>
      <c r="AO67" s="1074"/>
      <c r="AP67" s="1077"/>
      <c r="AQ67" s="1073"/>
      <c r="AR67" s="1074"/>
      <c r="AS67" s="1074"/>
      <c r="AT67" s="1077"/>
      <c r="AU67" s="1073"/>
      <c r="AV67" s="1074"/>
      <c r="AW67" s="1074"/>
      <c r="AX67" s="1077"/>
      <c r="AY67" s="1073"/>
      <c r="AZ67" s="1074"/>
      <c r="BA67" s="1074"/>
      <c r="BB67" s="1077"/>
      <c r="BC67" s="1073"/>
      <c r="BD67" s="1074"/>
      <c r="BE67" s="1074"/>
      <c r="BF67" s="1077"/>
      <c r="BG67" s="1073"/>
      <c r="BH67" s="1074"/>
      <c r="BI67" s="1074"/>
      <c r="BJ67" s="1077">
        <f>SUM(BG67:BI67)</f>
        <v>0</v>
      </c>
      <c r="BK67" s="1073"/>
      <c r="BL67" s="1074"/>
      <c r="BM67" s="1074"/>
      <c r="BN67" s="1077">
        <f>SUM(BK67:BM67)</f>
        <v>0</v>
      </c>
      <c r="BO67" s="1073">
        <f>SUM('EGRESO-POS plan'!BQ123:BQ124)</f>
        <v>0</v>
      </c>
      <c r="BP67" s="1074">
        <f>SUM('EGRESO-POS plan'!BR123:BR124)</f>
        <v>1</v>
      </c>
      <c r="BQ67" s="1074">
        <f>SUM('EGRESO-POS plan'!BS123:BS124)</f>
        <v>1</v>
      </c>
      <c r="BR67" s="1077">
        <f>SUM(BO67:BQ67)</f>
        <v>2</v>
      </c>
    </row>
    <row r="68" spans="1:70" s="222" customFormat="1" ht="15" x14ac:dyDescent="0.2">
      <c r="A68" s="5485"/>
      <c r="B68" s="583" t="s">
        <v>15</v>
      </c>
      <c r="C68" s="1193"/>
      <c r="D68" s="1194"/>
      <c r="E68" s="1194"/>
      <c r="F68" s="1185"/>
      <c r="G68" s="1193"/>
      <c r="H68" s="1194"/>
      <c r="I68" s="1194"/>
      <c r="J68" s="1185"/>
      <c r="K68" s="1193"/>
      <c r="L68" s="1194"/>
      <c r="M68" s="1194"/>
      <c r="N68" s="1185"/>
      <c r="O68" s="1193"/>
      <c r="P68" s="1194"/>
      <c r="Q68" s="1194"/>
      <c r="R68" s="1185"/>
      <c r="S68" s="1193"/>
      <c r="T68" s="1194"/>
      <c r="U68" s="1194"/>
      <c r="V68" s="1185"/>
      <c r="W68" s="1193"/>
      <c r="X68" s="1194"/>
      <c r="Y68" s="1194"/>
      <c r="Z68" s="1194"/>
      <c r="AA68" s="1193"/>
      <c r="AB68" s="1194"/>
      <c r="AC68" s="1194"/>
      <c r="AD68" s="1185"/>
      <c r="AE68" s="1194"/>
      <c r="AF68" s="1194"/>
      <c r="AG68" s="1194"/>
      <c r="AH68" s="1185"/>
      <c r="AI68" s="1194"/>
      <c r="AJ68" s="1194"/>
      <c r="AK68" s="1194"/>
      <c r="AL68" s="1194"/>
      <c r="AM68" s="578"/>
      <c r="AN68" s="579"/>
      <c r="AO68" s="579"/>
      <c r="AP68" s="579"/>
      <c r="AQ68" s="578"/>
      <c r="AR68" s="579"/>
      <c r="AS68" s="579"/>
      <c r="AT68" s="580"/>
      <c r="AU68" s="578"/>
      <c r="AV68" s="579"/>
      <c r="AW68" s="579"/>
      <c r="AX68" s="580"/>
      <c r="AY68" s="578"/>
      <c r="AZ68" s="579"/>
      <c r="BA68" s="579"/>
      <c r="BB68" s="580"/>
      <c r="BC68" s="578"/>
      <c r="BD68" s="579"/>
      <c r="BE68" s="579"/>
      <c r="BF68" s="580"/>
      <c r="BG68" s="578">
        <f t="shared" ref="BG68:BN68" si="95">SUM(BG65:BG67)</f>
        <v>0</v>
      </c>
      <c r="BH68" s="579">
        <f t="shared" si="95"/>
        <v>2</v>
      </c>
      <c r="BI68" s="579">
        <f t="shared" si="95"/>
        <v>0</v>
      </c>
      <c r="BJ68" s="580">
        <f t="shared" si="95"/>
        <v>2</v>
      </c>
      <c r="BK68" s="578">
        <f t="shared" si="95"/>
        <v>0</v>
      </c>
      <c r="BL68" s="579">
        <f t="shared" si="95"/>
        <v>2</v>
      </c>
      <c r="BM68" s="579">
        <f t="shared" si="95"/>
        <v>1</v>
      </c>
      <c r="BN68" s="580">
        <f t="shared" si="95"/>
        <v>3</v>
      </c>
      <c r="BO68" s="578">
        <f t="shared" ref="BO68:BR68" si="96">SUM(BO65:BO67)</f>
        <v>0</v>
      </c>
      <c r="BP68" s="579">
        <f t="shared" si="96"/>
        <v>8</v>
      </c>
      <c r="BQ68" s="579">
        <f t="shared" si="96"/>
        <v>2</v>
      </c>
      <c r="BR68" s="580">
        <f t="shared" si="96"/>
        <v>10</v>
      </c>
    </row>
    <row r="69" spans="1:70" s="222" customFormat="1" ht="15" customHeight="1" x14ac:dyDescent="0.2">
      <c r="A69" s="5546" t="s">
        <v>695</v>
      </c>
      <c r="B69" s="1067" t="s">
        <v>631</v>
      </c>
      <c r="C69" s="1334"/>
      <c r="D69" s="1335"/>
      <c r="E69" s="1335"/>
      <c r="F69" s="1336"/>
      <c r="G69" s="1334"/>
      <c r="H69" s="1335"/>
      <c r="I69" s="1335"/>
      <c r="J69" s="1336"/>
      <c r="K69" s="1334"/>
      <c r="L69" s="1335"/>
      <c r="M69" s="1335"/>
      <c r="N69" s="1336"/>
      <c r="O69" s="1334"/>
      <c r="P69" s="1335"/>
      <c r="Q69" s="1335"/>
      <c r="R69" s="1336"/>
      <c r="S69" s="1334"/>
      <c r="T69" s="1335"/>
      <c r="U69" s="1335"/>
      <c r="V69" s="1336"/>
      <c r="W69" s="1334"/>
      <c r="X69" s="1335"/>
      <c r="Y69" s="1335"/>
      <c r="Z69" s="1337"/>
      <c r="AA69" s="1334"/>
      <c r="AB69" s="1335"/>
      <c r="AC69" s="1335"/>
      <c r="AD69" s="1336"/>
      <c r="AE69" s="1335"/>
      <c r="AF69" s="1335"/>
      <c r="AG69" s="1335"/>
      <c r="AH69" s="1336"/>
      <c r="AI69" s="1335"/>
      <c r="AJ69" s="1335"/>
      <c r="AK69" s="1335"/>
      <c r="AL69" s="1337"/>
      <c r="AM69" s="1068"/>
      <c r="AN69" s="1069"/>
      <c r="AO69" s="1069"/>
      <c r="AP69" s="1069"/>
      <c r="AQ69" s="1068"/>
      <c r="AR69" s="1069"/>
      <c r="AS69" s="1069"/>
      <c r="AT69" s="1086"/>
      <c r="AU69" s="1068"/>
      <c r="AV69" s="1069"/>
      <c r="AW69" s="1069"/>
      <c r="AX69" s="1086"/>
      <c r="AY69" s="1068"/>
      <c r="AZ69" s="1069"/>
      <c r="BA69" s="1069"/>
      <c r="BB69" s="1086"/>
      <c r="BC69" s="1068"/>
      <c r="BD69" s="1069"/>
      <c r="BE69" s="1069"/>
      <c r="BF69" s="1086"/>
      <c r="BG69" s="1068">
        <f t="shared" ref="BG69:BI71" si="97">SUM(BG57,BG61,BG65)</f>
        <v>0</v>
      </c>
      <c r="BH69" s="1069">
        <f t="shared" si="97"/>
        <v>2</v>
      </c>
      <c r="BI69" s="1069">
        <f t="shared" si="97"/>
        <v>0</v>
      </c>
      <c r="BJ69" s="1086">
        <f>SUM(BG69:BI69)</f>
        <v>2</v>
      </c>
      <c r="BK69" s="1068">
        <f t="shared" ref="BK69:BM71" si="98">SUM(BK57,BK61,BK65)</f>
        <v>0</v>
      </c>
      <c r="BL69" s="1069">
        <f t="shared" si="98"/>
        <v>2</v>
      </c>
      <c r="BM69" s="1069">
        <f t="shared" si="98"/>
        <v>0</v>
      </c>
      <c r="BN69" s="1086">
        <f>SUM(BK69:BM69)</f>
        <v>2</v>
      </c>
      <c r="BO69" s="1068">
        <f t="shared" ref="BO69:BQ69" si="99">SUM(BO57,BO61,BO65)</f>
        <v>0</v>
      </c>
      <c r="BP69" s="1069">
        <f t="shared" si="99"/>
        <v>2</v>
      </c>
      <c r="BQ69" s="1069">
        <f t="shared" si="99"/>
        <v>0</v>
      </c>
      <c r="BR69" s="1086">
        <f>SUM(BO69:BQ69)</f>
        <v>2</v>
      </c>
    </row>
    <row r="70" spans="1:70" s="222" customFormat="1" ht="15" x14ac:dyDescent="0.2">
      <c r="A70" s="5547"/>
      <c r="B70" s="1072" t="s">
        <v>632</v>
      </c>
      <c r="C70" s="1338"/>
      <c r="D70" s="1339"/>
      <c r="E70" s="1339"/>
      <c r="F70" s="1340"/>
      <c r="G70" s="1338"/>
      <c r="H70" s="1339"/>
      <c r="I70" s="1339"/>
      <c r="J70" s="1340"/>
      <c r="K70" s="1338"/>
      <c r="L70" s="1339"/>
      <c r="M70" s="1339"/>
      <c r="N70" s="1340"/>
      <c r="O70" s="1338"/>
      <c r="P70" s="1339"/>
      <c r="Q70" s="1339"/>
      <c r="R70" s="1340"/>
      <c r="S70" s="1338"/>
      <c r="T70" s="1339"/>
      <c r="U70" s="1339"/>
      <c r="V70" s="1340"/>
      <c r="W70" s="1338"/>
      <c r="X70" s="1339"/>
      <c r="Y70" s="1339"/>
      <c r="Z70" s="1341"/>
      <c r="AA70" s="1338"/>
      <c r="AB70" s="1339"/>
      <c r="AC70" s="1339"/>
      <c r="AD70" s="1340"/>
      <c r="AE70" s="1339"/>
      <c r="AF70" s="1339"/>
      <c r="AG70" s="1339"/>
      <c r="AH70" s="1340"/>
      <c r="AI70" s="1339"/>
      <c r="AJ70" s="1339"/>
      <c r="AK70" s="1339"/>
      <c r="AL70" s="1341"/>
      <c r="AM70" s="1073"/>
      <c r="AN70" s="1074"/>
      <c r="AO70" s="1074"/>
      <c r="AP70" s="1074"/>
      <c r="AQ70" s="1073"/>
      <c r="AR70" s="1074"/>
      <c r="AS70" s="1074"/>
      <c r="AT70" s="1077"/>
      <c r="AU70" s="1073"/>
      <c r="AV70" s="1074"/>
      <c r="AW70" s="1074"/>
      <c r="AX70" s="1077"/>
      <c r="AY70" s="1073"/>
      <c r="AZ70" s="1074"/>
      <c r="BA70" s="1074"/>
      <c r="BB70" s="1077"/>
      <c r="BC70" s="1073"/>
      <c r="BD70" s="1074"/>
      <c r="BE70" s="1074"/>
      <c r="BF70" s="1077"/>
      <c r="BG70" s="1073">
        <f t="shared" si="97"/>
        <v>5</v>
      </c>
      <c r="BH70" s="1074">
        <f t="shared" si="97"/>
        <v>3</v>
      </c>
      <c r="BI70" s="1074">
        <f t="shared" si="97"/>
        <v>2</v>
      </c>
      <c r="BJ70" s="1077">
        <f>SUM(BG70:BI70)</f>
        <v>10</v>
      </c>
      <c r="BK70" s="1073">
        <f t="shared" si="98"/>
        <v>3</v>
      </c>
      <c r="BL70" s="1074">
        <f t="shared" si="98"/>
        <v>1</v>
      </c>
      <c r="BM70" s="1074">
        <f t="shared" si="98"/>
        <v>11</v>
      </c>
      <c r="BN70" s="1077">
        <f>SUM(BK70:BM70)</f>
        <v>15</v>
      </c>
      <c r="BO70" s="1073">
        <f t="shared" ref="BO70:BQ70" si="100">SUM(BO58,BO62,BO66)</f>
        <v>3</v>
      </c>
      <c r="BP70" s="1074">
        <f t="shared" si="100"/>
        <v>6</v>
      </c>
      <c r="BQ70" s="1074">
        <f t="shared" si="100"/>
        <v>17</v>
      </c>
      <c r="BR70" s="1077">
        <f>SUM(BO70:BQ70)</f>
        <v>26</v>
      </c>
    </row>
    <row r="71" spans="1:70" s="222" customFormat="1" ht="15" x14ac:dyDescent="0.2">
      <c r="A71" s="5547"/>
      <c r="B71" s="1078" t="s">
        <v>633</v>
      </c>
      <c r="C71" s="1338"/>
      <c r="D71" s="1339"/>
      <c r="E71" s="1339"/>
      <c r="F71" s="1340"/>
      <c r="G71" s="1338"/>
      <c r="H71" s="1339"/>
      <c r="I71" s="1339"/>
      <c r="J71" s="1340"/>
      <c r="K71" s="1338"/>
      <c r="L71" s="1339"/>
      <c r="M71" s="1339"/>
      <c r="N71" s="1340"/>
      <c r="O71" s="1338"/>
      <c r="P71" s="1339"/>
      <c r="Q71" s="1339"/>
      <c r="R71" s="1340"/>
      <c r="S71" s="1338"/>
      <c r="T71" s="1339"/>
      <c r="U71" s="1339"/>
      <c r="V71" s="1340"/>
      <c r="W71" s="1338"/>
      <c r="X71" s="1339"/>
      <c r="Y71" s="1339"/>
      <c r="Z71" s="1341"/>
      <c r="AA71" s="1338"/>
      <c r="AB71" s="1339"/>
      <c r="AC71" s="1339"/>
      <c r="AD71" s="1340"/>
      <c r="AE71" s="1339"/>
      <c r="AF71" s="1339"/>
      <c r="AG71" s="1339"/>
      <c r="AH71" s="1340"/>
      <c r="AI71" s="1339"/>
      <c r="AJ71" s="1339"/>
      <c r="AK71" s="1339"/>
      <c r="AL71" s="1341"/>
      <c r="AM71" s="1073"/>
      <c r="AN71" s="1074"/>
      <c r="AO71" s="1074"/>
      <c r="AP71" s="1074"/>
      <c r="AQ71" s="1073"/>
      <c r="AR71" s="1074"/>
      <c r="AS71" s="1074"/>
      <c r="AT71" s="1077"/>
      <c r="AU71" s="1073"/>
      <c r="AV71" s="1074"/>
      <c r="AW71" s="1074"/>
      <c r="AX71" s="1077"/>
      <c r="AY71" s="1073"/>
      <c r="AZ71" s="1074"/>
      <c r="BA71" s="1074"/>
      <c r="BB71" s="1077"/>
      <c r="BC71" s="1073"/>
      <c r="BD71" s="1074"/>
      <c r="BE71" s="1074"/>
      <c r="BF71" s="1077"/>
      <c r="BG71" s="1073">
        <f t="shared" si="97"/>
        <v>0</v>
      </c>
      <c r="BH71" s="1074">
        <f t="shared" si="97"/>
        <v>0</v>
      </c>
      <c r="BI71" s="1074">
        <f t="shared" si="97"/>
        <v>0</v>
      </c>
      <c r="BJ71" s="1077">
        <f>SUM(BG71:BI71)</f>
        <v>0</v>
      </c>
      <c r="BK71" s="1073">
        <f t="shared" si="98"/>
        <v>0</v>
      </c>
      <c r="BL71" s="1074">
        <f t="shared" si="98"/>
        <v>1</v>
      </c>
      <c r="BM71" s="1074">
        <f t="shared" si="98"/>
        <v>1</v>
      </c>
      <c r="BN71" s="1077">
        <f>SUM(BK71:BM71)</f>
        <v>2</v>
      </c>
      <c r="BO71" s="1073">
        <f>SUM(BO59,BO63,BO67)</f>
        <v>0</v>
      </c>
      <c r="BP71" s="1074">
        <f t="shared" ref="BP71:BQ71" si="101">SUM(BP59,BP63,BP67)</f>
        <v>2</v>
      </c>
      <c r="BQ71" s="1074">
        <f t="shared" si="101"/>
        <v>1</v>
      </c>
      <c r="BR71" s="1077">
        <f>SUM(BO71:BQ71)</f>
        <v>3</v>
      </c>
    </row>
    <row r="72" spans="1:70" s="222" customFormat="1" ht="15" x14ac:dyDescent="0.2">
      <c r="A72" s="5548"/>
      <c r="B72" s="2667" t="s">
        <v>12</v>
      </c>
      <c r="C72" s="2706"/>
      <c r="D72" s="2707"/>
      <c r="E72" s="2707"/>
      <c r="F72" s="2708"/>
      <c r="G72" s="2706"/>
      <c r="H72" s="2707"/>
      <c r="I72" s="2707"/>
      <c r="J72" s="2708"/>
      <c r="K72" s="2706"/>
      <c r="L72" s="2707"/>
      <c r="M72" s="2707"/>
      <c r="N72" s="2708"/>
      <c r="O72" s="2706"/>
      <c r="P72" s="2707"/>
      <c r="Q72" s="2707"/>
      <c r="R72" s="2708"/>
      <c r="S72" s="2706"/>
      <c r="T72" s="2707"/>
      <c r="U72" s="2707"/>
      <c r="V72" s="2708"/>
      <c r="W72" s="2706"/>
      <c r="X72" s="2707"/>
      <c r="Y72" s="2707"/>
      <c r="Z72" s="2707"/>
      <c r="AA72" s="2706"/>
      <c r="AB72" s="2707"/>
      <c r="AC72" s="2707"/>
      <c r="AD72" s="2708"/>
      <c r="AE72" s="2707"/>
      <c r="AF72" s="2707"/>
      <c r="AG72" s="2707"/>
      <c r="AH72" s="2708"/>
      <c r="AI72" s="2707"/>
      <c r="AJ72" s="2707"/>
      <c r="AK72" s="2707"/>
      <c r="AL72" s="2707"/>
      <c r="AM72" s="2616"/>
      <c r="AN72" s="2617"/>
      <c r="AO72" s="2617"/>
      <c r="AP72" s="2617"/>
      <c r="AQ72" s="2616"/>
      <c r="AR72" s="2617"/>
      <c r="AS72" s="2617"/>
      <c r="AT72" s="2618"/>
      <c r="AU72" s="2616"/>
      <c r="AV72" s="2617"/>
      <c r="AW72" s="2617"/>
      <c r="AX72" s="2618"/>
      <c r="AY72" s="2616"/>
      <c r="AZ72" s="2617"/>
      <c r="BA72" s="2617"/>
      <c r="BB72" s="2618"/>
      <c r="BC72" s="2616"/>
      <c r="BD72" s="2617"/>
      <c r="BE72" s="2617"/>
      <c r="BF72" s="2618"/>
      <c r="BG72" s="2616">
        <f t="shared" ref="BG72:BN72" si="102">SUM(BG69:BG71)</f>
        <v>5</v>
      </c>
      <c r="BH72" s="2617">
        <f t="shared" si="102"/>
        <v>5</v>
      </c>
      <c r="BI72" s="2617">
        <f t="shared" si="102"/>
        <v>2</v>
      </c>
      <c r="BJ72" s="2618">
        <f t="shared" si="102"/>
        <v>12</v>
      </c>
      <c r="BK72" s="2616">
        <f t="shared" si="102"/>
        <v>3</v>
      </c>
      <c r="BL72" s="2617">
        <f t="shared" si="102"/>
        <v>4</v>
      </c>
      <c r="BM72" s="2617">
        <f t="shared" si="102"/>
        <v>12</v>
      </c>
      <c r="BN72" s="2618">
        <f t="shared" si="102"/>
        <v>19</v>
      </c>
      <c r="BO72" s="2616">
        <f t="shared" ref="BO72:BR72" si="103">SUM(BO69:BO71)</f>
        <v>3</v>
      </c>
      <c r="BP72" s="2617">
        <f t="shared" si="103"/>
        <v>10</v>
      </c>
      <c r="BQ72" s="2617">
        <f t="shared" si="103"/>
        <v>18</v>
      </c>
      <c r="BR72" s="2618">
        <f t="shared" si="103"/>
        <v>31</v>
      </c>
    </row>
    <row r="73" spans="1:70" s="222" customFormat="1" ht="15" x14ac:dyDescent="0.2">
      <c r="A73" s="263"/>
      <c r="B73" s="263"/>
    </row>
    <row r="74" spans="1:70" ht="15" x14ac:dyDescent="0.2">
      <c r="A74" s="5539" t="s">
        <v>60</v>
      </c>
      <c r="B74" s="1067" t="s">
        <v>631</v>
      </c>
      <c r="C74" s="1334">
        <f>+C35+C52+C18</f>
        <v>1</v>
      </c>
      <c r="D74" s="1335">
        <f>+D35+D52+D18</f>
        <v>0</v>
      </c>
      <c r="E74" s="1335">
        <f>+E35+E52+E18</f>
        <v>45</v>
      </c>
      <c r="F74" s="1336">
        <f t="shared" si="62"/>
        <v>46</v>
      </c>
      <c r="G74" s="1334">
        <f>+G35+G52+G18</f>
        <v>10</v>
      </c>
      <c r="H74" s="1335">
        <f>+H35+H52+H18</f>
        <v>7</v>
      </c>
      <c r="I74" s="1335">
        <f>+I35+I52+I18</f>
        <v>15</v>
      </c>
      <c r="J74" s="1336">
        <f>SUM(G74:I74)</f>
        <v>32</v>
      </c>
      <c r="K74" s="1334">
        <f>+K35+K52+K18</f>
        <v>11</v>
      </c>
      <c r="L74" s="1335">
        <f>+L35+L52+L18</f>
        <v>22</v>
      </c>
      <c r="M74" s="1335">
        <f>+M35+M52+M18</f>
        <v>36</v>
      </c>
      <c r="N74" s="1336">
        <f t="shared" si="64"/>
        <v>69</v>
      </c>
      <c r="O74" s="1334">
        <f>+O35+O52+O18</f>
        <v>9</v>
      </c>
      <c r="P74" s="1335">
        <f>+P35+P52+P18</f>
        <v>196</v>
      </c>
      <c r="Q74" s="1335">
        <f>+Q35+Q52+Q18</f>
        <v>44</v>
      </c>
      <c r="R74" s="1336">
        <f t="shared" si="65"/>
        <v>249</v>
      </c>
      <c r="S74" s="1334">
        <f t="shared" ref="S74:AL74" si="104">S18+S35+S52</f>
        <v>17</v>
      </c>
      <c r="T74" s="1335">
        <f t="shared" si="104"/>
        <v>29</v>
      </c>
      <c r="U74" s="1335">
        <f t="shared" si="104"/>
        <v>29</v>
      </c>
      <c r="V74" s="1336">
        <f t="shared" si="104"/>
        <v>75</v>
      </c>
      <c r="W74" s="1334">
        <f t="shared" si="104"/>
        <v>12</v>
      </c>
      <c r="X74" s="1335">
        <f t="shared" si="104"/>
        <v>64</v>
      </c>
      <c r="Y74" s="1335">
        <f t="shared" si="104"/>
        <v>49</v>
      </c>
      <c r="Z74" s="1337">
        <f t="shared" si="104"/>
        <v>125</v>
      </c>
      <c r="AA74" s="1334">
        <f t="shared" si="104"/>
        <v>13</v>
      </c>
      <c r="AB74" s="1335">
        <f t="shared" si="104"/>
        <v>124</v>
      </c>
      <c r="AC74" s="1335">
        <f t="shared" si="104"/>
        <v>22</v>
      </c>
      <c r="AD74" s="1336">
        <f t="shared" si="104"/>
        <v>159</v>
      </c>
      <c r="AE74" s="1335">
        <f t="shared" si="104"/>
        <v>0</v>
      </c>
      <c r="AF74" s="1335">
        <f t="shared" si="104"/>
        <v>54</v>
      </c>
      <c r="AG74" s="1335">
        <f t="shared" si="104"/>
        <v>70</v>
      </c>
      <c r="AH74" s="1336">
        <f t="shared" si="104"/>
        <v>124</v>
      </c>
      <c r="AI74" s="1335">
        <f t="shared" si="104"/>
        <v>39</v>
      </c>
      <c r="AJ74" s="1335">
        <f t="shared" si="104"/>
        <v>50</v>
      </c>
      <c r="AK74" s="1335">
        <f t="shared" si="104"/>
        <v>35</v>
      </c>
      <c r="AL74" s="1337">
        <f t="shared" si="104"/>
        <v>124</v>
      </c>
      <c r="AM74" s="1068">
        <v>69</v>
      </c>
      <c r="AN74" s="1069">
        <v>32</v>
      </c>
      <c r="AO74" s="1069">
        <v>65</v>
      </c>
      <c r="AP74" s="1070">
        <v>166</v>
      </c>
      <c r="AQ74" s="1068">
        <f t="shared" ref="AQ74:BE74" si="105">SUM(AQ18,AQ35,AQ52)</f>
        <v>20</v>
      </c>
      <c r="AR74" s="1069">
        <f t="shared" si="105"/>
        <v>38</v>
      </c>
      <c r="AS74" s="1069">
        <f t="shared" si="105"/>
        <v>75</v>
      </c>
      <c r="AT74" s="1071">
        <f t="shared" si="105"/>
        <v>133</v>
      </c>
      <c r="AU74" s="1068">
        <f t="shared" si="105"/>
        <v>8</v>
      </c>
      <c r="AV74" s="1069">
        <f t="shared" si="105"/>
        <v>36</v>
      </c>
      <c r="AW74" s="1069">
        <f t="shared" si="105"/>
        <v>72</v>
      </c>
      <c r="AX74" s="1071">
        <f t="shared" si="105"/>
        <v>116</v>
      </c>
      <c r="AY74" s="1068">
        <f t="shared" si="105"/>
        <v>70</v>
      </c>
      <c r="AZ74" s="1069">
        <f t="shared" si="105"/>
        <v>30</v>
      </c>
      <c r="BA74" s="1069">
        <f t="shared" si="105"/>
        <v>105</v>
      </c>
      <c r="BB74" s="1071">
        <f t="shared" si="105"/>
        <v>205</v>
      </c>
      <c r="BC74" s="1068">
        <f t="shared" si="105"/>
        <v>14</v>
      </c>
      <c r="BD74" s="1069">
        <f t="shared" si="105"/>
        <v>82</v>
      </c>
      <c r="BE74" s="1069">
        <f t="shared" si="105"/>
        <v>59</v>
      </c>
      <c r="BF74" s="1071">
        <f>SUM(BC74:BE74)</f>
        <v>155</v>
      </c>
      <c r="BG74" s="1068">
        <f t="shared" ref="BG74:BI76" si="106">SUM(BG18,BG35,BG52,BG69)</f>
        <v>8</v>
      </c>
      <c r="BH74" s="1069">
        <f t="shared" si="106"/>
        <v>39</v>
      </c>
      <c r="BI74" s="1069">
        <f t="shared" si="106"/>
        <v>45</v>
      </c>
      <c r="BJ74" s="1071">
        <f>SUM(BG74:BI74)</f>
        <v>92</v>
      </c>
      <c r="BK74" s="1068">
        <f t="shared" ref="BK74:BM76" si="107">SUM(BK18,BK35,BK52,BK69)</f>
        <v>10</v>
      </c>
      <c r="BL74" s="1069">
        <f t="shared" si="107"/>
        <v>33</v>
      </c>
      <c r="BM74" s="1069">
        <f t="shared" si="107"/>
        <v>56</v>
      </c>
      <c r="BN74" s="1071">
        <f>SUM(BK74:BM74)</f>
        <v>99</v>
      </c>
      <c r="BO74" s="1068">
        <f t="shared" ref="BO74:BQ74" si="108">SUM(BO18,BO35,BO52,BO69)</f>
        <v>11</v>
      </c>
      <c r="BP74" s="1069">
        <f t="shared" si="108"/>
        <v>35</v>
      </c>
      <c r="BQ74" s="1069">
        <f t="shared" si="108"/>
        <v>13</v>
      </c>
      <c r="BR74" s="1071">
        <f>SUM(BO74:BQ74)</f>
        <v>59</v>
      </c>
    </row>
    <row r="75" spans="1:70" ht="15" x14ac:dyDescent="0.2">
      <c r="A75" s="5540"/>
      <c r="B75" s="1072" t="s">
        <v>632</v>
      </c>
      <c r="C75" s="1338">
        <f t="shared" ref="C75:E76" si="109">+C19+C36+C53</f>
        <v>20</v>
      </c>
      <c r="D75" s="1339">
        <f t="shared" si="109"/>
        <v>57</v>
      </c>
      <c r="E75" s="1339">
        <f t="shared" si="109"/>
        <v>68</v>
      </c>
      <c r="F75" s="1340">
        <f t="shared" si="62"/>
        <v>145</v>
      </c>
      <c r="G75" s="1338">
        <f t="shared" ref="G75:I76" si="110">+G19+G36+G53</f>
        <v>25</v>
      </c>
      <c r="H75" s="1339">
        <f t="shared" si="110"/>
        <v>58</v>
      </c>
      <c r="I75" s="1339">
        <f t="shared" si="110"/>
        <v>49</v>
      </c>
      <c r="J75" s="1340">
        <f>SUM(G75:I75)</f>
        <v>132</v>
      </c>
      <c r="K75" s="1338">
        <f t="shared" ref="K75:M76" si="111">+K19+K36+K53</f>
        <v>31</v>
      </c>
      <c r="L75" s="1339">
        <f t="shared" si="111"/>
        <v>95</v>
      </c>
      <c r="M75" s="1339">
        <f t="shared" si="111"/>
        <v>73</v>
      </c>
      <c r="N75" s="1340">
        <f t="shared" si="64"/>
        <v>199</v>
      </c>
      <c r="O75" s="1338">
        <f t="shared" ref="O75:Q76" si="112">+O19+O36+O53</f>
        <v>46</v>
      </c>
      <c r="P75" s="1339">
        <f t="shared" si="112"/>
        <v>171</v>
      </c>
      <c r="Q75" s="1339">
        <f t="shared" si="112"/>
        <v>65</v>
      </c>
      <c r="R75" s="1340">
        <f t="shared" si="65"/>
        <v>282</v>
      </c>
      <c r="S75" s="1338">
        <f t="shared" ref="S75:AL75" si="113">S19+S36+S53</f>
        <v>69</v>
      </c>
      <c r="T75" s="1339">
        <f t="shared" si="113"/>
        <v>71</v>
      </c>
      <c r="U75" s="1339">
        <f t="shared" si="113"/>
        <v>73</v>
      </c>
      <c r="V75" s="1340">
        <f t="shared" si="113"/>
        <v>213</v>
      </c>
      <c r="W75" s="1338">
        <f t="shared" si="113"/>
        <v>54</v>
      </c>
      <c r="X75" s="1339">
        <f t="shared" si="113"/>
        <v>111</v>
      </c>
      <c r="Y75" s="1339">
        <f t="shared" si="113"/>
        <v>57</v>
      </c>
      <c r="Z75" s="1341">
        <f t="shared" si="113"/>
        <v>222</v>
      </c>
      <c r="AA75" s="1338">
        <f t="shared" si="113"/>
        <v>70</v>
      </c>
      <c r="AB75" s="1339">
        <f t="shared" si="113"/>
        <v>78</v>
      </c>
      <c r="AC75" s="1339">
        <f t="shared" si="113"/>
        <v>77</v>
      </c>
      <c r="AD75" s="1340">
        <f t="shared" si="113"/>
        <v>225</v>
      </c>
      <c r="AE75" s="1339">
        <f t="shared" si="113"/>
        <v>51</v>
      </c>
      <c r="AF75" s="1339">
        <f t="shared" si="113"/>
        <v>109</v>
      </c>
      <c r="AG75" s="1339">
        <f t="shared" si="113"/>
        <v>106</v>
      </c>
      <c r="AH75" s="1340">
        <f t="shared" si="113"/>
        <v>266</v>
      </c>
      <c r="AI75" s="1339">
        <f t="shared" si="113"/>
        <v>84</v>
      </c>
      <c r="AJ75" s="1339">
        <f t="shared" si="113"/>
        <v>120</v>
      </c>
      <c r="AK75" s="1339">
        <f t="shared" si="113"/>
        <v>75</v>
      </c>
      <c r="AL75" s="1341">
        <f t="shared" si="113"/>
        <v>279</v>
      </c>
      <c r="AM75" s="1073">
        <v>74</v>
      </c>
      <c r="AN75" s="1074">
        <v>100</v>
      </c>
      <c r="AO75" s="1074">
        <v>94</v>
      </c>
      <c r="AP75" s="1075">
        <v>268</v>
      </c>
      <c r="AQ75" s="1073">
        <f t="shared" ref="AQ75:BE75" si="114">SUM(AQ19,AQ36,AQ53)</f>
        <v>86</v>
      </c>
      <c r="AR75" s="1074">
        <f t="shared" si="114"/>
        <v>139</v>
      </c>
      <c r="AS75" s="1074">
        <f t="shared" si="114"/>
        <v>110</v>
      </c>
      <c r="AT75" s="1076">
        <f t="shared" si="114"/>
        <v>335</v>
      </c>
      <c r="AU75" s="1073">
        <f t="shared" si="114"/>
        <v>128</v>
      </c>
      <c r="AV75" s="1074">
        <f t="shared" si="114"/>
        <v>162</v>
      </c>
      <c r="AW75" s="1074">
        <f t="shared" si="114"/>
        <v>142</v>
      </c>
      <c r="AX75" s="1076">
        <f t="shared" si="114"/>
        <v>432</v>
      </c>
      <c r="AY75" s="1073">
        <f t="shared" si="114"/>
        <v>162</v>
      </c>
      <c r="AZ75" s="1074">
        <f t="shared" si="114"/>
        <v>166</v>
      </c>
      <c r="BA75" s="1074">
        <f t="shared" si="114"/>
        <v>137</v>
      </c>
      <c r="BB75" s="1076">
        <f t="shared" si="114"/>
        <v>465</v>
      </c>
      <c r="BC75" s="1073">
        <f t="shared" si="114"/>
        <v>100</v>
      </c>
      <c r="BD75" s="1074">
        <f t="shared" si="114"/>
        <v>99</v>
      </c>
      <c r="BE75" s="1074">
        <f t="shared" si="114"/>
        <v>147</v>
      </c>
      <c r="BF75" s="1076">
        <f>SUM(BC75:BE75)</f>
        <v>346</v>
      </c>
      <c r="BG75" s="1073">
        <f t="shared" si="106"/>
        <v>158</v>
      </c>
      <c r="BH75" s="1074">
        <f t="shared" si="106"/>
        <v>147</v>
      </c>
      <c r="BI75" s="1074">
        <f t="shared" si="106"/>
        <v>146</v>
      </c>
      <c r="BJ75" s="1076">
        <f>SUM(BG75:BI75)</f>
        <v>451</v>
      </c>
      <c r="BK75" s="1073">
        <f t="shared" si="107"/>
        <v>111</v>
      </c>
      <c r="BL75" s="1074">
        <f t="shared" si="107"/>
        <v>179</v>
      </c>
      <c r="BM75" s="1074">
        <f t="shared" si="107"/>
        <v>201</v>
      </c>
      <c r="BN75" s="1076">
        <f>SUM(BK75:BM75)</f>
        <v>491</v>
      </c>
      <c r="BO75" s="1073">
        <f t="shared" ref="BO75:BQ75" si="115">SUM(BO19,BO36,BO53,BO70)</f>
        <v>137</v>
      </c>
      <c r="BP75" s="1074">
        <f t="shared" si="115"/>
        <v>142</v>
      </c>
      <c r="BQ75" s="1074">
        <f t="shared" si="115"/>
        <v>149</v>
      </c>
      <c r="BR75" s="1076">
        <f>SUM(BO75:BQ75)</f>
        <v>428</v>
      </c>
    </row>
    <row r="76" spans="1:70" ht="15" x14ac:dyDescent="0.2">
      <c r="A76" s="5540"/>
      <c r="B76" s="1078" t="s">
        <v>633</v>
      </c>
      <c r="C76" s="1356">
        <f t="shared" si="109"/>
        <v>11</v>
      </c>
      <c r="D76" s="1357">
        <f t="shared" si="109"/>
        <v>12</v>
      </c>
      <c r="E76" s="1357">
        <f t="shared" si="109"/>
        <v>19</v>
      </c>
      <c r="F76" s="1358">
        <f t="shared" si="62"/>
        <v>42</v>
      </c>
      <c r="G76" s="1356">
        <f t="shared" si="110"/>
        <v>10</v>
      </c>
      <c r="H76" s="1357">
        <f t="shared" si="110"/>
        <v>17</v>
      </c>
      <c r="I76" s="1357">
        <f t="shared" si="110"/>
        <v>22</v>
      </c>
      <c r="J76" s="1358">
        <f>SUM(G76:I76)</f>
        <v>49</v>
      </c>
      <c r="K76" s="1356">
        <f t="shared" si="111"/>
        <v>18</v>
      </c>
      <c r="L76" s="1357">
        <f t="shared" si="111"/>
        <v>34</v>
      </c>
      <c r="M76" s="1357">
        <f t="shared" si="111"/>
        <v>19</v>
      </c>
      <c r="N76" s="1358">
        <f t="shared" si="64"/>
        <v>71</v>
      </c>
      <c r="O76" s="1356">
        <f t="shared" si="112"/>
        <v>25</v>
      </c>
      <c r="P76" s="1357">
        <f t="shared" si="112"/>
        <v>30</v>
      </c>
      <c r="Q76" s="1357">
        <f t="shared" si="112"/>
        <v>29</v>
      </c>
      <c r="R76" s="1358">
        <f t="shared" si="65"/>
        <v>84</v>
      </c>
      <c r="S76" s="1356">
        <f t="shared" ref="S76:AL76" si="116">S20+S37+S54</f>
        <v>22</v>
      </c>
      <c r="T76" s="1357">
        <f t="shared" si="116"/>
        <v>34</v>
      </c>
      <c r="U76" s="1357">
        <f t="shared" si="116"/>
        <v>45</v>
      </c>
      <c r="V76" s="1358">
        <f t="shared" si="116"/>
        <v>101</v>
      </c>
      <c r="W76" s="1356">
        <f t="shared" si="116"/>
        <v>36</v>
      </c>
      <c r="X76" s="1357">
        <f t="shared" si="116"/>
        <v>44</v>
      </c>
      <c r="Y76" s="1357">
        <f t="shared" si="116"/>
        <v>48</v>
      </c>
      <c r="Z76" s="1359">
        <f t="shared" si="116"/>
        <v>128</v>
      </c>
      <c r="AA76" s="1356">
        <f t="shared" si="116"/>
        <v>33</v>
      </c>
      <c r="AB76" s="1357">
        <f t="shared" si="116"/>
        <v>56</v>
      </c>
      <c r="AC76" s="1357">
        <f t="shared" si="116"/>
        <v>28</v>
      </c>
      <c r="AD76" s="1358">
        <f t="shared" si="116"/>
        <v>117</v>
      </c>
      <c r="AE76" s="1357">
        <f t="shared" si="116"/>
        <v>26</v>
      </c>
      <c r="AF76" s="1357">
        <f t="shared" si="116"/>
        <v>38</v>
      </c>
      <c r="AG76" s="1357">
        <f t="shared" si="116"/>
        <v>67</v>
      </c>
      <c r="AH76" s="1358">
        <f t="shared" si="116"/>
        <v>131</v>
      </c>
      <c r="AI76" s="1357">
        <f t="shared" si="116"/>
        <v>28</v>
      </c>
      <c r="AJ76" s="1357">
        <f t="shared" si="116"/>
        <v>57</v>
      </c>
      <c r="AK76" s="1357">
        <f t="shared" si="116"/>
        <v>52</v>
      </c>
      <c r="AL76" s="1359">
        <f t="shared" si="116"/>
        <v>137</v>
      </c>
      <c r="AM76" s="1087">
        <v>42</v>
      </c>
      <c r="AN76" s="1088">
        <v>46</v>
      </c>
      <c r="AO76" s="1088">
        <v>40</v>
      </c>
      <c r="AP76" s="1757">
        <v>128</v>
      </c>
      <c r="AQ76" s="1087">
        <f t="shared" ref="AQ76:BE76" si="117">SUM(AQ20,AQ37,AQ54)</f>
        <v>39</v>
      </c>
      <c r="AR76" s="1088">
        <f t="shared" si="117"/>
        <v>59</v>
      </c>
      <c r="AS76" s="1088">
        <f t="shared" si="117"/>
        <v>61</v>
      </c>
      <c r="AT76" s="1089">
        <f t="shared" si="117"/>
        <v>159</v>
      </c>
      <c r="AU76" s="1087">
        <f t="shared" si="117"/>
        <v>45</v>
      </c>
      <c r="AV76" s="1088">
        <f t="shared" si="117"/>
        <v>73</v>
      </c>
      <c r="AW76" s="1088">
        <f t="shared" si="117"/>
        <v>71</v>
      </c>
      <c r="AX76" s="1089">
        <f t="shared" si="117"/>
        <v>189</v>
      </c>
      <c r="AY76" s="1087">
        <f t="shared" si="117"/>
        <v>78</v>
      </c>
      <c r="AZ76" s="1088">
        <f t="shared" si="117"/>
        <v>65</v>
      </c>
      <c r="BA76" s="1088">
        <f t="shared" si="117"/>
        <v>48</v>
      </c>
      <c r="BB76" s="1089">
        <f t="shared" si="117"/>
        <v>191</v>
      </c>
      <c r="BC76" s="1087">
        <f t="shared" si="117"/>
        <v>45</v>
      </c>
      <c r="BD76" s="1088">
        <f t="shared" si="117"/>
        <v>46</v>
      </c>
      <c r="BE76" s="1088">
        <f t="shared" si="117"/>
        <v>71</v>
      </c>
      <c r="BF76" s="1089">
        <f>SUM(BC76:BE76)</f>
        <v>162</v>
      </c>
      <c r="BG76" s="1087">
        <f t="shared" si="106"/>
        <v>54</v>
      </c>
      <c r="BH76" s="1088">
        <f t="shared" si="106"/>
        <v>61</v>
      </c>
      <c r="BI76" s="1088">
        <f t="shared" si="106"/>
        <v>74</v>
      </c>
      <c r="BJ76" s="1089">
        <f>SUM(BG76:BI76)</f>
        <v>189</v>
      </c>
      <c r="BK76" s="1087">
        <f t="shared" si="107"/>
        <v>59</v>
      </c>
      <c r="BL76" s="1088">
        <f t="shared" si="107"/>
        <v>80</v>
      </c>
      <c r="BM76" s="1088">
        <f t="shared" si="107"/>
        <v>86</v>
      </c>
      <c r="BN76" s="1089">
        <f>SUM(BK76:BM76)</f>
        <v>225</v>
      </c>
      <c r="BO76" s="1087">
        <f t="shared" ref="BO76:BQ76" si="118">SUM(BO20,BO37,BO54,BO71)</f>
        <v>61</v>
      </c>
      <c r="BP76" s="1088">
        <f t="shared" si="118"/>
        <v>59</v>
      </c>
      <c r="BQ76" s="1088">
        <f t="shared" si="118"/>
        <v>52</v>
      </c>
      <c r="BR76" s="1089">
        <f>SUM(BO76:BQ76)</f>
        <v>172</v>
      </c>
    </row>
    <row r="77" spans="1:70" s="224" customFormat="1" ht="15" x14ac:dyDescent="0.2">
      <c r="A77" s="5541"/>
      <c r="B77" s="573" t="s">
        <v>12</v>
      </c>
      <c r="C77" s="1189">
        <f t="shared" ref="C77:I77" si="119">SUM(C74:C76)</f>
        <v>32</v>
      </c>
      <c r="D77" s="1190">
        <f t="shared" si="119"/>
        <v>69</v>
      </c>
      <c r="E77" s="1190">
        <f t="shared" si="119"/>
        <v>132</v>
      </c>
      <c r="F77" s="1191">
        <f t="shared" si="119"/>
        <v>233</v>
      </c>
      <c r="G77" s="1189">
        <f t="shared" si="119"/>
        <v>45</v>
      </c>
      <c r="H77" s="1190">
        <f t="shared" si="119"/>
        <v>82</v>
      </c>
      <c r="I77" s="1190">
        <f t="shared" si="119"/>
        <v>86</v>
      </c>
      <c r="J77" s="1191">
        <f>SUM(G77:I77)</f>
        <v>213</v>
      </c>
      <c r="K77" s="1189">
        <f>SUM(K74:K76)</f>
        <v>60</v>
      </c>
      <c r="L77" s="1190">
        <f>SUM(L74:L76)</f>
        <v>151</v>
      </c>
      <c r="M77" s="1190">
        <f>SUM(M74:M76)</f>
        <v>128</v>
      </c>
      <c r="N77" s="1191">
        <f t="shared" si="64"/>
        <v>339</v>
      </c>
      <c r="O77" s="1189">
        <f>SUM(O74:O76)</f>
        <v>80</v>
      </c>
      <c r="P77" s="1190">
        <f>SUM(P74:P76)</f>
        <v>397</v>
      </c>
      <c r="Q77" s="1190">
        <f>SUM(Q74:Q76)</f>
        <v>138</v>
      </c>
      <c r="R77" s="1191">
        <f t="shared" si="65"/>
        <v>615</v>
      </c>
      <c r="S77" s="1189">
        <f>SUM(S74:S76)</f>
        <v>108</v>
      </c>
      <c r="T77" s="1190">
        <f>SUM(T74:T76)</f>
        <v>134</v>
      </c>
      <c r="U77" s="1190">
        <f>SUM(U74:U76)</f>
        <v>147</v>
      </c>
      <c r="V77" s="1191">
        <f>SUM(V74:V76)</f>
        <v>389</v>
      </c>
      <c r="W77" s="1189">
        <f t="shared" ref="W77:AL77" si="120">SUM(W74:W76)</f>
        <v>102</v>
      </c>
      <c r="X77" s="1190">
        <f t="shared" si="120"/>
        <v>219</v>
      </c>
      <c r="Y77" s="1190">
        <f t="shared" si="120"/>
        <v>154</v>
      </c>
      <c r="Z77" s="1190">
        <f t="shared" si="120"/>
        <v>475</v>
      </c>
      <c r="AA77" s="1189">
        <f t="shared" si="120"/>
        <v>116</v>
      </c>
      <c r="AB77" s="1190">
        <f t="shared" si="120"/>
        <v>258</v>
      </c>
      <c r="AC77" s="1190">
        <f t="shared" si="120"/>
        <v>127</v>
      </c>
      <c r="AD77" s="1191">
        <f t="shared" si="120"/>
        <v>501</v>
      </c>
      <c r="AE77" s="1190">
        <f t="shared" si="120"/>
        <v>77</v>
      </c>
      <c r="AF77" s="1190">
        <f t="shared" si="120"/>
        <v>201</v>
      </c>
      <c r="AG77" s="1190">
        <f t="shared" si="120"/>
        <v>243</v>
      </c>
      <c r="AH77" s="1191">
        <f t="shared" si="120"/>
        <v>521</v>
      </c>
      <c r="AI77" s="1190">
        <f t="shared" si="120"/>
        <v>151</v>
      </c>
      <c r="AJ77" s="1190">
        <f t="shared" si="120"/>
        <v>227</v>
      </c>
      <c r="AK77" s="1190">
        <f t="shared" si="120"/>
        <v>162</v>
      </c>
      <c r="AL77" s="1190">
        <f t="shared" si="120"/>
        <v>540</v>
      </c>
      <c r="AM77" s="574">
        <v>185</v>
      </c>
      <c r="AN77" s="575">
        <v>178</v>
      </c>
      <c r="AO77" s="575">
        <v>199</v>
      </c>
      <c r="AP77" s="575">
        <v>562</v>
      </c>
      <c r="AQ77" s="574">
        <f t="shared" ref="AQ77:BB77" si="121">SUM(AQ74:AQ76)</f>
        <v>145</v>
      </c>
      <c r="AR77" s="575">
        <f t="shared" si="121"/>
        <v>236</v>
      </c>
      <c r="AS77" s="575">
        <f t="shared" si="121"/>
        <v>246</v>
      </c>
      <c r="AT77" s="576">
        <f t="shared" si="121"/>
        <v>627</v>
      </c>
      <c r="AU77" s="574">
        <f t="shared" si="121"/>
        <v>181</v>
      </c>
      <c r="AV77" s="575">
        <f t="shared" si="121"/>
        <v>271</v>
      </c>
      <c r="AW77" s="575">
        <f t="shared" si="121"/>
        <v>285</v>
      </c>
      <c r="AX77" s="576">
        <f t="shared" si="121"/>
        <v>737</v>
      </c>
      <c r="AY77" s="574">
        <f t="shared" si="121"/>
        <v>310</v>
      </c>
      <c r="AZ77" s="575">
        <f t="shared" si="121"/>
        <v>261</v>
      </c>
      <c r="BA77" s="575">
        <f t="shared" si="121"/>
        <v>290</v>
      </c>
      <c r="BB77" s="576">
        <f t="shared" si="121"/>
        <v>861</v>
      </c>
      <c r="BC77" s="574">
        <f t="shared" ref="BC77:BJ77" si="122">SUM(BC74:BC76)</f>
        <v>159</v>
      </c>
      <c r="BD77" s="575">
        <f t="shared" si="122"/>
        <v>227</v>
      </c>
      <c r="BE77" s="575">
        <f t="shared" si="122"/>
        <v>277</v>
      </c>
      <c r="BF77" s="576">
        <f t="shared" si="122"/>
        <v>663</v>
      </c>
      <c r="BG77" s="574">
        <f t="shared" si="122"/>
        <v>220</v>
      </c>
      <c r="BH77" s="575">
        <f t="shared" si="122"/>
        <v>247</v>
      </c>
      <c r="BI77" s="575">
        <f t="shared" si="122"/>
        <v>265</v>
      </c>
      <c r="BJ77" s="576">
        <f t="shared" si="122"/>
        <v>732</v>
      </c>
      <c r="BK77" s="574">
        <f t="shared" ref="BK77:BR77" si="123">SUM(BK74:BK76)</f>
        <v>180</v>
      </c>
      <c r="BL77" s="575">
        <f t="shared" si="123"/>
        <v>292</v>
      </c>
      <c r="BM77" s="575">
        <f t="shared" si="123"/>
        <v>343</v>
      </c>
      <c r="BN77" s="576">
        <f t="shared" si="123"/>
        <v>815</v>
      </c>
      <c r="BO77" s="574">
        <f t="shared" si="123"/>
        <v>209</v>
      </c>
      <c r="BP77" s="575">
        <f t="shared" si="123"/>
        <v>236</v>
      </c>
      <c r="BQ77" s="575">
        <f t="shared" si="123"/>
        <v>214</v>
      </c>
      <c r="BR77" s="576">
        <f t="shared" si="123"/>
        <v>659</v>
      </c>
    </row>
    <row r="78" spans="1:70" x14ac:dyDescent="0.2">
      <c r="A78" s="1057" t="s">
        <v>1321</v>
      </c>
      <c r="B78" s="641"/>
      <c r="C78" s="552"/>
      <c r="D78" s="552"/>
      <c r="E78" s="552"/>
      <c r="F78" s="552"/>
      <c r="G78" s="552"/>
      <c r="H78" s="552"/>
      <c r="I78" s="552"/>
      <c r="J78" s="552"/>
      <c r="K78" s="552"/>
      <c r="L78" s="552"/>
      <c r="M78" s="552"/>
      <c r="N78" s="552"/>
      <c r="O78" s="552"/>
      <c r="P78" s="552"/>
      <c r="Q78" s="552"/>
      <c r="R78" s="552"/>
      <c r="S78" s="552"/>
      <c r="T78" s="552"/>
      <c r="U78" s="552"/>
      <c r="V78" s="552"/>
      <c r="W78" s="216"/>
      <c r="X78" s="216"/>
      <c r="Y78" s="216"/>
      <c r="Z78" s="223"/>
      <c r="AA78" s="216"/>
      <c r="AB78" s="216"/>
      <c r="AC78" s="216"/>
      <c r="AD78" s="223"/>
      <c r="AE78" s="216"/>
      <c r="AF78" s="216"/>
      <c r="AG78" s="216"/>
      <c r="AH78" s="223"/>
      <c r="AI78" s="216"/>
      <c r="AJ78" s="216"/>
      <c r="AK78" s="216"/>
      <c r="AL78" s="223"/>
    </row>
    <row r="79" spans="1:70" s="212" customFormat="1" x14ac:dyDescent="0.2">
      <c r="A79" s="240" t="s">
        <v>0</v>
      </c>
      <c r="B79" s="240"/>
      <c r="C79" s="240"/>
      <c r="D79" s="240"/>
      <c r="E79" s="240"/>
      <c r="F79" s="240"/>
      <c r="G79" s="240"/>
      <c r="H79" s="240"/>
      <c r="I79" s="240"/>
      <c r="J79" s="240"/>
      <c r="K79" s="240"/>
      <c r="L79" s="240"/>
      <c r="M79" s="240"/>
      <c r="N79" s="240"/>
      <c r="O79" s="240"/>
      <c r="P79" s="240"/>
      <c r="Q79" s="240"/>
      <c r="R79" s="240"/>
      <c r="S79" s="1046"/>
      <c r="T79" s="1046"/>
      <c r="U79" s="1046"/>
      <c r="V79" s="1046"/>
      <c r="W79" s="225"/>
      <c r="X79" s="225"/>
      <c r="Y79" s="225"/>
      <c r="Z79" s="226"/>
      <c r="AA79" s="225"/>
      <c r="AB79" s="225"/>
      <c r="AC79" s="225"/>
      <c r="AD79" s="226"/>
      <c r="AE79" s="225"/>
      <c r="AF79" s="225"/>
      <c r="AG79" s="225"/>
      <c r="AH79" s="226"/>
      <c r="AI79" s="225"/>
      <c r="AJ79" s="225"/>
      <c r="AK79" s="225"/>
      <c r="AL79" s="226"/>
    </row>
    <row r="83" spans="3:3" x14ac:dyDescent="0.2">
      <c r="C83" s="4132">
        <v>1999</v>
      </c>
    </row>
    <row r="84" spans="3:3" x14ac:dyDescent="0.2">
      <c r="C84" s="4132">
        <v>2000</v>
      </c>
    </row>
    <row r="85" spans="3:3" x14ac:dyDescent="0.2">
      <c r="C85" s="4132">
        <v>2001</v>
      </c>
    </row>
    <row r="86" spans="3:3" x14ac:dyDescent="0.2">
      <c r="C86" s="4132">
        <v>2002</v>
      </c>
    </row>
    <row r="87" spans="3:3" x14ac:dyDescent="0.2">
      <c r="C87" s="4132">
        <v>2003</v>
      </c>
    </row>
    <row r="88" spans="3:3" x14ac:dyDescent="0.2">
      <c r="C88" s="4132">
        <v>2004</v>
      </c>
    </row>
    <row r="89" spans="3:3" x14ac:dyDescent="0.2">
      <c r="C89" s="4132">
        <v>2005</v>
      </c>
    </row>
    <row r="90" spans="3:3" x14ac:dyDescent="0.2">
      <c r="C90" s="4132">
        <v>2006</v>
      </c>
    </row>
    <row r="91" spans="3:3" x14ac:dyDescent="0.2">
      <c r="C91" s="4132">
        <v>2007</v>
      </c>
    </row>
    <row r="92" spans="3:3" x14ac:dyDescent="0.2">
      <c r="C92" s="4132">
        <v>2008</v>
      </c>
    </row>
    <row r="93" spans="3:3" x14ac:dyDescent="0.2">
      <c r="C93" s="4132">
        <v>2009</v>
      </c>
    </row>
    <row r="94" spans="3:3" x14ac:dyDescent="0.2">
      <c r="C94" s="4132">
        <v>2010</v>
      </c>
    </row>
    <row r="95" spans="3:3" x14ac:dyDescent="0.2">
      <c r="C95" s="4132">
        <v>2011</v>
      </c>
    </row>
    <row r="96" spans="3:3" x14ac:dyDescent="0.2">
      <c r="C96" s="4132">
        <v>2012</v>
      </c>
    </row>
    <row r="97" spans="3:3" x14ac:dyDescent="0.2">
      <c r="C97" s="4132">
        <v>2013</v>
      </c>
    </row>
    <row r="98" spans="3:3" x14ac:dyDescent="0.2">
      <c r="C98" s="4132">
        <v>2014</v>
      </c>
    </row>
    <row r="99" spans="3:3" x14ac:dyDescent="0.2">
      <c r="C99" s="4132">
        <v>2015</v>
      </c>
    </row>
    <row r="100" spans="3:3" x14ac:dyDescent="0.2">
      <c r="C100" s="4132"/>
    </row>
    <row r="104" spans="3:3" x14ac:dyDescent="0.2">
      <c r="C104" s="3985" t="s">
        <v>161</v>
      </c>
    </row>
    <row r="105" spans="3:3" x14ac:dyDescent="0.2">
      <c r="C105" s="3985" t="s">
        <v>410</v>
      </c>
    </row>
    <row r="106" spans="3:3" x14ac:dyDescent="0.2">
      <c r="C106" s="3985" t="s">
        <v>162</v>
      </c>
    </row>
    <row r="107" spans="3:3" x14ac:dyDescent="0.2">
      <c r="C107" s="3985" t="s">
        <v>163</v>
      </c>
    </row>
    <row r="108" spans="3:3" x14ac:dyDescent="0.2">
      <c r="C108" s="3985"/>
    </row>
    <row r="109" spans="3:3" x14ac:dyDescent="0.2">
      <c r="C109" s="3985"/>
    </row>
    <row r="110" spans="3:3" x14ac:dyDescent="0.2">
      <c r="C110" s="3985"/>
    </row>
    <row r="111" spans="3:3" x14ac:dyDescent="0.2">
      <c r="C111" s="3985"/>
    </row>
    <row r="112" spans="3:3" x14ac:dyDescent="0.2">
      <c r="C112" s="3985" t="s">
        <v>631</v>
      </c>
    </row>
    <row r="113" spans="3:3" x14ac:dyDescent="0.2">
      <c r="C113" s="3985" t="s">
        <v>632</v>
      </c>
    </row>
    <row r="114" spans="3:3" x14ac:dyDescent="0.2">
      <c r="C114" s="3985" t="s">
        <v>633</v>
      </c>
    </row>
  </sheetData>
  <mergeCells count="37">
    <mergeCell ref="BO3:BR3"/>
    <mergeCell ref="A74:A77"/>
    <mergeCell ref="A57:A60"/>
    <mergeCell ref="A61:A64"/>
    <mergeCell ref="A65:A68"/>
    <mergeCell ref="A69:A72"/>
    <mergeCell ref="A52:A55"/>
    <mergeCell ref="AA3:AD3"/>
    <mergeCell ref="AE3:AH3"/>
    <mergeCell ref="AI3:AL3"/>
    <mergeCell ref="AM3:AP3"/>
    <mergeCell ref="A3:A4"/>
    <mergeCell ref="B3:B4"/>
    <mergeCell ref="C3:F3"/>
    <mergeCell ref="G3:J3"/>
    <mergeCell ref="K3:N3"/>
    <mergeCell ref="A35:A38"/>
    <mergeCell ref="A14:A17"/>
    <mergeCell ref="A18:A21"/>
    <mergeCell ref="A23:A26"/>
    <mergeCell ref="A27:A30"/>
    <mergeCell ref="A1:B1"/>
    <mergeCell ref="BK3:BN3"/>
    <mergeCell ref="A40:A43"/>
    <mergeCell ref="A44:A47"/>
    <mergeCell ref="A48:A51"/>
    <mergeCell ref="BG3:BJ3"/>
    <mergeCell ref="AQ3:AT3"/>
    <mergeCell ref="A31:A34"/>
    <mergeCell ref="AU3:AX3"/>
    <mergeCell ref="AY3:BB3"/>
    <mergeCell ref="BC3:BF3"/>
    <mergeCell ref="A6:A9"/>
    <mergeCell ref="A10:A13"/>
    <mergeCell ref="S3:V3"/>
    <mergeCell ref="W3:Z3"/>
    <mergeCell ref="O3:R3"/>
  </mergeCells>
  <printOptions horizontalCentered="1" verticalCentered="1"/>
  <pageMargins left="0.39370078740157483" right="0.39370078740157483" top="0.27559055118110237" bottom="0.19685039370078741" header="0" footer="0.31496062992125984"/>
  <pageSetup scale="50" pageOrder="overThenDown" orientation="landscape" horizontalDpi="1200" verticalDpi="1200" r:id="rId1"/>
  <headerFooter alignWithMargins="0"/>
  <rowBreaks count="1" manualBreakCount="1">
    <brk id="79" max="65" man="1"/>
  </rowBreaks>
  <colBreaks count="1" manualBreakCount="1">
    <brk id="34" max="124" man="1"/>
  </colBreaks>
  <ignoredErrors>
    <ignoredError sqref="F9:R38 F74:N76 J77:R77 R55 AX74:BF77 AX9:BF55 F43:N55 BJ60:BJ64 BJ43:BJ51 BJ26:BJ30 BJ9:BJ17 BJ66:BJ68 BN9:BN17 BJ18:BJ20 BJ69:BJ76 BJ52:BJ54 BN43:BN51 BN60:BN68 BN41 BN26 BN18:BN20 BN52:BN54 BN69:BN76 BR60:BR68 BN30" formula="1"/>
    <ignoredError sqref="BL7 BK40:BK41 BM7:BM12 BM40:BM41 BO40:BR40 BO41:BQ51 BO7:BR8 BO9:BQ17 BQ24:BR25 BQ26:BQ30 BP67:BQ67" formulaRange="1"/>
    <ignoredError sqref="BR41:BR51 BR9:BR17 BR26:BR30" formula="1" formulaRange="1"/>
  </ignoredError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K148"/>
  <sheetViews>
    <sheetView zoomScaleNormal="100" workbookViewId="0">
      <pane xSplit="3" ySplit="3" topLeftCell="D128" activePane="bottomRight" state="frozen"/>
      <selection pane="topRight" activeCell="E1" sqref="E1"/>
      <selection pane="bottomLeft" activeCell="A5" sqref="A5"/>
      <selection pane="bottomRight" activeCell="L3" sqref="L3"/>
    </sheetView>
  </sheetViews>
  <sheetFormatPr baseColWidth="10" defaultRowHeight="12.75" x14ac:dyDescent="0.2"/>
  <cols>
    <col min="1" max="1" width="8" bestFit="1" customWidth="1"/>
    <col min="2" max="2" width="9.28515625" style="217" bestFit="1" customWidth="1"/>
    <col min="3" max="3" width="16.5703125" style="228" bestFit="1" customWidth="1"/>
    <col min="4" max="4" width="65.42578125" style="209" customWidth="1"/>
    <col min="5" max="5" width="11.42578125" style="209" customWidth="1"/>
    <col min="6" max="6" width="11.42578125" style="209"/>
    <col min="258" max="258" width="10.140625" customWidth="1"/>
    <col min="259" max="259" width="16.5703125" bestFit="1" customWidth="1"/>
    <col min="260" max="260" width="103" customWidth="1"/>
    <col min="261" max="261" width="11.42578125" customWidth="1"/>
    <col min="514" max="514" width="10.140625" customWidth="1"/>
    <col min="515" max="515" width="16.5703125" bestFit="1" customWidth="1"/>
    <col min="516" max="516" width="103" customWidth="1"/>
    <col min="517" max="517" width="11.42578125" customWidth="1"/>
    <col min="770" max="770" width="10.140625" customWidth="1"/>
    <col min="771" max="771" width="16.5703125" bestFit="1" customWidth="1"/>
    <col min="772" max="772" width="103" customWidth="1"/>
    <col min="773" max="773" width="11.42578125" customWidth="1"/>
    <col min="1026" max="1026" width="10.140625" customWidth="1"/>
    <col min="1027" max="1027" width="16.5703125" bestFit="1" customWidth="1"/>
    <col min="1028" max="1028" width="103" customWidth="1"/>
    <col min="1029" max="1029" width="11.42578125" customWidth="1"/>
    <col min="1282" max="1282" width="10.140625" customWidth="1"/>
    <col min="1283" max="1283" width="16.5703125" bestFit="1" customWidth="1"/>
    <col min="1284" max="1284" width="103" customWidth="1"/>
    <col min="1285" max="1285" width="11.42578125" customWidth="1"/>
    <col min="1538" max="1538" width="10.140625" customWidth="1"/>
    <col min="1539" max="1539" width="16.5703125" bestFit="1" customWidth="1"/>
    <col min="1540" max="1540" width="103" customWidth="1"/>
    <col min="1541" max="1541" width="11.42578125" customWidth="1"/>
    <col min="1794" max="1794" width="10.140625" customWidth="1"/>
    <col min="1795" max="1795" width="16.5703125" bestFit="1" customWidth="1"/>
    <col min="1796" max="1796" width="103" customWidth="1"/>
    <col min="1797" max="1797" width="11.42578125" customWidth="1"/>
    <col min="2050" max="2050" width="10.140625" customWidth="1"/>
    <col min="2051" max="2051" width="16.5703125" bestFit="1" customWidth="1"/>
    <col min="2052" max="2052" width="103" customWidth="1"/>
    <col min="2053" max="2053" width="11.42578125" customWidth="1"/>
    <col min="2306" max="2306" width="10.140625" customWidth="1"/>
    <col min="2307" max="2307" width="16.5703125" bestFit="1" customWidth="1"/>
    <col min="2308" max="2308" width="103" customWidth="1"/>
    <col min="2309" max="2309" width="11.42578125" customWidth="1"/>
    <col min="2562" max="2562" width="10.140625" customWidth="1"/>
    <col min="2563" max="2563" width="16.5703125" bestFit="1" customWidth="1"/>
    <col min="2564" max="2564" width="103" customWidth="1"/>
    <col min="2565" max="2565" width="11.42578125" customWidth="1"/>
    <col min="2818" max="2818" width="10.140625" customWidth="1"/>
    <col min="2819" max="2819" width="16.5703125" bestFit="1" customWidth="1"/>
    <col min="2820" max="2820" width="103" customWidth="1"/>
    <col min="2821" max="2821" width="11.42578125" customWidth="1"/>
    <col min="3074" max="3074" width="10.140625" customWidth="1"/>
    <col min="3075" max="3075" width="16.5703125" bestFit="1" customWidth="1"/>
    <col min="3076" max="3076" width="103" customWidth="1"/>
    <col min="3077" max="3077" width="11.42578125" customWidth="1"/>
    <col min="3330" max="3330" width="10.140625" customWidth="1"/>
    <col min="3331" max="3331" width="16.5703125" bestFit="1" customWidth="1"/>
    <col min="3332" max="3332" width="103" customWidth="1"/>
    <col min="3333" max="3333" width="11.42578125" customWidth="1"/>
    <col min="3586" max="3586" width="10.140625" customWidth="1"/>
    <col min="3587" max="3587" width="16.5703125" bestFit="1" customWidth="1"/>
    <col min="3588" max="3588" width="103" customWidth="1"/>
    <col min="3589" max="3589" width="11.42578125" customWidth="1"/>
    <col min="3842" max="3842" width="10.140625" customWidth="1"/>
    <col min="3843" max="3843" width="16.5703125" bestFit="1" customWidth="1"/>
    <col min="3844" max="3844" width="103" customWidth="1"/>
    <col min="3845" max="3845" width="11.42578125" customWidth="1"/>
    <col min="4098" max="4098" width="10.140625" customWidth="1"/>
    <col min="4099" max="4099" width="16.5703125" bestFit="1" customWidth="1"/>
    <col min="4100" max="4100" width="103" customWidth="1"/>
    <col min="4101" max="4101" width="11.42578125" customWidth="1"/>
    <col min="4354" max="4354" width="10.140625" customWidth="1"/>
    <col min="4355" max="4355" width="16.5703125" bestFit="1" customWidth="1"/>
    <col min="4356" max="4356" width="103" customWidth="1"/>
    <col min="4357" max="4357" width="11.42578125" customWidth="1"/>
    <col min="4610" max="4610" width="10.140625" customWidth="1"/>
    <col min="4611" max="4611" width="16.5703125" bestFit="1" customWidth="1"/>
    <col min="4612" max="4612" width="103" customWidth="1"/>
    <col min="4613" max="4613" width="11.42578125" customWidth="1"/>
    <col min="4866" max="4866" width="10.140625" customWidth="1"/>
    <col min="4867" max="4867" width="16.5703125" bestFit="1" customWidth="1"/>
    <col min="4868" max="4868" width="103" customWidth="1"/>
    <col min="4869" max="4869" width="11.42578125" customWidth="1"/>
    <col min="5122" max="5122" width="10.140625" customWidth="1"/>
    <col min="5123" max="5123" width="16.5703125" bestFit="1" customWidth="1"/>
    <col min="5124" max="5124" width="103" customWidth="1"/>
    <col min="5125" max="5125" width="11.42578125" customWidth="1"/>
    <col min="5378" max="5378" width="10.140625" customWidth="1"/>
    <col min="5379" max="5379" width="16.5703125" bestFit="1" customWidth="1"/>
    <col min="5380" max="5380" width="103" customWidth="1"/>
    <col min="5381" max="5381" width="11.42578125" customWidth="1"/>
    <col min="5634" max="5634" width="10.140625" customWidth="1"/>
    <col min="5635" max="5635" width="16.5703125" bestFit="1" customWidth="1"/>
    <col min="5636" max="5636" width="103" customWidth="1"/>
    <col min="5637" max="5637" width="11.42578125" customWidth="1"/>
    <col min="5890" max="5890" width="10.140625" customWidth="1"/>
    <col min="5891" max="5891" width="16.5703125" bestFit="1" customWidth="1"/>
    <col min="5892" max="5892" width="103" customWidth="1"/>
    <col min="5893" max="5893" width="11.42578125" customWidth="1"/>
    <col min="6146" max="6146" width="10.140625" customWidth="1"/>
    <col min="6147" max="6147" width="16.5703125" bestFit="1" customWidth="1"/>
    <col min="6148" max="6148" width="103" customWidth="1"/>
    <col min="6149" max="6149" width="11.42578125" customWidth="1"/>
    <col min="6402" max="6402" width="10.140625" customWidth="1"/>
    <col min="6403" max="6403" width="16.5703125" bestFit="1" customWidth="1"/>
    <col min="6404" max="6404" width="103" customWidth="1"/>
    <col min="6405" max="6405" width="11.42578125" customWidth="1"/>
    <col min="6658" max="6658" width="10.140625" customWidth="1"/>
    <col min="6659" max="6659" width="16.5703125" bestFit="1" customWidth="1"/>
    <col min="6660" max="6660" width="103" customWidth="1"/>
    <col min="6661" max="6661" width="11.42578125" customWidth="1"/>
    <col min="6914" max="6914" width="10.140625" customWidth="1"/>
    <col min="6915" max="6915" width="16.5703125" bestFit="1" customWidth="1"/>
    <col min="6916" max="6916" width="103" customWidth="1"/>
    <col min="6917" max="6917" width="11.42578125" customWidth="1"/>
    <col min="7170" max="7170" width="10.140625" customWidth="1"/>
    <col min="7171" max="7171" width="16.5703125" bestFit="1" customWidth="1"/>
    <col min="7172" max="7172" width="103" customWidth="1"/>
    <col min="7173" max="7173" width="11.42578125" customWidth="1"/>
    <col min="7426" max="7426" width="10.140625" customWidth="1"/>
    <col min="7427" max="7427" width="16.5703125" bestFit="1" customWidth="1"/>
    <col min="7428" max="7428" width="103" customWidth="1"/>
    <col min="7429" max="7429" width="11.42578125" customWidth="1"/>
    <col min="7682" max="7682" width="10.140625" customWidth="1"/>
    <col min="7683" max="7683" width="16.5703125" bestFit="1" customWidth="1"/>
    <col min="7684" max="7684" width="103" customWidth="1"/>
    <col min="7685" max="7685" width="11.42578125" customWidth="1"/>
    <col min="7938" max="7938" width="10.140625" customWidth="1"/>
    <col min="7939" max="7939" width="16.5703125" bestFit="1" customWidth="1"/>
    <col min="7940" max="7940" width="103" customWidth="1"/>
    <col min="7941" max="7941" width="11.42578125" customWidth="1"/>
    <col min="8194" max="8194" width="10.140625" customWidth="1"/>
    <col min="8195" max="8195" width="16.5703125" bestFit="1" customWidth="1"/>
    <col min="8196" max="8196" width="103" customWidth="1"/>
    <col min="8197" max="8197" width="11.42578125" customWidth="1"/>
    <col min="8450" max="8450" width="10.140625" customWidth="1"/>
    <col min="8451" max="8451" width="16.5703125" bestFit="1" customWidth="1"/>
    <col min="8452" max="8452" width="103" customWidth="1"/>
    <col min="8453" max="8453" width="11.42578125" customWidth="1"/>
    <col min="8706" max="8706" width="10.140625" customWidth="1"/>
    <col min="8707" max="8707" width="16.5703125" bestFit="1" customWidth="1"/>
    <col min="8708" max="8708" width="103" customWidth="1"/>
    <col min="8709" max="8709" width="11.42578125" customWidth="1"/>
    <col min="8962" max="8962" width="10.140625" customWidth="1"/>
    <col min="8963" max="8963" width="16.5703125" bestFit="1" customWidth="1"/>
    <col min="8964" max="8964" width="103" customWidth="1"/>
    <col min="8965" max="8965" width="11.42578125" customWidth="1"/>
    <col min="9218" max="9218" width="10.140625" customWidth="1"/>
    <col min="9219" max="9219" width="16.5703125" bestFit="1" customWidth="1"/>
    <col min="9220" max="9220" width="103" customWidth="1"/>
    <col min="9221" max="9221" width="11.42578125" customWidth="1"/>
    <col min="9474" max="9474" width="10.140625" customWidth="1"/>
    <col min="9475" max="9475" width="16.5703125" bestFit="1" customWidth="1"/>
    <col min="9476" max="9476" width="103" customWidth="1"/>
    <col min="9477" max="9477" width="11.42578125" customWidth="1"/>
    <col min="9730" max="9730" width="10.140625" customWidth="1"/>
    <col min="9731" max="9731" width="16.5703125" bestFit="1" customWidth="1"/>
    <col min="9732" max="9732" width="103" customWidth="1"/>
    <col min="9733" max="9733" width="11.42578125" customWidth="1"/>
    <col min="9986" max="9986" width="10.140625" customWidth="1"/>
    <col min="9987" max="9987" width="16.5703125" bestFit="1" customWidth="1"/>
    <col min="9988" max="9988" width="103" customWidth="1"/>
    <col min="9989" max="9989" width="11.42578125" customWidth="1"/>
    <col min="10242" max="10242" width="10.140625" customWidth="1"/>
    <col min="10243" max="10243" width="16.5703125" bestFit="1" customWidth="1"/>
    <col min="10244" max="10244" width="103" customWidth="1"/>
    <col min="10245" max="10245" width="11.42578125" customWidth="1"/>
    <col min="10498" max="10498" width="10.140625" customWidth="1"/>
    <col min="10499" max="10499" width="16.5703125" bestFit="1" customWidth="1"/>
    <col min="10500" max="10500" width="103" customWidth="1"/>
    <col min="10501" max="10501" width="11.42578125" customWidth="1"/>
    <col min="10754" max="10754" width="10.140625" customWidth="1"/>
    <col min="10755" max="10755" width="16.5703125" bestFit="1" customWidth="1"/>
    <col min="10756" max="10756" width="103" customWidth="1"/>
    <col min="10757" max="10757" width="11.42578125" customWidth="1"/>
    <col min="11010" max="11010" width="10.140625" customWidth="1"/>
    <col min="11011" max="11011" width="16.5703125" bestFit="1" customWidth="1"/>
    <col min="11012" max="11012" width="103" customWidth="1"/>
    <col min="11013" max="11013" width="11.42578125" customWidth="1"/>
    <col min="11266" max="11266" width="10.140625" customWidth="1"/>
    <col min="11267" max="11267" width="16.5703125" bestFit="1" customWidth="1"/>
    <col min="11268" max="11268" width="103" customWidth="1"/>
    <col min="11269" max="11269" width="11.42578125" customWidth="1"/>
    <col min="11522" max="11522" width="10.140625" customWidth="1"/>
    <col min="11523" max="11523" width="16.5703125" bestFit="1" customWidth="1"/>
    <col min="11524" max="11524" width="103" customWidth="1"/>
    <col min="11525" max="11525" width="11.42578125" customWidth="1"/>
    <col min="11778" max="11778" width="10.140625" customWidth="1"/>
    <col min="11779" max="11779" width="16.5703125" bestFit="1" customWidth="1"/>
    <col min="11780" max="11780" width="103" customWidth="1"/>
    <col min="11781" max="11781" width="11.42578125" customWidth="1"/>
    <col min="12034" max="12034" width="10.140625" customWidth="1"/>
    <col min="12035" max="12035" width="16.5703125" bestFit="1" customWidth="1"/>
    <col min="12036" max="12036" width="103" customWidth="1"/>
    <col min="12037" max="12037" width="11.42578125" customWidth="1"/>
    <col min="12290" max="12290" width="10.140625" customWidth="1"/>
    <col min="12291" max="12291" width="16.5703125" bestFit="1" customWidth="1"/>
    <col min="12292" max="12292" width="103" customWidth="1"/>
    <col min="12293" max="12293" width="11.42578125" customWidth="1"/>
    <col min="12546" max="12546" width="10.140625" customWidth="1"/>
    <col min="12547" max="12547" width="16.5703125" bestFit="1" customWidth="1"/>
    <col min="12548" max="12548" width="103" customWidth="1"/>
    <col min="12549" max="12549" width="11.42578125" customWidth="1"/>
    <col min="12802" max="12802" width="10.140625" customWidth="1"/>
    <col min="12803" max="12803" width="16.5703125" bestFit="1" customWidth="1"/>
    <col min="12804" max="12804" width="103" customWidth="1"/>
    <col min="12805" max="12805" width="11.42578125" customWidth="1"/>
    <col min="13058" max="13058" width="10.140625" customWidth="1"/>
    <col min="13059" max="13059" width="16.5703125" bestFit="1" customWidth="1"/>
    <col min="13060" max="13060" width="103" customWidth="1"/>
    <col min="13061" max="13061" width="11.42578125" customWidth="1"/>
    <col min="13314" max="13314" width="10.140625" customWidth="1"/>
    <col min="13315" max="13315" width="16.5703125" bestFit="1" customWidth="1"/>
    <col min="13316" max="13316" width="103" customWidth="1"/>
    <col min="13317" max="13317" width="11.42578125" customWidth="1"/>
    <col min="13570" max="13570" width="10.140625" customWidth="1"/>
    <col min="13571" max="13571" width="16.5703125" bestFit="1" customWidth="1"/>
    <col min="13572" max="13572" width="103" customWidth="1"/>
    <col min="13573" max="13573" width="11.42578125" customWidth="1"/>
    <col min="13826" max="13826" width="10.140625" customWidth="1"/>
    <col min="13827" max="13827" width="16.5703125" bestFit="1" customWidth="1"/>
    <col min="13828" max="13828" width="103" customWidth="1"/>
    <col min="13829" max="13829" width="11.42578125" customWidth="1"/>
    <col min="14082" max="14082" width="10.140625" customWidth="1"/>
    <col min="14083" max="14083" width="16.5703125" bestFit="1" customWidth="1"/>
    <col min="14084" max="14084" width="103" customWidth="1"/>
    <col min="14085" max="14085" width="11.42578125" customWidth="1"/>
    <col min="14338" max="14338" width="10.140625" customWidth="1"/>
    <col min="14339" max="14339" width="16.5703125" bestFit="1" customWidth="1"/>
    <col min="14340" max="14340" width="103" customWidth="1"/>
    <col min="14341" max="14341" width="11.42578125" customWidth="1"/>
    <col min="14594" max="14594" width="10.140625" customWidth="1"/>
    <col min="14595" max="14595" width="16.5703125" bestFit="1" customWidth="1"/>
    <col min="14596" max="14596" width="103" customWidth="1"/>
    <col min="14597" max="14597" width="11.42578125" customWidth="1"/>
    <col min="14850" max="14850" width="10.140625" customWidth="1"/>
    <col min="14851" max="14851" width="16.5703125" bestFit="1" customWidth="1"/>
    <col min="14852" max="14852" width="103" customWidth="1"/>
    <col min="14853" max="14853" width="11.42578125" customWidth="1"/>
    <col min="15106" max="15106" width="10.140625" customWidth="1"/>
    <col min="15107" max="15107" width="16.5703125" bestFit="1" customWidth="1"/>
    <col min="15108" max="15108" width="103" customWidth="1"/>
    <col min="15109" max="15109" width="11.42578125" customWidth="1"/>
    <col min="15362" max="15362" width="10.140625" customWidth="1"/>
    <col min="15363" max="15363" width="16.5703125" bestFit="1" customWidth="1"/>
    <col min="15364" max="15364" width="103" customWidth="1"/>
    <col min="15365" max="15365" width="11.42578125" customWidth="1"/>
    <col min="15618" max="15618" width="10.140625" customWidth="1"/>
    <col min="15619" max="15619" width="16.5703125" bestFit="1" customWidth="1"/>
    <col min="15620" max="15620" width="103" customWidth="1"/>
    <col min="15621" max="15621" width="11.42578125" customWidth="1"/>
    <col min="15874" max="15874" width="10.140625" customWidth="1"/>
    <col min="15875" max="15875" width="16.5703125" bestFit="1" customWidth="1"/>
    <col min="15876" max="15876" width="103" customWidth="1"/>
    <col min="15877" max="15877" width="11.42578125" customWidth="1"/>
    <col min="16130" max="16130" width="10.140625" customWidth="1"/>
    <col min="16131" max="16131" width="16.5703125" bestFit="1" customWidth="1"/>
    <col min="16132" max="16132" width="103" customWidth="1"/>
    <col min="16133" max="16133" width="11.42578125" customWidth="1"/>
  </cols>
  <sheetData>
    <row r="1" spans="1:11" ht="51" customHeight="1" x14ac:dyDescent="0.2">
      <c r="A1" s="5615" t="s">
        <v>1299</v>
      </c>
      <c r="B1" s="5615"/>
      <c r="C1" s="5615"/>
      <c r="D1" s="958"/>
      <c r="E1" s="958"/>
      <c r="F1" s="958"/>
    </row>
    <row r="2" spans="1:11" ht="16.5" x14ac:dyDescent="0.2">
      <c r="B2" s="209"/>
      <c r="C2" s="558"/>
      <c r="D2" s="558"/>
      <c r="E2" s="558"/>
      <c r="F2" s="558"/>
    </row>
    <row r="3" spans="1:11" ht="27.75" customHeight="1" x14ac:dyDescent="0.2">
      <c r="A3" s="1386" t="s">
        <v>16</v>
      </c>
      <c r="B3" s="1386" t="s">
        <v>4</v>
      </c>
      <c r="C3" s="1386" t="s">
        <v>144</v>
      </c>
      <c r="D3" s="1100" t="s">
        <v>77</v>
      </c>
      <c r="E3" s="1387">
        <v>2009</v>
      </c>
      <c r="F3" s="1387">
        <v>2010</v>
      </c>
      <c r="G3" s="1387">
        <v>2011</v>
      </c>
      <c r="H3" s="1387">
        <v>2012</v>
      </c>
      <c r="I3" s="1387">
        <v>2013</v>
      </c>
      <c r="J3" s="1387">
        <v>2014</v>
      </c>
      <c r="K3" s="1387">
        <v>2015</v>
      </c>
    </row>
    <row r="4" spans="1:11" ht="15" x14ac:dyDescent="0.2">
      <c r="A4" s="5656" t="s">
        <v>446</v>
      </c>
      <c r="B4" s="5653" t="s">
        <v>5</v>
      </c>
      <c r="C4" s="1376" t="s">
        <v>26</v>
      </c>
      <c r="D4" s="1373" t="s">
        <v>563</v>
      </c>
      <c r="E4" s="1377">
        <v>4</v>
      </c>
      <c r="F4" s="1377">
        <v>4</v>
      </c>
      <c r="G4" s="1377">
        <v>4</v>
      </c>
      <c r="H4" s="1377">
        <v>4</v>
      </c>
      <c r="I4" s="1377">
        <v>4</v>
      </c>
      <c r="J4" s="1377">
        <v>4</v>
      </c>
      <c r="K4" s="1377">
        <v>4</v>
      </c>
    </row>
    <row r="5" spans="1:11" ht="15" x14ac:dyDescent="0.2">
      <c r="A5" s="5657"/>
      <c r="B5" s="5654"/>
      <c r="C5" s="5649" t="s">
        <v>27</v>
      </c>
      <c r="D5" s="1374" t="s">
        <v>135</v>
      </c>
      <c r="E5" s="1378">
        <v>83</v>
      </c>
      <c r="F5" s="1378">
        <v>84</v>
      </c>
      <c r="G5" s="1378">
        <f>+F5+4</f>
        <v>88</v>
      </c>
      <c r="H5" s="1378">
        <v>89</v>
      </c>
      <c r="I5" s="1378">
        <v>90</v>
      </c>
      <c r="J5" s="1378">
        <v>93</v>
      </c>
      <c r="K5" s="1378">
        <v>93</v>
      </c>
    </row>
    <row r="6" spans="1:11" ht="15" x14ac:dyDescent="0.2">
      <c r="A6" s="5657"/>
      <c r="B6" s="5654"/>
      <c r="C6" s="5650"/>
      <c r="D6" s="1374" t="s">
        <v>564</v>
      </c>
      <c r="E6" s="1378">
        <v>141</v>
      </c>
      <c r="F6" s="1378">
        <v>151</v>
      </c>
      <c r="G6" s="1378">
        <f>+F6+18</f>
        <v>169</v>
      </c>
      <c r="H6" s="1378">
        <v>195</v>
      </c>
      <c r="I6" s="1378">
        <v>210</v>
      </c>
      <c r="J6" s="1378">
        <v>225</v>
      </c>
      <c r="K6" s="1378">
        <v>242</v>
      </c>
    </row>
    <row r="7" spans="1:11" ht="15" x14ac:dyDescent="0.2">
      <c r="A7" s="5657"/>
      <c r="B7" s="5654"/>
      <c r="C7" s="5650"/>
      <c r="D7" s="1374" t="s">
        <v>136</v>
      </c>
      <c r="E7" s="1378">
        <v>23</v>
      </c>
      <c r="F7" s="1378">
        <v>29</v>
      </c>
      <c r="G7" s="1378">
        <v>39</v>
      </c>
      <c r="H7" s="1378">
        <v>49</v>
      </c>
      <c r="I7" s="1378">
        <v>57</v>
      </c>
      <c r="J7" s="1378">
        <v>69</v>
      </c>
      <c r="K7" s="1378">
        <v>78</v>
      </c>
    </row>
    <row r="8" spans="1:11" ht="15" x14ac:dyDescent="0.2">
      <c r="A8" s="5657"/>
      <c r="B8" s="5654"/>
      <c r="C8" s="5650"/>
      <c r="D8" s="3023" t="s">
        <v>634</v>
      </c>
      <c r="E8" s="1378"/>
      <c r="F8" s="1378"/>
      <c r="G8" s="1378"/>
      <c r="H8" s="1378"/>
      <c r="I8" s="1378"/>
      <c r="J8" s="1378">
        <v>5</v>
      </c>
      <c r="K8" s="1378">
        <v>12</v>
      </c>
    </row>
    <row r="9" spans="1:11" ht="15" x14ac:dyDescent="0.2">
      <c r="A9" s="5657"/>
      <c r="B9" s="5654"/>
      <c r="C9" s="5652"/>
      <c r="D9" s="3023" t="s">
        <v>635</v>
      </c>
      <c r="E9" s="1378"/>
      <c r="F9" s="1378"/>
      <c r="G9" s="1378"/>
      <c r="H9" s="1378"/>
      <c r="I9" s="1378"/>
      <c r="J9" s="1378">
        <v>1</v>
      </c>
      <c r="K9" s="1378">
        <v>4</v>
      </c>
    </row>
    <row r="10" spans="1:11" ht="15" x14ac:dyDescent="0.2">
      <c r="A10" s="5657"/>
      <c r="B10" s="5654"/>
      <c r="C10" s="5650" t="s">
        <v>28</v>
      </c>
      <c r="D10" s="1374" t="s">
        <v>565</v>
      </c>
      <c r="E10" s="1378">
        <v>31</v>
      </c>
      <c r="F10" s="1378">
        <v>35</v>
      </c>
      <c r="G10" s="1378">
        <f>+F10+10</f>
        <v>45</v>
      </c>
      <c r="H10" s="1378">
        <v>50</v>
      </c>
      <c r="I10" s="1378">
        <v>61</v>
      </c>
      <c r="J10" s="1378">
        <v>66</v>
      </c>
      <c r="K10" s="1378">
        <v>69</v>
      </c>
    </row>
    <row r="11" spans="1:11" ht="15" x14ac:dyDescent="0.2">
      <c r="A11" s="5657"/>
      <c r="B11" s="5654"/>
      <c r="C11" s="5650"/>
      <c r="D11" s="1374" t="s">
        <v>137</v>
      </c>
      <c r="E11" s="1378"/>
      <c r="F11" s="1378">
        <v>2</v>
      </c>
      <c r="G11" s="1378">
        <v>3</v>
      </c>
      <c r="H11" s="1378">
        <v>4</v>
      </c>
      <c r="I11" s="1378">
        <v>6</v>
      </c>
      <c r="J11" s="1378">
        <v>7</v>
      </c>
      <c r="K11" s="1378">
        <v>8</v>
      </c>
    </row>
    <row r="12" spans="1:11" ht="15" x14ac:dyDescent="0.2">
      <c r="A12" s="5657"/>
      <c r="B12" s="5655"/>
      <c r="C12" s="1379"/>
      <c r="D12" s="1380" t="s">
        <v>160</v>
      </c>
      <c r="E12" s="1381">
        <f t="shared" ref="E12:J12" si="0">SUM(E4:E11)</f>
        <v>282</v>
      </c>
      <c r="F12" s="1381">
        <f t="shared" si="0"/>
        <v>305</v>
      </c>
      <c r="G12" s="1381">
        <f t="shared" si="0"/>
        <v>348</v>
      </c>
      <c r="H12" s="1381">
        <f t="shared" si="0"/>
        <v>391</v>
      </c>
      <c r="I12" s="1381">
        <f t="shared" si="0"/>
        <v>428</v>
      </c>
      <c r="J12" s="1381">
        <f t="shared" si="0"/>
        <v>470</v>
      </c>
      <c r="K12" s="1381">
        <f>SUM(K4:K11)</f>
        <v>510</v>
      </c>
    </row>
    <row r="13" spans="1:11" ht="15" x14ac:dyDescent="0.2">
      <c r="A13" s="5657"/>
      <c r="B13" s="5653" t="s">
        <v>6</v>
      </c>
      <c r="C13" s="5649" t="s">
        <v>26</v>
      </c>
      <c r="D13" s="1375" t="s">
        <v>138</v>
      </c>
      <c r="E13" s="1382">
        <v>180</v>
      </c>
      <c r="F13" s="1382">
        <v>190</v>
      </c>
      <c r="G13" s="1382">
        <v>204</v>
      </c>
      <c r="H13" s="1382">
        <v>220</v>
      </c>
      <c r="I13" s="1382">
        <v>232</v>
      </c>
      <c r="J13" s="1382">
        <v>251</v>
      </c>
      <c r="K13" s="1382">
        <v>266</v>
      </c>
    </row>
    <row r="14" spans="1:11" ht="15" x14ac:dyDescent="0.2">
      <c r="A14" s="5657"/>
      <c r="B14" s="5654"/>
      <c r="C14" s="5650"/>
      <c r="D14" s="1374" t="s">
        <v>360</v>
      </c>
      <c r="E14" s="1378">
        <v>37</v>
      </c>
      <c r="F14" s="1378">
        <v>45</v>
      </c>
      <c r="G14" s="1378">
        <v>54</v>
      </c>
      <c r="H14" s="1378">
        <v>65</v>
      </c>
      <c r="I14" s="1378">
        <v>65</v>
      </c>
      <c r="J14" s="1378">
        <v>70</v>
      </c>
      <c r="K14" s="1378">
        <v>71</v>
      </c>
    </row>
    <row r="15" spans="1:11" ht="15" x14ac:dyDescent="0.2">
      <c r="A15" s="5657"/>
      <c r="B15" s="5654"/>
      <c r="C15" s="5652"/>
      <c r="D15" s="1374" t="s">
        <v>539</v>
      </c>
      <c r="E15" s="1378">
        <v>1</v>
      </c>
      <c r="F15" s="1378">
        <v>1</v>
      </c>
      <c r="G15" s="1378">
        <v>1</v>
      </c>
      <c r="H15" s="1378">
        <v>1</v>
      </c>
      <c r="I15" s="1378">
        <v>1</v>
      </c>
      <c r="J15" s="1378">
        <v>1</v>
      </c>
      <c r="K15" s="1378">
        <v>1</v>
      </c>
    </row>
    <row r="16" spans="1:11" ht="15" x14ac:dyDescent="0.2">
      <c r="A16" s="5657"/>
      <c r="B16" s="5654"/>
      <c r="C16" s="5649" t="s">
        <v>27</v>
      </c>
      <c r="D16" s="1374" t="s">
        <v>141</v>
      </c>
      <c r="E16" s="1378">
        <v>100</v>
      </c>
      <c r="F16" s="1378">
        <v>108</v>
      </c>
      <c r="G16" s="1378">
        <v>114</v>
      </c>
      <c r="H16" s="1378">
        <v>124</v>
      </c>
      <c r="I16" s="1378">
        <v>135</v>
      </c>
      <c r="J16" s="1378">
        <v>143</v>
      </c>
      <c r="K16" s="1378">
        <v>154</v>
      </c>
    </row>
    <row r="17" spans="1:11" ht="15" x14ac:dyDescent="0.2">
      <c r="A17" s="5657"/>
      <c r="B17" s="5654"/>
      <c r="C17" s="5650"/>
      <c r="D17" s="1374" t="s">
        <v>580</v>
      </c>
      <c r="E17" s="1378">
        <v>82</v>
      </c>
      <c r="F17" s="1378">
        <v>93</v>
      </c>
      <c r="G17" s="1378">
        <v>105</v>
      </c>
      <c r="H17" s="1378">
        <v>109</v>
      </c>
      <c r="I17" s="1378">
        <v>125</v>
      </c>
      <c r="J17" s="1378">
        <v>133</v>
      </c>
      <c r="K17" s="1378">
        <v>139</v>
      </c>
    </row>
    <row r="18" spans="1:11" ht="15" x14ac:dyDescent="0.2">
      <c r="A18" s="5657"/>
      <c r="B18" s="5654"/>
      <c r="C18" s="5650"/>
      <c r="D18" s="1374" t="s">
        <v>368</v>
      </c>
      <c r="E18" s="1378">
        <v>54</v>
      </c>
      <c r="F18" s="1378">
        <v>56</v>
      </c>
      <c r="G18" s="1378">
        <v>59</v>
      </c>
      <c r="H18" s="1378">
        <v>59</v>
      </c>
      <c r="I18" s="1378">
        <v>59</v>
      </c>
      <c r="J18" s="1378">
        <v>59</v>
      </c>
      <c r="K18" s="1378">
        <v>59</v>
      </c>
    </row>
    <row r="19" spans="1:11" ht="15" x14ac:dyDescent="0.2">
      <c r="A19" s="5657"/>
      <c r="B19" s="5654"/>
      <c r="C19" s="5650"/>
      <c r="D19" s="1374" t="s">
        <v>139</v>
      </c>
      <c r="E19" s="1378">
        <v>7</v>
      </c>
      <c r="F19" s="1378">
        <v>7</v>
      </c>
      <c r="G19" s="1378">
        <v>7</v>
      </c>
      <c r="H19" s="1378">
        <v>7</v>
      </c>
      <c r="I19" s="1378">
        <v>7</v>
      </c>
      <c r="J19" s="1378">
        <v>7</v>
      </c>
      <c r="K19" s="1378">
        <v>7</v>
      </c>
    </row>
    <row r="20" spans="1:11" ht="15" x14ac:dyDescent="0.2">
      <c r="A20" s="5657"/>
      <c r="B20" s="5654"/>
      <c r="C20" s="5650"/>
      <c r="D20" s="1374" t="s">
        <v>369</v>
      </c>
      <c r="E20" s="1378">
        <v>17</v>
      </c>
      <c r="F20" s="1378">
        <v>29</v>
      </c>
      <c r="G20" s="1378">
        <v>36</v>
      </c>
      <c r="H20" s="1378">
        <v>45</v>
      </c>
      <c r="I20" s="1378">
        <v>45</v>
      </c>
      <c r="J20" s="1378">
        <v>55</v>
      </c>
      <c r="K20" s="1378">
        <v>58</v>
      </c>
    </row>
    <row r="21" spans="1:11" ht="15" x14ac:dyDescent="0.2">
      <c r="A21" s="5657"/>
      <c r="B21" s="5654"/>
      <c r="C21" s="5650"/>
      <c r="D21" s="1374" t="s">
        <v>539</v>
      </c>
      <c r="E21" s="1378"/>
      <c r="F21" s="1378">
        <v>3</v>
      </c>
      <c r="G21" s="1378">
        <v>7</v>
      </c>
      <c r="H21" s="1378">
        <v>10</v>
      </c>
      <c r="I21" s="1378">
        <v>11</v>
      </c>
      <c r="J21" s="1378">
        <v>14</v>
      </c>
      <c r="K21" s="1378">
        <v>15</v>
      </c>
    </row>
    <row r="22" spans="1:11" ht="15" x14ac:dyDescent="0.2">
      <c r="A22" s="5657"/>
      <c r="B22" s="5654"/>
      <c r="C22" s="5652"/>
      <c r="D22" s="3023" t="s">
        <v>837</v>
      </c>
      <c r="E22" s="1378"/>
      <c r="F22" s="1378"/>
      <c r="G22" s="1378"/>
      <c r="H22" s="1378"/>
      <c r="I22" s="1378"/>
      <c r="J22" s="1378">
        <v>5</v>
      </c>
      <c r="K22" s="1378">
        <v>7</v>
      </c>
    </row>
    <row r="23" spans="1:11" ht="15" x14ac:dyDescent="0.2">
      <c r="A23" s="5657"/>
      <c r="B23" s="5654"/>
      <c r="C23" s="5649" t="s">
        <v>28</v>
      </c>
      <c r="D23" s="1374" t="s">
        <v>143</v>
      </c>
      <c r="E23" s="1378">
        <v>1</v>
      </c>
      <c r="F23" s="1378">
        <v>2</v>
      </c>
      <c r="G23" s="1378">
        <v>3</v>
      </c>
      <c r="H23" s="1378">
        <v>3</v>
      </c>
      <c r="I23" s="1378">
        <v>4</v>
      </c>
      <c r="J23" s="1378">
        <v>4</v>
      </c>
      <c r="K23" s="1378">
        <v>5</v>
      </c>
    </row>
    <row r="24" spans="1:11" ht="15" x14ac:dyDescent="0.2">
      <c r="A24" s="5657"/>
      <c r="B24" s="5654"/>
      <c r="C24" s="5650"/>
      <c r="D24" s="1374" t="s">
        <v>540</v>
      </c>
      <c r="E24" s="1378"/>
      <c r="F24" s="1378"/>
      <c r="G24" s="1378">
        <v>5</v>
      </c>
      <c r="H24" s="1378">
        <v>7</v>
      </c>
      <c r="I24" s="1378">
        <v>7</v>
      </c>
      <c r="J24" s="1378">
        <v>12</v>
      </c>
      <c r="K24" s="1378">
        <v>16</v>
      </c>
    </row>
    <row r="25" spans="1:11" ht="15" x14ac:dyDescent="0.2">
      <c r="A25" s="5657"/>
      <c r="B25" s="5654"/>
      <c r="C25" s="5651"/>
      <c r="D25" s="1374" t="s">
        <v>142</v>
      </c>
      <c r="E25" s="1378">
        <v>2</v>
      </c>
      <c r="F25" s="1378">
        <v>4</v>
      </c>
      <c r="G25" s="1378">
        <v>5</v>
      </c>
      <c r="H25" s="1378">
        <v>9</v>
      </c>
      <c r="I25" s="1378">
        <v>17</v>
      </c>
      <c r="J25" s="1378">
        <v>25</v>
      </c>
      <c r="K25" s="1378">
        <v>27</v>
      </c>
    </row>
    <row r="26" spans="1:11" ht="15" x14ac:dyDescent="0.2">
      <c r="A26" s="5657"/>
      <c r="B26" s="5655"/>
      <c r="C26" s="1379"/>
      <c r="D26" s="1380" t="s">
        <v>160</v>
      </c>
      <c r="E26" s="1381">
        <f t="shared" ref="E26:J26" si="1">SUM(E13:E25)</f>
        <v>481</v>
      </c>
      <c r="F26" s="1381">
        <f t="shared" si="1"/>
        <v>538</v>
      </c>
      <c r="G26" s="1381">
        <f t="shared" si="1"/>
        <v>600</v>
      </c>
      <c r="H26" s="1381">
        <f t="shared" si="1"/>
        <v>659</v>
      </c>
      <c r="I26" s="1381">
        <f t="shared" si="1"/>
        <v>708</v>
      </c>
      <c r="J26" s="1381">
        <f t="shared" si="1"/>
        <v>779</v>
      </c>
      <c r="K26" s="1381">
        <f>SUM(K13:K25)</f>
        <v>825</v>
      </c>
    </row>
    <row r="27" spans="1:11" ht="15" x14ac:dyDescent="0.2">
      <c r="A27" s="5657"/>
      <c r="B27" s="5653" t="s">
        <v>7</v>
      </c>
      <c r="C27" s="5659" t="s">
        <v>26</v>
      </c>
      <c r="D27" s="1375" t="s">
        <v>541</v>
      </c>
      <c r="E27" s="1382">
        <v>35</v>
      </c>
      <c r="F27" s="1382">
        <v>35</v>
      </c>
      <c r="G27" s="1382">
        <v>36</v>
      </c>
      <c r="H27" s="1382">
        <v>36</v>
      </c>
      <c r="I27" s="1382">
        <v>36</v>
      </c>
      <c r="J27" s="1382">
        <v>36</v>
      </c>
      <c r="K27" s="1382">
        <v>36</v>
      </c>
    </row>
    <row r="28" spans="1:11" ht="15" x14ac:dyDescent="0.2">
      <c r="A28" s="5657"/>
      <c r="B28" s="5654"/>
      <c r="C28" s="5650"/>
      <c r="D28" s="1374" t="s">
        <v>403</v>
      </c>
      <c r="E28" s="1378">
        <v>306</v>
      </c>
      <c r="F28" s="1378">
        <v>331</v>
      </c>
      <c r="G28" s="1378">
        <v>367</v>
      </c>
      <c r="H28" s="1378">
        <v>371</v>
      </c>
      <c r="I28" s="1378">
        <v>404</v>
      </c>
      <c r="J28" s="1378">
        <v>405</v>
      </c>
      <c r="K28" s="1378">
        <v>372</v>
      </c>
    </row>
    <row r="29" spans="1:11" ht="15" x14ac:dyDescent="0.2">
      <c r="A29" s="5657"/>
      <c r="B29" s="5654"/>
      <c r="C29" s="5650"/>
      <c r="D29" s="1374" t="s">
        <v>1394</v>
      </c>
      <c r="E29" s="1378"/>
      <c r="F29" s="1378"/>
      <c r="G29" s="1378"/>
      <c r="H29" s="1378"/>
      <c r="I29" s="1378"/>
      <c r="J29" s="1378"/>
      <c r="K29" s="1378">
        <v>7</v>
      </c>
    </row>
    <row r="30" spans="1:11" ht="15" x14ac:dyDescent="0.2">
      <c r="A30" s="5657"/>
      <c r="B30" s="5654"/>
      <c r="C30" s="5650"/>
      <c r="D30" s="1374" t="s">
        <v>1395</v>
      </c>
      <c r="E30" s="1378"/>
      <c r="F30" s="1378"/>
      <c r="G30" s="1378"/>
      <c r="H30" s="1378"/>
      <c r="I30" s="1378"/>
      <c r="J30" s="1378"/>
      <c r="K30" s="1378">
        <v>1</v>
      </c>
    </row>
    <row r="31" spans="1:11" ht="15" x14ac:dyDescent="0.2">
      <c r="A31" s="5657"/>
      <c r="B31" s="5654"/>
      <c r="C31" s="5650"/>
      <c r="D31" s="1374" t="s">
        <v>1397</v>
      </c>
      <c r="E31" s="1378"/>
      <c r="F31" s="1378"/>
      <c r="G31" s="1378"/>
      <c r="H31" s="1378"/>
      <c r="I31" s="1378"/>
      <c r="J31" s="1378"/>
      <c r="K31" s="1378">
        <v>6</v>
      </c>
    </row>
    <row r="32" spans="1:11" ht="15" x14ac:dyDescent="0.2">
      <c r="A32" s="5657"/>
      <c r="B32" s="5654"/>
      <c r="C32" s="5652"/>
      <c r="D32" s="1374" t="s">
        <v>1398</v>
      </c>
      <c r="E32" s="1378"/>
      <c r="F32" s="1378"/>
      <c r="G32" s="1378"/>
      <c r="H32" s="1378"/>
      <c r="I32" s="1378"/>
      <c r="J32" s="1378"/>
      <c r="K32" s="1378">
        <v>1</v>
      </c>
    </row>
    <row r="33" spans="1:11" ht="15" x14ac:dyDescent="0.2">
      <c r="A33" s="5657"/>
      <c r="B33" s="5654"/>
      <c r="C33" s="5659" t="s">
        <v>27</v>
      </c>
      <c r="D33" s="1374" t="s">
        <v>542</v>
      </c>
      <c r="E33" s="1378">
        <v>3</v>
      </c>
      <c r="F33" s="1378">
        <v>3</v>
      </c>
      <c r="G33" s="1378">
        <v>3</v>
      </c>
      <c r="H33" s="1378">
        <v>3</v>
      </c>
      <c r="I33" s="1378">
        <v>3</v>
      </c>
      <c r="J33" s="1378">
        <v>3</v>
      </c>
      <c r="K33" s="1378">
        <v>3</v>
      </c>
    </row>
    <row r="34" spans="1:11" ht="15" x14ac:dyDescent="0.2">
      <c r="A34" s="5657"/>
      <c r="B34" s="5654"/>
      <c r="C34" s="5650"/>
      <c r="D34" s="1374" t="s">
        <v>404</v>
      </c>
      <c r="E34" s="1378">
        <v>81</v>
      </c>
      <c r="F34" s="1378">
        <v>96</v>
      </c>
      <c r="G34" s="1378">
        <v>125</v>
      </c>
      <c r="H34" s="1378">
        <v>148</v>
      </c>
      <c r="I34" s="1378">
        <v>186</v>
      </c>
      <c r="J34" s="1378">
        <v>212</v>
      </c>
      <c r="K34" s="1378">
        <v>205</v>
      </c>
    </row>
    <row r="35" spans="1:11" ht="15" x14ac:dyDescent="0.2">
      <c r="A35" s="5657"/>
      <c r="B35" s="5654"/>
      <c r="C35" s="5650"/>
      <c r="D35" s="1374" t="s">
        <v>1394</v>
      </c>
      <c r="E35" s="1378"/>
      <c r="F35" s="1378"/>
      <c r="G35" s="1378"/>
      <c r="H35" s="1378"/>
      <c r="I35" s="1378"/>
      <c r="J35" s="1378"/>
      <c r="K35" s="1378">
        <v>4</v>
      </c>
    </row>
    <row r="36" spans="1:11" ht="15" x14ac:dyDescent="0.2">
      <c r="A36" s="5657"/>
      <c r="B36" s="5654"/>
      <c r="C36" s="5650"/>
      <c r="D36" s="1374" t="s">
        <v>1395</v>
      </c>
      <c r="E36" s="1378"/>
      <c r="F36" s="1378"/>
      <c r="G36" s="1378"/>
      <c r="H36" s="1378"/>
      <c r="I36" s="1378"/>
      <c r="J36" s="1378"/>
      <c r="K36" s="1378">
        <v>8</v>
      </c>
    </row>
    <row r="37" spans="1:11" ht="15" x14ac:dyDescent="0.2">
      <c r="A37" s="5657"/>
      <c r="B37" s="5654"/>
      <c r="C37" s="5650"/>
      <c r="D37" s="1374" t="s">
        <v>1396</v>
      </c>
      <c r="E37" s="1378"/>
      <c r="F37" s="1378"/>
      <c r="G37" s="1378"/>
      <c r="H37" s="1378"/>
      <c r="I37" s="1378"/>
      <c r="J37" s="1378"/>
      <c r="K37" s="1378">
        <v>7</v>
      </c>
    </row>
    <row r="38" spans="1:11" ht="15" x14ac:dyDescent="0.2">
      <c r="A38" s="5657"/>
      <c r="B38" s="5654"/>
      <c r="C38" s="5650"/>
      <c r="D38" s="1374" t="s">
        <v>1397</v>
      </c>
      <c r="E38" s="1378"/>
      <c r="F38" s="1378"/>
      <c r="G38" s="1378"/>
      <c r="H38" s="1378"/>
      <c r="I38" s="1378"/>
      <c r="J38" s="1378"/>
      <c r="K38" s="1378">
        <v>4</v>
      </c>
    </row>
    <row r="39" spans="1:11" ht="15" x14ac:dyDescent="0.2">
      <c r="A39" s="5657"/>
      <c r="B39" s="5654"/>
      <c r="C39" s="5652"/>
      <c r="D39" s="1374" t="s">
        <v>1398</v>
      </c>
      <c r="E39" s="1378"/>
      <c r="F39" s="1378"/>
      <c r="G39" s="1378"/>
      <c r="H39" s="1378"/>
      <c r="I39" s="1378"/>
      <c r="J39" s="1378"/>
      <c r="K39" s="1378">
        <v>7</v>
      </c>
    </row>
    <row r="40" spans="1:11" ht="15" x14ac:dyDescent="0.2">
      <c r="A40" s="5657"/>
      <c r="B40" s="5654"/>
      <c r="C40" s="5650" t="s">
        <v>28</v>
      </c>
      <c r="D40" s="1374" t="s">
        <v>405</v>
      </c>
      <c r="E40" s="1378">
        <v>33</v>
      </c>
      <c r="F40" s="1378">
        <v>38</v>
      </c>
      <c r="G40" s="1378">
        <v>45</v>
      </c>
      <c r="H40" s="1378">
        <v>47</v>
      </c>
      <c r="I40" s="1378">
        <v>56</v>
      </c>
      <c r="J40" s="1378">
        <v>65</v>
      </c>
      <c r="K40" s="1378">
        <v>68</v>
      </c>
    </row>
    <row r="41" spans="1:11" ht="15" x14ac:dyDescent="0.2">
      <c r="A41" s="5657"/>
      <c r="B41" s="5654"/>
      <c r="C41" s="5650"/>
      <c r="D41" s="4846" t="s">
        <v>1394</v>
      </c>
      <c r="E41" s="4847"/>
      <c r="F41" s="4847"/>
      <c r="G41" s="4847"/>
      <c r="H41" s="4847"/>
      <c r="I41" s="4847"/>
      <c r="J41" s="4847"/>
      <c r="K41" s="4847">
        <v>1</v>
      </c>
    </row>
    <row r="42" spans="1:11" ht="15" x14ac:dyDescent="0.2">
      <c r="A42" s="5657"/>
      <c r="B42" s="5654"/>
      <c r="C42" s="5650"/>
      <c r="D42" s="4846" t="s">
        <v>1395</v>
      </c>
      <c r="E42" s="4847"/>
      <c r="F42" s="4847"/>
      <c r="G42" s="4847"/>
      <c r="H42" s="4847"/>
      <c r="I42" s="4847"/>
      <c r="J42" s="4847"/>
      <c r="K42" s="4847">
        <v>1</v>
      </c>
    </row>
    <row r="43" spans="1:11" ht="15" x14ac:dyDescent="0.2">
      <c r="A43" s="5657"/>
      <c r="B43" s="5654"/>
      <c r="C43" s="5651"/>
      <c r="D43" s="4846" t="s">
        <v>1396</v>
      </c>
      <c r="E43" s="4847"/>
      <c r="F43" s="4847"/>
      <c r="G43" s="4847"/>
      <c r="H43" s="4847"/>
      <c r="I43" s="4847"/>
      <c r="J43" s="4847"/>
      <c r="K43" s="4847">
        <v>1</v>
      </c>
    </row>
    <row r="44" spans="1:11" ht="15" x14ac:dyDescent="0.2">
      <c r="A44" s="5657"/>
      <c r="B44" s="5654"/>
      <c r="C44" s="1383"/>
      <c r="D44" s="1383" t="s">
        <v>160</v>
      </c>
      <c r="E44" s="1384">
        <f t="shared" ref="E44:J44" si="2">SUM(E27:E40)</f>
        <v>458</v>
      </c>
      <c r="F44" s="1384">
        <f t="shared" si="2"/>
        <v>503</v>
      </c>
      <c r="G44" s="1384">
        <f t="shared" si="2"/>
        <v>576</v>
      </c>
      <c r="H44" s="1384">
        <f t="shared" si="2"/>
        <v>605</v>
      </c>
      <c r="I44" s="1384">
        <f t="shared" si="2"/>
        <v>685</v>
      </c>
      <c r="J44" s="1384">
        <f t="shared" si="2"/>
        <v>721</v>
      </c>
      <c r="K44" s="1384">
        <f>SUM(K27:K43)</f>
        <v>732</v>
      </c>
    </row>
    <row r="45" spans="1:11" ht="15" x14ac:dyDescent="0.2">
      <c r="A45" s="5658"/>
      <c r="B45" s="2721"/>
      <c r="C45" s="2722"/>
      <c r="D45" s="2723" t="s">
        <v>529</v>
      </c>
      <c r="E45" s="2709">
        <f t="shared" ref="E45:J45" si="3">SUM(E12,E26,E44)</f>
        <v>1221</v>
      </c>
      <c r="F45" s="2709">
        <f t="shared" si="3"/>
        <v>1346</v>
      </c>
      <c r="G45" s="2709">
        <f t="shared" si="3"/>
        <v>1524</v>
      </c>
      <c r="H45" s="2709">
        <f t="shared" si="3"/>
        <v>1655</v>
      </c>
      <c r="I45" s="2709">
        <f t="shared" si="3"/>
        <v>1821</v>
      </c>
      <c r="J45" s="2709">
        <f t="shared" si="3"/>
        <v>1970</v>
      </c>
      <c r="K45" s="2709">
        <f>SUM(K12,K26,K44)</f>
        <v>2067</v>
      </c>
    </row>
    <row r="46" spans="1:11" ht="15" x14ac:dyDescent="0.2">
      <c r="A46" s="5678" t="s">
        <v>447</v>
      </c>
      <c r="B46" s="5681" t="s">
        <v>5</v>
      </c>
      <c r="C46" s="5659" t="s">
        <v>27</v>
      </c>
      <c r="D46" s="1375" t="s">
        <v>543</v>
      </c>
      <c r="E46" s="1382">
        <v>78</v>
      </c>
      <c r="F46" s="1382">
        <v>78</v>
      </c>
      <c r="G46" s="1382">
        <v>78</v>
      </c>
      <c r="H46" s="1382">
        <v>78</v>
      </c>
      <c r="I46" s="1382">
        <v>78</v>
      </c>
      <c r="J46" s="1382">
        <v>78</v>
      </c>
      <c r="K46" s="1382">
        <v>78</v>
      </c>
    </row>
    <row r="47" spans="1:11" ht="15" x14ac:dyDescent="0.2">
      <c r="A47" s="5679"/>
      <c r="B47" s="5681"/>
      <c r="C47" s="5650"/>
      <c r="D47" s="1374" t="s">
        <v>544</v>
      </c>
      <c r="E47" s="1378">
        <v>159</v>
      </c>
      <c r="F47" s="1378">
        <v>159</v>
      </c>
      <c r="G47" s="1378">
        <v>159</v>
      </c>
      <c r="H47" s="1378">
        <v>159</v>
      </c>
      <c r="I47" s="1378">
        <v>159</v>
      </c>
      <c r="J47" s="1378">
        <v>159</v>
      </c>
      <c r="K47" s="1378">
        <v>159</v>
      </c>
    </row>
    <row r="48" spans="1:11" ht="15" x14ac:dyDescent="0.2">
      <c r="A48" s="5679"/>
      <c r="B48" s="5681"/>
      <c r="C48" s="5650"/>
      <c r="D48" s="1374" t="s">
        <v>545</v>
      </c>
      <c r="E48" s="1378">
        <v>58</v>
      </c>
      <c r="F48" s="1378">
        <v>58</v>
      </c>
      <c r="G48" s="1378">
        <v>58</v>
      </c>
      <c r="H48" s="1378">
        <v>58</v>
      </c>
      <c r="I48" s="1378">
        <v>58</v>
      </c>
      <c r="J48" s="1378">
        <v>58</v>
      </c>
      <c r="K48" s="1378">
        <v>58</v>
      </c>
    </row>
    <row r="49" spans="1:11" ht="15" x14ac:dyDescent="0.2">
      <c r="A49" s="5679"/>
      <c r="B49" s="5681"/>
      <c r="C49" s="5650"/>
      <c r="D49" s="1374" t="s">
        <v>546</v>
      </c>
      <c r="E49" s="1378">
        <v>112</v>
      </c>
      <c r="F49" s="1378">
        <v>112</v>
      </c>
      <c r="G49" s="1378">
        <v>112</v>
      </c>
      <c r="H49" s="1378">
        <v>112</v>
      </c>
      <c r="I49" s="1378">
        <v>112</v>
      </c>
      <c r="J49" s="1378">
        <v>112</v>
      </c>
      <c r="K49" s="1378">
        <v>112</v>
      </c>
    </row>
    <row r="50" spans="1:11" ht="15" x14ac:dyDescent="0.2">
      <c r="A50" s="5679"/>
      <c r="B50" s="5681"/>
      <c r="C50" s="5650"/>
      <c r="D50" s="1374" t="s">
        <v>547</v>
      </c>
      <c r="E50" s="1378">
        <v>36</v>
      </c>
      <c r="F50" s="1378">
        <v>36</v>
      </c>
      <c r="G50" s="1378">
        <v>36</v>
      </c>
      <c r="H50" s="1378">
        <v>36</v>
      </c>
      <c r="I50" s="1378">
        <v>36</v>
      </c>
      <c r="J50" s="1378">
        <v>36</v>
      </c>
      <c r="K50" s="1378">
        <v>36</v>
      </c>
    </row>
    <row r="51" spans="1:11" ht="15" hidden="1" customHeight="1" x14ac:dyDescent="0.2">
      <c r="A51" s="5679"/>
      <c r="B51" s="5681"/>
      <c r="C51" s="5650"/>
      <c r="D51" s="1374" t="s">
        <v>407</v>
      </c>
      <c r="E51" s="1378"/>
      <c r="F51" s="1378"/>
      <c r="G51" s="1378"/>
      <c r="H51" s="1378"/>
      <c r="I51" s="1378"/>
      <c r="J51" s="1378"/>
      <c r="K51" s="1378">
        <v>0</v>
      </c>
    </row>
    <row r="52" spans="1:11" ht="15" x14ac:dyDescent="0.2">
      <c r="A52" s="5679"/>
      <c r="B52" s="5681"/>
      <c r="C52" s="5650"/>
      <c r="D52" s="1374" t="s">
        <v>548</v>
      </c>
      <c r="E52" s="1378">
        <v>21</v>
      </c>
      <c r="F52" s="1378">
        <v>24</v>
      </c>
      <c r="G52" s="1378">
        <v>25</v>
      </c>
      <c r="H52" s="1378">
        <v>25</v>
      </c>
      <c r="I52" s="1378">
        <v>34</v>
      </c>
      <c r="J52" s="1378">
        <v>42</v>
      </c>
      <c r="K52" s="1378">
        <v>49</v>
      </c>
    </row>
    <row r="53" spans="1:11" ht="15" x14ac:dyDescent="0.2">
      <c r="A53" s="5679"/>
      <c r="B53" s="5681"/>
      <c r="C53" s="5650"/>
      <c r="D53" s="1374" t="s">
        <v>549</v>
      </c>
      <c r="E53" s="1378">
        <v>53</v>
      </c>
      <c r="F53" s="1378">
        <v>70</v>
      </c>
      <c r="G53" s="1378">
        <v>82</v>
      </c>
      <c r="H53" s="1378">
        <v>98</v>
      </c>
      <c r="I53" s="1378">
        <v>111</v>
      </c>
      <c r="J53" s="1378">
        <v>128</v>
      </c>
      <c r="K53" s="1378">
        <v>142</v>
      </c>
    </row>
    <row r="54" spans="1:11" ht="15" x14ac:dyDescent="0.2">
      <c r="A54" s="5679"/>
      <c r="B54" s="5681"/>
      <c r="C54" s="5650"/>
      <c r="D54" s="1374" t="s">
        <v>550</v>
      </c>
      <c r="E54" s="1378">
        <v>66</v>
      </c>
      <c r="F54" s="1378">
        <v>70</v>
      </c>
      <c r="G54" s="1378">
        <v>72</v>
      </c>
      <c r="H54" s="1378">
        <v>75</v>
      </c>
      <c r="I54" s="1378">
        <v>78</v>
      </c>
      <c r="J54" s="1378">
        <v>87</v>
      </c>
      <c r="K54" s="1378">
        <v>90</v>
      </c>
    </row>
    <row r="55" spans="1:11" ht="15" x14ac:dyDescent="0.2">
      <c r="A55" s="5679"/>
      <c r="B55" s="5681"/>
      <c r="C55" s="5650"/>
      <c r="D55" s="1374" t="s">
        <v>551</v>
      </c>
      <c r="E55" s="1378">
        <v>100</v>
      </c>
      <c r="F55" s="1378">
        <v>109</v>
      </c>
      <c r="G55" s="1378">
        <v>117</v>
      </c>
      <c r="H55" s="1378">
        <v>132</v>
      </c>
      <c r="I55" s="1378">
        <v>141</v>
      </c>
      <c r="J55" s="1378">
        <v>147</v>
      </c>
      <c r="K55" s="1378">
        <v>153</v>
      </c>
    </row>
    <row r="56" spans="1:11" ht="15" x14ac:dyDescent="0.2">
      <c r="A56" s="5679"/>
      <c r="B56" s="5681"/>
      <c r="C56" s="5650"/>
      <c r="D56" s="1374" t="s">
        <v>552</v>
      </c>
      <c r="E56" s="1378">
        <v>67</v>
      </c>
      <c r="F56" s="1378">
        <v>83</v>
      </c>
      <c r="G56" s="1378">
        <v>91</v>
      </c>
      <c r="H56" s="1378">
        <v>96</v>
      </c>
      <c r="I56" s="1378">
        <v>112</v>
      </c>
      <c r="J56" s="1378">
        <v>121</v>
      </c>
      <c r="K56" s="1378">
        <v>130</v>
      </c>
    </row>
    <row r="57" spans="1:11" ht="15" x14ac:dyDescent="0.2">
      <c r="A57" s="5679"/>
      <c r="B57" s="5681"/>
      <c r="C57" s="5650"/>
      <c r="D57" s="1374" t="s">
        <v>553</v>
      </c>
      <c r="E57" s="1378"/>
      <c r="F57" s="1378"/>
      <c r="G57" s="1378">
        <v>14</v>
      </c>
      <c r="H57" s="1378">
        <v>21</v>
      </c>
      <c r="I57" s="1378">
        <v>35</v>
      </c>
      <c r="J57" s="1378">
        <v>44</v>
      </c>
      <c r="K57" s="1378">
        <v>50</v>
      </c>
    </row>
    <row r="58" spans="1:11" ht="15" x14ac:dyDescent="0.2">
      <c r="A58" s="5679"/>
      <c r="B58" s="5681"/>
      <c r="C58" s="5650"/>
      <c r="D58" s="1374" t="s">
        <v>68</v>
      </c>
      <c r="E58" s="1378">
        <v>13</v>
      </c>
      <c r="F58" s="1378">
        <v>17</v>
      </c>
      <c r="G58" s="1378">
        <v>17</v>
      </c>
      <c r="H58" s="1378">
        <v>17</v>
      </c>
      <c r="I58" s="1378">
        <v>17</v>
      </c>
      <c r="J58" s="1378">
        <v>17</v>
      </c>
      <c r="K58" s="1378">
        <v>17</v>
      </c>
    </row>
    <row r="59" spans="1:11" ht="15" x14ac:dyDescent="0.2">
      <c r="A59" s="5679"/>
      <c r="B59" s="5681"/>
      <c r="C59" s="5652"/>
      <c r="D59" s="1374" t="s">
        <v>783</v>
      </c>
      <c r="E59" s="1378"/>
      <c r="F59" s="1378"/>
      <c r="G59" s="1378"/>
      <c r="H59" s="1378"/>
      <c r="I59" s="1378"/>
      <c r="J59" s="1378"/>
      <c r="K59" s="1378">
        <v>7</v>
      </c>
    </row>
    <row r="60" spans="1:11" ht="15" x14ac:dyDescent="0.2">
      <c r="A60" s="5679"/>
      <c r="B60" s="5681"/>
      <c r="C60" s="5649" t="s">
        <v>28</v>
      </c>
      <c r="D60" s="1374" t="s">
        <v>407</v>
      </c>
      <c r="E60" s="1378">
        <v>291</v>
      </c>
      <c r="F60" s="1378">
        <v>303</v>
      </c>
      <c r="G60" s="1378">
        <v>303</v>
      </c>
      <c r="H60" s="1378">
        <v>303</v>
      </c>
      <c r="I60" s="1378">
        <v>303</v>
      </c>
      <c r="J60" s="1378">
        <v>303</v>
      </c>
      <c r="K60" s="1378">
        <v>302</v>
      </c>
    </row>
    <row r="61" spans="1:11" ht="15" x14ac:dyDescent="0.2">
      <c r="A61" s="5679"/>
      <c r="B61" s="5681"/>
      <c r="C61" s="5650"/>
      <c r="D61" s="1374" t="s">
        <v>548</v>
      </c>
      <c r="E61" s="1378">
        <v>21</v>
      </c>
      <c r="F61" s="1378">
        <v>22</v>
      </c>
      <c r="G61" s="1378">
        <v>26</v>
      </c>
      <c r="H61" s="1378">
        <v>28</v>
      </c>
      <c r="I61" s="1378">
        <v>31</v>
      </c>
      <c r="J61" s="1378">
        <v>38</v>
      </c>
      <c r="K61" s="1378">
        <v>40</v>
      </c>
    </row>
    <row r="62" spans="1:11" ht="15" x14ac:dyDescent="0.2">
      <c r="A62" s="5679"/>
      <c r="B62" s="5681"/>
      <c r="C62" s="5650"/>
      <c r="D62" s="1374" t="s">
        <v>549</v>
      </c>
      <c r="E62" s="1378">
        <v>12</v>
      </c>
      <c r="F62" s="1378">
        <v>16</v>
      </c>
      <c r="G62" s="1378">
        <v>18</v>
      </c>
      <c r="H62" s="1378">
        <v>24</v>
      </c>
      <c r="I62" s="1378">
        <v>31</v>
      </c>
      <c r="J62" s="1378">
        <v>34</v>
      </c>
      <c r="K62" s="1378">
        <v>37</v>
      </c>
    </row>
    <row r="63" spans="1:11" ht="15" x14ac:dyDescent="0.2">
      <c r="A63" s="5679"/>
      <c r="B63" s="5681"/>
      <c r="C63" s="5650"/>
      <c r="D63" s="1374" t="s">
        <v>550</v>
      </c>
      <c r="E63" s="1378">
        <v>58</v>
      </c>
      <c r="F63" s="1378">
        <v>65</v>
      </c>
      <c r="G63" s="1378">
        <v>79</v>
      </c>
      <c r="H63" s="1378">
        <v>84</v>
      </c>
      <c r="I63" s="1378">
        <v>91</v>
      </c>
      <c r="J63" s="1378">
        <v>107</v>
      </c>
      <c r="K63" s="1378">
        <v>119</v>
      </c>
    </row>
    <row r="64" spans="1:11" ht="15" x14ac:dyDescent="0.2">
      <c r="A64" s="5679"/>
      <c r="B64" s="5681"/>
      <c r="C64" s="5650"/>
      <c r="D64" s="1374" t="s">
        <v>551</v>
      </c>
      <c r="E64" s="1378">
        <v>26</v>
      </c>
      <c r="F64" s="1378">
        <v>34</v>
      </c>
      <c r="G64" s="1378">
        <v>37</v>
      </c>
      <c r="H64" s="1378">
        <v>43</v>
      </c>
      <c r="I64" s="1378">
        <v>49</v>
      </c>
      <c r="J64" s="1378">
        <v>54</v>
      </c>
      <c r="K64" s="1378">
        <v>57</v>
      </c>
    </row>
    <row r="65" spans="1:11" ht="15" x14ac:dyDescent="0.2">
      <c r="A65" s="5679"/>
      <c r="B65" s="5681"/>
      <c r="C65" s="5651"/>
      <c r="D65" s="1374" t="s">
        <v>552</v>
      </c>
      <c r="E65" s="1378">
        <v>10</v>
      </c>
      <c r="F65" s="1378">
        <v>13</v>
      </c>
      <c r="G65" s="1378">
        <v>13</v>
      </c>
      <c r="H65" s="1378">
        <v>15</v>
      </c>
      <c r="I65" s="1378">
        <v>16</v>
      </c>
      <c r="J65" s="1378">
        <v>20</v>
      </c>
      <c r="K65" s="1378">
        <v>23</v>
      </c>
    </row>
    <row r="66" spans="1:11" ht="15" x14ac:dyDescent="0.2">
      <c r="A66" s="5679"/>
      <c r="B66" s="5682"/>
      <c r="C66" s="1379"/>
      <c r="D66" s="1380" t="s">
        <v>160</v>
      </c>
      <c r="E66" s="1381">
        <f t="shared" ref="E66:J66" si="4">SUM(E46:E65)</f>
        <v>1181</v>
      </c>
      <c r="F66" s="1381">
        <f t="shared" si="4"/>
        <v>1269</v>
      </c>
      <c r="G66" s="1381">
        <f t="shared" si="4"/>
        <v>1337</v>
      </c>
      <c r="H66" s="1381">
        <f t="shared" si="4"/>
        <v>1404</v>
      </c>
      <c r="I66" s="1381">
        <f t="shared" si="4"/>
        <v>1492</v>
      </c>
      <c r="J66" s="1381">
        <f t="shared" si="4"/>
        <v>1585</v>
      </c>
      <c r="K66" s="1381">
        <f>SUM(K46:K65)</f>
        <v>1659</v>
      </c>
    </row>
    <row r="67" spans="1:11" ht="15" x14ac:dyDescent="0.2">
      <c r="A67" s="5679"/>
      <c r="B67" s="5683" t="s">
        <v>6</v>
      </c>
      <c r="C67" s="3885" t="s">
        <v>26</v>
      </c>
      <c r="D67" s="1375" t="s">
        <v>78</v>
      </c>
      <c r="E67" s="1382">
        <v>350</v>
      </c>
      <c r="F67" s="1382">
        <v>374</v>
      </c>
      <c r="G67" s="1382">
        <v>487</v>
      </c>
      <c r="H67" s="1382">
        <v>595</v>
      </c>
      <c r="I67" s="1382">
        <v>612</v>
      </c>
      <c r="J67" s="1382">
        <v>635</v>
      </c>
      <c r="K67" s="1382">
        <v>651</v>
      </c>
    </row>
    <row r="68" spans="1:11" ht="15" x14ac:dyDescent="0.2">
      <c r="A68" s="5679"/>
      <c r="B68" s="5681"/>
      <c r="C68" s="5649" t="s">
        <v>27</v>
      </c>
      <c r="D68" s="1374" t="s">
        <v>554</v>
      </c>
      <c r="E68" s="1378">
        <v>80</v>
      </c>
      <c r="F68" s="1378">
        <v>80</v>
      </c>
      <c r="G68" s="1378">
        <v>80</v>
      </c>
      <c r="H68" s="1378">
        <v>80</v>
      </c>
      <c r="I68" s="1378">
        <v>80</v>
      </c>
      <c r="J68" s="1378">
        <v>80</v>
      </c>
      <c r="K68" s="1378">
        <v>80</v>
      </c>
    </row>
    <row r="69" spans="1:11" ht="15" x14ac:dyDescent="0.2">
      <c r="A69" s="5679"/>
      <c r="B69" s="5681"/>
      <c r="C69" s="5650"/>
      <c r="D69" s="1374" t="s">
        <v>383</v>
      </c>
      <c r="E69" s="1378">
        <v>52</v>
      </c>
      <c r="F69" s="1378">
        <v>52</v>
      </c>
      <c r="G69" s="1378">
        <v>53</v>
      </c>
      <c r="H69" s="1378">
        <v>53</v>
      </c>
      <c r="I69" s="1378">
        <v>53</v>
      </c>
      <c r="J69" s="1378">
        <v>53</v>
      </c>
      <c r="K69" s="1378">
        <v>53</v>
      </c>
    </row>
    <row r="70" spans="1:11" ht="15" x14ac:dyDescent="0.2">
      <c r="A70" s="5679"/>
      <c r="B70" s="5681"/>
      <c r="C70" s="5650"/>
      <c r="D70" s="1374" t="s">
        <v>408</v>
      </c>
      <c r="E70" s="1378">
        <v>35</v>
      </c>
      <c r="F70" s="1378">
        <v>38</v>
      </c>
      <c r="G70" s="1378">
        <v>38</v>
      </c>
      <c r="H70" s="1378">
        <v>38</v>
      </c>
      <c r="I70" s="1378">
        <v>38</v>
      </c>
      <c r="J70" s="1378">
        <v>38</v>
      </c>
      <c r="K70" s="1378">
        <v>38</v>
      </c>
    </row>
    <row r="71" spans="1:11" ht="15" x14ac:dyDescent="0.2">
      <c r="A71" s="5679"/>
      <c r="B71" s="5681"/>
      <c r="C71" s="5650"/>
      <c r="D71" s="1374" t="s">
        <v>80</v>
      </c>
      <c r="E71" s="1378">
        <v>215</v>
      </c>
      <c r="F71" s="1378">
        <v>217</v>
      </c>
      <c r="G71" s="1378">
        <v>232</v>
      </c>
      <c r="H71" s="1378">
        <v>225</v>
      </c>
      <c r="I71" s="1378">
        <v>225</v>
      </c>
      <c r="J71" s="1378">
        <v>241</v>
      </c>
      <c r="K71" s="1378">
        <v>241</v>
      </c>
    </row>
    <row r="72" spans="1:11" ht="15" x14ac:dyDescent="0.2">
      <c r="A72" s="5679"/>
      <c r="B72" s="5681"/>
      <c r="C72" s="5650"/>
      <c r="D72" s="1374" t="s">
        <v>81</v>
      </c>
      <c r="E72" s="1378">
        <v>74</v>
      </c>
      <c r="F72" s="1378">
        <v>91</v>
      </c>
      <c r="G72" s="1378">
        <v>100</v>
      </c>
      <c r="H72" s="1378">
        <v>109</v>
      </c>
      <c r="I72" s="1378">
        <v>115</v>
      </c>
      <c r="J72" s="1378">
        <v>128</v>
      </c>
      <c r="K72" s="1378">
        <v>130</v>
      </c>
    </row>
    <row r="73" spans="1:11" ht="15" x14ac:dyDescent="0.2">
      <c r="A73" s="5679"/>
      <c r="B73" s="5681"/>
      <c r="C73" s="5650"/>
      <c r="D73" s="1374" t="s">
        <v>79</v>
      </c>
      <c r="E73" s="1378">
        <v>129</v>
      </c>
      <c r="F73" s="1378">
        <v>154</v>
      </c>
      <c r="G73" s="1378">
        <v>211</v>
      </c>
      <c r="H73" s="1378">
        <v>229</v>
      </c>
      <c r="I73" s="1378">
        <v>270</v>
      </c>
      <c r="J73" s="1378">
        <v>314</v>
      </c>
      <c r="K73" s="1378">
        <v>328</v>
      </c>
    </row>
    <row r="74" spans="1:11" ht="15" x14ac:dyDescent="0.2">
      <c r="A74" s="5679"/>
      <c r="B74" s="5681"/>
      <c r="C74" s="5650"/>
      <c r="D74" s="1374" t="s">
        <v>82</v>
      </c>
      <c r="E74" s="1378">
        <v>101</v>
      </c>
      <c r="F74" s="1378">
        <v>125</v>
      </c>
      <c r="G74" s="1378">
        <v>137</v>
      </c>
      <c r="H74" s="1378">
        <v>163</v>
      </c>
      <c r="I74" s="1378">
        <v>169</v>
      </c>
      <c r="J74" s="1378">
        <v>192</v>
      </c>
      <c r="K74" s="1378">
        <v>196</v>
      </c>
    </row>
    <row r="75" spans="1:11" ht="15" x14ac:dyDescent="0.2">
      <c r="A75" s="5679"/>
      <c r="B75" s="5681"/>
      <c r="C75" s="5652"/>
      <c r="D75" s="1374" t="s">
        <v>139</v>
      </c>
      <c r="E75" s="1378">
        <v>23</v>
      </c>
      <c r="F75" s="1378">
        <v>25</v>
      </c>
      <c r="G75" s="1378">
        <v>41</v>
      </c>
      <c r="H75" s="1378">
        <v>44</v>
      </c>
      <c r="I75" s="1378">
        <v>61</v>
      </c>
      <c r="J75" s="1378">
        <v>83</v>
      </c>
      <c r="K75" s="1378">
        <v>92</v>
      </c>
    </row>
    <row r="76" spans="1:11" ht="15" x14ac:dyDescent="0.2">
      <c r="A76" s="5679"/>
      <c r="B76" s="5681"/>
      <c r="C76" s="5649" t="s">
        <v>28</v>
      </c>
      <c r="D76" s="4848" t="s">
        <v>143</v>
      </c>
      <c r="E76" s="1378">
        <v>19</v>
      </c>
      <c r="F76" s="1378">
        <v>19</v>
      </c>
      <c r="G76" s="1378">
        <v>19</v>
      </c>
      <c r="H76" s="1378">
        <v>19</v>
      </c>
      <c r="I76" s="1378">
        <v>19</v>
      </c>
      <c r="J76" s="1378">
        <v>19</v>
      </c>
      <c r="K76" s="1378">
        <v>19</v>
      </c>
    </row>
    <row r="77" spans="1:11" ht="15" x14ac:dyDescent="0.2">
      <c r="A77" s="5679"/>
      <c r="B77" s="5681"/>
      <c r="C77" s="5650"/>
      <c r="D77" s="1374" t="s">
        <v>84</v>
      </c>
      <c r="E77" s="1378">
        <v>102</v>
      </c>
      <c r="F77" s="1378">
        <v>114</v>
      </c>
      <c r="G77" s="1378">
        <v>127</v>
      </c>
      <c r="H77" s="1378">
        <v>140</v>
      </c>
      <c r="I77" s="1378">
        <v>150</v>
      </c>
      <c r="J77" s="1378">
        <v>161</v>
      </c>
      <c r="K77" s="1378">
        <v>170</v>
      </c>
    </row>
    <row r="78" spans="1:11" ht="15" x14ac:dyDescent="0.2">
      <c r="A78" s="5679"/>
      <c r="B78" s="5681"/>
      <c r="C78" s="5650"/>
      <c r="D78" s="1374" t="s">
        <v>85</v>
      </c>
      <c r="E78" s="1378">
        <v>123</v>
      </c>
      <c r="F78" s="1378">
        <v>131</v>
      </c>
      <c r="G78" s="1378">
        <v>147</v>
      </c>
      <c r="H78" s="1378">
        <v>150</v>
      </c>
      <c r="I78" s="1378">
        <v>161</v>
      </c>
      <c r="J78" s="1378">
        <v>187</v>
      </c>
      <c r="K78" s="1378">
        <v>196</v>
      </c>
    </row>
    <row r="79" spans="1:11" ht="15" x14ac:dyDescent="0.2">
      <c r="A79" s="5679"/>
      <c r="B79" s="5681"/>
      <c r="C79" s="5650"/>
      <c r="D79" s="1374" t="s">
        <v>83</v>
      </c>
      <c r="E79" s="1378">
        <v>61</v>
      </c>
      <c r="F79" s="1378">
        <v>73</v>
      </c>
      <c r="G79" s="1378">
        <v>90</v>
      </c>
      <c r="H79" s="1378">
        <v>108</v>
      </c>
      <c r="I79" s="1378">
        <v>135</v>
      </c>
      <c r="J79" s="1378">
        <v>160</v>
      </c>
      <c r="K79" s="1378">
        <v>177</v>
      </c>
    </row>
    <row r="80" spans="1:11" ht="15" x14ac:dyDescent="0.2">
      <c r="A80" s="5679"/>
      <c r="B80" s="5681"/>
      <c r="C80" s="5650"/>
      <c r="D80" s="1374" t="s">
        <v>86</v>
      </c>
      <c r="E80" s="1378">
        <v>57</v>
      </c>
      <c r="F80" s="1378">
        <v>68</v>
      </c>
      <c r="G80" s="1378">
        <v>80</v>
      </c>
      <c r="H80" s="1378">
        <v>94</v>
      </c>
      <c r="I80" s="1378">
        <v>101</v>
      </c>
      <c r="J80" s="1378">
        <v>112</v>
      </c>
      <c r="K80" s="1378">
        <v>115</v>
      </c>
    </row>
    <row r="81" spans="1:11" ht="15" x14ac:dyDescent="0.2">
      <c r="A81" s="5679"/>
      <c r="B81" s="5681"/>
      <c r="C81" s="5651"/>
      <c r="D81" s="4848" t="s">
        <v>1523</v>
      </c>
      <c r="E81" s="1378">
        <v>5</v>
      </c>
      <c r="F81" s="1378">
        <v>6</v>
      </c>
      <c r="G81" s="1378">
        <v>9</v>
      </c>
      <c r="H81" s="1378">
        <v>10</v>
      </c>
      <c r="I81" s="1378">
        <v>13</v>
      </c>
      <c r="J81" s="1378">
        <v>16</v>
      </c>
      <c r="K81" s="1378">
        <v>19</v>
      </c>
    </row>
    <row r="82" spans="1:11" ht="15" x14ac:dyDescent="0.2">
      <c r="A82" s="5679"/>
      <c r="B82" s="5682"/>
      <c r="C82" s="1379"/>
      <c r="D82" s="1380" t="s">
        <v>160</v>
      </c>
      <c r="E82" s="1381">
        <f t="shared" ref="E82:K82" si="5">SUM(E67:E81)</f>
        <v>1426</v>
      </c>
      <c r="F82" s="1381">
        <f t="shared" si="5"/>
        <v>1567</v>
      </c>
      <c r="G82" s="1381">
        <f t="shared" si="5"/>
        <v>1851</v>
      </c>
      <c r="H82" s="1381">
        <f t="shared" si="5"/>
        <v>2057</v>
      </c>
      <c r="I82" s="1381">
        <f t="shared" si="5"/>
        <v>2202</v>
      </c>
      <c r="J82" s="1381">
        <f t="shared" si="5"/>
        <v>2419</v>
      </c>
      <c r="K82" s="1381">
        <f t="shared" si="5"/>
        <v>2505</v>
      </c>
    </row>
    <row r="83" spans="1:11" ht="15" x14ac:dyDescent="0.2">
      <c r="A83" s="5679"/>
      <c r="B83" s="5683" t="s">
        <v>11</v>
      </c>
      <c r="C83" s="5649" t="s">
        <v>26</v>
      </c>
      <c r="D83" s="1375" t="s">
        <v>56</v>
      </c>
      <c r="E83" s="1382">
        <v>85</v>
      </c>
      <c r="F83" s="1382">
        <v>103</v>
      </c>
      <c r="G83" s="1382">
        <v>123</v>
      </c>
      <c r="H83" s="1382">
        <v>138</v>
      </c>
      <c r="I83" s="1382">
        <v>164</v>
      </c>
      <c r="J83" s="1382">
        <v>170</v>
      </c>
      <c r="K83" s="1382">
        <v>183</v>
      </c>
    </row>
    <row r="84" spans="1:11" ht="15" x14ac:dyDescent="0.2">
      <c r="A84" s="5679"/>
      <c r="B84" s="5681"/>
      <c r="C84" s="5650"/>
      <c r="D84" s="1374" t="s">
        <v>57</v>
      </c>
      <c r="E84" s="1378">
        <v>67</v>
      </c>
      <c r="F84" s="1378">
        <v>71</v>
      </c>
      <c r="G84" s="1378">
        <v>73</v>
      </c>
      <c r="H84" s="1378">
        <v>75</v>
      </c>
      <c r="I84" s="1378">
        <v>78</v>
      </c>
      <c r="J84" s="1378">
        <v>84</v>
      </c>
      <c r="K84" s="1378">
        <v>91</v>
      </c>
    </row>
    <row r="85" spans="1:11" ht="15" x14ac:dyDescent="0.2">
      <c r="A85" s="5679"/>
      <c r="B85" s="5681"/>
      <c r="C85" s="5649" t="s">
        <v>27</v>
      </c>
      <c r="D85" s="1374" t="s">
        <v>555</v>
      </c>
      <c r="E85" s="1378">
        <v>90</v>
      </c>
      <c r="F85" s="1378">
        <v>90</v>
      </c>
      <c r="G85" s="1378">
        <v>90</v>
      </c>
      <c r="H85" s="1378">
        <v>90</v>
      </c>
      <c r="I85" s="1378">
        <v>90</v>
      </c>
      <c r="J85" s="1378">
        <v>90</v>
      </c>
      <c r="K85" s="1378">
        <v>90</v>
      </c>
    </row>
    <row r="86" spans="1:11" ht="15" x14ac:dyDescent="0.2">
      <c r="A86" s="5679"/>
      <c r="B86" s="5681"/>
      <c r="C86" s="5650"/>
      <c r="D86" s="1374" t="s">
        <v>386</v>
      </c>
      <c r="E86" s="1378">
        <v>57</v>
      </c>
      <c r="F86" s="1378">
        <v>59</v>
      </c>
      <c r="G86" s="1378">
        <v>59</v>
      </c>
      <c r="H86" s="1378">
        <v>59</v>
      </c>
      <c r="I86" s="1378">
        <v>59</v>
      </c>
      <c r="J86" s="1378">
        <v>71</v>
      </c>
      <c r="K86" s="1378">
        <v>77</v>
      </c>
    </row>
    <row r="87" spans="1:11" ht="15" x14ac:dyDescent="0.2">
      <c r="A87" s="5679"/>
      <c r="B87" s="5681"/>
      <c r="C87" s="5650"/>
      <c r="D87" s="1374" t="s">
        <v>556</v>
      </c>
      <c r="E87" s="1378">
        <v>22</v>
      </c>
      <c r="F87" s="1378">
        <v>22</v>
      </c>
      <c r="G87" s="1378">
        <v>22</v>
      </c>
      <c r="H87" s="1378">
        <v>22</v>
      </c>
      <c r="I87" s="1378">
        <v>22</v>
      </c>
      <c r="J87" s="1378">
        <v>22</v>
      </c>
      <c r="K87" s="1378">
        <v>22</v>
      </c>
    </row>
    <row r="88" spans="1:11" ht="15" x14ac:dyDescent="0.2">
      <c r="A88" s="5679"/>
      <c r="B88" s="5681"/>
      <c r="C88" s="5650"/>
      <c r="D88" s="1374" t="s">
        <v>557</v>
      </c>
      <c r="E88" s="1378">
        <v>202</v>
      </c>
      <c r="F88" s="1378">
        <v>224</v>
      </c>
      <c r="G88" s="1378">
        <v>240</v>
      </c>
      <c r="H88" s="1378">
        <v>252</v>
      </c>
      <c r="I88" s="1378">
        <v>274</v>
      </c>
      <c r="J88" s="1378">
        <v>287</v>
      </c>
      <c r="K88" s="1378">
        <v>308</v>
      </c>
    </row>
    <row r="89" spans="1:11" ht="15" x14ac:dyDescent="0.2">
      <c r="A89" s="5679"/>
      <c r="B89" s="5681"/>
      <c r="C89" s="5650"/>
      <c r="D89" s="1374" t="s">
        <v>558</v>
      </c>
      <c r="E89" s="1378">
        <v>76</v>
      </c>
      <c r="F89" s="1378">
        <v>89</v>
      </c>
      <c r="G89" s="1378">
        <v>108</v>
      </c>
      <c r="H89" s="1378">
        <v>130</v>
      </c>
      <c r="I89" s="1378">
        <v>148</v>
      </c>
      <c r="J89" s="1378">
        <v>167</v>
      </c>
      <c r="K89" s="1378">
        <v>181</v>
      </c>
    </row>
    <row r="90" spans="1:11" ht="15" x14ac:dyDescent="0.2">
      <c r="A90" s="5679"/>
      <c r="B90" s="5681"/>
      <c r="C90" s="5652"/>
      <c r="D90" s="1374" t="s">
        <v>87</v>
      </c>
      <c r="E90" s="1378">
        <v>54</v>
      </c>
      <c r="F90" s="1378">
        <v>63</v>
      </c>
      <c r="G90" s="1378">
        <v>77</v>
      </c>
      <c r="H90" s="1378">
        <v>83</v>
      </c>
      <c r="I90" s="1378">
        <v>95</v>
      </c>
      <c r="J90" s="1378">
        <v>114</v>
      </c>
      <c r="K90" s="1378">
        <v>132</v>
      </c>
    </row>
    <row r="91" spans="1:11" ht="15" x14ac:dyDescent="0.2">
      <c r="A91" s="5679"/>
      <c r="B91" s="5681"/>
      <c r="C91" s="5649" t="s">
        <v>28</v>
      </c>
      <c r="D91" s="1374" t="s">
        <v>557</v>
      </c>
      <c r="E91" s="1378">
        <v>71</v>
      </c>
      <c r="F91" s="1378">
        <v>87</v>
      </c>
      <c r="G91" s="1378">
        <v>107</v>
      </c>
      <c r="H91" s="1378">
        <v>123</v>
      </c>
      <c r="I91" s="1378">
        <v>135</v>
      </c>
      <c r="J91" s="1378">
        <v>157</v>
      </c>
      <c r="K91" s="1378">
        <v>171</v>
      </c>
    </row>
    <row r="92" spans="1:11" ht="15" x14ac:dyDescent="0.2">
      <c r="A92" s="5679"/>
      <c r="B92" s="5681"/>
      <c r="C92" s="5650"/>
      <c r="D92" s="1374" t="s">
        <v>389</v>
      </c>
      <c r="E92" s="1378">
        <v>133</v>
      </c>
      <c r="F92" s="1378">
        <v>141</v>
      </c>
      <c r="G92" s="1378">
        <v>141</v>
      </c>
      <c r="H92" s="1378">
        <v>141</v>
      </c>
      <c r="I92" s="1378">
        <v>141</v>
      </c>
      <c r="J92" s="1378">
        <v>141</v>
      </c>
      <c r="K92" s="1378">
        <v>141</v>
      </c>
    </row>
    <row r="93" spans="1:11" ht="15" x14ac:dyDescent="0.2">
      <c r="A93" s="5679"/>
      <c r="B93" s="5681"/>
      <c r="C93" s="5650"/>
      <c r="D93" s="1374" t="s">
        <v>361</v>
      </c>
      <c r="E93" s="1378"/>
      <c r="F93" s="1378"/>
      <c r="G93" s="1378">
        <v>9</v>
      </c>
      <c r="H93" s="1378">
        <v>17</v>
      </c>
      <c r="I93" s="1378">
        <v>28</v>
      </c>
      <c r="J93" s="1378">
        <v>36</v>
      </c>
      <c r="K93" s="1378">
        <v>47</v>
      </c>
    </row>
    <row r="94" spans="1:11" ht="15" x14ac:dyDescent="0.2">
      <c r="A94" s="5679"/>
      <c r="B94" s="5681"/>
      <c r="C94" s="5651"/>
      <c r="D94" s="1374" t="s">
        <v>558</v>
      </c>
      <c r="E94" s="1378">
        <v>23</v>
      </c>
      <c r="F94" s="1378">
        <v>27</v>
      </c>
      <c r="G94" s="1378">
        <v>31</v>
      </c>
      <c r="H94" s="1378">
        <v>40</v>
      </c>
      <c r="I94" s="1378">
        <v>48</v>
      </c>
      <c r="J94" s="1378">
        <v>56</v>
      </c>
      <c r="K94" s="1378">
        <v>70</v>
      </c>
    </row>
    <row r="95" spans="1:11" ht="15" x14ac:dyDescent="0.2">
      <c r="A95" s="5679"/>
      <c r="B95" s="5682"/>
      <c r="C95" s="1380"/>
      <c r="D95" s="1380" t="s">
        <v>160</v>
      </c>
      <c r="E95" s="1381">
        <f t="shared" ref="E95:J95" si="6">SUM(E83:E94)</f>
        <v>880</v>
      </c>
      <c r="F95" s="1381">
        <f t="shared" si="6"/>
        <v>976</v>
      </c>
      <c r="G95" s="1381">
        <f t="shared" si="6"/>
        <v>1080</v>
      </c>
      <c r="H95" s="1381">
        <f t="shared" si="6"/>
        <v>1170</v>
      </c>
      <c r="I95" s="1381">
        <f t="shared" si="6"/>
        <v>1282</v>
      </c>
      <c r="J95" s="1381">
        <f t="shared" si="6"/>
        <v>1395</v>
      </c>
      <c r="K95" s="1381">
        <f>SUM(K83:K94)</f>
        <v>1513</v>
      </c>
    </row>
    <row r="96" spans="1:11" ht="15" x14ac:dyDescent="0.2">
      <c r="A96" s="5680"/>
      <c r="B96" s="2719"/>
      <c r="C96" s="2720"/>
      <c r="D96" s="2678" t="s">
        <v>530</v>
      </c>
      <c r="E96" s="2710">
        <f t="shared" ref="E96:K96" si="7">SUM(E95,E82,E66)</f>
        <v>3487</v>
      </c>
      <c r="F96" s="2710">
        <f t="shared" si="7"/>
        <v>3812</v>
      </c>
      <c r="G96" s="2710">
        <f t="shared" si="7"/>
        <v>4268</v>
      </c>
      <c r="H96" s="2710">
        <f t="shared" si="7"/>
        <v>4631</v>
      </c>
      <c r="I96" s="2710">
        <f t="shared" si="7"/>
        <v>4976</v>
      </c>
      <c r="J96" s="2710">
        <f t="shared" si="7"/>
        <v>5399</v>
      </c>
      <c r="K96" s="2710">
        <f t="shared" si="7"/>
        <v>5677</v>
      </c>
    </row>
    <row r="97" spans="1:11" ht="15" x14ac:dyDescent="0.2">
      <c r="A97" s="5661" t="s">
        <v>448</v>
      </c>
      <c r="B97" s="5664" t="s">
        <v>6</v>
      </c>
      <c r="C97" s="5650" t="s">
        <v>26</v>
      </c>
      <c r="D97" s="1375" t="s">
        <v>58</v>
      </c>
      <c r="E97" s="1382">
        <v>151</v>
      </c>
      <c r="F97" s="1382">
        <v>152</v>
      </c>
      <c r="G97" s="1382">
        <v>169</v>
      </c>
      <c r="H97" s="1382">
        <v>170</v>
      </c>
      <c r="I97" s="1382">
        <v>170</v>
      </c>
      <c r="J97" s="1382">
        <v>170</v>
      </c>
      <c r="K97" s="1382">
        <v>170</v>
      </c>
    </row>
    <row r="98" spans="1:11" ht="15" x14ac:dyDescent="0.2">
      <c r="A98" s="5662"/>
      <c r="B98" s="5664"/>
      <c r="C98" s="5650"/>
      <c r="D98" s="1374" t="s">
        <v>390</v>
      </c>
      <c r="E98" s="1378">
        <v>101</v>
      </c>
      <c r="F98" s="1378">
        <v>141</v>
      </c>
      <c r="G98" s="1378">
        <v>143</v>
      </c>
      <c r="H98" s="1378">
        <v>142</v>
      </c>
      <c r="I98" s="1378">
        <v>180</v>
      </c>
      <c r="J98" s="1378">
        <v>209</v>
      </c>
      <c r="K98" s="1378">
        <v>210</v>
      </c>
    </row>
    <row r="99" spans="1:11" ht="15" x14ac:dyDescent="0.2">
      <c r="A99" s="5662"/>
      <c r="B99" s="5664"/>
      <c r="C99" s="5649" t="s">
        <v>27</v>
      </c>
      <c r="D99" s="1374" t="s">
        <v>559</v>
      </c>
      <c r="E99" s="1378">
        <v>84</v>
      </c>
      <c r="F99" s="1378">
        <v>84</v>
      </c>
      <c r="G99" s="1378">
        <v>85</v>
      </c>
      <c r="H99" s="1378">
        <v>85</v>
      </c>
      <c r="I99" s="1378">
        <v>85</v>
      </c>
      <c r="J99" s="1378">
        <v>85</v>
      </c>
      <c r="K99" s="1378">
        <v>85</v>
      </c>
    </row>
    <row r="100" spans="1:11" ht="15" x14ac:dyDescent="0.2">
      <c r="A100" s="5662"/>
      <c r="B100" s="5664"/>
      <c r="C100" s="5650"/>
      <c r="D100" s="1374" t="s">
        <v>391</v>
      </c>
      <c r="E100" s="1378">
        <v>115</v>
      </c>
      <c r="F100" s="1378">
        <v>115</v>
      </c>
      <c r="G100" s="1378">
        <v>115</v>
      </c>
      <c r="H100" s="1378">
        <v>115</v>
      </c>
      <c r="I100" s="1378">
        <v>115</v>
      </c>
      <c r="J100" s="1378">
        <v>115</v>
      </c>
      <c r="K100" s="1378">
        <v>115</v>
      </c>
    </row>
    <row r="101" spans="1:11" ht="15" x14ac:dyDescent="0.2">
      <c r="A101" s="5662"/>
      <c r="B101" s="5664"/>
      <c r="C101" s="5650"/>
      <c r="D101" s="1374" t="s">
        <v>392</v>
      </c>
      <c r="E101" s="1378">
        <v>55</v>
      </c>
      <c r="F101" s="1378">
        <v>67</v>
      </c>
      <c r="G101" s="1378">
        <v>76</v>
      </c>
      <c r="H101" s="1378">
        <v>90</v>
      </c>
      <c r="I101" s="1378">
        <v>108</v>
      </c>
      <c r="J101" s="1378">
        <v>113</v>
      </c>
      <c r="K101" s="1378">
        <v>121</v>
      </c>
    </row>
    <row r="102" spans="1:11" ht="15" x14ac:dyDescent="0.2">
      <c r="A102" s="5662"/>
      <c r="B102" s="5664"/>
      <c r="C102" s="5650"/>
      <c r="D102" s="1374" t="s">
        <v>393</v>
      </c>
      <c r="E102" s="1378">
        <v>84</v>
      </c>
      <c r="F102" s="1378">
        <v>96</v>
      </c>
      <c r="G102" s="1378">
        <v>108</v>
      </c>
      <c r="H102" s="1378">
        <v>117</v>
      </c>
      <c r="I102" s="1378">
        <v>123</v>
      </c>
      <c r="J102" s="1378">
        <v>131</v>
      </c>
      <c r="K102" s="1378">
        <v>141</v>
      </c>
    </row>
    <row r="103" spans="1:11" ht="15" x14ac:dyDescent="0.2">
      <c r="A103" s="5662"/>
      <c r="B103" s="5664"/>
      <c r="C103" s="5650"/>
      <c r="D103" s="1374" t="s">
        <v>89</v>
      </c>
      <c r="E103" s="1378">
        <v>67</v>
      </c>
      <c r="F103" s="1378">
        <v>87</v>
      </c>
      <c r="G103" s="1378">
        <v>100</v>
      </c>
      <c r="H103" s="1378">
        <v>105</v>
      </c>
      <c r="I103" s="1378">
        <v>114</v>
      </c>
      <c r="J103" s="1378">
        <v>124</v>
      </c>
      <c r="K103" s="1378">
        <v>133</v>
      </c>
    </row>
    <row r="104" spans="1:11" ht="15" x14ac:dyDescent="0.2">
      <c r="A104" s="5662"/>
      <c r="B104" s="5664"/>
      <c r="C104" s="5650"/>
      <c r="D104" s="1374" t="s">
        <v>19</v>
      </c>
      <c r="E104" s="1378">
        <v>58</v>
      </c>
      <c r="F104" s="1378">
        <v>75</v>
      </c>
      <c r="G104" s="1378">
        <v>83</v>
      </c>
      <c r="H104" s="1378">
        <v>94</v>
      </c>
      <c r="I104" s="1378">
        <v>105</v>
      </c>
      <c r="J104" s="1378">
        <v>117</v>
      </c>
      <c r="K104" s="1378">
        <v>125</v>
      </c>
    </row>
    <row r="105" spans="1:11" ht="15" x14ac:dyDescent="0.2">
      <c r="A105" s="5662"/>
      <c r="B105" s="5664"/>
      <c r="C105" s="5650"/>
      <c r="D105" s="1374" t="s">
        <v>560</v>
      </c>
      <c r="E105" s="1378">
        <v>18</v>
      </c>
      <c r="F105" s="1378">
        <v>18</v>
      </c>
      <c r="G105" s="1378">
        <v>18</v>
      </c>
      <c r="H105" s="1378">
        <v>18</v>
      </c>
      <c r="I105" s="1378">
        <v>18</v>
      </c>
      <c r="J105" s="1378">
        <v>18</v>
      </c>
      <c r="K105" s="1378">
        <v>18</v>
      </c>
    </row>
    <row r="106" spans="1:11" ht="15" x14ac:dyDescent="0.2">
      <c r="A106" s="5662"/>
      <c r="B106" s="5664"/>
      <c r="C106" s="5650"/>
      <c r="D106" s="1374" t="s">
        <v>88</v>
      </c>
      <c r="E106" s="1378">
        <v>62</v>
      </c>
      <c r="F106" s="1378">
        <v>76</v>
      </c>
      <c r="G106" s="1378">
        <v>87</v>
      </c>
      <c r="H106" s="1378">
        <v>95</v>
      </c>
      <c r="I106" s="1378">
        <v>103</v>
      </c>
      <c r="J106" s="1378">
        <v>104</v>
      </c>
      <c r="K106" s="1378">
        <v>110</v>
      </c>
    </row>
    <row r="107" spans="1:11" ht="15" x14ac:dyDescent="0.2">
      <c r="A107" s="5662"/>
      <c r="B107" s="5664"/>
      <c r="C107" s="5650"/>
      <c r="D107" s="1374" t="s">
        <v>394</v>
      </c>
      <c r="E107" s="1378">
        <v>37</v>
      </c>
      <c r="F107" s="1378">
        <v>48</v>
      </c>
      <c r="G107" s="1378">
        <v>57</v>
      </c>
      <c r="H107" s="1378">
        <v>64</v>
      </c>
      <c r="I107" s="1378">
        <v>71</v>
      </c>
      <c r="J107" s="1378">
        <v>75</v>
      </c>
      <c r="K107" s="1378">
        <v>81</v>
      </c>
    </row>
    <row r="108" spans="1:11" ht="15" x14ac:dyDescent="0.2">
      <c r="A108" s="5662"/>
      <c r="B108" s="5664"/>
      <c r="C108" s="5650"/>
      <c r="D108" s="1374" t="s">
        <v>139</v>
      </c>
      <c r="E108" s="1378">
        <v>11</v>
      </c>
      <c r="F108" s="1378">
        <v>11</v>
      </c>
      <c r="G108" s="1378">
        <v>11</v>
      </c>
      <c r="H108" s="1378">
        <v>13</v>
      </c>
      <c r="I108" s="1378">
        <v>12</v>
      </c>
      <c r="J108" s="1378">
        <v>11</v>
      </c>
      <c r="K108" s="1378">
        <v>11</v>
      </c>
    </row>
    <row r="109" spans="1:11" ht="15" x14ac:dyDescent="0.2">
      <c r="A109" s="5662"/>
      <c r="B109" s="5664"/>
      <c r="C109" s="5650"/>
      <c r="D109" s="3792" t="s">
        <v>1300</v>
      </c>
      <c r="E109" s="1378">
        <v>120</v>
      </c>
      <c r="F109" s="1378">
        <v>147</v>
      </c>
      <c r="G109" s="1378">
        <v>184</v>
      </c>
      <c r="H109" s="1378">
        <v>194</v>
      </c>
      <c r="I109" s="1378">
        <v>205</v>
      </c>
      <c r="J109" s="1378">
        <v>220</v>
      </c>
      <c r="K109" s="1378">
        <v>244</v>
      </c>
    </row>
    <row r="110" spans="1:11" ht="15" x14ac:dyDescent="0.2">
      <c r="A110" s="5662"/>
      <c r="B110" s="5664"/>
      <c r="C110" s="5652"/>
      <c r="D110" s="3023" t="s">
        <v>419</v>
      </c>
      <c r="E110" s="1378"/>
      <c r="F110" s="1378"/>
      <c r="G110" s="1378"/>
      <c r="H110" s="1378"/>
      <c r="I110" s="1378"/>
      <c r="J110" s="1378">
        <v>8</v>
      </c>
      <c r="K110" s="1378">
        <v>10</v>
      </c>
    </row>
    <row r="111" spans="1:11" ht="15" x14ac:dyDescent="0.2">
      <c r="A111" s="5662"/>
      <c r="B111" s="5664"/>
      <c r="C111" s="5649" t="s">
        <v>28</v>
      </c>
      <c r="D111" s="1374" t="s">
        <v>20</v>
      </c>
      <c r="E111" s="1378">
        <v>164</v>
      </c>
      <c r="F111" s="1378">
        <v>202</v>
      </c>
      <c r="G111" s="1378">
        <v>227</v>
      </c>
      <c r="H111" s="1378">
        <v>244</v>
      </c>
      <c r="I111" s="1378">
        <v>267</v>
      </c>
      <c r="J111" s="1378">
        <v>285</v>
      </c>
      <c r="K111" s="1378">
        <v>308</v>
      </c>
    </row>
    <row r="112" spans="1:11" ht="15" x14ac:dyDescent="0.2">
      <c r="A112" s="5662"/>
      <c r="B112" s="5664"/>
      <c r="C112" s="5650"/>
      <c r="D112" s="1374" t="s">
        <v>143</v>
      </c>
      <c r="E112" s="1378">
        <v>7</v>
      </c>
      <c r="F112" s="1378">
        <v>7</v>
      </c>
      <c r="G112" s="1378">
        <v>8</v>
      </c>
      <c r="H112" s="1378">
        <v>10</v>
      </c>
      <c r="I112" s="1378">
        <v>15</v>
      </c>
      <c r="J112" s="1378">
        <v>18</v>
      </c>
      <c r="K112" s="1378">
        <v>18</v>
      </c>
    </row>
    <row r="113" spans="1:11" ht="15" x14ac:dyDescent="0.2">
      <c r="A113" s="5662"/>
      <c r="B113" s="5664"/>
      <c r="C113" s="5650"/>
      <c r="D113" s="1374" t="s">
        <v>90</v>
      </c>
      <c r="E113" s="1378">
        <v>12</v>
      </c>
      <c r="F113" s="1378">
        <v>19</v>
      </c>
      <c r="G113" s="1378">
        <v>26</v>
      </c>
      <c r="H113" s="1378">
        <v>32</v>
      </c>
      <c r="I113" s="1378">
        <v>36</v>
      </c>
      <c r="J113" s="1378">
        <v>42</v>
      </c>
      <c r="K113" s="1378">
        <v>52</v>
      </c>
    </row>
    <row r="114" spans="1:11" ht="15" x14ac:dyDescent="0.2">
      <c r="A114" s="5662"/>
      <c r="B114" s="5665"/>
      <c r="C114" s="1385"/>
      <c r="D114" s="1380" t="s">
        <v>160</v>
      </c>
      <c r="E114" s="1381">
        <f t="shared" ref="E114:J114" si="8">SUM(E97:E113)</f>
        <v>1146</v>
      </c>
      <c r="F114" s="1381">
        <f t="shared" si="8"/>
        <v>1345</v>
      </c>
      <c r="G114" s="1381">
        <f t="shared" si="8"/>
        <v>1497</v>
      </c>
      <c r="H114" s="1381">
        <f t="shared" si="8"/>
        <v>1588</v>
      </c>
      <c r="I114" s="1381">
        <f t="shared" si="8"/>
        <v>1727</v>
      </c>
      <c r="J114" s="1381">
        <f t="shared" si="8"/>
        <v>1845</v>
      </c>
      <c r="K114" s="1381">
        <f>SUM(K97:K113)</f>
        <v>1952</v>
      </c>
    </row>
    <row r="115" spans="1:11" ht="15" x14ac:dyDescent="0.2">
      <c r="A115" s="5662"/>
      <c r="B115" s="5666" t="s">
        <v>11</v>
      </c>
      <c r="C115" s="5673" t="s">
        <v>26</v>
      </c>
      <c r="D115" s="1375" t="s">
        <v>91</v>
      </c>
      <c r="E115" s="1382">
        <v>84</v>
      </c>
      <c r="F115" s="1382">
        <v>84</v>
      </c>
      <c r="G115" s="1382">
        <v>87</v>
      </c>
      <c r="H115" s="1382">
        <v>87</v>
      </c>
      <c r="I115" s="1382">
        <v>87</v>
      </c>
      <c r="J115" s="1382">
        <v>88</v>
      </c>
      <c r="K115" s="1382">
        <v>94</v>
      </c>
    </row>
    <row r="116" spans="1:11" ht="15" x14ac:dyDescent="0.2">
      <c r="A116" s="5662"/>
      <c r="B116" s="5664"/>
      <c r="C116" s="5674"/>
      <c r="D116" s="1374" t="s">
        <v>397</v>
      </c>
      <c r="E116" s="1378">
        <v>76</v>
      </c>
      <c r="F116" s="1378">
        <v>76</v>
      </c>
      <c r="G116" s="1378">
        <v>76</v>
      </c>
      <c r="H116" s="1378">
        <v>76</v>
      </c>
      <c r="I116" s="1378">
        <v>76</v>
      </c>
      <c r="J116" s="1378">
        <v>76</v>
      </c>
      <c r="K116" s="1378">
        <v>76</v>
      </c>
    </row>
    <row r="117" spans="1:11" ht="15" x14ac:dyDescent="0.2">
      <c r="A117" s="5662"/>
      <c r="B117" s="5664"/>
      <c r="C117" s="5674"/>
      <c r="D117" s="1374" t="s">
        <v>395</v>
      </c>
      <c r="E117" s="1378">
        <v>45</v>
      </c>
      <c r="F117" s="1378">
        <v>45</v>
      </c>
      <c r="G117" s="1378">
        <v>45</v>
      </c>
      <c r="H117" s="1378">
        <v>45</v>
      </c>
      <c r="I117" s="1378">
        <v>45</v>
      </c>
      <c r="J117" s="1378">
        <v>55</v>
      </c>
      <c r="K117" s="1378">
        <v>45</v>
      </c>
    </row>
    <row r="118" spans="1:11" ht="15" x14ac:dyDescent="0.2">
      <c r="A118" s="5662"/>
      <c r="B118" s="5664"/>
      <c r="C118" s="5675"/>
      <c r="D118" s="1374" t="s">
        <v>561</v>
      </c>
      <c r="E118" s="1378">
        <v>15</v>
      </c>
      <c r="F118" s="1378">
        <v>20</v>
      </c>
      <c r="G118" s="1378">
        <v>22</v>
      </c>
      <c r="H118" s="1378">
        <v>30</v>
      </c>
      <c r="I118" s="1378">
        <v>30</v>
      </c>
      <c r="J118" s="1378">
        <v>30</v>
      </c>
      <c r="K118" s="1378">
        <v>40</v>
      </c>
    </row>
    <row r="119" spans="1:11" ht="15" x14ac:dyDescent="0.2">
      <c r="A119" s="5662"/>
      <c r="B119" s="5664"/>
      <c r="C119" s="5649" t="s">
        <v>27</v>
      </c>
      <c r="D119" s="1374" t="s">
        <v>94</v>
      </c>
      <c r="E119" s="1378">
        <v>158</v>
      </c>
      <c r="F119" s="1378">
        <v>168</v>
      </c>
      <c r="G119" s="1378">
        <v>168</v>
      </c>
      <c r="H119" s="1378">
        <v>169</v>
      </c>
      <c r="I119" s="1378">
        <v>172</v>
      </c>
      <c r="J119" s="1378">
        <v>174</v>
      </c>
      <c r="K119" s="1378">
        <v>181</v>
      </c>
    </row>
    <row r="120" spans="1:11" ht="15" x14ac:dyDescent="0.2">
      <c r="A120" s="5662"/>
      <c r="B120" s="5664"/>
      <c r="C120" s="5650"/>
      <c r="D120" s="1374" t="s">
        <v>93</v>
      </c>
      <c r="E120" s="1378">
        <v>105</v>
      </c>
      <c r="F120" s="1378">
        <v>117</v>
      </c>
      <c r="G120" s="1378">
        <v>138</v>
      </c>
      <c r="H120" s="1378">
        <v>148</v>
      </c>
      <c r="I120" s="1378">
        <v>167</v>
      </c>
      <c r="J120" s="1378">
        <v>171</v>
      </c>
      <c r="K120" s="1378">
        <v>181</v>
      </c>
    </row>
    <row r="121" spans="1:11" ht="15" x14ac:dyDescent="0.2">
      <c r="A121" s="5662"/>
      <c r="B121" s="5664"/>
      <c r="C121" s="5650"/>
      <c r="D121" s="1374" t="s">
        <v>398</v>
      </c>
      <c r="E121" s="1378">
        <v>64</v>
      </c>
      <c r="F121" s="1378">
        <v>75</v>
      </c>
      <c r="G121" s="1378">
        <v>79</v>
      </c>
      <c r="H121" s="1378">
        <v>84</v>
      </c>
      <c r="I121" s="1378">
        <v>93</v>
      </c>
      <c r="J121" s="1378">
        <v>96</v>
      </c>
      <c r="K121" s="1378">
        <v>104</v>
      </c>
    </row>
    <row r="122" spans="1:11" ht="15" x14ac:dyDescent="0.2">
      <c r="A122" s="5662"/>
      <c r="B122" s="5664"/>
      <c r="C122" s="5650"/>
      <c r="D122" s="1374" t="s">
        <v>562</v>
      </c>
      <c r="E122" s="1378">
        <v>11</v>
      </c>
      <c r="F122" s="1378">
        <v>13</v>
      </c>
      <c r="G122" s="1378">
        <v>13</v>
      </c>
      <c r="H122" s="1378">
        <v>14</v>
      </c>
      <c r="I122" s="1378">
        <v>14</v>
      </c>
      <c r="J122" s="1378">
        <v>19</v>
      </c>
      <c r="K122" s="1378">
        <v>19</v>
      </c>
    </row>
    <row r="123" spans="1:11" ht="15" x14ac:dyDescent="0.2">
      <c r="A123" s="5662"/>
      <c r="B123" s="5664"/>
      <c r="C123" s="5650"/>
      <c r="D123" s="1374" t="s">
        <v>95</v>
      </c>
      <c r="E123" s="1378">
        <v>60</v>
      </c>
      <c r="F123" s="1378">
        <v>69</v>
      </c>
      <c r="G123" s="1378">
        <v>89</v>
      </c>
      <c r="H123" s="1378">
        <v>98</v>
      </c>
      <c r="I123" s="1378">
        <v>110</v>
      </c>
      <c r="J123" s="1378">
        <v>123</v>
      </c>
      <c r="K123" s="1378">
        <v>136</v>
      </c>
    </row>
    <row r="124" spans="1:11" ht="15" x14ac:dyDescent="0.2">
      <c r="A124" s="5662"/>
      <c r="B124" s="5664"/>
      <c r="C124" s="5650"/>
      <c r="D124" s="1374" t="s">
        <v>535</v>
      </c>
      <c r="E124" s="1378"/>
      <c r="F124" s="1378"/>
      <c r="G124" s="1378">
        <v>4</v>
      </c>
      <c r="H124" s="1378">
        <v>4</v>
      </c>
      <c r="I124" s="1378">
        <v>10</v>
      </c>
      <c r="J124" s="1378">
        <v>10</v>
      </c>
      <c r="K124" s="1378">
        <v>15</v>
      </c>
    </row>
    <row r="125" spans="1:11" ht="15" x14ac:dyDescent="0.2">
      <c r="A125" s="5662"/>
      <c r="B125" s="5664"/>
      <c r="C125" s="5652"/>
      <c r="D125" s="1374" t="s">
        <v>92</v>
      </c>
      <c r="E125" s="1378">
        <v>56</v>
      </c>
      <c r="F125" s="1378">
        <v>69</v>
      </c>
      <c r="G125" s="1378">
        <v>84</v>
      </c>
      <c r="H125" s="1378">
        <v>90</v>
      </c>
      <c r="I125" s="1378">
        <v>104</v>
      </c>
      <c r="J125" s="1378">
        <v>126</v>
      </c>
      <c r="K125" s="1378">
        <v>147</v>
      </c>
    </row>
    <row r="126" spans="1:11" ht="15" x14ac:dyDescent="0.2">
      <c r="A126" s="5662"/>
      <c r="B126" s="5664"/>
      <c r="C126" s="5649" t="s">
        <v>28</v>
      </c>
      <c r="D126" s="1374" t="s">
        <v>389</v>
      </c>
      <c r="E126" s="1378">
        <v>75</v>
      </c>
      <c r="F126" s="1378">
        <v>86</v>
      </c>
      <c r="G126" s="1378">
        <v>86</v>
      </c>
      <c r="H126" s="1378">
        <v>86</v>
      </c>
      <c r="I126" s="1378">
        <v>86</v>
      </c>
      <c r="J126" s="1378">
        <v>86</v>
      </c>
      <c r="K126" s="1378">
        <v>86</v>
      </c>
    </row>
    <row r="127" spans="1:11" ht="15" x14ac:dyDescent="0.2">
      <c r="A127" s="5662"/>
      <c r="B127" s="5664"/>
      <c r="C127" s="5650"/>
      <c r="D127" s="1374" t="s">
        <v>361</v>
      </c>
      <c r="E127" s="1378"/>
      <c r="F127" s="1378"/>
      <c r="G127" s="1378">
        <v>16</v>
      </c>
      <c r="H127" s="1378">
        <v>30</v>
      </c>
      <c r="I127" s="1378">
        <v>37</v>
      </c>
      <c r="J127" s="1378">
        <v>44</v>
      </c>
      <c r="K127" s="1378">
        <v>57</v>
      </c>
    </row>
    <row r="128" spans="1:11" ht="15" x14ac:dyDescent="0.2">
      <c r="A128" s="5662"/>
      <c r="B128" s="5664"/>
      <c r="C128" s="5650"/>
      <c r="D128" s="1374" t="s">
        <v>96</v>
      </c>
      <c r="E128" s="1378">
        <v>10</v>
      </c>
      <c r="F128" s="1378">
        <v>14</v>
      </c>
      <c r="G128" s="1378">
        <v>20</v>
      </c>
      <c r="H128" s="1378">
        <v>23</v>
      </c>
      <c r="I128" s="1378">
        <v>31</v>
      </c>
      <c r="J128" s="1378">
        <v>37</v>
      </c>
      <c r="K128" s="1378">
        <v>40</v>
      </c>
    </row>
    <row r="129" spans="1:11" ht="15" x14ac:dyDescent="0.2">
      <c r="A129" s="5662"/>
      <c r="B129" s="5665"/>
      <c r="C129" s="1385"/>
      <c r="D129" s="1380" t="s">
        <v>160</v>
      </c>
      <c r="E129" s="1381">
        <f t="shared" ref="E129:J129" si="9">SUM(E115:E128)</f>
        <v>759</v>
      </c>
      <c r="F129" s="1381">
        <f t="shared" si="9"/>
        <v>836</v>
      </c>
      <c r="G129" s="1381">
        <f t="shared" si="9"/>
        <v>927</v>
      </c>
      <c r="H129" s="1381">
        <f t="shared" si="9"/>
        <v>984</v>
      </c>
      <c r="I129" s="1381">
        <f t="shared" si="9"/>
        <v>1062</v>
      </c>
      <c r="J129" s="1381">
        <f t="shared" si="9"/>
        <v>1135</v>
      </c>
      <c r="K129" s="1381">
        <f>SUM(K115:K128)</f>
        <v>1221</v>
      </c>
    </row>
    <row r="130" spans="1:11" ht="15" x14ac:dyDescent="0.2">
      <c r="A130" s="5662"/>
      <c r="B130" s="5666" t="s">
        <v>7</v>
      </c>
      <c r="C130" s="5676" t="s">
        <v>27</v>
      </c>
      <c r="D130" s="1375" t="s">
        <v>1</v>
      </c>
      <c r="E130" s="1382">
        <v>132</v>
      </c>
      <c r="F130" s="1382">
        <v>147</v>
      </c>
      <c r="G130" s="1382">
        <v>168</v>
      </c>
      <c r="H130" s="1382">
        <v>180</v>
      </c>
      <c r="I130" s="1382">
        <v>195</v>
      </c>
      <c r="J130" s="1382">
        <v>214</v>
      </c>
      <c r="K130" s="1382">
        <v>233</v>
      </c>
    </row>
    <row r="131" spans="1:11" ht="15" x14ac:dyDescent="0.2">
      <c r="A131" s="5662"/>
      <c r="B131" s="5664"/>
      <c r="C131" s="5676"/>
      <c r="D131" s="1374" t="s">
        <v>537</v>
      </c>
      <c r="E131" s="1378"/>
      <c r="F131" s="1378"/>
      <c r="G131" s="1378">
        <v>13</v>
      </c>
      <c r="H131" s="1378">
        <v>13</v>
      </c>
      <c r="I131" s="1378">
        <v>22</v>
      </c>
      <c r="J131" s="1378">
        <v>23</v>
      </c>
      <c r="K131" s="1378">
        <v>38</v>
      </c>
    </row>
    <row r="132" spans="1:11" ht="15" x14ac:dyDescent="0.2">
      <c r="A132" s="5662"/>
      <c r="B132" s="5664"/>
      <c r="C132" s="5677"/>
      <c r="D132" s="1374" t="s">
        <v>538</v>
      </c>
      <c r="E132" s="1378"/>
      <c r="F132" s="1378"/>
      <c r="G132" s="1378"/>
      <c r="H132" s="1378">
        <v>2</v>
      </c>
      <c r="I132" s="1378">
        <v>29</v>
      </c>
      <c r="J132" s="1378">
        <v>32</v>
      </c>
      <c r="K132" s="1378">
        <v>49</v>
      </c>
    </row>
    <row r="133" spans="1:11" ht="15" x14ac:dyDescent="0.2">
      <c r="A133" s="5662"/>
      <c r="B133" s="5664"/>
      <c r="C133" s="1376" t="s">
        <v>28</v>
      </c>
      <c r="D133" s="1374" t="s">
        <v>2</v>
      </c>
      <c r="E133" s="1378">
        <v>4</v>
      </c>
      <c r="F133" s="1378">
        <v>7</v>
      </c>
      <c r="G133" s="1378">
        <v>11</v>
      </c>
      <c r="H133" s="1378">
        <v>16</v>
      </c>
      <c r="I133" s="1378">
        <v>18</v>
      </c>
      <c r="J133" s="1378">
        <v>24</v>
      </c>
      <c r="K133" s="1378">
        <v>30</v>
      </c>
    </row>
    <row r="134" spans="1:11" ht="15" x14ac:dyDescent="0.2">
      <c r="A134" s="5662"/>
      <c r="B134" s="5665"/>
      <c r="C134" s="1385"/>
      <c r="D134" s="1380" t="s">
        <v>160</v>
      </c>
      <c r="E134" s="1381">
        <f t="shared" ref="E134:J134" si="10">SUM(E130:E133)</f>
        <v>136</v>
      </c>
      <c r="F134" s="1381">
        <f t="shared" si="10"/>
        <v>154</v>
      </c>
      <c r="G134" s="1381">
        <f t="shared" si="10"/>
        <v>192</v>
      </c>
      <c r="H134" s="1381">
        <f t="shared" si="10"/>
        <v>211</v>
      </c>
      <c r="I134" s="1381">
        <f t="shared" si="10"/>
        <v>264</v>
      </c>
      <c r="J134" s="1381">
        <f t="shared" si="10"/>
        <v>293</v>
      </c>
      <c r="K134" s="1381">
        <f>SUM(K130:K133)</f>
        <v>350</v>
      </c>
    </row>
    <row r="135" spans="1:11" ht="15" x14ac:dyDescent="0.2">
      <c r="A135" s="5663"/>
      <c r="B135" s="2717"/>
      <c r="C135" s="2718"/>
      <c r="D135" s="2677" t="s">
        <v>531</v>
      </c>
      <c r="E135" s="2711">
        <f t="shared" ref="E135:K135" si="11">SUM(E134,E129,E114)</f>
        <v>2041</v>
      </c>
      <c r="F135" s="2711">
        <f t="shared" si="11"/>
        <v>2335</v>
      </c>
      <c r="G135" s="2711">
        <f t="shared" si="11"/>
        <v>2616</v>
      </c>
      <c r="H135" s="2711">
        <f t="shared" si="11"/>
        <v>2783</v>
      </c>
      <c r="I135" s="2711">
        <f t="shared" si="11"/>
        <v>3053</v>
      </c>
      <c r="J135" s="2711">
        <f t="shared" si="11"/>
        <v>3273</v>
      </c>
      <c r="K135" s="2711">
        <f t="shared" si="11"/>
        <v>3523</v>
      </c>
    </row>
    <row r="136" spans="1:11" ht="15" customHeight="1" x14ac:dyDescent="0.2">
      <c r="A136" s="5670" t="s">
        <v>436</v>
      </c>
      <c r="B136" s="5667" t="s">
        <v>6</v>
      </c>
      <c r="C136" s="2987" t="s">
        <v>27</v>
      </c>
      <c r="D136" s="1804" t="s">
        <v>667</v>
      </c>
      <c r="E136" s="1805"/>
      <c r="F136"/>
      <c r="G136" s="1805"/>
      <c r="I136" s="1382">
        <v>10</v>
      </c>
      <c r="J136" s="1382">
        <v>16</v>
      </c>
      <c r="K136" s="1382">
        <v>25</v>
      </c>
    </row>
    <row r="137" spans="1:11" ht="15" customHeight="1" x14ac:dyDescent="0.2">
      <c r="A137" s="5671"/>
      <c r="B137" s="5668"/>
      <c r="C137" s="2988" t="s">
        <v>28</v>
      </c>
      <c r="D137" s="1804" t="s">
        <v>667</v>
      </c>
      <c r="E137" s="1806"/>
      <c r="F137"/>
      <c r="G137" s="1806"/>
      <c r="I137" s="3024"/>
      <c r="J137" s="3024">
        <v>2</v>
      </c>
      <c r="K137" s="3024">
        <v>3</v>
      </c>
    </row>
    <row r="138" spans="1:11" ht="15" customHeight="1" x14ac:dyDescent="0.2">
      <c r="A138" s="5671"/>
      <c r="B138" s="5668"/>
      <c r="C138" s="3026"/>
      <c r="D138" s="1380" t="s">
        <v>160</v>
      </c>
      <c r="E138" s="1381"/>
      <c r="F138" s="1807"/>
      <c r="G138" s="1381"/>
      <c r="H138" s="1807"/>
      <c r="I138" s="1381">
        <f>SUM(I136)</f>
        <v>10</v>
      </c>
      <c r="J138" s="1381">
        <f>SUM(J136:J137)</f>
        <v>18</v>
      </c>
      <c r="K138" s="1381">
        <f>SUM(K136:K137)</f>
        <v>28</v>
      </c>
    </row>
    <row r="139" spans="1:11" ht="15" customHeight="1" x14ac:dyDescent="0.2">
      <c r="A139" s="5671"/>
      <c r="B139" s="5667" t="s">
        <v>9</v>
      </c>
      <c r="C139" s="2987" t="s">
        <v>27</v>
      </c>
      <c r="D139" s="3030" t="s">
        <v>415</v>
      </c>
      <c r="E139" s="1805"/>
      <c r="F139"/>
      <c r="G139" s="1805"/>
      <c r="I139" s="1382"/>
      <c r="J139" s="1382">
        <v>8</v>
      </c>
      <c r="K139" s="1382">
        <v>21</v>
      </c>
    </row>
    <row r="140" spans="1:11" ht="15" customHeight="1" x14ac:dyDescent="0.2">
      <c r="A140" s="5671"/>
      <c r="B140" s="5669"/>
      <c r="C140" s="3026"/>
      <c r="D140" s="3027"/>
      <c r="E140" s="3028"/>
      <c r="F140" s="3029"/>
      <c r="G140" s="3028"/>
      <c r="H140" s="3029"/>
      <c r="I140" s="3028"/>
      <c r="J140" s="3028">
        <f>SUM(J139)</f>
        <v>8</v>
      </c>
      <c r="K140" s="3028">
        <f>SUM(K139)</f>
        <v>21</v>
      </c>
    </row>
    <row r="141" spans="1:11" ht="15" customHeight="1" x14ac:dyDescent="0.2">
      <c r="A141" s="5671"/>
      <c r="B141" s="5667" t="s">
        <v>74</v>
      </c>
      <c r="C141" s="3025" t="s">
        <v>26</v>
      </c>
      <c r="D141" s="250" t="s">
        <v>639</v>
      </c>
      <c r="E141" s="1806"/>
      <c r="F141"/>
      <c r="G141" s="1806"/>
      <c r="I141" s="1382">
        <v>2</v>
      </c>
      <c r="J141" s="1382">
        <v>4</v>
      </c>
      <c r="K141" s="1382">
        <v>6</v>
      </c>
    </row>
    <row r="142" spans="1:11" ht="15" customHeight="1" x14ac:dyDescent="0.2">
      <c r="A142" s="5671"/>
      <c r="B142" s="5668"/>
      <c r="C142" s="2987" t="s">
        <v>27</v>
      </c>
      <c r="D142" s="250" t="s">
        <v>639</v>
      </c>
      <c r="E142" s="1806"/>
      <c r="F142"/>
      <c r="G142" s="1806"/>
      <c r="I142" s="3024"/>
      <c r="J142" s="3024">
        <v>1</v>
      </c>
      <c r="K142" s="3024">
        <v>8</v>
      </c>
    </row>
    <row r="143" spans="1:11" ht="15" customHeight="1" x14ac:dyDescent="0.2">
      <c r="A143" s="5671"/>
      <c r="B143" s="5668"/>
      <c r="C143" s="5659" t="s">
        <v>28</v>
      </c>
      <c r="D143" s="250" t="s">
        <v>639</v>
      </c>
      <c r="E143" s="1806"/>
      <c r="F143"/>
      <c r="G143" s="1806"/>
      <c r="I143" s="3024"/>
      <c r="J143" s="3024"/>
      <c r="K143" s="3024">
        <v>1</v>
      </c>
    </row>
    <row r="144" spans="1:11" ht="15" customHeight="1" x14ac:dyDescent="0.2">
      <c r="A144" s="5671"/>
      <c r="B144" s="5668"/>
      <c r="C144" s="5650"/>
      <c r="D144" s="23" t="s">
        <v>361</v>
      </c>
      <c r="E144" s="1806"/>
      <c r="F144"/>
      <c r="G144" s="1806"/>
      <c r="I144" s="3024"/>
      <c r="J144" s="3024"/>
      <c r="K144" s="3024">
        <v>1</v>
      </c>
    </row>
    <row r="145" spans="1:11" ht="15" customHeight="1" x14ac:dyDescent="0.2">
      <c r="A145" s="5671"/>
      <c r="B145" s="5669"/>
      <c r="C145" s="3026"/>
      <c r="D145" s="1380" t="s">
        <v>160</v>
      </c>
      <c r="E145" s="1381"/>
      <c r="F145" s="1807"/>
      <c r="G145" s="1381"/>
      <c r="H145" s="1807"/>
      <c r="I145" s="1381">
        <f>SUM(I141)</f>
        <v>2</v>
      </c>
      <c r="J145" s="1381">
        <f>SUM(J141:J142)</f>
        <v>5</v>
      </c>
      <c r="K145" s="1381">
        <f>SUM(K141:K144)</f>
        <v>16</v>
      </c>
    </row>
    <row r="146" spans="1:11" ht="15" customHeight="1" x14ac:dyDescent="0.2">
      <c r="A146" s="5672"/>
      <c r="B146" s="2714"/>
      <c r="C146" s="2715"/>
      <c r="D146" s="2716" t="s">
        <v>532</v>
      </c>
      <c r="E146" s="2712"/>
      <c r="F146" s="2713"/>
      <c r="G146" s="2712"/>
      <c r="H146" s="2713"/>
      <c r="I146" s="2712">
        <f>SUM(I145,I138)</f>
        <v>12</v>
      </c>
      <c r="J146" s="2712">
        <f>SUM(J145,J140,J138)</f>
        <v>31</v>
      </c>
      <c r="K146" s="2712">
        <f>SUM(K145,K140,K138)</f>
        <v>65</v>
      </c>
    </row>
    <row r="147" spans="1:11" ht="15" customHeight="1" x14ac:dyDescent="0.25">
      <c r="A147" s="251"/>
      <c r="B147" s="263"/>
      <c r="C147" s="263"/>
      <c r="D147" s="263"/>
      <c r="E147" s="263"/>
      <c r="F147" s="263"/>
      <c r="G147" s="263"/>
      <c r="H147" s="263"/>
      <c r="I147" s="263"/>
      <c r="J147" s="263"/>
      <c r="K147" s="263"/>
    </row>
    <row r="148" spans="1:11" ht="15" customHeight="1" x14ac:dyDescent="0.2">
      <c r="A148" s="5580" t="s">
        <v>76</v>
      </c>
      <c r="B148" s="5660"/>
      <c r="C148" s="5660"/>
      <c r="D148" s="5575"/>
      <c r="E148" s="559">
        <f>SUM(E45,E96,E135)</f>
        <v>6749</v>
      </c>
      <c r="F148" s="559">
        <f>SUM(F45,F96,F135)</f>
        <v>7493</v>
      </c>
      <c r="G148" s="559">
        <f>SUM(G45,G96,G135)</f>
        <v>8408</v>
      </c>
      <c r="H148" s="559">
        <f>SUM(H45,H96,H135)</f>
        <v>9069</v>
      </c>
      <c r="I148" s="559">
        <f>SUM(I45,I96,I135,I146)</f>
        <v>9862</v>
      </c>
      <c r="J148" s="559">
        <f>SUM(J45,J96,J135,J146)</f>
        <v>10673</v>
      </c>
      <c r="K148" s="559">
        <f>SUM(K45,K96,K135,K146)</f>
        <v>11332</v>
      </c>
    </row>
  </sheetData>
  <mergeCells count="41">
    <mergeCell ref="C46:C59"/>
    <mergeCell ref="C143:C144"/>
    <mergeCell ref="A46:A96"/>
    <mergeCell ref="B46:B66"/>
    <mergeCell ref="B67:B82"/>
    <mergeCell ref="B83:B95"/>
    <mergeCell ref="C60:C65"/>
    <mergeCell ref="C68:C75"/>
    <mergeCell ref="C76:C81"/>
    <mergeCell ref="C83:C84"/>
    <mergeCell ref="C85:C90"/>
    <mergeCell ref="C91:C94"/>
    <mergeCell ref="A148:D148"/>
    <mergeCell ref="A97:A135"/>
    <mergeCell ref="B97:B114"/>
    <mergeCell ref="B115:B129"/>
    <mergeCell ref="B136:B138"/>
    <mergeCell ref="B141:B145"/>
    <mergeCell ref="A136:A146"/>
    <mergeCell ref="C99:C110"/>
    <mergeCell ref="B139:B140"/>
    <mergeCell ref="C119:C125"/>
    <mergeCell ref="C115:C118"/>
    <mergeCell ref="B130:B134"/>
    <mergeCell ref="C97:C98"/>
    <mergeCell ref="C130:C132"/>
    <mergeCell ref="C111:C113"/>
    <mergeCell ref="C126:C128"/>
    <mergeCell ref="A1:C1"/>
    <mergeCell ref="C23:C25"/>
    <mergeCell ref="C10:C11"/>
    <mergeCell ref="C13:C15"/>
    <mergeCell ref="B4:B12"/>
    <mergeCell ref="B13:B26"/>
    <mergeCell ref="C5:C9"/>
    <mergeCell ref="C16:C22"/>
    <mergeCell ref="A4:A45"/>
    <mergeCell ref="B27:B44"/>
    <mergeCell ref="C27:C32"/>
    <mergeCell ref="C33:C39"/>
    <mergeCell ref="C40:C43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scale="45" orientation="landscape" r:id="rId1"/>
  <rowBreaks count="1" manualBreakCount="1">
    <brk id="96" max="16383" man="1"/>
  </rowBreaks>
  <ignoredErrors>
    <ignoredError sqref="E12:H12 I12:K12" formulaRange="1"/>
  </ignoredError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AD76"/>
  <sheetViews>
    <sheetView showGridLines="0" zoomScaleNormal="100" zoomScaleSheetLayoutView="90" workbookViewId="0">
      <pane xSplit="2" ySplit="5" topLeftCell="T6" activePane="bottomRight" state="frozen"/>
      <selection pane="topRight" activeCell="D1" sqref="D1"/>
      <selection pane="bottomLeft" activeCell="A7" sqref="A7"/>
      <selection pane="bottomRight" activeCell="D80" sqref="D80"/>
    </sheetView>
  </sheetViews>
  <sheetFormatPr baseColWidth="10" defaultRowHeight="12.75" x14ac:dyDescent="0.2"/>
  <cols>
    <col min="1" max="1" width="19.42578125" style="209" customWidth="1"/>
    <col min="2" max="2" width="10.85546875" style="209" customWidth="1"/>
    <col min="3" max="30" width="8.7109375" style="209" customWidth="1"/>
    <col min="31" max="31" width="10.7109375" style="209" customWidth="1"/>
    <col min="32" max="249" width="11.42578125" style="209"/>
    <col min="250" max="250" width="1.28515625" style="209" customWidth="1"/>
    <col min="251" max="251" width="17.7109375" style="209" bestFit="1" customWidth="1"/>
    <col min="252" max="252" width="11.28515625" style="209" bestFit="1" customWidth="1"/>
    <col min="253" max="253" width="37.7109375" style="209" customWidth="1"/>
    <col min="254" max="254" width="15.42578125" style="209" customWidth="1"/>
    <col min="255" max="255" width="3" style="209" customWidth="1"/>
    <col min="256" max="505" width="11.42578125" style="209"/>
    <col min="506" max="506" width="1.28515625" style="209" customWidth="1"/>
    <col min="507" max="507" width="17.7109375" style="209" bestFit="1" customWidth="1"/>
    <col min="508" max="508" width="11.28515625" style="209" bestFit="1" customWidth="1"/>
    <col min="509" max="509" width="37.7109375" style="209" customWidth="1"/>
    <col min="510" max="510" width="15.42578125" style="209" customWidth="1"/>
    <col min="511" max="511" width="3" style="209" customWidth="1"/>
    <col min="512" max="761" width="11.42578125" style="209"/>
    <col min="762" max="762" width="1.28515625" style="209" customWidth="1"/>
    <col min="763" max="763" width="17.7109375" style="209" bestFit="1" customWidth="1"/>
    <col min="764" max="764" width="11.28515625" style="209" bestFit="1" customWidth="1"/>
    <col min="765" max="765" width="37.7109375" style="209" customWidth="1"/>
    <col min="766" max="766" width="15.42578125" style="209" customWidth="1"/>
    <col min="767" max="767" width="3" style="209" customWidth="1"/>
    <col min="768" max="1017" width="11.42578125" style="209"/>
    <col min="1018" max="1018" width="1.28515625" style="209" customWidth="1"/>
    <col min="1019" max="1019" width="17.7109375" style="209" bestFit="1" customWidth="1"/>
    <col min="1020" max="1020" width="11.28515625" style="209" bestFit="1" customWidth="1"/>
    <col min="1021" max="1021" width="37.7109375" style="209" customWidth="1"/>
    <col min="1022" max="1022" width="15.42578125" style="209" customWidth="1"/>
    <col min="1023" max="1023" width="3" style="209" customWidth="1"/>
    <col min="1024" max="1273" width="11.42578125" style="209"/>
    <col min="1274" max="1274" width="1.28515625" style="209" customWidth="1"/>
    <col min="1275" max="1275" width="17.7109375" style="209" bestFit="1" customWidth="1"/>
    <col min="1276" max="1276" width="11.28515625" style="209" bestFit="1" customWidth="1"/>
    <col min="1277" max="1277" width="37.7109375" style="209" customWidth="1"/>
    <col min="1278" max="1278" width="15.42578125" style="209" customWidth="1"/>
    <col min="1279" max="1279" width="3" style="209" customWidth="1"/>
    <col min="1280" max="1529" width="11.42578125" style="209"/>
    <col min="1530" max="1530" width="1.28515625" style="209" customWidth="1"/>
    <col min="1531" max="1531" width="17.7109375" style="209" bestFit="1" customWidth="1"/>
    <col min="1532" max="1532" width="11.28515625" style="209" bestFit="1" customWidth="1"/>
    <col min="1533" max="1533" width="37.7109375" style="209" customWidth="1"/>
    <col min="1534" max="1534" width="15.42578125" style="209" customWidth="1"/>
    <col min="1535" max="1535" width="3" style="209" customWidth="1"/>
    <col min="1536" max="1785" width="11.42578125" style="209"/>
    <col min="1786" max="1786" width="1.28515625" style="209" customWidth="1"/>
    <col min="1787" max="1787" width="17.7109375" style="209" bestFit="1" customWidth="1"/>
    <col min="1788" max="1788" width="11.28515625" style="209" bestFit="1" customWidth="1"/>
    <col min="1789" max="1789" width="37.7109375" style="209" customWidth="1"/>
    <col min="1790" max="1790" width="15.42578125" style="209" customWidth="1"/>
    <col min="1791" max="1791" width="3" style="209" customWidth="1"/>
    <col min="1792" max="2041" width="11.42578125" style="209"/>
    <col min="2042" max="2042" width="1.28515625" style="209" customWidth="1"/>
    <col min="2043" max="2043" width="17.7109375" style="209" bestFit="1" customWidth="1"/>
    <col min="2044" max="2044" width="11.28515625" style="209" bestFit="1" customWidth="1"/>
    <col min="2045" max="2045" width="37.7109375" style="209" customWidth="1"/>
    <col min="2046" max="2046" width="15.42578125" style="209" customWidth="1"/>
    <col min="2047" max="2047" width="3" style="209" customWidth="1"/>
    <col min="2048" max="2297" width="11.42578125" style="209"/>
    <col min="2298" max="2298" width="1.28515625" style="209" customWidth="1"/>
    <col min="2299" max="2299" width="17.7109375" style="209" bestFit="1" customWidth="1"/>
    <col min="2300" max="2300" width="11.28515625" style="209" bestFit="1" customWidth="1"/>
    <col min="2301" max="2301" width="37.7109375" style="209" customWidth="1"/>
    <col min="2302" max="2302" width="15.42578125" style="209" customWidth="1"/>
    <col min="2303" max="2303" width="3" style="209" customWidth="1"/>
    <col min="2304" max="2553" width="11.42578125" style="209"/>
    <col min="2554" max="2554" width="1.28515625" style="209" customWidth="1"/>
    <col min="2555" max="2555" width="17.7109375" style="209" bestFit="1" customWidth="1"/>
    <col min="2556" max="2556" width="11.28515625" style="209" bestFit="1" customWidth="1"/>
    <col min="2557" max="2557" width="37.7109375" style="209" customWidth="1"/>
    <col min="2558" max="2558" width="15.42578125" style="209" customWidth="1"/>
    <col min="2559" max="2559" width="3" style="209" customWidth="1"/>
    <col min="2560" max="2809" width="11.42578125" style="209"/>
    <col min="2810" max="2810" width="1.28515625" style="209" customWidth="1"/>
    <col min="2811" max="2811" width="17.7109375" style="209" bestFit="1" customWidth="1"/>
    <col min="2812" max="2812" width="11.28515625" style="209" bestFit="1" customWidth="1"/>
    <col min="2813" max="2813" width="37.7109375" style="209" customWidth="1"/>
    <col min="2814" max="2814" width="15.42578125" style="209" customWidth="1"/>
    <col min="2815" max="2815" width="3" style="209" customWidth="1"/>
    <col min="2816" max="3065" width="11.42578125" style="209"/>
    <col min="3066" max="3066" width="1.28515625" style="209" customWidth="1"/>
    <col min="3067" max="3067" width="17.7109375" style="209" bestFit="1" customWidth="1"/>
    <col min="3068" max="3068" width="11.28515625" style="209" bestFit="1" customWidth="1"/>
    <col min="3069" max="3069" width="37.7109375" style="209" customWidth="1"/>
    <col min="3070" max="3070" width="15.42578125" style="209" customWidth="1"/>
    <col min="3071" max="3071" width="3" style="209" customWidth="1"/>
    <col min="3072" max="3321" width="11.42578125" style="209"/>
    <col min="3322" max="3322" width="1.28515625" style="209" customWidth="1"/>
    <col min="3323" max="3323" width="17.7109375" style="209" bestFit="1" customWidth="1"/>
    <col min="3324" max="3324" width="11.28515625" style="209" bestFit="1" customWidth="1"/>
    <col min="3325" max="3325" width="37.7109375" style="209" customWidth="1"/>
    <col min="3326" max="3326" width="15.42578125" style="209" customWidth="1"/>
    <col min="3327" max="3327" width="3" style="209" customWidth="1"/>
    <col min="3328" max="3577" width="11.42578125" style="209"/>
    <col min="3578" max="3578" width="1.28515625" style="209" customWidth="1"/>
    <col min="3579" max="3579" width="17.7109375" style="209" bestFit="1" customWidth="1"/>
    <col min="3580" max="3580" width="11.28515625" style="209" bestFit="1" customWidth="1"/>
    <col min="3581" max="3581" width="37.7109375" style="209" customWidth="1"/>
    <col min="3582" max="3582" width="15.42578125" style="209" customWidth="1"/>
    <col min="3583" max="3583" width="3" style="209" customWidth="1"/>
    <col min="3584" max="3833" width="11.42578125" style="209"/>
    <col min="3834" max="3834" width="1.28515625" style="209" customWidth="1"/>
    <col min="3835" max="3835" width="17.7109375" style="209" bestFit="1" customWidth="1"/>
    <col min="3836" max="3836" width="11.28515625" style="209" bestFit="1" customWidth="1"/>
    <col min="3837" max="3837" width="37.7109375" style="209" customWidth="1"/>
    <col min="3838" max="3838" width="15.42578125" style="209" customWidth="1"/>
    <col min="3839" max="3839" width="3" style="209" customWidth="1"/>
    <col min="3840" max="4089" width="11.42578125" style="209"/>
    <col min="4090" max="4090" width="1.28515625" style="209" customWidth="1"/>
    <col min="4091" max="4091" width="17.7109375" style="209" bestFit="1" customWidth="1"/>
    <col min="4092" max="4092" width="11.28515625" style="209" bestFit="1" customWidth="1"/>
    <col min="4093" max="4093" width="37.7109375" style="209" customWidth="1"/>
    <col min="4094" max="4094" width="15.42578125" style="209" customWidth="1"/>
    <col min="4095" max="4095" width="3" style="209" customWidth="1"/>
    <col min="4096" max="4345" width="11.42578125" style="209"/>
    <col min="4346" max="4346" width="1.28515625" style="209" customWidth="1"/>
    <col min="4347" max="4347" width="17.7109375" style="209" bestFit="1" customWidth="1"/>
    <col min="4348" max="4348" width="11.28515625" style="209" bestFit="1" customWidth="1"/>
    <col min="4349" max="4349" width="37.7109375" style="209" customWidth="1"/>
    <col min="4350" max="4350" width="15.42578125" style="209" customWidth="1"/>
    <col min="4351" max="4351" width="3" style="209" customWidth="1"/>
    <col min="4352" max="4601" width="11.42578125" style="209"/>
    <col min="4602" max="4602" width="1.28515625" style="209" customWidth="1"/>
    <col min="4603" max="4603" width="17.7109375" style="209" bestFit="1" customWidth="1"/>
    <col min="4604" max="4604" width="11.28515625" style="209" bestFit="1" customWidth="1"/>
    <col min="4605" max="4605" width="37.7109375" style="209" customWidth="1"/>
    <col min="4606" max="4606" width="15.42578125" style="209" customWidth="1"/>
    <col min="4607" max="4607" width="3" style="209" customWidth="1"/>
    <col min="4608" max="4857" width="11.42578125" style="209"/>
    <col min="4858" max="4858" width="1.28515625" style="209" customWidth="1"/>
    <col min="4859" max="4859" width="17.7109375" style="209" bestFit="1" customWidth="1"/>
    <col min="4860" max="4860" width="11.28515625" style="209" bestFit="1" customWidth="1"/>
    <col min="4861" max="4861" width="37.7109375" style="209" customWidth="1"/>
    <col min="4862" max="4862" width="15.42578125" style="209" customWidth="1"/>
    <col min="4863" max="4863" width="3" style="209" customWidth="1"/>
    <col min="4864" max="5113" width="11.42578125" style="209"/>
    <col min="5114" max="5114" width="1.28515625" style="209" customWidth="1"/>
    <col min="5115" max="5115" width="17.7109375" style="209" bestFit="1" customWidth="1"/>
    <col min="5116" max="5116" width="11.28515625" style="209" bestFit="1" customWidth="1"/>
    <col min="5117" max="5117" width="37.7109375" style="209" customWidth="1"/>
    <col min="5118" max="5118" width="15.42578125" style="209" customWidth="1"/>
    <col min="5119" max="5119" width="3" style="209" customWidth="1"/>
    <col min="5120" max="5369" width="11.42578125" style="209"/>
    <col min="5370" max="5370" width="1.28515625" style="209" customWidth="1"/>
    <col min="5371" max="5371" width="17.7109375" style="209" bestFit="1" customWidth="1"/>
    <col min="5372" max="5372" width="11.28515625" style="209" bestFit="1" customWidth="1"/>
    <col min="5373" max="5373" width="37.7109375" style="209" customWidth="1"/>
    <col min="5374" max="5374" width="15.42578125" style="209" customWidth="1"/>
    <col min="5375" max="5375" width="3" style="209" customWidth="1"/>
    <col min="5376" max="5625" width="11.42578125" style="209"/>
    <col min="5626" max="5626" width="1.28515625" style="209" customWidth="1"/>
    <col min="5627" max="5627" width="17.7109375" style="209" bestFit="1" customWidth="1"/>
    <col min="5628" max="5628" width="11.28515625" style="209" bestFit="1" customWidth="1"/>
    <col min="5629" max="5629" width="37.7109375" style="209" customWidth="1"/>
    <col min="5630" max="5630" width="15.42578125" style="209" customWidth="1"/>
    <col min="5631" max="5631" width="3" style="209" customWidth="1"/>
    <col min="5632" max="5881" width="11.42578125" style="209"/>
    <col min="5882" max="5882" width="1.28515625" style="209" customWidth="1"/>
    <col min="5883" max="5883" width="17.7109375" style="209" bestFit="1" customWidth="1"/>
    <col min="5884" max="5884" width="11.28515625" style="209" bestFit="1" customWidth="1"/>
    <col min="5885" max="5885" width="37.7109375" style="209" customWidth="1"/>
    <col min="5886" max="5886" width="15.42578125" style="209" customWidth="1"/>
    <col min="5887" max="5887" width="3" style="209" customWidth="1"/>
    <col min="5888" max="6137" width="11.42578125" style="209"/>
    <col min="6138" max="6138" width="1.28515625" style="209" customWidth="1"/>
    <col min="6139" max="6139" width="17.7109375" style="209" bestFit="1" customWidth="1"/>
    <col min="6140" max="6140" width="11.28515625" style="209" bestFit="1" customWidth="1"/>
    <col min="6141" max="6141" width="37.7109375" style="209" customWidth="1"/>
    <col min="6142" max="6142" width="15.42578125" style="209" customWidth="1"/>
    <col min="6143" max="6143" width="3" style="209" customWidth="1"/>
    <col min="6144" max="6393" width="11.42578125" style="209"/>
    <col min="6394" max="6394" width="1.28515625" style="209" customWidth="1"/>
    <col min="6395" max="6395" width="17.7109375" style="209" bestFit="1" customWidth="1"/>
    <col min="6396" max="6396" width="11.28515625" style="209" bestFit="1" customWidth="1"/>
    <col min="6397" max="6397" width="37.7109375" style="209" customWidth="1"/>
    <col min="6398" max="6398" width="15.42578125" style="209" customWidth="1"/>
    <col min="6399" max="6399" width="3" style="209" customWidth="1"/>
    <col min="6400" max="6649" width="11.42578125" style="209"/>
    <col min="6650" max="6650" width="1.28515625" style="209" customWidth="1"/>
    <col min="6651" max="6651" width="17.7109375" style="209" bestFit="1" customWidth="1"/>
    <col min="6652" max="6652" width="11.28515625" style="209" bestFit="1" customWidth="1"/>
    <col min="6653" max="6653" width="37.7109375" style="209" customWidth="1"/>
    <col min="6654" max="6654" width="15.42578125" style="209" customWidth="1"/>
    <col min="6655" max="6655" width="3" style="209" customWidth="1"/>
    <col min="6656" max="6905" width="11.42578125" style="209"/>
    <col min="6906" max="6906" width="1.28515625" style="209" customWidth="1"/>
    <col min="6907" max="6907" width="17.7109375" style="209" bestFit="1" customWidth="1"/>
    <col min="6908" max="6908" width="11.28515625" style="209" bestFit="1" customWidth="1"/>
    <col min="6909" max="6909" width="37.7109375" style="209" customWidth="1"/>
    <col min="6910" max="6910" width="15.42578125" style="209" customWidth="1"/>
    <col min="6911" max="6911" width="3" style="209" customWidth="1"/>
    <col min="6912" max="7161" width="11.42578125" style="209"/>
    <col min="7162" max="7162" width="1.28515625" style="209" customWidth="1"/>
    <col min="7163" max="7163" width="17.7109375" style="209" bestFit="1" customWidth="1"/>
    <col min="7164" max="7164" width="11.28515625" style="209" bestFit="1" customWidth="1"/>
    <col min="7165" max="7165" width="37.7109375" style="209" customWidth="1"/>
    <col min="7166" max="7166" width="15.42578125" style="209" customWidth="1"/>
    <col min="7167" max="7167" width="3" style="209" customWidth="1"/>
    <col min="7168" max="7417" width="11.42578125" style="209"/>
    <col min="7418" max="7418" width="1.28515625" style="209" customWidth="1"/>
    <col min="7419" max="7419" width="17.7109375" style="209" bestFit="1" customWidth="1"/>
    <col min="7420" max="7420" width="11.28515625" style="209" bestFit="1" customWidth="1"/>
    <col min="7421" max="7421" width="37.7109375" style="209" customWidth="1"/>
    <col min="7422" max="7422" width="15.42578125" style="209" customWidth="1"/>
    <col min="7423" max="7423" width="3" style="209" customWidth="1"/>
    <col min="7424" max="7673" width="11.42578125" style="209"/>
    <col min="7674" max="7674" width="1.28515625" style="209" customWidth="1"/>
    <col min="7675" max="7675" width="17.7109375" style="209" bestFit="1" customWidth="1"/>
    <col min="7676" max="7676" width="11.28515625" style="209" bestFit="1" customWidth="1"/>
    <col min="7677" max="7677" width="37.7109375" style="209" customWidth="1"/>
    <col min="7678" max="7678" width="15.42578125" style="209" customWidth="1"/>
    <col min="7679" max="7679" width="3" style="209" customWidth="1"/>
    <col min="7680" max="7929" width="11.42578125" style="209"/>
    <col min="7930" max="7930" width="1.28515625" style="209" customWidth="1"/>
    <col min="7931" max="7931" width="17.7109375" style="209" bestFit="1" customWidth="1"/>
    <col min="7932" max="7932" width="11.28515625" style="209" bestFit="1" customWidth="1"/>
    <col min="7933" max="7933" width="37.7109375" style="209" customWidth="1"/>
    <col min="7934" max="7934" width="15.42578125" style="209" customWidth="1"/>
    <col min="7935" max="7935" width="3" style="209" customWidth="1"/>
    <col min="7936" max="8185" width="11.42578125" style="209"/>
    <col min="8186" max="8186" width="1.28515625" style="209" customWidth="1"/>
    <col min="8187" max="8187" width="17.7109375" style="209" bestFit="1" customWidth="1"/>
    <col min="8188" max="8188" width="11.28515625" style="209" bestFit="1" customWidth="1"/>
    <col min="8189" max="8189" width="37.7109375" style="209" customWidth="1"/>
    <col min="8190" max="8190" width="15.42578125" style="209" customWidth="1"/>
    <col min="8191" max="8191" width="3" style="209" customWidth="1"/>
    <col min="8192" max="8441" width="11.42578125" style="209"/>
    <col min="8442" max="8442" width="1.28515625" style="209" customWidth="1"/>
    <col min="8443" max="8443" width="17.7109375" style="209" bestFit="1" customWidth="1"/>
    <col min="8444" max="8444" width="11.28515625" style="209" bestFit="1" customWidth="1"/>
    <col min="8445" max="8445" width="37.7109375" style="209" customWidth="1"/>
    <col min="8446" max="8446" width="15.42578125" style="209" customWidth="1"/>
    <col min="8447" max="8447" width="3" style="209" customWidth="1"/>
    <col min="8448" max="8697" width="11.42578125" style="209"/>
    <col min="8698" max="8698" width="1.28515625" style="209" customWidth="1"/>
    <col min="8699" max="8699" width="17.7109375" style="209" bestFit="1" customWidth="1"/>
    <col min="8700" max="8700" width="11.28515625" style="209" bestFit="1" customWidth="1"/>
    <col min="8701" max="8701" width="37.7109375" style="209" customWidth="1"/>
    <col min="8702" max="8702" width="15.42578125" style="209" customWidth="1"/>
    <col min="8703" max="8703" width="3" style="209" customWidth="1"/>
    <col min="8704" max="8953" width="11.42578125" style="209"/>
    <col min="8954" max="8954" width="1.28515625" style="209" customWidth="1"/>
    <col min="8955" max="8955" width="17.7109375" style="209" bestFit="1" customWidth="1"/>
    <col min="8956" max="8956" width="11.28515625" style="209" bestFit="1" customWidth="1"/>
    <col min="8957" max="8957" width="37.7109375" style="209" customWidth="1"/>
    <col min="8958" max="8958" width="15.42578125" style="209" customWidth="1"/>
    <col min="8959" max="8959" width="3" style="209" customWidth="1"/>
    <col min="8960" max="9209" width="11.42578125" style="209"/>
    <col min="9210" max="9210" width="1.28515625" style="209" customWidth="1"/>
    <col min="9211" max="9211" width="17.7109375" style="209" bestFit="1" customWidth="1"/>
    <col min="9212" max="9212" width="11.28515625" style="209" bestFit="1" customWidth="1"/>
    <col min="9213" max="9213" width="37.7109375" style="209" customWidth="1"/>
    <col min="9214" max="9214" width="15.42578125" style="209" customWidth="1"/>
    <col min="9215" max="9215" width="3" style="209" customWidth="1"/>
    <col min="9216" max="9465" width="11.42578125" style="209"/>
    <col min="9466" max="9466" width="1.28515625" style="209" customWidth="1"/>
    <col min="9467" max="9467" width="17.7109375" style="209" bestFit="1" customWidth="1"/>
    <col min="9468" max="9468" width="11.28515625" style="209" bestFit="1" customWidth="1"/>
    <col min="9469" max="9469" width="37.7109375" style="209" customWidth="1"/>
    <col min="9470" max="9470" width="15.42578125" style="209" customWidth="1"/>
    <col min="9471" max="9471" width="3" style="209" customWidth="1"/>
    <col min="9472" max="9721" width="11.42578125" style="209"/>
    <col min="9722" max="9722" width="1.28515625" style="209" customWidth="1"/>
    <col min="9723" max="9723" width="17.7109375" style="209" bestFit="1" customWidth="1"/>
    <col min="9724" max="9724" width="11.28515625" style="209" bestFit="1" customWidth="1"/>
    <col min="9725" max="9725" width="37.7109375" style="209" customWidth="1"/>
    <col min="9726" max="9726" width="15.42578125" style="209" customWidth="1"/>
    <col min="9727" max="9727" width="3" style="209" customWidth="1"/>
    <col min="9728" max="9977" width="11.42578125" style="209"/>
    <col min="9978" max="9978" width="1.28515625" style="209" customWidth="1"/>
    <col min="9979" max="9979" width="17.7109375" style="209" bestFit="1" customWidth="1"/>
    <col min="9980" max="9980" width="11.28515625" style="209" bestFit="1" customWidth="1"/>
    <col min="9981" max="9981" width="37.7109375" style="209" customWidth="1"/>
    <col min="9982" max="9982" width="15.42578125" style="209" customWidth="1"/>
    <col min="9983" max="9983" width="3" style="209" customWidth="1"/>
    <col min="9984" max="10233" width="11.42578125" style="209"/>
    <col min="10234" max="10234" width="1.28515625" style="209" customWidth="1"/>
    <col min="10235" max="10235" width="17.7109375" style="209" bestFit="1" customWidth="1"/>
    <col min="10236" max="10236" width="11.28515625" style="209" bestFit="1" customWidth="1"/>
    <col min="10237" max="10237" width="37.7109375" style="209" customWidth="1"/>
    <col min="10238" max="10238" width="15.42578125" style="209" customWidth="1"/>
    <col min="10239" max="10239" width="3" style="209" customWidth="1"/>
    <col min="10240" max="10489" width="11.42578125" style="209"/>
    <col min="10490" max="10490" width="1.28515625" style="209" customWidth="1"/>
    <col min="10491" max="10491" width="17.7109375" style="209" bestFit="1" customWidth="1"/>
    <col min="10492" max="10492" width="11.28515625" style="209" bestFit="1" customWidth="1"/>
    <col min="10493" max="10493" width="37.7109375" style="209" customWidth="1"/>
    <col min="10494" max="10494" width="15.42578125" style="209" customWidth="1"/>
    <col min="10495" max="10495" width="3" style="209" customWidth="1"/>
    <col min="10496" max="10745" width="11.42578125" style="209"/>
    <col min="10746" max="10746" width="1.28515625" style="209" customWidth="1"/>
    <col min="10747" max="10747" width="17.7109375" style="209" bestFit="1" customWidth="1"/>
    <col min="10748" max="10748" width="11.28515625" style="209" bestFit="1" customWidth="1"/>
    <col min="10749" max="10749" width="37.7109375" style="209" customWidth="1"/>
    <col min="10750" max="10750" width="15.42578125" style="209" customWidth="1"/>
    <col min="10751" max="10751" width="3" style="209" customWidth="1"/>
    <col min="10752" max="11001" width="11.42578125" style="209"/>
    <col min="11002" max="11002" width="1.28515625" style="209" customWidth="1"/>
    <col min="11003" max="11003" width="17.7109375" style="209" bestFit="1" customWidth="1"/>
    <col min="11004" max="11004" width="11.28515625" style="209" bestFit="1" customWidth="1"/>
    <col min="11005" max="11005" width="37.7109375" style="209" customWidth="1"/>
    <col min="11006" max="11006" width="15.42578125" style="209" customWidth="1"/>
    <col min="11007" max="11007" width="3" style="209" customWidth="1"/>
    <col min="11008" max="11257" width="11.42578125" style="209"/>
    <col min="11258" max="11258" width="1.28515625" style="209" customWidth="1"/>
    <col min="11259" max="11259" width="17.7109375" style="209" bestFit="1" customWidth="1"/>
    <col min="11260" max="11260" width="11.28515625" style="209" bestFit="1" customWidth="1"/>
    <col min="11261" max="11261" width="37.7109375" style="209" customWidth="1"/>
    <col min="11262" max="11262" width="15.42578125" style="209" customWidth="1"/>
    <col min="11263" max="11263" width="3" style="209" customWidth="1"/>
    <col min="11264" max="11513" width="11.42578125" style="209"/>
    <col min="11514" max="11514" width="1.28515625" style="209" customWidth="1"/>
    <col min="11515" max="11515" width="17.7109375" style="209" bestFit="1" customWidth="1"/>
    <col min="11516" max="11516" width="11.28515625" style="209" bestFit="1" customWidth="1"/>
    <col min="11517" max="11517" width="37.7109375" style="209" customWidth="1"/>
    <col min="11518" max="11518" width="15.42578125" style="209" customWidth="1"/>
    <col min="11519" max="11519" width="3" style="209" customWidth="1"/>
    <col min="11520" max="11769" width="11.42578125" style="209"/>
    <col min="11770" max="11770" width="1.28515625" style="209" customWidth="1"/>
    <col min="11771" max="11771" width="17.7109375" style="209" bestFit="1" customWidth="1"/>
    <col min="11772" max="11772" width="11.28515625" style="209" bestFit="1" customWidth="1"/>
    <col min="11773" max="11773" width="37.7109375" style="209" customWidth="1"/>
    <col min="11774" max="11774" width="15.42578125" style="209" customWidth="1"/>
    <col min="11775" max="11775" width="3" style="209" customWidth="1"/>
    <col min="11776" max="12025" width="11.42578125" style="209"/>
    <col min="12026" max="12026" width="1.28515625" style="209" customWidth="1"/>
    <col min="12027" max="12027" width="17.7109375" style="209" bestFit="1" customWidth="1"/>
    <col min="12028" max="12028" width="11.28515625" style="209" bestFit="1" customWidth="1"/>
    <col min="12029" max="12029" width="37.7109375" style="209" customWidth="1"/>
    <col min="12030" max="12030" width="15.42578125" style="209" customWidth="1"/>
    <col min="12031" max="12031" width="3" style="209" customWidth="1"/>
    <col min="12032" max="12281" width="11.42578125" style="209"/>
    <col min="12282" max="12282" width="1.28515625" style="209" customWidth="1"/>
    <col min="12283" max="12283" width="17.7109375" style="209" bestFit="1" customWidth="1"/>
    <col min="12284" max="12284" width="11.28515625" style="209" bestFit="1" customWidth="1"/>
    <col min="12285" max="12285" width="37.7109375" style="209" customWidth="1"/>
    <col min="12286" max="12286" width="15.42578125" style="209" customWidth="1"/>
    <col min="12287" max="12287" width="3" style="209" customWidth="1"/>
    <col min="12288" max="12537" width="11.42578125" style="209"/>
    <col min="12538" max="12538" width="1.28515625" style="209" customWidth="1"/>
    <col min="12539" max="12539" width="17.7109375" style="209" bestFit="1" customWidth="1"/>
    <col min="12540" max="12540" width="11.28515625" style="209" bestFit="1" customWidth="1"/>
    <col min="12541" max="12541" width="37.7109375" style="209" customWidth="1"/>
    <col min="12542" max="12542" width="15.42578125" style="209" customWidth="1"/>
    <col min="12543" max="12543" width="3" style="209" customWidth="1"/>
    <col min="12544" max="12793" width="11.42578125" style="209"/>
    <col min="12794" max="12794" width="1.28515625" style="209" customWidth="1"/>
    <col min="12795" max="12795" width="17.7109375" style="209" bestFit="1" customWidth="1"/>
    <col min="12796" max="12796" width="11.28515625" style="209" bestFit="1" customWidth="1"/>
    <col min="12797" max="12797" width="37.7109375" style="209" customWidth="1"/>
    <col min="12798" max="12798" width="15.42578125" style="209" customWidth="1"/>
    <col min="12799" max="12799" width="3" style="209" customWidth="1"/>
    <col min="12800" max="13049" width="11.42578125" style="209"/>
    <col min="13050" max="13050" width="1.28515625" style="209" customWidth="1"/>
    <col min="13051" max="13051" width="17.7109375" style="209" bestFit="1" customWidth="1"/>
    <col min="13052" max="13052" width="11.28515625" style="209" bestFit="1" customWidth="1"/>
    <col min="13053" max="13053" width="37.7109375" style="209" customWidth="1"/>
    <col min="13054" max="13054" width="15.42578125" style="209" customWidth="1"/>
    <col min="13055" max="13055" width="3" style="209" customWidth="1"/>
    <col min="13056" max="13305" width="11.42578125" style="209"/>
    <col min="13306" max="13306" width="1.28515625" style="209" customWidth="1"/>
    <col min="13307" max="13307" width="17.7109375" style="209" bestFit="1" customWidth="1"/>
    <col min="13308" max="13308" width="11.28515625" style="209" bestFit="1" customWidth="1"/>
    <col min="13309" max="13309" width="37.7109375" style="209" customWidth="1"/>
    <col min="13310" max="13310" width="15.42578125" style="209" customWidth="1"/>
    <col min="13311" max="13311" width="3" style="209" customWidth="1"/>
    <col min="13312" max="13561" width="11.42578125" style="209"/>
    <col min="13562" max="13562" width="1.28515625" style="209" customWidth="1"/>
    <col min="13563" max="13563" width="17.7109375" style="209" bestFit="1" customWidth="1"/>
    <col min="13564" max="13564" width="11.28515625" style="209" bestFit="1" customWidth="1"/>
    <col min="13565" max="13565" width="37.7109375" style="209" customWidth="1"/>
    <col min="13566" max="13566" width="15.42578125" style="209" customWidth="1"/>
    <col min="13567" max="13567" width="3" style="209" customWidth="1"/>
    <col min="13568" max="13817" width="11.42578125" style="209"/>
    <col min="13818" max="13818" width="1.28515625" style="209" customWidth="1"/>
    <col min="13819" max="13819" width="17.7109375" style="209" bestFit="1" customWidth="1"/>
    <col min="13820" max="13820" width="11.28515625" style="209" bestFit="1" customWidth="1"/>
    <col min="13821" max="13821" width="37.7109375" style="209" customWidth="1"/>
    <col min="13822" max="13822" width="15.42578125" style="209" customWidth="1"/>
    <col min="13823" max="13823" width="3" style="209" customWidth="1"/>
    <col min="13824" max="14073" width="11.42578125" style="209"/>
    <col min="14074" max="14074" width="1.28515625" style="209" customWidth="1"/>
    <col min="14075" max="14075" width="17.7109375" style="209" bestFit="1" customWidth="1"/>
    <col min="14076" max="14076" width="11.28515625" style="209" bestFit="1" customWidth="1"/>
    <col min="14077" max="14077" width="37.7109375" style="209" customWidth="1"/>
    <col min="14078" max="14078" width="15.42578125" style="209" customWidth="1"/>
    <col min="14079" max="14079" width="3" style="209" customWidth="1"/>
    <col min="14080" max="14329" width="11.42578125" style="209"/>
    <col min="14330" max="14330" width="1.28515625" style="209" customWidth="1"/>
    <col min="14331" max="14331" width="17.7109375" style="209" bestFit="1" customWidth="1"/>
    <col min="14332" max="14332" width="11.28515625" style="209" bestFit="1" customWidth="1"/>
    <col min="14333" max="14333" width="37.7109375" style="209" customWidth="1"/>
    <col min="14334" max="14334" width="15.42578125" style="209" customWidth="1"/>
    <col min="14335" max="14335" width="3" style="209" customWidth="1"/>
    <col min="14336" max="14585" width="11.42578125" style="209"/>
    <col min="14586" max="14586" width="1.28515625" style="209" customWidth="1"/>
    <col min="14587" max="14587" width="17.7109375" style="209" bestFit="1" customWidth="1"/>
    <col min="14588" max="14588" width="11.28515625" style="209" bestFit="1" customWidth="1"/>
    <col min="14589" max="14589" width="37.7109375" style="209" customWidth="1"/>
    <col min="14590" max="14590" width="15.42578125" style="209" customWidth="1"/>
    <col min="14591" max="14591" width="3" style="209" customWidth="1"/>
    <col min="14592" max="14841" width="11.42578125" style="209"/>
    <col min="14842" max="14842" width="1.28515625" style="209" customWidth="1"/>
    <col min="14843" max="14843" width="17.7109375" style="209" bestFit="1" customWidth="1"/>
    <col min="14844" max="14844" width="11.28515625" style="209" bestFit="1" customWidth="1"/>
    <col min="14845" max="14845" width="37.7109375" style="209" customWidth="1"/>
    <col min="14846" max="14846" width="15.42578125" style="209" customWidth="1"/>
    <col min="14847" max="14847" width="3" style="209" customWidth="1"/>
    <col min="14848" max="15097" width="11.42578125" style="209"/>
    <col min="15098" max="15098" width="1.28515625" style="209" customWidth="1"/>
    <col min="15099" max="15099" width="17.7109375" style="209" bestFit="1" customWidth="1"/>
    <col min="15100" max="15100" width="11.28515625" style="209" bestFit="1" customWidth="1"/>
    <col min="15101" max="15101" width="37.7109375" style="209" customWidth="1"/>
    <col min="15102" max="15102" width="15.42578125" style="209" customWidth="1"/>
    <col min="15103" max="15103" width="3" style="209" customWidth="1"/>
    <col min="15104" max="15353" width="11.42578125" style="209"/>
    <col min="15354" max="15354" width="1.28515625" style="209" customWidth="1"/>
    <col min="15355" max="15355" width="17.7109375" style="209" bestFit="1" customWidth="1"/>
    <col min="15356" max="15356" width="11.28515625" style="209" bestFit="1" customWidth="1"/>
    <col min="15357" max="15357" width="37.7109375" style="209" customWidth="1"/>
    <col min="15358" max="15358" width="15.42578125" style="209" customWidth="1"/>
    <col min="15359" max="15359" width="3" style="209" customWidth="1"/>
    <col min="15360" max="15609" width="11.42578125" style="209"/>
    <col min="15610" max="15610" width="1.28515625" style="209" customWidth="1"/>
    <col min="15611" max="15611" width="17.7109375" style="209" bestFit="1" customWidth="1"/>
    <col min="15612" max="15612" width="11.28515625" style="209" bestFit="1" customWidth="1"/>
    <col min="15613" max="15613" width="37.7109375" style="209" customWidth="1"/>
    <col min="15614" max="15614" width="15.42578125" style="209" customWidth="1"/>
    <col min="15615" max="15615" width="3" style="209" customWidth="1"/>
    <col min="15616" max="15865" width="11.42578125" style="209"/>
    <col min="15866" max="15866" width="1.28515625" style="209" customWidth="1"/>
    <col min="15867" max="15867" width="17.7109375" style="209" bestFit="1" customWidth="1"/>
    <col min="15868" max="15868" width="11.28515625" style="209" bestFit="1" customWidth="1"/>
    <col min="15869" max="15869" width="37.7109375" style="209" customWidth="1"/>
    <col min="15870" max="15870" width="15.42578125" style="209" customWidth="1"/>
    <col min="15871" max="15871" width="3" style="209" customWidth="1"/>
    <col min="15872" max="16121" width="11.42578125" style="209"/>
    <col min="16122" max="16122" width="1.28515625" style="209" customWidth="1"/>
    <col min="16123" max="16123" width="17.7109375" style="209" bestFit="1" customWidth="1"/>
    <col min="16124" max="16124" width="11.28515625" style="209" bestFit="1" customWidth="1"/>
    <col min="16125" max="16125" width="37.7109375" style="209" customWidth="1"/>
    <col min="16126" max="16126" width="15.42578125" style="209" customWidth="1"/>
    <col min="16127" max="16127" width="3" style="209" customWidth="1"/>
    <col min="16128" max="16384" width="11.42578125" style="209"/>
  </cols>
  <sheetData>
    <row r="1" spans="1:30" ht="60" customHeight="1" x14ac:dyDescent="0.2">
      <c r="A1" s="5058" t="s">
        <v>1298</v>
      </c>
      <c r="B1" s="5058"/>
      <c r="C1" s="191"/>
      <c r="D1" s="191"/>
      <c r="E1" s="191"/>
      <c r="F1" s="191"/>
    </row>
    <row r="2" spans="1:30" ht="15.75" x14ac:dyDescent="0.2">
      <c r="A2" s="944"/>
      <c r="B2" s="944"/>
      <c r="C2" s="944"/>
      <c r="D2" s="944"/>
      <c r="E2" s="944"/>
      <c r="F2" s="944"/>
    </row>
    <row r="3" spans="1:30" ht="15" x14ac:dyDescent="0.2">
      <c r="A3" s="5701" t="s">
        <v>16</v>
      </c>
      <c r="B3" s="5701" t="s">
        <v>4</v>
      </c>
      <c r="C3" s="5684">
        <v>2009</v>
      </c>
      <c r="D3" s="5684"/>
      <c r="E3" s="5684"/>
      <c r="F3" s="5685"/>
      <c r="G3" s="5684">
        <v>2010</v>
      </c>
      <c r="H3" s="5684"/>
      <c r="I3" s="5684"/>
      <c r="J3" s="5685"/>
      <c r="K3" s="5684">
        <v>2011</v>
      </c>
      <c r="L3" s="5684"/>
      <c r="M3" s="5684"/>
      <c r="N3" s="5685"/>
      <c r="O3" s="5684">
        <v>2012</v>
      </c>
      <c r="P3" s="5684"/>
      <c r="Q3" s="5684"/>
      <c r="R3" s="5685"/>
      <c r="S3" s="5684">
        <v>2013</v>
      </c>
      <c r="T3" s="5684"/>
      <c r="U3" s="5684"/>
      <c r="V3" s="5685"/>
      <c r="W3" s="5684">
        <v>2014</v>
      </c>
      <c r="X3" s="5684"/>
      <c r="Y3" s="5684"/>
      <c r="Z3" s="5685"/>
      <c r="AA3" s="5684">
        <v>2015</v>
      </c>
      <c r="AB3" s="5684"/>
      <c r="AC3" s="5684"/>
      <c r="AD3" s="5685"/>
    </row>
    <row r="4" spans="1:30" ht="30" customHeight="1" x14ac:dyDescent="0.2">
      <c r="A4" s="5701"/>
      <c r="B4" s="5701"/>
      <c r="C4" s="1060" t="s">
        <v>528</v>
      </c>
      <c r="D4" s="1061" t="s">
        <v>527</v>
      </c>
      <c r="E4" s="1061" t="s">
        <v>526</v>
      </c>
      <c r="F4" s="1049" t="s">
        <v>12</v>
      </c>
      <c r="G4" s="1060" t="s">
        <v>528</v>
      </c>
      <c r="H4" s="1061" t="s">
        <v>527</v>
      </c>
      <c r="I4" s="1061" t="s">
        <v>526</v>
      </c>
      <c r="J4" s="1049" t="s">
        <v>12</v>
      </c>
      <c r="K4" s="1060" t="s">
        <v>528</v>
      </c>
      <c r="L4" s="1061" t="s">
        <v>527</v>
      </c>
      <c r="M4" s="1061" t="s">
        <v>526</v>
      </c>
      <c r="N4" s="1049" t="s">
        <v>12</v>
      </c>
      <c r="O4" s="1060" t="s">
        <v>528</v>
      </c>
      <c r="P4" s="1061" t="s">
        <v>527</v>
      </c>
      <c r="Q4" s="1061" t="s">
        <v>526</v>
      </c>
      <c r="R4" s="1049" t="s">
        <v>12</v>
      </c>
      <c r="S4" s="1060" t="s">
        <v>528</v>
      </c>
      <c r="T4" s="1061" t="s">
        <v>527</v>
      </c>
      <c r="U4" s="1061" t="s">
        <v>526</v>
      </c>
      <c r="V4" s="1488" t="s">
        <v>12</v>
      </c>
      <c r="W4" s="1060" t="s">
        <v>528</v>
      </c>
      <c r="X4" s="1061" t="s">
        <v>527</v>
      </c>
      <c r="Y4" s="1061" t="s">
        <v>526</v>
      </c>
      <c r="Z4" s="2173" t="s">
        <v>12</v>
      </c>
      <c r="AA4" s="1060" t="s">
        <v>528</v>
      </c>
      <c r="AB4" s="1061" t="s">
        <v>527</v>
      </c>
      <c r="AC4" s="1061" t="s">
        <v>526</v>
      </c>
      <c r="AD4" s="4806" t="s">
        <v>12</v>
      </c>
    </row>
    <row r="5" spans="1:30" ht="15" x14ac:dyDescent="0.2">
      <c r="A5" s="379"/>
      <c r="B5" s="379"/>
      <c r="C5" s="379"/>
      <c r="D5" s="379"/>
      <c r="E5" s="379"/>
      <c r="F5" s="379"/>
      <c r="G5" s="379"/>
      <c r="H5" s="379"/>
      <c r="I5" s="379"/>
      <c r="J5" s="379"/>
      <c r="K5" s="379"/>
      <c r="L5" s="379"/>
      <c r="M5" s="379"/>
      <c r="N5" s="379"/>
      <c r="O5" s="379"/>
      <c r="P5" s="379"/>
      <c r="Q5" s="379"/>
      <c r="R5" s="379"/>
      <c r="S5" s="379"/>
      <c r="T5" s="379"/>
      <c r="U5" s="379"/>
      <c r="V5" s="379"/>
      <c r="W5" s="379"/>
      <c r="X5" s="379"/>
      <c r="Y5" s="379"/>
      <c r="Z5" s="379"/>
      <c r="AA5" s="379"/>
      <c r="AB5" s="379"/>
      <c r="AC5" s="379"/>
      <c r="AD5" s="379"/>
    </row>
    <row r="6" spans="1:30" ht="15" x14ac:dyDescent="0.2">
      <c r="A6" s="5689" t="s">
        <v>125</v>
      </c>
      <c r="B6" s="380" t="s">
        <v>5</v>
      </c>
      <c r="C6" s="382">
        <f>SUM('EGRESO POS ACUM plan'!E4)</f>
        <v>4</v>
      </c>
      <c r="D6" s="383">
        <f>SUM('EGRESO POS ACUM plan'!E5:E7)</f>
        <v>247</v>
      </c>
      <c r="E6" s="383">
        <f>SUM('EGRESO POS ACUM plan'!E10:E11)</f>
        <v>31</v>
      </c>
      <c r="F6" s="360">
        <f>SUM(C6:E6)</f>
        <v>282</v>
      </c>
      <c r="G6" s="382">
        <f>SUM('EGRESO POS ACUM plan'!E4)</f>
        <v>4</v>
      </c>
      <c r="H6" s="383">
        <f>SUM('EGRESO POS ACUM plan'!F5:F7)</f>
        <v>264</v>
      </c>
      <c r="I6" s="383">
        <f>SUM('EGRESO POS ACUM plan'!F10:F11)</f>
        <v>37</v>
      </c>
      <c r="J6" s="360">
        <f>SUM(G6:I6)</f>
        <v>305</v>
      </c>
      <c r="K6" s="382">
        <f>SUM('EGRESO POS ACUM plan'!G4)</f>
        <v>4</v>
      </c>
      <c r="L6" s="383">
        <f>SUM('EGRESO POS ACUM plan'!G5:G7)</f>
        <v>296</v>
      </c>
      <c r="M6" s="383">
        <f>SUM('EGRESO POS ACUM plan'!G10:G11)</f>
        <v>48</v>
      </c>
      <c r="N6" s="360">
        <f>SUM(K6:M6)</f>
        <v>348</v>
      </c>
      <c r="O6" s="382">
        <f>SUM('EGRESO POS ACUM plan'!H4)</f>
        <v>4</v>
      </c>
      <c r="P6" s="383">
        <f>SUM('EGRESO POS ACUM plan'!H5:H7)</f>
        <v>333</v>
      </c>
      <c r="Q6" s="383">
        <f>SUM('EGRESO POS ACUM plan'!H10:H11)</f>
        <v>54</v>
      </c>
      <c r="R6" s="360">
        <f>SUM(O6:Q6)</f>
        <v>391</v>
      </c>
      <c r="S6" s="382">
        <f>SUM('EGRESO POS ACUM plan'!I4)</f>
        <v>4</v>
      </c>
      <c r="T6" s="383">
        <f>SUM('EGRESO POS ACUM plan'!I5:I7)</f>
        <v>357</v>
      </c>
      <c r="U6" s="383">
        <f>SUM('EGRESO POS ACUM plan'!I10:I11)</f>
        <v>67</v>
      </c>
      <c r="V6" s="360">
        <f>SUM(S6:U6)</f>
        <v>428</v>
      </c>
      <c r="W6" s="382">
        <f>SUM('EGRESO POS ACUM plan'!J4)</f>
        <v>4</v>
      </c>
      <c r="X6" s="383">
        <f>SUM('EGRESO POS ACUM plan'!J5:J9)</f>
        <v>393</v>
      </c>
      <c r="Y6" s="383">
        <f>SUM('EGRESO POS ACUM plan'!J10:J11)</f>
        <v>73</v>
      </c>
      <c r="Z6" s="360">
        <f>SUM(W6:Y6)</f>
        <v>470</v>
      </c>
      <c r="AA6" s="382">
        <f>SUM('EGRESO POS ACUM plan'!K4)</f>
        <v>4</v>
      </c>
      <c r="AB6" s="383">
        <f>SUM('EGRESO POS ACUM plan'!K5:K9)</f>
        <v>429</v>
      </c>
      <c r="AC6" s="383">
        <f>SUM('EGRESO POS ACUM plan'!K10:K11)</f>
        <v>77</v>
      </c>
      <c r="AD6" s="360">
        <f>SUM(AA6:AC6)</f>
        <v>510</v>
      </c>
    </row>
    <row r="7" spans="1:30" ht="15" x14ac:dyDescent="0.2">
      <c r="A7" s="5690"/>
      <c r="B7" s="381" t="s">
        <v>6</v>
      </c>
      <c r="C7" s="384">
        <f>SUM('EGRESO POS ACUM plan'!E13:E15)</f>
        <v>218</v>
      </c>
      <c r="D7" s="385">
        <f>SUM('EGRESO POS ACUM plan'!E16:E21)</f>
        <v>260</v>
      </c>
      <c r="E7" s="385">
        <f>SUM('EGRESO POS ACUM plan'!E23:E25)</f>
        <v>3</v>
      </c>
      <c r="F7" s="343">
        <f>SUM(C7:E7)</f>
        <v>481</v>
      </c>
      <c r="G7" s="384">
        <f>SUM('EGRESO POS ACUM plan'!F13:F15)</f>
        <v>236</v>
      </c>
      <c r="H7" s="385">
        <f>SUM('EGRESO POS ACUM plan'!F16:F21)</f>
        <v>296</v>
      </c>
      <c r="I7" s="385">
        <f>SUM('EGRESO POS ACUM plan'!F23:F25)</f>
        <v>6</v>
      </c>
      <c r="J7" s="343">
        <f>SUM(G7:I7)</f>
        <v>538</v>
      </c>
      <c r="K7" s="384">
        <f>SUM('EGRESO POS ACUM plan'!G13:G15)</f>
        <v>259</v>
      </c>
      <c r="L7" s="385">
        <f>SUM('EGRESO POS ACUM plan'!G16:G21)</f>
        <v>328</v>
      </c>
      <c r="M7" s="385">
        <f>SUM('EGRESO POS ACUM plan'!G23:G25)</f>
        <v>13</v>
      </c>
      <c r="N7" s="343">
        <f>SUM(K7:M7)</f>
        <v>600</v>
      </c>
      <c r="O7" s="384">
        <f>SUM('EGRESO POS ACUM plan'!H13:H15)</f>
        <v>286</v>
      </c>
      <c r="P7" s="385">
        <f>SUM('EGRESO POS ACUM plan'!H16:H21)</f>
        <v>354</v>
      </c>
      <c r="Q7" s="385">
        <f>SUM('EGRESO POS ACUM plan'!H23:H25)</f>
        <v>19</v>
      </c>
      <c r="R7" s="343">
        <f>SUM(O7:Q7)</f>
        <v>659</v>
      </c>
      <c r="S7" s="384">
        <f>SUM('EGRESO POS ACUM plan'!I13:I15)</f>
        <v>298</v>
      </c>
      <c r="T7" s="385">
        <f>SUM('EGRESO POS ACUM plan'!I16:I21)</f>
        <v>382</v>
      </c>
      <c r="U7" s="385">
        <f>SUM('EGRESO POS ACUM plan'!I23:I25)</f>
        <v>28</v>
      </c>
      <c r="V7" s="343">
        <f>SUM(S7:U7)</f>
        <v>708</v>
      </c>
      <c r="W7" s="384">
        <f>SUM('EGRESO POS ACUM plan'!J13:J15)</f>
        <v>322</v>
      </c>
      <c r="X7" s="385">
        <f>SUM('EGRESO POS ACUM plan'!J16:J22)</f>
        <v>416</v>
      </c>
      <c r="Y7" s="385">
        <f>SUM('EGRESO POS ACUM plan'!J23:J25)</f>
        <v>41</v>
      </c>
      <c r="Z7" s="343">
        <f>SUM(W7:Y7)</f>
        <v>779</v>
      </c>
      <c r="AA7" s="384">
        <f>SUM('EGRESO POS ACUM plan'!K13:K15)</f>
        <v>338</v>
      </c>
      <c r="AB7" s="385">
        <f>SUM('EGRESO POS ACUM plan'!K16:K22)</f>
        <v>439</v>
      </c>
      <c r="AC7" s="385">
        <f>SUM('EGRESO POS ACUM plan'!K23:K25)</f>
        <v>48</v>
      </c>
      <c r="AD7" s="343">
        <f>SUM(AA7:AC7)</f>
        <v>825</v>
      </c>
    </row>
    <row r="8" spans="1:30" ht="15" x14ac:dyDescent="0.2">
      <c r="A8" s="5690"/>
      <c r="B8" s="381" t="s">
        <v>7</v>
      </c>
      <c r="C8" s="384">
        <f>SUM('EGRESO POS ACUM plan'!E27:E28)</f>
        <v>341</v>
      </c>
      <c r="D8" s="385">
        <f>SUM('EGRESO POS ACUM plan'!E33:E34)</f>
        <v>84</v>
      </c>
      <c r="E8" s="385">
        <f>SUM('EGRESO POS ACUM plan'!E40)</f>
        <v>33</v>
      </c>
      <c r="F8" s="343">
        <f>SUM(C8:E8)</f>
        <v>458</v>
      </c>
      <c r="G8" s="384">
        <f>SUM('EGRESO POS ACUM plan'!F27:F28)</f>
        <v>366</v>
      </c>
      <c r="H8" s="385">
        <f>SUM('EGRESO POS ACUM plan'!F33:F34)</f>
        <v>99</v>
      </c>
      <c r="I8" s="385">
        <f>SUM('EGRESO POS ACUM plan'!F40)</f>
        <v>38</v>
      </c>
      <c r="J8" s="343">
        <f>SUM(G8:I8)</f>
        <v>503</v>
      </c>
      <c r="K8" s="384">
        <f>SUM('EGRESO POS ACUM plan'!G27:G28)</f>
        <v>403</v>
      </c>
      <c r="L8" s="385">
        <f>SUM('EGRESO POS ACUM plan'!G33:G34)</f>
        <v>128</v>
      </c>
      <c r="M8" s="385">
        <f>SUM('EGRESO POS ACUM plan'!G40)</f>
        <v>45</v>
      </c>
      <c r="N8" s="343">
        <f>SUM(K8:M8)</f>
        <v>576</v>
      </c>
      <c r="O8" s="384">
        <f>SUM('EGRESO POS ACUM plan'!H27:H28)</f>
        <v>407</v>
      </c>
      <c r="P8" s="385">
        <f>SUM('EGRESO POS ACUM plan'!H33:H34)</f>
        <v>151</v>
      </c>
      <c r="Q8" s="385">
        <f>SUM('EGRESO POS ACUM plan'!H40)</f>
        <v>47</v>
      </c>
      <c r="R8" s="343">
        <f>SUM(O8:Q8)</f>
        <v>605</v>
      </c>
      <c r="S8" s="384">
        <f>SUM('EGRESO POS ACUM plan'!I27:I28)</f>
        <v>440</v>
      </c>
      <c r="T8" s="385">
        <f>SUM('EGRESO POS ACUM plan'!I33:I34)</f>
        <v>189</v>
      </c>
      <c r="U8" s="385">
        <f>SUM('EGRESO POS ACUM plan'!I40)</f>
        <v>56</v>
      </c>
      <c r="V8" s="343">
        <f>SUM(S8:U8)</f>
        <v>685</v>
      </c>
      <c r="W8" s="384">
        <f>SUM('EGRESO POS ACUM plan'!J27:J32)</f>
        <v>441</v>
      </c>
      <c r="X8" s="385">
        <f>SUM('EGRESO POS ACUM plan'!J33:J39)</f>
        <v>215</v>
      </c>
      <c r="Y8" s="385">
        <f>SUM('EGRESO POS ACUM plan'!J40:J43)</f>
        <v>65</v>
      </c>
      <c r="Z8" s="343">
        <f>SUM(W8:Y8)</f>
        <v>721</v>
      </c>
      <c r="AA8" s="384">
        <f>SUM('EGRESO POS ACUM plan'!K27:K32)</f>
        <v>423</v>
      </c>
      <c r="AB8" s="385">
        <f>SUM('EGRESO POS ACUM plan'!K33:K39)</f>
        <v>238</v>
      </c>
      <c r="AC8" s="385">
        <f>SUM('EGRESO POS ACUM plan'!K40:K43)</f>
        <v>71</v>
      </c>
      <c r="AD8" s="343">
        <f>SUM(AA8:AC8)</f>
        <v>732</v>
      </c>
    </row>
    <row r="9" spans="1:30" ht="15" x14ac:dyDescent="0.2">
      <c r="A9" s="5691"/>
      <c r="B9" s="2728" t="s">
        <v>160</v>
      </c>
      <c r="C9" s="2729">
        <f t="shared" ref="C9:R9" si="0">SUM(C6:C8)</f>
        <v>563</v>
      </c>
      <c r="D9" s="2730">
        <f t="shared" si="0"/>
        <v>591</v>
      </c>
      <c r="E9" s="2730">
        <f t="shared" si="0"/>
        <v>67</v>
      </c>
      <c r="F9" s="2731">
        <f t="shared" si="0"/>
        <v>1221</v>
      </c>
      <c r="G9" s="2729">
        <f t="shared" si="0"/>
        <v>606</v>
      </c>
      <c r="H9" s="2730">
        <f t="shared" si="0"/>
        <v>659</v>
      </c>
      <c r="I9" s="2730">
        <f t="shared" si="0"/>
        <v>81</v>
      </c>
      <c r="J9" s="2731">
        <f t="shared" si="0"/>
        <v>1346</v>
      </c>
      <c r="K9" s="2729">
        <f t="shared" si="0"/>
        <v>666</v>
      </c>
      <c r="L9" s="2730">
        <f t="shared" si="0"/>
        <v>752</v>
      </c>
      <c r="M9" s="2730">
        <f t="shared" si="0"/>
        <v>106</v>
      </c>
      <c r="N9" s="2731">
        <f t="shared" si="0"/>
        <v>1524</v>
      </c>
      <c r="O9" s="2729">
        <f t="shared" si="0"/>
        <v>697</v>
      </c>
      <c r="P9" s="2730">
        <f t="shared" si="0"/>
        <v>838</v>
      </c>
      <c r="Q9" s="2730">
        <f t="shared" si="0"/>
        <v>120</v>
      </c>
      <c r="R9" s="2731">
        <f t="shared" si="0"/>
        <v>1655</v>
      </c>
      <c r="S9" s="2729">
        <f t="shared" ref="S9:Z9" si="1">SUM(S6:S8)</f>
        <v>742</v>
      </c>
      <c r="T9" s="2730">
        <f t="shared" si="1"/>
        <v>928</v>
      </c>
      <c r="U9" s="2730">
        <f t="shared" si="1"/>
        <v>151</v>
      </c>
      <c r="V9" s="2731">
        <f t="shared" si="1"/>
        <v>1821</v>
      </c>
      <c r="W9" s="2729">
        <f t="shared" si="1"/>
        <v>767</v>
      </c>
      <c r="X9" s="2730">
        <f t="shared" si="1"/>
        <v>1024</v>
      </c>
      <c r="Y9" s="2730">
        <f t="shared" si="1"/>
        <v>179</v>
      </c>
      <c r="Z9" s="2731">
        <f t="shared" si="1"/>
        <v>1970</v>
      </c>
      <c r="AA9" s="2729">
        <f t="shared" ref="AA9:AD9" si="2">SUM(AA6:AA8)</f>
        <v>765</v>
      </c>
      <c r="AB9" s="2730">
        <f t="shared" si="2"/>
        <v>1106</v>
      </c>
      <c r="AC9" s="2730">
        <f t="shared" si="2"/>
        <v>196</v>
      </c>
      <c r="AD9" s="2731">
        <f t="shared" si="2"/>
        <v>2067</v>
      </c>
    </row>
    <row r="10" spans="1:30" ht="15" x14ac:dyDescent="0.2">
      <c r="A10" s="1808"/>
      <c r="B10" s="1808"/>
      <c r="C10" s="1808"/>
      <c r="D10" s="1808"/>
      <c r="E10" s="1808"/>
      <c r="F10" s="1808"/>
      <c r="G10" s="1808"/>
      <c r="H10" s="1808"/>
      <c r="I10" s="1808"/>
      <c r="J10" s="1808"/>
      <c r="K10" s="1808"/>
      <c r="L10" s="1808"/>
      <c r="M10" s="1808"/>
      <c r="N10" s="1808"/>
      <c r="O10" s="1808"/>
      <c r="P10" s="1808"/>
      <c r="Q10" s="1808"/>
      <c r="R10" s="1808"/>
      <c r="S10" s="1808"/>
      <c r="T10" s="1808"/>
      <c r="U10" s="1808"/>
      <c r="V10" s="1808"/>
      <c r="W10" s="1808"/>
      <c r="X10" s="1808"/>
      <c r="Y10" s="1808"/>
      <c r="Z10" s="1808"/>
      <c r="AA10" s="1808"/>
      <c r="AB10" s="1808"/>
      <c r="AC10" s="1808"/>
      <c r="AD10" s="1808"/>
    </row>
    <row r="11" spans="1:30" ht="15" x14ac:dyDescent="0.2">
      <c r="A11" s="5698" t="s">
        <v>8</v>
      </c>
      <c r="B11" s="380" t="s">
        <v>6</v>
      </c>
      <c r="C11" s="382"/>
      <c r="D11" s="383"/>
      <c r="E11" s="383"/>
      <c r="F11" s="360"/>
      <c r="G11" s="382"/>
      <c r="H11" s="383"/>
      <c r="I11" s="383"/>
      <c r="J11" s="360"/>
      <c r="K11" s="382"/>
      <c r="L11" s="383"/>
      <c r="M11" s="383"/>
      <c r="N11" s="360"/>
      <c r="O11" s="382"/>
      <c r="P11" s="383"/>
      <c r="Q11" s="383"/>
      <c r="R11" s="360"/>
      <c r="S11" s="382"/>
      <c r="T11" s="383">
        <f>SUM('EGRESO POS ACUM plan'!I136)</f>
        <v>10</v>
      </c>
      <c r="U11" s="383"/>
      <c r="V11" s="360">
        <f>SUM(S11:U11)</f>
        <v>10</v>
      </c>
      <c r="W11" s="382"/>
      <c r="X11" s="383">
        <f>SUM('EGRESO POS ACUM plan'!J136)</f>
        <v>16</v>
      </c>
      <c r="Y11" s="383">
        <f>SUM('EGRESO POS ACUM plan'!J137)</f>
        <v>2</v>
      </c>
      <c r="Z11" s="360">
        <f>SUM(W11:Y11)</f>
        <v>18</v>
      </c>
      <c r="AA11" s="382"/>
      <c r="AB11" s="383">
        <f>SUM('EGRESO POS ACUM plan'!K136)</f>
        <v>25</v>
      </c>
      <c r="AC11" s="383">
        <f>SUM('EGRESO POS ACUM plan'!K137)</f>
        <v>3</v>
      </c>
      <c r="AD11" s="360">
        <f>SUM(AA11:AC11)</f>
        <v>28</v>
      </c>
    </row>
    <row r="12" spans="1:30" ht="15" x14ac:dyDescent="0.2">
      <c r="A12" s="5699"/>
      <c r="B12" s="381" t="s">
        <v>9</v>
      </c>
      <c r="C12" s="384"/>
      <c r="D12" s="385"/>
      <c r="E12" s="385"/>
      <c r="F12" s="343"/>
      <c r="G12" s="384"/>
      <c r="H12" s="385"/>
      <c r="I12" s="385"/>
      <c r="J12" s="343"/>
      <c r="K12" s="384"/>
      <c r="L12" s="385"/>
      <c r="M12" s="385"/>
      <c r="N12" s="343"/>
      <c r="O12" s="384"/>
      <c r="P12" s="385"/>
      <c r="Q12" s="385"/>
      <c r="R12" s="343"/>
      <c r="S12" s="384"/>
      <c r="T12" s="385"/>
      <c r="U12" s="385"/>
      <c r="V12" s="343">
        <f>SUM(S12:U12)</f>
        <v>0</v>
      </c>
      <c r="W12" s="384"/>
      <c r="X12" s="385">
        <f>SUM('EGRESO POS ACUM plan'!J139)</f>
        <v>8</v>
      </c>
      <c r="Y12" s="385"/>
      <c r="Z12" s="343">
        <f>SUM(W12:Y12)</f>
        <v>8</v>
      </c>
      <c r="AA12" s="384"/>
      <c r="AB12" s="385">
        <f>SUM('EGRESO POS ACUM plan'!K139)</f>
        <v>21</v>
      </c>
      <c r="AC12" s="385"/>
      <c r="AD12" s="343">
        <f>SUM(AA12:AC12)</f>
        <v>21</v>
      </c>
    </row>
    <row r="13" spans="1:30" ht="15" x14ac:dyDescent="0.2">
      <c r="A13" s="5699"/>
      <c r="B13" s="381" t="s">
        <v>74</v>
      </c>
      <c r="C13" s="384"/>
      <c r="D13" s="385"/>
      <c r="E13" s="385"/>
      <c r="F13" s="343"/>
      <c r="G13" s="384"/>
      <c r="H13" s="385"/>
      <c r="I13" s="385"/>
      <c r="J13" s="343"/>
      <c r="K13" s="384"/>
      <c r="L13" s="385"/>
      <c r="M13" s="385"/>
      <c r="N13" s="343"/>
      <c r="O13" s="384"/>
      <c r="P13" s="385"/>
      <c r="Q13" s="385"/>
      <c r="R13" s="343"/>
      <c r="S13" s="384">
        <f>SUM('EGRESO POS ACUM plan'!I141)</f>
        <v>2</v>
      </c>
      <c r="T13" s="385"/>
      <c r="U13" s="385"/>
      <c r="V13" s="343">
        <f>SUM(S13:U13)</f>
        <v>2</v>
      </c>
      <c r="W13" s="384">
        <f>SUM('EGRESO POS ACUM plan'!J141)</f>
        <v>4</v>
      </c>
      <c r="X13" s="385">
        <f>SUM('EGRESO POS ACUM plan'!J142)</f>
        <v>1</v>
      </c>
      <c r="Y13" s="385"/>
      <c r="Z13" s="343">
        <f>SUM(W13:Y13)</f>
        <v>5</v>
      </c>
      <c r="AA13" s="384">
        <f>SUM('EGRESO POS ACUM plan'!K141)</f>
        <v>6</v>
      </c>
      <c r="AB13" s="385">
        <f>SUM('EGRESO POS ACUM plan'!K142)</f>
        <v>8</v>
      </c>
      <c r="AC13" s="385">
        <f>SUM('EGRESO POS ACUM plan'!K143:K144)</f>
        <v>2</v>
      </c>
      <c r="AD13" s="343">
        <f>SUM(AA13:AC13)</f>
        <v>16</v>
      </c>
    </row>
    <row r="14" spans="1:30" ht="15" x14ac:dyDescent="0.2">
      <c r="A14" s="5700"/>
      <c r="B14" s="2732" t="s">
        <v>160</v>
      </c>
      <c r="C14" s="2733"/>
      <c r="D14" s="2734"/>
      <c r="E14" s="2734"/>
      <c r="F14" s="2735"/>
      <c r="G14" s="2733"/>
      <c r="H14" s="2734"/>
      <c r="I14" s="2734"/>
      <c r="J14" s="2735"/>
      <c r="K14" s="2733"/>
      <c r="L14" s="2734"/>
      <c r="M14" s="2734"/>
      <c r="N14" s="2735"/>
      <c r="O14" s="2733"/>
      <c r="P14" s="2734"/>
      <c r="Q14" s="2734"/>
      <c r="R14" s="2735"/>
      <c r="S14" s="2733">
        <f t="shared" ref="S14:Z14" si="3">SUM(S11:S13)</f>
        <v>2</v>
      </c>
      <c r="T14" s="2734">
        <f t="shared" si="3"/>
        <v>10</v>
      </c>
      <c r="U14" s="2734">
        <f t="shared" si="3"/>
        <v>0</v>
      </c>
      <c r="V14" s="2735">
        <f t="shared" si="3"/>
        <v>12</v>
      </c>
      <c r="W14" s="2733">
        <f t="shared" si="3"/>
        <v>4</v>
      </c>
      <c r="X14" s="2734">
        <f t="shared" si="3"/>
        <v>25</v>
      </c>
      <c r="Y14" s="2734">
        <f t="shared" si="3"/>
        <v>2</v>
      </c>
      <c r="Z14" s="2735">
        <f t="shared" si="3"/>
        <v>31</v>
      </c>
      <c r="AA14" s="2733">
        <f t="shared" ref="AA14:AD14" si="4">SUM(AA11:AA13)</f>
        <v>6</v>
      </c>
      <c r="AB14" s="2734">
        <f t="shared" si="4"/>
        <v>54</v>
      </c>
      <c r="AC14" s="2734">
        <f t="shared" si="4"/>
        <v>5</v>
      </c>
      <c r="AD14" s="2735">
        <f t="shared" si="4"/>
        <v>65</v>
      </c>
    </row>
    <row r="15" spans="1:30" ht="15" customHeight="1" x14ac:dyDescent="0.2">
      <c r="A15" s="137"/>
      <c r="B15" s="137"/>
      <c r="C15" s="1063"/>
      <c r="D15" s="1063"/>
      <c r="E15" s="1063"/>
      <c r="F15" s="1064"/>
      <c r="G15" s="1063"/>
      <c r="H15" s="1063"/>
      <c r="I15" s="1063"/>
      <c r="J15" s="1064"/>
      <c r="K15" s="1063"/>
      <c r="L15" s="1063"/>
      <c r="M15" s="1063"/>
      <c r="N15" s="1064"/>
      <c r="O15" s="1063"/>
      <c r="P15" s="1063"/>
      <c r="Q15" s="1063"/>
      <c r="R15" s="1064"/>
      <c r="S15" s="1063"/>
      <c r="T15" s="1063"/>
      <c r="U15" s="1063"/>
      <c r="V15" s="1064"/>
      <c r="W15" s="1063"/>
      <c r="X15" s="1063"/>
      <c r="Y15" s="1063"/>
      <c r="Z15" s="1064"/>
      <c r="AA15" s="1063"/>
      <c r="AB15" s="1063"/>
      <c r="AC15" s="1063"/>
      <c r="AD15" s="1064"/>
    </row>
    <row r="16" spans="1:30" ht="15" x14ac:dyDescent="0.2">
      <c r="A16" s="5692" t="s">
        <v>126</v>
      </c>
      <c r="B16" s="380" t="s">
        <v>5</v>
      </c>
      <c r="C16" s="382"/>
      <c r="D16" s="383">
        <f>SUM('EGRESO POS ACUM plan'!E46:E58)</f>
        <v>763</v>
      </c>
      <c r="E16" s="383">
        <f>SUM('EGRESO POS ACUM plan'!E60:E65)</f>
        <v>418</v>
      </c>
      <c r="F16" s="360">
        <f>SUM(C16:E16)</f>
        <v>1181</v>
      </c>
      <c r="G16" s="382"/>
      <c r="H16" s="383">
        <f>SUM('EGRESO POS ACUM plan'!F46:F58)</f>
        <v>816</v>
      </c>
      <c r="I16" s="383">
        <f>SUM('EGRESO POS ACUM plan'!F60:F65)</f>
        <v>453</v>
      </c>
      <c r="J16" s="360">
        <f>SUM(G16:I16)</f>
        <v>1269</v>
      </c>
      <c r="K16" s="382"/>
      <c r="L16" s="383">
        <f>SUM('EGRESO POS ACUM plan'!G46:G58)</f>
        <v>861</v>
      </c>
      <c r="M16" s="383">
        <f>SUM('EGRESO POS ACUM plan'!G60:G65)</f>
        <v>476</v>
      </c>
      <c r="N16" s="360">
        <f>SUM(K16:M16)</f>
        <v>1337</v>
      </c>
      <c r="O16" s="382"/>
      <c r="P16" s="383">
        <f>SUM('EGRESO POS ACUM plan'!H46:H58)</f>
        <v>907</v>
      </c>
      <c r="Q16" s="383">
        <f>SUM('EGRESO POS ACUM plan'!H60:H65)</f>
        <v>497</v>
      </c>
      <c r="R16" s="360">
        <f>SUM(O16:Q16)</f>
        <v>1404</v>
      </c>
      <c r="S16" s="382"/>
      <c r="T16" s="383">
        <f>SUM('EGRESO POS ACUM plan'!I46:I58)</f>
        <v>971</v>
      </c>
      <c r="U16" s="383">
        <f>SUM('EGRESO POS ACUM plan'!I60:I65)</f>
        <v>521</v>
      </c>
      <c r="V16" s="360">
        <f>SUM(S16:U16)</f>
        <v>1492</v>
      </c>
      <c r="W16" s="382"/>
      <c r="X16" s="383">
        <f>SUM('EGRESO POS ACUM plan'!J46:J58)</f>
        <v>1029</v>
      </c>
      <c r="Y16" s="383">
        <f>SUM('EGRESO POS ACUM plan'!J60:J65)</f>
        <v>556</v>
      </c>
      <c r="Z16" s="360">
        <f>SUM(W16:Y16)</f>
        <v>1585</v>
      </c>
      <c r="AA16" s="382"/>
      <c r="AB16" s="383">
        <f>SUM('EGRESO POS ACUM plan'!K46:K59)</f>
        <v>1081</v>
      </c>
      <c r="AC16" s="383">
        <f>SUM('EGRESO POS ACUM plan'!K60:K65)</f>
        <v>578</v>
      </c>
      <c r="AD16" s="360">
        <f>SUM(AA16:AC16)</f>
        <v>1659</v>
      </c>
    </row>
    <row r="17" spans="1:30" ht="15" x14ac:dyDescent="0.2">
      <c r="A17" s="5693"/>
      <c r="B17" s="381" t="s">
        <v>6</v>
      </c>
      <c r="C17" s="384">
        <f>SUM('EGRESO POS ACUM plan'!E67:E67)</f>
        <v>350</v>
      </c>
      <c r="D17" s="385">
        <f>SUM('EGRESO POS ACUM plan'!E68:E75)</f>
        <v>709</v>
      </c>
      <c r="E17" s="385">
        <f>SUM('EGRESO POS ACUM plan'!E76:E81)</f>
        <v>367</v>
      </c>
      <c r="F17" s="343">
        <f>SUM(C17:E17)</f>
        <v>1426</v>
      </c>
      <c r="G17" s="384">
        <f>SUM('EGRESO POS ACUM plan'!F67:F67)</f>
        <v>374</v>
      </c>
      <c r="H17" s="385">
        <f>SUM('EGRESO POS ACUM plan'!F68:F75)</f>
        <v>782</v>
      </c>
      <c r="I17" s="385">
        <f>SUM('EGRESO POS ACUM plan'!F76:F81)</f>
        <v>411</v>
      </c>
      <c r="J17" s="343">
        <f>SUM(G17:I17)</f>
        <v>1567</v>
      </c>
      <c r="K17" s="384">
        <f>SUM('EGRESO POS ACUM plan'!G67:G67)</f>
        <v>487</v>
      </c>
      <c r="L17" s="385">
        <f>SUM('EGRESO POS ACUM plan'!G68:G75)</f>
        <v>892</v>
      </c>
      <c r="M17" s="385">
        <f>SUM('EGRESO POS ACUM plan'!G76:G81)</f>
        <v>472</v>
      </c>
      <c r="N17" s="343">
        <f>SUM(K17:M17)</f>
        <v>1851</v>
      </c>
      <c r="O17" s="384">
        <f>SUM('EGRESO POS ACUM plan'!H67:H67)</f>
        <v>595</v>
      </c>
      <c r="P17" s="385">
        <f>SUM('EGRESO POS ACUM plan'!H68:H75)</f>
        <v>941</v>
      </c>
      <c r="Q17" s="385">
        <f>SUM('EGRESO POS ACUM plan'!H76:H81)</f>
        <v>521</v>
      </c>
      <c r="R17" s="343">
        <f>SUM(O17:Q17)</f>
        <v>2057</v>
      </c>
      <c r="S17" s="384">
        <f>SUM('EGRESO POS ACUM plan'!I67:I67)</f>
        <v>612</v>
      </c>
      <c r="T17" s="385">
        <f>SUM('EGRESO POS ACUM plan'!I68:I75)</f>
        <v>1011</v>
      </c>
      <c r="U17" s="385">
        <f>SUM('EGRESO POS ACUM plan'!I76:I81)</f>
        <v>579</v>
      </c>
      <c r="V17" s="343">
        <f>SUM(S17:U17)</f>
        <v>2202</v>
      </c>
      <c r="W17" s="384">
        <f>SUM('EGRESO POS ACUM plan'!J67:J67)</f>
        <v>635</v>
      </c>
      <c r="X17" s="385">
        <f>SUM('EGRESO POS ACUM plan'!J68:J75)</f>
        <v>1129</v>
      </c>
      <c r="Y17" s="385">
        <f>SUM('EGRESO POS ACUM plan'!J76:J81)</f>
        <v>655</v>
      </c>
      <c r="Z17" s="343">
        <f>SUM(W17:Y17)</f>
        <v>2419</v>
      </c>
      <c r="AA17" s="384">
        <f>SUM('EGRESO POS ACUM plan'!K67)</f>
        <v>651</v>
      </c>
      <c r="AB17" s="385">
        <f>SUM('EGRESO POS ACUM plan'!K68:K75)</f>
        <v>1158</v>
      </c>
      <c r="AC17" s="385">
        <f>SUM('EGRESO POS ACUM plan'!K76:K81)</f>
        <v>696</v>
      </c>
      <c r="AD17" s="343">
        <f>SUM(AA17:AC17)</f>
        <v>2505</v>
      </c>
    </row>
    <row r="18" spans="1:30" ht="15" x14ac:dyDescent="0.2">
      <c r="A18" s="5693"/>
      <c r="B18" s="381" t="s">
        <v>11</v>
      </c>
      <c r="C18" s="384">
        <f>SUM('EGRESO POS ACUM plan'!E83:E84)</f>
        <v>152</v>
      </c>
      <c r="D18" s="385">
        <f>SUM('EGRESO POS ACUM plan'!E85:E90)</f>
        <v>501</v>
      </c>
      <c r="E18" s="385">
        <f>SUM('EGRESO POS ACUM plan'!E91:E94)</f>
        <v>227</v>
      </c>
      <c r="F18" s="343">
        <f>SUM(C18:E18)</f>
        <v>880</v>
      </c>
      <c r="G18" s="384">
        <f>SUM('EGRESO POS ACUM plan'!F83:F84)</f>
        <v>174</v>
      </c>
      <c r="H18" s="385">
        <f>SUM('EGRESO POS ACUM plan'!F85:F90)</f>
        <v>547</v>
      </c>
      <c r="I18" s="385">
        <f>SUM('EGRESO POS ACUM plan'!F91:F94)</f>
        <v>255</v>
      </c>
      <c r="J18" s="343">
        <f>SUM(G18:I18)</f>
        <v>976</v>
      </c>
      <c r="K18" s="384">
        <f>SUM('EGRESO POS ACUM plan'!G83:G84)</f>
        <v>196</v>
      </c>
      <c r="L18" s="385">
        <f>SUM('EGRESO POS ACUM plan'!G85:G90)</f>
        <v>596</v>
      </c>
      <c r="M18" s="385">
        <f>SUM('EGRESO POS ACUM plan'!G91:G94)</f>
        <v>288</v>
      </c>
      <c r="N18" s="343">
        <f>SUM(K18:M18)</f>
        <v>1080</v>
      </c>
      <c r="O18" s="384">
        <f>SUM('EGRESO POS ACUM plan'!H83:H84)</f>
        <v>213</v>
      </c>
      <c r="P18" s="385">
        <f>SUM('EGRESO POS ACUM plan'!H85:H90)</f>
        <v>636</v>
      </c>
      <c r="Q18" s="385">
        <f>SUM('EGRESO POS ACUM plan'!H91:H94)</f>
        <v>321</v>
      </c>
      <c r="R18" s="343">
        <f>SUM(O18:Q18)</f>
        <v>1170</v>
      </c>
      <c r="S18" s="384">
        <f>SUM('EGRESO POS ACUM plan'!I83:I84)</f>
        <v>242</v>
      </c>
      <c r="T18" s="385">
        <f>SUM('EGRESO POS ACUM plan'!I85:I90)</f>
        <v>688</v>
      </c>
      <c r="U18" s="385">
        <f>SUM('EGRESO POS ACUM plan'!I91:I94)</f>
        <v>352</v>
      </c>
      <c r="V18" s="343">
        <f>SUM(S18:U18)</f>
        <v>1282</v>
      </c>
      <c r="W18" s="384">
        <f>SUM('EGRESO POS ACUM plan'!J83:J84)</f>
        <v>254</v>
      </c>
      <c r="X18" s="385">
        <f>SUM('EGRESO POS ACUM plan'!J85:J90)</f>
        <v>751</v>
      </c>
      <c r="Y18" s="385">
        <f>SUM('EGRESO POS ACUM plan'!J91:J94)</f>
        <v>390</v>
      </c>
      <c r="Z18" s="343">
        <f>SUM(W18:Y18)</f>
        <v>1395</v>
      </c>
      <c r="AA18" s="384">
        <f>SUM('EGRESO POS ACUM plan'!K83:K84)</f>
        <v>274</v>
      </c>
      <c r="AB18" s="385">
        <f>SUM('EGRESO POS ACUM plan'!K85:K90)</f>
        <v>810</v>
      </c>
      <c r="AC18" s="385">
        <f>SUM('EGRESO POS ACUM plan'!K91:K94)</f>
        <v>429</v>
      </c>
      <c r="AD18" s="343">
        <f>SUM(AA18:AC18)</f>
        <v>1513</v>
      </c>
    </row>
    <row r="19" spans="1:30" ht="15" x14ac:dyDescent="0.2">
      <c r="A19" s="5694"/>
      <c r="B19" s="2724" t="s">
        <v>160</v>
      </c>
      <c r="C19" s="2725">
        <f t="shared" ref="C19:R19" si="5">SUM(C16:C18)</f>
        <v>502</v>
      </c>
      <c r="D19" s="2726">
        <f t="shared" si="5"/>
        <v>1973</v>
      </c>
      <c r="E19" s="2726">
        <f t="shared" si="5"/>
        <v>1012</v>
      </c>
      <c r="F19" s="2727">
        <f t="shared" si="5"/>
        <v>3487</v>
      </c>
      <c r="G19" s="2725">
        <f t="shared" si="5"/>
        <v>548</v>
      </c>
      <c r="H19" s="2726">
        <f t="shared" si="5"/>
        <v>2145</v>
      </c>
      <c r="I19" s="2726">
        <f t="shared" si="5"/>
        <v>1119</v>
      </c>
      <c r="J19" s="2727">
        <f t="shared" si="5"/>
        <v>3812</v>
      </c>
      <c r="K19" s="2725">
        <f t="shared" si="5"/>
        <v>683</v>
      </c>
      <c r="L19" s="2726">
        <f t="shared" si="5"/>
        <v>2349</v>
      </c>
      <c r="M19" s="2726">
        <f t="shared" si="5"/>
        <v>1236</v>
      </c>
      <c r="N19" s="2727">
        <f t="shared" si="5"/>
        <v>4268</v>
      </c>
      <c r="O19" s="2725">
        <f t="shared" si="5"/>
        <v>808</v>
      </c>
      <c r="P19" s="2726">
        <f t="shared" si="5"/>
        <v>2484</v>
      </c>
      <c r="Q19" s="2726">
        <f t="shared" si="5"/>
        <v>1339</v>
      </c>
      <c r="R19" s="2727">
        <f t="shared" si="5"/>
        <v>4631</v>
      </c>
      <c r="S19" s="2725">
        <f t="shared" ref="S19:Z19" si="6">SUM(S16:S18)</f>
        <v>854</v>
      </c>
      <c r="T19" s="2726">
        <f t="shared" si="6"/>
        <v>2670</v>
      </c>
      <c r="U19" s="2726">
        <f t="shared" si="6"/>
        <v>1452</v>
      </c>
      <c r="V19" s="2727">
        <f t="shared" si="6"/>
        <v>4976</v>
      </c>
      <c r="W19" s="2725">
        <f t="shared" si="6"/>
        <v>889</v>
      </c>
      <c r="X19" s="2726">
        <f t="shared" si="6"/>
        <v>2909</v>
      </c>
      <c r="Y19" s="2726">
        <f t="shared" si="6"/>
        <v>1601</v>
      </c>
      <c r="Z19" s="2727">
        <f t="shared" si="6"/>
        <v>5399</v>
      </c>
      <c r="AA19" s="2725">
        <f t="shared" ref="AA19:AD19" si="7">SUM(AA16:AA18)</f>
        <v>925</v>
      </c>
      <c r="AB19" s="2726">
        <f t="shared" si="7"/>
        <v>3049</v>
      </c>
      <c r="AC19" s="2726">
        <f t="shared" si="7"/>
        <v>1703</v>
      </c>
      <c r="AD19" s="2727">
        <f t="shared" si="7"/>
        <v>5677</v>
      </c>
    </row>
    <row r="20" spans="1:30" ht="15" customHeight="1" x14ac:dyDescent="0.2">
      <c r="A20" s="137"/>
      <c r="B20" s="137"/>
      <c r="C20" s="1063"/>
      <c r="D20" s="1063"/>
      <c r="E20" s="1063"/>
      <c r="F20" s="1064"/>
      <c r="G20" s="1063"/>
      <c r="H20" s="1063"/>
      <c r="I20" s="1063"/>
      <c r="J20" s="1064"/>
      <c r="K20" s="1063"/>
      <c r="L20" s="1063"/>
      <c r="M20" s="1063"/>
      <c r="N20" s="1064"/>
      <c r="O20" s="1063"/>
      <c r="P20" s="1063"/>
      <c r="Q20" s="1063"/>
      <c r="R20" s="1064"/>
      <c r="S20" s="1063"/>
      <c r="T20" s="1063"/>
      <c r="U20" s="1063"/>
      <c r="V20" s="1064"/>
      <c r="W20" s="1063"/>
      <c r="X20" s="1063"/>
      <c r="Y20" s="1063"/>
      <c r="Z20" s="1064"/>
      <c r="AA20" s="1063"/>
      <c r="AB20" s="1063"/>
      <c r="AC20" s="1063"/>
      <c r="AD20" s="1064"/>
    </row>
    <row r="21" spans="1:30" ht="15" x14ac:dyDescent="0.2">
      <c r="A21" s="5695" t="s">
        <v>127</v>
      </c>
      <c r="B21" s="380" t="s">
        <v>6</v>
      </c>
      <c r="C21" s="382">
        <f>SUM('EGRESO POS ACUM plan'!E97:E98)</f>
        <v>252</v>
      </c>
      <c r="D21" s="383">
        <f>SUM('EGRESO POS ACUM plan'!E99:E109)</f>
        <v>711</v>
      </c>
      <c r="E21" s="383">
        <f>SUM('EGRESO POS ACUM plan'!E111:E113)</f>
        <v>183</v>
      </c>
      <c r="F21" s="360">
        <f>SUM(C21:E21)</f>
        <v>1146</v>
      </c>
      <c r="G21" s="382">
        <f>SUM('EGRESO POS ACUM plan'!F97:F98)</f>
        <v>293</v>
      </c>
      <c r="H21" s="383">
        <f>SUM('EGRESO POS ACUM plan'!F99:F109)</f>
        <v>824</v>
      </c>
      <c r="I21" s="383">
        <f>SUM('EGRESO POS ACUM plan'!F111:F113)</f>
        <v>228</v>
      </c>
      <c r="J21" s="360">
        <f>SUM(G21:I21)</f>
        <v>1345</v>
      </c>
      <c r="K21" s="382">
        <f>SUM('EGRESO POS ACUM plan'!G97:G98)</f>
        <v>312</v>
      </c>
      <c r="L21" s="383">
        <f>SUM('EGRESO POS ACUM plan'!G99:G109)</f>
        <v>924</v>
      </c>
      <c r="M21" s="383">
        <f>SUM('EGRESO POS ACUM plan'!G111:G113)</f>
        <v>261</v>
      </c>
      <c r="N21" s="360">
        <f>SUM(K21:M21)</f>
        <v>1497</v>
      </c>
      <c r="O21" s="382">
        <f>SUM('EGRESO POS ACUM plan'!H97:H98)</f>
        <v>312</v>
      </c>
      <c r="P21" s="383">
        <f>SUM('EGRESO POS ACUM plan'!H99:H109)</f>
        <v>990</v>
      </c>
      <c r="Q21" s="383">
        <f>SUM('EGRESO POS ACUM plan'!H111:H113)</f>
        <v>286</v>
      </c>
      <c r="R21" s="360">
        <f>SUM(O21:Q21)</f>
        <v>1588</v>
      </c>
      <c r="S21" s="382">
        <f>SUM('EGRESO POS ACUM plan'!I97:I98)</f>
        <v>350</v>
      </c>
      <c r="T21" s="383">
        <f>SUM('EGRESO POS ACUM plan'!I99:I109)</f>
        <v>1059</v>
      </c>
      <c r="U21" s="383">
        <f>SUM('EGRESO POS ACUM plan'!I111:I113)</f>
        <v>318</v>
      </c>
      <c r="V21" s="360">
        <f>SUM(S21:U21)</f>
        <v>1727</v>
      </c>
      <c r="W21" s="382">
        <f>SUM('EGRESO POS ACUM plan'!J97:J98)</f>
        <v>379</v>
      </c>
      <c r="X21" s="383">
        <f>SUM('EGRESO POS ACUM plan'!J99:J110)</f>
        <v>1121</v>
      </c>
      <c r="Y21" s="383">
        <f>SUM('EGRESO POS ACUM plan'!J111:J113)</f>
        <v>345</v>
      </c>
      <c r="Z21" s="360">
        <f>SUM(W21:Y21)</f>
        <v>1845</v>
      </c>
      <c r="AA21" s="382">
        <f>SUM('EGRESO POS ACUM plan'!K97:K98)</f>
        <v>380</v>
      </c>
      <c r="AB21" s="383">
        <f>SUM('EGRESO POS ACUM plan'!K99:K110)</f>
        <v>1194</v>
      </c>
      <c r="AC21" s="383">
        <f>SUM('EGRESO POS ACUM plan'!K111:K113)</f>
        <v>378</v>
      </c>
      <c r="AD21" s="360">
        <f>SUM(AA21:AC21)</f>
        <v>1952</v>
      </c>
    </row>
    <row r="22" spans="1:30" ht="15" x14ac:dyDescent="0.2">
      <c r="A22" s="5696"/>
      <c r="B22" s="381" t="s">
        <v>11</v>
      </c>
      <c r="C22" s="384">
        <f>SUM('EGRESO POS ACUM plan'!E115:E118)</f>
        <v>220</v>
      </c>
      <c r="D22" s="385">
        <f>SUM('EGRESO POS ACUM plan'!E119:E125)</f>
        <v>454</v>
      </c>
      <c r="E22" s="385">
        <f>SUM('EGRESO POS ACUM plan'!E126:E128)</f>
        <v>85</v>
      </c>
      <c r="F22" s="343">
        <f>SUM(C22:E22)</f>
        <v>759</v>
      </c>
      <c r="G22" s="384">
        <f>SUM('EGRESO POS ACUM plan'!F115:F118)</f>
        <v>225</v>
      </c>
      <c r="H22" s="385">
        <f>SUM('EGRESO POS ACUM plan'!F119:F125)</f>
        <v>511</v>
      </c>
      <c r="I22" s="385">
        <f>SUM('EGRESO POS ACUM plan'!F126:F128)</f>
        <v>100</v>
      </c>
      <c r="J22" s="343">
        <f>SUM(G22:I22)</f>
        <v>836</v>
      </c>
      <c r="K22" s="384">
        <f>SUM('EGRESO POS ACUM plan'!G115:G118)</f>
        <v>230</v>
      </c>
      <c r="L22" s="385">
        <f>SUM('EGRESO POS ACUM plan'!G119:G125)</f>
        <v>575</v>
      </c>
      <c r="M22" s="385">
        <f>SUM('EGRESO POS ACUM plan'!G126:G128)</f>
        <v>122</v>
      </c>
      <c r="N22" s="343">
        <f>SUM(K22:M22)</f>
        <v>927</v>
      </c>
      <c r="O22" s="384">
        <f>SUM('EGRESO POS ACUM plan'!H115:H118)</f>
        <v>238</v>
      </c>
      <c r="P22" s="385">
        <f>SUM('EGRESO POS ACUM plan'!H119:H125)</f>
        <v>607</v>
      </c>
      <c r="Q22" s="385">
        <f>SUM('EGRESO POS ACUM plan'!H126:H128)</f>
        <v>139</v>
      </c>
      <c r="R22" s="343">
        <f>SUM(O22:Q22)</f>
        <v>984</v>
      </c>
      <c r="S22" s="384">
        <f>SUM('EGRESO POS ACUM plan'!I115:I118)</f>
        <v>238</v>
      </c>
      <c r="T22" s="385">
        <f>SUM('EGRESO POS ACUM plan'!I119:I125)</f>
        <v>670</v>
      </c>
      <c r="U22" s="385">
        <f>SUM('EGRESO POS ACUM plan'!I126:I128)</f>
        <v>154</v>
      </c>
      <c r="V22" s="343">
        <f>SUM(S22:U22)</f>
        <v>1062</v>
      </c>
      <c r="W22" s="384">
        <f>SUM('EGRESO POS ACUM plan'!J115:J117)</f>
        <v>219</v>
      </c>
      <c r="X22" s="385">
        <f>SUM('EGRESO POS ACUM plan'!J118:J125)</f>
        <v>749</v>
      </c>
      <c r="Y22" s="385">
        <f>SUM('EGRESO POS ACUM plan'!J126:J128)</f>
        <v>167</v>
      </c>
      <c r="Z22" s="343">
        <f>SUM(W22:Y22)</f>
        <v>1135</v>
      </c>
      <c r="AA22" s="384">
        <f>SUM('EGRESO POS ACUM plan'!K115:K118)</f>
        <v>255</v>
      </c>
      <c r="AB22" s="385">
        <f>SUM('EGRESO POS ACUM plan'!K119:K125)</f>
        <v>783</v>
      </c>
      <c r="AC22" s="385">
        <f>SUM('EGRESO POS ACUM plan'!K126:K128)</f>
        <v>183</v>
      </c>
      <c r="AD22" s="343">
        <f>SUM(AA22:AC22)</f>
        <v>1221</v>
      </c>
    </row>
    <row r="23" spans="1:30" ht="15" x14ac:dyDescent="0.2">
      <c r="A23" s="5696"/>
      <c r="B23" s="381" t="s">
        <v>7</v>
      </c>
      <c r="C23" s="384"/>
      <c r="D23" s="385">
        <f>SUM('EGRESO POS ACUM plan'!E130:E132)</f>
        <v>132</v>
      </c>
      <c r="E23" s="385">
        <f>SUM('EGRESO POS ACUM plan'!E133)</f>
        <v>4</v>
      </c>
      <c r="F23" s="343">
        <f>SUM(C23:E23)</f>
        <v>136</v>
      </c>
      <c r="G23" s="384"/>
      <c r="H23" s="385">
        <f>SUM('EGRESO POS ACUM plan'!F130:F132)</f>
        <v>147</v>
      </c>
      <c r="I23" s="385">
        <f>SUM('EGRESO POS ACUM plan'!F133)</f>
        <v>7</v>
      </c>
      <c r="J23" s="343">
        <f>SUM(G23:I23)</f>
        <v>154</v>
      </c>
      <c r="K23" s="384"/>
      <c r="L23" s="385">
        <f>SUM('EGRESO POS ACUM plan'!G130:G132)</f>
        <v>181</v>
      </c>
      <c r="M23" s="385">
        <f>SUM('EGRESO POS ACUM plan'!G133)</f>
        <v>11</v>
      </c>
      <c r="N23" s="343">
        <f>SUM(K23:M23)</f>
        <v>192</v>
      </c>
      <c r="O23" s="384"/>
      <c r="P23" s="385">
        <f>SUM('EGRESO POS ACUM plan'!H130:H132)</f>
        <v>195</v>
      </c>
      <c r="Q23" s="385">
        <f>SUM('EGRESO POS ACUM plan'!H133)</f>
        <v>16</v>
      </c>
      <c r="R23" s="343">
        <f>SUM(O23:Q23)</f>
        <v>211</v>
      </c>
      <c r="S23" s="384"/>
      <c r="T23" s="385">
        <f>SUM('EGRESO POS ACUM plan'!I130:I132)</f>
        <v>246</v>
      </c>
      <c r="U23" s="385">
        <f>SUM('EGRESO POS ACUM plan'!I133)</f>
        <v>18</v>
      </c>
      <c r="V23" s="343">
        <f>SUM(S23:U23)</f>
        <v>264</v>
      </c>
      <c r="W23" s="384"/>
      <c r="X23" s="385">
        <f>SUM('EGRESO POS ACUM plan'!J130:J132)</f>
        <v>269</v>
      </c>
      <c r="Y23" s="385">
        <f>SUM('EGRESO POS ACUM plan'!J133)</f>
        <v>24</v>
      </c>
      <c r="Z23" s="343">
        <f>SUM(W23:Y23)</f>
        <v>293</v>
      </c>
      <c r="AA23" s="384"/>
      <c r="AB23" s="385">
        <f>SUM('EGRESO POS ACUM plan'!K130:K132)</f>
        <v>320</v>
      </c>
      <c r="AC23" s="385">
        <f>SUM('EGRESO POS ACUM plan'!K133)</f>
        <v>30</v>
      </c>
      <c r="AD23" s="343">
        <f>SUM(AA23:AC23)</f>
        <v>350</v>
      </c>
    </row>
    <row r="24" spans="1:30" ht="15" x14ac:dyDescent="0.2">
      <c r="A24" s="5697"/>
      <c r="B24" s="2736" t="s">
        <v>160</v>
      </c>
      <c r="C24" s="2737">
        <f t="shared" ref="C24:R24" si="8">SUM(C21:C23)</f>
        <v>472</v>
      </c>
      <c r="D24" s="2738">
        <f t="shared" si="8"/>
        <v>1297</v>
      </c>
      <c r="E24" s="2738">
        <f t="shared" si="8"/>
        <v>272</v>
      </c>
      <c r="F24" s="2739">
        <f t="shared" si="8"/>
        <v>2041</v>
      </c>
      <c r="G24" s="2737">
        <f t="shared" si="8"/>
        <v>518</v>
      </c>
      <c r="H24" s="2738">
        <f t="shared" si="8"/>
        <v>1482</v>
      </c>
      <c r="I24" s="2738">
        <f t="shared" si="8"/>
        <v>335</v>
      </c>
      <c r="J24" s="2739">
        <f t="shared" si="8"/>
        <v>2335</v>
      </c>
      <c r="K24" s="2737">
        <f t="shared" si="8"/>
        <v>542</v>
      </c>
      <c r="L24" s="2738">
        <f t="shared" si="8"/>
        <v>1680</v>
      </c>
      <c r="M24" s="2738">
        <f t="shared" si="8"/>
        <v>394</v>
      </c>
      <c r="N24" s="2739">
        <f t="shared" si="8"/>
        <v>2616</v>
      </c>
      <c r="O24" s="2737">
        <f t="shared" si="8"/>
        <v>550</v>
      </c>
      <c r="P24" s="2738">
        <f t="shared" si="8"/>
        <v>1792</v>
      </c>
      <c r="Q24" s="2738">
        <f t="shared" si="8"/>
        <v>441</v>
      </c>
      <c r="R24" s="2739">
        <f t="shared" si="8"/>
        <v>2783</v>
      </c>
      <c r="S24" s="2737">
        <f t="shared" ref="S24:Z24" si="9">SUM(S21:S23)</f>
        <v>588</v>
      </c>
      <c r="T24" s="2738">
        <f t="shared" si="9"/>
        <v>1975</v>
      </c>
      <c r="U24" s="2738">
        <f t="shared" si="9"/>
        <v>490</v>
      </c>
      <c r="V24" s="2739">
        <f t="shared" si="9"/>
        <v>3053</v>
      </c>
      <c r="W24" s="2737">
        <f t="shared" si="9"/>
        <v>598</v>
      </c>
      <c r="X24" s="2738">
        <f t="shared" si="9"/>
        <v>2139</v>
      </c>
      <c r="Y24" s="2738">
        <f t="shared" si="9"/>
        <v>536</v>
      </c>
      <c r="Z24" s="2739">
        <f t="shared" si="9"/>
        <v>3273</v>
      </c>
      <c r="AA24" s="2737">
        <f t="shared" ref="AA24:AD24" si="10">SUM(AA21:AA23)</f>
        <v>635</v>
      </c>
      <c r="AB24" s="2738">
        <f t="shared" si="10"/>
        <v>2297</v>
      </c>
      <c r="AC24" s="2738">
        <f t="shared" si="10"/>
        <v>591</v>
      </c>
      <c r="AD24" s="2739">
        <f t="shared" si="10"/>
        <v>3523</v>
      </c>
    </row>
    <row r="25" spans="1:30" ht="15" customHeight="1" x14ac:dyDescent="0.2">
      <c r="A25" s="137"/>
      <c r="B25" s="137"/>
      <c r="C25" s="1063"/>
      <c r="D25" s="1063"/>
      <c r="E25" s="1063"/>
      <c r="F25" s="1064"/>
      <c r="G25" s="1063"/>
      <c r="H25" s="1063"/>
      <c r="I25" s="1063"/>
      <c r="J25" s="1064"/>
      <c r="K25" s="1063"/>
      <c r="L25" s="1063"/>
      <c r="M25" s="1063"/>
      <c r="N25" s="1064"/>
      <c r="O25" s="1063"/>
      <c r="P25" s="1063"/>
      <c r="Q25" s="1063"/>
      <c r="R25" s="1064"/>
      <c r="S25" s="1063"/>
      <c r="T25" s="1063"/>
      <c r="U25" s="1063"/>
      <c r="V25" s="1064"/>
      <c r="W25" s="1063"/>
      <c r="X25" s="1063"/>
      <c r="Y25" s="1063"/>
      <c r="Z25" s="1064"/>
      <c r="AA25" s="1063"/>
      <c r="AB25" s="1063"/>
      <c r="AC25" s="1063"/>
      <c r="AD25" s="1064"/>
    </row>
    <row r="26" spans="1:30" ht="15" customHeight="1" x14ac:dyDescent="0.2">
      <c r="A26" s="5686" t="s">
        <v>60</v>
      </c>
      <c r="B26" s="380" t="s">
        <v>5</v>
      </c>
      <c r="C26" s="382">
        <f t="shared" ref="C26:R26" si="11">SUM(C6,C16)</f>
        <v>4</v>
      </c>
      <c r="D26" s="383">
        <f t="shared" si="11"/>
        <v>1010</v>
      </c>
      <c r="E26" s="383">
        <f t="shared" si="11"/>
        <v>449</v>
      </c>
      <c r="F26" s="360">
        <f t="shared" si="11"/>
        <v>1463</v>
      </c>
      <c r="G26" s="382">
        <f t="shared" si="11"/>
        <v>4</v>
      </c>
      <c r="H26" s="383">
        <f t="shared" si="11"/>
        <v>1080</v>
      </c>
      <c r="I26" s="383">
        <f t="shared" si="11"/>
        <v>490</v>
      </c>
      <c r="J26" s="360">
        <f t="shared" si="11"/>
        <v>1574</v>
      </c>
      <c r="K26" s="382">
        <f t="shared" si="11"/>
        <v>4</v>
      </c>
      <c r="L26" s="383">
        <f t="shared" si="11"/>
        <v>1157</v>
      </c>
      <c r="M26" s="383">
        <f t="shared" si="11"/>
        <v>524</v>
      </c>
      <c r="N26" s="360">
        <f t="shared" si="11"/>
        <v>1685</v>
      </c>
      <c r="O26" s="382">
        <f t="shared" si="11"/>
        <v>4</v>
      </c>
      <c r="P26" s="383">
        <f t="shared" si="11"/>
        <v>1240</v>
      </c>
      <c r="Q26" s="383">
        <f t="shared" si="11"/>
        <v>551</v>
      </c>
      <c r="R26" s="360">
        <f t="shared" si="11"/>
        <v>1795</v>
      </c>
      <c r="S26" s="382">
        <f>SUM(S6,S16)</f>
        <v>4</v>
      </c>
      <c r="T26" s="383">
        <f>SUM(T6,T16)</f>
        <v>1328</v>
      </c>
      <c r="U26" s="383">
        <f>SUM(U6,U16)</f>
        <v>588</v>
      </c>
      <c r="V26" s="360">
        <f t="shared" ref="V26:V31" si="12">SUM(S26:U26)</f>
        <v>1920</v>
      </c>
      <c r="W26" s="382">
        <f>SUM(W6,W16)</f>
        <v>4</v>
      </c>
      <c r="X26" s="383">
        <f>SUM(X6,X16)</f>
        <v>1422</v>
      </c>
      <c r="Y26" s="383">
        <f>SUM(Y6,Y16)</f>
        <v>629</v>
      </c>
      <c r="Z26" s="360">
        <f t="shared" ref="Z26:Z31" si="13">SUM(W26:Y26)</f>
        <v>2055</v>
      </c>
      <c r="AA26" s="382">
        <f>SUM(AA6,AA16)</f>
        <v>4</v>
      </c>
      <c r="AB26" s="383">
        <f>SUM(AB6,AB16)</f>
        <v>1510</v>
      </c>
      <c r="AC26" s="383">
        <f>SUM(AC6,AC16)</f>
        <v>655</v>
      </c>
      <c r="AD26" s="360">
        <f t="shared" ref="AD26:AD31" si="14">SUM(AA26:AC26)</f>
        <v>2169</v>
      </c>
    </row>
    <row r="27" spans="1:30" ht="15" x14ac:dyDescent="0.2">
      <c r="A27" s="5687"/>
      <c r="B27" s="381" t="s">
        <v>6</v>
      </c>
      <c r="C27" s="384">
        <f t="shared" ref="C27:R27" si="15">SUM(C7,C17,C21)</f>
        <v>820</v>
      </c>
      <c r="D27" s="385">
        <f t="shared" si="15"/>
        <v>1680</v>
      </c>
      <c r="E27" s="385">
        <f t="shared" si="15"/>
        <v>553</v>
      </c>
      <c r="F27" s="343">
        <f t="shared" si="15"/>
        <v>3053</v>
      </c>
      <c r="G27" s="384">
        <f t="shared" si="15"/>
        <v>903</v>
      </c>
      <c r="H27" s="385">
        <f t="shared" si="15"/>
        <v>1902</v>
      </c>
      <c r="I27" s="385">
        <f t="shared" si="15"/>
        <v>645</v>
      </c>
      <c r="J27" s="343">
        <f t="shared" si="15"/>
        <v>3450</v>
      </c>
      <c r="K27" s="384">
        <f t="shared" si="15"/>
        <v>1058</v>
      </c>
      <c r="L27" s="385">
        <f t="shared" si="15"/>
        <v>2144</v>
      </c>
      <c r="M27" s="385">
        <f t="shared" si="15"/>
        <v>746</v>
      </c>
      <c r="N27" s="343">
        <f t="shared" si="15"/>
        <v>3948</v>
      </c>
      <c r="O27" s="384">
        <f t="shared" si="15"/>
        <v>1193</v>
      </c>
      <c r="P27" s="385">
        <f t="shared" si="15"/>
        <v>2285</v>
      </c>
      <c r="Q27" s="385">
        <f t="shared" si="15"/>
        <v>826</v>
      </c>
      <c r="R27" s="343">
        <f t="shared" si="15"/>
        <v>4304</v>
      </c>
      <c r="S27" s="384">
        <f>SUM(S7,S11,S17,S21)</f>
        <v>1260</v>
      </c>
      <c r="T27" s="385">
        <f>SUM(T7,T11,T17,T21)</f>
        <v>2462</v>
      </c>
      <c r="U27" s="385">
        <f>SUM(U7,U11,U17,U21)</f>
        <v>925</v>
      </c>
      <c r="V27" s="343">
        <f t="shared" si="12"/>
        <v>4647</v>
      </c>
      <c r="W27" s="384">
        <f>SUM(W7,W11,W17,W21)</f>
        <v>1336</v>
      </c>
      <c r="X27" s="385">
        <f>SUM(X7,X11,X17,X21)</f>
        <v>2682</v>
      </c>
      <c r="Y27" s="385">
        <f>SUM(Y7,Y11,Y17,Y21)</f>
        <v>1043</v>
      </c>
      <c r="Z27" s="343">
        <f t="shared" si="13"/>
        <v>5061</v>
      </c>
      <c r="AA27" s="384">
        <f>SUM(AA7,AA11,AA17,AA21)</f>
        <v>1369</v>
      </c>
      <c r="AB27" s="385">
        <f>SUM(AB7,AB11,AB17,AB21)</f>
        <v>2816</v>
      </c>
      <c r="AC27" s="385">
        <f>SUM(AC7,AC11,AC17,AC21)</f>
        <v>1125</v>
      </c>
      <c r="AD27" s="343">
        <f t="shared" si="14"/>
        <v>5310</v>
      </c>
    </row>
    <row r="28" spans="1:30" ht="15" x14ac:dyDescent="0.2">
      <c r="A28" s="5687"/>
      <c r="B28" s="381" t="s">
        <v>11</v>
      </c>
      <c r="C28" s="384">
        <f t="shared" ref="C28:R28" si="16">SUM(C18,C22)</f>
        <v>372</v>
      </c>
      <c r="D28" s="385">
        <f t="shared" si="16"/>
        <v>955</v>
      </c>
      <c r="E28" s="385">
        <f t="shared" si="16"/>
        <v>312</v>
      </c>
      <c r="F28" s="343">
        <f t="shared" si="16"/>
        <v>1639</v>
      </c>
      <c r="G28" s="384">
        <f t="shared" si="16"/>
        <v>399</v>
      </c>
      <c r="H28" s="385">
        <f t="shared" si="16"/>
        <v>1058</v>
      </c>
      <c r="I28" s="385">
        <f t="shared" si="16"/>
        <v>355</v>
      </c>
      <c r="J28" s="343">
        <f t="shared" si="16"/>
        <v>1812</v>
      </c>
      <c r="K28" s="384">
        <f t="shared" si="16"/>
        <v>426</v>
      </c>
      <c r="L28" s="385">
        <f t="shared" si="16"/>
        <v>1171</v>
      </c>
      <c r="M28" s="385">
        <f t="shared" si="16"/>
        <v>410</v>
      </c>
      <c r="N28" s="343">
        <f t="shared" si="16"/>
        <v>2007</v>
      </c>
      <c r="O28" s="384">
        <f t="shared" si="16"/>
        <v>451</v>
      </c>
      <c r="P28" s="385">
        <f t="shared" si="16"/>
        <v>1243</v>
      </c>
      <c r="Q28" s="385">
        <f t="shared" si="16"/>
        <v>460</v>
      </c>
      <c r="R28" s="343">
        <f t="shared" si="16"/>
        <v>2154</v>
      </c>
      <c r="S28" s="384">
        <f>SUM(S18,S22)</f>
        <v>480</v>
      </c>
      <c r="T28" s="385">
        <f>SUM(T18,T22)</f>
        <v>1358</v>
      </c>
      <c r="U28" s="385">
        <f>SUM(U18,U22)</f>
        <v>506</v>
      </c>
      <c r="V28" s="343">
        <f t="shared" si="12"/>
        <v>2344</v>
      </c>
      <c r="W28" s="384">
        <f>SUM(W18,W22)</f>
        <v>473</v>
      </c>
      <c r="X28" s="385">
        <f>SUM(X18,X22)</f>
        <v>1500</v>
      </c>
      <c r="Y28" s="385">
        <f>SUM(Y18,Y22)</f>
        <v>557</v>
      </c>
      <c r="Z28" s="343">
        <f t="shared" si="13"/>
        <v>2530</v>
      </c>
      <c r="AA28" s="384">
        <f>SUM(AA18,AA22)</f>
        <v>529</v>
      </c>
      <c r="AB28" s="385">
        <f>SUM(AB18,AB22)</f>
        <v>1593</v>
      </c>
      <c r="AC28" s="385">
        <f>SUM(AC18,AC22)</f>
        <v>612</v>
      </c>
      <c r="AD28" s="343">
        <f t="shared" si="14"/>
        <v>2734</v>
      </c>
    </row>
    <row r="29" spans="1:30" ht="15" x14ac:dyDescent="0.2">
      <c r="A29" s="5687"/>
      <c r="B29" s="386" t="s">
        <v>7</v>
      </c>
      <c r="C29" s="387">
        <f t="shared" ref="C29:R29" si="17">SUM(C8,C23)</f>
        <v>341</v>
      </c>
      <c r="D29" s="388">
        <f t="shared" si="17"/>
        <v>216</v>
      </c>
      <c r="E29" s="388">
        <f t="shared" si="17"/>
        <v>37</v>
      </c>
      <c r="F29" s="370">
        <f t="shared" si="17"/>
        <v>594</v>
      </c>
      <c r="G29" s="387">
        <f t="shared" si="17"/>
        <v>366</v>
      </c>
      <c r="H29" s="388">
        <f t="shared" si="17"/>
        <v>246</v>
      </c>
      <c r="I29" s="388">
        <f t="shared" si="17"/>
        <v>45</v>
      </c>
      <c r="J29" s="370">
        <f t="shared" si="17"/>
        <v>657</v>
      </c>
      <c r="K29" s="387">
        <f t="shared" si="17"/>
        <v>403</v>
      </c>
      <c r="L29" s="388">
        <f t="shared" si="17"/>
        <v>309</v>
      </c>
      <c r="M29" s="388">
        <f t="shared" si="17"/>
        <v>56</v>
      </c>
      <c r="N29" s="370">
        <f t="shared" si="17"/>
        <v>768</v>
      </c>
      <c r="O29" s="387">
        <f t="shared" si="17"/>
        <v>407</v>
      </c>
      <c r="P29" s="388">
        <f t="shared" si="17"/>
        <v>346</v>
      </c>
      <c r="Q29" s="388">
        <f t="shared" si="17"/>
        <v>63</v>
      </c>
      <c r="R29" s="370">
        <f t="shared" si="17"/>
        <v>816</v>
      </c>
      <c r="S29" s="387">
        <f>SUM(S8,S23)</f>
        <v>440</v>
      </c>
      <c r="T29" s="388">
        <f>SUM(T8,T23)</f>
        <v>435</v>
      </c>
      <c r="U29" s="388">
        <f>SUM(U8,U23)</f>
        <v>74</v>
      </c>
      <c r="V29" s="370">
        <f t="shared" si="12"/>
        <v>949</v>
      </c>
      <c r="W29" s="387">
        <f>SUM(W8,W23)</f>
        <v>441</v>
      </c>
      <c r="X29" s="388">
        <f>SUM(X8,X23)</f>
        <v>484</v>
      </c>
      <c r="Y29" s="388">
        <f>SUM(Y8,Y23)</f>
        <v>89</v>
      </c>
      <c r="Z29" s="370">
        <f t="shared" si="13"/>
        <v>1014</v>
      </c>
      <c r="AA29" s="387">
        <f>SUM(AA8,AA23)</f>
        <v>423</v>
      </c>
      <c r="AB29" s="388">
        <f>SUM(AB8,AB23)</f>
        <v>558</v>
      </c>
      <c r="AC29" s="388">
        <f>SUM(AC8,AC23)</f>
        <v>101</v>
      </c>
      <c r="AD29" s="370">
        <f t="shared" si="14"/>
        <v>1082</v>
      </c>
    </row>
    <row r="30" spans="1:30" ht="15" x14ac:dyDescent="0.2">
      <c r="A30" s="5687"/>
      <c r="B30" s="386" t="s">
        <v>9</v>
      </c>
      <c r="C30" s="387"/>
      <c r="D30" s="388"/>
      <c r="E30" s="388"/>
      <c r="F30" s="370"/>
      <c r="G30" s="387"/>
      <c r="H30" s="388"/>
      <c r="I30" s="388"/>
      <c r="J30" s="370"/>
      <c r="K30" s="387"/>
      <c r="L30" s="388"/>
      <c r="M30" s="388"/>
      <c r="N30" s="370"/>
      <c r="O30" s="387"/>
      <c r="P30" s="388"/>
      <c r="Q30" s="388"/>
      <c r="R30" s="370"/>
      <c r="S30" s="387"/>
      <c r="T30" s="388"/>
      <c r="U30" s="388"/>
      <c r="V30" s="370">
        <f t="shared" si="12"/>
        <v>0</v>
      </c>
      <c r="W30" s="387"/>
      <c r="X30" s="388">
        <f>SUM(X12)</f>
        <v>8</v>
      </c>
      <c r="Y30" s="388"/>
      <c r="Z30" s="370">
        <f t="shared" si="13"/>
        <v>8</v>
      </c>
      <c r="AA30" s="388"/>
      <c r="AB30" s="388">
        <f>SUM(AB12)</f>
        <v>21</v>
      </c>
      <c r="AC30" s="388"/>
      <c r="AD30" s="370">
        <f t="shared" si="14"/>
        <v>21</v>
      </c>
    </row>
    <row r="31" spans="1:30" ht="15" x14ac:dyDescent="0.2">
      <c r="A31" s="5687"/>
      <c r="B31" s="386" t="s">
        <v>74</v>
      </c>
      <c r="C31" s="387"/>
      <c r="D31" s="388"/>
      <c r="E31" s="388"/>
      <c r="F31" s="370"/>
      <c r="G31" s="387"/>
      <c r="H31" s="388"/>
      <c r="I31" s="388"/>
      <c r="J31" s="370"/>
      <c r="K31" s="387"/>
      <c r="L31" s="388"/>
      <c r="M31" s="388"/>
      <c r="N31" s="370"/>
      <c r="O31" s="387"/>
      <c r="P31" s="388"/>
      <c r="Q31" s="388"/>
      <c r="R31" s="370"/>
      <c r="S31" s="387">
        <f>SUM(S13)</f>
        <v>2</v>
      </c>
      <c r="T31" s="388"/>
      <c r="U31" s="388"/>
      <c r="V31" s="370">
        <f t="shared" si="12"/>
        <v>2</v>
      </c>
      <c r="W31" s="387">
        <f>SUM(W13)</f>
        <v>4</v>
      </c>
      <c r="X31" s="388">
        <f>SUM(X13)</f>
        <v>1</v>
      </c>
      <c r="Y31" s="388"/>
      <c r="Z31" s="370">
        <f t="shared" si="13"/>
        <v>5</v>
      </c>
      <c r="AA31" s="387">
        <f>SUM(AA13)</f>
        <v>6</v>
      </c>
      <c r="AB31" s="388">
        <f>SUM(AB13)</f>
        <v>8</v>
      </c>
      <c r="AC31" s="388">
        <f>SUM(AC13)</f>
        <v>2</v>
      </c>
      <c r="AD31" s="370">
        <f t="shared" si="14"/>
        <v>16</v>
      </c>
    </row>
    <row r="32" spans="1:30" ht="15" x14ac:dyDescent="0.2">
      <c r="A32" s="5688"/>
      <c r="B32" s="697" t="s">
        <v>160</v>
      </c>
      <c r="C32" s="698">
        <f t="shared" ref="C32:R32" si="18">SUM(C26:C29)</f>
        <v>1537</v>
      </c>
      <c r="D32" s="699">
        <f t="shared" si="18"/>
        <v>3861</v>
      </c>
      <c r="E32" s="699">
        <f t="shared" si="18"/>
        <v>1351</v>
      </c>
      <c r="F32" s="1062">
        <f t="shared" si="18"/>
        <v>6749</v>
      </c>
      <c r="G32" s="698">
        <f t="shared" si="18"/>
        <v>1672</v>
      </c>
      <c r="H32" s="699">
        <f t="shared" si="18"/>
        <v>4286</v>
      </c>
      <c r="I32" s="699">
        <f t="shared" si="18"/>
        <v>1535</v>
      </c>
      <c r="J32" s="1062">
        <f>SUM(J26:J29)</f>
        <v>7493</v>
      </c>
      <c r="K32" s="698">
        <f t="shared" si="18"/>
        <v>1891</v>
      </c>
      <c r="L32" s="699">
        <f t="shared" si="18"/>
        <v>4781</v>
      </c>
      <c r="M32" s="699">
        <f t="shared" si="18"/>
        <v>1736</v>
      </c>
      <c r="N32" s="1062">
        <f t="shared" si="18"/>
        <v>8408</v>
      </c>
      <c r="O32" s="698">
        <f t="shared" si="18"/>
        <v>2055</v>
      </c>
      <c r="P32" s="699">
        <f t="shared" si="18"/>
        <v>5114</v>
      </c>
      <c r="Q32" s="699">
        <f t="shared" si="18"/>
        <v>1900</v>
      </c>
      <c r="R32" s="1062">
        <f t="shared" si="18"/>
        <v>9069</v>
      </c>
      <c r="S32" s="698">
        <f t="shared" ref="S32:Z32" si="19">SUM(S26:S31)</f>
        <v>2186</v>
      </c>
      <c r="T32" s="699">
        <f t="shared" si="19"/>
        <v>5583</v>
      </c>
      <c r="U32" s="699">
        <f t="shared" si="19"/>
        <v>2093</v>
      </c>
      <c r="V32" s="1062">
        <f t="shared" si="19"/>
        <v>9862</v>
      </c>
      <c r="W32" s="698">
        <f t="shared" si="19"/>
        <v>2258</v>
      </c>
      <c r="X32" s="699">
        <f t="shared" si="19"/>
        <v>6097</v>
      </c>
      <c r="Y32" s="699">
        <f t="shared" si="19"/>
        <v>2318</v>
      </c>
      <c r="Z32" s="1062">
        <f t="shared" si="19"/>
        <v>10673</v>
      </c>
      <c r="AA32" s="698">
        <f t="shared" ref="AA32:AD32" si="20">SUM(AA26:AA31)</f>
        <v>2331</v>
      </c>
      <c r="AB32" s="699">
        <f t="shared" si="20"/>
        <v>6506</v>
      </c>
      <c r="AC32" s="699">
        <f t="shared" si="20"/>
        <v>2495</v>
      </c>
      <c r="AD32" s="1062">
        <f t="shared" si="20"/>
        <v>11332</v>
      </c>
    </row>
    <row r="33" spans="1:3" x14ac:dyDescent="0.2">
      <c r="A33" s="376" t="s">
        <v>445</v>
      </c>
      <c r="B33" s="377"/>
      <c r="C33" s="378"/>
    </row>
    <row r="34" spans="1:3" x14ac:dyDescent="0.2">
      <c r="A34" s="5203" t="s">
        <v>0</v>
      </c>
      <c r="B34" s="5203"/>
      <c r="C34" s="5203"/>
    </row>
    <row r="42" spans="1:3" x14ac:dyDescent="0.2">
      <c r="B42" s="3985"/>
    </row>
    <row r="43" spans="1:3" x14ac:dyDescent="0.2">
      <c r="B43" s="4132">
        <v>2009</v>
      </c>
    </row>
    <row r="44" spans="1:3" x14ac:dyDescent="0.2">
      <c r="B44" s="4132">
        <v>2010</v>
      </c>
    </row>
    <row r="45" spans="1:3" x14ac:dyDescent="0.2">
      <c r="B45" s="4132">
        <v>2011</v>
      </c>
    </row>
    <row r="46" spans="1:3" x14ac:dyDescent="0.2">
      <c r="B46" s="4132">
        <v>2012</v>
      </c>
    </row>
    <row r="47" spans="1:3" x14ac:dyDescent="0.2">
      <c r="B47" s="4132">
        <v>2013</v>
      </c>
    </row>
    <row r="48" spans="1:3" ht="12.75" customHeight="1" x14ac:dyDescent="0.2">
      <c r="B48" s="4132">
        <v>2014</v>
      </c>
    </row>
    <row r="49" spans="2:2" ht="12.75" customHeight="1" x14ac:dyDescent="0.2">
      <c r="B49" s="4132">
        <v>2015</v>
      </c>
    </row>
    <row r="50" spans="2:2" ht="12.75" customHeight="1" x14ac:dyDescent="0.2">
      <c r="B50" s="3985"/>
    </row>
    <row r="51" spans="2:2" x14ac:dyDescent="0.2">
      <c r="B51" s="3985"/>
    </row>
    <row r="52" spans="2:2" x14ac:dyDescent="0.2">
      <c r="B52" s="3985"/>
    </row>
    <row r="53" spans="2:2" x14ac:dyDescent="0.2">
      <c r="B53" s="3985"/>
    </row>
    <row r="54" spans="2:2" x14ac:dyDescent="0.2">
      <c r="B54" s="3985" t="s">
        <v>161</v>
      </c>
    </row>
    <row r="55" spans="2:2" x14ac:dyDescent="0.2">
      <c r="B55" s="3985" t="s">
        <v>410</v>
      </c>
    </row>
    <row r="56" spans="2:2" x14ac:dyDescent="0.2">
      <c r="B56" s="3985" t="s">
        <v>162</v>
      </c>
    </row>
    <row r="57" spans="2:2" x14ac:dyDescent="0.2">
      <c r="B57" s="3985" t="s">
        <v>163</v>
      </c>
    </row>
    <row r="58" spans="2:2" x14ac:dyDescent="0.2">
      <c r="B58" s="3985"/>
    </row>
    <row r="59" spans="2:2" x14ac:dyDescent="0.2">
      <c r="B59" s="3985"/>
    </row>
    <row r="60" spans="2:2" x14ac:dyDescent="0.2">
      <c r="B60" s="3985"/>
    </row>
    <row r="61" spans="2:2" x14ac:dyDescent="0.2">
      <c r="B61" s="3985"/>
    </row>
    <row r="62" spans="2:2" x14ac:dyDescent="0.2">
      <c r="B62" s="3985"/>
    </row>
    <row r="63" spans="2:2" x14ac:dyDescent="0.2">
      <c r="B63" s="3985"/>
    </row>
    <row r="64" spans="2:2" x14ac:dyDescent="0.2">
      <c r="B64" s="3985"/>
    </row>
    <row r="65" spans="1:6" x14ac:dyDescent="0.2">
      <c r="B65" s="3985"/>
    </row>
    <row r="66" spans="1:6" x14ac:dyDescent="0.2">
      <c r="B66" s="3985"/>
    </row>
    <row r="67" spans="1:6" x14ac:dyDescent="0.2">
      <c r="B67" s="3985"/>
    </row>
    <row r="68" spans="1:6" ht="12.75" customHeight="1" x14ac:dyDescent="0.2">
      <c r="B68" s="3985"/>
    </row>
    <row r="69" spans="1:6" ht="12.75" customHeight="1" x14ac:dyDescent="0.2">
      <c r="B69" s="4137"/>
      <c r="C69" s="245"/>
      <c r="D69" s="245"/>
      <c r="E69" s="245"/>
      <c r="F69" s="245"/>
    </row>
    <row r="70" spans="1:6" ht="12.75" customHeight="1" x14ac:dyDescent="0.2">
      <c r="B70" s="3985" t="s">
        <v>631</v>
      </c>
    </row>
    <row r="71" spans="1:6" ht="14.25" x14ac:dyDescent="0.2">
      <c r="A71" s="245"/>
      <c r="B71" s="3985" t="s">
        <v>632</v>
      </c>
    </row>
    <row r="72" spans="1:6" x14ac:dyDescent="0.2">
      <c r="B72" s="3985" t="s">
        <v>633</v>
      </c>
    </row>
    <row r="73" spans="1:6" x14ac:dyDescent="0.2">
      <c r="B73" s="3985"/>
    </row>
    <row r="76" spans="1:6" s="245" customFormat="1" ht="14.25" x14ac:dyDescent="0.2">
      <c r="A76" s="209"/>
      <c r="B76" s="209"/>
      <c r="C76" s="209"/>
      <c r="D76" s="209"/>
      <c r="E76" s="209"/>
      <c r="F76" s="209"/>
    </row>
  </sheetData>
  <mergeCells count="16">
    <mergeCell ref="AA3:AD3"/>
    <mergeCell ref="A1:B1"/>
    <mergeCell ref="W3:Z3"/>
    <mergeCell ref="A34:C34"/>
    <mergeCell ref="A26:A32"/>
    <mergeCell ref="A6:A9"/>
    <mergeCell ref="A16:A19"/>
    <mergeCell ref="A21:A24"/>
    <mergeCell ref="C3:F3"/>
    <mergeCell ref="A11:A14"/>
    <mergeCell ref="S3:V3"/>
    <mergeCell ref="G3:J3"/>
    <mergeCell ref="K3:N3"/>
    <mergeCell ref="O3:R3"/>
    <mergeCell ref="A3:A4"/>
    <mergeCell ref="B3:B4"/>
  </mergeCells>
  <printOptions horizontalCentered="1" verticalCentered="1"/>
  <pageMargins left="0.39370078740157483" right="0.39370078740157483" top="0.19685039370078741" bottom="0.27559055118110237" header="3.937007874015748E-2" footer="0.31496062992125984"/>
  <pageSetup scale="55" orientation="landscape" r:id="rId1"/>
  <headerFooter alignWithMargins="0">
    <oddFooter xml:space="preserve">&amp;R55
</oddFooter>
  </headerFooter>
  <rowBreaks count="1" manualBreakCount="1">
    <brk id="34" max="16383" man="1"/>
  </rowBreaks>
  <colBreaks count="1" manualBreakCount="1">
    <brk id="26" max="1048575" man="1"/>
  </colBreaks>
  <ignoredErrors>
    <ignoredError sqref="C6:E8 C16:E23 G15:I23 K15:M23 O15:Q23 S6:U8 O6:Q9 K7:M9 G6:I9 S16:U17 S18:U18 S21:U23 X16:Y16 W17:Y17 W18:Y18 W21:Y21 Y22 W22:X22 X23 W6:Y8 AA6:AC8 AC13 AA16:AC18 AA21:AC23" formulaRange="1"/>
    <ignoredError sqref="V26:V29" formula="1"/>
  </ignoredError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F143"/>
  <sheetViews>
    <sheetView showGridLines="0" zoomScaleNormal="100" workbookViewId="0">
      <selection activeCell="H2" sqref="H2"/>
    </sheetView>
  </sheetViews>
  <sheetFormatPr baseColWidth="10" defaultRowHeight="15" x14ac:dyDescent="0.25"/>
  <cols>
    <col min="1" max="1" width="15.7109375" style="3540" customWidth="1"/>
    <col min="2" max="2" width="61.5703125" style="3540" bestFit="1" customWidth="1"/>
    <col min="3" max="3" width="25.140625" style="3540" bestFit="1" customWidth="1"/>
    <col min="4" max="4" width="18.85546875" style="3540" customWidth="1"/>
    <col min="5" max="5" width="24" style="3540" customWidth="1"/>
    <col min="6" max="6" width="25.42578125" style="3540" customWidth="1"/>
    <col min="7" max="226" width="11.42578125" style="3540"/>
    <col min="227" max="227" width="16.5703125" style="3540" customWidth="1"/>
    <col min="228" max="228" width="11.42578125" style="3540"/>
    <col min="229" max="229" width="15.140625" style="3540" customWidth="1"/>
    <col min="230" max="230" width="11.7109375" style="3540" bestFit="1" customWidth="1"/>
    <col min="231" max="235" width="10.7109375" style="3540" customWidth="1"/>
    <col min="236" max="236" width="1.7109375" style="3540" customWidth="1"/>
    <col min="237" max="237" width="11.7109375" style="3540" customWidth="1"/>
    <col min="238" max="240" width="9.7109375" style="3540" customWidth="1"/>
    <col min="241" max="482" width="11.42578125" style="3540"/>
    <col min="483" max="483" width="16.5703125" style="3540" customWidth="1"/>
    <col min="484" max="484" width="11.42578125" style="3540"/>
    <col min="485" max="485" width="15.140625" style="3540" customWidth="1"/>
    <col min="486" max="486" width="11.7109375" style="3540" bestFit="1" customWidth="1"/>
    <col min="487" max="491" width="10.7109375" style="3540" customWidth="1"/>
    <col min="492" max="492" width="1.7109375" style="3540" customWidth="1"/>
    <col min="493" max="493" width="11.7109375" style="3540" customWidth="1"/>
    <col min="494" max="496" width="9.7109375" style="3540" customWidth="1"/>
    <col min="497" max="738" width="11.42578125" style="3540"/>
    <col min="739" max="739" width="16.5703125" style="3540" customWidth="1"/>
    <col min="740" max="740" width="11.42578125" style="3540"/>
    <col min="741" max="741" width="15.140625" style="3540" customWidth="1"/>
    <col min="742" max="742" width="11.7109375" style="3540" bestFit="1" customWidth="1"/>
    <col min="743" max="747" width="10.7109375" style="3540" customWidth="1"/>
    <col min="748" max="748" width="1.7109375" style="3540" customWidth="1"/>
    <col min="749" max="749" width="11.7109375" style="3540" customWidth="1"/>
    <col min="750" max="752" width="9.7109375" style="3540" customWidth="1"/>
    <col min="753" max="994" width="11.42578125" style="3540"/>
    <col min="995" max="995" width="16.5703125" style="3540" customWidth="1"/>
    <col min="996" max="996" width="11.42578125" style="3540"/>
    <col min="997" max="997" width="15.140625" style="3540" customWidth="1"/>
    <col min="998" max="998" width="11.7109375" style="3540" bestFit="1" customWidth="1"/>
    <col min="999" max="1003" width="10.7109375" style="3540" customWidth="1"/>
    <col min="1004" max="1004" width="1.7109375" style="3540" customWidth="1"/>
    <col min="1005" max="1005" width="11.7109375" style="3540" customWidth="1"/>
    <col min="1006" max="1008" width="9.7109375" style="3540" customWidth="1"/>
    <col min="1009" max="1250" width="11.42578125" style="3540"/>
    <col min="1251" max="1251" width="16.5703125" style="3540" customWidth="1"/>
    <col min="1252" max="1252" width="11.42578125" style="3540"/>
    <col min="1253" max="1253" width="15.140625" style="3540" customWidth="1"/>
    <col min="1254" max="1254" width="11.7109375" style="3540" bestFit="1" customWidth="1"/>
    <col min="1255" max="1259" width="10.7109375" style="3540" customWidth="1"/>
    <col min="1260" max="1260" width="1.7109375" style="3540" customWidth="1"/>
    <col min="1261" max="1261" width="11.7109375" style="3540" customWidth="1"/>
    <col min="1262" max="1264" width="9.7109375" style="3540" customWidth="1"/>
    <col min="1265" max="1506" width="11.42578125" style="3540"/>
    <col min="1507" max="1507" width="16.5703125" style="3540" customWidth="1"/>
    <col min="1508" max="1508" width="11.42578125" style="3540"/>
    <col min="1509" max="1509" width="15.140625" style="3540" customWidth="1"/>
    <col min="1510" max="1510" width="11.7109375" style="3540" bestFit="1" customWidth="1"/>
    <col min="1511" max="1515" width="10.7109375" style="3540" customWidth="1"/>
    <col min="1516" max="1516" width="1.7109375" style="3540" customWidth="1"/>
    <col min="1517" max="1517" width="11.7109375" style="3540" customWidth="1"/>
    <col min="1518" max="1520" width="9.7109375" style="3540" customWidth="1"/>
    <col min="1521" max="1762" width="11.42578125" style="3540"/>
    <col min="1763" max="1763" width="16.5703125" style="3540" customWidth="1"/>
    <col min="1764" max="1764" width="11.42578125" style="3540"/>
    <col min="1765" max="1765" width="15.140625" style="3540" customWidth="1"/>
    <col min="1766" max="1766" width="11.7109375" style="3540" bestFit="1" customWidth="1"/>
    <col min="1767" max="1771" width="10.7109375" style="3540" customWidth="1"/>
    <col min="1772" max="1772" width="1.7109375" style="3540" customWidth="1"/>
    <col min="1773" max="1773" width="11.7109375" style="3540" customWidth="1"/>
    <col min="1774" max="1776" width="9.7109375" style="3540" customWidth="1"/>
    <col min="1777" max="2018" width="11.42578125" style="3540"/>
    <col min="2019" max="2019" width="16.5703125" style="3540" customWidth="1"/>
    <col min="2020" max="2020" width="11.42578125" style="3540"/>
    <col min="2021" max="2021" width="15.140625" style="3540" customWidth="1"/>
    <col min="2022" max="2022" width="11.7109375" style="3540" bestFit="1" customWidth="1"/>
    <col min="2023" max="2027" width="10.7109375" style="3540" customWidth="1"/>
    <col min="2028" max="2028" width="1.7109375" style="3540" customWidth="1"/>
    <col min="2029" max="2029" width="11.7109375" style="3540" customWidth="1"/>
    <col min="2030" max="2032" width="9.7109375" style="3540" customWidth="1"/>
    <col min="2033" max="2274" width="11.42578125" style="3540"/>
    <col min="2275" max="2275" width="16.5703125" style="3540" customWidth="1"/>
    <col min="2276" max="2276" width="11.42578125" style="3540"/>
    <col min="2277" max="2277" width="15.140625" style="3540" customWidth="1"/>
    <col min="2278" max="2278" width="11.7109375" style="3540" bestFit="1" customWidth="1"/>
    <col min="2279" max="2283" width="10.7109375" style="3540" customWidth="1"/>
    <col min="2284" max="2284" width="1.7109375" style="3540" customWidth="1"/>
    <col min="2285" max="2285" width="11.7109375" style="3540" customWidth="1"/>
    <col min="2286" max="2288" width="9.7109375" style="3540" customWidth="1"/>
    <col min="2289" max="2530" width="11.42578125" style="3540"/>
    <col min="2531" max="2531" width="16.5703125" style="3540" customWidth="1"/>
    <col min="2532" max="2532" width="11.42578125" style="3540"/>
    <col min="2533" max="2533" width="15.140625" style="3540" customWidth="1"/>
    <col min="2534" max="2534" width="11.7109375" style="3540" bestFit="1" customWidth="1"/>
    <col min="2535" max="2539" width="10.7109375" style="3540" customWidth="1"/>
    <col min="2540" max="2540" width="1.7109375" style="3540" customWidth="1"/>
    <col min="2541" max="2541" width="11.7109375" style="3540" customWidth="1"/>
    <col min="2542" max="2544" width="9.7109375" style="3540" customWidth="1"/>
    <col min="2545" max="2786" width="11.42578125" style="3540"/>
    <col min="2787" max="2787" width="16.5703125" style="3540" customWidth="1"/>
    <col min="2788" max="2788" width="11.42578125" style="3540"/>
    <col min="2789" max="2789" width="15.140625" style="3540" customWidth="1"/>
    <col min="2790" max="2790" width="11.7109375" style="3540" bestFit="1" customWidth="1"/>
    <col min="2791" max="2795" width="10.7109375" style="3540" customWidth="1"/>
    <col min="2796" max="2796" width="1.7109375" style="3540" customWidth="1"/>
    <col min="2797" max="2797" width="11.7109375" style="3540" customWidth="1"/>
    <col min="2798" max="2800" width="9.7109375" style="3540" customWidth="1"/>
    <col min="2801" max="3042" width="11.42578125" style="3540"/>
    <col min="3043" max="3043" width="16.5703125" style="3540" customWidth="1"/>
    <col min="3044" max="3044" width="11.42578125" style="3540"/>
    <col min="3045" max="3045" width="15.140625" style="3540" customWidth="1"/>
    <col min="3046" max="3046" width="11.7109375" style="3540" bestFit="1" customWidth="1"/>
    <col min="3047" max="3051" width="10.7109375" style="3540" customWidth="1"/>
    <col min="3052" max="3052" width="1.7109375" style="3540" customWidth="1"/>
    <col min="3053" max="3053" width="11.7109375" style="3540" customWidth="1"/>
    <col min="3054" max="3056" width="9.7109375" style="3540" customWidth="1"/>
    <col min="3057" max="3298" width="11.42578125" style="3540"/>
    <col min="3299" max="3299" width="16.5703125" style="3540" customWidth="1"/>
    <col min="3300" max="3300" width="11.42578125" style="3540"/>
    <col min="3301" max="3301" width="15.140625" style="3540" customWidth="1"/>
    <col min="3302" max="3302" width="11.7109375" style="3540" bestFit="1" customWidth="1"/>
    <col min="3303" max="3307" width="10.7109375" style="3540" customWidth="1"/>
    <col min="3308" max="3308" width="1.7109375" style="3540" customWidth="1"/>
    <col min="3309" max="3309" width="11.7109375" style="3540" customWidth="1"/>
    <col min="3310" max="3312" width="9.7109375" style="3540" customWidth="1"/>
    <col min="3313" max="3554" width="11.42578125" style="3540"/>
    <col min="3555" max="3555" width="16.5703125" style="3540" customWidth="1"/>
    <col min="3556" max="3556" width="11.42578125" style="3540"/>
    <col min="3557" max="3557" width="15.140625" style="3540" customWidth="1"/>
    <col min="3558" max="3558" width="11.7109375" style="3540" bestFit="1" customWidth="1"/>
    <col min="3559" max="3563" width="10.7109375" style="3540" customWidth="1"/>
    <col min="3564" max="3564" width="1.7109375" style="3540" customWidth="1"/>
    <col min="3565" max="3565" width="11.7109375" style="3540" customWidth="1"/>
    <col min="3566" max="3568" width="9.7109375" style="3540" customWidth="1"/>
    <col min="3569" max="3810" width="11.42578125" style="3540"/>
    <col min="3811" max="3811" width="16.5703125" style="3540" customWidth="1"/>
    <col min="3812" max="3812" width="11.42578125" style="3540"/>
    <col min="3813" max="3813" width="15.140625" style="3540" customWidth="1"/>
    <col min="3814" max="3814" width="11.7109375" style="3540" bestFit="1" customWidth="1"/>
    <col min="3815" max="3819" width="10.7109375" style="3540" customWidth="1"/>
    <col min="3820" max="3820" width="1.7109375" style="3540" customWidth="1"/>
    <col min="3821" max="3821" width="11.7109375" style="3540" customWidth="1"/>
    <col min="3822" max="3824" width="9.7109375" style="3540" customWidth="1"/>
    <col min="3825" max="4066" width="11.42578125" style="3540"/>
    <col min="4067" max="4067" width="16.5703125" style="3540" customWidth="1"/>
    <col min="4068" max="4068" width="11.42578125" style="3540"/>
    <col min="4069" max="4069" width="15.140625" style="3540" customWidth="1"/>
    <col min="4070" max="4070" width="11.7109375" style="3540" bestFit="1" customWidth="1"/>
    <col min="4071" max="4075" width="10.7109375" style="3540" customWidth="1"/>
    <col min="4076" max="4076" width="1.7109375" style="3540" customWidth="1"/>
    <col min="4077" max="4077" width="11.7109375" style="3540" customWidth="1"/>
    <col min="4078" max="4080" width="9.7109375" style="3540" customWidth="1"/>
    <col min="4081" max="4322" width="11.42578125" style="3540"/>
    <col min="4323" max="4323" width="16.5703125" style="3540" customWidth="1"/>
    <col min="4324" max="4324" width="11.42578125" style="3540"/>
    <col min="4325" max="4325" width="15.140625" style="3540" customWidth="1"/>
    <col min="4326" max="4326" width="11.7109375" style="3540" bestFit="1" customWidth="1"/>
    <col min="4327" max="4331" width="10.7109375" style="3540" customWidth="1"/>
    <col min="4332" max="4332" width="1.7109375" style="3540" customWidth="1"/>
    <col min="4333" max="4333" width="11.7109375" style="3540" customWidth="1"/>
    <col min="4334" max="4336" width="9.7109375" style="3540" customWidth="1"/>
    <col min="4337" max="4578" width="11.42578125" style="3540"/>
    <col min="4579" max="4579" width="16.5703125" style="3540" customWidth="1"/>
    <col min="4580" max="4580" width="11.42578125" style="3540"/>
    <col min="4581" max="4581" width="15.140625" style="3540" customWidth="1"/>
    <col min="4582" max="4582" width="11.7109375" style="3540" bestFit="1" customWidth="1"/>
    <col min="4583" max="4587" width="10.7109375" style="3540" customWidth="1"/>
    <col min="4588" max="4588" width="1.7109375" style="3540" customWidth="1"/>
    <col min="4589" max="4589" width="11.7109375" style="3540" customWidth="1"/>
    <col min="4590" max="4592" width="9.7109375" style="3540" customWidth="1"/>
    <col min="4593" max="4834" width="11.42578125" style="3540"/>
    <col min="4835" max="4835" width="16.5703125" style="3540" customWidth="1"/>
    <col min="4836" max="4836" width="11.42578125" style="3540"/>
    <col min="4837" max="4837" width="15.140625" style="3540" customWidth="1"/>
    <col min="4838" max="4838" width="11.7109375" style="3540" bestFit="1" customWidth="1"/>
    <col min="4839" max="4843" width="10.7109375" style="3540" customWidth="1"/>
    <col min="4844" max="4844" width="1.7109375" style="3540" customWidth="1"/>
    <col min="4845" max="4845" width="11.7109375" style="3540" customWidth="1"/>
    <col min="4846" max="4848" width="9.7109375" style="3540" customWidth="1"/>
    <col min="4849" max="5090" width="11.42578125" style="3540"/>
    <col min="5091" max="5091" width="16.5703125" style="3540" customWidth="1"/>
    <col min="5092" max="5092" width="11.42578125" style="3540"/>
    <col min="5093" max="5093" width="15.140625" style="3540" customWidth="1"/>
    <col min="5094" max="5094" width="11.7109375" style="3540" bestFit="1" customWidth="1"/>
    <col min="5095" max="5099" width="10.7109375" style="3540" customWidth="1"/>
    <col min="5100" max="5100" width="1.7109375" style="3540" customWidth="1"/>
    <col min="5101" max="5101" width="11.7109375" style="3540" customWidth="1"/>
    <col min="5102" max="5104" width="9.7109375" style="3540" customWidth="1"/>
    <col min="5105" max="5346" width="11.42578125" style="3540"/>
    <col min="5347" max="5347" width="16.5703125" style="3540" customWidth="1"/>
    <col min="5348" max="5348" width="11.42578125" style="3540"/>
    <col min="5349" max="5349" width="15.140625" style="3540" customWidth="1"/>
    <col min="5350" max="5350" width="11.7109375" style="3540" bestFit="1" customWidth="1"/>
    <col min="5351" max="5355" width="10.7109375" style="3540" customWidth="1"/>
    <col min="5356" max="5356" width="1.7109375" style="3540" customWidth="1"/>
    <col min="5357" max="5357" width="11.7109375" style="3540" customWidth="1"/>
    <col min="5358" max="5360" width="9.7109375" style="3540" customWidth="1"/>
    <col min="5361" max="5602" width="11.42578125" style="3540"/>
    <col min="5603" max="5603" width="16.5703125" style="3540" customWidth="1"/>
    <col min="5604" max="5604" width="11.42578125" style="3540"/>
    <col min="5605" max="5605" width="15.140625" style="3540" customWidth="1"/>
    <col min="5606" max="5606" width="11.7109375" style="3540" bestFit="1" customWidth="1"/>
    <col min="5607" max="5611" width="10.7109375" style="3540" customWidth="1"/>
    <col min="5612" max="5612" width="1.7109375" style="3540" customWidth="1"/>
    <col min="5613" max="5613" width="11.7109375" style="3540" customWidth="1"/>
    <col min="5614" max="5616" width="9.7109375" style="3540" customWidth="1"/>
    <col min="5617" max="5858" width="11.42578125" style="3540"/>
    <col min="5859" max="5859" width="16.5703125" style="3540" customWidth="1"/>
    <col min="5860" max="5860" width="11.42578125" style="3540"/>
    <col min="5861" max="5861" width="15.140625" style="3540" customWidth="1"/>
    <col min="5862" max="5862" width="11.7109375" style="3540" bestFit="1" customWidth="1"/>
    <col min="5863" max="5867" width="10.7109375" style="3540" customWidth="1"/>
    <col min="5868" max="5868" width="1.7109375" style="3540" customWidth="1"/>
    <col min="5869" max="5869" width="11.7109375" style="3540" customWidth="1"/>
    <col min="5870" max="5872" width="9.7109375" style="3540" customWidth="1"/>
    <col min="5873" max="6114" width="11.42578125" style="3540"/>
    <col min="6115" max="6115" width="16.5703125" style="3540" customWidth="1"/>
    <col min="6116" max="6116" width="11.42578125" style="3540"/>
    <col min="6117" max="6117" width="15.140625" style="3540" customWidth="1"/>
    <col min="6118" max="6118" width="11.7109375" style="3540" bestFit="1" customWidth="1"/>
    <col min="6119" max="6123" width="10.7109375" style="3540" customWidth="1"/>
    <col min="6124" max="6124" width="1.7109375" style="3540" customWidth="1"/>
    <col min="6125" max="6125" width="11.7109375" style="3540" customWidth="1"/>
    <col min="6126" max="6128" width="9.7109375" style="3540" customWidth="1"/>
    <col min="6129" max="6370" width="11.42578125" style="3540"/>
    <col min="6371" max="6371" width="16.5703125" style="3540" customWidth="1"/>
    <col min="6372" max="6372" width="11.42578125" style="3540"/>
    <col min="6373" max="6373" width="15.140625" style="3540" customWidth="1"/>
    <col min="6374" max="6374" width="11.7109375" style="3540" bestFit="1" customWidth="1"/>
    <col min="6375" max="6379" width="10.7109375" style="3540" customWidth="1"/>
    <col min="6380" max="6380" width="1.7109375" style="3540" customWidth="1"/>
    <col min="6381" max="6381" width="11.7109375" style="3540" customWidth="1"/>
    <col min="6382" max="6384" width="9.7109375" style="3540" customWidth="1"/>
    <col min="6385" max="6626" width="11.42578125" style="3540"/>
    <col min="6627" max="6627" width="16.5703125" style="3540" customWidth="1"/>
    <col min="6628" max="6628" width="11.42578125" style="3540"/>
    <col min="6629" max="6629" width="15.140625" style="3540" customWidth="1"/>
    <col min="6630" max="6630" width="11.7109375" style="3540" bestFit="1" customWidth="1"/>
    <col min="6631" max="6635" width="10.7109375" style="3540" customWidth="1"/>
    <col min="6636" max="6636" width="1.7109375" style="3540" customWidth="1"/>
    <col min="6637" max="6637" width="11.7109375" style="3540" customWidth="1"/>
    <col min="6638" max="6640" width="9.7109375" style="3540" customWidth="1"/>
    <col min="6641" max="6882" width="11.42578125" style="3540"/>
    <col min="6883" max="6883" width="16.5703125" style="3540" customWidth="1"/>
    <col min="6884" max="6884" width="11.42578125" style="3540"/>
    <col min="6885" max="6885" width="15.140625" style="3540" customWidth="1"/>
    <col min="6886" max="6886" width="11.7109375" style="3540" bestFit="1" customWidth="1"/>
    <col min="6887" max="6891" width="10.7109375" style="3540" customWidth="1"/>
    <col min="6892" max="6892" width="1.7109375" style="3540" customWidth="1"/>
    <col min="6893" max="6893" width="11.7109375" style="3540" customWidth="1"/>
    <col min="6894" max="6896" width="9.7109375" style="3540" customWidth="1"/>
    <col min="6897" max="7138" width="11.42578125" style="3540"/>
    <col min="7139" max="7139" width="16.5703125" style="3540" customWidth="1"/>
    <col min="7140" max="7140" width="11.42578125" style="3540"/>
    <col min="7141" max="7141" width="15.140625" style="3540" customWidth="1"/>
    <col min="7142" max="7142" width="11.7109375" style="3540" bestFit="1" customWidth="1"/>
    <col min="7143" max="7147" width="10.7109375" style="3540" customWidth="1"/>
    <col min="7148" max="7148" width="1.7109375" style="3540" customWidth="1"/>
    <col min="7149" max="7149" width="11.7109375" style="3540" customWidth="1"/>
    <col min="7150" max="7152" width="9.7109375" style="3540" customWidth="1"/>
    <col min="7153" max="7394" width="11.42578125" style="3540"/>
    <col min="7395" max="7395" width="16.5703125" style="3540" customWidth="1"/>
    <col min="7396" max="7396" width="11.42578125" style="3540"/>
    <col min="7397" max="7397" width="15.140625" style="3540" customWidth="1"/>
    <col min="7398" max="7398" width="11.7109375" style="3540" bestFit="1" customWidth="1"/>
    <col min="7399" max="7403" width="10.7109375" style="3540" customWidth="1"/>
    <col min="7404" max="7404" width="1.7109375" style="3540" customWidth="1"/>
    <col min="7405" max="7405" width="11.7109375" style="3540" customWidth="1"/>
    <col min="7406" max="7408" width="9.7109375" style="3540" customWidth="1"/>
    <col min="7409" max="7650" width="11.42578125" style="3540"/>
    <col min="7651" max="7651" width="16.5703125" style="3540" customWidth="1"/>
    <col min="7652" max="7652" width="11.42578125" style="3540"/>
    <col min="7653" max="7653" width="15.140625" style="3540" customWidth="1"/>
    <col min="7654" max="7654" width="11.7109375" style="3540" bestFit="1" customWidth="1"/>
    <col min="7655" max="7659" width="10.7109375" style="3540" customWidth="1"/>
    <col min="7660" max="7660" width="1.7109375" style="3540" customWidth="1"/>
    <col min="7661" max="7661" width="11.7109375" style="3540" customWidth="1"/>
    <col min="7662" max="7664" width="9.7109375" style="3540" customWidth="1"/>
    <col min="7665" max="7906" width="11.42578125" style="3540"/>
    <col min="7907" max="7907" width="16.5703125" style="3540" customWidth="1"/>
    <col min="7908" max="7908" width="11.42578125" style="3540"/>
    <col min="7909" max="7909" width="15.140625" style="3540" customWidth="1"/>
    <col min="7910" max="7910" width="11.7109375" style="3540" bestFit="1" customWidth="1"/>
    <col min="7911" max="7915" width="10.7109375" style="3540" customWidth="1"/>
    <col min="7916" max="7916" width="1.7109375" style="3540" customWidth="1"/>
    <col min="7917" max="7917" width="11.7109375" style="3540" customWidth="1"/>
    <col min="7918" max="7920" width="9.7109375" style="3540" customWidth="1"/>
    <col min="7921" max="8162" width="11.42578125" style="3540"/>
    <col min="8163" max="8163" width="16.5703125" style="3540" customWidth="1"/>
    <col min="8164" max="8164" width="11.42578125" style="3540"/>
    <col min="8165" max="8165" width="15.140625" style="3540" customWidth="1"/>
    <col min="8166" max="8166" width="11.7109375" style="3540" bestFit="1" customWidth="1"/>
    <col min="8167" max="8171" width="10.7109375" style="3540" customWidth="1"/>
    <col min="8172" max="8172" width="1.7109375" style="3540" customWidth="1"/>
    <col min="8173" max="8173" width="11.7109375" style="3540" customWidth="1"/>
    <col min="8174" max="8176" width="9.7109375" style="3540" customWidth="1"/>
    <col min="8177" max="8418" width="11.42578125" style="3540"/>
    <col min="8419" max="8419" width="16.5703125" style="3540" customWidth="1"/>
    <col min="8420" max="8420" width="11.42578125" style="3540"/>
    <col min="8421" max="8421" width="15.140625" style="3540" customWidth="1"/>
    <col min="8422" max="8422" width="11.7109375" style="3540" bestFit="1" customWidth="1"/>
    <col min="8423" max="8427" width="10.7109375" style="3540" customWidth="1"/>
    <col min="8428" max="8428" width="1.7109375" style="3540" customWidth="1"/>
    <col min="8429" max="8429" width="11.7109375" style="3540" customWidth="1"/>
    <col min="8430" max="8432" width="9.7109375" style="3540" customWidth="1"/>
    <col min="8433" max="8674" width="11.42578125" style="3540"/>
    <col min="8675" max="8675" width="16.5703125" style="3540" customWidth="1"/>
    <col min="8676" max="8676" width="11.42578125" style="3540"/>
    <col min="8677" max="8677" width="15.140625" style="3540" customWidth="1"/>
    <col min="8678" max="8678" width="11.7109375" style="3540" bestFit="1" customWidth="1"/>
    <col min="8679" max="8683" width="10.7109375" style="3540" customWidth="1"/>
    <col min="8684" max="8684" width="1.7109375" style="3540" customWidth="1"/>
    <col min="8685" max="8685" width="11.7109375" style="3540" customWidth="1"/>
    <col min="8686" max="8688" width="9.7109375" style="3540" customWidth="1"/>
    <col min="8689" max="8930" width="11.42578125" style="3540"/>
    <col min="8931" max="8931" width="16.5703125" style="3540" customWidth="1"/>
    <col min="8932" max="8932" width="11.42578125" style="3540"/>
    <col min="8933" max="8933" width="15.140625" style="3540" customWidth="1"/>
    <col min="8934" max="8934" width="11.7109375" style="3540" bestFit="1" customWidth="1"/>
    <col min="8935" max="8939" width="10.7109375" style="3540" customWidth="1"/>
    <col min="8940" max="8940" width="1.7109375" style="3540" customWidth="1"/>
    <col min="8941" max="8941" width="11.7109375" style="3540" customWidth="1"/>
    <col min="8942" max="8944" width="9.7109375" style="3540" customWidth="1"/>
    <col min="8945" max="9186" width="11.42578125" style="3540"/>
    <col min="9187" max="9187" width="16.5703125" style="3540" customWidth="1"/>
    <col min="9188" max="9188" width="11.42578125" style="3540"/>
    <col min="9189" max="9189" width="15.140625" style="3540" customWidth="1"/>
    <col min="9190" max="9190" width="11.7109375" style="3540" bestFit="1" customWidth="1"/>
    <col min="9191" max="9195" width="10.7109375" style="3540" customWidth="1"/>
    <col min="9196" max="9196" width="1.7109375" style="3540" customWidth="1"/>
    <col min="9197" max="9197" width="11.7109375" style="3540" customWidth="1"/>
    <col min="9198" max="9200" width="9.7109375" style="3540" customWidth="1"/>
    <col min="9201" max="9442" width="11.42578125" style="3540"/>
    <col min="9443" max="9443" width="16.5703125" style="3540" customWidth="1"/>
    <col min="9444" max="9444" width="11.42578125" style="3540"/>
    <col min="9445" max="9445" width="15.140625" style="3540" customWidth="1"/>
    <col min="9446" max="9446" width="11.7109375" style="3540" bestFit="1" customWidth="1"/>
    <col min="9447" max="9451" width="10.7109375" style="3540" customWidth="1"/>
    <col min="9452" max="9452" width="1.7109375" style="3540" customWidth="1"/>
    <col min="9453" max="9453" width="11.7109375" style="3540" customWidth="1"/>
    <col min="9454" max="9456" width="9.7109375" style="3540" customWidth="1"/>
    <col min="9457" max="9698" width="11.42578125" style="3540"/>
    <col min="9699" max="9699" width="16.5703125" style="3540" customWidth="1"/>
    <col min="9700" max="9700" width="11.42578125" style="3540"/>
    <col min="9701" max="9701" width="15.140625" style="3540" customWidth="1"/>
    <col min="9702" max="9702" width="11.7109375" style="3540" bestFit="1" customWidth="1"/>
    <col min="9703" max="9707" width="10.7109375" style="3540" customWidth="1"/>
    <col min="9708" max="9708" width="1.7109375" style="3540" customWidth="1"/>
    <col min="9709" max="9709" width="11.7109375" style="3540" customWidth="1"/>
    <col min="9710" max="9712" width="9.7109375" style="3540" customWidth="1"/>
    <col min="9713" max="9954" width="11.42578125" style="3540"/>
    <col min="9955" max="9955" width="16.5703125" style="3540" customWidth="1"/>
    <col min="9956" max="9956" width="11.42578125" style="3540"/>
    <col min="9957" max="9957" width="15.140625" style="3540" customWidth="1"/>
    <col min="9958" max="9958" width="11.7109375" style="3540" bestFit="1" customWidth="1"/>
    <col min="9959" max="9963" width="10.7109375" style="3540" customWidth="1"/>
    <col min="9964" max="9964" width="1.7109375" style="3540" customWidth="1"/>
    <col min="9965" max="9965" width="11.7109375" style="3540" customWidth="1"/>
    <col min="9966" max="9968" width="9.7109375" style="3540" customWidth="1"/>
    <col min="9969" max="10210" width="11.42578125" style="3540"/>
    <col min="10211" max="10211" width="16.5703125" style="3540" customWidth="1"/>
    <col min="10212" max="10212" width="11.42578125" style="3540"/>
    <col min="10213" max="10213" width="15.140625" style="3540" customWidth="1"/>
    <col min="10214" max="10214" width="11.7109375" style="3540" bestFit="1" customWidth="1"/>
    <col min="10215" max="10219" width="10.7109375" style="3540" customWidth="1"/>
    <col min="10220" max="10220" width="1.7109375" style="3540" customWidth="1"/>
    <col min="10221" max="10221" width="11.7109375" style="3540" customWidth="1"/>
    <col min="10222" max="10224" width="9.7109375" style="3540" customWidth="1"/>
    <col min="10225" max="10466" width="11.42578125" style="3540"/>
    <col min="10467" max="10467" width="16.5703125" style="3540" customWidth="1"/>
    <col min="10468" max="10468" width="11.42578125" style="3540"/>
    <col min="10469" max="10469" width="15.140625" style="3540" customWidth="1"/>
    <col min="10470" max="10470" width="11.7109375" style="3540" bestFit="1" customWidth="1"/>
    <col min="10471" max="10475" width="10.7109375" style="3540" customWidth="1"/>
    <col min="10476" max="10476" width="1.7109375" style="3540" customWidth="1"/>
    <col min="10477" max="10477" width="11.7109375" style="3540" customWidth="1"/>
    <col min="10478" max="10480" width="9.7109375" style="3540" customWidth="1"/>
    <col min="10481" max="10722" width="11.42578125" style="3540"/>
    <col min="10723" max="10723" width="16.5703125" style="3540" customWidth="1"/>
    <col min="10724" max="10724" width="11.42578125" style="3540"/>
    <col min="10725" max="10725" width="15.140625" style="3540" customWidth="1"/>
    <col min="10726" max="10726" width="11.7109375" style="3540" bestFit="1" customWidth="1"/>
    <col min="10727" max="10731" width="10.7109375" style="3540" customWidth="1"/>
    <col min="10732" max="10732" width="1.7109375" style="3540" customWidth="1"/>
    <col min="10733" max="10733" width="11.7109375" style="3540" customWidth="1"/>
    <col min="10734" max="10736" width="9.7109375" style="3540" customWidth="1"/>
    <col min="10737" max="10978" width="11.42578125" style="3540"/>
    <col min="10979" max="10979" width="16.5703125" style="3540" customWidth="1"/>
    <col min="10980" max="10980" width="11.42578125" style="3540"/>
    <col min="10981" max="10981" width="15.140625" style="3540" customWidth="1"/>
    <col min="10982" max="10982" width="11.7109375" style="3540" bestFit="1" customWidth="1"/>
    <col min="10983" max="10987" width="10.7109375" style="3540" customWidth="1"/>
    <col min="10988" max="10988" width="1.7109375" style="3540" customWidth="1"/>
    <col min="10989" max="10989" width="11.7109375" style="3540" customWidth="1"/>
    <col min="10990" max="10992" width="9.7109375" style="3540" customWidth="1"/>
    <col min="10993" max="11234" width="11.42578125" style="3540"/>
    <col min="11235" max="11235" width="16.5703125" style="3540" customWidth="1"/>
    <col min="11236" max="11236" width="11.42578125" style="3540"/>
    <col min="11237" max="11237" width="15.140625" style="3540" customWidth="1"/>
    <col min="11238" max="11238" width="11.7109375" style="3540" bestFit="1" customWidth="1"/>
    <col min="11239" max="11243" width="10.7109375" style="3540" customWidth="1"/>
    <col min="11244" max="11244" width="1.7109375" style="3540" customWidth="1"/>
    <col min="11245" max="11245" width="11.7109375" style="3540" customWidth="1"/>
    <col min="11246" max="11248" width="9.7109375" style="3540" customWidth="1"/>
    <col min="11249" max="11490" width="11.42578125" style="3540"/>
    <col min="11491" max="11491" width="16.5703125" style="3540" customWidth="1"/>
    <col min="11492" max="11492" width="11.42578125" style="3540"/>
    <col min="11493" max="11493" width="15.140625" style="3540" customWidth="1"/>
    <col min="11494" max="11494" width="11.7109375" style="3540" bestFit="1" customWidth="1"/>
    <col min="11495" max="11499" width="10.7109375" style="3540" customWidth="1"/>
    <col min="11500" max="11500" width="1.7109375" style="3540" customWidth="1"/>
    <col min="11501" max="11501" width="11.7109375" style="3540" customWidth="1"/>
    <col min="11502" max="11504" width="9.7109375" style="3540" customWidth="1"/>
    <col min="11505" max="11746" width="11.42578125" style="3540"/>
    <col min="11747" max="11747" width="16.5703125" style="3540" customWidth="1"/>
    <col min="11748" max="11748" width="11.42578125" style="3540"/>
    <col min="11749" max="11749" width="15.140625" style="3540" customWidth="1"/>
    <col min="11750" max="11750" width="11.7109375" style="3540" bestFit="1" customWidth="1"/>
    <col min="11751" max="11755" width="10.7109375" style="3540" customWidth="1"/>
    <col min="11756" max="11756" width="1.7109375" style="3540" customWidth="1"/>
    <col min="11757" max="11757" width="11.7109375" style="3540" customWidth="1"/>
    <col min="11758" max="11760" width="9.7109375" style="3540" customWidth="1"/>
    <col min="11761" max="12002" width="11.42578125" style="3540"/>
    <col min="12003" max="12003" width="16.5703125" style="3540" customWidth="1"/>
    <col min="12004" max="12004" width="11.42578125" style="3540"/>
    <col min="12005" max="12005" width="15.140625" style="3540" customWidth="1"/>
    <col min="12006" max="12006" width="11.7109375" style="3540" bestFit="1" customWidth="1"/>
    <col min="12007" max="12011" width="10.7109375" style="3540" customWidth="1"/>
    <col min="12012" max="12012" width="1.7109375" style="3540" customWidth="1"/>
    <col min="12013" max="12013" width="11.7109375" style="3540" customWidth="1"/>
    <col min="12014" max="12016" width="9.7109375" style="3540" customWidth="1"/>
    <col min="12017" max="12258" width="11.42578125" style="3540"/>
    <col min="12259" max="12259" width="16.5703125" style="3540" customWidth="1"/>
    <col min="12260" max="12260" width="11.42578125" style="3540"/>
    <col min="12261" max="12261" width="15.140625" style="3540" customWidth="1"/>
    <col min="12262" max="12262" width="11.7109375" style="3540" bestFit="1" customWidth="1"/>
    <col min="12263" max="12267" width="10.7109375" style="3540" customWidth="1"/>
    <col min="12268" max="12268" width="1.7109375" style="3540" customWidth="1"/>
    <col min="12269" max="12269" width="11.7109375" style="3540" customWidth="1"/>
    <col min="12270" max="12272" width="9.7109375" style="3540" customWidth="1"/>
    <col min="12273" max="12514" width="11.42578125" style="3540"/>
    <col min="12515" max="12515" width="16.5703125" style="3540" customWidth="1"/>
    <col min="12516" max="12516" width="11.42578125" style="3540"/>
    <col min="12517" max="12517" width="15.140625" style="3540" customWidth="1"/>
    <col min="12518" max="12518" width="11.7109375" style="3540" bestFit="1" customWidth="1"/>
    <col min="12519" max="12523" width="10.7109375" style="3540" customWidth="1"/>
    <col min="12524" max="12524" width="1.7109375" style="3540" customWidth="1"/>
    <col min="12525" max="12525" width="11.7109375" style="3540" customWidth="1"/>
    <col min="12526" max="12528" width="9.7109375" style="3540" customWidth="1"/>
    <col min="12529" max="12770" width="11.42578125" style="3540"/>
    <col min="12771" max="12771" width="16.5703125" style="3540" customWidth="1"/>
    <col min="12772" max="12772" width="11.42578125" style="3540"/>
    <col min="12773" max="12773" width="15.140625" style="3540" customWidth="1"/>
    <col min="12774" max="12774" width="11.7109375" style="3540" bestFit="1" customWidth="1"/>
    <col min="12775" max="12779" width="10.7109375" style="3540" customWidth="1"/>
    <col min="12780" max="12780" width="1.7109375" style="3540" customWidth="1"/>
    <col min="12781" max="12781" width="11.7109375" style="3540" customWidth="1"/>
    <col min="12782" max="12784" width="9.7109375" style="3540" customWidth="1"/>
    <col min="12785" max="13026" width="11.42578125" style="3540"/>
    <col min="13027" max="13027" width="16.5703125" style="3540" customWidth="1"/>
    <col min="13028" max="13028" width="11.42578125" style="3540"/>
    <col min="13029" max="13029" width="15.140625" style="3540" customWidth="1"/>
    <col min="13030" max="13030" width="11.7109375" style="3540" bestFit="1" customWidth="1"/>
    <col min="13031" max="13035" width="10.7109375" style="3540" customWidth="1"/>
    <col min="13036" max="13036" width="1.7109375" style="3540" customWidth="1"/>
    <col min="13037" max="13037" width="11.7109375" style="3540" customWidth="1"/>
    <col min="13038" max="13040" width="9.7109375" style="3540" customWidth="1"/>
    <col min="13041" max="13282" width="11.42578125" style="3540"/>
    <col min="13283" max="13283" width="16.5703125" style="3540" customWidth="1"/>
    <col min="13284" max="13284" width="11.42578125" style="3540"/>
    <col min="13285" max="13285" width="15.140625" style="3540" customWidth="1"/>
    <col min="13286" max="13286" width="11.7109375" style="3540" bestFit="1" customWidth="1"/>
    <col min="13287" max="13291" width="10.7109375" style="3540" customWidth="1"/>
    <col min="13292" max="13292" width="1.7109375" style="3540" customWidth="1"/>
    <col min="13293" max="13293" width="11.7109375" style="3540" customWidth="1"/>
    <col min="13294" max="13296" width="9.7109375" style="3540" customWidth="1"/>
    <col min="13297" max="13538" width="11.42578125" style="3540"/>
    <col min="13539" max="13539" width="16.5703125" style="3540" customWidth="1"/>
    <col min="13540" max="13540" width="11.42578125" style="3540"/>
    <col min="13541" max="13541" width="15.140625" style="3540" customWidth="1"/>
    <col min="13542" max="13542" width="11.7109375" style="3540" bestFit="1" customWidth="1"/>
    <col min="13543" max="13547" width="10.7109375" style="3540" customWidth="1"/>
    <col min="13548" max="13548" width="1.7109375" style="3540" customWidth="1"/>
    <col min="13549" max="13549" width="11.7109375" style="3540" customWidth="1"/>
    <col min="13550" max="13552" width="9.7109375" style="3540" customWidth="1"/>
    <col min="13553" max="13794" width="11.42578125" style="3540"/>
    <col min="13795" max="13795" width="16.5703125" style="3540" customWidth="1"/>
    <col min="13796" max="13796" width="11.42578125" style="3540"/>
    <col min="13797" max="13797" width="15.140625" style="3540" customWidth="1"/>
    <col min="13798" max="13798" width="11.7109375" style="3540" bestFit="1" customWidth="1"/>
    <col min="13799" max="13803" width="10.7109375" style="3540" customWidth="1"/>
    <col min="13804" max="13804" width="1.7109375" style="3540" customWidth="1"/>
    <col min="13805" max="13805" width="11.7109375" style="3540" customWidth="1"/>
    <col min="13806" max="13808" width="9.7109375" style="3540" customWidth="1"/>
    <col min="13809" max="14050" width="11.42578125" style="3540"/>
    <col min="14051" max="14051" width="16.5703125" style="3540" customWidth="1"/>
    <col min="14052" max="14052" width="11.42578125" style="3540"/>
    <col min="14053" max="14053" width="15.140625" style="3540" customWidth="1"/>
    <col min="14054" max="14054" width="11.7109375" style="3540" bestFit="1" customWidth="1"/>
    <col min="14055" max="14059" width="10.7109375" style="3540" customWidth="1"/>
    <col min="14060" max="14060" width="1.7109375" style="3540" customWidth="1"/>
    <col min="14061" max="14061" width="11.7109375" style="3540" customWidth="1"/>
    <col min="14062" max="14064" width="9.7109375" style="3540" customWidth="1"/>
    <col min="14065" max="14306" width="11.42578125" style="3540"/>
    <col min="14307" max="14307" width="16.5703125" style="3540" customWidth="1"/>
    <col min="14308" max="14308" width="11.42578125" style="3540"/>
    <col min="14309" max="14309" width="15.140625" style="3540" customWidth="1"/>
    <col min="14310" max="14310" width="11.7109375" style="3540" bestFit="1" customWidth="1"/>
    <col min="14311" max="14315" width="10.7109375" style="3540" customWidth="1"/>
    <col min="14316" max="14316" width="1.7109375" style="3540" customWidth="1"/>
    <col min="14317" max="14317" width="11.7109375" style="3540" customWidth="1"/>
    <col min="14318" max="14320" width="9.7109375" style="3540" customWidth="1"/>
    <col min="14321" max="14562" width="11.42578125" style="3540"/>
    <col min="14563" max="14563" width="16.5703125" style="3540" customWidth="1"/>
    <col min="14564" max="14564" width="11.42578125" style="3540"/>
    <col min="14565" max="14565" width="15.140625" style="3540" customWidth="1"/>
    <col min="14566" max="14566" width="11.7109375" style="3540" bestFit="1" customWidth="1"/>
    <col min="14567" max="14571" width="10.7109375" style="3540" customWidth="1"/>
    <col min="14572" max="14572" width="1.7109375" style="3540" customWidth="1"/>
    <col min="14573" max="14573" width="11.7109375" style="3540" customWidth="1"/>
    <col min="14574" max="14576" width="9.7109375" style="3540" customWidth="1"/>
    <col min="14577" max="14818" width="11.42578125" style="3540"/>
    <col min="14819" max="14819" width="16.5703125" style="3540" customWidth="1"/>
    <col min="14820" max="14820" width="11.42578125" style="3540"/>
    <col min="14821" max="14821" width="15.140625" style="3540" customWidth="1"/>
    <col min="14822" max="14822" width="11.7109375" style="3540" bestFit="1" customWidth="1"/>
    <col min="14823" max="14827" width="10.7109375" style="3540" customWidth="1"/>
    <col min="14828" max="14828" width="1.7109375" style="3540" customWidth="1"/>
    <col min="14829" max="14829" width="11.7109375" style="3540" customWidth="1"/>
    <col min="14830" max="14832" width="9.7109375" style="3540" customWidth="1"/>
    <col min="14833" max="15074" width="11.42578125" style="3540"/>
    <col min="15075" max="15075" width="16.5703125" style="3540" customWidth="1"/>
    <col min="15076" max="15076" width="11.42578125" style="3540"/>
    <col min="15077" max="15077" width="15.140625" style="3540" customWidth="1"/>
    <col min="15078" max="15078" width="11.7109375" style="3540" bestFit="1" customWidth="1"/>
    <col min="15079" max="15083" width="10.7109375" style="3540" customWidth="1"/>
    <col min="15084" max="15084" width="1.7109375" style="3540" customWidth="1"/>
    <col min="15085" max="15085" width="11.7109375" style="3540" customWidth="1"/>
    <col min="15086" max="15088" width="9.7109375" style="3540" customWidth="1"/>
    <col min="15089" max="15330" width="11.42578125" style="3540"/>
    <col min="15331" max="15331" width="16.5703125" style="3540" customWidth="1"/>
    <col min="15332" max="15332" width="11.42578125" style="3540"/>
    <col min="15333" max="15333" width="15.140625" style="3540" customWidth="1"/>
    <col min="15334" max="15334" width="11.7109375" style="3540" bestFit="1" customWidth="1"/>
    <col min="15335" max="15339" width="10.7109375" style="3540" customWidth="1"/>
    <col min="15340" max="15340" width="1.7109375" style="3540" customWidth="1"/>
    <col min="15341" max="15341" width="11.7109375" style="3540" customWidth="1"/>
    <col min="15342" max="15344" width="9.7109375" style="3540" customWidth="1"/>
    <col min="15345" max="15586" width="11.42578125" style="3540"/>
    <col min="15587" max="15587" width="16.5703125" style="3540" customWidth="1"/>
    <col min="15588" max="15588" width="11.42578125" style="3540"/>
    <col min="15589" max="15589" width="15.140625" style="3540" customWidth="1"/>
    <col min="15590" max="15590" width="11.7109375" style="3540" bestFit="1" customWidth="1"/>
    <col min="15591" max="15595" width="10.7109375" style="3540" customWidth="1"/>
    <col min="15596" max="15596" width="1.7109375" style="3540" customWidth="1"/>
    <col min="15597" max="15597" width="11.7109375" style="3540" customWidth="1"/>
    <col min="15598" max="15600" width="9.7109375" style="3540" customWidth="1"/>
    <col min="15601" max="15842" width="11.42578125" style="3540"/>
    <col min="15843" max="15843" width="16.5703125" style="3540" customWidth="1"/>
    <col min="15844" max="15844" width="11.42578125" style="3540"/>
    <col min="15845" max="15845" width="15.140625" style="3540" customWidth="1"/>
    <col min="15846" max="15846" width="11.7109375" style="3540" bestFit="1" customWidth="1"/>
    <col min="15847" max="15851" width="10.7109375" style="3540" customWidth="1"/>
    <col min="15852" max="15852" width="1.7109375" style="3540" customWidth="1"/>
    <col min="15853" max="15853" width="11.7109375" style="3540" customWidth="1"/>
    <col min="15854" max="15856" width="9.7109375" style="3540" customWidth="1"/>
    <col min="15857" max="16098" width="11.42578125" style="3540"/>
    <col min="16099" max="16099" width="16.5703125" style="3540" customWidth="1"/>
    <col min="16100" max="16100" width="11.42578125" style="3540"/>
    <col min="16101" max="16101" width="15.140625" style="3540" customWidth="1"/>
    <col min="16102" max="16102" width="11.7109375" style="3540" bestFit="1" customWidth="1"/>
    <col min="16103" max="16107" width="10.7109375" style="3540" customWidth="1"/>
    <col min="16108" max="16108" width="1.7109375" style="3540" customWidth="1"/>
    <col min="16109" max="16109" width="11.7109375" style="3540" customWidth="1"/>
    <col min="16110" max="16112" width="9.7109375" style="3540" customWidth="1"/>
    <col min="16113" max="16384" width="11.42578125" style="3540"/>
  </cols>
  <sheetData>
    <row r="1" spans="1:6" ht="18.75" x14ac:dyDescent="0.3">
      <c r="A1" s="5729" t="s">
        <v>1521</v>
      </c>
      <c r="B1" s="5729"/>
      <c r="C1" s="5729"/>
      <c r="D1" s="5729"/>
      <c r="E1" s="5729"/>
      <c r="F1" s="5729"/>
    </row>
    <row r="3" spans="1:6" ht="15.75" x14ac:dyDescent="0.25">
      <c r="A3" s="5713" t="s">
        <v>4</v>
      </c>
      <c r="B3" s="5739" t="s">
        <v>1419</v>
      </c>
      <c r="C3" s="5739"/>
      <c r="D3" s="5739"/>
      <c r="E3" s="5739"/>
      <c r="F3" s="5740"/>
    </row>
    <row r="4" spans="1:6" x14ac:dyDescent="0.25">
      <c r="A4" s="5713"/>
      <c r="B4" s="4481" t="s">
        <v>77</v>
      </c>
      <c r="C4" s="4481" t="s">
        <v>1221</v>
      </c>
      <c r="D4" s="4482" t="s">
        <v>1420</v>
      </c>
      <c r="E4" s="4482" t="s">
        <v>1144</v>
      </c>
      <c r="F4" s="4482" t="s">
        <v>1145</v>
      </c>
    </row>
    <row r="5" spans="1:6" ht="15" customHeight="1" x14ac:dyDescent="0.25">
      <c r="A5" s="5738" t="s">
        <v>1146</v>
      </c>
      <c r="B5" s="4503" t="s">
        <v>135</v>
      </c>
      <c r="C5" s="3506"/>
      <c r="D5" s="4504"/>
      <c r="E5" s="3535"/>
      <c r="F5" s="3508"/>
    </row>
    <row r="6" spans="1:6" x14ac:dyDescent="0.25">
      <c r="A6" s="5738"/>
      <c r="B6" s="4505" t="s">
        <v>136</v>
      </c>
      <c r="C6" s="3510"/>
      <c r="D6" s="3511" t="s">
        <v>1222</v>
      </c>
      <c r="E6" s="3536">
        <v>42369</v>
      </c>
      <c r="F6" s="3512"/>
    </row>
    <row r="7" spans="1:6" x14ac:dyDescent="0.25">
      <c r="A7" s="5738"/>
      <c r="B7" s="5736" t="s">
        <v>890</v>
      </c>
      <c r="C7" s="3513" t="s">
        <v>1223</v>
      </c>
      <c r="D7" s="3514" t="s">
        <v>1224</v>
      </c>
      <c r="E7" s="3536">
        <v>42735</v>
      </c>
      <c r="F7" s="3512"/>
    </row>
    <row r="8" spans="1:6" x14ac:dyDescent="0.25">
      <c r="A8" s="5738"/>
      <c r="B8" s="5737"/>
      <c r="C8" s="3513" t="s">
        <v>1225</v>
      </c>
      <c r="D8" s="3514" t="s">
        <v>1224</v>
      </c>
      <c r="E8" s="3536">
        <v>42369</v>
      </c>
      <c r="F8" s="3512"/>
    </row>
    <row r="9" spans="1:6" x14ac:dyDescent="0.25">
      <c r="A9" s="5738"/>
      <c r="B9" s="4506" t="s">
        <v>413</v>
      </c>
      <c r="C9" s="3513"/>
      <c r="D9" s="3511" t="s">
        <v>1226</v>
      </c>
      <c r="E9" s="3536">
        <v>42369</v>
      </c>
      <c r="F9" s="3515"/>
    </row>
    <row r="10" spans="1:6" x14ac:dyDescent="0.25">
      <c r="A10" s="5738"/>
      <c r="B10" s="3527" t="s">
        <v>412</v>
      </c>
      <c r="C10" s="3519"/>
      <c r="D10" s="3520" t="s">
        <v>1226</v>
      </c>
      <c r="E10" s="4483">
        <v>42369</v>
      </c>
      <c r="F10" s="3630"/>
    </row>
    <row r="11" spans="1:6" x14ac:dyDescent="0.25">
      <c r="A11" s="5738"/>
      <c r="B11" s="5734" t="s">
        <v>1227</v>
      </c>
      <c r="C11" s="4484" t="s">
        <v>1223</v>
      </c>
      <c r="D11" s="3523"/>
      <c r="E11" s="3538">
        <v>42369</v>
      </c>
      <c r="F11" s="4485"/>
    </row>
    <row r="12" spans="1:6" x14ac:dyDescent="0.25">
      <c r="A12" s="5738"/>
      <c r="B12" s="5735"/>
      <c r="C12" s="3513" t="s">
        <v>1225</v>
      </c>
      <c r="D12" s="3511" t="s">
        <v>1222</v>
      </c>
      <c r="E12" s="3536">
        <v>42369</v>
      </c>
      <c r="F12" s="3512"/>
    </row>
    <row r="13" spans="1:6" x14ac:dyDescent="0.25">
      <c r="A13" s="5738"/>
      <c r="B13" s="4506" t="s">
        <v>137</v>
      </c>
      <c r="C13" s="3513"/>
      <c r="D13" s="3514" t="s">
        <v>1224</v>
      </c>
      <c r="E13" s="3536">
        <v>42735</v>
      </c>
      <c r="F13" s="3516"/>
    </row>
    <row r="14" spans="1:6" x14ac:dyDescent="0.25">
      <c r="A14" s="5738"/>
      <c r="B14" s="4506" t="s">
        <v>628</v>
      </c>
      <c r="C14" s="3513"/>
      <c r="D14" s="3514" t="s">
        <v>1228</v>
      </c>
      <c r="E14" s="3536">
        <v>43830</v>
      </c>
      <c r="F14" s="3515"/>
    </row>
    <row r="15" spans="1:6" x14ac:dyDescent="0.25">
      <c r="A15" s="5738"/>
      <c r="B15" s="4506" t="s">
        <v>627</v>
      </c>
      <c r="C15" s="3513"/>
      <c r="D15" s="3514"/>
      <c r="E15" s="3537"/>
      <c r="F15" s="3515"/>
    </row>
    <row r="16" spans="1:6" ht="15" customHeight="1" x14ac:dyDescent="0.25">
      <c r="A16" s="5733" t="s">
        <v>1157</v>
      </c>
      <c r="B16" s="4503" t="s">
        <v>1229</v>
      </c>
      <c r="C16" s="3506"/>
      <c r="D16" s="4504"/>
      <c r="E16" s="3538"/>
      <c r="F16" s="3508"/>
    </row>
    <row r="17" spans="1:6" x14ac:dyDescent="0.25">
      <c r="A17" s="5733"/>
      <c r="B17" s="4505" t="s">
        <v>138</v>
      </c>
      <c r="C17" s="3510"/>
      <c r="D17" s="3511" t="s">
        <v>1222</v>
      </c>
      <c r="E17" s="3536">
        <v>43100</v>
      </c>
      <c r="F17" s="3512"/>
    </row>
    <row r="18" spans="1:6" x14ac:dyDescent="0.25">
      <c r="A18" s="5733"/>
      <c r="B18" s="3527" t="s">
        <v>360</v>
      </c>
      <c r="C18" s="3519"/>
      <c r="D18" s="3520"/>
      <c r="E18" s="4483"/>
      <c r="F18" s="4486"/>
    </row>
    <row r="19" spans="1:6" x14ac:dyDescent="0.25">
      <c r="A19" s="5733"/>
      <c r="B19" s="4507" t="s">
        <v>877</v>
      </c>
      <c r="C19" s="3524"/>
      <c r="D19" s="3523" t="s">
        <v>1224</v>
      </c>
      <c r="E19" s="3538">
        <v>42735</v>
      </c>
      <c r="F19" s="3525"/>
    </row>
    <row r="20" spans="1:6" x14ac:dyDescent="0.25">
      <c r="A20" s="5733"/>
      <c r="B20" s="4505" t="s">
        <v>1230</v>
      </c>
      <c r="C20" s="3510"/>
      <c r="D20" s="3511" t="s">
        <v>1224</v>
      </c>
      <c r="E20" s="3536">
        <v>42735</v>
      </c>
      <c r="F20" s="3517"/>
    </row>
    <row r="21" spans="1:6" x14ac:dyDescent="0.25">
      <c r="A21" s="5733"/>
      <c r="B21" s="4505" t="s">
        <v>140</v>
      </c>
      <c r="C21" s="3510"/>
      <c r="D21" s="3511" t="s">
        <v>1222</v>
      </c>
      <c r="E21" s="3536">
        <v>42369</v>
      </c>
      <c r="F21" s="3512"/>
    </row>
    <row r="22" spans="1:6" x14ac:dyDescent="0.25">
      <c r="A22" s="5733"/>
      <c r="B22" s="4505" t="s">
        <v>141</v>
      </c>
      <c r="C22" s="3510"/>
      <c r="D22" s="3511" t="s">
        <v>1222</v>
      </c>
      <c r="E22" s="3536">
        <v>42004</v>
      </c>
      <c r="F22" s="3512"/>
    </row>
    <row r="23" spans="1:6" x14ac:dyDescent="0.25">
      <c r="A23" s="5733"/>
      <c r="B23" s="4505" t="s">
        <v>444</v>
      </c>
      <c r="C23" s="3510"/>
      <c r="D23" s="3511" t="s">
        <v>1226</v>
      </c>
      <c r="E23" s="3536">
        <v>42735</v>
      </c>
      <c r="F23" s="3512"/>
    </row>
    <row r="24" spans="1:6" ht="30" x14ac:dyDescent="0.25">
      <c r="A24" s="5733"/>
      <c r="B24" s="4505" t="s">
        <v>139</v>
      </c>
      <c r="C24" s="3510"/>
      <c r="D24" s="3511" t="s">
        <v>1222</v>
      </c>
      <c r="E24" s="3536">
        <v>42735</v>
      </c>
      <c r="F24" s="3517" t="s">
        <v>1231</v>
      </c>
    </row>
    <row r="25" spans="1:6" ht="30" x14ac:dyDescent="0.25">
      <c r="A25" s="5733"/>
      <c r="B25" s="3527" t="s">
        <v>81</v>
      </c>
      <c r="C25" s="3519"/>
      <c r="D25" s="3520" t="s">
        <v>1222</v>
      </c>
      <c r="E25" s="4483">
        <v>42004</v>
      </c>
      <c r="F25" s="3630" t="s">
        <v>1232</v>
      </c>
    </row>
    <row r="26" spans="1:6" x14ac:dyDescent="0.25">
      <c r="A26" s="5733"/>
      <c r="B26" s="4505" t="s">
        <v>540</v>
      </c>
      <c r="C26" s="3510"/>
      <c r="D26" s="3511" t="s">
        <v>1224</v>
      </c>
      <c r="E26" s="4487">
        <v>42369</v>
      </c>
      <c r="F26" s="4488"/>
    </row>
    <row r="27" spans="1:6" x14ac:dyDescent="0.25">
      <c r="A27" s="5733"/>
      <c r="B27" s="4505" t="s">
        <v>142</v>
      </c>
      <c r="C27" s="3510"/>
      <c r="D27" s="3511" t="s">
        <v>1224</v>
      </c>
      <c r="E27" s="3536">
        <v>42004</v>
      </c>
      <c r="F27" s="3512"/>
    </row>
    <row r="28" spans="1:6" ht="30" x14ac:dyDescent="0.25">
      <c r="A28" s="5733"/>
      <c r="B28" s="4505" t="s">
        <v>143</v>
      </c>
      <c r="C28" s="3510"/>
      <c r="D28" s="3511" t="s">
        <v>1224</v>
      </c>
      <c r="E28" s="3536">
        <v>42004</v>
      </c>
      <c r="F28" s="3517" t="s">
        <v>1231</v>
      </c>
    </row>
    <row r="29" spans="1:6" ht="30" x14ac:dyDescent="0.25">
      <c r="A29" s="5733"/>
      <c r="B29" s="4507" t="s">
        <v>85</v>
      </c>
      <c r="C29" s="3524"/>
      <c r="D29" s="3523" t="s">
        <v>1222</v>
      </c>
      <c r="E29" s="4489">
        <v>42004</v>
      </c>
      <c r="F29" s="4490" t="s">
        <v>1232</v>
      </c>
    </row>
    <row r="30" spans="1:6" ht="30" x14ac:dyDescent="0.25">
      <c r="A30" s="5726" t="s">
        <v>1162</v>
      </c>
      <c r="B30" s="4508" t="s">
        <v>1421</v>
      </c>
      <c r="C30" s="4491"/>
      <c r="D30" s="4491" t="s">
        <v>1224</v>
      </c>
      <c r="E30" s="4492">
        <v>42735</v>
      </c>
      <c r="F30" s="4493"/>
    </row>
    <row r="31" spans="1:6" x14ac:dyDescent="0.25">
      <c r="A31" s="5727"/>
      <c r="B31" s="4509" t="s">
        <v>1422</v>
      </c>
      <c r="C31" s="3523"/>
      <c r="D31" s="3523"/>
      <c r="E31" s="4494"/>
      <c r="F31" s="4495"/>
    </row>
    <row r="32" spans="1:6" x14ac:dyDescent="0.25">
      <c r="A32" s="5727"/>
      <c r="B32" s="4510" t="s">
        <v>1423</v>
      </c>
      <c r="C32" s="3511"/>
      <c r="D32" s="3511"/>
      <c r="E32" s="3536"/>
      <c r="F32" s="3512"/>
    </row>
    <row r="33" spans="1:6" x14ac:dyDescent="0.25">
      <c r="A33" s="5727"/>
      <c r="B33" s="4510" t="s">
        <v>1424</v>
      </c>
      <c r="C33" s="3511"/>
      <c r="D33" s="3511" t="s">
        <v>1224</v>
      </c>
      <c r="E33" s="3536">
        <v>42735</v>
      </c>
      <c r="F33" s="3512"/>
    </row>
    <row r="34" spans="1:6" ht="30" x14ac:dyDescent="0.25">
      <c r="A34" s="5727"/>
      <c r="B34" s="4510" t="s">
        <v>1425</v>
      </c>
      <c r="C34" s="3511"/>
      <c r="D34" s="3511"/>
      <c r="E34" s="3536"/>
      <c r="F34" s="3512"/>
    </row>
    <row r="35" spans="1:6" x14ac:dyDescent="0.25">
      <c r="A35" s="5727"/>
      <c r="B35" s="4510" t="s">
        <v>1426</v>
      </c>
      <c r="C35" s="3511"/>
      <c r="D35" s="3511"/>
      <c r="E35" s="4496"/>
      <c r="F35" s="3516"/>
    </row>
    <row r="36" spans="1:6" ht="30" x14ac:dyDescent="0.25">
      <c r="A36" s="5727"/>
      <c r="B36" s="4511" t="s">
        <v>1427</v>
      </c>
      <c r="C36" s="3520"/>
      <c r="D36" s="3520"/>
      <c r="E36" s="4483"/>
      <c r="F36" s="3521"/>
    </row>
    <row r="37" spans="1:6" x14ac:dyDescent="0.25">
      <c r="A37" s="5727"/>
      <c r="B37" s="4509" t="s">
        <v>1428</v>
      </c>
      <c r="C37" s="3523"/>
      <c r="D37" s="3523"/>
      <c r="E37" s="4494"/>
      <c r="F37" s="4495"/>
    </row>
    <row r="38" spans="1:6" hidden="1" x14ac:dyDescent="0.25">
      <c r="A38" s="5727"/>
      <c r="B38" s="4510" t="s">
        <v>1429</v>
      </c>
      <c r="C38" s="3511"/>
      <c r="D38" s="3511"/>
      <c r="E38" s="4496"/>
      <c r="F38" s="3516"/>
    </row>
    <row r="39" spans="1:6" x14ac:dyDescent="0.25">
      <c r="A39" s="5727"/>
      <c r="B39" s="4510" t="s">
        <v>1430</v>
      </c>
      <c r="C39" s="4497"/>
      <c r="D39" s="4497" t="s">
        <v>1224</v>
      </c>
      <c r="E39" s="4496">
        <v>42735</v>
      </c>
      <c r="F39" s="3516"/>
    </row>
    <row r="40" spans="1:6" ht="30" hidden="1" x14ac:dyDescent="0.25">
      <c r="A40" s="5727"/>
      <c r="B40" s="4510" t="s">
        <v>1431</v>
      </c>
      <c r="C40" s="4498"/>
      <c r="D40" s="4498"/>
      <c r="E40" s="3536"/>
      <c r="F40" s="3526"/>
    </row>
    <row r="41" spans="1:6" x14ac:dyDescent="0.25">
      <c r="A41" s="5728"/>
      <c r="B41" s="4511" t="s">
        <v>1432</v>
      </c>
      <c r="C41" s="4499"/>
      <c r="D41" s="4499"/>
      <c r="E41" s="4483"/>
      <c r="F41" s="3527"/>
    </row>
    <row r="42" spans="1:6" ht="30" hidden="1" x14ac:dyDescent="0.25">
      <c r="A42" s="4479"/>
      <c r="B42" s="4500" t="s">
        <v>1433</v>
      </c>
      <c r="C42" s="4501"/>
      <c r="D42" s="4501"/>
      <c r="E42" s="4502"/>
      <c r="F42" s="4501"/>
    </row>
    <row r="43" spans="1:6" x14ac:dyDescent="0.25">
      <c r="A43" s="3529" t="s">
        <v>1234</v>
      </c>
      <c r="B43" s="3529"/>
      <c r="C43" s="3529"/>
      <c r="D43" s="5702" t="s">
        <v>1233</v>
      </c>
      <c r="E43" s="5702"/>
      <c r="F43" s="5702"/>
    </row>
    <row r="44" spans="1:6" x14ac:dyDescent="0.25">
      <c r="A44" s="3528"/>
      <c r="B44" s="3529"/>
      <c r="C44" s="3529"/>
      <c r="D44" s="3528"/>
      <c r="E44" s="3528"/>
      <c r="F44" s="3528"/>
    </row>
    <row r="45" spans="1:6" x14ac:dyDescent="0.25">
      <c r="A45" s="3529"/>
      <c r="B45" s="3529"/>
      <c r="C45" s="3529"/>
      <c r="D45" s="3529"/>
      <c r="E45" s="3529"/>
      <c r="F45" s="3529"/>
    </row>
    <row r="46" spans="1:6" ht="15.75" x14ac:dyDescent="0.25">
      <c r="A46" s="5730" t="s">
        <v>4</v>
      </c>
      <c r="B46" s="5731" t="s">
        <v>1434</v>
      </c>
      <c r="C46" s="5731"/>
      <c r="D46" s="5731"/>
      <c r="E46" s="5732"/>
    </row>
    <row r="47" spans="1:6" x14ac:dyDescent="0.25">
      <c r="A47" s="5730"/>
      <c r="B47" s="4481" t="s">
        <v>77</v>
      </c>
      <c r="C47" s="4482" t="s">
        <v>1420</v>
      </c>
      <c r="D47" s="4482" t="s">
        <v>1144</v>
      </c>
      <c r="E47" s="4482" t="s">
        <v>1145</v>
      </c>
    </row>
    <row r="48" spans="1:6" ht="15" customHeight="1" x14ac:dyDescent="0.25">
      <c r="A48" s="5711" t="s">
        <v>1157</v>
      </c>
      <c r="B48" s="4512" t="s">
        <v>1242</v>
      </c>
      <c r="C48" s="4491" t="s">
        <v>1224</v>
      </c>
      <c r="D48" s="4492">
        <v>42004</v>
      </c>
      <c r="E48" s="4513"/>
    </row>
    <row r="49" spans="1:5" x14ac:dyDescent="0.25">
      <c r="A49" s="5711"/>
      <c r="B49" s="4415" t="s">
        <v>1243</v>
      </c>
      <c r="C49" s="4490" t="s">
        <v>1228</v>
      </c>
      <c r="D49" s="4502">
        <v>42735</v>
      </c>
      <c r="E49" s="4514"/>
    </row>
    <row r="50" spans="1:5" ht="45" x14ac:dyDescent="0.25">
      <c r="A50" s="4515" t="s">
        <v>1177</v>
      </c>
      <c r="B50" s="4516" t="s">
        <v>415</v>
      </c>
      <c r="C50" s="4491" t="s">
        <v>1228</v>
      </c>
      <c r="D50" s="4517">
        <v>42735</v>
      </c>
      <c r="E50" s="4491"/>
    </row>
    <row r="51" spans="1:5" ht="15" customHeight="1" x14ac:dyDescent="0.25">
      <c r="A51" s="5711" t="s">
        <v>1180</v>
      </c>
      <c r="B51" s="4512" t="s">
        <v>416</v>
      </c>
      <c r="C51" s="4491"/>
      <c r="D51" s="4492"/>
      <c r="E51" s="4493"/>
    </row>
    <row r="52" spans="1:5" x14ac:dyDescent="0.25">
      <c r="A52" s="5711"/>
      <c r="B52" s="4512" t="s">
        <v>417</v>
      </c>
      <c r="C52" s="4491" t="s">
        <v>1244</v>
      </c>
      <c r="D52" s="4492">
        <v>42735</v>
      </c>
      <c r="E52" s="4493"/>
    </row>
    <row r="53" spans="1:5" x14ac:dyDescent="0.25">
      <c r="A53" s="5711"/>
      <c r="B53" s="4415" t="s">
        <v>418</v>
      </c>
      <c r="C53" s="3523" t="s">
        <v>1244</v>
      </c>
      <c r="D53" s="3538">
        <v>43100</v>
      </c>
      <c r="E53" s="3525"/>
    </row>
    <row r="54" spans="1:5" ht="30" x14ac:dyDescent="0.25">
      <c r="A54" s="5711"/>
      <c r="B54" s="3518" t="s">
        <v>361</v>
      </c>
      <c r="C54" s="3622" t="s">
        <v>1222</v>
      </c>
      <c r="D54" s="3537">
        <v>42735</v>
      </c>
      <c r="E54" s="3623" t="s">
        <v>1245</v>
      </c>
    </row>
    <row r="55" spans="1:5" x14ac:dyDescent="0.25">
      <c r="A55" s="3528" t="s">
        <v>1234</v>
      </c>
      <c r="B55" s="3529"/>
      <c r="C55" s="5702" t="s">
        <v>1233</v>
      </c>
      <c r="D55" s="5702"/>
      <c r="E55" s="5702"/>
    </row>
    <row r="56" spans="1:5" x14ac:dyDescent="0.25">
      <c r="A56" s="3528"/>
      <c r="B56" s="3529"/>
      <c r="C56" s="4412"/>
      <c r="D56" s="4412"/>
      <c r="E56" s="4412"/>
    </row>
    <row r="58" spans="1:5" ht="15.75" x14ac:dyDescent="0.25">
      <c r="A58" s="5713" t="s">
        <v>4</v>
      </c>
      <c r="B58" s="5714" t="s">
        <v>1435</v>
      </c>
      <c r="C58" s="5714"/>
      <c r="D58" s="5714"/>
      <c r="E58" s="5715"/>
    </row>
    <row r="59" spans="1:5" x14ac:dyDescent="0.25">
      <c r="A59" s="5713"/>
      <c r="B59" s="4481" t="s">
        <v>77</v>
      </c>
      <c r="C59" s="4482" t="s">
        <v>1420</v>
      </c>
      <c r="D59" s="4482" t="s">
        <v>1144</v>
      </c>
      <c r="E59" s="4482" t="s">
        <v>1145</v>
      </c>
    </row>
    <row r="60" spans="1:5" x14ac:dyDescent="0.25">
      <c r="A60" s="5716" t="s">
        <v>1146</v>
      </c>
      <c r="B60" s="3509" t="s">
        <v>1246</v>
      </c>
      <c r="C60" s="3511" t="s">
        <v>1222</v>
      </c>
      <c r="D60" s="3536">
        <v>42735</v>
      </c>
      <c r="E60" s="3512"/>
    </row>
    <row r="61" spans="1:5" x14ac:dyDescent="0.25">
      <c r="A61" s="5716"/>
      <c r="B61" s="3509" t="s">
        <v>1247</v>
      </c>
      <c r="C61" s="3511" t="s">
        <v>1224</v>
      </c>
      <c r="D61" s="3536">
        <v>42735</v>
      </c>
      <c r="E61" s="3512"/>
    </row>
    <row r="62" spans="1:5" x14ac:dyDescent="0.25">
      <c r="A62" s="5716"/>
      <c r="B62" s="3509" t="s">
        <v>1248</v>
      </c>
      <c r="C62" s="3511" t="s">
        <v>1222</v>
      </c>
      <c r="D62" s="3536">
        <v>42369</v>
      </c>
      <c r="E62" s="3512"/>
    </row>
    <row r="63" spans="1:5" x14ac:dyDescent="0.25">
      <c r="A63" s="5716"/>
      <c r="B63" s="3509" t="s">
        <v>867</v>
      </c>
      <c r="C63" s="3511" t="s">
        <v>1222</v>
      </c>
      <c r="D63" s="3536">
        <v>42735</v>
      </c>
      <c r="E63" s="3512"/>
    </row>
    <row r="64" spans="1:5" x14ac:dyDescent="0.25">
      <c r="A64" s="5716"/>
      <c r="B64" s="3509" t="s">
        <v>1249</v>
      </c>
      <c r="C64" s="3511" t="s">
        <v>1222</v>
      </c>
      <c r="D64" s="3536">
        <v>42004</v>
      </c>
      <c r="E64" s="3512"/>
    </row>
    <row r="65" spans="1:5" x14ac:dyDescent="0.25">
      <c r="A65" s="5716"/>
      <c r="B65" s="3509" t="s">
        <v>866</v>
      </c>
      <c r="C65" s="3511" t="s">
        <v>1222</v>
      </c>
      <c r="D65" s="3536">
        <v>43465</v>
      </c>
      <c r="E65" s="3512"/>
    </row>
    <row r="66" spans="1:5" x14ac:dyDescent="0.25">
      <c r="A66" s="5716"/>
      <c r="B66" s="3509" t="s">
        <v>68</v>
      </c>
      <c r="C66" s="3511" t="s">
        <v>1224</v>
      </c>
      <c r="D66" s="3536">
        <v>42735</v>
      </c>
      <c r="E66" s="3512"/>
    </row>
    <row r="67" spans="1:5" x14ac:dyDescent="0.25">
      <c r="A67" s="5716"/>
      <c r="B67" s="4518" t="s">
        <v>593</v>
      </c>
      <c r="C67" s="3520" t="s">
        <v>1228</v>
      </c>
      <c r="D67" s="4483">
        <v>42735</v>
      </c>
      <c r="E67" s="3630" t="s">
        <v>1250</v>
      </c>
    </row>
    <row r="68" spans="1:5" x14ac:dyDescent="0.25">
      <c r="A68" s="5716"/>
      <c r="B68" s="4415" t="s">
        <v>880</v>
      </c>
      <c r="C68" s="3523"/>
      <c r="D68" s="3538"/>
      <c r="E68" s="3523"/>
    </row>
    <row r="69" spans="1:5" ht="25.5" x14ac:dyDescent="0.25">
      <c r="A69" s="5716"/>
      <c r="B69" s="3509" t="s">
        <v>1251</v>
      </c>
      <c r="C69" s="3511" t="s">
        <v>1222</v>
      </c>
      <c r="D69" s="3536">
        <v>42369</v>
      </c>
      <c r="E69" s="3626" t="s">
        <v>1252</v>
      </c>
    </row>
    <row r="70" spans="1:5" x14ac:dyDescent="0.25">
      <c r="A70" s="5716"/>
      <c r="B70" s="3509" t="s">
        <v>865</v>
      </c>
      <c r="C70" s="3511" t="s">
        <v>1222</v>
      </c>
      <c r="D70" s="3536">
        <v>42735</v>
      </c>
      <c r="E70" s="3627"/>
    </row>
    <row r="71" spans="1:5" x14ac:dyDescent="0.25">
      <c r="A71" s="5716"/>
      <c r="B71" s="3509" t="s">
        <v>1253</v>
      </c>
      <c r="C71" s="3511" t="s">
        <v>1222</v>
      </c>
      <c r="D71" s="3536">
        <v>42004</v>
      </c>
      <c r="E71" s="3627"/>
    </row>
    <row r="72" spans="1:5" x14ac:dyDescent="0.25">
      <c r="A72" s="5716"/>
      <c r="B72" s="4414" t="s">
        <v>864</v>
      </c>
      <c r="C72" s="3514" t="s">
        <v>1222</v>
      </c>
      <c r="D72" s="3536">
        <v>42735</v>
      </c>
      <c r="E72" s="4519"/>
    </row>
    <row r="73" spans="1:5" x14ac:dyDescent="0.25">
      <c r="A73" s="5716"/>
      <c r="B73" s="3509" t="s">
        <v>1254</v>
      </c>
      <c r="C73" s="3511" t="s">
        <v>1228</v>
      </c>
      <c r="D73" s="3536">
        <v>42735</v>
      </c>
      <c r="E73" s="3627"/>
    </row>
    <row r="74" spans="1:5" x14ac:dyDescent="0.25">
      <c r="A74" s="5717"/>
      <c r="B74" s="3624" t="s">
        <v>666</v>
      </c>
      <c r="C74" s="3514"/>
      <c r="D74" s="3537"/>
      <c r="E74" s="3517" t="s">
        <v>1250</v>
      </c>
    </row>
    <row r="75" spans="1:5" ht="15" customHeight="1" x14ac:dyDescent="0.25">
      <c r="A75" s="5718" t="s">
        <v>1157</v>
      </c>
      <c r="B75" s="4512" t="s">
        <v>78</v>
      </c>
      <c r="C75" s="4512"/>
      <c r="D75" s="4492"/>
      <c r="E75" s="4493"/>
    </row>
    <row r="76" spans="1:5" x14ac:dyDescent="0.25">
      <c r="A76" s="5718"/>
      <c r="B76" s="4415" t="s">
        <v>79</v>
      </c>
      <c r="C76" s="3523" t="s">
        <v>1224</v>
      </c>
      <c r="D76" s="3538">
        <v>42735</v>
      </c>
      <c r="E76" s="3525"/>
    </row>
    <row r="77" spans="1:5" x14ac:dyDescent="0.25">
      <c r="A77" s="5718"/>
      <c r="B77" s="3509" t="s">
        <v>80</v>
      </c>
      <c r="C77" s="3511" t="s">
        <v>1238</v>
      </c>
      <c r="D77" s="3536">
        <v>42735</v>
      </c>
      <c r="E77" s="3628"/>
    </row>
    <row r="78" spans="1:5" x14ac:dyDescent="0.25">
      <c r="A78" s="5718"/>
      <c r="B78" s="3509" t="s">
        <v>82</v>
      </c>
      <c r="C78" s="3511" t="s">
        <v>1238</v>
      </c>
      <c r="D78" s="3536">
        <v>43100</v>
      </c>
      <c r="E78" s="3517"/>
    </row>
    <row r="79" spans="1:5" ht="45" x14ac:dyDescent="0.25">
      <c r="A79" s="5718"/>
      <c r="B79" s="3509" t="s">
        <v>139</v>
      </c>
      <c r="C79" s="3511" t="s">
        <v>1222</v>
      </c>
      <c r="D79" s="3536">
        <v>42735</v>
      </c>
      <c r="E79" s="3517" t="s">
        <v>1231</v>
      </c>
    </row>
    <row r="80" spans="1:5" ht="30" x14ac:dyDescent="0.25">
      <c r="A80" s="5718"/>
      <c r="B80" s="3634" t="s">
        <v>81</v>
      </c>
      <c r="C80" s="3520" t="s">
        <v>1222</v>
      </c>
      <c r="D80" s="4483">
        <v>42004</v>
      </c>
      <c r="E80" s="3630" t="s">
        <v>1232</v>
      </c>
    </row>
    <row r="81" spans="1:5" ht="30" x14ac:dyDescent="0.25">
      <c r="A81" s="5718"/>
      <c r="B81" s="4415" t="s">
        <v>85</v>
      </c>
      <c r="C81" s="3523" t="s">
        <v>1222</v>
      </c>
      <c r="D81" s="3538">
        <v>42004</v>
      </c>
      <c r="E81" s="3625" t="s">
        <v>1232</v>
      </c>
    </row>
    <row r="82" spans="1:5" ht="45" x14ac:dyDescent="0.25">
      <c r="A82" s="5718"/>
      <c r="B82" s="3509" t="s">
        <v>143</v>
      </c>
      <c r="C82" s="3511" t="s">
        <v>1224</v>
      </c>
      <c r="D82" s="3536">
        <v>42004</v>
      </c>
      <c r="E82" s="3517" t="s">
        <v>1231</v>
      </c>
    </row>
    <row r="83" spans="1:5" x14ac:dyDescent="0.25">
      <c r="A83" s="5718"/>
      <c r="B83" s="3509" t="s">
        <v>83</v>
      </c>
      <c r="C83" s="3511" t="s">
        <v>1224</v>
      </c>
      <c r="D83" s="3536">
        <v>42735</v>
      </c>
      <c r="E83" s="3512"/>
    </row>
    <row r="84" spans="1:5" x14ac:dyDescent="0.25">
      <c r="A84" s="5718"/>
      <c r="B84" s="3509" t="s">
        <v>84</v>
      </c>
      <c r="C84" s="3511" t="s">
        <v>1222</v>
      </c>
      <c r="D84" s="3536">
        <v>42735</v>
      </c>
      <c r="E84" s="3512"/>
    </row>
    <row r="85" spans="1:5" x14ac:dyDescent="0.25">
      <c r="A85" s="5718"/>
      <c r="B85" s="3518" t="s">
        <v>86</v>
      </c>
      <c r="C85" s="3629" t="s">
        <v>1238</v>
      </c>
      <c r="D85" s="3537">
        <v>42369</v>
      </c>
      <c r="E85" s="3630"/>
    </row>
    <row r="86" spans="1:5" ht="15" customHeight="1" x14ac:dyDescent="0.25">
      <c r="A86" s="5719" t="s">
        <v>1194</v>
      </c>
      <c r="B86" s="3631" t="s">
        <v>56</v>
      </c>
      <c r="C86" s="3507"/>
      <c r="D86" s="3538"/>
      <c r="E86" s="3522"/>
    </row>
    <row r="87" spans="1:5" x14ac:dyDescent="0.25">
      <c r="A87" s="5719"/>
      <c r="B87" s="4520" t="s">
        <v>57</v>
      </c>
      <c r="C87" s="3634"/>
      <c r="D87" s="4483"/>
      <c r="E87" s="3520"/>
    </row>
    <row r="88" spans="1:5" x14ac:dyDescent="0.25">
      <c r="A88" s="5719"/>
      <c r="B88" s="3631" t="s">
        <v>871</v>
      </c>
      <c r="C88" s="3523" t="s">
        <v>1238</v>
      </c>
      <c r="D88" s="3538">
        <v>42735</v>
      </c>
      <c r="E88" s="3523"/>
    </row>
    <row r="89" spans="1:5" x14ac:dyDescent="0.25">
      <c r="A89" s="5719"/>
      <c r="B89" s="3632" t="s">
        <v>555</v>
      </c>
      <c r="C89" s="3511" t="s">
        <v>1222</v>
      </c>
      <c r="D89" s="3536">
        <v>42369</v>
      </c>
      <c r="E89" s="3511"/>
    </row>
    <row r="90" spans="1:5" x14ac:dyDescent="0.25">
      <c r="A90" s="5719"/>
      <c r="B90" s="3632" t="s">
        <v>87</v>
      </c>
      <c r="C90" s="3511" t="s">
        <v>1222</v>
      </c>
      <c r="D90" s="3536">
        <v>42369</v>
      </c>
      <c r="E90" s="3511"/>
    </row>
    <row r="91" spans="1:5" x14ac:dyDescent="0.25">
      <c r="A91" s="5716"/>
      <c r="B91" s="3632" t="s">
        <v>386</v>
      </c>
      <c r="C91" s="3511" t="s">
        <v>1228</v>
      </c>
      <c r="D91" s="3536">
        <v>42369</v>
      </c>
      <c r="E91" s="3633"/>
    </row>
    <row r="92" spans="1:5" x14ac:dyDescent="0.25">
      <c r="A92" s="5716"/>
      <c r="B92" s="4518" t="s">
        <v>593</v>
      </c>
      <c r="C92" s="3520" t="s">
        <v>1228</v>
      </c>
      <c r="D92" s="4483">
        <v>42735</v>
      </c>
      <c r="E92" s="3520" t="s">
        <v>1255</v>
      </c>
    </row>
    <row r="93" spans="1:5" x14ac:dyDescent="0.25">
      <c r="A93" s="5716"/>
      <c r="B93" s="3631" t="s">
        <v>869</v>
      </c>
      <c r="C93" s="3523" t="s">
        <v>1238</v>
      </c>
      <c r="D93" s="3538">
        <v>42004</v>
      </c>
      <c r="E93" s="3523"/>
    </row>
    <row r="94" spans="1:5" x14ac:dyDescent="0.25">
      <c r="A94" s="5716"/>
      <c r="B94" s="3632" t="s">
        <v>870</v>
      </c>
      <c r="C94" s="3511" t="s">
        <v>1222</v>
      </c>
      <c r="D94" s="3536">
        <v>42735</v>
      </c>
      <c r="E94" s="3511"/>
    </row>
    <row r="95" spans="1:5" x14ac:dyDescent="0.25">
      <c r="A95" s="5716"/>
      <c r="B95" s="3624" t="s">
        <v>666</v>
      </c>
      <c r="C95" s="3511"/>
      <c r="D95" s="3536"/>
      <c r="E95" s="3511" t="s">
        <v>1255</v>
      </c>
    </row>
    <row r="96" spans="1:5" ht="30" x14ac:dyDescent="0.25">
      <c r="A96" s="5717"/>
      <c r="B96" s="3634" t="s">
        <v>361</v>
      </c>
      <c r="C96" s="3622" t="s">
        <v>1222</v>
      </c>
      <c r="D96" s="3537">
        <v>42735</v>
      </c>
      <c r="E96" s="3623" t="s">
        <v>1245</v>
      </c>
    </row>
    <row r="97" spans="1:5" x14ac:dyDescent="0.25">
      <c r="A97" s="3529" t="s">
        <v>1234</v>
      </c>
      <c r="B97" s="4480"/>
      <c r="C97" s="5702" t="s">
        <v>1233</v>
      </c>
      <c r="D97" s="5702"/>
      <c r="E97" s="5702"/>
    </row>
    <row r="98" spans="1:5" x14ac:dyDescent="0.25">
      <c r="A98" s="3529"/>
      <c r="B98" s="3528"/>
      <c r="C98" s="4412"/>
      <c r="D98" s="4412"/>
      <c r="E98" s="4412"/>
    </row>
    <row r="100" spans="1:5" ht="15.75" x14ac:dyDescent="0.25">
      <c r="A100" s="5713" t="s">
        <v>4</v>
      </c>
      <c r="B100" s="5720" t="s">
        <v>1436</v>
      </c>
      <c r="C100" s="5720"/>
      <c r="D100" s="5720"/>
      <c r="E100" s="5721"/>
    </row>
    <row r="101" spans="1:5" x14ac:dyDescent="0.25">
      <c r="A101" s="5713"/>
      <c r="B101" s="4481" t="s">
        <v>77</v>
      </c>
      <c r="C101" s="4482" t="s">
        <v>1420</v>
      </c>
      <c r="D101" s="4521" t="s">
        <v>1144</v>
      </c>
      <c r="E101" s="4521" t="s">
        <v>1145</v>
      </c>
    </row>
    <row r="102" spans="1:5" ht="15" customHeight="1" x14ac:dyDescent="0.25">
      <c r="A102" s="5722" t="s">
        <v>1157</v>
      </c>
      <c r="B102" s="4512" t="s">
        <v>1256</v>
      </c>
      <c r="C102" s="4512"/>
      <c r="D102" s="4522"/>
      <c r="E102" s="4493"/>
    </row>
    <row r="103" spans="1:5" x14ac:dyDescent="0.25">
      <c r="A103" s="5723"/>
      <c r="B103" s="4415" t="s">
        <v>19</v>
      </c>
      <c r="C103" s="3523" t="s">
        <v>1224</v>
      </c>
      <c r="D103" s="3538">
        <v>42735</v>
      </c>
      <c r="E103" s="3525"/>
    </row>
    <row r="104" spans="1:5" x14ac:dyDescent="0.25">
      <c r="A104" s="5723"/>
      <c r="B104" s="3509" t="s">
        <v>1257</v>
      </c>
      <c r="C104" s="3511" t="s">
        <v>1224</v>
      </c>
      <c r="D104" s="3536">
        <v>42004</v>
      </c>
      <c r="E104" s="3512"/>
    </row>
    <row r="105" spans="1:5" x14ac:dyDescent="0.25">
      <c r="A105" s="5723"/>
      <c r="B105" s="3509" t="s">
        <v>88</v>
      </c>
      <c r="C105" s="3511" t="s">
        <v>1222</v>
      </c>
      <c r="D105" s="3536">
        <v>43100</v>
      </c>
      <c r="E105" s="3512"/>
    </row>
    <row r="106" spans="1:5" x14ac:dyDescent="0.25">
      <c r="A106" s="5723"/>
      <c r="B106" s="3509" t="s">
        <v>392</v>
      </c>
      <c r="C106" s="3511" t="s">
        <v>1224</v>
      </c>
      <c r="D106" s="3536">
        <v>42735</v>
      </c>
      <c r="E106" s="3512"/>
    </row>
    <row r="107" spans="1:5" x14ac:dyDescent="0.25">
      <c r="A107" s="5723"/>
      <c r="B107" s="3509" t="s">
        <v>89</v>
      </c>
      <c r="C107" s="3511" t="s">
        <v>1222</v>
      </c>
      <c r="D107" s="3536">
        <v>42369</v>
      </c>
      <c r="E107" s="3512"/>
    </row>
    <row r="108" spans="1:5" x14ac:dyDescent="0.25">
      <c r="A108" s="5723"/>
      <c r="B108" s="3509" t="s">
        <v>1258</v>
      </c>
      <c r="C108" s="3511" t="s">
        <v>1222</v>
      </c>
      <c r="D108" s="3536">
        <v>43465</v>
      </c>
      <c r="E108" s="3512"/>
    </row>
    <row r="109" spans="1:5" x14ac:dyDescent="0.25">
      <c r="A109" s="5723"/>
      <c r="B109" s="3509" t="s">
        <v>349</v>
      </c>
      <c r="C109" s="3511" t="s">
        <v>1222</v>
      </c>
      <c r="D109" s="3536">
        <v>42735</v>
      </c>
      <c r="E109" s="3512"/>
    </row>
    <row r="110" spans="1:5" x14ac:dyDescent="0.25">
      <c r="A110" s="5723"/>
      <c r="B110" s="4414" t="s">
        <v>419</v>
      </c>
      <c r="C110" s="3511" t="s">
        <v>1228</v>
      </c>
      <c r="D110" s="3536">
        <v>42369</v>
      </c>
      <c r="E110" s="3635"/>
    </row>
    <row r="111" spans="1:5" ht="45" x14ac:dyDescent="0.25">
      <c r="A111" s="5723"/>
      <c r="B111" s="3634" t="s">
        <v>139</v>
      </c>
      <c r="C111" s="3520" t="s">
        <v>1222</v>
      </c>
      <c r="D111" s="4483">
        <v>42735</v>
      </c>
      <c r="E111" s="3630" t="s">
        <v>1231</v>
      </c>
    </row>
    <row r="112" spans="1:5" ht="45" x14ac:dyDescent="0.25">
      <c r="A112" s="5723"/>
      <c r="B112" s="4523" t="s">
        <v>143</v>
      </c>
      <c r="C112" s="3523" t="s">
        <v>1224</v>
      </c>
      <c r="D112" s="3538">
        <v>42004</v>
      </c>
      <c r="E112" s="3625" t="s">
        <v>1231</v>
      </c>
    </row>
    <row r="113" spans="1:5" x14ac:dyDescent="0.25">
      <c r="A113" s="5723"/>
      <c r="B113" s="3509" t="s">
        <v>90</v>
      </c>
      <c r="C113" s="3511" t="s">
        <v>1222</v>
      </c>
      <c r="D113" s="3536">
        <v>42369</v>
      </c>
      <c r="E113" s="3512"/>
    </row>
    <row r="114" spans="1:5" x14ac:dyDescent="0.25">
      <c r="A114" s="5724"/>
      <c r="B114" s="3509" t="s">
        <v>20</v>
      </c>
      <c r="C114" s="3511" t="s">
        <v>1224</v>
      </c>
      <c r="D114" s="3537">
        <v>42735</v>
      </c>
      <c r="E114" s="3517"/>
    </row>
    <row r="115" spans="1:5" ht="15" customHeight="1" x14ac:dyDescent="0.25">
      <c r="A115" s="5725" t="s">
        <v>1194</v>
      </c>
      <c r="B115" s="3636" t="s">
        <v>91</v>
      </c>
      <c r="C115" s="3637"/>
      <c r="D115" s="3538"/>
      <c r="E115" s="3508"/>
    </row>
    <row r="116" spans="1:5" x14ac:dyDescent="0.25">
      <c r="A116" s="5725"/>
      <c r="B116" s="3509" t="s">
        <v>395</v>
      </c>
      <c r="C116" s="3511"/>
      <c r="D116" s="3536"/>
      <c r="E116" s="3626"/>
    </row>
    <row r="117" spans="1:5" x14ac:dyDescent="0.25">
      <c r="A117" s="5725"/>
      <c r="B117" s="3634" t="s">
        <v>1259</v>
      </c>
      <c r="C117" s="3520"/>
      <c r="D117" s="4483"/>
      <c r="E117" s="4524"/>
    </row>
    <row r="118" spans="1:5" x14ac:dyDescent="0.25">
      <c r="A118" s="5725"/>
      <c r="B118" s="4415" t="s">
        <v>579</v>
      </c>
      <c r="C118" s="4525" t="s">
        <v>1224</v>
      </c>
      <c r="D118" s="3538"/>
      <c r="E118" s="4526"/>
    </row>
    <row r="119" spans="1:5" x14ac:dyDescent="0.25">
      <c r="A119" s="5725"/>
      <c r="B119" s="3638" t="s">
        <v>443</v>
      </c>
      <c r="C119" s="3511"/>
      <c r="D119" s="3536"/>
      <c r="E119" s="3512"/>
    </row>
    <row r="120" spans="1:5" x14ac:dyDescent="0.25">
      <c r="A120" s="5725"/>
      <c r="B120" s="3509" t="s">
        <v>92</v>
      </c>
      <c r="C120" s="3511" t="s">
        <v>1224</v>
      </c>
      <c r="D120" s="3536">
        <v>42735</v>
      </c>
      <c r="E120" s="3512"/>
    </row>
    <row r="121" spans="1:5" x14ac:dyDescent="0.25">
      <c r="A121" s="5725"/>
      <c r="B121" s="3509" t="s">
        <v>93</v>
      </c>
      <c r="C121" s="3511" t="s">
        <v>1222</v>
      </c>
      <c r="D121" s="3536">
        <v>42735</v>
      </c>
      <c r="E121" s="3512"/>
    </row>
    <row r="122" spans="1:5" x14ac:dyDescent="0.25">
      <c r="A122" s="5725"/>
      <c r="B122" s="3509" t="s">
        <v>94</v>
      </c>
      <c r="C122" s="3511" t="s">
        <v>1222</v>
      </c>
      <c r="D122" s="3536">
        <v>42369</v>
      </c>
      <c r="E122" s="3512"/>
    </row>
    <row r="123" spans="1:5" x14ac:dyDescent="0.25">
      <c r="A123" s="5725"/>
      <c r="B123" s="3509" t="s">
        <v>95</v>
      </c>
      <c r="C123" s="3511" t="s">
        <v>1222</v>
      </c>
      <c r="D123" s="3536">
        <v>42004</v>
      </c>
      <c r="E123" s="3512"/>
    </row>
    <row r="124" spans="1:5" x14ac:dyDescent="0.25">
      <c r="A124" s="5725"/>
      <c r="B124" s="3509" t="s">
        <v>1260</v>
      </c>
      <c r="C124" s="3511" t="s">
        <v>1222</v>
      </c>
      <c r="D124" s="3536">
        <v>42004</v>
      </c>
      <c r="E124" s="3512"/>
    </row>
    <row r="125" spans="1:5" x14ac:dyDescent="0.25">
      <c r="A125" s="5725"/>
      <c r="B125" s="4527" t="s">
        <v>781</v>
      </c>
      <c r="C125" s="3520"/>
      <c r="D125" s="4483"/>
      <c r="E125" s="4528"/>
    </row>
    <row r="126" spans="1:5" x14ac:dyDescent="0.25">
      <c r="A126" s="5725"/>
      <c r="B126" s="4415" t="s">
        <v>594</v>
      </c>
      <c r="C126" s="3523" t="s">
        <v>1228</v>
      </c>
      <c r="D126" s="3538">
        <v>43465</v>
      </c>
      <c r="E126" s="4529"/>
    </row>
    <row r="127" spans="1:5" x14ac:dyDescent="0.25">
      <c r="A127" s="5725"/>
      <c r="B127" s="3509" t="s">
        <v>96</v>
      </c>
      <c r="C127" s="3511" t="s">
        <v>1222</v>
      </c>
      <c r="D127" s="3536">
        <v>42735</v>
      </c>
      <c r="E127" s="3626"/>
    </row>
    <row r="128" spans="1:5" ht="30" x14ac:dyDescent="0.25">
      <c r="A128" s="5725"/>
      <c r="B128" s="3518" t="s">
        <v>361</v>
      </c>
      <c r="C128" s="3622" t="s">
        <v>1222</v>
      </c>
      <c r="D128" s="3537">
        <v>42735</v>
      </c>
      <c r="E128" s="3623" t="s">
        <v>1245</v>
      </c>
    </row>
    <row r="129" spans="1:5" ht="15" customHeight="1" x14ac:dyDescent="0.25">
      <c r="A129" s="5712" t="s">
        <v>1162</v>
      </c>
      <c r="B129" s="4415" t="s">
        <v>1</v>
      </c>
      <c r="C129" s="3523" t="s">
        <v>1222</v>
      </c>
      <c r="D129" s="3538">
        <v>42004</v>
      </c>
      <c r="E129" s="3525"/>
    </row>
    <row r="130" spans="1:5" x14ac:dyDescent="0.25">
      <c r="A130" s="5712"/>
      <c r="B130" s="3509" t="s">
        <v>537</v>
      </c>
      <c r="C130" s="3511" t="s">
        <v>1224</v>
      </c>
      <c r="D130" s="3536">
        <v>42735</v>
      </c>
      <c r="E130" s="3639"/>
    </row>
    <row r="131" spans="1:5" x14ac:dyDescent="0.25">
      <c r="A131" s="5712"/>
      <c r="B131" s="3634" t="s">
        <v>538</v>
      </c>
      <c r="C131" s="3520"/>
      <c r="D131" s="4483"/>
      <c r="E131" s="3521"/>
    </row>
    <row r="132" spans="1:5" x14ac:dyDescent="0.25">
      <c r="A132" s="5712"/>
      <c r="B132" s="4530" t="s">
        <v>2</v>
      </c>
      <c r="C132" s="3622"/>
      <c r="D132" s="4502"/>
      <c r="E132" s="4531"/>
    </row>
    <row r="133" spans="1:5" x14ac:dyDescent="0.25">
      <c r="A133" s="3529" t="s">
        <v>1234</v>
      </c>
      <c r="B133" s="4480"/>
      <c r="C133" s="5702" t="s">
        <v>1233</v>
      </c>
      <c r="D133" s="5702"/>
      <c r="E133" s="5702"/>
    </row>
    <row r="134" spans="1:5" x14ac:dyDescent="0.25">
      <c r="A134" s="3529"/>
      <c r="B134" s="3528"/>
      <c r="C134" s="4412"/>
      <c r="D134" s="4412"/>
      <c r="E134" s="4412"/>
    </row>
    <row r="136" spans="1:5" ht="15.75" x14ac:dyDescent="0.25">
      <c r="A136" s="5703" t="s">
        <v>4</v>
      </c>
      <c r="B136" s="5705" t="s">
        <v>1437</v>
      </c>
      <c r="C136" s="5706"/>
      <c r="D136" s="5706"/>
      <c r="E136" s="5707"/>
    </row>
    <row r="137" spans="1:5" x14ac:dyDescent="0.25">
      <c r="A137" s="5704"/>
      <c r="B137" s="4481" t="s">
        <v>77</v>
      </c>
      <c r="C137" s="4482" t="s">
        <v>1420</v>
      </c>
      <c r="D137" s="4482" t="s">
        <v>1144</v>
      </c>
      <c r="E137" s="4482" t="s">
        <v>1145</v>
      </c>
    </row>
    <row r="138" spans="1:5" ht="30" customHeight="1" x14ac:dyDescent="0.25">
      <c r="A138" s="5708" t="s">
        <v>1157</v>
      </c>
      <c r="B138" s="3507" t="s">
        <v>139</v>
      </c>
      <c r="C138" s="3522" t="s">
        <v>1222</v>
      </c>
      <c r="D138" s="3536">
        <v>42735</v>
      </c>
      <c r="E138" s="3640" t="s">
        <v>1231</v>
      </c>
    </row>
    <row r="139" spans="1:5" ht="30" x14ac:dyDescent="0.25">
      <c r="A139" s="5709"/>
      <c r="B139" s="3634" t="s">
        <v>81</v>
      </c>
      <c r="C139" s="3520" t="s">
        <v>1222</v>
      </c>
      <c r="D139" s="4483">
        <v>42004</v>
      </c>
      <c r="E139" s="3630" t="s">
        <v>1232</v>
      </c>
    </row>
    <row r="140" spans="1:5" ht="45" x14ac:dyDescent="0.25">
      <c r="A140" s="5709"/>
      <c r="B140" s="4416" t="s">
        <v>143</v>
      </c>
      <c r="C140" s="3523" t="s">
        <v>1224</v>
      </c>
      <c r="D140" s="3538">
        <v>42004</v>
      </c>
      <c r="E140" s="3625" t="s">
        <v>1231</v>
      </c>
    </row>
    <row r="141" spans="1:5" ht="30" x14ac:dyDescent="0.25">
      <c r="A141" s="5710"/>
      <c r="B141" s="3634" t="s">
        <v>85</v>
      </c>
      <c r="C141" s="3520" t="s">
        <v>1222</v>
      </c>
      <c r="D141" s="3537">
        <v>42004</v>
      </c>
      <c r="E141" s="3629" t="s">
        <v>1232</v>
      </c>
    </row>
    <row r="142" spans="1:5" ht="30" x14ac:dyDescent="0.25">
      <c r="A142" s="4413" t="s">
        <v>1261</v>
      </c>
      <c r="B142" s="3634" t="s">
        <v>361</v>
      </c>
      <c r="C142" s="3622" t="s">
        <v>1222</v>
      </c>
      <c r="D142" s="4517">
        <v>42369</v>
      </c>
      <c r="E142" s="3623" t="s">
        <v>1245</v>
      </c>
    </row>
    <row r="143" spans="1:5" x14ac:dyDescent="0.25">
      <c r="A143" s="3529" t="s">
        <v>1234</v>
      </c>
      <c r="B143" s="3529"/>
      <c r="C143" s="5702" t="s">
        <v>1233</v>
      </c>
      <c r="D143" s="5702"/>
      <c r="E143" s="5702"/>
    </row>
  </sheetData>
  <mergeCells count="30">
    <mergeCell ref="A30:A41"/>
    <mergeCell ref="D43:F43"/>
    <mergeCell ref="A1:F1"/>
    <mergeCell ref="A46:A47"/>
    <mergeCell ref="B46:E46"/>
    <mergeCell ref="A16:A29"/>
    <mergeCell ref="B11:B12"/>
    <mergeCell ref="B7:B8"/>
    <mergeCell ref="A5:A15"/>
    <mergeCell ref="B3:F3"/>
    <mergeCell ref="A3:A4"/>
    <mergeCell ref="A48:A49"/>
    <mergeCell ref="A51:A54"/>
    <mergeCell ref="A129:A132"/>
    <mergeCell ref="C55:E55"/>
    <mergeCell ref="A58:A59"/>
    <mergeCell ref="B58:E58"/>
    <mergeCell ref="A60:A74"/>
    <mergeCell ref="A75:A85"/>
    <mergeCell ref="A86:A96"/>
    <mergeCell ref="C97:E97"/>
    <mergeCell ref="A100:A101"/>
    <mergeCell ref="B100:E100"/>
    <mergeCell ref="A102:A114"/>
    <mergeCell ref="A115:A128"/>
    <mergeCell ref="C133:E133"/>
    <mergeCell ref="A136:A137"/>
    <mergeCell ref="B136:E136"/>
    <mergeCell ref="A138:A141"/>
    <mergeCell ref="C143:E143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scale="65" orientation="landscape" r:id="rId1"/>
  <rowBreaks count="4" manualBreakCount="4">
    <brk id="44" max="16383" man="1"/>
    <brk id="56" max="16383" man="1"/>
    <brk id="98" max="16383" man="1"/>
    <brk id="134" max="16383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O180"/>
  <sheetViews>
    <sheetView showGridLines="0" zoomScaleNormal="100" workbookViewId="0">
      <selection activeCell="Q41" sqref="Q41"/>
    </sheetView>
  </sheetViews>
  <sheetFormatPr baseColWidth="10" defaultRowHeight="15" x14ac:dyDescent="0.25"/>
  <cols>
    <col min="1" max="1" width="16.5703125" style="3540" customWidth="1"/>
    <col min="2" max="2" width="11.42578125" style="3540"/>
    <col min="3" max="3" width="12" style="3540" bestFit="1" customWidth="1"/>
    <col min="4" max="6" width="10.7109375" style="3540" customWidth="1"/>
    <col min="7" max="7" width="1.7109375" style="3540" customWidth="1"/>
    <col min="8" max="8" width="13.42578125" style="3540" customWidth="1"/>
    <col min="9" max="9" width="12" style="3540" customWidth="1"/>
    <col min="10" max="13" width="10.7109375" style="3540" customWidth="1"/>
    <col min="14" max="14" width="9" style="3540" bestFit="1" customWidth="1"/>
    <col min="15" max="233" width="11.42578125" style="3540"/>
    <col min="234" max="234" width="16.5703125" style="3540" customWidth="1"/>
    <col min="235" max="235" width="11.42578125" style="3540"/>
    <col min="236" max="236" width="15.140625" style="3540" customWidth="1"/>
    <col min="237" max="237" width="11.7109375" style="3540" bestFit="1" customWidth="1"/>
    <col min="238" max="242" width="10.7109375" style="3540" customWidth="1"/>
    <col min="243" max="243" width="1.7109375" style="3540" customWidth="1"/>
    <col min="244" max="244" width="11.7109375" style="3540" customWidth="1"/>
    <col min="245" max="247" width="9.7109375" style="3540" customWidth="1"/>
    <col min="248" max="489" width="11.42578125" style="3540"/>
    <col min="490" max="490" width="16.5703125" style="3540" customWidth="1"/>
    <col min="491" max="491" width="11.42578125" style="3540"/>
    <col min="492" max="492" width="15.140625" style="3540" customWidth="1"/>
    <col min="493" max="493" width="11.7109375" style="3540" bestFit="1" customWidth="1"/>
    <col min="494" max="498" width="10.7109375" style="3540" customWidth="1"/>
    <col min="499" max="499" width="1.7109375" style="3540" customWidth="1"/>
    <col min="500" max="500" width="11.7109375" style="3540" customWidth="1"/>
    <col min="501" max="503" width="9.7109375" style="3540" customWidth="1"/>
    <col min="504" max="745" width="11.42578125" style="3540"/>
    <col min="746" max="746" width="16.5703125" style="3540" customWidth="1"/>
    <col min="747" max="747" width="11.42578125" style="3540"/>
    <col min="748" max="748" width="15.140625" style="3540" customWidth="1"/>
    <col min="749" max="749" width="11.7109375" style="3540" bestFit="1" customWidth="1"/>
    <col min="750" max="754" width="10.7109375" style="3540" customWidth="1"/>
    <col min="755" max="755" width="1.7109375" style="3540" customWidth="1"/>
    <col min="756" max="756" width="11.7109375" style="3540" customWidth="1"/>
    <col min="757" max="759" width="9.7109375" style="3540" customWidth="1"/>
    <col min="760" max="1001" width="11.42578125" style="3540"/>
    <col min="1002" max="1002" width="16.5703125" style="3540" customWidth="1"/>
    <col min="1003" max="1003" width="11.42578125" style="3540"/>
    <col min="1004" max="1004" width="15.140625" style="3540" customWidth="1"/>
    <col min="1005" max="1005" width="11.7109375" style="3540" bestFit="1" customWidth="1"/>
    <col min="1006" max="1010" width="10.7109375" style="3540" customWidth="1"/>
    <col min="1011" max="1011" width="1.7109375" style="3540" customWidth="1"/>
    <col min="1012" max="1012" width="11.7109375" style="3540" customWidth="1"/>
    <col min="1013" max="1015" width="9.7109375" style="3540" customWidth="1"/>
    <col min="1016" max="1257" width="11.42578125" style="3540"/>
    <col min="1258" max="1258" width="16.5703125" style="3540" customWidth="1"/>
    <col min="1259" max="1259" width="11.42578125" style="3540"/>
    <col min="1260" max="1260" width="15.140625" style="3540" customWidth="1"/>
    <col min="1261" max="1261" width="11.7109375" style="3540" bestFit="1" customWidth="1"/>
    <col min="1262" max="1266" width="10.7109375" style="3540" customWidth="1"/>
    <col min="1267" max="1267" width="1.7109375" style="3540" customWidth="1"/>
    <col min="1268" max="1268" width="11.7109375" style="3540" customWidth="1"/>
    <col min="1269" max="1271" width="9.7109375" style="3540" customWidth="1"/>
    <col min="1272" max="1513" width="11.42578125" style="3540"/>
    <col min="1514" max="1514" width="16.5703125" style="3540" customWidth="1"/>
    <col min="1515" max="1515" width="11.42578125" style="3540"/>
    <col min="1516" max="1516" width="15.140625" style="3540" customWidth="1"/>
    <col min="1517" max="1517" width="11.7109375" style="3540" bestFit="1" customWidth="1"/>
    <col min="1518" max="1522" width="10.7109375" style="3540" customWidth="1"/>
    <col min="1523" max="1523" width="1.7109375" style="3540" customWidth="1"/>
    <col min="1524" max="1524" width="11.7109375" style="3540" customWidth="1"/>
    <col min="1525" max="1527" width="9.7109375" style="3540" customWidth="1"/>
    <col min="1528" max="1769" width="11.42578125" style="3540"/>
    <col min="1770" max="1770" width="16.5703125" style="3540" customWidth="1"/>
    <col min="1771" max="1771" width="11.42578125" style="3540"/>
    <col min="1772" max="1772" width="15.140625" style="3540" customWidth="1"/>
    <col min="1773" max="1773" width="11.7109375" style="3540" bestFit="1" customWidth="1"/>
    <col min="1774" max="1778" width="10.7109375" style="3540" customWidth="1"/>
    <col min="1779" max="1779" width="1.7109375" style="3540" customWidth="1"/>
    <col min="1780" max="1780" width="11.7109375" style="3540" customWidth="1"/>
    <col min="1781" max="1783" width="9.7109375" style="3540" customWidth="1"/>
    <col min="1784" max="2025" width="11.42578125" style="3540"/>
    <col min="2026" max="2026" width="16.5703125" style="3540" customWidth="1"/>
    <col min="2027" max="2027" width="11.42578125" style="3540"/>
    <col min="2028" max="2028" width="15.140625" style="3540" customWidth="1"/>
    <col min="2029" max="2029" width="11.7109375" style="3540" bestFit="1" customWidth="1"/>
    <col min="2030" max="2034" width="10.7109375" style="3540" customWidth="1"/>
    <col min="2035" max="2035" width="1.7109375" style="3540" customWidth="1"/>
    <col min="2036" max="2036" width="11.7109375" style="3540" customWidth="1"/>
    <col min="2037" max="2039" width="9.7109375" style="3540" customWidth="1"/>
    <col min="2040" max="2281" width="11.42578125" style="3540"/>
    <col min="2282" max="2282" width="16.5703125" style="3540" customWidth="1"/>
    <col min="2283" max="2283" width="11.42578125" style="3540"/>
    <col min="2284" max="2284" width="15.140625" style="3540" customWidth="1"/>
    <col min="2285" max="2285" width="11.7109375" style="3540" bestFit="1" customWidth="1"/>
    <col min="2286" max="2290" width="10.7109375" style="3540" customWidth="1"/>
    <col min="2291" max="2291" width="1.7109375" style="3540" customWidth="1"/>
    <col min="2292" max="2292" width="11.7109375" style="3540" customWidth="1"/>
    <col min="2293" max="2295" width="9.7109375" style="3540" customWidth="1"/>
    <col min="2296" max="2537" width="11.42578125" style="3540"/>
    <col min="2538" max="2538" width="16.5703125" style="3540" customWidth="1"/>
    <col min="2539" max="2539" width="11.42578125" style="3540"/>
    <col min="2540" max="2540" width="15.140625" style="3540" customWidth="1"/>
    <col min="2541" max="2541" width="11.7109375" style="3540" bestFit="1" customWidth="1"/>
    <col min="2542" max="2546" width="10.7109375" style="3540" customWidth="1"/>
    <col min="2547" max="2547" width="1.7109375" style="3540" customWidth="1"/>
    <col min="2548" max="2548" width="11.7109375" style="3540" customWidth="1"/>
    <col min="2549" max="2551" width="9.7109375" style="3540" customWidth="1"/>
    <col min="2552" max="2793" width="11.42578125" style="3540"/>
    <col min="2794" max="2794" width="16.5703125" style="3540" customWidth="1"/>
    <col min="2795" max="2795" width="11.42578125" style="3540"/>
    <col min="2796" max="2796" width="15.140625" style="3540" customWidth="1"/>
    <col min="2797" max="2797" width="11.7109375" style="3540" bestFit="1" customWidth="1"/>
    <col min="2798" max="2802" width="10.7109375" style="3540" customWidth="1"/>
    <col min="2803" max="2803" width="1.7109375" style="3540" customWidth="1"/>
    <col min="2804" max="2804" width="11.7109375" style="3540" customWidth="1"/>
    <col min="2805" max="2807" width="9.7109375" style="3540" customWidth="1"/>
    <col min="2808" max="3049" width="11.42578125" style="3540"/>
    <col min="3050" max="3050" width="16.5703125" style="3540" customWidth="1"/>
    <col min="3051" max="3051" width="11.42578125" style="3540"/>
    <col min="3052" max="3052" width="15.140625" style="3540" customWidth="1"/>
    <col min="3053" max="3053" width="11.7109375" style="3540" bestFit="1" customWidth="1"/>
    <col min="3054" max="3058" width="10.7109375" style="3540" customWidth="1"/>
    <col min="3059" max="3059" width="1.7109375" style="3540" customWidth="1"/>
    <col min="3060" max="3060" width="11.7109375" style="3540" customWidth="1"/>
    <col min="3061" max="3063" width="9.7109375" style="3540" customWidth="1"/>
    <col min="3064" max="3305" width="11.42578125" style="3540"/>
    <col min="3306" max="3306" width="16.5703125" style="3540" customWidth="1"/>
    <col min="3307" max="3307" width="11.42578125" style="3540"/>
    <col min="3308" max="3308" width="15.140625" style="3540" customWidth="1"/>
    <col min="3309" max="3309" width="11.7109375" style="3540" bestFit="1" customWidth="1"/>
    <col min="3310" max="3314" width="10.7109375" style="3540" customWidth="1"/>
    <col min="3315" max="3315" width="1.7109375" style="3540" customWidth="1"/>
    <col min="3316" max="3316" width="11.7109375" style="3540" customWidth="1"/>
    <col min="3317" max="3319" width="9.7109375" style="3540" customWidth="1"/>
    <col min="3320" max="3561" width="11.42578125" style="3540"/>
    <col min="3562" max="3562" width="16.5703125" style="3540" customWidth="1"/>
    <col min="3563" max="3563" width="11.42578125" style="3540"/>
    <col min="3564" max="3564" width="15.140625" style="3540" customWidth="1"/>
    <col min="3565" max="3565" width="11.7109375" style="3540" bestFit="1" customWidth="1"/>
    <col min="3566" max="3570" width="10.7109375" style="3540" customWidth="1"/>
    <col min="3571" max="3571" width="1.7109375" style="3540" customWidth="1"/>
    <col min="3572" max="3572" width="11.7109375" style="3540" customWidth="1"/>
    <col min="3573" max="3575" width="9.7109375" style="3540" customWidth="1"/>
    <col min="3576" max="3817" width="11.42578125" style="3540"/>
    <col min="3818" max="3818" width="16.5703125" style="3540" customWidth="1"/>
    <col min="3819" max="3819" width="11.42578125" style="3540"/>
    <col min="3820" max="3820" width="15.140625" style="3540" customWidth="1"/>
    <col min="3821" max="3821" width="11.7109375" style="3540" bestFit="1" customWidth="1"/>
    <col min="3822" max="3826" width="10.7109375" style="3540" customWidth="1"/>
    <col min="3827" max="3827" width="1.7109375" style="3540" customWidth="1"/>
    <col min="3828" max="3828" width="11.7109375" style="3540" customWidth="1"/>
    <col min="3829" max="3831" width="9.7109375" style="3540" customWidth="1"/>
    <col min="3832" max="4073" width="11.42578125" style="3540"/>
    <col min="4074" max="4074" width="16.5703125" style="3540" customWidth="1"/>
    <col min="4075" max="4075" width="11.42578125" style="3540"/>
    <col min="4076" max="4076" width="15.140625" style="3540" customWidth="1"/>
    <col min="4077" max="4077" width="11.7109375" style="3540" bestFit="1" customWidth="1"/>
    <col min="4078" max="4082" width="10.7109375" style="3540" customWidth="1"/>
    <col min="4083" max="4083" width="1.7109375" style="3540" customWidth="1"/>
    <col min="4084" max="4084" width="11.7109375" style="3540" customWidth="1"/>
    <col min="4085" max="4087" width="9.7109375" style="3540" customWidth="1"/>
    <col min="4088" max="4329" width="11.42578125" style="3540"/>
    <col min="4330" max="4330" width="16.5703125" style="3540" customWidth="1"/>
    <col min="4331" max="4331" width="11.42578125" style="3540"/>
    <col min="4332" max="4332" width="15.140625" style="3540" customWidth="1"/>
    <col min="4333" max="4333" width="11.7109375" style="3540" bestFit="1" customWidth="1"/>
    <col min="4334" max="4338" width="10.7109375" style="3540" customWidth="1"/>
    <col min="4339" max="4339" width="1.7109375" style="3540" customWidth="1"/>
    <col min="4340" max="4340" width="11.7109375" style="3540" customWidth="1"/>
    <col min="4341" max="4343" width="9.7109375" style="3540" customWidth="1"/>
    <col min="4344" max="4585" width="11.42578125" style="3540"/>
    <col min="4586" max="4586" width="16.5703125" style="3540" customWidth="1"/>
    <col min="4587" max="4587" width="11.42578125" style="3540"/>
    <col min="4588" max="4588" width="15.140625" style="3540" customWidth="1"/>
    <col min="4589" max="4589" width="11.7109375" style="3540" bestFit="1" customWidth="1"/>
    <col min="4590" max="4594" width="10.7109375" style="3540" customWidth="1"/>
    <col min="4595" max="4595" width="1.7109375" style="3540" customWidth="1"/>
    <col min="4596" max="4596" width="11.7109375" style="3540" customWidth="1"/>
    <col min="4597" max="4599" width="9.7109375" style="3540" customWidth="1"/>
    <col min="4600" max="4841" width="11.42578125" style="3540"/>
    <col min="4842" max="4842" width="16.5703125" style="3540" customWidth="1"/>
    <col min="4843" max="4843" width="11.42578125" style="3540"/>
    <col min="4844" max="4844" width="15.140625" style="3540" customWidth="1"/>
    <col min="4845" max="4845" width="11.7109375" style="3540" bestFit="1" customWidth="1"/>
    <col min="4846" max="4850" width="10.7109375" style="3540" customWidth="1"/>
    <col min="4851" max="4851" width="1.7109375" style="3540" customWidth="1"/>
    <col min="4852" max="4852" width="11.7109375" style="3540" customWidth="1"/>
    <col min="4853" max="4855" width="9.7109375" style="3540" customWidth="1"/>
    <col min="4856" max="5097" width="11.42578125" style="3540"/>
    <col min="5098" max="5098" width="16.5703125" style="3540" customWidth="1"/>
    <col min="5099" max="5099" width="11.42578125" style="3540"/>
    <col min="5100" max="5100" width="15.140625" style="3540" customWidth="1"/>
    <col min="5101" max="5101" width="11.7109375" style="3540" bestFit="1" customWidth="1"/>
    <col min="5102" max="5106" width="10.7109375" style="3540" customWidth="1"/>
    <col min="5107" max="5107" width="1.7109375" style="3540" customWidth="1"/>
    <col min="5108" max="5108" width="11.7109375" style="3540" customWidth="1"/>
    <col min="5109" max="5111" width="9.7109375" style="3540" customWidth="1"/>
    <col min="5112" max="5353" width="11.42578125" style="3540"/>
    <col min="5354" max="5354" width="16.5703125" style="3540" customWidth="1"/>
    <col min="5355" max="5355" width="11.42578125" style="3540"/>
    <col min="5356" max="5356" width="15.140625" style="3540" customWidth="1"/>
    <col min="5357" max="5357" width="11.7109375" style="3540" bestFit="1" customWidth="1"/>
    <col min="5358" max="5362" width="10.7109375" style="3540" customWidth="1"/>
    <col min="5363" max="5363" width="1.7109375" style="3540" customWidth="1"/>
    <col min="5364" max="5364" width="11.7109375" style="3540" customWidth="1"/>
    <col min="5365" max="5367" width="9.7109375" style="3540" customWidth="1"/>
    <col min="5368" max="5609" width="11.42578125" style="3540"/>
    <col min="5610" max="5610" width="16.5703125" style="3540" customWidth="1"/>
    <col min="5611" max="5611" width="11.42578125" style="3540"/>
    <col min="5612" max="5612" width="15.140625" style="3540" customWidth="1"/>
    <col min="5613" max="5613" width="11.7109375" style="3540" bestFit="1" customWidth="1"/>
    <col min="5614" max="5618" width="10.7109375" style="3540" customWidth="1"/>
    <col min="5619" max="5619" width="1.7109375" style="3540" customWidth="1"/>
    <col min="5620" max="5620" width="11.7109375" style="3540" customWidth="1"/>
    <col min="5621" max="5623" width="9.7109375" style="3540" customWidth="1"/>
    <col min="5624" max="5865" width="11.42578125" style="3540"/>
    <col min="5866" max="5866" width="16.5703125" style="3540" customWidth="1"/>
    <col min="5867" max="5867" width="11.42578125" style="3540"/>
    <col min="5868" max="5868" width="15.140625" style="3540" customWidth="1"/>
    <col min="5869" max="5869" width="11.7109375" style="3540" bestFit="1" customWidth="1"/>
    <col min="5870" max="5874" width="10.7109375" style="3540" customWidth="1"/>
    <col min="5875" max="5875" width="1.7109375" style="3540" customWidth="1"/>
    <col min="5876" max="5876" width="11.7109375" style="3540" customWidth="1"/>
    <col min="5877" max="5879" width="9.7109375" style="3540" customWidth="1"/>
    <col min="5880" max="6121" width="11.42578125" style="3540"/>
    <col min="6122" max="6122" width="16.5703125" style="3540" customWidth="1"/>
    <col min="6123" max="6123" width="11.42578125" style="3540"/>
    <col min="6124" max="6124" width="15.140625" style="3540" customWidth="1"/>
    <col min="6125" max="6125" width="11.7109375" style="3540" bestFit="1" customWidth="1"/>
    <col min="6126" max="6130" width="10.7109375" style="3540" customWidth="1"/>
    <col min="6131" max="6131" width="1.7109375" style="3540" customWidth="1"/>
    <col min="6132" max="6132" width="11.7109375" style="3540" customWidth="1"/>
    <col min="6133" max="6135" width="9.7109375" style="3540" customWidth="1"/>
    <col min="6136" max="6377" width="11.42578125" style="3540"/>
    <col min="6378" max="6378" width="16.5703125" style="3540" customWidth="1"/>
    <col min="6379" max="6379" width="11.42578125" style="3540"/>
    <col min="6380" max="6380" width="15.140625" style="3540" customWidth="1"/>
    <col min="6381" max="6381" width="11.7109375" style="3540" bestFit="1" customWidth="1"/>
    <col min="6382" max="6386" width="10.7109375" style="3540" customWidth="1"/>
    <col min="6387" max="6387" width="1.7109375" style="3540" customWidth="1"/>
    <col min="6388" max="6388" width="11.7109375" style="3540" customWidth="1"/>
    <col min="6389" max="6391" width="9.7109375" style="3540" customWidth="1"/>
    <col min="6392" max="6633" width="11.42578125" style="3540"/>
    <col min="6634" max="6634" width="16.5703125" style="3540" customWidth="1"/>
    <col min="6635" max="6635" width="11.42578125" style="3540"/>
    <col min="6636" max="6636" width="15.140625" style="3540" customWidth="1"/>
    <col min="6637" max="6637" width="11.7109375" style="3540" bestFit="1" customWidth="1"/>
    <col min="6638" max="6642" width="10.7109375" style="3540" customWidth="1"/>
    <col min="6643" max="6643" width="1.7109375" style="3540" customWidth="1"/>
    <col min="6644" max="6644" width="11.7109375" style="3540" customWidth="1"/>
    <col min="6645" max="6647" width="9.7109375" style="3540" customWidth="1"/>
    <col min="6648" max="6889" width="11.42578125" style="3540"/>
    <col min="6890" max="6890" width="16.5703125" style="3540" customWidth="1"/>
    <col min="6891" max="6891" width="11.42578125" style="3540"/>
    <col min="6892" max="6892" width="15.140625" style="3540" customWidth="1"/>
    <col min="6893" max="6893" width="11.7109375" style="3540" bestFit="1" customWidth="1"/>
    <col min="6894" max="6898" width="10.7109375" style="3540" customWidth="1"/>
    <col min="6899" max="6899" width="1.7109375" style="3540" customWidth="1"/>
    <col min="6900" max="6900" width="11.7109375" style="3540" customWidth="1"/>
    <col min="6901" max="6903" width="9.7109375" style="3540" customWidth="1"/>
    <col min="6904" max="7145" width="11.42578125" style="3540"/>
    <col min="7146" max="7146" width="16.5703125" style="3540" customWidth="1"/>
    <col min="7147" max="7147" width="11.42578125" style="3540"/>
    <col min="7148" max="7148" width="15.140625" style="3540" customWidth="1"/>
    <col min="7149" max="7149" width="11.7109375" style="3540" bestFit="1" customWidth="1"/>
    <col min="7150" max="7154" width="10.7109375" style="3540" customWidth="1"/>
    <col min="7155" max="7155" width="1.7109375" style="3540" customWidth="1"/>
    <col min="7156" max="7156" width="11.7109375" style="3540" customWidth="1"/>
    <col min="7157" max="7159" width="9.7109375" style="3540" customWidth="1"/>
    <col min="7160" max="7401" width="11.42578125" style="3540"/>
    <col min="7402" max="7402" width="16.5703125" style="3540" customWidth="1"/>
    <col min="7403" max="7403" width="11.42578125" style="3540"/>
    <col min="7404" max="7404" width="15.140625" style="3540" customWidth="1"/>
    <col min="7405" max="7405" width="11.7109375" style="3540" bestFit="1" customWidth="1"/>
    <col min="7406" max="7410" width="10.7109375" style="3540" customWidth="1"/>
    <col min="7411" max="7411" width="1.7109375" style="3540" customWidth="1"/>
    <col min="7412" max="7412" width="11.7109375" style="3540" customWidth="1"/>
    <col min="7413" max="7415" width="9.7109375" style="3540" customWidth="1"/>
    <col min="7416" max="7657" width="11.42578125" style="3540"/>
    <col min="7658" max="7658" width="16.5703125" style="3540" customWidth="1"/>
    <col min="7659" max="7659" width="11.42578125" style="3540"/>
    <col min="7660" max="7660" width="15.140625" style="3540" customWidth="1"/>
    <col min="7661" max="7661" width="11.7109375" style="3540" bestFit="1" customWidth="1"/>
    <col min="7662" max="7666" width="10.7109375" style="3540" customWidth="1"/>
    <col min="7667" max="7667" width="1.7109375" style="3540" customWidth="1"/>
    <col min="7668" max="7668" width="11.7109375" style="3540" customWidth="1"/>
    <col min="7669" max="7671" width="9.7109375" style="3540" customWidth="1"/>
    <col min="7672" max="7913" width="11.42578125" style="3540"/>
    <col min="7914" max="7914" width="16.5703125" style="3540" customWidth="1"/>
    <col min="7915" max="7915" width="11.42578125" style="3540"/>
    <col min="7916" max="7916" width="15.140625" style="3540" customWidth="1"/>
    <col min="7917" max="7917" width="11.7109375" style="3540" bestFit="1" customWidth="1"/>
    <col min="7918" max="7922" width="10.7109375" style="3540" customWidth="1"/>
    <col min="7923" max="7923" width="1.7109375" style="3540" customWidth="1"/>
    <col min="7924" max="7924" width="11.7109375" style="3540" customWidth="1"/>
    <col min="7925" max="7927" width="9.7109375" style="3540" customWidth="1"/>
    <col min="7928" max="8169" width="11.42578125" style="3540"/>
    <col min="8170" max="8170" width="16.5703125" style="3540" customWidth="1"/>
    <col min="8171" max="8171" width="11.42578125" style="3540"/>
    <col min="8172" max="8172" width="15.140625" style="3540" customWidth="1"/>
    <col min="8173" max="8173" width="11.7109375" style="3540" bestFit="1" customWidth="1"/>
    <col min="8174" max="8178" width="10.7109375" style="3540" customWidth="1"/>
    <col min="8179" max="8179" width="1.7109375" style="3540" customWidth="1"/>
    <col min="8180" max="8180" width="11.7109375" style="3540" customWidth="1"/>
    <col min="8181" max="8183" width="9.7109375" style="3540" customWidth="1"/>
    <col min="8184" max="8425" width="11.42578125" style="3540"/>
    <col min="8426" max="8426" width="16.5703125" style="3540" customWidth="1"/>
    <col min="8427" max="8427" width="11.42578125" style="3540"/>
    <col min="8428" max="8428" width="15.140625" style="3540" customWidth="1"/>
    <col min="8429" max="8429" width="11.7109375" style="3540" bestFit="1" customWidth="1"/>
    <col min="8430" max="8434" width="10.7109375" style="3540" customWidth="1"/>
    <col min="8435" max="8435" width="1.7109375" style="3540" customWidth="1"/>
    <col min="8436" max="8436" width="11.7109375" style="3540" customWidth="1"/>
    <col min="8437" max="8439" width="9.7109375" style="3540" customWidth="1"/>
    <col min="8440" max="8681" width="11.42578125" style="3540"/>
    <col min="8682" max="8682" width="16.5703125" style="3540" customWidth="1"/>
    <col min="8683" max="8683" width="11.42578125" style="3540"/>
    <col min="8684" max="8684" width="15.140625" style="3540" customWidth="1"/>
    <col min="8685" max="8685" width="11.7109375" style="3540" bestFit="1" customWidth="1"/>
    <col min="8686" max="8690" width="10.7109375" style="3540" customWidth="1"/>
    <col min="8691" max="8691" width="1.7109375" style="3540" customWidth="1"/>
    <col min="8692" max="8692" width="11.7109375" style="3540" customWidth="1"/>
    <col min="8693" max="8695" width="9.7109375" style="3540" customWidth="1"/>
    <col min="8696" max="8937" width="11.42578125" style="3540"/>
    <col min="8938" max="8938" width="16.5703125" style="3540" customWidth="1"/>
    <col min="8939" max="8939" width="11.42578125" style="3540"/>
    <col min="8940" max="8940" width="15.140625" style="3540" customWidth="1"/>
    <col min="8941" max="8941" width="11.7109375" style="3540" bestFit="1" customWidth="1"/>
    <col min="8942" max="8946" width="10.7109375" style="3540" customWidth="1"/>
    <col min="8947" max="8947" width="1.7109375" style="3540" customWidth="1"/>
    <col min="8948" max="8948" width="11.7109375" style="3540" customWidth="1"/>
    <col min="8949" max="8951" width="9.7109375" style="3540" customWidth="1"/>
    <col min="8952" max="9193" width="11.42578125" style="3540"/>
    <col min="9194" max="9194" width="16.5703125" style="3540" customWidth="1"/>
    <col min="9195" max="9195" width="11.42578125" style="3540"/>
    <col min="9196" max="9196" width="15.140625" style="3540" customWidth="1"/>
    <col min="9197" max="9197" width="11.7109375" style="3540" bestFit="1" customWidth="1"/>
    <col min="9198" max="9202" width="10.7109375" style="3540" customWidth="1"/>
    <col min="9203" max="9203" width="1.7109375" style="3540" customWidth="1"/>
    <col min="9204" max="9204" width="11.7109375" style="3540" customWidth="1"/>
    <col min="9205" max="9207" width="9.7109375" style="3540" customWidth="1"/>
    <col min="9208" max="9449" width="11.42578125" style="3540"/>
    <col min="9450" max="9450" width="16.5703125" style="3540" customWidth="1"/>
    <col min="9451" max="9451" width="11.42578125" style="3540"/>
    <col min="9452" max="9452" width="15.140625" style="3540" customWidth="1"/>
    <col min="9453" max="9453" width="11.7109375" style="3540" bestFit="1" customWidth="1"/>
    <col min="9454" max="9458" width="10.7109375" style="3540" customWidth="1"/>
    <col min="9459" max="9459" width="1.7109375" style="3540" customWidth="1"/>
    <col min="9460" max="9460" width="11.7109375" style="3540" customWidth="1"/>
    <col min="9461" max="9463" width="9.7109375" style="3540" customWidth="1"/>
    <col min="9464" max="9705" width="11.42578125" style="3540"/>
    <col min="9706" max="9706" width="16.5703125" style="3540" customWidth="1"/>
    <col min="9707" max="9707" width="11.42578125" style="3540"/>
    <col min="9708" max="9708" width="15.140625" style="3540" customWidth="1"/>
    <col min="9709" max="9709" width="11.7109375" style="3540" bestFit="1" customWidth="1"/>
    <col min="9710" max="9714" width="10.7109375" style="3540" customWidth="1"/>
    <col min="9715" max="9715" width="1.7109375" style="3540" customWidth="1"/>
    <col min="9716" max="9716" width="11.7109375" style="3540" customWidth="1"/>
    <col min="9717" max="9719" width="9.7109375" style="3540" customWidth="1"/>
    <col min="9720" max="9961" width="11.42578125" style="3540"/>
    <col min="9962" max="9962" width="16.5703125" style="3540" customWidth="1"/>
    <col min="9963" max="9963" width="11.42578125" style="3540"/>
    <col min="9964" max="9964" width="15.140625" style="3540" customWidth="1"/>
    <col min="9965" max="9965" width="11.7109375" style="3540" bestFit="1" customWidth="1"/>
    <col min="9966" max="9970" width="10.7109375" style="3540" customWidth="1"/>
    <col min="9971" max="9971" width="1.7109375" style="3540" customWidth="1"/>
    <col min="9972" max="9972" width="11.7109375" style="3540" customWidth="1"/>
    <col min="9973" max="9975" width="9.7109375" style="3540" customWidth="1"/>
    <col min="9976" max="10217" width="11.42578125" style="3540"/>
    <col min="10218" max="10218" width="16.5703125" style="3540" customWidth="1"/>
    <col min="10219" max="10219" width="11.42578125" style="3540"/>
    <col min="10220" max="10220" width="15.140625" style="3540" customWidth="1"/>
    <col min="10221" max="10221" width="11.7109375" style="3540" bestFit="1" customWidth="1"/>
    <col min="10222" max="10226" width="10.7109375" style="3540" customWidth="1"/>
    <col min="10227" max="10227" width="1.7109375" style="3540" customWidth="1"/>
    <col min="10228" max="10228" width="11.7109375" style="3540" customWidth="1"/>
    <col min="10229" max="10231" width="9.7109375" style="3540" customWidth="1"/>
    <col min="10232" max="10473" width="11.42578125" style="3540"/>
    <col min="10474" max="10474" width="16.5703125" style="3540" customWidth="1"/>
    <col min="10475" max="10475" width="11.42578125" style="3540"/>
    <col min="10476" max="10476" width="15.140625" style="3540" customWidth="1"/>
    <col min="10477" max="10477" width="11.7109375" style="3540" bestFit="1" customWidth="1"/>
    <col min="10478" max="10482" width="10.7109375" style="3540" customWidth="1"/>
    <col min="10483" max="10483" width="1.7109375" style="3540" customWidth="1"/>
    <col min="10484" max="10484" width="11.7109375" style="3540" customWidth="1"/>
    <col min="10485" max="10487" width="9.7109375" style="3540" customWidth="1"/>
    <col min="10488" max="10729" width="11.42578125" style="3540"/>
    <col min="10730" max="10730" width="16.5703125" style="3540" customWidth="1"/>
    <col min="10731" max="10731" width="11.42578125" style="3540"/>
    <col min="10732" max="10732" width="15.140625" style="3540" customWidth="1"/>
    <col min="10733" max="10733" width="11.7109375" style="3540" bestFit="1" customWidth="1"/>
    <col min="10734" max="10738" width="10.7109375" style="3540" customWidth="1"/>
    <col min="10739" max="10739" width="1.7109375" style="3540" customWidth="1"/>
    <col min="10740" max="10740" width="11.7109375" style="3540" customWidth="1"/>
    <col min="10741" max="10743" width="9.7109375" style="3540" customWidth="1"/>
    <col min="10744" max="10985" width="11.42578125" style="3540"/>
    <col min="10986" max="10986" width="16.5703125" style="3540" customWidth="1"/>
    <col min="10987" max="10987" width="11.42578125" style="3540"/>
    <col min="10988" max="10988" width="15.140625" style="3540" customWidth="1"/>
    <col min="10989" max="10989" width="11.7109375" style="3540" bestFit="1" customWidth="1"/>
    <col min="10990" max="10994" width="10.7109375" style="3540" customWidth="1"/>
    <col min="10995" max="10995" width="1.7109375" style="3540" customWidth="1"/>
    <col min="10996" max="10996" width="11.7109375" style="3540" customWidth="1"/>
    <col min="10997" max="10999" width="9.7109375" style="3540" customWidth="1"/>
    <col min="11000" max="11241" width="11.42578125" style="3540"/>
    <col min="11242" max="11242" width="16.5703125" style="3540" customWidth="1"/>
    <col min="11243" max="11243" width="11.42578125" style="3540"/>
    <col min="11244" max="11244" width="15.140625" style="3540" customWidth="1"/>
    <col min="11245" max="11245" width="11.7109375" style="3540" bestFit="1" customWidth="1"/>
    <col min="11246" max="11250" width="10.7109375" style="3540" customWidth="1"/>
    <col min="11251" max="11251" width="1.7109375" style="3540" customWidth="1"/>
    <col min="11252" max="11252" width="11.7109375" style="3540" customWidth="1"/>
    <col min="11253" max="11255" width="9.7109375" style="3540" customWidth="1"/>
    <col min="11256" max="11497" width="11.42578125" style="3540"/>
    <col min="11498" max="11498" width="16.5703125" style="3540" customWidth="1"/>
    <col min="11499" max="11499" width="11.42578125" style="3540"/>
    <col min="11500" max="11500" width="15.140625" style="3540" customWidth="1"/>
    <col min="11501" max="11501" width="11.7109375" style="3540" bestFit="1" customWidth="1"/>
    <col min="11502" max="11506" width="10.7109375" style="3540" customWidth="1"/>
    <col min="11507" max="11507" width="1.7109375" style="3540" customWidth="1"/>
    <col min="11508" max="11508" width="11.7109375" style="3540" customWidth="1"/>
    <col min="11509" max="11511" width="9.7109375" style="3540" customWidth="1"/>
    <col min="11512" max="11753" width="11.42578125" style="3540"/>
    <col min="11754" max="11754" width="16.5703125" style="3540" customWidth="1"/>
    <col min="11755" max="11755" width="11.42578125" style="3540"/>
    <col min="11756" max="11756" width="15.140625" style="3540" customWidth="1"/>
    <col min="11757" max="11757" width="11.7109375" style="3540" bestFit="1" customWidth="1"/>
    <col min="11758" max="11762" width="10.7109375" style="3540" customWidth="1"/>
    <col min="11763" max="11763" width="1.7109375" style="3540" customWidth="1"/>
    <col min="11764" max="11764" width="11.7109375" style="3540" customWidth="1"/>
    <col min="11765" max="11767" width="9.7109375" style="3540" customWidth="1"/>
    <col min="11768" max="12009" width="11.42578125" style="3540"/>
    <col min="12010" max="12010" width="16.5703125" style="3540" customWidth="1"/>
    <col min="12011" max="12011" width="11.42578125" style="3540"/>
    <col min="12012" max="12012" width="15.140625" style="3540" customWidth="1"/>
    <col min="12013" max="12013" width="11.7109375" style="3540" bestFit="1" customWidth="1"/>
    <col min="12014" max="12018" width="10.7109375" style="3540" customWidth="1"/>
    <col min="12019" max="12019" width="1.7109375" style="3540" customWidth="1"/>
    <col min="12020" max="12020" width="11.7109375" style="3540" customWidth="1"/>
    <col min="12021" max="12023" width="9.7109375" style="3540" customWidth="1"/>
    <col min="12024" max="12265" width="11.42578125" style="3540"/>
    <col min="12266" max="12266" width="16.5703125" style="3540" customWidth="1"/>
    <col min="12267" max="12267" width="11.42578125" style="3540"/>
    <col min="12268" max="12268" width="15.140625" style="3540" customWidth="1"/>
    <col min="12269" max="12269" width="11.7109375" style="3540" bestFit="1" customWidth="1"/>
    <col min="12270" max="12274" width="10.7109375" style="3540" customWidth="1"/>
    <col min="12275" max="12275" width="1.7109375" style="3540" customWidth="1"/>
    <col min="12276" max="12276" width="11.7109375" style="3540" customWidth="1"/>
    <col min="12277" max="12279" width="9.7109375" style="3540" customWidth="1"/>
    <col min="12280" max="12521" width="11.42578125" style="3540"/>
    <col min="12522" max="12522" width="16.5703125" style="3540" customWidth="1"/>
    <col min="12523" max="12523" width="11.42578125" style="3540"/>
    <col min="12524" max="12524" width="15.140625" style="3540" customWidth="1"/>
    <col min="12525" max="12525" width="11.7109375" style="3540" bestFit="1" customWidth="1"/>
    <col min="12526" max="12530" width="10.7109375" style="3540" customWidth="1"/>
    <col min="12531" max="12531" width="1.7109375" style="3540" customWidth="1"/>
    <col min="12532" max="12532" width="11.7109375" style="3540" customWidth="1"/>
    <col min="12533" max="12535" width="9.7109375" style="3540" customWidth="1"/>
    <col min="12536" max="12777" width="11.42578125" style="3540"/>
    <col min="12778" max="12778" width="16.5703125" style="3540" customWidth="1"/>
    <col min="12779" max="12779" width="11.42578125" style="3540"/>
    <col min="12780" max="12780" width="15.140625" style="3540" customWidth="1"/>
    <col min="12781" max="12781" width="11.7109375" style="3540" bestFit="1" customWidth="1"/>
    <col min="12782" max="12786" width="10.7109375" style="3540" customWidth="1"/>
    <col min="12787" max="12787" width="1.7109375" style="3540" customWidth="1"/>
    <col min="12788" max="12788" width="11.7109375" style="3540" customWidth="1"/>
    <col min="12789" max="12791" width="9.7109375" style="3540" customWidth="1"/>
    <col min="12792" max="13033" width="11.42578125" style="3540"/>
    <col min="13034" max="13034" width="16.5703125" style="3540" customWidth="1"/>
    <col min="13035" max="13035" width="11.42578125" style="3540"/>
    <col min="13036" max="13036" width="15.140625" style="3540" customWidth="1"/>
    <col min="13037" max="13037" width="11.7109375" style="3540" bestFit="1" customWidth="1"/>
    <col min="13038" max="13042" width="10.7109375" style="3540" customWidth="1"/>
    <col min="13043" max="13043" width="1.7109375" style="3540" customWidth="1"/>
    <col min="13044" max="13044" width="11.7109375" style="3540" customWidth="1"/>
    <col min="13045" max="13047" width="9.7109375" style="3540" customWidth="1"/>
    <col min="13048" max="13289" width="11.42578125" style="3540"/>
    <col min="13290" max="13290" width="16.5703125" style="3540" customWidth="1"/>
    <col min="13291" max="13291" width="11.42578125" style="3540"/>
    <col min="13292" max="13292" width="15.140625" style="3540" customWidth="1"/>
    <col min="13293" max="13293" width="11.7109375" style="3540" bestFit="1" customWidth="1"/>
    <col min="13294" max="13298" width="10.7109375" style="3540" customWidth="1"/>
    <col min="13299" max="13299" width="1.7109375" style="3540" customWidth="1"/>
    <col min="13300" max="13300" width="11.7109375" style="3540" customWidth="1"/>
    <col min="13301" max="13303" width="9.7109375" style="3540" customWidth="1"/>
    <col min="13304" max="13545" width="11.42578125" style="3540"/>
    <col min="13546" max="13546" width="16.5703125" style="3540" customWidth="1"/>
    <col min="13547" max="13547" width="11.42578125" style="3540"/>
    <col min="13548" max="13548" width="15.140625" style="3540" customWidth="1"/>
    <col min="13549" max="13549" width="11.7109375" style="3540" bestFit="1" customWidth="1"/>
    <col min="13550" max="13554" width="10.7109375" style="3540" customWidth="1"/>
    <col min="13555" max="13555" width="1.7109375" style="3540" customWidth="1"/>
    <col min="13556" max="13556" width="11.7109375" style="3540" customWidth="1"/>
    <col min="13557" max="13559" width="9.7109375" style="3540" customWidth="1"/>
    <col min="13560" max="13801" width="11.42578125" style="3540"/>
    <col min="13802" max="13802" width="16.5703125" style="3540" customWidth="1"/>
    <col min="13803" max="13803" width="11.42578125" style="3540"/>
    <col min="13804" max="13804" width="15.140625" style="3540" customWidth="1"/>
    <col min="13805" max="13805" width="11.7109375" style="3540" bestFit="1" customWidth="1"/>
    <col min="13806" max="13810" width="10.7109375" style="3540" customWidth="1"/>
    <col min="13811" max="13811" width="1.7109375" style="3540" customWidth="1"/>
    <col min="13812" max="13812" width="11.7109375" style="3540" customWidth="1"/>
    <col min="13813" max="13815" width="9.7109375" style="3540" customWidth="1"/>
    <col min="13816" max="14057" width="11.42578125" style="3540"/>
    <col min="14058" max="14058" width="16.5703125" style="3540" customWidth="1"/>
    <col min="14059" max="14059" width="11.42578125" style="3540"/>
    <col min="14060" max="14060" width="15.140625" style="3540" customWidth="1"/>
    <col min="14061" max="14061" width="11.7109375" style="3540" bestFit="1" customWidth="1"/>
    <col min="14062" max="14066" width="10.7109375" style="3540" customWidth="1"/>
    <col min="14067" max="14067" width="1.7109375" style="3540" customWidth="1"/>
    <col min="14068" max="14068" width="11.7109375" style="3540" customWidth="1"/>
    <col min="14069" max="14071" width="9.7109375" style="3540" customWidth="1"/>
    <col min="14072" max="14313" width="11.42578125" style="3540"/>
    <col min="14314" max="14314" width="16.5703125" style="3540" customWidth="1"/>
    <col min="14315" max="14315" width="11.42578125" style="3540"/>
    <col min="14316" max="14316" width="15.140625" style="3540" customWidth="1"/>
    <col min="14317" max="14317" width="11.7109375" style="3540" bestFit="1" customWidth="1"/>
    <col min="14318" max="14322" width="10.7109375" style="3540" customWidth="1"/>
    <col min="14323" max="14323" width="1.7109375" style="3540" customWidth="1"/>
    <col min="14324" max="14324" width="11.7109375" style="3540" customWidth="1"/>
    <col min="14325" max="14327" width="9.7109375" style="3540" customWidth="1"/>
    <col min="14328" max="14569" width="11.42578125" style="3540"/>
    <col min="14570" max="14570" width="16.5703125" style="3540" customWidth="1"/>
    <col min="14571" max="14571" width="11.42578125" style="3540"/>
    <col min="14572" max="14572" width="15.140625" style="3540" customWidth="1"/>
    <col min="14573" max="14573" width="11.7109375" style="3540" bestFit="1" customWidth="1"/>
    <col min="14574" max="14578" width="10.7109375" style="3540" customWidth="1"/>
    <col min="14579" max="14579" width="1.7109375" style="3540" customWidth="1"/>
    <col min="14580" max="14580" width="11.7109375" style="3540" customWidth="1"/>
    <col min="14581" max="14583" width="9.7109375" style="3540" customWidth="1"/>
    <col min="14584" max="14825" width="11.42578125" style="3540"/>
    <col min="14826" max="14826" width="16.5703125" style="3540" customWidth="1"/>
    <col min="14827" max="14827" width="11.42578125" style="3540"/>
    <col min="14828" max="14828" width="15.140625" style="3540" customWidth="1"/>
    <col min="14829" max="14829" width="11.7109375" style="3540" bestFit="1" customWidth="1"/>
    <col min="14830" max="14834" width="10.7109375" style="3540" customWidth="1"/>
    <col min="14835" max="14835" width="1.7109375" style="3540" customWidth="1"/>
    <col min="14836" max="14836" width="11.7109375" style="3540" customWidth="1"/>
    <col min="14837" max="14839" width="9.7109375" style="3540" customWidth="1"/>
    <col min="14840" max="15081" width="11.42578125" style="3540"/>
    <col min="15082" max="15082" width="16.5703125" style="3540" customWidth="1"/>
    <col min="15083" max="15083" width="11.42578125" style="3540"/>
    <col min="15084" max="15084" width="15.140625" style="3540" customWidth="1"/>
    <col min="15085" max="15085" width="11.7109375" style="3540" bestFit="1" customWidth="1"/>
    <col min="15086" max="15090" width="10.7109375" style="3540" customWidth="1"/>
    <col min="15091" max="15091" width="1.7109375" style="3540" customWidth="1"/>
    <col min="15092" max="15092" width="11.7109375" style="3540" customWidth="1"/>
    <col min="15093" max="15095" width="9.7109375" style="3540" customWidth="1"/>
    <col min="15096" max="15337" width="11.42578125" style="3540"/>
    <col min="15338" max="15338" width="16.5703125" style="3540" customWidth="1"/>
    <col min="15339" max="15339" width="11.42578125" style="3540"/>
    <col min="15340" max="15340" width="15.140625" style="3540" customWidth="1"/>
    <col min="15341" max="15341" width="11.7109375" style="3540" bestFit="1" customWidth="1"/>
    <col min="15342" max="15346" width="10.7109375" style="3540" customWidth="1"/>
    <col min="15347" max="15347" width="1.7109375" style="3540" customWidth="1"/>
    <col min="15348" max="15348" width="11.7109375" style="3540" customWidth="1"/>
    <col min="15349" max="15351" width="9.7109375" style="3540" customWidth="1"/>
    <col min="15352" max="15593" width="11.42578125" style="3540"/>
    <col min="15594" max="15594" width="16.5703125" style="3540" customWidth="1"/>
    <col min="15595" max="15595" width="11.42578125" style="3540"/>
    <col min="15596" max="15596" width="15.140625" style="3540" customWidth="1"/>
    <col min="15597" max="15597" width="11.7109375" style="3540" bestFit="1" customWidth="1"/>
    <col min="15598" max="15602" width="10.7109375" style="3540" customWidth="1"/>
    <col min="15603" max="15603" width="1.7109375" style="3540" customWidth="1"/>
    <col min="15604" max="15604" width="11.7109375" style="3540" customWidth="1"/>
    <col min="15605" max="15607" width="9.7109375" style="3540" customWidth="1"/>
    <col min="15608" max="15849" width="11.42578125" style="3540"/>
    <col min="15850" max="15850" width="16.5703125" style="3540" customWidth="1"/>
    <col min="15851" max="15851" width="11.42578125" style="3540"/>
    <col min="15852" max="15852" width="15.140625" style="3540" customWidth="1"/>
    <col min="15853" max="15853" width="11.7109375" style="3540" bestFit="1" customWidth="1"/>
    <col min="15854" max="15858" width="10.7109375" style="3540" customWidth="1"/>
    <col min="15859" max="15859" width="1.7109375" style="3540" customWidth="1"/>
    <col min="15860" max="15860" width="11.7109375" style="3540" customWidth="1"/>
    <col min="15861" max="15863" width="9.7109375" style="3540" customWidth="1"/>
    <col min="15864" max="16105" width="11.42578125" style="3540"/>
    <col min="16106" max="16106" width="16.5703125" style="3540" customWidth="1"/>
    <col min="16107" max="16107" width="11.42578125" style="3540"/>
    <col min="16108" max="16108" width="15.140625" style="3540" customWidth="1"/>
    <col min="16109" max="16109" width="11.7109375" style="3540" bestFit="1" customWidth="1"/>
    <col min="16110" max="16114" width="10.7109375" style="3540" customWidth="1"/>
    <col min="16115" max="16115" width="1.7109375" style="3540" customWidth="1"/>
    <col min="16116" max="16116" width="11.7109375" style="3540" customWidth="1"/>
    <col min="16117" max="16119" width="9.7109375" style="3540" customWidth="1"/>
    <col min="16120" max="16384" width="11.42578125" style="3540"/>
  </cols>
  <sheetData>
    <row r="1" spans="1:14" ht="18.75" x14ac:dyDescent="0.3">
      <c r="A1" s="5763" t="s">
        <v>1438</v>
      </c>
      <c r="B1" s="5763"/>
      <c r="C1" s="5763"/>
      <c r="D1" s="5763"/>
      <c r="E1" s="5763"/>
      <c r="F1" s="5763"/>
      <c r="G1" s="5763"/>
      <c r="H1" s="5763"/>
      <c r="I1" s="5763"/>
      <c r="J1" s="5763"/>
      <c r="K1" s="5763"/>
      <c r="L1" s="5763"/>
      <c r="M1" s="5763"/>
      <c r="N1" s="3539"/>
    </row>
    <row r="2" spans="1:14" ht="18.75" x14ac:dyDescent="0.3">
      <c r="A2" s="4417"/>
      <c r="B2" s="4417"/>
      <c r="C2" s="4417"/>
      <c r="D2" s="4417"/>
      <c r="E2" s="4417"/>
      <c r="F2" s="4417"/>
      <c r="G2" s="4417"/>
      <c r="H2" s="4417"/>
      <c r="I2" s="4417"/>
      <c r="J2" s="4417"/>
      <c r="K2" s="4417"/>
      <c r="L2" s="4417"/>
      <c r="M2" s="4417"/>
      <c r="N2" s="3539"/>
    </row>
    <row r="3" spans="1:14" x14ac:dyDescent="0.25">
      <c r="A3" s="5771" t="s">
        <v>51</v>
      </c>
      <c r="B3" s="5771" t="s">
        <v>702</v>
      </c>
      <c r="C3" s="5772" t="s">
        <v>1439</v>
      </c>
      <c r="D3" s="5773"/>
      <c r="E3" s="5773"/>
      <c r="F3" s="4532"/>
      <c r="G3" s="4533"/>
      <c r="H3" s="5772" t="s">
        <v>1440</v>
      </c>
      <c r="I3" s="5773"/>
      <c r="J3" s="5773"/>
      <c r="K3" s="5773"/>
      <c r="L3" s="5773"/>
      <c r="M3" s="5774"/>
      <c r="N3" s="4533"/>
    </row>
    <row r="4" spans="1:14" ht="30" x14ac:dyDescent="0.25">
      <c r="A4" s="5771"/>
      <c r="B4" s="5771"/>
      <c r="C4" s="4534" t="s">
        <v>824</v>
      </c>
      <c r="D4" s="4534" t="s">
        <v>632</v>
      </c>
      <c r="E4" s="4534" t="s">
        <v>633</v>
      </c>
      <c r="F4" s="4535" t="s">
        <v>12</v>
      </c>
      <c r="G4" s="4533"/>
      <c r="H4" s="4534" t="s">
        <v>1238</v>
      </c>
      <c r="I4" s="4534" t="s">
        <v>1222</v>
      </c>
      <c r="J4" s="4534" t="s">
        <v>1224</v>
      </c>
      <c r="K4" s="4534" t="s">
        <v>1228</v>
      </c>
      <c r="L4" s="4536" t="s">
        <v>12</v>
      </c>
      <c r="M4" s="4534" t="s">
        <v>1129</v>
      </c>
      <c r="N4" s="4537" t="s">
        <v>1130</v>
      </c>
    </row>
    <row r="5" spans="1:14" x14ac:dyDescent="0.25">
      <c r="A5" s="3351"/>
      <c r="B5" s="3351"/>
      <c r="C5" s="4533"/>
      <c r="D5" s="4533"/>
      <c r="E5" s="4533"/>
      <c r="F5" s="3351"/>
      <c r="G5" s="4533"/>
      <c r="H5" s="3351"/>
      <c r="I5" s="4533"/>
      <c r="J5" s="4533"/>
      <c r="K5" s="4533"/>
      <c r="L5" s="3351"/>
      <c r="M5" s="3351"/>
      <c r="N5" s="4538"/>
    </row>
    <row r="6" spans="1:14" x14ac:dyDescent="0.25">
      <c r="A6" s="5775" t="s">
        <v>3</v>
      </c>
      <c r="B6" s="3353" t="s">
        <v>5</v>
      </c>
      <c r="C6" s="4539"/>
      <c r="D6" s="4540">
        <v>5</v>
      </c>
      <c r="E6" s="4540">
        <v>4</v>
      </c>
      <c r="F6" s="4541">
        <f>SUM(C6:E6)</f>
        <v>9</v>
      </c>
      <c r="G6" s="4533"/>
      <c r="H6" s="4542"/>
      <c r="I6" s="4543">
        <v>2</v>
      </c>
      <c r="J6" s="4542">
        <v>2</v>
      </c>
      <c r="K6" s="4544">
        <v>3</v>
      </c>
      <c r="L6" s="4541">
        <f>SUM(H6:K6)</f>
        <v>7</v>
      </c>
      <c r="M6" s="3556">
        <f>L6/F6</f>
        <v>0.77777777777777779</v>
      </c>
      <c r="N6" s="3557">
        <f>1-M6</f>
        <v>0.22222222222222221</v>
      </c>
    </row>
    <row r="7" spans="1:14" x14ac:dyDescent="0.25">
      <c r="A7" s="5404"/>
      <c r="B7" s="3357" t="s">
        <v>6</v>
      </c>
      <c r="C7" s="4545">
        <v>3</v>
      </c>
      <c r="D7" s="4546">
        <v>5</v>
      </c>
      <c r="E7" s="4546">
        <v>2</v>
      </c>
      <c r="F7" s="4547">
        <f>SUM(C7:E7)</f>
        <v>10</v>
      </c>
      <c r="G7" s="4533"/>
      <c r="H7" s="4548"/>
      <c r="I7" s="4549">
        <v>3</v>
      </c>
      <c r="J7" s="4550">
        <v>4</v>
      </c>
      <c r="K7" s="4551">
        <v>1</v>
      </c>
      <c r="L7" s="4547">
        <f>SUM(H7:K7)</f>
        <v>8</v>
      </c>
      <c r="M7" s="3566">
        <f t="shared" ref="M7:M30" si="0">L7/F7</f>
        <v>0.8</v>
      </c>
      <c r="N7" s="3567">
        <f t="shared" ref="N7:N30" si="1">1-M7</f>
        <v>0.19999999999999996</v>
      </c>
    </row>
    <row r="8" spans="1:14" x14ac:dyDescent="0.25">
      <c r="A8" s="5404"/>
      <c r="B8" s="3361" t="s">
        <v>7</v>
      </c>
      <c r="C8" s="4552">
        <v>1</v>
      </c>
      <c r="D8" s="4553">
        <v>6</v>
      </c>
      <c r="E8" s="4553">
        <v>3</v>
      </c>
      <c r="F8" s="4554">
        <f>SUM(C8:E8)</f>
        <v>10</v>
      </c>
      <c r="G8" s="4533"/>
      <c r="H8" s="4555"/>
      <c r="I8" s="4556"/>
      <c r="J8" s="4555">
        <v>3</v>
      </c>
      <c r="K8" s="4557"/>
      <c r="L8" s="4554">
        <f>SUM(H8:K8)</f>
        <v>3</v>
      </c>
      <c r="M8" s="3575">
        <f t="shared" si="0"/>
        <v>0.3</v>
      </c>
      <c r="N8" s="3576">
        <f t="shared" si="1"/>
        <v>0.7</v>
      </c>
    </row>
    <row r="9" spans="1:14" x14ac:dyDescent="0.25">
      <c r="A9" s="5405"/>
      <c r="B9" s="4558" t="s">
        <v>12</v>
      </c>
      <c r="C9" s="4558">
        <f>SUM(C6:C8)</f>
        <v>4</v>
      </c>
      <c r="D9" s="4558">
        <f>SUM(D6:D8)</f>
        <v>16</v>
      </c>
      <c r="E9" s="4558">
        <f>SUM(E6:E8)</f>
        <v>9</v>
      </c>
      <c r="F9" s="4559">
        <f t="shared" ref="F9" si="2">SUM(F6:F8)</f>
        <v>29</v>
      </c>
      <c r="G9" s="4533"/>
      <c r="H9" s="4559">
        <f>SUM(H6:H8)</f>
        <v>0</v>
      </c>
      <c r="I9" s="4560">
        <f>SUM(I6:I8)</f>
        <v>5</v>
      </c>
      <c r="J9" s="4560">
        <f t="shared" ref="J9:K9" si="3">SUM(J6:J8)</f>
        <v>9</v>
      </c>
      <c r="K9" s="4560">
        <f t="shared" si="3"/>
        <v>4</v>
      </c>
      <c r="L9" s="4559">
        <f>SUM(L6:L8)</f>
        <v>18</v>
      </c>
      <c r="M9" s="4561">
        <f t="shared" si="0"/>
        <v>0.62068965517241381</v>
      </c>
      <c r="N9" s="4562">
        <f t="shared" si="1"/>
        <v>0.37931034482758619</v>
      </c>
    </row>
    <row r="10" spans="1:14" x14ac:dyDescent="0.25">
      <c r="A10" s="4563"/>
      <c r="B10" s="4563"/>
      <c r="C10" s="4563"/>
      <c r="D10" s="4563"/>
      <c r="E10" s="4563"/>
      <c r="F10" s="4563"/>
      <c r="G10" s="4563"/>
      <c r="H10" s="4563"/>
      <c r="I10" s="4563"/>
      <c r="J10" s="4563"/>
      <c r="K10" s="4563"/>
      <c r="L10" s="4563"/>
      <c r="M10" s="4563"/>
      <c r="N10" s="4563"/>
    </row>
    <row r="11" spans="1:14" x14ac:dyDescent="0.25">
      <c r="A11" s="5776" t="s">
        <v>8</v>
      </c>
      <c r="B11" s="3353" t="s">
        <v>6</v>
      </c>
      <c r="C11" s="4539"/>
      <c r="D11" s="4540">
        <v>1</v>
      </c>
      <c r="E11" s="4540">
        <v>1</v>
      </c>
      <c r="F11" s="4541">
        <f>SUM(C11:E11)</f>
        <v>2</v>
      </c>
      <c r="G11" s="4533"/>
      <c r="H11" s="4542"/>
      <c r="I11" s="4543"/>
      <c r="J11" s="4542">
        <v>1</v>
      </c>
      <c r="K11" s="4564">
        <v>1</v>
      </c>
      <c r="L11" s="4541">
        <f>SUM(H11:K11)</f>
        <v>2</v>
      </c>
      <c r="M11" s="3556">
        <f>L11/F11</f>
        <v>1</v>
      </c>
      <c r="N11" s="3557">
        <f>1-M11</f>
        <v>0</v>
      </c>
    </row>
    <row r="12" spans="1:14" x14ac:dyDescent="0.25">
      <c r="A12" s="5777"/>
      <c r="B12" s="3357" t="s">
        <v>9</v>
      </c>
      <c r="C12" s="4545"/>
      <c r="D12" s="4546">
        <v>1</v>
      </c>
      <c r="E12" s="4546"/>
      <c r="F12" s="4547">
        <f>SUM(C12:E12)</f>
        <v>1</v>
      </c>
      <c r="G12" s="4533"/>
      <c r="H12" s="4548"/>
      <c r="I12" s="4549"/>
      <c r="J12" s="4548"/>
      <c r="K12" s="4551">
        <v>1</v>
      </c>
      <c r="L12" s="4547">
        <f>SUM(H12:K12)</f>
        <v>1</v>
      </c>
      <c r="M12" s="3566">
        <f>L12/F12</f>
        <v>1</v>
      </c>
      <c r="N12" s="3567">
        <f>1-M12</f>
        <v>0</v>
      </c>
    </row>
    <row r="13" spans="1:14" x14ac:dyDescent="0.25">
      <c r="A13" s="5777"/>
      <c r="B13" s="3361" t="s">
        <v>74</v>
      </c>
      <c r="C13" s="4552">
        <v>1</v>
      </c>
      <c r="D13" s="4553">
        <v>1</v>
      </c>
      <c r="E13" s="4553">
        <v>1</v>
      </c>
      <c r="F13" s="4554">
        <f>SUM(C13:E13)</f>
        <v>3</v>
      </c>
      <c r="G13" s="4533"/>
      <c r="H13" s="4555"/>
      <c r="I13" s="4556"/>
      <c r="J13" s="4555"/>
      <c r="K13" s="4557">
        <v>2</v>
      </c>
      <c r="L13" s="4554">
        <f>SUM(H13:K13)</f>
        <v>2</v>
      </c>
      <c r="M13" s="3575">
        <f>L13/F13</f>
        <v>0.66666666666666663</v>
      </c>
      <c r="N13" s="3576">
        <f>1-M13</f>
        <v>0.33333333333333337</v>
      </c>
    </row>
    <row r="14" spans="1:14" x14ac:dyDescent="0.25">
      <c r="A14" s="5778"/>
      <c r="B14" s="4558" t="s">
        <v>12</v>
      </c>
      <c r="C14" s="4558">
        <f>SUM(C11:C13)</f>
        <v>1</v>
      </c>
      <c r="D14" s="4558">
        <f>SUM(D11:D13)</f>
        <v>3</v>
      </c>
      <c r="E14" s="4558">
        <f>SUM(E11:E13)</f>
        <v>2</v>
      </c>
      <c r="F14" s="4559">
        <f>SUM(F11:F13)</f>
        <v>6</v>
      </c>
      <c r="G14" s="4533"/>
      <c r="H14" s="4560">
        <f>SUM(H11:H13)</f>
        <v>0</v>
      </c>
      <c r="I14" s="4560">
        <f>SUM(I11:I13)</f>
        <v>0</v>
      </c>
      <c r="J14" s="4560">
        <f>SUM(J11:J13)</f>
        <v>1</v>
      </c>
      <c r="K14" s="4560">
        <f>SUM(K11:K13)</f>
        <v>4</v>
      </c>
      <c r="L14" s="4560">
        <f>SUM(L11:L13)</f>
        <v>5</v>
      </c>
      <c r="M14" s="4561">
        <f>L14/F14</f>
        <v>0.83333333333333337</v>
      </c>
      <c r="N14" s="4562">
        <f>1-M14</f>
        <v>0.16666666666666663</v>
      </c>
    </row>
    <row r="15" spans="1:14" x14ac:dyDescent="0.25">
      <c r="A15" s="4533"/>
      <c r="B15" s="4533"/>
      <c r="C15" s="4533"/>
      <c r="D15" s="4533"/>
      <c r="E15" s="4533"/>
      <c r="F15" s="4565"/>
      <c r="G15" s="4533"/>
      <c r="H15" s="4533"/>
      <c r="I15" s="4533"/>
      <c r="J15" s="4533"/>
      <c r="K15" s="4533"/>
      <c r="L15" s="3373"/>
      <c r="M15" s="4533"/>
      <c r="N15" s="4566"/>
    </row>
    <row r="16" spans="1:14" x14ac:dyDescent="0.25">
      <c r="A16" s="5743" t="s">
        <v>75</v>
      </c>
      <c r="B16" s="3353" t="s">
        <v>5</v>
      </c>
      <c r="C16" s="4539"/>
      <c r="D16" s="4540">
        <v>8</v>
      </c>
      <c r="E16" s="4540">
        <v>7</v>
      </c>
      <c r="F16" s="4541">
        <f>SUM(C16:E16)</f>
        <v>15</v>
      </c>
      <c r="G16" s="4533"/>
      <c r="H16" s="4542"/>
      <c r="I16" s="4567">
        <v>9</v>
      </c>
      <c r="J16" s="4568">
        <v>2</v>
      </c>
      <c r="K16" s="4564">
        <v>2</v>
      </c>
      <c r="L16" s="4541">
        <f t="shared" ref="L16:L23" si="4">SUM(I16:K16)</f>
        <v>13</v>
      </c>
      <c r="M16" s="3556">
        <f t="shared" si="0"/>
        <v>0.8666666666666667</v>
      </c>
      <c r="N16" s="3557">
        <f t="shared" si="1"/>
        <v>0.1333333333333333</v>
      </c>
    </row>
    <row r="17" spans="1:14" x14ac:dyDescent="0.25">
      <c r="A17" s="5410"/>
      <c r="B17" s="3357" t="s">
        <v>6</v>
      </c>
      <c r="C17" s="4545">
        <v>1</v>
      </c>
      <c r="D17" s="4546">
        <v>3</v>
      </c>
      <c r="E17" s="4546">
        <v>3</v>
      </c>
      <c r="F17" s="4547">
        <f>SUM(C17:E17)</f>
        <v>7</v>
      </c>
      <c r="G17" s="4533"/>
      <c r="H17" s="4548">
        <v>3</v>
      </c>
      <c r="I17" s="4549">
        <v>1</v>
      </c>
      <c r="J17" s="4548">
        <v>2</v>
      </c>
      <c r="K17" s="4551"/>
      <c r="L17" s="4547">
        <f>SUM(H17:K17)</f>
        <v>6</v>
      </c>
      <c r="M17" s="3566">
        <f t="shared" si="0"/>
        <v>0.8571428571428571</v>
      </c>
      <c r="N17" s="3567">
        <f t="shared" si="1"/>
        <v>0.1428571428571429</v>
      </c>
    </row>
    <row r="18" spans="1:14" x14ac:dyDescent="0.25">
      <c r="A18" s="5410"/>
      <c r="B18" s="3361" t="s">
        <v>11</v>
      </c>
      <c r="C18" s="4552">
        <v>2</v>
      </c>
      <c r="D18" s="4553">
        <v>4</v>
      </c>
      <c r="E18" s="4553">
        <v>2</v>
      </c>
      <c r="F18" s="4554">
        <f>SUM(C18:E18)</f>
        <v>8</v>
      </c>
      <c r="G18" s="4533"/>
      <c r="H18" s="4555">
        <v>2</v>
      </c>
      <c r="I18" s="4556">
        <v>3</v>
      </c>
      <c r="J18" s="4555"/>
      <c r="K18" s="4557">
        <v>1</v>
      </c>
      <c r="L18" s="4554">
        <f>SUM(H18:K18)</f>
        <v>6</v>
      </c>
      <c r="M18" s="3575">
        <f t="shared" si="0"/>
        <v>0.75</v>
      </c>
      <c r="N18" s="3576">
        <f t="shared" si="1"/>
        <v>0.25</v>
      </c>
    </row>
    <row r="19" spans="1:14" x14ac:dyDescent="0.25">
      <c r="A19" s="5411"/>
      <c r="B19" s="4558" t="s">
        <v>12</v>
      </c>
      <c r="C19" s="4558">
        <f>SUM(C16:C18)</f>
        <v>3</v>
      </c>
      <c r="D19" s="4558">
        <f>SUM(D16:D18)</f>
        <v>15</v>
      </c>
      <c r="E19" s="4558">
        <f>SUM(E16:E18)</f>
        <v>12</v>
      </c>
      <c r="F19" s="4559">
        <f>SUM(F16:F18)</f>
        <v>30</v>
      </c>
      <c r="G19" s="4533"/>
      <c r="H19" s="4560">
        <f>SUM(H16:H18)</f>
        <v>5</v>
      </c>
      <c r="I19" s="4560">
        <f>SUM(I16:I18)</f>
        <v>13</v>
      </c>
      <c r="J19" s="4560">
        <f>SUM(J16:J18)</f>
        <v>4</v>
      </c>
      <c r="K19" s="4560">
        <f>SUM(K16:K18)</f>
        <v>3</v>
      </c>
      <c r="L19" s="4560">
        <f>SUM(L16:L18)</f>
        <v>25</v>
      </c>
      <c r="M19" s="4561">
        <f t="shared" si="0"/>
        <v>0.83333333333333337</v>
      </c>
      <c r="N19" s="4562">
        <f t="shared" si="1"/>
        <v>0.16666666666666663</v>
      </c>
    </row>
    <row r="20" spans="1:14" x14ac:dyDescent="0.25">
      <c r="A20" s="3371"/>
      <c r="B20" s="3372"/>
      <c r="C20" s="4569"/>
      <c r="D20" s="4569"/>
      <c r="E20" s="4569"/>
      <c r="F20" s="4570"/>
      <c r="G20" s="4533"/>
      <c r="H20" s="4571"/>
      <c r="I20" s="4571"/>
      <c r="J20" s="4571"/>
      <c r="K20" s="3594"/>
      <c r="L20" s="3595"/>
      <c r="M20" s="3596"/>
      <c r="N20" s="3597"/>
    </row>
    <row r="21" spans="1:14" x14ac:dyDescent="0.25">
      <c r="A21" s="5744" t="s">
        <v>10</v>
      </c>
      <c r="B21" s="3353" t="s">
        <v>6</v>
      </c>
      <c r="C21" s="4539">
        <v>1</v>
      </c>
      <c r="D21" s="4540">
        <v>8</v>
      </c>
      <c r="E21" s="4540">
        <v>2</v>
      </c>
      <c r="F21" s="4541">
        <f>SUM(C21:E21)</f>
        <v>11</v>
      </c>
      <c r="G21" s="4533"/>
      <c r="H21" s="4542"/>
      <c r="I21" s="4543">
        <v>5</v>
      </c>
      <c r="J21" s="4542">
        <v>4</v>
      </c>
      <c r="K21" s="4564">
        <v>1</v>
      </c>
      <c r="L21" s="4541">
        <f t="shared" si="4"/>
        <v>10</v>
      </c>
      <c r="M21" s="3556">
        <f t="shared" si="0"/>
        <v>0.90909090909090906</v>
      </c>
      <c r="N21" s="3557">
        <f t="shared" si="1"/>
        <v>9.0909090909090939E-2</v>
      </c>
    </row>
    <row r="22" spans="1:14" x14ac:dyDescent="0.25">
      <c r="A22" s="5416"/>
      <c r="B22" s="3357" t="s">
        <v>11</v>
      </c>
      <c r="C22" s="4545">
        <v>3</v>
      </c>
      <c r="D22" s="4546">
        <v>8</v>
      </c>
      <c r="E22" s="4546">
        <v>2</v>
      </c>
      <c r="F22" s="4547">
        <f>SUM(C22:E22)</f>
        <v>13</v>
      </c>
      <c r="G22" s="4533"/>
      <c r="H22" s="4548"/>
      <c r="I22" s="4549">
        <v>5</v>
      </c>
      <c r="J22" s="4548">
        <v>2</v>
      </c>
      <c r="K22" s="4551">
        <v>1</v>
      </c>
      <c r="L22" s="4547">
        <f t="shared" si="4"/>
        <v>8</v>
      </c>
      <c r="M22" s="3566">
        <f t="shared" si="0"/>
        <v>0.61538461538461542</v>
      </c>
      <c r="N22" s="3567">
        <f t="shared" si="1"/>
        <v>0.38461538461538458</v>
      </c>
    </row>
    <row r="23" spans="1:14" x14ac:dyDescent="0.25">
      <c r="A23" s="5416"/>
      <c r="B23" s="3361" t="s">
        <v>7</v>
      </c>
      <c r="C23" s="4552"/>
      <c r="D23" s="4553">
        <v>3</v>
      </c>
      <c r="E23" s="4553">
        <v>1</v>
      </c>
      <c r="F23" s="4554">
        <f>SUM(C23:E23)</f>
        <v>4</v>
      </c>
      <c r="G23" s="4533"/>
      <c r="H23" s="4555"/>
      <c r="I23" s="4556">
        <v>1</v>
      </c>
      <c r="J23" s="4555">
        <v>1</v>
      </c>
      <c r="K23" s="4557"/>
      <c r="L23" s="4554">
        <f t="shared" si="4"/>
        <v>2</v>
      </c>
      <c r="M23" s="3575">
        <f t="shared" si="0"/>
        <v>0.5</v>
      </c>
      <c r="N23" s="3576">
        <f t="shared" si="1"/>
        <v>0.5</v>
      </c>
    </row>
    <row r="24" spans="1:14" x14ac:dyDescent="0.25">
      <c r="A24" s="5417"/>
      <c r="B24" s="4558" t="s">
        <v>12</v>
      </c>
      <c r="C24" s="4558">
        <f>SUM(C21:C23)</f>
        <v>4</v>
      </c>
      <c r="D24" s="4558">
        <f>SUM(D21:D23)</f>
        <v>19</v>
      </c>
      <c r="E24" s="4558">
        <f>SUM(E21:E23)</f>
        <v>5</v>
      </c>
      <c r="F24" s="4559">
        <f>SUM(F21:F23)</f>
        <v>28</v>
      </c>
      <c r="G24" s="4533"/>
      <c r="H24" s="4560">
        <f>SUM(H21:H23)</f>
        <v>0</v>
      </c>
      <c r="I24" s="4560">
        <f>SUM(I21:I23)</f>
        <v>11</v>
      </c>
      <c r="J24" s="4560">
        <f>SUM(J21:J23)</f>
        <v>7</v>
      </c>
      <c r="K24" s="4560">
        <f>SUM(K21:K23)</f>
        <v>2</v>
      </c>
      <c r="L24" s="4560">
        <f>SUM(L21:L23)</f>
        <v>20</v>
      </c>
      <c r="M24" s="4561">
        <f t="shared" si="0"/>
        <v>0.7142857142857143</v>
      </c>
      <c r="N24" s="4562">
        <f t="shared" si="1"/>
        <v>0.2857142857142857</v>
      </c>
    </row>
    <row r="25" spans="1:14" x14ac:dyDescent="0.25">
      <c r="A25" s="4572"/>
      <c r="B25" s="4572"/>
      <c r="C25" s="4572"/>
      <c r="D25" s="4572"/>
      <c r="E25" s="4572"/>
      <c r="F25" s="4572"/>
      <c r="G25" s="4572"/>
      <c r="H25" s="4572"/>
      <c r="I25" s="4572"/>
      <c r="J25" s="4572"/>
      <c r="K25" s="4572"/>
      <c r="L25" s="4572"/>
      <c r="M25" s="4572"/>
      <c r="N25" s="4573"/>
    </row>
    <row r="26" spans="1:14" x14ac:dyDescent="0.25">
      <c r="A26" s="5745" t="s">
        <v>1235</v>
      </c>
      <c r="B26" s="3353" t="s">
        <v>6</v>
      </c>
      <c r="C26" s="4539"/>
      <c r="D26" s="4540">
        <v>2</v>
      </c>
      <c r="E26" s="4540">
        <v>2</v>
      </c>
      <c r="F26" s="4541">
        <f>SUM(C26:E26)</f>
        <v>4</v>
      </c>
      <c r="G26" s="4533"/>
      <c r="H26" s="4542"/>
      <c r="I26" s="4543">
        <v>3</v>
      </c>
      <c r="J26" s="4542">
        <v>1</v>
      </c>
      <c r="K26" s="4564"/>
      <c r="L26" s="4541">
        <f>SUM(H26:K26)</f>
        <v>4</v>
      </c>
      <c r="M26" s="3556">
        <f>L26/F26</f>
        <v>1</v>
      </c>
      <c r="N26" s="3557">
        <f>1-M26</f>
        <v>0</v>
      </c>
    </row>
    <row r="27" spans="1:14" x14ac:dyDescent="0.25">
      <c r="A27" s="5746"/>
      <c r="B27" s="3357" t="s">
        <v>1236</v>
      </c>
      <c r="C27" s="4545"/>
      <c r="D27" s="4546"/>
      <c r="E27" s="4546">
        <v>1</v>
      </c>
      <c r="F27" s="4547">
        <f>SUM(C27:E27)</f>
        <v>1</v>
      </c>
      <c r="G27" s="4533"/>
      <c r="H27" s="4548"/>
      <c r="I27" s="4549">
        <v>1</v>
      </c>
      <c r="J27" s="4548"/>
      <c r="K27" s="4551"/>
      <c r="L27" s="4547">
        <f>SUM(H27:K27)</f>
        <v>1</v>
      </c>
      <c r="M27" s="3566">
        <f>L27/F27</f>
        <v>1</v>
      </c>
      <c r="N27" s="3567">
        <f>1-M27</f>
        <v>0</v>
      </c>
    </row>
    <row r="28" spans="1:14" x14ac:dyDescent="0.25">
      <c r="A28" s="5747"/>
      <c r="B28" s="4558" t="s">
        <v>12</v>
      </c>
      <c r="C28" s="4558">
        <f>SUM(C26:C27)</f>
        <v>0</v>
      </c>
      <c r="D28" s="4558">
        <f>SUM(D26:D27)</f>
        <v>2</v>
      </c>
      <c r="E28" s="4558">
        <f>SUM(E26:E27)</f>
        <v>3</v>
      </c>
      <c r="F28" s="4559">
        <f>SUM(F26:F27)</f>
        <v>5</v>
      </c>
      <c r="G28" s="4533"/>
      <c r="H28" s="4560">
        <f>SUM(H26:H27)</f>
        <v>0</v>
      </c>
      <c r="I28" s="4560">
        <f>SUM(I26:I27)</f>
        <v>4</v>
      </c>
      <c r="J28" s="4560">
        <f>SUM(J26:J27)</f>
        <v>1</v>
      </c>
      <c r="K28" s="4560">
        <f>SUM(K26:K27)</f>
        <v>0</v>
      </c>
      <c r="L28" s="4560">
        <f>SUM(L26:L27)</f>
        <v>5</v>
      </c>
      <c r="M28" s="4561">
        <f>L28/F28</f>
        <v>1</v>
      </c>
      <c r="N28" s="4562">
        <f>1-M28</f>
        <v>0</v>
      </c>
    </row>
    <row r="29" spans="1:14" x14ac:dyDescent="0.25">
      <c r="A29" s="3372"/>
      <c r="B29" s="3372"/>
      <c r="C29" s="4569"/>
      <c r="D29" s="4569"/>
      <c r="E29" s="4569"/>
      <c r="F29" s="4570"/>
      <c r="G29" s="4533"/>
      <c r="H29" s="4571"/>
      <c r="I29" s="4571"/>
      <c r="J29" s="4571"/>
      <c r="K29" s="3594"/>
      <c r="L29" s="3595"/>
      <c r="M29" s="3596"/>
      <c r="N29" s="3597"/>
    </row>
    <row r="30" spans="1:14" x14ac:dyDescent="0.25">
      <c r="A30" s="5748" t="s">
        <v>60</v>
      </c>
      <c r="B30" s="5748"/>
      <c r="C30" s="4558">
        <f>SUM(C9,C19,C24,C14,C28)</f>
        <v>12</v>
      </c>
      <c r="D30" s="4558">
        <f>SUM(D9,D19,D24,D14,D28)</f>
        <v>55</v>
      </c>
      <c r="E30" s="4558">
        <f>SUM(E9,E19,E24,E14,E28)</f>
        <v>31</v>
      </c>
      <c r="F30" s="4558">
        <f>SUM(F9,F19,F24,F14,F28)</f>
        <v>98</v>
      </c>
      <c r="G30" s="4533"/>
      <c r="H30" s="4559">
        <f>SUM(H9,H19,H24,H14,H28)</f>
        <v>5</v>
      </c>
      <c r="I30" s="4559">
        <f>SUM(I9,I19,I24,I14,I28)</f>
        <v>33</v>
      </c>
      <c r="J30" s="4559">
        <f>SUM(J9,J19,J24,J14,J28)</f>
        <v>22</v>
      </c>
      <c r="K30" s="4559">
        <f>SUM(K9,K19,K24,K14,K28)</f>
        <v>13</v>
      </c>
      <c r="L30" s="4559">
        <f>SUM(L9,L19,L24,L14,L28)</f>
        <v>73</v>
      </c>
      <c r="M30" s="4574">
        <f t="shared" si="0"/>
        <v>0.74489795918367352</v>
      </c>
      <c r="N30" s="4562">
        <f t="shared" si="1"/>
        <v>0.25510204081632648</v>
      </c>
    </row>
    <row r="31" spans="1:14" x14ac:dyDescent="0.25">
      <c r="A31" s="4533"/>
      <c r="B31" s="4533"/>
      <c r="C31" s="4533"/>
      <c r="D31" s="4533"/>
      <c r="E31" s="4533"/>
      <c r="F31" s="4533"/>
      <c r="G31" s="4533"/>
      <c r="H31" s="4533"/>
      <c r="I31" s="4533"/>
      <c r="J31" s="4533"/>
      <c r="K31" s="4533"/>
      <c r="L31" s="4533"/>
      <c r="M31" s="4533"/>
      <c r="N31" s="4575"/>
    </row>
    <row r="32" spans="1:14" ht="15.75" thickBot="1" x14ac:dyDescent="0.3">
      <c r="A32" s="5749" t="s">
        <v>1237</v>
      </c>
      <c r="B32" s="5750"/>
      <c r="C32" s="4576">
        <v>2</v>
      </c>
      <c r="D32" s="4577">
        <v>46</v>
      </c>
      <c r="E32" s="4577">
        <v>25</v>
      </c>
      <c r="F32" s="4578">
        <f>SUM(C32:E32)</f>
        <v>73</v>
      </c>
      <c r="G32" s="4533"/>
      <c r="H32" s="4533"/>
      <c r="I32" s="4533"/>
      <c r="J32" s="5741" t="s">
        <v>1239</v>
      </c>
      <c r="K32" s="5742"/>
      <c r="L32" s="4579">
        <f>F30-L30</f>
        <v>25</v>
      </c>
      <c r="M32" s="4533"/>
      <c r="N32" s="4575"/>
    </row>
    <row r="33" spans="1:15" ht="18.75" x14ac:dyDescent="0.3">
      <c r="A33" s="4417"/>
      <c r="B33" s="4417"/>
      <c r="C33" s="4417"/>
      <c r="D33" s="4417"/>
      <c r="E33" s="4417"/>
      <c r="F33" s="4417"/>
      <c r="G33" s="4417"/>
      <c r="H33" s="4417"/>
      <c r="I33" s="4417"/>
      <c r="J33" s="4417"/>
      <c r="K33" s="4417"/>
      <c r="L33" s="4417"/>
      <c r="M33" s="4417"/>
      <c r="N33" s="3539"/>
    </row>
    <row r="34" spans="1:15" ht="18.75" x14ac:dyDescent="0.3">
      <c r="A34" s="4417"/>
      <c r="B34" s="4417"/>
      <c r="C34" s="4417"/>
      <c r="D34" s="4417"/>
      <c r="E34" s="4417"/>
      <c r="F34" s="4417"/>
      <c r="G34" s="4417"/>
      <c r="H34" s="4417"/>
      <c r="I34" s="4417"/>
      <c r="J34" s="4417"/>
      <c r="K34" s="4417"/>
      <c r="L34" s="4417"/>
      <c r="M34" s="4417"/>
      <c r="N34" s="3539"/>
    </row>
    <row r="35" spans="1:15" ht="18.75" x14ac:dyDescent="0.3">
      <c r="A35" s="4417"/>
      <c r="B35" s="4417"/>
      <c r="C35" s="4417"/>
      <c r="D35" s="4417"/>
      <c r="E35" s="4417"/>
      <c r="F35" s="4417"/>
      <c r="G35" s="4417"/>
      <c r="H35" s="4417"/>
      <c r="I35" s="4417"/>
      <c r="J35" s="4417"/>
      <c r="K35" s="4417"/>
      <c r="L35" s="4417"/>
      <c r="M35" s="4417"/>
      <c r="N35" s="3539"/>
    </row>
    <row r="36" spans="1:15" x14ac:dyDescent="0.25">
      <c r="A36" s="5764" t="s">
        <v>51</v>
      </c>
      <c r="B36" s="5764" t="s">
        <v>702</v>
      </c>
      <c r="C36" s="5765" t="s">
        <v>1240</v>
      </c>
      <c r="D36" s="5766"/>
      <c r="E36" s="5766"/>
      <c r="F36" s="5767"/>
      <c r="G36" s="3541"/>
      <c r="H36" s="5765" t="s">
        <v>1241</v>
      </c>
      <c r="I36" s="5766"/>
      <c r="J36" s="5766"/>
      <c r="K36" s="5766"/>
      <c r="L36" s="5766"/>
      <c r="M36" s="5767"/>
      <c r="N36" s="3541"/>
    </row>
    <row r="37" spans="1:15" ht="30" customHeight="1" x14ac:dyDescent="0.25">
      <c r="A37" s="5764"/>
      <c r="B37" s="5764"/>
      <c r="C37" s="3542" t="s">
        <v>824</v>
      </c>
      <c r="D37" s="3542" t="s">
        <v>632</v>
      </c>
      <c r="E37" s="3542" t="s">
        <v>633</v>
      </c>
      <c r="F37" s="3543" t="s">
        <v>12</v>
      </c>
      <c r="G37" s="3541"/>
      <c r="H37" s="3544" t="s">
        <v>1238</v>
      </c>
      <c r="I37" s="3544" t="s">
        <v>1222</v>
      </c>
      <c r="J37" s="3544" t="s">
        <v>1224</v>
      </c>
      <c r="K37" s="3544" t="s">
        <v>1228</v>
      </c>
      <c r="L37" s="3545" t="s">
        <v>12</v>
      </c>
      <c r="M37" s="3544" t="s">
        <v>1129</v>
      </c>
      <c r="N37" s="3546" t="s">
        <v>1130</v>
      </c>
    </row>
    <row r="38" spans="1:15" x14ac:dyDescent="0.25">
      <c r="A38" s="3547"/>
      <c r="B38" s="3547"/>
      <c r="C38" s="3541"/>
      <c r="D38" s="3541"/>
      <c r="E38" s="3541"/>
      <c r="F38" s="3547"/>
      <c r="G38" s="3541"/>
      <c r="H38" s="3547"/>
      <c r="I38" s="3541"/>
      <c r="J38" s="3541"/>
      <c r="K38" s="3541"/>
      <c r="L38" s="3547"/>
      <c r="M38" s="3547"/>
      <c r="N38" s="3548"/>
    </row>
    <row r="39" spans="1:15" x14ac:dyDescent="0.25">
      <c r="A39" s="5768" t="s">
        <v>3</v>
      </c>
      <c r="B39" s="3549" t="s">
        <v>5</v>
      </c>
      <c r="C39" s="3550"/>
      <c r="D39" s="3551">
        <v>5</v>
      </c>
      <c r="E39" s="3551">
        <v>4</v>
      </c>
      <c r="F39" s="3552">
        <f>SUM(C39:E39)</f>
        <v>9</v>
      </c>
      <c r="G39" s="3541"/>
      <c r="H39" s="3553"/>
      <c r="I39" s="3554">
        <v>2</v>
      </c>
      <c r="J39" s="3553">
        <v>2</v>
      </c>
      <c r="K39" s="3555">
        <v>3</v>
      </c>
      <c r="L39" s="3552">
        <f>SUM(H39:K39)</f>
        <v>7</v>
      </c>
      <c r="M39" s="3556">
        <f>L39/F39</f>
        <v>0.77777777777777779</v>
      </c>
      <c r="N39" s="3557">
        <f>1-M39</f>
        <v>0.22222222222222221</v>
      </c>
    </row>
    <row r="40" spans="1:15" x14ac:dyDescent="0.25">
      <c r="A40" s="5769"/>
      <c r="B40" s="3558" t="s">
        <v>6</v>
      </c>
      <c r="C40" s="3559">
        <v>3</v>
      </c>
      <c r="D40" s="3560">
        <v>5</v>
      </c>
      <c r="E40" s="3560">
        <v>2</v>
      </c>
      <c r="F40" s="3561">
        <f>SUM(C40:E40)</f>
        <v>10</v>
      </c>
      <c r="G40" s="3541"/>
      <c r="H40" s="3562"/>
      <c r="I40" s="3563">
        <v>3</v>
      </c>
      <c r="J40" s="3564">
        <v>4</v>
      </c>
      <c r="K40" s="3565">
        <v>1</v>
      </c>
      <c r="L40" s="3561">
        <f>SUM(H40:K40)</f>
        <v>8</v>
      </c>
      <c r="M40" s="3566">
        <f t="shared" ref="M40:M63" si="5">L40/F40</f>
        <v>0.8</v>
      </c>
      <c r="N40" s="3567">
        <f t="shared" ref="N40:N63" si="6">1-M40</f>
        <v>0.19999999999999996</v>
      </c>
    </row>
    <row r="41" spans="1:15" x14ac:dyDescent="0.25">
      <c r="A41" s="5769"/>
      <c r="B41" s="3568" t="s">
        <v>7</v>
      </c>
      <c r="C41" s="3569">
        <v>1</v>
      </c>
      <c r="D41" s="3570">
        <v>1</v>
      </c>
      <c r="E41" s="3570">
        <v>1</v>
      </c>
      <c r="F41" s="3571">
        <f>SUM(C41:E41)</f>
        <v>3</v>
      </c>
      <c r="G41" s="3541"/>
      <c r="H41" s="3572"/>
      <c r="I41" s="3573"/>
      <c r="J41" s="3572">
        <v>3</v>
      </c>
      <c r="K41" s="3574"/>
      <c r="L41" s="3571">
        <f>SUM(H41:K41)</f>
        <v>3</v>
      </c>
      <c r="M41" s="3575">
        <f t="shared" si="5"/>
        <v>1</v>
      </c>
      <c r="N41" s="3576">
        <f t="shared" si="6"/>
        <v>0</v>
      </c>
    </row>
    <row r="42" spans="1:15" x14ac:dyDescent="0.25">
      <c r="A42" s="5770"/>
      <c r="B42" s="3577" t="s">
        <v>12</v>
      </c>
      <c r="C42" s="3577">
        <f>SUM(C39:C41)</f>
        <v>4</v>
      </c>
      <c r="D42" s="3577">
        <f>SUM(D39:D41)</f>
        <v>11</v>
      </c>
      <c r="E42" s="3577">
        <f>SUM(E39:E41)</f>
        <v>7</v>
      </c>
      <c r="F42" s="3578">
        <f t="shared" ref="F42:K42" si="7">SUM(F39:F41)</f>
        <v>22</v>
      </c>
      <c r="G42" s="3541"/>
      <c r="H42" s="3578">
        <f>SUM(H39:H41)</f>
        <v>0</v>
      </c>
      <c r="I42" s="3579">
        <f t="shared" si="7"/>
        <v>5</v>
      </c>
      <c r="J42" s="3578">
        <f t="shared" si="7"/>
        <v>9</v>
      </c>
      <c r="K42" s="3580">
        <f t="shared" si="7"/>
        <v>4</v>
      </c>
      <c r="L42" s="3578">
        <f>SUM(L39:L41)</f>
        <v>18</v>
      </c>
      <c r="M42" s="3581">
        <f t="shared" si="5"/>
        <v>0.81818181818181823</v>
      </c>
      <c r="N42" s="3582">
        <f t="shared" si="6"/>
        <v>0.18181818181818177</v>
      </c>
    </row>
    <row r="43" spans="1:15" x14ac:dyDescent="0.25">
      <c r="A43" s="3583"/>
      <c r="B43" s="3583"/>
      <c r="C43" s="3583"/>
      <c r="D43" s="3583"/>
      <c r="E43" s="3583"/>
      <c r="F43" s="3583"/>
      <c r="G43" s="3583"/>
      <c r="H43" s="3583"/>
      <c r="I43" s="3583"/>
      <c r="J43" s="3583"/>
      <c r="K43" s="3583"/>
      <c r="L43" s="3583"/>
      <c r="M43" s="3583"/>
      <c r="N43" s="3583"/>
      <c r="O43" s="3583"/>
    </row>
    <row r="44" spans="1:15" x14ac:dyDescent="0.25">
      <c r="A44" s="5751" t="s">
        <v>8</v>
      </c>
      <c r="B44" s="3549" t="s">
        <v>6</v>
      </c>
      <c r="C44" s="3550"/>
      <c r="D44" s="3551">
        <v>1</v>
      </c>
      <c r="E44" s="3551">
        <v>1</v>
      </c>
      <c r="F44" s="3552">
        <f>SUM(C44:E44)</f>
        <v>2</v>
      </c>
      <c r="G44" s="3541"/>
      <c r="H44" s="3553"/>
      <c r="I44" s="3554"/>
      <c r="J44" s="3553"/>
      <c r="K44" s="3584">
        <v>2</v>
      </c>
      <c r="L44" s="3552">
        <f>SUM(H44:K44)</f>
        <v>2</v>
      </c>
      <c r="M44" s="3556">
        <f>L44/F44</f>
        <v>1</v>
      </c>
      <c r="N44" s="3557">
        <f>1-M44</f>
        <v>0</v>
      </c>
    </row>
    <row r="45" spans="1:15" x14ac:dyDescent="0.25">
      <c r="A45" s="5752"/>
      <c r="B45" s="3558" t="s">
        <v>9</v>
      </c>
      <c r="C45" s="3559"/>
      <c r="D45" s="3560">
        <v>1</v>
      </c>
      <c r="E45" s="3560"/>
      <c r="F45" s="3561">
        <f>SUM(C45:E45)</f>
        <v>1</v>
      </c>
      <c r="G45" s="3541"/>
      <c r="H45" s="3562"/>
      <c r="I45" s="3563"/>
      <c r="J45" s="3562"/>
      <c r="K45" s="3565">
        <v>1</v>
      </c>
      <c r="L45" s="3561">
        <f>SUM(H45:K45)</f>
        <v>1</v>
      </c>
      <c r="M45" s="3566">
        <f>L45/F45</f>
        <v>1</v>
      </c>
      <c r="N45" s="3567">
        <f>1-M45</f>
        <v>0</v>
      </c>
    </row>
    <row r="46" spans="1:15" x14ac:dyDescent="0.25">
      <c r="A46" s="5752"/>
      <c r="B46" s="3568" t="s">
        <v>74</v>
      </c>
      <c r="C46" s="3569">
        <v>1</v>
      </c>
      <c r="D46" s="3570">
        <v>1</v>
      </c>
      <c r="E46" s="3570">
        <v>1</v>
      </c>
      <c r="F46" s="3571">
        <f>SUM(C46:E46)</f>
        <v>3</v>
      </c>
      <c r="G46" s="3541"/>
      <c r="H46" s="3572"/>
      <c r="I46" s="3573"/>
      <c r="J46" s="3572"/>
      <c r="K46" s="3574">
        <v>2</v>
      </c>
      <c r="L46" s="3571">
        <f>SUM(H46:K46)</f>
        <v>2</v>
      </c>
      <c r="M46" s="3575">
        <f>L46/F46</f>
        <v>0.66666666666666663</v>
      </c>
      <c r="N46" s="3576">
        <f>1-M46</f>
        <v>0.33333333333333337</v>
      </c>
    </row>
    <row r="47" spans="1:15" x14ac:dyDescent="0.25">
      <c r="A47" s="5753"/>
      <c r="B47" s="3577" t="s">
        <v>12</v>
      </c>
      <c r="C47" s="3577">
        <f>SUM(C44:C46)</f>
        <v>1</v>
      </c>
      <c r="D47" s="3577">
        <f>SUM(D44:D46)</f>
        <v>3</v>
      </c>
      <c r="E47" s="3577">
        <f>SUM(E44:E46)</f>
        <v>2</v>
      </c>
      <c r="F47" s="3578">
        <f>SUM(F44:F46)</f>
        <v>6</v>
      </c>
      <c r="G47" s="3541"/>
      <c r="H47" s="3579">
        <f>SUM(H44:H46)</f>
        <v>0</v>
      </c>
      <c r="I47" s="3579">
        <f>SUM(I44:I46)</f>
        <v>0</v>
      </c>
      <c r="J47" s="3579">
        <f>SUM(J44:J46)</f>
        <v>0</v>
      </c>
      <c r="K47" s="3579">
        <f>SUM(K44:K46)</f>
        <v>5</v>
      </c>
      <c r="L47" s="3579">
        <f>SUM(L44:L46)</f>
        <v>5</v>
      </c>
      <c r="M47" s="3581">
        <f>L47/F47</f>
        <v>0.83333333333333337</v>
      </c>
      <c r="N47" s="3582">
        <f>1-M47</f>
        <v>0.16666666666666663</v>
      </c>
    </row>
    <row r="48" spans="1:15" ht="15" customHeight="1" x14ac:dyDescent="0.25">
      <c r="A48" s="3541"/>
      <c r="B48" s="3541"/>
      <c r="C48" s="3541"/>
      <c r="D48" s="3541"/>
      <c r="E48" s="3541"/>
      <c r="F48" s="3585"/>
      <c r="G48" s="3541"/>
      <c r="H48" s="3541"/>
      <c r="I48" s="3541"/>
      <c r="J48" s="3541"/>
      <c r="K48" s="3541"/>
      <c r="L48" s="3586"/>
      <c r="M48" s="3541"/>
      <c r="N48" s="3587"/>
    </row>
    <row r="49" spans="1:15" x14ac:dyDescent="0.25">
      <c r="A49" s="5754" t="s">
        <v>75</v>
      </c>
      <c r="B49" s="3549" t="s">
        <v>5</v>
      </c>
      <c r="C49" s="3550"/>
      <c r="D49" s="3551">
        <v>8</v>
      </c>
      <c r="E49" s="3551">
        <v>7</v>
      </c>
      <c r="F49" s="3552">
        <f>SUM(C49:E49)</f>
        <v>15</v>
      </c>
      <c r="G49" s="3541"/>
      <c r="H49" s="3553"/>
      <c r="I49" s="3588">
        <v>9</v>
      </c>
      <c r="J49" s="3796">
        <v>2</v>
      </c>
      <c r="K49" s="3584">
        <v>2</v>
      </c>
      <c r="L49" s="3552">
        <f t="shared" ref="L49:L56" si="8">SUM(I49:K49)</f>
        <v>13</v>
      </c>
      <c r="M49" s="3556">
        <f t="shared" si="5"/>
        <v>0.8666666666666667</v>
      </c>
      <c r="N49" s="3557">
        <f t="shared" si="6"/>
        <v>0.1333333333333333</v>
      </c>
    </row>
    <row r="50" spans="1:15" x14ac:dyDescent="0.25">
      <c r="A50" s="5755"/>
      <c r="B50" s="3558" t="s">
        <v>6</v>
      </c>
      <c r="C50" s="3559">
        <v>1</v>
      </c>
      <c r="D50" s="3560">
        <v>3</v>
      </c>
      <c r="E50" s="3560">
        <v>3</v>
      </c>
      <c r="F50" s="3561">
        <f>SUM(C50:E50)</f>
        <v>7</v>
      </c>
      <c r="G50" s="3541"/>
      <c r="H50" s="3562">
        <v>3</v>
      </c>
      <c r="I50" s="3563">
        <v>1</v>
      </c>
      <c r="J50" s="3562">
        <v>2</v>
      </c>
      <c r="K50" s="3565"/>
      <c r="L50" s="3561">
        <f>SUM(H50:K50)</f>
        <v>6</v>
      </c>
      <c r="M50" s="3566">
        <f t="shared" si="5"/>
        <v>0.8571428571428571</v>
      </c>
      <c r="N50" s="3567">
        <f t="shared" si="6"/>
        <v>0.1428571428571429</v>
      </c>
    </row>
    <row r="51" spans="1:15" x14ac:dyDescent="0.25">
      <c r="A51" s="5755"/>
      <c r="B51" s="3568" t="s">
        <v>11</v>
      </c>
      <c r="C51" s="3569">
        <v>2</v>
      </c>
      <c r="D51" s="3570">
        <v>4</v>
      </c>
      <c r="E51" s="3570">
        <v>2</v>
      </c>
      <c r="F51" s="3571">
        <f>SUM(C51:E51)</f>
        <v>8</v>
      </c>
      <c r="G51" s="3541"/>
      <c r="H51" s="3572">
        <v>1</v>
      </c>
      <c r="I51" s="3573">
        <v>4</v>
      </c>
      <c r="J51" s="3572"/>
      <c r="K51" s="3574">
        <v>1</v>
      </c>
      <c r="L51" s="3571">
        <f>SUM(H51:K51)</f>
        <v>6</v>
      </c>
      <c r="M51" s="3575">
        <f t="shared" si="5"/>
        <v>0.75</v>
      </c>
      <c r="N51" s="3576">
        <f t="shared" si="6"/>
        <v>0.25</v>
      </c>
    </row>
    <row r="52" spans="1:15" x14ac:dyDescent="0.25">
      <c r="A52" s="5756"/>
      <c r="B52" s="3577" t="s">
        <v>12</v>
      </c>
      <c r="C52" s="3577">
        <f>SUM(C49:C51)</f>
        <v>3</v>
      </c>
      <c r="D52" s="3577">
        <f>SUM(D49:D51)</f>
        <v>15</v>
      </c>
      <c r="E52" s="3577">
        <f>SUM(E49:E51)</f>
        <v>12</v>
      </c>
      <c r="F52" s="3578">
        <f>SUM(F49:F51)</f>
        <v>30</v>
      </c>
      <c r="G52" s="3541"/>
      <c r="H52" s="3579">
        <f>SUM(H49:H51)</f>
        <v>4</v>
      </c>
      <c r="I52" s="3579">
        <f>SUM(I49:I51)</f>
        <v>14</v>
      </c>
      <c r="J52" s="3579">
        <f>SUM(J49:J51)</f>
        <v>4</v>
      </c>
      <c r="K52" s="3579">
        <f>SUM(K49:K51)</f>
        <v>3</v>
      </c>
      <c r="L52" s="3579">
        <f>SUM(L49:L51)</f>
        <v>25</v>
      </c>
      <c r="M52" s="3581">
        <f t="shared" si="5"/>
        <v>0.83333333333333337</v>
      </c>
      <c r="N52" s="3582">
        <f t="shared" si="6"/>
        <v>0.16666666666666663</v>
      </c>
    </row>
    <row r="53" spans="1:15" x14ac:dyDescent="0.25">
      <c r="A53" s="3589"/>
      <c r="B53" s="3590"/>
      <c r="C53" s="3591"/>
      <c r="D53" s="3591"/>
      <c r="E53" s="3591"/>
      <c r="F53" s="3592"/>
      <c r="G53" s="3541"/>
      <c r="H53" s="3593"/>
      <c r="I53" s="3593"/>
      <c r="J53" s="3593"/>
      <c r="K53" s="3594"/>
      <c r="L53" s="3595"/>
      <c r="M53" s="3596"/>
      <c r="N53" s="3597"/>
    </row>
    <row r="54" spans="1:15" x14ac:dyDescent="0.25">
      <c r="A54" s="5757" t="s">
        <v>10</v>
      </c>
      <c r="B54" s="3549" t="s">
        <v>6</v>
      </c>
      <c r="C54" s="3550">
        <v>1</v>
      </c>
      <c r="D54" s="3551">
        <v>8</v>
      </c>
      <c r="E54" s="3551">
        <v>2</v>
      </c>
      <c r="F54" s="3552">
        <f>SUM(C54:E54)</f>
        <v>11</v>
      </c>
      <c r="G54" s="3541"/>
      <c r="H54" s="3553"/>
      <c r="I54" s="3554">
        <v>5</v>
      </c>
      <c r="J54" s="3553">
        <v>4</v>
      </c>
      <c r="K54" s="3584">
        <v>1</v>
      </c>
      <c r="L54" s="3552">
        <f t="shared" si="8"/>
        <v>10</v>
      </c>
      <c r="M54" s="3556">
        <f t="shared" si="5"/>
        <v>0.90909090909090906</v>
      </c>
      <c r="N54" s="3557">
        <f t="shared" si="6"/>
        <v>9.0909090909090939E-2</v>
      </c>
    </row>
    <row r="55" spans="1:15" x14ac:dyDescent="0.25">
      <c r="A55" s="5758"/>
      <c r="B55" s="3558" t="s">
        <v>11</v>
      </c>
      <c r="C55" s="3559">
        <v>3</v>
      </c>
      <c r="D55" s="3560">
        <v>8</v>
      </c>
      <c r="E55" s="3560">
        <v>2</v>
      </c>
      <c r="F55" s="3561">
        <f>SUM(C55:E55)</f>
        <v>13</v>
      </c>
      <c r="G55" s="3541"/>
      <c r="H55" s="3562"/>
      <c r="I55" s="3563">
        <v>5</v>
      </c>
      <c r="J55" s="3562">
        <v>2</v>
      </c>
      <c r="K55" s="3565">
        <v>1</v>
      </c>
      <c r="L55" s="3561">
        <f t="shared" si="8"/>
        <v>8</v>
      </c>
      <c r="M55" s="3566">
        <f t="shared" si="5"/>
        <v>0.61538461538461542</v>
      </c>
      <c r="N55" s="3567">
        <f t="shared" si="6"/>
        <v>0.38461538461538458</v>
      </c>
    </row>
    <row r="56" spans="1:15" x14ac:dyDescent="0.25">
      <c r="A56" s="5758"/>
      <c r="B56" s="3572" t="s">
        <v>7</v>
      </c>
      <c r="C56" s="3607"/>
      <c r="D56" s="3608">
        <v>3</v>
      </c>
      <c r="E56" s="3608">
        <v>1</v>
      </c>
      <c r="F56" s="3571">
        <f>SUM(C56:E56)</f>
        <v>4</v>
      </c>
      <c r="G56" s="3609"/>
      <c r="H56" s="3572"/>
      <c r="I56" s="3573">
        <v>1</v>
      </c>
      <c r="J56" s="3572">
        <v>1</v>
      </c>
      <c r="K56" s="3574"/>
      <c r="L56" s="3571">
        <f t="shared" si="8"/>
        <v>2</v>
      </c>
      <c r="M56" s="3610">
        <f t="shared" si="5"/>
        <v>0.5</v>
      </c>
      <c r="N56" s="3611">
        <f t="shared" si="6"/>
        <v>0.5</v>
      </c>
    </row>
    <row r="57" spans="1:15" x14ac:dyDescent="0.25">
      <c r="A57" s="5759"/>
      <c r="B57" s="3578" t="s">
        <v>12</v>
      </c>
      <c r="C57" s="3578">
        <f>SUM(C54:C56)</f>
        <v>4</v>
      </c>
      <c r="D57" s="3578">
        <f>SUM(D54:D56)</f>
        <v>19</v>
      </c>
      <c r="E57" s="3578">
        <f>SUM(E54:E56)</f>
        <v>5</v>
      </c>
      <c r="F57" s="3578">
        <f>SUM(F54:F56)</f>
        <v>28</v>
      </c>
      <c r="G57" s="3609"/>
      <c r="H57" s="3579">
        <f>SUM(H54:H56)</f>
        <v>0</v>
      </c>
      <c r="I57" s="3579">
        <f>SUM(I54:I56)</f>
        <v>11</v>
      </c>
      <c r="J57" s="3579">
        <f>SUM(J54:J56)</f>
        <v>7</v>
      </c>
      <c r="K57" s="3579">
        <f>SUM(K54:K56)</f>
        <v>2</v>
      </c>
      <c r="L57" s="3579">
        <f>SUM(L54:L56)</f>
        <v>20</v>
      </c>
      <c r="M57" s="3612">
        <f t="shared" si="5"/>
        <v>0.7142857142857143</v>
      </c>
      <c r="N57" s="3613">
        <f t="shared" si="6"/>
        <v>0.2857142857142857</v>
      </c>
    </row>
    <row r="58" spans="1:15" x14ac:dyDescent="0.25">
      <c r="A58" s="3598"/>
      <c r="B58" s="3598"/>
      <c r="C58" s="3598"/>
      <c r="D58" s="3598"/>
      <c r="E58" s="3598"/>
      <c r="F58" s="3598"/>
      <c r="G58" s="3598"/>
      <c r="H58" s="3598"/>
      <c r="I58" s="3598"/>
      <c r="J58" s="3598"/>
      <c r="K58" s="3598"/>
      <c r="L58" s="3598"/>
      <c r="M58" s="3598"/>
      <c r="N58" s="3599"/>
      <c r="O58" s="3600"/>
    </row>
    <row r="59" spans="1:15" x14ac:dyDescent="0.25">
      <c r="A59" s="5760" t="s">
        <v>1235</v>
      </c>
      <c r="B59" s="3553" t="s">
        <v>6</v>
      </c>
      <c r="C59" s="3614"/>
      <c r="D59" s="3615">
        <v>2</v>
      </c>
      <c r="E59" s="3615">
        <v>2</v>
      </c>
      <c r="F59" s="3552">
        <f>SUM(C59:E59)</f>
        <v>4</v>
      </c>
      <c r="G59" s="3609"/>
      <c r="H59" s="3553"/>
      <c r="I59" s="3554">
        <v>4</v>
      </c>
      <c r="J59" s="3553"/>
      <c r="K59" s="3584"/>
      <c r="L59" s="3552">
        <f>SUM(H59:K59)</f>
        <v>4</v>
      </c>
      <c r="M59" s="3616">
        <f>L59/F59</f>
        <v>1</v>
      </c>
      <c r="N59" s="3617">
        <f>1-M59</f>
        <v>0</v>
      </c>
    </row>
    <row r="60" spans="1:15" x14ac:dyDescent="0.25">
      <c r="A60" s="5761"/>
      <c r="B60" s="3562" t="s">
        <v>1236</v>
      </c>
      <c r="C60" s="3618"/>
      <c r="D60" s="3619"/>
      <c r="E60" s="3619">
        <v>1</v>
      </c>
      <c r="F60" s="3561">
        <f>SUM(C60:E60)</f>
        <v>1</v>
      </c>
      <c r="G60" s="3609"/>
      <c r="H60" s="3562"/>
      <c r="I60" s="3563">
        <v>1</v>
      </c>
      <c r="J60" s="3562"/>
      <c r="K60" s="3565"/>
      <c r="L60" s="3561">
        <f>SUM(H60:K60)</f>
        <v>1</v>
      </c>
      <c r="M60" s="3620">
        <f>L60/F60</f>
        <v>1</v>
      </c>
      <c r="N60" s="3621">
        <f>1-M60</f>
        <v>0</v>
      </c>
    </row>
    <row r="61" spans="1:15" x14ac:dyDescent="0.25">
      <c r="A61" s="5762"/>
      <c r="B61" s="3577" t="s">
        <v>12</v>
      </c>
      <c r="C61" s="3577">
        <f>SUM(C59:C60)</f>
        <v>0</v>
      </c>
      <c r="D61" s="3577">
        <f>SUM(D59:D60)</f>
        <v>2</v>
      </c>
      <c r="E61" s="3577">
        <f>SUM(E59:E60)</f>
        <v>3</v>
      </c>
      <c r="F61" s="3578">
        <f>SUM(F59:F60)</f>
        <v>5</v>
      </c>
      <c r="G61" s="3541"/>
      <c r="H61" s="3579">
        <f>SUM(H59:H60)</f>
        <v>0</v>
      </c>
      <c r="I61" s="3579">
        <f>SUM(I59:I60)</f>
        <v>5</v>
      </c>
      <c r="J61" s="3579">
        <f>SUM(J59:J60)</f>
        <v>0</v>
      </c>
      <c r="K61" s="3579">
        <f>SUM(K59:K60)</f>
        <v>0</v>
      </c>
      <c r="L61" s="3579">
        <f>SUM(L59:L60)</f>
        <v>5</v>
      </c>
      <c r="M61" s="3581">
        <f>L61/F61</f>
        <v>1</v>
      </c>
      <c r="N61" s="3582">
        <f>1-M61</f>
        <v>0</v>
      </c>
    </row>
    <row r="62" spans="1:15" ht="15" customHeight="1" x14ac:dyDescent="0.25">
      <c r="A62" s="3590"/>
      <c r="B62" s="3590"/>
      <c r="C62" s="3591"/>
      <c r="D62" s="3591"/>
      <c r="E62" s="3591"/>
      <c r="F62" s="3592"/>
      <c r="G62" s="3541"/>
      <c r="H62" s="3593"/>
      <c r="I62" s="3593"/>
      <c r="J62" s="3593"/>
      <c r="K62" s="3594"/>
      <c r="L62" s="3595"/>
      <c r="M62" s="3596"/>
      <c r="N62" s="3597"/>
    </row>
    <row r="63" spans="1:15" x14ac:dyDescent="0.25">
      <c r="A63" s="5779" t="s">
        <v>60</v>
      </c>
      <c r="B63" s="5779"/>
      <c r="C63" s="3577">
        <f>SUM(C42,C52,C57,C47,C61)</f>
        <v>12</v>
      </c>
      <c r="D63" s="3577">
        <f>SUM(D42,D52,D57,D47,D61)</f>
        <v>50</v>
      </c>
      <c r="E63" s="3577">
        <f>SUM(E42,E52,E57,E47,E61)</f>
        <v>29</v>
      </c>
      <c r="F63" s="3577">
        <f>SUM(F42,F52,F57,F47,F61)</f>
        <v>91</v>
      </c>
      <c r="G63" s="3541"/>
      <c r="H63" s="3578">
        <f>SUM(H42,H52,H57,H47,H61)</f>
        <v>4</v>
      </c>
      <c r="I63" s="3578">
        <f>SUM(I42,I52,I57,I47,I61)</f>
        <v>35</v>
      </c>
      <c r="J63" s="3578">
        <f>SUM(J42,J52,J57,J47,J61)</f>
        <v>20</v>
      </c>
      <c r="K63" s="3578">
        <f>SUM(K42,K52,K57,K47,K61)</f>
        <v>14</v>
      </c>
      <c r="L63" s="3578">
        <f>SUM(L42,L52,L57,L47,L61)</f>
        <v>73</v>
      </c>
      <c r="M63" s="3581">
        <f t="shared" si="5"/>
        <v>0.80219780219780223</v>
      </c>
      <c r="N63" s="3582">
        <f t="shared" si="6"/>
        <v>0.19780219780219777</v>
      </c>
    </row>
    <row r="64" spans="1:15" x14ac:dyDescent="0.25">
      <c r="A64" s="3541"/>
      <c r="B64" s="3541"/>
      <c r="C64" s="3541"/>
      <c r="D64" s="3541"/>
      <c r="E64" s="3541"/>
      <c r="F64" s="3541"/>
      <c r="G64" s="3541"/>
      <c r="H64" s="3541"/>
      <c r="I64" s="3541"/>
      <c r="J64" s="3541"/>
      <c r="K64" s="3541"/>
      <c r="L64" s="3541"/>
      <c r="M64" s="3541"/>
      <c r="N64" s="3601"/>
    </row>
    <row r="65" spans="1:14" ht="15.75" thickBot="1" x14ac:dyDescent="0.3">
      <c r="A65" s="5780" t="s">
        <v>1237</v>
      </c>
      <c r="B65" s="5781"/>
      <c r="C65" s="3602">
        <v>3</v>
      </c>
      <c r="D65" s="3603">
        <v>45</v>
      </c>
      <c r="E65" s="3603">
        <v>25</v>
      </c>
      <c r="F65" s="3604">
        <f>SUM(C65:E65)</f>
        <v>73</v>
      </c>
      <c r="G65" s="3541"/>
      <c r="H65" s="3541"/>
      <c r="I65" s="3541"/>
      <c r="J65" s="5782" t="s">
        <v>1239</v>
      </c>
      <c r="K65" s="5783"/>
      <c r="L65" s="3605">
        <f>F63-L63</f>
        <v>18</v>
      </c>
      <c r="M65" s="3541"/>
      <c r="N65" s="3601"/>
    </row>
    <row r="66" spans="1:14" x14ac:dyDescent="0.25">
      <c r="N66" s="3606"/>
    </row>
    <row r="67" spans="1:14" x14ac:dyDescent="0.25">
      <c r="N67" s="3606"/>
    </row>
    <row r="69" spans="1:14" x14ac:dyDescent="0.25">
      <c r="A69" s="5764" t="s">
        <v>51</v>
      </c>
      <c r="B69" s="5764" t="s">
        <v>702</v>
      </c>
      <c r="C69" s="5765" t="s">
        <v>1262</v>
      </c>
      <c r="D69" s="5766"/>
      <c r="E69" s="5766"/>
      <c r="F69" s="5767"/>
      <c r="G69" s="3641"/>
      <c r="H69" s="5765" t="s">
        <v>1263</v>
      </c>
      <c r="I69" s="5766"/>
      <c r="J69" s="5766"/>
      <c r="K69" s="5766"/>
      <c r="L69" s="5766"/>
      <c r="M69" s="5767"/>
      <c r="N69" s="3541"/>
    </row>
    <row r="70" spans="1:14" ht="30" x14ac:dyDescent="0.25">
      <c r="A70" s="5764"/>
      <c r="B70" s="5764"/>
      <c r="C70" s="3542" t="s">
        <v>824</v>
      </c>
      <c r="D70" s="3542" t="s">
        <v>632</v>
      </c>
      <c r="E70" s="3542" t="s">
        <v>633</v>
      </c>
      <c r="F70" s="3543" t="s">
        <v>12</v>
      </c>
      <c r="G70" s="3541"/>
      <c r="H70" s="3544" t="s">
        <v>1238</v>
      </c>
      <c r="I70" s="3544" t="s">
        <v>1222</v>
      </c>
      <c r="J70" s="3544" t="s">
        <v>1224</v>
      </c>
      <c r="K70" s="3544" t="s">
        <v>1228</v>
      </c>
      <c r="L70" s="3545" t="s">
        <v>12</v>
      </c>
      <c r="M70" s="3544" t="s">
        <v>1129</v>
      </c>
      <c r="N70" s="3546" t="s">
        <v>1130</v>
      </c>
    </row>
    <row r="71" spans="1:14" x14ac:dyDescent="0.25">
      <c r="A71" s="3547"/>
      <c r="B71" s="3547"/>
      <c r="C71" s="3541"/>
      <c r="D71" s="3541"/>
      <c r="E71" s="3541"/>
      <c r="F71" s="3547"/>
      <c r="G71" s="3541"/>
      <c r="H71" s="3547"/>
      <c r="I71" s="3541"/>
      <c r="J71" s="3541"/>
      <c r="K71" s="3541"/>
      <c r="L71" s="3547"/>
      <c r="M71" s="3547"/>
      <c r="N71" s="3548"/>
    </row>
    <row r="72" spans="1:14" x14ac:dyDescent="0.25">
      <c r="A72" s="5768" t="s">
        <v>3</v>
      </c>
      <c r="B72" s="3549" t="s">
        <v>5</v>
      </c>
      <c r="C72" s="3550"/>
      <c r="D72" s="3551">
        <v>5</v>
      </c>
      <c r="E72" s="3551">
        <v>4</v>
      </c>
      <c r="F72" s="3552">
        <f>SUM(C72:E72)</f>
        <v>9</v>
      </c>
      <c r="G72" s="3541"/>
      <c r="H72" s="3553"/>
      <c r="I72" s="3554">
        <v>2</v>
      </c>
      <c r="J72" s="3553">
        <v>2</v>
      </c>
      <c r="K72" s="3584">
        <v>2</v>
      </c>
      <c r="L72" s="3552">
        <f>SUM(H72:K72)</f>
        <v>6</v>
      </c>
      <c r="M72" s="3556">
        <f>L72/F72</f>
        <v>0.66666666666666663</v>
      </c>
      <c r="N72" s="3557">
        <f>1-M72</f>
        <v>0.33333333333333337</v>
      </c>
    </row>
    <row r="73" spans="1:14" x14ac:dyDescent="0.25">
      <c r="A73" s="5769"/>
      <c r="B73" s="3558" t="s">
        <v>6</v>
      </c>
      <c r="C73" s="3559">
        <v>3</v>
      </c>
      <c r="D73" s="3560">
        <v>5</v>
      </c>
      <c r="E73" s="3560">
        <v>2</v>
      </c>
      <c r="F73" s="3561">
        <f>SUM(C73:E73)</f>
        <v>10</v>
      </c>
      <c r="G73" s="3541"/>
      <c r="H73" s="3562"/>
      <c r="I73" s="3563">
        <v>3</v>
      </c>
      <c r="J73" s="3562">
        <v>3</v>
      </c>
      <c r="K73" s="3565">
        <v>1</v>
      </c>
      <c r="L73" s="3561">
        <f>SUM(H73:K73)</f>
        <v>7</v>
      </c>
      <c r="M73" s="3566">
        <f t="shared" ref="M73:M96" si="9">L73/F73</f>
        <v>0.7</v>
      </c>
      <c r="N73" s="3567">
        <f t="shared" ref="N73:N96" si="10">1-M73</f>
        <v>0.30000000000000004</v>
      </c>
    </row>
    <row r="74" spans="1:14" ht="15" customHeight="1" x14ac:dyDescent="0.25">
      <c r="A74" s="5769"/>
      <c r="B74" s="3568" t="s">
        <v>7</v>
      </c>
      <c r="C74" s="3569">
        <v>1</v>
      </c>
      <c r="D74" s="3570">
        <v>1</v>
      </c>
      <c r="E74" s="3570">
        <v>1</v>
      </c>
      <c r="F74" s="3571">
        <f>SUM(C74:E74)</f>
        <v>3</v>
      </c>
      <c r="G74" s="3541"/>
      <c r="H74" s="3572"/>
      <c r="I74" s="3573"/>
      <c r="J74" s="3572">
        <v>3</v>
      </c>
      <c r="K74" s="3574"/>
      <c r="L74" s="3571">
        <f>SUM(H74:K74)</f>
        <v>3</v>
      </c>
      <c r="M74" s="3575">
        <f t="shared" si="9"/>
        <v>1</v>
      </c>
      <c r="N74" s="3576">
        <f t="shared" si="10"/>
        <v>0</v>
      </c>
    </row>
    <row r="75" spans="1:14" x14ac:dyDescent="0.25">
      <c r="A75" s="5770"/>
      <c r="B75" s="3577" t="s">
        <v>12</v>
      </c>
      <c r="C75" s="3577">
        <f>SUM(C72:C74)</f>
        <v>4</v>
      </c>
      <c r="D75" s="3577">
        <f>SUM(D72:D74)</f>
        <v>11</v>
      </c>
      <c r="E75" s="3577">
        <f>SUM(E72:E74)</f>
        <v>7</v>
      </c>
      <c r="F75" s="3578">
        <f t="shared" ref="F75:K75" si="11">SUM(F72:F74)</f>
        <v>22</v>
      </c>
      <c r="G75" s="3541"/>
      <c r="H75" s="3578">
        <f>SUM(H72:H74)</f>
        <v>0</v>
      </c>
      <c r="I75" s="3579">
        <f t="shared" si="11"/>
        <v>5</v>
      </c>
      <c r="J75" s="3578">
        <f t="shared" si="11"/>
        <v>8</v>
      </c>
      <c r="K75" s="3580">
        <f t="shared" si="11"/>
        <v>3</v>
      </c>
      <c r="L75" s="3578">
        <f>SUM(L72:L74)</f>
        <v>16</v>
      </c>
      <c r="M75" s="3581">
        <f t="shared" si="9"/>
        <v>0.72727272727272729</v>
      </c>
      <c r="N75" s="3582">
        <f t="shared" si="10"/>
        <v>0.27272727272727271</v>
      </c>
    </row>
    <row r="76" spans="1:14" x14ac:dyDescent="0.25">
      <c r="A76" s="3583"/>
      <c r="B76" s="3583"/>
      <c r="C76" s="3583"/>
      <c r="D76" s="3583"/>
      <c r="E76" s="3583"/>
      <c r="F76" s="3583"/>
      <c r="G76" s="3583"/>
      <c r="H76" s="3583"/>
      <c r="I76" s="3583"/>
      <c r="J76" s="3583"/>
      <c r="K76" s="3583"/>
      <c r="L76" s="3583"/>
      <c r="M76" s="3583"/>
      <c r="N76" s="3583"/>
    </row>
    <row r="77" spans="1:14" ht="15" customHeight="1" x14ac:dyDescent="0.25">
      <c r="A77" s="5751" t="s">
        <v>8</v>
      </c>
      <c r="B77" s="3549" t="s">
        <v>6</v>
      </c>
      <c r="C77" s="3550"/>
      <c r="D77" s="3551">
        <v>1</v>
      </c>
      <c r="E77" s="3551">
        <v>1</v>
      </c>
      <c r="F77" s="3552">
        <f>SUM(C77:E77)</f>
        <v>2</v>
      </c>
      <c r="G77" s="3541"/>
      <c r="H77" s="3553"/>
      <c r="I77" s="3554"/>
      <c r="J77" s="3553"/>
      <c r="K77" s="3584">
        <v>2</v>
      </c>
      <c r="L77" s="3552">
        <f>SUM(H77:K77)</f>
        <v>2</v>
      </c>
      <c r="M77" s="3556">
        <f>L77/F77</f>
        <v>1</v>
      </c>
      <c r="N77" s="3557">
        <f>1-M77</f>
        <v>0</v>
      </c>
    </row>
    <row r="78" spans="1:14" x14ac:dyDescent="0.25">
      <c r="A78" s="5752"/>
      <c r="B78" s="3558" t="s">
        <v>9</v>
      </c>
      <c r="C78" s="3559"/>
      <c r="D78" s="3560">
        <v>1</v>
      </c>
      <c r="E78" s="3560"/>
      <c r="F78" s="3561">
        <f>SUM(C78:E78)</f>
        <v>1</v>
      </c>
      <c r="G78" s="3541"/>
      <c r="H78" s="3562"/>
      <c r="I78" s="3563"/>
      <c r="J78" s="3562"/>
      <c r="K78" s="3565"/>
      <c r="L78" s="3561"/>
      <c r="M78" s="3566">
        <f>L78/F78</f>
        <v>0</v>
      </c>
      <c r="N78" s="3567">
        <f>1-M78</f>
        <v>1</v>
      </c>
    </row>
    <row r="79" spans="1:14" x14ac:dyDescent="0.25">
      <c r="A79" s="5752"/>
      <c r="B79" s="3568" t="s">
        <v>74</v>
      </c>
      <c r="C79" s="3569">
        <v>1</v>
      </c>
      <c r="D79" s="3570">
        <v>1</v>
      </c>
      <c r="E79" s="3570">
        <v>1</v>
      </c>
      <c r="F79" s="3571">
        <f>SUM(C79:E79)</f>
        <v>3</v>
      </c>
      <c r="G79" s="3541"/>
      <c r="H79" s="3572"/>
      <c r="I79" s="3573"/>
      <c r="J79" s="3572"/>
      <c r="K79" s="3574">
        <v>2</v>
      </c>
      <c r="L79" s="3571">
        <f>SUM(H79:K79)</f>
        <v>2</v>
      </c>
      <c r="M79" s="3575">
        <f>L79/F79</f>
        <v>0.66666666666666663</v>
      </c>
      <c r="N79" s="3576">
        <f>1-M79</f>
        <v>0.33333333333333337</v>
      </c>
    </row>
    <row r="80" spans="1:14" x14ac:dyDescent="0.25">
      <c r="A80" s="5753"/>
      <c r="B80" s="3577" t="s">
        <v>12</v>
      </c>
      <c r="C80" s="3577">
        <f>SUM(C77:C79)</f>
        <v>1</v>
      </c>
      <c r="D80" s="3577">
        <f>SUM(D77:D79)</f>
        <v>3</v>
      </c>
      <c r="E80" s="3577">
        <f>SUM(E77:E79)</f>
        <v>2</v>
      </c>
      <c r="F80" s="3578">
        <f>SUM(F77:F79)</f>
        <v>6</v>
      </c>
      <c r="G80" s="3541"/>
      <c r="H80" s="3579">
        <f>SUM(H77:H79)</f>
        <v>0</v>
      </c>
      <c r="I80" s="3579">
        <f>SUM(I77:I79)</f>
        <v>0</v>
      </c>
      <c r="J80" s="3579">
        <f>SUM(J77:J79)</f>
        <v>0</v>
      </c>
      <c r="K80" s="3579">
        <f>SUM(K77:K79)</f>
        <v>4</v>
      </c>
      <c r="L80" s="3579">
        <f>SUM(L77:L79)</f>
        <v>4</v>
      </c>
      <c r="M80" s="3581">
        <f>L80/F80</f>
        <v>0.66666666666666663</v>
      </c>
      <c r="N80" s="3582">
        <f>1-M80</f>
        <v>0.33333333333333337</v>
      </c>
    </row>
    <row r="81" spans="1:14" x14ac:dyDescent="0.25">
      <c r="A81" s="3541"/>
      <c r="B81" s="3541"/>
      <c r="C81" s="3541"/>
      <c r="D81" s="3541"/>
      <c r="E81" s="3541"/>
      <c r="F81" s="3585"/>
      <c r="G81" s="3541"/>
      <c r="H81" s="3541"/>
      <c r="I81" s="3541"/>
      <c r="J81" s="3541"/>
      <c r="K81" s="3541"/>
      <c r="L81" s="3586"/>
      <c r="M81" s="3541"/>
      <c r="N81" s="3587"/>
    </row>
    <row r="82" spans="1:14" x14ac:dyDescent="0.25">
      <c r="A82" s="5754" t="s">
        <v>75</v>
      </c>
      <c r="B82" s="3549" t="s">
        <v>5</v>
      </c>
      <c r="C82" s="3550"/>
      <c r="D82" s="3551">
        <v>8</v>
      </c>
      <c r="E82" s="3551">
        <v>7</v>
      </c>
      <c r="F82" s="3552">
        <f>SUM(C82:E82)</f>
        <v>15</v>
      </c>
      <c r="G82" s="3541"/>
      <c r="H82" s="3553"/>
      <c r="I82" s="3554">
        <v>9</v>
      </c>
      <c r="J82" s="3553">
        <v>2</v>
      </c>
      <c r="K82" s="3584">
        <v>1</v>
      </c>
      <c r="L82" s="3552">
        <f t="shared" ref="L82:L89" si="12">SUM(I82:K82)</f>
        <v>12</v>
      </c>
      <c r="M82" s="3556">
        <f t="shared" si="9"/>
        <v>0.8</v>
      </c>
      <c r="N82" s="3557">
        <f t="shared" si="10"/>
        <v>0.19999999999999996</v>
      </c>
    </row>
    <row r="83" spans="1:14" ht="15" customHeight="1" x14ac:dyDescent="0.25">
      <c r="A83" s="5755"/>
      <c r="B83" s="3558" t="s">
        <v>6</v>
      </c>
      <c r="C83" s="3559">
        <v>1</v>
      </c>
      <c r="D83" s="3560">
        <v>3</v>
      </c>
      <c r="E83" s="3560">
        <v>3</v>
      </c>
      <c r="F83" s="3561">
        <f>SUM(C83:E83)</f>
        <v>7</v>
      </c>
      <c r="G83" s="3541"/>
      <c r="H83" s="3562">
        <v>3</v>
      </c>
      <c r="I83" s="3563">
        <v>1</v>
      </c>
      <c r="J83" s="3562">
        <v>2</v>
      </c>
      <c r="K83" s="3565"/>
      <c r="L83" s="3561">
        <f>SUM(H83:K83)</f>
        <v>6</v>
      </c>
      <c r="M83" s="3566">
        <f t="shared" si="9"/>
        <v>0.8571428571428571</v>
      </c>
      <c r="N83" s="3567">
        <f t="shared" si="10"/>
        <v>0.1428571428571429</v>
      </c>
    </row>
    <row r="84" spans="1:14" x14ac:dyDescent="0.25">
      <c r="A84" s="5755"/>
      <c r="B84" s="3568" t="s">
        <v>11</v>
      </c>
      <c r="C84" s="3569">
        <v>2</v>
      </c>
      <c r="D84" s="3570">
        <v>4</v>
      </c>
      <c r="E84" s="3570">
        <v>2</v>
      </c>
      <c r="F84" s="3571">
        <f>SUM(C84:E84)</f>
        <v>8</v>
      </c>
      <c r="G84" s="3541"/>
      <c r="H84" s="3572"/>
      <c r="I84" s="3573">
        <v>5</v>
      </c>
      <c r="J84" s="3572"/>
      <c r="K84" s="3574">
        <v>1</v>
      </c>
      <c r="L84" s="3571">
        <f t="shared" si="12"/>
        <v>6</v>
      </c>
      <c r="M84" s="3575">
        <f t="shared" si="9"/>
        <v>0.75</v>
      </c>
      <c r="N84" s="3576">
        <f t="shared" si="10"/>
        <v>0.25</v>
      </c>
    </row>
    <row r="85" spans="1:14" x14ac:dyDescent="0.25">
      <c r="A85" s="5756"/>
      <c r="B85" s="3577" t="s">
        <v>12</v>
      </c>
      <c r="C85" s="3578">
        <f>SUM(C82:C84)</f>
        <v>3</v>
      </c>
      <c r="D85" s="3578">
        <f>SUM(D82:D84)</f>
        <v>15</v>
      </c>
      <c r="E85" s="3578">
        <f>SUM(E82:E84)</f>
        <v>12</v>
      </c>
      <c r="F85" s="3578">
        <f>SUM(F82:F84)</f>
        <v>30</v>
      </c>
      <c r="G85" s="3541"/>
      <c r="H85" s="3579">
        <f>SUM(H82:H84)</f>
        <v>3</v>
      </c>
      <c r="I85" s="3579">
        <f>SUM(I82:I84)</f>
        <v>15</v>
      </c>
      <c r="J85" s="3579">
        <f>SUM(J82:J84)</f>
        <v>4</v>
      </c>
      <c r="K85" s="3579">
        <f>SUM(K82:K84)</f>
        <v>2</v>
      </c>
      <c r="L85" s="3579">
        <f>SUM(L82:L84)</f>
        <v>24</v>
      </c>
      <c r="M85" s="3581">
        <f t="shared" si="9"/>
        <v>0.8</v>
      </c>
      <c r="N85" s="3582">
        <f t="shared" si="10"/>
        <v>0.19999999999999996</v>
      </c>
    </row>
    <row r="86" spans="1:14" ht="15" customHeight="1" x14ac:dyDescent="0.25">
      <c r="A86" s="3589"/>
      <c r="B86" s="3590"/>
      <c r="C86" s="3591"/>
      <c r="D86" s="3591"/>
      <c r="E86" s="3591"/>
      <c r="F86" s="3592"/>
      <c r="G86" s="3541"/>
      <c r="H86" s="3593"/>
      <c r="I86" s="3593"/>
      <c r="J86" s="3593"/>
      <c r="K86" s="3594"/>
      <c r="L86" s="3595"/>
      <c r="M86" s="3596"/>
      <c r="N86" s="3597"/>
    </row>
    <row r="87" spans="1:14" x14ac:dyDescent="0.25">
      <c r="A87" s="5757" t="s">
        <v>10</v>
      </c>
      <c r="B87" s="3549" t="s">
        <v>6</v>
      </c>
      <c r="C87" s="3550">
        <v>1</v>
      </c>
      <c r="D87" s="3551">
        <v>8</v>
      </c>
      <c r="E87" s="3551">
        <v>2</v>
      </c>
      <c r="F87" s="3552">
        <f>SUM(C87:E87)</f>
        <v>11</v>
      </c>
      <c r="G87" s="3541"/>
      <c r="H87" s="3553"/>
      <c r="I87" s="3554">
        <v>5</v>
      </c>
      <c r="J87" s="3553">
        <v>3</v>
      </c>
      <c r="K87" s="3584">
        <v>1</v>
      </c>
      <c r="L87" s="3552">
        <f t="shared" si="12"/>
        <v>9</v>
      </c>
      <c r="M87" s="3556">
        <f t="shared" si="9"/>
        <v>0.81818181818181823</v>
      </c>
      <c r="N87" s="3557">
        <f t="shared" si="10"/>
        <v>0.18181818181818177</v>
      </c>
    </row>
    <row r="88" spans="1:14" x14ac:dyDescent="0.25">
      <c r="A88" s="5758"/>
      <c r="B88" s="3558" t="s">
        <v>11</v>
      </c>
      <c r="C88" s="3559">
        <v>3</v>
      </c>
      <c r="D88" s="3560">
        <v>7</v>
      </c>
      <c r="E88" s="3560">
        <v>2</v>
      </c>
      <c r="F88" s="3561">
        <f>SUM(C88:E88)</f>
        <v>12</v>
      </c>
      <c r="G88" s="3541"/>
      <c r="H88" s="3562"/>
      <c r="I88" s="3563">
        <v>5</v>
      </c>
      <c r="J88" s="3562">
        <v>2</v>
      </c>
      <c r="K88" s="3565">
        <v>1</v>
      </c>
      <c r="L88" s="3561">
        <f t="shared" si="12"/>
        <v>8</v>
      </c>
      <c r="M88" s="3566">
        <f t="shared" si="9"/>
        <v>0.66666666666666663</v>
      </c>
      <c r="N88" s="3567">
        <f t="shared" si="10"/>
        <v>0.33333333333333337</v>
      </c>
    </row>
    <row r="89" spans="1:14" x14ac:dyDescent="0.25">
      <c r="A89" s="5758"/>
      <c r="B89" s="3568" t="s">
        <v>7</v>
      </c>
      <c r="C89" s="3569"/>
      <c r="D89" s="3570">
        <v>3</v>
      </c>
      <c r="E89" s="3570">
        <v>1</v>
      </c>
      <c r="F89" s="3571">
        <f>SUM(C89:E89)</f>
        <v>4</v>
      </c>
      <c r="G89" s="3541"/>
      <c r="H89" s="3572"/>
      <c r="I89" s="3573">
        <v>1</v>
      </c>
      <c r="J89" s="3572">
        <v>1</v>
      </c>
      <c r="K89" s="3574"/>
      <c r="L89" s="3571">
        <f t="shared" si="12"/>
        <v>2</v>
      </c>
      <c r="M89" s="3575">
        <f t="shared" si="9"/>
        <v>0.5</v>
      </c>
      <c r="N89" s="3576">
        <f t="shared" si="10"/>
        <v>0.5</v>
      </c>
    </row>
    <row r="90" spans="1:14" x14ac:dyDescent="0.25">
      <c r="A90" s="5759"/>
      <c r="B90" s="3577" t="s">
        <v>12</v>
      </c>
      <c r="C90" s="3577">
        <f>SUM(C87:C89)</f>
        <v>4</v>
      </c>
      <c r="D90" s="3577">
        <f>SUM(D87:D89)</f>
        <v>18</v>
      </c>
      <c r="E90" s="3577">
        <f>SUM(E87:E89)</f>
        <v>5</v>
      </c>
      <c r="F90" s="3578">
        <f>SUM(F87:F89)</f>
        <v>27</v>
      </c>
      <c r="G90" s="3541"/>
      <c r="H90" s="3579">
        <f>SUM(H87:H89)</f>
        <v>0</v>
      </c>
      <c r="I90" s="3579">
        <f>SUM(I87:I89)</f>
        <v>11</v>
      </c>
      <c r="J90" s="3579">
        <f>SUM(J87:J89)</f>
        <v>6</v>
      </c>
      <c r="K90" s="3579">
        <f>SUM(K87:K89)</f>
        <v>2</v>
      </c>
      <c r="L90" s="3579">
        <f>SUM(L87:L89)</f>
        <v>19</v>
      </c>
      <c r="M90" s="3581">
        <f t="shared" si="9"/>
        <v>0.70370370370370372</v>
      </c>
      <c r="N90" s="3582">
        <f t="shared" si="10"/>
        <v>0.29629629629629628</v>
      </c>
    </row>
    <row r="91" spans="1:14" x14ac:dyDescent="0.25">
      <c r="A91" s="3598"/>
      <c r="B91" s="3598"/>
      <c r="C91" s="3598"/>
      <c r="D91" s="3598"/>
      <c r="E91" s="3598"/>
      <c r="F91" s="3598"/>
      <c r="G91" s="3598"/>
      <c r="H91" s="3598"/>
      <c r="I91" s="3598"/>
      <c r="J91" s="3598"/>
      <c r="K91" s="3598"/>
      <c r="L91" s="3598"/>
      <c r="M91" s="3598"/>
      <c r="N91" s="3599"/>
    </row>
    <row r="92" spans="1:14" x14ac:dyDescent="0.25">
      <c r="A92" s="5760" t="s">
        <v>1235</v>
      </c>
      <c r="B92" s="3549" t="s">
        <v>6</v>
      </c>
      <c r="C92" s="3550"/>
      <c r="D92" s="3551">
        <v>2</v>
      </c>
      <c r="E92" s="3551">
        <v>2</v>
      </c>
      <c r="F92" s="3552">
        <f>SUM(C92:E92)</f>
        <v>4</v>
      </c>
      <c r="G92" s="3541"/>
      <c r="H92" s="3553"/>
      <c r="I92" s="3554">
        <v>4</v>
      </c>
      <c r="J92" s="3553"/>
      <c r="K92" s="3584"/>
      <c r="L92" s="3552">
        <f>SUM(H92:K92)</f>
        <v>4</v>
      </c>
      <c r="M92" s="3556">
        <f>L92/F92</f>
        <v>1</v>
      </c>
      <c r="N92" s="3557">
        <f>1-M92</f>
        <v>0</v>
      </c>
    </row>
    <row r="93" spans="1:14" x14ac:dyDescent="0.25">
      <c r="A93" s="5761"/>
      <c r="B93" s="3558" t="s">
        <v>1236</v>
      </c>
      <c r="C93" s="3559"/>
      <c r="D93" s="3560"/>
      <c r="E93" s="3560">
        <v>1</v>
      </c>
      <c r="F93" s="3561">
        <f>SUM(C93:E93)</f>
        <v>1</v>
      </c>
      <c r="G93" s="3541"/>
      <c r="H93" s="3562"/>
      <c r="I93" s="3563">
        <v>1</v>
      </c>
      <c r="J93" s="3562"/>
      <c r="K93" s="3565"/>
      <c r="L93" s="3561">
        <f>SUM(H93:K93)</f>
        <v>1</v>
      </c>
      <c r="M93" s="3566">
        <f>L93/F93</f>
        <v>1</v>
      </c>
      <c r="N93" s="3567">
        <f>1-M93</f>
        <v>0</v>
      </c>
    </row>
    <row r="94" spans="1:14" x14ac:dyDescent="0.25">
      <c r="A94" s="5762"/>
      <c r="B94" s="3577" t="s">
        <v>12</v>
      </c>
      <c r="C94" s="3577">
        <f>SUM(C92:C93)</f>
        <v>0</v>
      </c>
      <c r="D94" s="3577">
        <f>SUM(D92:D93)</f>
        <v>2</v>
      </c>
      <c r="E94" s="3577">
        <f>SUM(E92:E93)</f>
        <v>3</v>
      </c>
      <c r="F94" s="3578">
        <f>SUM(F92:F93)</f>
        <v>5</v>
      </c>
      <c r="G94" s="3541"/>
      <c r="H94" s="3579">
        <f>SUM(H92:H93)</f>
        <v>0</v>
      </c>
      <c r="I94" s="3579">
        <f>SUM(I92:I93)</f>
        <v>5</v>
      </c>
      <c r="J94" s="3579">
        <f>SUM(J92:J93)</f>
        <v>0</v>
      </c>
      <c r="K94" s="3579">
        <f>SUM(K92:K93)</f>
        <v>0</v>
      </c>
      <c r="L94" s="3579">
        <f>SUM(L92:L93)</f>
        <v>5</v>
      </c>
      <c r="M94" s="3581">
        <f>L94/F94</f>
        <v>1</v>
      </c>
      <c r="N94" s="3582">
        <f>1-M94</f>
        <v>0</v>
      </c>
    </row>
    <row r="95" spans="1:14" x14ac:dyDescent="0.25">
      <c r="A95" s="3590"/>
      <c r="B95" s="3590"/>
      <c r="C95" s="3591"/>
      <c r="D95" s="3591"/>
      <c r="E95" s="3591"/>
      <c r="F95" s="3592"/>
      <c r="G95" s="3541"/>
      <c r="H95" s="3593"/>
      <c r="I95" s="3593"/>
      <c r="J95" s="3593"/>
      <c r="K95" s="3594"/>
      <c r="L95" s="3595"/>
      <c r="M95" s="3596"/>
      <c r="N95" s="3597"/>
    </row>
    <row r="96" spans="1:14" x14ac:dyDescent="0.25">
      <c r="A96" s="5779" t="s">
        <v>60</v>
      </c>
      <c r="B96" s="5779"/>
      <c r="C96" s="3577">
        <f>SUM(C75,C85,C90,C80,C94)</f>
        <v>12</v>
      </c>
      <c r="D96" s="3577">
        <f>SUM(D75,D85,D90,D80,D94)</f>
        <v>49</v>
      </c>
      <c r="E96" s="3577">
        <f>SUM(E75,E85,E90,E80,E94)</f>
        <v>29</v>
      </c>
      <c r="F96" s="3577">
        <f>SUM(F75,F85,F90,F80,F94)</f>
        <v>90</v>
      </c>
      <c r="G96" s="3541"/>
      <c r="H96" s="3578">
        <f>SUM(H75,H85,H90,H80,H94)</f>
        <v>3</v>
      </c>
      <c r="I96" s="3578">
        <f>SUM(I75,I85,I90,I80,I94)</f>
        <v>36</v>
      </c>
      <c r="J96" s="3578">
        <f>SUM(J75,J85,J90,J80,J94)</f>
        <v>18</v>
      </c>
      <c r="K96" s="3578">
        <f>SUM(K75,K85,K90,K80,K94)</f>
        <v>11</v>
      </c>
      <c r="L96" s="3578">
        <f>SUM(L75,L85,L90,L80,L94)</f>
        <v>68</v>
      </c>
      <c r="M96" s="3581">
        <f t="shared" si="9"/>
        <v>0.75555555555555554</v>
      </c>
      <c r="N96" s="3582">
        <f t="shared" si="10"/>
        <v>0.24444444444444446</v>
      </c>
    </row>
    <row r="97" spans="1:14" x14ac:dyDescent="0.25">
      <c r="A97" s="3541"/>
      <c r="B97" s="3541"/>
      <c r="C97" s="3541"/>
      <c r="D97" s="3541"/>
      <c r="E97" s="3541"/>
      <c r="F97" s="3541"/>
      <c r="G97" s="3541"/>
      <c r="H97" s="3541"/>
      <c r="I97" s="3541"/>
      <c r="J97" s="3541"/>
      <c r="K97" s="3541"/>
      <c r="L97" s="3541"/>
      <c r="M97" s="3541"/>
      <c r="N97" s="3601"/>
    </row>
    <row r="98" spans="1:14" ht="15.75" thickBot="1" x14ac:dyDescent="0.3">
      <c r="A98" s="5780" t="s">
        <v>1237</v>
      </c>
      <c r="B98" s="5781"/>
      <c r="C98" s="3602">
        <v>3</v>
      </c>
      <c r="D98" s="3603">
        <v>41</v>
      </c>
      <c r="E98" s="3603">
        <v>24</v>
      </c>
      <c r="F98" s="3604">
        <f>SUM(C98:E98)</f>
        <v>68</v>
      </c>
      <c r="G98" s="3541"/>
      <c r="H98" s="3541"/>
      <c r="I98" s="3541"/>
      <c r="J98" s="5782" t="s">
        <v>1239</v>
      </c>
      <c r="K98" s="5783"/>
      <c r="L98" s="3605">
        <f>F96-L96</f>
        <v>22</v>
      </c>
      <c r="M98" s="3541"/>
      <c r="N98" s="3601"/>
    </row>
    <row r="102" spans="1:14" x14ac:dyDescent="0.25">
      <c r="A102" s="5764" t="s">
        <v>51</v>
      </c>
      <c r="B102" s="5764" t="s">
        <v>702</v>
      </c>
      <c r="C102" s="5765" t="s">
        <v>1270</v>
      </c>
      <c r="D102" s="5766"/>
      <c r="E102" s="5766"/>
      <c r="F102" s="5767"/>
      <c r="G102" s="3641"/>
      <c r="H102" s="5765" t="s">
        <v>1269</v>
      </c>
      <c r="I102" s="5766"/>
      <c r="J102" s="5766"/>
      <c r="K102" s="5766"/>
      <c r="L102" s="5766"/>
      <c r="M102" s="5767"/>
      <c r="N102" s="3541"/>
    </row>
    <row r="103" spans="1:14" ht="30" x14ac:dyDescent="0.25">
      <c r="A103" s="5764"/>
      <c r="B103" s="5764"/>
      <c r="C103" s="3542" t="s">
        <v>824</v>
      </c>
      <c r="D103" s="3542" t="s">
        <v>632</v>
      </c>
      <c r="E103" s="3542" t="s">
        <v>633</v>
      </c>
      <c r="F103" s="3543" t="s">
        <v>12</v>
      </c>
      <c r="G103" s="3541"/>
      <c r="H103" s="3544" t="s">
        <v>1238</v>
      </c>
      <c r="I103" s="3544" t="s">
        <v>1222</v>
      </c>
      <c r="J103" s="3544" t="s">
        <v>1224</v>
      </c>
      <c r="K103" s="3544" t="s">
        <v>1228</v>
      </c>
      <c r="L103" s="3545" t="s">
        <v>12</v>
      </c>
      <c r="M103" s="3544" t="s">
        <v>1129</v>
      </c>
      <c r="N103" s="3546" t="s">
        <v>1130</v>
      </c>
    </row>
    <row r="104" spans="1:14" x14ac:dyDescent="0.25">
      <c r="A104" s="3547"/>
      <c r="B104" s="3547"/>
      <c r="C104" s="3541"/>
      <c r="D104" s="3541"/>
      <c r="E104" s="3541"/>
      <c r="F104" s="3547"/>
      <c r="G104" s="3541"/>
      <c r="H104" s="3547"/>
      <c r="I104" s="3541"/>
      <c r="J104" s="3541"/>
      <c r="K104" s="3541"/>
      <c r="L104" s="3547"/>
      <c r="M104" s="3547"/>
      <c r="N104" s="3548"/>
    </row>
    <row r="105" spans="1:14" x14ac:dyDescent="0.25">
      <c r="A105" s="5784" t="s">
        <v>3</v>
      </c>
      <c r="B105" s="3549" t="s">
        <v>5</v>
      </c>
      <c r="C105" s="3614"/>
      <c r="D105" s="3615">
        <v>5</v>
      </c>
      <c r="E105" s="3615">
        <v>4</v>
      </c>
      <c r="F105" s="3552">
        <f>SUM(C105:E105)</f>
        <v>9</v>
      </c>
      <c r="G105" s="3609"/>
      <c r="H105" s="3553"/>
      <c r="I105" s="3554">
        <v>2</v>
      </c>
      <c r="J105" s="3553">
        <v>2</v>
      </c>
      <c r="K105" s="3584">
        <v>1</v>
      </c>
      <c r="L105" s="3552">
        <f>SUM(H105:K105)</f>
        <v>5</v>
      </c>
      <c r="M105" s="3616">
        <f>L105/F105</f>
        <v>0.55555555555555558</v>
      </c>
      <c r="N105" s="3557">
        <f>1-M105</f>
        <v>0.44444444444444442</v>
      </c>
    </row>
    <row r="106" spans="1:14" x14ac:dyDescent="0.25">
      <c r="A106" s="5785"/>
      <c r="B106" s="3558" t="s">
        <v>6</v>
      </c>
      <c r="C106" s="3618">
        <v>3</v>
      </c>
      <c r="D106" s="3619">
        <v>5</v>
      </c>
      <c r="E106" s="3619">
        <v>2</v>
      </c>
      <c r="F106" s="3561">
        <f>SUM(C106:E106)</f>
        <v>10</v>
      </c>
      <c r="G106" s="3609"/>
      <c r="H106" s="3562"/>
      <c r="I106" s="3563">
        <v>2</v>
      </c>
      <c r="J106" s="3562">
        <v>4</v>
      </c>
      <c r="K106" s="3565"/>
      <c r="L106" s="3561">
        <f>SUM(H106:K106)</f>
        <v>6</v>
      </c>
      <c r="M106" s="3620">
        <f>L106/F106</f>
        <v>0.6</v>
      </c>
      <c r="N106" s="3567">
        <f>1-M106</f>
        <v>0.4</v>
      </c>
    </row>
    <row r="107" spans="1:14" x14ac:dyDescent="0.25">
      <c r="A107" s="5785"/>
      <c r="B107" s="3568" t="s">
        <v>7</v>
      </c>
      <c r="C107" s="3607">
        <v>1</v>
      </c>
      <c r="D107" s="3608">
        <v>1</v>
      </c>
      <c r="E107" s="3608">
        <v>1</v>
      </c>
      <c r="F107" s="3571">
        <f>SUM(C107:E107)</f>
        <v>3</v>
      </c>
      <c r="G107" s="3609"/>
      <c r="H107" s="3572"/>
      <c r="I107" s="3573"/>
      <c r="J107" s="3572">
        <v>3</v>
      </c>
      <c r="K107" s="3574"/>
      <c r="L107" s="3571">
        <f>SUM(H107:K107)</f>
        <v>3</v>
      </c>
      <c r="M107" s="3610">
        <f>L107/F107</f>
        <v>1</v>
      </c>
      <c r="N107" s="3576">
        <f>1-M107</f>
        <v>0</v>
      </c>
    </row>
    <row r="108" spans="1:14" x14ac:dyDescent="0.25">
      <c r="A108" s="5786"/>
      <c r="B108" s="3577" t="s">
        <v>12</v>
      </c>
      <c r="C108" s="3578">
        <f>SUM(C105:C107)</f>
        <v>4</v>
      </c>
      <c r="D108" s="3578">
        <f>SUM(D105:D107)</f>
        <v>11</v>
      </c>
      <c r="E108" s="3578">
        <f>SUM(E105:E107)</f>
        <v>7</v>
      </c>
      <c r="F108" s="3578">
        <f>SUM(F105:F107)</f>
        <v>22</v>
      </c>
      <c r="G108" s="3609"/>
      <c r="H108" s="3578">
        <f>SUM(H105:H107)</f>
        <v>0</v>
      </c>
      <c r="I108" s="3579">
        <f>SUM(I105:I107)</f>
        <v>4</v>
      </c>
      <c r="J108" s="3578">
        <f>SUM(J105:J107)</f>
        <v>9</v>
      </c>
      <c r="K108" s="3580">
        <f>SUM(K105:K107)</f>
        <v>1</v>
      </c>
      <c r="L108" s="3578">
        <f>SUM(L105:L107)</f>
        <v>14</v>
      </c>
      <c r="M108" s="3612">
        <f>L108/F108</f>
        <v>0.63636363636363635</v>
      </c>
      <c r="N108" s="3582">
        <f>1-M108</f>
        <v>0.36363636363636365</v>
      </c>
    </row>
    <row r="109" spans="1:14" x14ac:dyDescent="0.25">
      <c r="A109" s="3583"/>
      <c r="B109" s="3583"/>
      <c r="C109" s="3583"/>
      <c r="D109" s="3583"/>
      <c r="E109" s="3583"/>
      <c r="F109" s="3583"/>
      <c r="G109" s="3583"/>
      <c r="H109" s="3583"/>
      <c r="I109" s="3583"/>
      <c r="J109" s="3583"/>
      <c r="K109" s="3583"/>
      <c r="L109" s="3583"/>
      <c r="M109" s="3583"/>
      <c r="N109" s="3583"/>
    </row>
    <row r="110" spans="1:14" x14ac:dyDescent="0.25">
      <c r="A110" s="5751" t="s">
        <v>8</v>
      </c>
      <c r="B110" s="3549" t="s">
        <v>6</v>
      </c>
      <c r="C110" s="3614"/>
      <c r="D110" s="3615">
        <v>1</v>
      </c>
      <c r="E110" s="3615">
        <v>1</v>
      </c>
      <c r="F110" s="3552">
        <f>SUM(C110:E110)</f>
        <v>2</v>
      </c>
      <c r="G110" s="3609"/>
      <c r="H110" s="3553"/>
      <c r="I110" s="3554"/>
      <c r="J110" s="3553"/>
      <c r="K110" s="3584">
        <v>2</v>
      </c>
      <c r="L110" s="3552">
        <f>SUM(H110:K110)</f>
        <v>2</v>
      </c>
      <c r="M110" s="3616">
        <f>L110/F110</f>
        <v>1</v>
      </c>
      <c r="N110" s="3557">
        <f>1-M110</f>
        <v>0</v>
      </c>
    </row>
    <row r="111" spans="1:14" x14ac:dyDescent="0.25">
      <c r="A111" s="5752"/>
      <c r="B111" s="3558" t="s">
        <v>9</v>
      </c>
      <c r="C111" s="3618"/>
      <c r="D111" s="3619">
        <v>1</v>
      </c>
      <c r="E111" s="3619"/>
      <c r="F111" s="3561">
        <f>SUM(C111:E111)</f>
        <v>1</v>
      </c>
      <c r="G111" s="3609"/>
      <c r="H111" s="3562"/>
      <c r="I111" s="3563"/>
      <c r="J111" s="3562"/>
      <c r="K111" s="3565"/>
      <c r="L111" s="3561"/>
      <c r="M111" s="3620">
        <f>L111/F111</f>
        <v>0</v>
      </c>
      <c r="N111" s="3567">
        <f>1-M111</f>
        <v>1</v>
      </c>
    </row>
    <row r="112" spans="1:14" ht="15" customHeight="1" x14ac:dyDescent="0.25">
      <c r="A112" s="5752"/>
      <c r="B112" s="3568" t="s">
        <v>74</v>
      </c>
      <c r="C112" s="3607">
        <v>1</v>
      </c>
      <c r="D112" s="3608">
        <v>1</v>
      </c>
      <c r="E112" s="3608">
        <v>1</v>
      </c>
      <c r="F112" s="3571">
        <f>SUM(C112:E112)</f>
        <v>3</v>
      </c>
      <c r="G112" s="3609"/>
      <c r="H112" s="3572"/>
      <c r="I112" s="3573"/>
      <c r="J112" s="3572"/>
      <c r="K112" s="3574"/>
      <c r="L112" s="3571"/>
      <c r="M112" s="3610">
        <f>L112/F112</f>
        <v>0</v>
      </c>
      <c r="N112" s="3576">
        <f>1-M112</f>
        <v>1</v>
      </c>
    </row>
    <row r="113" spans="1:14" x14ac:dyDescent="0.25">
      <c r="A113" s="5753"/>
      <c r="B113" s="3577" t="s">
        <v>12</v>
      </c>
      <c r="C113" s="3578">
        <f>SUM(C110:C112)</f>
        <v>1</v>
      </c>
      <c r="D113" s="3578">
        <f>SUM(D110:D112)</f>
        <v>3</v>
      </c>
      <c r="E113" s="3578">
        <f>SUM(E110:E112)</f>
        <v>2</v>
      </c>
      <c r="F113" s="3578">
        <f>SUM(F110:F112)</f>
        <v>6</v>
      </c>
      <c r="G113" s="3609"/>
      <c r="H113" s="3579">
        <f>SUM(H110:H112)</f>
        <v>0</v>
      </c>
      <c r="I113" s="3579">
        <f>SUM(I110:I112)</f>
        <v>0</v>
      </c>
      <c r="J113" s="3579">
        <f>SUM(J110:J112)</f>
        <v>0</v>
      </c>
      <c r="K113" s="3579">
        <f>SUM(K110:K112)</f>
        <v>2</v>
      </c>
      <c r="L113" s="3579">
        <f>SUM(L110:L112)</f>
        <v>2</v>
      </c>
      <c r="M113" s="3612">
        <f>L113/F113</f>
        <v>0.33333333333333331</v>
      </c>
      <c r="N113" s="3582">
        <f>1-M113</f>
        <v>0.66666666666666674</v>
      </c>
    </row>
    <row r="114" spans="1:14" x14ac:dyDescent="0.25">
      <c r="A114" s="3541"/>
      <c r="B114" s="3541"/>
      <c r="C114" s="3609"/>
      <c r="D114" s="3609"/>
      <c r="E114" s="3609"/>
      <c r="F114" s="3698"/>
      <c r="G114" s="3609"/>
      <c r="H114" s="3609"/>
      <c r="I114" s="3609"/>
      <c r="J114" s="3609"/>
      <c r="K114" s="3609"/>
      <c r="L114" s="3699"/>
      <c r="M114" s="3609"/>
      <c r="N114" s="3587"/>
    </row>
    <row r="115" spans="1:14" x14ac:dyDescent="0.25">
      <c r="A115" s="5787" t="s">
        <v>75</v>
      </c>
      <c r="B115" s="3549" t="s">
        <v>5</v>
      </c>
      <c r="C115" s="3614"/>
      <c r="D115" s="3615">
        <v>7</v>
      </c>
      <c r="E115" s="3615">
        <v>6</v>
      </c>
      <c r="F115" s="3552">
        <f>SUM(C115:E115)</f>
        <v>13</v>
      </c>
      <c r="G115" s="3609"/>
      <c r="H115" s="3553"/>
      <c r="I115" s="3554">
        <v>8</v>
      </c>
      <c r="J115" s="3553">
        <v>3</v>
      </c>
      <c r="K115" s="3584">
        <v>1</v>
      </c>
      <c r="L115" s="3552">
        <f>SUM(I115:K115)</f>
        <v>12</v>
      </c>
      <c r="M115" s="3616">
        <f>L115/F115</f>
        <v>0.92307692307692313</v>
      </c>
      <c r="N115" s="3557">
        <f>1-M115</f>
        <v>7.6923076923076872E-2</v>
      </c>
    </row>
    <row r="116" spans="1:14" x14ac:dyDescent="0.25">
      <c r="A116" s="5788"/>
      <c r="B116" s="3558" t="s">
        <v>6</v>
      </c>
      <c r="C116" s="3618">
        <v>1</v>
      </c>
      <c r="D116" s="3619">
        <v>3</v>
      </c>
      <c r="E116" s="3619">
        <v>3</v>
      </c>
      <c r="F116" s="3561">
        <f>SUM(C116:E116)</f>
        <v>7</v>
      </c>
      <c r="G116" s="3609"/>
      <c r="H116" s="3562">
        <v>2</v>
      </c>
      <c r="I116" s="3563">
        <v>2</v>
      </c>
      <c r="J116" s="3562">
        <v>2</v>
      </c>
      <c r="K116" s="3565"/>
      <c r="L116" s="3561">
        <f>SUM(H116:K116)</f>
        <v>6</v>
      </c>
      <c r="M116" s="3620">
        <f>L116/F116</f>
        <v>0.8571428571428571</v>
      </c>
      <c r="N116" s="3567">
        <f>1-M116</f>
        <v>0.1428571428571429</v>
      </c>
    </row>
    <row r="117" spans="1:14" x14ac:dyDescent="0.25">
      <c r="A117" s="5788"/>
      <c r="B117" s="3568" t="s">
        <v>11</v>
      </c>
      <c r="C117" s="3607">
        <v>2</v>
      </c>
      <c r="D117" s="3608">
        <v>4</v>
      </c>
      <c r="E117" s="3608">
        <v>2</v>
      </c>
      <c r="F117" s="3571">
        <f>SUM(C117:E117)</f>
        <v>8</v>
      </c>
      <c r="G117" s="3609"/>
      <c r="H117" s="3572"/>
      <c r="I117" s="3573">
        <v>5</v>
      </c>
      <c r="J117" s="3572"/>
      <c r="K117" s="3574"/>
      <c r="L117" s="3571">
        <f>SUM(I117:K117)</f>
        <v>5</v>
      </c>
      <c r="M117" s="3610">
        <f>L117/F117</f>
        <v>0.625</v>
      </c>
      <c r="N117" s="3576">
        <f>1-M117</f>
        <v>0.375</v>
      </c>
    </row>
    <row r="118" spans="1:14" x14ac:dyDescent="0.25">
      <c r="A118" s="5789"/>
      <c r="B118" s="3577" t="s">
        <v>12</v>
      </c>
      <c r="C118" s="3578">
        <f>SUM(C115:C117)</f>
        <v>3</v>
      </c>
      <c r="D118" s="3578">
        <f>SUM(D115:D117)</f>
        <v>14</v>
      </c>
      <c r="E118" s="3578">
        <f>SUM(E115:E117)</f>
        <v>11</v>
      </c>
      <c r="F118" s="3578">
        <f>SUM(F115:F117)</f>
        <v>28</v>
      </c>
      <c r="G118" s="3609"/>
      <c r="H118" s="3579">
        <f>SUM(H115:H117)</f>
        <v>2</v>
      </c>
      <c r="I118" s="3579">
        <f>SUM(I115:I117)</f>
        <v>15</v>
      </c>
      <c r="J118" s="3579">
        <f>SUM(J115:J117)</f>
        <v>5</v>
      </c>
      <c r="K118" s="3579">
        <f>SUM(K115:K117)</f>
        <v>1</v>
      </c>
      <c r="L118" s="3579">
        <f>SUM(L115:L117)</f>
        <v>23</v>
      </c>
      <c r="M118" s="3612">
        <f>L118/F118</f>
        <v>0.8214285714285714</v>
      </c>
      <c r="N118" s="3582">
        <f>1-M118</f>
        <v>0.1785714285714286</v>
      </c>
    </row>
    <row r="119" spans="1:14" x14ac:dyDescent="0.25">
      <c r="A119" s="3589"/>
      <c r="B119" s="3590"/>
      <c r="C119" s="3591"/>
      <c r="D119" s="3591"/>
      <c r="E119" s="3591"/>
      <c r="F119" s="3592"/>
      <c r="G119" s="3541"/>
      <c r="H119" s="3593"/>
      <c r="I119" s="3593"/>
      <c r="J119" s="3593"/>
      <c r="K119" s="3594"/>
      <c r="L119" s="3595"/>
      <c r="M119" s="3596"/>
      <c r="N119" s="3597"/>
    </row>
    <row r="120" spans="1:14" x14ac:dyDescent="0.25">
      <c r="A120" s="5790" t="s">
        <v>10</v>
      </c>
      <c r="B120" s="3549" t="s">
        <v>6</v>
      </c>
      <c r="C120" s="3550">
        <v>1</v>
      </c>
      <c r="D120" s="3551">
        <v>8</v>
      </c>
      <c r="E120" s="3551">
        <v>2</v>
      </c>
      <c r="F120" s="3552">
        <f>SUM(C120:E120)</f>
        <v>11</v>
      </c>
      <c r="G120" s="3541"/>
      <c r="H120" s="3553"/>
      <c r="I120" s="3554">
        <v>5</v>
      </c>
      <c r="J120" s="3553">
        <v>3</v>
      </c>
      <c r="K120" s="3584">
        <v>1</v>
      </c>
      <c r="L120" s="3552">
        <f>SUM(I120:K120)</f>
        <v>9</v>
      </c>
      <c r="M120" s="3556">
        <f>L120/F120</f>
        <v>0.81818181818181823</v>
      </c>
      <c r="N120" s="3557">
        <f>1-M120</f>
        <v>0.18181818181818177</v>
      </c>
    </row>
    <row r="121" spans="1:14" x14ac:dyDescent="0.25">
      <c r="A121" s="5791"/>
      <c r="B121" s="3558" t="s">
        <v>11</v>
      </c>
      <c r="C121" s="3559">
        <v>3</v>
      </c>
      <c r="D121" s="3560">
        <v>7</v>
      </c>
      <c r="E121" s="3560">
        <v>1</v>
      </c>
      <c r="F121" s="3561">
        <f>SUM(C121:E121)</f>
        <v>11</v>
      </c>
      <c r="G121" s="3541"/>
      <c r="H121" s="3562"/>
      <c r="I121" s="3563">
        <v>4</v>
      </c>
      <c r="J121" s="3562">
        <v>3</v>
      </c>
      <c r="K121" s="3565"/>
      <c r="L121" s="3561">
        <f>SUM(I121:K121)</f>
        <v>7</v>
      </c>
      <c r="M121" s="3566">
        <f>L121/F121</f>
        <v>0.63636363636363635</v>
      </c>
      <c r="N121" s="3567">
        <f>1-M121</f>
        <v>0.36363636363636365</v>
      </c>
    </row>
    <row r="122" spans="1:14" x14ac:dyDescent="0.25">
      <c r="A122" s="5791"/>
      <c r="B122" s="3568" t="s">
        <v>7</v>
      </c>
      <c r="C122" s="3569"/>
      <c r="D122" s="3570">
        <v>3</v>
      </c>
      <c r="E122" s="3570">
        <v>1</v>
      </c>
      <c r="F122" s="3571">
        <f>SUM(C122:E122)</f>
        <v>4</v>
      </c>
      <c r="G122" s="3541"/>
      <c r="H122" s="3572"/>
      <c r="I122" s="3573">
        <v>1</v>
      </c>
      <c r="J122" s="3572">
        <v>1</v>
      </c>
      <c r="K122" s="3574"/>
      <c r="L122" s="3571">
        <f>SUM(I122:K122)</f>
        <v>2</v>
      </c>
      <c r="M122" s="3575">
        <f>L122/F122</f>
        <v>0.5</v>
      </c>
      <c r="N122" s="3576">
        <f>1-M122</f>
        <v>0.5</v>
      </c>
    </row>
    <row r="123" spans="1:14" ht="15" customHeight="1" x14ac:dyDescent="0.25">
      <c r="A123" s="5792"/>
      <c r="B123" s="3577" t="s">
        <v>12</v>
      </c>
      <c r="C123" s="3577">
        <f>SUM(C120:C122)</f>
        <v>4</v>
      </c>
      <c r="D123" s="3577">
        <f>SUM(D120:D122)</f>
        <v>18</v>
      </c>
      <c r="E123" s="3577">
        <f>SUM(E120:E122)</f>
        <v>4</v>
      </c>
      <c r="F123" s="3578">
        <f>SUM(F120:F122)</f>
        <v>26</v>
      </c>
      <c r="G123" s="3541"/>
      <c r="H123" s="3579">
        <f>SUM(H120:H122)</f>
        <v>0</v>
      </c>
      <c r="I123" s="3579">
        <f>SUM(I120:I122)</f>
        <v>10</v>
      </c>
      <c r="J123" s="3579">
        <f>SUM(J120:J122)</f>
        <v>7</v>
      </c>
      <c r="K123" s="3579">
        <f>SUM(K120:K122)</f>
        <v>1</v>
      </c>
      <c r="L123" s="3579">
        <f>SUM(L120:L122)</f>
        <v>18</v>
      </c>
      <c r="M123" s="3581">
        <f>L123/F123</f>
        <v>0.69230769230769229</v>
      </c>
      <c r="N123" s="3582">
        <f>1-M123</f>
        <v>0.30769230769230771</v>
      </c>
    </row>
    <row r="124" spans="1:14" x14ac:dyDescent="0.25">
      <c r="A124" s="3598"/>
      <c r="B124" s="3598"/>
      <c r="C124" s="3598"/>
      <c r="D124" s="3598"/>
      <c r="E124" s="3598"/>
      <c r="F124" s="3598"/>
      <c r="G124" s="3598"/>
      <c r="H124" s="3598"/>
      <c r="I124" s="3598"/>
      <c r="J124" s="3598"/>
      <c r="K124" s="3598"/>
      <c r="L124" s="3598"/>
      <c r="M124" s="3598"/>
      <c r="N124" s="3599"/>
    </row>
    <row r="125" spans="1:14" x14ac:dyDescent="0.25">
      <c r="A125" s="5760" t="s">
        <v>1235</v>
      </c>
      <c r="B125" s="3549" t="s">
        <v>6</v>
      </c>
      <c r="C125" s="3550"/>
      <c r="D125" s="3551">
        <v>2</v>
      </c>
      <c r="E125" s="3551">
        <v>2</v>
      </c>
      <c r="F125" s="3552">
        <f>SUM(C125:E125)</f>
        <v>4</v>
      </c>
      <c r="G125" s="3541"/>
      <c r="H125" s="3553"/>
      <c r="I125" s="3554">
        <v>4</v>
      </c>
      <c r="J125" s="3553"/>
      <c r="K125" s="3584"/>
      <c r="L125" s="3552">
        <f>SUM(H125:K125)</f>
        <v>4</v>
      </c>
      <c r="M125" s="3556">
        <f>L125/F125</f>
        <v>1</v>
      </c>
      <c r="N125" s="3557">
        <f>1-M125</f>
        <v>0</v>
      </c>
    </row>
    <row r="126" spans="1:14" x14ac:dyDescent="0.25">
      <c r="A126" s="5761"/>
      <c r="B126" s="3558" t="s">
        <v>1236</v>
      </c>
      <c r="C126" s="3559"/>
      <c r="D126" s="3560"/>
      <c r="E126" s="3560">
        <v>1</v>
      </c>
      <c r="F126" s="3561">
        <f>SUM(C126:E126)</f>
        <v>1</v>
      </c>
      <c r="G126" s="3541"/>
      <c r="H126" s="3562"/>
      <c r="I126" s="3563">
        <v>1</v>
      </c>
      <c r="J126" s="3562"/>
      <c r="K126" s="3565"/>
      <c r="L126" s="3561">
        <f>SUM(H126:K126)</f>
        <v>1</v>
      </c>
      <c r="M126" s="3566">
        <f>L126/F126</f>
        <v>1</v>
      </c>
      <c r="N126" s="3567">
        <f>1-M126</f>
        <v>0</v>
      </c>
    </row>
    <row r="127" spans="1:14" x14ac:dyDescent="0.25">
      <c r="A127" s="5762"/>
      <c r="B127" s="3577" t="s">
        <v>12</v>
      </c>
      <c r="C127" s="3577">
        <f>SUM(C125:C126)</f>
        <v>0</v>
      </c>
      <c r="D127" s="3577">
        <f>SUM(D125:D126)</f>
        <v>2</v>
      </c>
      <c r="E127" s="3577">
        <f>SUM(E125:E126)</f>
        <v>3</v>
      </c>
      <c r="F127" s="3578">
        <f>SUM(F125:F126)</f>
        <v>5</v>
      </c>
      <c r="G127" s="3541"/>
      <c r="H127" s="3579">
        <f>SUM(H125:H126)</f>
        <v>0</v>
      </c>
      <c r="I127" s="3579">
        <f>SUM(I125:I126)</f>
        <v>5</v>
      </c>
      <c r="J127" s="3579">
        <f>SUM(J125:J126)</f>
        <v>0</v>
      </c>
      <c r="K127" s="3579">
        <f>SUM(K125:K126)</f>
        <v>0</v>
      </c>
      <c r="L127" s="3579">
        <f>SUM(L125:L126)</f>
        <v>5</v>
      </c>
      <c r="M127" s="3581">
        <f>L127/F127</f>
        <v>1</v>
      </c>
      <c r="N127" s="3582">
        <f>1-M127</f>
        <v>0</v>
      </c>
    </row>
    <row r="128" spans="1:14" x14ac:dyDescent="0.25">
      <c r="A128" s="3590"/>
      <c r="B128" s="3590"/>
      <c r="C128" s="3591"/>
      <c r="D128" s="3591"/>
      <c r="E128" s="3591"/>
      <c r="F128" s="3592"/>
      <c r="G128" s="3541"/>
      <c r="H128" s="3593"/>
      <c r="I128" s="3593"/>
      <c r="J128" s="3593"/>
      <c r="K128" s="3594"/>
      <c r="L128" s="3595"/>
      <c r="M128" s="3596"/>
      <c r="N128" s="3597"/>
    </row>
    <row r="129" spans="1:14" x14ac:dyDescent="0.25">
      <c r="A129" s="5779" t="s">
        <v>60</v>
      </c>
      <c r="B129" s="5779"/>
      <c r="C129" s="3577">
        <f>SUM(C108,C118,C123,C113,C127)</f>
        <v>12</v>
      </c>
      <c r="D129" s="3577">
        <f>SUM(D108,D118,D123,D113,D127)</f>
        <v>48</v>
      </c>
      <c r="E129" s="3577">
        <f>SUM(E108,E118,E123,E113,E127)</f>
        <v>27</v>
      </c>
      <c r="F129" s="3577">
        <f>SUM(F108,F118,F123,F113,F127)</f>
        <v>87</v>
      </c>
      <c r="G129" s="3541"/>
      <c r="H129" s="3578">
        <f>SUM(H108,H118,H123,H113,H127)</f>
        <v>2</v>
      </c>
      <c r="I129" s="3578">
        <f>SUM(I108,I118,I123,I113,I127)</f>
        <v>34</v>
      </c>
      <c r="J129" s="3578">
        <f>SUM(J108,J118,J123,J113,J127)</f>
        <v>21</v>
      </c>
      <c r="K129" s="3578">
        <f>SUM(K108,K118,K123,K113,K127)</f>
        <v>5</v>
      </c>
      <c r="L129" s="4101">
        <f>SUM(L108,L118,L123,L113,L127)</f>
        <v>62</v>
      </c>
      <c r="M129" s="3581">
        <f>L129/F129</f>
        <v>0.71264367816091956</v>
      </c>
      <c r="N129" s="3582">
        <f>1-M129</f>
        <v>0.28735632183908044</v>
      </c>
    </row>
    <row r="130" spans="1:14" x14ac:dyDescent="0.25">
      <c r="A130" s="3541"/>
      <c r="B130" s="3541"/>
      <c r="C130" s="3541"/>
      <c r="D130" s="3541"/>
      <c r="E130" s="3541"/>
      <c r="F130" s="3541"/>
      <c r="G130" s="3541"/>
      <c r="H130" s="3541"/>
      <c r="I130" s="3541"/>
      <c r="J130" s="3541"/>
      <c r="K130" s="3541"/>
      <c r="L130" s="3541"/>
      <c r="M130" s="3541"/>
      <c r="N130" s="3601"/>
    </row>
    <row r="131" spans="1:14" ht="15.75" thickBot="1" x14ac:dyDescent="0.3">
      <c r="A131" s="3547" t="s">
        <v>1266</v>
      </c>
      <c r="B131" s="3541"/>
      <c r="C131" s="3541"/>
      <c r="D131" s="3541"/>
      <c r="E131" s="3541"/>
      <c r="F131" s="3541"/>
      <c r="G131" s="3541"/>
      <c r="H131" s="3541"/>
      <c r="I131" s="3541"/>
      <c r="J131" s="5782" t="s">
        <v>1239</v>
      </c>
      <c r="K131" s="5783"/>
      <c r="L131" s="3605">
        <f>F129-L129</f>
        <v>25</v>
      </c>
      <c r="M131" s="3541"/>
      <c r="N131" s="3601"/>
    </row>
    <row r="135" spans="1:14" x14ac:dyDescent="0.25">
      <c r="A135" s="5793" t="s">
        <v>51</v>
      </c>
      <c r="B135" s="5793" t="s">
        <v>702</v>
      </c>
      <c r="C135" s="5794" t="s">
        <v>1268</v>
      </c>
      <c r="D135" s="5795"/>
      <c r="E135" s="5795"/>
      <c r="F135" s="5796"/>
      <c r="G135" s="3641"/>
      <c r="H135" s="5794" t="s">
        <v>1267</v>
      </c>
      <c r="I135" s="5795"/>
      <c r="J135" s="5795"/>
      <c r="K135" s="5795"/>
      <c r="L135" s="5795"/>
      <c r="M135" s="5796"/>
    </row>
    <row r="136" spans="1:14" ht="24" x14ac:dyDescent="0.25">
      <c r="A136" s="5793"/>
      <c r="B136" s="5793"/>
      <c r="C136" s="3653" t="s">
        <v>824</v>
      </c>
      <c r="D136" s="3653" t="s">
        <v>632</v>
      </c>
      <c r="E136" s="3653" t="s">
        <v>633</v>
      </c>
      <c r="F136" s="3652" t="s">
        <v>12</v>
      </c>
      <c r="H136" s="3696" t="s">
        <v>1238</v>
      </c>
      <c r="I136" s="3696" t="s">
        <v>1222</v>
      </c>
      <c r="J136" s="3696" t="s">
        <v>1224</v>
      </c>
      <c r="K136" s="3696" t="s">
        <v>1228</v>
      </c>
      <c r="L136" s="3695" t="s">
        <v>12</v>
      </c>
      <c r="M136" s="3694" t="s">
        <v>1129</v>
      </c>
    </row>
    <row r="137" spans="1:14" x14ac:dyDescent="0.25">
      <c r="A137" s="3693"/>
      <c r="B137" s="3693"/>
      <c r="F137" s="3693"/>
      <c r="H137" s="3693"/>
      <c r="L137" s="3693"/>
      <c r="M137" s="3693"/>
    </row>
    <row r="138" spans="1:14" x14ac:dyDescent="0.25">
      <c r="A138" s="5797" t="s">
        <v>3</v>
      </c>
      <c r="B138" s="3689" t="s">
        <v>5</v>
      </c>
      <c r="C138" s="3688"/>
      <c r="D138" s="3687">
        <v>3</v>
      </c>
      <c r="E138" s="3687">
        <v>2</v>
      </c>
      <c r="F138" s="3683">
        <f>SUM(C138:E138)</f>
        <v>5</v>
      </c>
      <c r="H138" s="3685"/>
      <c r="I138" s="3686">
        <v>2</v>
      </c>
      <c r="J138" s="3685">
        <v>2</v>
      </c>
      <c r="K138" s="3684"/>
      <c r="L138" s="3683">
        <f>SUM(I138:K138)</f>
        <v>4</v>
      </c>
      <c r="M138" s="3682">
        <f>L138/F138</f>
        <v>0.8</v>
      </c>
    </row>
    <row r="139" spans="1:14" x14ac:dyDescent="0.25">
      <c r="A139" s="5798"/>
      <c r="B139" s="3681" t="s">
        <v>6</v>
      </c>
      <c r="C139" s="3680">
        <v>3</v>
      </c>
      <c r="D139" s="3679">
        <v>5</v>
      </c>
      <c r="E139" s="3679">
        <v>3</v>
      </c>
      <c r="F139" s="3675">
        <f>SUM(C139:E139)</f>
        <v>11</v>
      </c>
      <c r="H139" s="3677"/>
      <c r="I139" s="3678">
        <v>4</v>
      </c>
      <c r="J139" s="3677">
        <v>4</v>
      </c>
      <c r="K139" s="3676">
        <v>1</v>
      </c>
      <c r="L139" s="3675">
        <f>SUM(H139:K139)</f>
        <v>9</v>
      </c>
      <c r="M139" s="3674">
        <f>L139/F139</f>
        <v>0.81818181818181823</v>
      </c>
    </row>
    <row r="140" spans="1:14" x14ac:dyDescent="0.25">
      <c r="A140" s="5798"/>
      <c r="B140" s="3673" t="s">
        <v>7</v>
      </c>
      <c r="C140" s="3672">
        <v>1</v>
      </c>
      <c r="D140" s="3671">
        <v>1</v>
      </c>
      <c r="E140" s="3671">
        <v>1</v>
      </c>
      <c r="F140" s="3667">
        <f>SUM(C140:E140)</f>
        <v>3</v>
      </c>
      <c r="H140" s="3669"/>
      <c r="I140" s="3670"/>
      <c r="J140" s="3669">
        <v>3</v>
      </c>
      <c r="K140" s="3668"/>
      <c r="L140" s="3667">
        <f>SUM(I140:K140)</f>
        <v>3</v>
      </c>
      <c r="M140" s="3666">
        <f>L140/F140</f>
        <v>1</v>
      </c>
    </row>
    <row r="141" spans="1:14" ht="15" customHeight="1" x14ac:dyDescent="0.25">
      <c r="A141" s="5799"/>
      <c r="B141" s="3657" t="s">
        <v>12</v>
      </c>
      <c r="C141" s="3657">
        <f>SUM(C138:C140)</f>
        <v>4</v>
      </c>
      <c r="D141" s="3657">
        <f>SUM(D138:D140)</f>
        <v>9</v>
      </c>
      <c r="E141" s="3657">
        <f>SUM(E138:E140)</f>
        <v>6</v>
      </c>
      <c r="F141" s="3697">
        <f>SUM(F138:F140)</f>
        <v>19</v>
      </c>
      <c r="H141" s="3697">
        <f>SUM(H138:H140)</f>
        <v>0</v>
      </c>
      <c r="I141" s="3665">
        <f>SUM(I138:I140)</f>
        <v>6</v>
      </c>
      <c r="J141" s="3697">
        <f>SUM(J138:J140)</f>
        <v>9</v>
      </c>
      <c r="K141" s="3692">
        <f>SUM(K138:K140)</f>
        <v>1</v>
      </c>
      <c r="L141" s="3697">
        <f>SUM(L138:L140)</f>
        <v>16</v>
      </c>
      <c r="M141" s="3656">
        <f>L141/F141</f>
        <v>0.84210526315789469</v>
      </c>
    </row>
    <row r="142" spans="1:14" x14ac:dyDescent="0.25">
      <c r="F142" s="3690"/>
      <c r="L142" s="3586"/>
    </row>
    <row r="143" spans="1:14" x14ac:dyDescent="0.25">
      <c r="A143" s="5805" t="s">
        <v>75</v>
      </c>
      <c r="B143" s="3689" t="s">
        <v>5</v>
      </c>
      <c r="C143" s="3688"/>
      <c r="D143" s="3687">
        <v>7</v>
      </c>
      <c r="E143" s="3687">
        <v>6</v>
      </c>
      <c r="F143" s="3683">
        <f>SUM(C143:E143)</f>
        <v>13</v>
      </c>
      <c r="H143" s="3685"/>
      <c r="I143" s="3686">
        <v>8</v>
      </c>
      <c r="J143" s="3685">
        <v>3</v>
      </c>
      <c r="K143" s="3684">
        <v>1</v>
      </c>
      <c r="L143" s="3683">
        <f>SUM(I143:K143)</f>
        <v>12</v>
      </c>
      <c r="M143" s="3682">
        <f>L143/F143</f>
        <v>0.92307692307692313</v>
      </c>
    </row>
    <row r="144" spans="1:14" x14ac:dyDescent="0.25">
      <c r="A144" s="5806"/>
      <c r="B144" s="3681" t="s">
        <v>6</v>
      </c>
      <c r="C144" s="3680">
        <v>1</v>
      </c>
      <c r="D144" s="3679">
        <v>4</v>
      </c>
      <c r="E144" s="3679">
        <v>4</v>
      </c>
      <c r="F144" s="3675">
        <f>SUM(C144:E144)</f>
        <v>9</v>
      </c>
      <c r="H144" s="3677">
        <v>2</v>
      </c>
      <c r="I144" s="3678">
        <v>4</v>
      </c>
      <c r="J144" s="3677">
        <v>2</v>
      </c>
      <c r="K144" s="3676"/>
      <c r="L144" s="3675">
        <f>SUM(H144:K144)</f>
        <v>8</v>
      </c>
      <c r="M144" s="3674">
        <f>L144/F144</f>
        <v>0.88888888888888884</v>
      </c>
    </row>
    <row r="145" spans="1:13" x14ac:dyDescent="0.25">
      <c r="A145" s="5806"/>
      <c r="B145" s="3673" t="s">
        <v>11</v>
      </c>
      <c r="C145" s="3672">
        <v>2</v>
      </c>
      <c r="D145" s="3671">
        <v>3</v>
      </c>
      <c r="E145" s="3671">
        <v>3</v>
      </c>
      <c r="F145" s="3667">
        <f>SUM(C145:E145)</f>
        <v>8</v>
      </c>
      <c r="H145" s="3669"/>
      <c r="I145" s="3670">
        <v>6</v>
      </c>
      <c r="J145" s="3669"/>
      <c r="K145" s="3668"/>
      <c r="L145" s="3667">
        <f>SUM(I145:K145)</f>
        <v>6</v>
      </c>
      <c r="M145" s="3666">
        <f>L145/F145</f>
        <v>0.75</v>
      </c>
    </row>
    <row r="146" spans="1:13" x14ac:dyDescent="0.25">
      <c r="A146" s="5807"/>
      <c r="B146" s="3657" t="s">
        <v>12</v>
      </c>
      <c r="C146" s="3657">
        <f>SUM(C143:C145)</f>
        <v>3</v>
      </c>
      <c r="D146" s="3657">
        <f>SUM(D143:D145)</f>
        <v>14</v>
      </c>
      <c r="E146" s="3657">
        <f>SUM(E143:E145)</f>
        <v>13</v>
      </c>
      <c r="F146" s="3697">
        <f>SUM(F143:F145)</f>
        <v>30</v>
      </c>
      <c r="H146" s="3665">
        <f>SUM(H143:H145)</f>
        <v>2</v>
      </c>
      <c r="I146" s="3665">
        <f>SUM(I143:I145)</f>
        <v>18</v>
      </c>
      <c r="J146" s="3665">
        <f>SUM(J143:J145)</f>
        <v>5</v>
      </c>
      <c r="K146" s="3665">
        <f>SUM(K143:K145)</f>
        <v>1</v>
      </c>
      <c r="L146" s="3665">
        <f>SUM(L143:L145)</f>
        <v>26</v>
      </c>
      <c r="M146" s="3656">
        <f>L146/F146</f>
        <v>0.8666666666666667</v>
      </c>
    </row>
    <row r="147" spans="1:13" x14ac:dyDescent="0.25">
      <c r="A147" s="3691"/>
      <c r="B147" s="3664"/>
      <c r="C147" s="3663"/>
      <c r="D147" s="3663"/>
      <c r="E147" s="3663"/>
      <c r="F147" s="3662"/>
      <c r="H147" s="3661"/>
      <c r="I147" s="3661"/>
      <c r="J147" s="3661"/>
      <c r="K147" s="3660"/>
      <c r="L147" s="3659"/>
      <c r="M147" s="3658"/>
    </row>
    <row r="148" spans="1:13" x14ac:dyDescent="0.25">
      <c r="A148" s="5809" t="s">
        <v>10</v>
      </c>
      <c r="B148" s="3689" t="s">
        <v>6</v>
      </c>
      <c r="C148" s="3700">
        <v>2</v>
      </c>
      <c r="D148" s="3701">
        <v>7</v>
      </c>
      <c r="E148" s="3701">
        <v>2</v>
      </c>
      <c r="F148" s="3683">
        <f>SUM(C148:E148)</f>
        <v>11</v>
      </c>
      <c r="G148" s="3702"/>
      <c r="H148" s="3685"/>
      <c r="I148" s="3686">
        <v>4</v>
      </c>
      <c r="J148" s="3685">
        <v>4</v>
      </c>
      <c r="K148" s="3684"/>
      <c r="L148" s="3683">
        <f>SUM(I148:K148)</f>
        <v>8</v>
      </c>
      <c r="M148" s="3682">
        <f>L148/F148</f>
        <v>0.72727272727272729</v>
      </c>
    </row>
    <row r="149" spans="1:13" x14ac:dyDescent="0.25">
      <c r="A149" s="5810"/>
      <c r="B149" s="3681" t="s">
        <v>11</v>
      </c>
      <c r="C149" s="3703">
        <v>2</v>
      </c>
      <c r="D149" s="3704">
        <v>6</v>
      </c>
      <c r="E149" s="3704">
        <v>1</v>
      </c>
      <c r="F149" s="3675">
        <f>SUM(C149:E149)</f>
        <v>9</v>
      </c>
      <c r="G149" s="3702"/>
      <c r="H149" s="3677"/>
      <c r="I149" s="3678">
        <v>4</v>
      </c>
      <c r="J149" s="3677">
        <v>3</v>
      </c>
      <c r="K149" s="3676"/>
      <c r="L149" s="3675">
        <f>SUM(I149:K149)</f>
        <v>7</v>
      </c>
      <c r="M149" s="3674">
        <f>L149/F149</f>
        <v>0.77777777777777779</v>
      </c>
    </row>
    <row r="150" spans="1:13" x14ac:dyDescent="0.25">
      <c r="A150" s="5810"/>
      <c r="B150" s="3673" t="s">
        <v>7</v>
      </c>
      <c r="C150" s="3705"/>
      <c r="D150" s="3706">
        <v>3</v>
      </c>
      <c r="E150" s="3706">
        <v>1</v>
      </c>
      <c r="F150" s="3667">
        <f>SUM(C150:E150)</f>
        <v>4</v>
      </c>
      <c r="G150" s="3702"/>
      <c r="H150" s="3669"/>
      <c r="I150" s="3670">
        <v>1</v>
      </c>
      <c r="J150" s="3669"/>
      <c r="K150" s="3668">
        <v>1</v>
      </c>
      <c r="L150" s="3667">
        <f>SUM(I150:K150)</f>
        <v>2</v>
      </c>
      <c r="M150" s="3666">
        <f>L150/F150</f>
        <v>0.5</v>
      </c>
    </row>
    <row r="151" spans="1:13" x14ac:dyDescent="0.25">
      <c r="A151" s="5811"/>
      <c r="B151" s="3657" t="s">
        <v>12</v>
      </c>
      <c r="C151" s="3697">
        <f>SUM(C148:C150)</f>
        <v>4</v>
      </c>
      <c r="D151" s="3697">
        <f>SUM(D148:D150)</f>
        <v>16</v>
      </c>
      <c r="E151" s="3697">
        <f>SUM(E148:E150)</f>
        <v>4</v>
      </c>
      <c r="F151" s="3697">
        <f>SUM(F148:F150)</f>
        <v>24</v>
      </c>
      <c r="G151" s="3702"/>
      <c r="H151" s="3665">
        <f>SUM(H148:H150)</f>
        <v>0</v>
      </c>
      <c r="I151" s="3665">
        <f>SUM(I148:I150)</f>
        <v>9</v>
      </c>
      <c r="J151" s="3665">
        <f>SUM(J148:J150)</f>
        <v>7</v>
      </c>
      <c r="K151" s="3665">
        <f>SUM(K148:K150)</f>
        <v>1</v>
      </c>
      <c r="L151" s="3665">
        <f>SUM(L148:L150)</f>
        <v>17</v>
      </c>
      <c r="M151" s="3656">
        <f>L151/F151</f>
        <v>0.70833333333333337</v>
      </c>
    </row>
    <row r="152" spans="1:13" x14ac:dyDescent="0.25">
      <c r="F152" s="3690"/>
      <c r="L152" s="3586"/>
    </row>
    <row r="153" spans="1:13" x14ac:dyDescent="0.25">
      <c r="A153" s="5812" t="s">
        <v>8</v>
      </c>
      <c r="B153" s="3689" t="s">
        <v>6</v>
      </c>
      <c r="C153" s="3688"/>
      <c r="D153" s="3687">
        <v>1</v>
      </c>
      <c r="E153" s="3687">
        <v>1</v>
      </c>
      <c r="F153" s="3683">
        <f>SUM(C153:E153)</f>
        <v>2</v>
      </c>
      <c r="H153" s="3685"/>
      <c r="I153" s="3686"/>
      <c r="J153" s="3685"/>
      <c r="K153" s="3684"/>
      <c r="L153" s="3683">
        <f>SUM(I153:K153)</f>
        <v>0</v>
      </c>
      <c r="M153" s="3682">
        <f>L153/F153</f>
        <v>0</v>
      </c>
    </row>
    <row r="154" spans="1:13" ht="15" customHeight="1" x14ac:dyDescent="0.25">
      <c r="A154" s="5813"/>
      <c r="B154" s="3681" t="s">
        <v>9</v>
      </c>
      <c r="C154" s="3680"/>
      <c r="D154" s="3679"/>
      <c r="E154" s="3679"/>
      <c r="F154" s="3675"/>
      <c r="H154" s="3677"/>
      <c r="I154" s="3678"/>
      <c r="J154" s="3677"/>
      <c r="K154" s="3676"/>
      <c r="L154" s="3675"/>
      <c r="M154" s="3674"/>
    </row>
    <row r="155" spans="1:13" x14ac:dyDescent="0.25">
      <c r="A155" s="5813"/>
      <c r="B155" s="3673" t="s">
        <v>74</v>
      </c>
      <c r="C155" s="3672"/>
      <c r="D155" s="3671"/>
      <c r="E155" s="3671"/>
      <c r="F155" s="3667"/>
      <c r="H155" s="3669"/>
      <c r="I155" s="3670"/>
      <c r="J155" s="3669"/>
      <c r="K155" s="3668"/>
      <c r="L155" s="3667"/>
      <c r="M155" s="3666"/>
    </row>
    <row r="156" spans="1:13" x14ac:dyDescent="0.25">
      <c r="A156" s="5814"/>
      <c r="B156" s="3657" t="s">
        <v>12</v>
      </c>
      <c r="C156" s="3657">
        <f>SUM(C153:C155)</f>
        <v>0</v>
      </c>
      <c r="D156" s="3657">
        <f>SUM(D153:D155)</f>
        <v>1</v>
      </c>
      <c r="E156" s="3657">
        <f>SUM(E153:E155)</f>
        <v>1</v>
      </c>
      <c r="F156" s="3697">
        <f>SUM(F153:F155)</f>
        <v>2</v>
      </c>
      <c r="H156" s="3665">
        <f>SUM(H153:H155)</f>
        <v>0</v>
      </c>
      <c r="I156" s="3665">
        <f>SUM(I153:I155)</f>
        <v>0</v>
      </c>
      <c r="J156" s="3665">
        <f>SUM(J153:J155)</f>
        <v>0</v>
      </c>
      <c r="K156" s="3665">
        <f>SUM(K153:K155)</f>
        <v>0</v>
      </c>
      <c r="L156" s="3665">
        <f>SUM(L153:L155)</f>
        <v>0</v>
      </c>
      <c r="M156" s="3656">
        <f>L156/F156</f>
        <v>0</v>
      </c>
    </row>
    <row r="157" spans="1:13" x14ac:dyDescent="0.25">
      <c r="A157" s="3664"/>
      <c r="B157" s="3664"/>
      <c r="C157" s="3663"/>
      <c r="D157" s="3663"/>
      <c r="E157" s="3663"/>
      <c r="F157" s="3662"/>
      <c r="H157" s="3661"/>
      <c r="I157" s="3661"/>
      <c r="J157" s="3661"/>
      <c r="K157" s="3660"/>
      <c r="L157" s="3659"/>
      <c r="M157" s="3658"/>
    </row>
    <row r="158" spans="1:13" x14ac:dyDescent="0.25">
      <c r="A158" s="5815" t="s">
        <v>60</v>
      </c>
      <c r="B158" s="5815"/>
      <c r="C158" s="3657">
        <f>SUM(C141,C146,C151,C156)</f>
        <v>11</v>
      </c>
      <c r="D158" s="3657">
        <f>SUM(D141,D146,D151,D156)</f>
        <v>40</v>
      </c>
      <c r="E158" s="3657">
        <f>SUM(E141,E146,E151,E156)</f>
        <v>24</v>
      </c>
      <c r="F158" s="3697">
        <f>SUM(F141,F146,F151,F156)</f>
        <v>75</v>
      </c>
      <c r="H158" s="3697">
        <f>SUM(H141,H146,H151,H156)</f>
        <v>2</v>
      </c>
      <c r="I158" s="3697">
        <f>SUM(I141,I146,I151,I156)</f>
        <v>33</v>
      </c>
      <c r="J158" s="3697">
        <f>SUM(J141,J146,J151,J156)</f>
        <v>21</v>
      </c>
      <c r="K158" s="3697">
        <f>SUM(K141,K146,K151,K156)</f>
        <v>3</v>
      </c>
      <c r="L158" s="4102">
        <f>SUM(L141,L146,L151,L156)</f>
        <v>59</v>
      </c>
      <c r="M158" s="3656">
        <f>L158/F158</f>
        <v>0.78666666666666663</v>
      </c>
    </row>
    <row r="160" spans="1:13" ht="15.75" thickBot="1" x14ac:dyDescent="0.3">
      <c r="A160" s="3655" t="s">
        <v>1266</v>
      </c>
      <c r="K160" s="5782" t="s">
        <v>1239</v>
      </c>
      <c r="L160" s="5800"/>
      <c r="M160" s="3605">
        <f>F158-L158</f>
        <v>16</v>
      </c>
    </row>
    <row r="162" spans="1:13" x14ac:dyDescent="0.25">
      <c r="A162" s="5801" t="s">
        <v>51</v>
      </c>
      <c r="B162" s="5801" t="s">
        <v>702</v>
      </c>
      <c r="C162" s="5794" t="s">
        <v>1265</v>
      </c>
      <c r="D162" s="5795"/>
      <c r="E162" s="5795"/>
      <c r="F162" s="5796"/>
      <c r="H162" s="5802" t="s">
        <v>1264</v>
      </c>
      <c r="I162" s="5803"/>
      <c r="J162" s="5803"/>
      <c r="K162" s="5803"/>
      <c r="L162" s="5803"/>
      <c r="M162" s="5804"/>
    </row>
    <row r="163" spans="1:13" ht="24" x14ac:dyDescent="0.25">
      <c r="A163" s="5801"/>
      <c r="B163" s="5801"/>
      <c r="C163" s="3653" t="s">
        <v>824</v>
      </c>
      <c r="D163" s="3653" t="s">
        <v>632</v>
      </c>
      <c r="E163" s="3653" t="s">
        <v>633</v>
      </c>
      <c r="F163" s="3652" t="s">
        <v>12</v>
      </c>
      <c r="H163" s="3651" t="s">
        <v>1238</v>
      </c>
      <c r="I163" s="3651" t="s">
        <v>1222</v>
      </c>
      <c r="J163" s="3651" t="s">
        <v>1224</v>
      </c>
      <c r="K163" s="3651" t="s">
        <v>1228</v>
      </c>
      <c r="L163" s="3377" t="s">
        <v>12</v>
      </c>
      <c r="M163" s="3377" t="s">
        <v>1129</v>
      </c>
    </row>
    <row r="164" spans="1:13" x14ac:dyDescent="0.25">
      <c r="A164" s="3378"/>
      <c r="B164" s="3378"/>
      <c r="C164"/>
      <c r="D164"/>
      <c r="E164"/>
      <c r="F164"/>
      <c r="H164" s="3378"/>
      <c r="I164"/>
      <c r="J164"/>
      <c r="K164"/>
      <c r="L164" s="3378"/>
      <c r="M164" s="3378"/>
    </row>
    <row r="165" spans="1:13" x14ac:dyDescent="0.25">
      <c r="A165" s="5440" t="s">
        <v>3</v>
      </c>
      <c r="B165" s="3710" t="s">
        <v>5</v>
      </c>
      <c r="C165" s="3711"/>
      <c r="D165" s="3712">
        <v>3</v>
      </c>
      <c r="E165" s="3713">
        <v>2</v>
      </c>
      <c r="F165" s="3714">
        <f>SUM(C165:E165)</f>
        <v>5</v>
      </c>
      <c r="H165" s="3710"/>
      <c r="I165" s="3715">
        <v>2</v>
      </c>
      <c r="J165" s="3710">
        <v>2</v>
      </c>
      <c r="K165" s="3716"/>
      <c r="L165" s="3710">
        <v>4</v>
      </c>
      <c r="M165" s="3717">
        <v>0.8</v>
      </c>
    </row>
    <row r="166" spans="1:13" ht="15" customHeight="1" x14ac:dyDescent="0.25">
      <c r="A166" s="5441"/>
      <c r="B166" s="3718" t="s">
        <v>6</v>
      </c>
      <c r="C166" s="3719">
        <v>3</v>
      </c>
      <c r="D166" s="3720">
        <v>5</v>
      </c>
      <c r="E166" s="3721">
        <v>3</v>
      </c>
      <c r="F166" s="3722">
        <f>SUM(C166:E166)</f>
        <v>11</v>
      </c>
      <c r="H166" s="3718">
        <v>1</v>
      </c>
      <c r="I166" s="3723">
        <v>4</v>
      </c>
      <c r="J166" s="3718">
        <v>1</v>
      </c>
      <c r="K166" s="3724">
        <v>3</v>
      </c>
      <c r="L166" s="3718">
        <v>9</v>
      </c>
      <c r="M166" s="3725">
        <v>0.81818181818181823</v>
      </c>
    </row>
    <row r="167" spans="1:13" x14ac:dyDescent="0.25">
      <c r="A167" s="5441"/>
      <c r="B167" s="3726" t="s">
        <v>7</v>
      </c>
      <c r="C167" s="3727">
        <v>1</v>
      </c>
      <c r="D167" s="3728">
        <v>1</v>
      </c>
      <c r="E167" s="3729">
        <v>1</v>
      </c>
      <c r="F167" s="3730">
        <f>SUM(C167:E167)</f>
        <v>3</v>
      </c>
      <c r="H167" s="3726"/>
      <c r="I167" s="3731">
        <v>1</v>
      </c>
      <c r="J167" s="3726">
        <v>2</v>
      </c>
      <c r="K167" s="3732"/>
      <c r="L167" s="3726">
        <v>3</v>
      </c>
      <c r="M167" s="3733">
        <v>1</v>
      </c>
    </row>
    <row r="168" spans="1:13" x14ac:dyDescent="0.25">
      <c r="A168" s="5442"/>
      <c r="B168" s="3654" t="s">
        <v>12</v>
      </c>
      <c r="C168" s="3707">
        <f>SUM(C165:C167)</f>
        <v>4</v>
      </c>
      <c r="D168" s="3707">
        <f>SUM(D165:D167)</f>
        <v>9</v>
      </c>
      <c r="E168" s="3707">
        <f>SUM(E165:E167)</f>
        <v>6</v>
      </c>
      <c r="F168" s="3707">
        <f>SUM(C168:E168)</f>
        <v>19</v>
      </c>
      <c r="H168" s="3654">
        <v>1</v>
      </c>
      <c r="I168" s="3649">
        <v>7</v>
      </c>
      <c r="J168" s="3654">
        <v>5</v>
      </c>
      <c r="K168" s="3648">
        <v>3</v>
      </c>
      <c r="L168" s="3654">
        <v>16</v>
      </c>
      <c r="M168" s="3642">
        <v>0.84210526315789469</v>
      </c>
    </row>
    <row r="169" spans="1:13" x14ac:dyDescent="0.25">
      <c r="A169" s="3392"/>
      <c r="B169" s="3645"/>
      <c r="C169" s="89"/>
      <c r="D169" s="89"/>
      <c r="E169" s="89"/>
      <c r="F169" s="3708"/>
      <c r="H169" s="3645"/>
      <c r="I169" s="3645"/>
      <c r="J169" s="3645"/>
      <c r="K169" s="3645"/>
      <c r="L169" s="23"/>
      <c r="M169" s="3650"/>
    </row>
    <row r="170" spans="1:13" x14ac:dyDescent="0.25">
      <c r="A170" s="5440" t="s">
        <v>75</v>
      </c>
      <c r="B170" s="3530" t="s">
        <v>5</v>
      </c>
      <c r="C170" s="3711"/>
      <c r="D170" s="3712">
        <v>7</v>
      </c>
      <c r="E170" s="3713">
        <v>6</v>
      </c>
      <c r="F170" s="3714">
        <f>SUM(C170:E170)</f>
        <v>13</v>
      </c>
      <c r="H170" s="3710"/>
      <c r="I170" s="3715">
        <v>8</v>
      </c>
      <c r="J170" s="3710">
        <v>2</v>
      </c>
      <c r="K170" s="3716"/>
      <c r="L170" s="3710">
        <v>10</v>
      </c>
      <c r="M170" s="3717">
        <v>0.76923076923076927</v>
      </c>
    </row>
    <row r="171" spans="1:13" x14ac:dyDescent="0.25">
      <c r="A171" s="5441"/>
      <c r="B171" s="3531" t="s">
        <v>6</v>
      </c>
      <c r="C171" s="3719">
        <v>1</v>
      </c>
      <c r="D171" s="3720">
        <v>4</v>
      </c>
      <c r="E171" s="3721">
        <v>4</v>
      </c>
      <c r="F171" s="3722">
        <f>SUM(C171:E171)</f>
        <v>9</v>
      </c>
      <c r="H171" s="3718"/>
      <c r="I171" s="3723">
        <v>6</v>
      </c>
      <c r="J171" s="3718">
        <v>2</v>
      </c>
      <c r="K171" s="3724"/>
      <c r="L171" s="3718">
        <v>8</v>
      </c>
      <c r="M171" s="3725">
        <v>0.88888888888888884</v>
      </c>
    </row>
    <row r="172" spans="1:13" x14ac:dyDescent="0.25">
      <c r="A172" s="5441"/>
      <c r="B172" s="3532" t="s">
        <v>11</v>
      </c>
      <c r="C172" s="3727">
        <v>2</v>
      </c>
      <c r="D172" s="3728">
        <v>3</v>
      </c>
      <c r="E172" s="3729">
        <v>3</v>
      </c>
      <c r="F172" s="3730">
        <f>SUM(C172:E172)</f>
        <v>8</v>
      </c>
      <c r="H172" s="3726"/>
      <c r="I172" s="3731">
        <v>6</v>
      </c>
      <c r="J172" s="3726"/>
      <c r="K172" s="3732"/>
      <c r="L172" s="3726">
        <v>6</v>
      </c>
      <c r="M172" s="3733">
        <v>0.75</v>
      </c>
    </row>
    <row r="173" spans="1:13" x14ac:dyDescent="0.25">
      <c r="A173" s="5442"/>
      <c r="B173" s="3654" t="s">
        <v>12</v>
      </c>
      <c r="C173" s="3707">
        <f>SUM(C170:C172)</f>
        <v>3</v>
      </c>
      <c r="D173" s="3707">
        <f>SUM(D170:D172)</f>
        <v>14</v>
      </c>
      <c r="E173" s="3707">
        <f>SUM(E170:E172)</f>
        <v>13</v>
      </c>
      <c r="F173" s="3707">
        <f>SUM(C173:E173)</f>
        <v>30</v>
      </c>
      <c r="H173" s="3654"/>
      <c r="I173" s="3649">
        <v>20</v>
      </c>
      <c r="J173" s="3654">
        <v>4</v>
      </c>
      <c r="K173" s="3648">
        <v>0</v>
      </c>
      <c r="L173" s="3654">
        <v>24</v>
      </c>
      <c r="M173" s="3642">
        <v>0.8</v>
      </c>
    </row>
    <row r="174" spans="1:13" x14ac:dyDescent="0.25">
      <c r="A174" s="3393"/>
      <c r="B174" s="3709"/>
      <c r="C174" s="89"/>
      <c r="D174" s="89"/>
      <c r="E174" s="89"/>
      <c r="F174" s="3708"/>
      <c r="H174" s="3645"/>
      <c r="I174" s="3645"/>
      <c r="J174" s="3645"/>
      <c r="K174" s="3644"/>
      <c r="L174" s="3644"/>
      <c r="M174" s="3643"/>
    </row>
    <row r="175" spans="1:13" x14ac:dyDescent="0.25">
      <c r="A175" s="5440" t="s">
        <v>10</v>
      </c>
      <c r="B175" s="3530" t="s">
        <v>6</v>
      </c>
      <c r="C175" s="3711">
        <v>2</v>
      </c>
      <c r="D175" s="3712">
        <v>7</v>
      </c>
      <c r="E175" s="3713">
        <v>2</v>
      </c>
      <c r="F175" s="3714">
        <f>SUM(C175:E175)</f>
        <v>11</v>
      </c>
      <c r="H175" s="3710"/>
      <c r="I175" s="3715">
        <v>4</v>
      </c>
      <c r="J175" s="3710">
        <v>4</v>
      </c>
      <c r="K175" s="3716"/>
      <c r="L175" s="3710">
        <v>8</v>
      </c>
      <c r="M175" s="3717">
        <v>0.72727272727272729</v>
      </c>
    </row>
    <row r="176" spans="1:13" ht="45" customHeight="1" x14ac:dyDescent="0.25">
      <c r="A176" s="5441"/>
      <c r="B176" s="3531" t="s">
        <v>11</v>
      </c>
      <c r="C176" s="3719">
        <v>2</v>
      </c>
      <c r="D176" s="3720">
        <v>6</v>
      </c>
      <c r="E176" s="3721">
        <v>1</v>
      </c>
      <c r="F176" s="3722">
        <f>SUM(C176:E176)</f>
        <v>9</v>
      </c>
      <c r="H176" s="3718"/>
      <c r="I176" s="3723">
        <v>5</v>
      </c>
      <c r="J176" s="3718">
        <v>2</v>
      </c>
      <c r="K176" s="3724"/>
      <c r="L176" s="3718">
        <v>7</v>
      </c>
      <c r="M176" s="3725">
        <v>0.77777777777777779</v>
      </c>
    </row>
    <row r="177" spans="1:13" x14ac:dyDescent="0.25">
      <c r="A177" s="5441"/>
      <c r="B177" s="3532" t="s">
        <v>7</v>
      </c>
      <c r="C177" s="3727"/>
      <c r="D177" s="3728">
        <v>3</v>
      </c>
      <c r="E177" s="3729">
        <v>1</v>
      </c>
      <c r="F177" s="3730">
        <f>SUM(C177:E177)</f>
        <v>4</v>
      </c>
      <c r="H177" s="3726"/>
      <c r="I177" s="3731">
        <v>1</v>
      </c>
      <c r="J177" s="3726"/>
      <c r="K177" s="3732">
        <v>1</v>
      </c>
      <c r="L177" s="3726">
        <v>2</v>
      </c>
      <c r="M177" s="3733">
        <v>0.5</v>
      </c>
    </row>
    <row r="178" spans="1:13" x14ac:dyDescent="0.25">
      <c r="A178" s="5442"/>
      <c r="B178" s="3654" t="s">
        <v>12</v>
      </c>
      <c r="C178" s="3707">
        <f>SUM(C175:C177)</f>
        <v>4</v>
      </c>
      <c r="D178" s="3707">
        <f>SUM(D175:D177)</f>
        <v>16</v>
      </c>
      <c r="E178" s="3707">
        <f>SUM(E175:E177)</f>
        <v>4</v>
      </c>
      <c r="F178" s="3707">
        <f>SUM(F175:F177)</f>
        <v>24</v>
      </c>
      <c r="H178" s="3654"/>
      <c r="I178" s="3649">
        <v>10</v>
      </c>
      <c r="J178" s="3654">
        <v>6</v>
      </c>
      <c r="K178" s="3648">
        <v>1</v>
      </c>
      <c r="L178" s="3654">
        <v>17</v>
      </c>
      <c r="M178" s="3642">
        <v>0.70833333333333337</v>
      </c>
    </row>
    <row r="179" spans="1:13" x14ac:dyDescent="0.25">
      <c r="A179" s="3393"/>
      <c r="B179" s="3393"/>
      <c r="C179" s="3647"/>
      <c r="D179" s="3647"/>
      <c r="E179" s="3647"/>
      <c r="F179" s="3646"/>
      <c r="H179" s="3645"/>
      <c r="I179" s="3645"/>
      <c r="J179" s="3645"/>
      <c r="K179" s="3644"/>
      <c r="L179" s="3644"/>
      <c r="M179" s="3643"/>
    </row>
    <row r="180" spans="1:13" x14ac:dyDescent="0.25">
      <c r="A180" s="5808" t="s">
        <v>60</v>
      </c>
      <c r="B180" s="5808"/>
      <c r="C180" s="3707">
        <f>SUM(C168,C173,C178)</f>
        <v>11</v>
      </c>
      <c r="D180" s="3707">
        <f>SUM(D168,D173,D178)</f>
        <v>39</v>
      </c>
      <c r="E180" s="3707">
        <f>SUM(E168,E173,E178)</f>
        <v>23</v>
      </c>
      <c r="F180" s="3707">
        <f>SUM(F168,F173,F178)</f>
        <v>73</v>
      </c>
      <c r="G180" s="3702"/>
      <c r="H180" s="3654">
        <v>1</v>
      </c>
      <c r="I180" s="3654">
        <v>37</v>
      </c>
      <c r="J180" s="3654">
        <v>15</v>
      </c>
      <c r="K180" s="3654">
        <v>4</v>
      </c>
      <c r="L180" s="3654">
        <v>57</v>
      </c>
      <c r="M180" s="3734">
        <v>0.78082191780821919</v>
      </c>
    </row>
  </sheetData>
  <mergeCells count="66">
    <mergeCell ref="A143:A146"/>
    <mergeCell ref="A180:B180"/>
    <mergeCell ref="A170:A173"/>
    <mergeCell ref="A175:A178"/>
    <mergeCell ref="A148:A151"/>
    <mergeCell ref="A153:A156"/>
    <mergeCell ref="A158:B158"/>
    <mergeCell ref="A165:A168"/>
    <mergeCell ref="K160:L160"/>
    <mergeCell ref="A162:A163"/>
    <mergeCell ref="B162:B163"/>
    <mergeCell ref="C162:F162"/>
    <mergeCell ref="H162:M162"/>
    <mergeCell ref="A135:A136"/>
    <mergeCell ref="B135:B136"/>
    <mergeCell ref="C135:F135"/>
    <mergeCell ref="H135:M135"/>
    <mergeCell ref="A138:A141"/>
    <mergeCell ref="J131:K131"/>
    <mergeCell ref="A98:B98"/>
    <mergeCell ref="J98:K98"/>
    <mergeCell ref="A102:A103"/>
    <mergeCell ref="B102:B103"/>
    <mergeCell ref="C102:F102"/>
    <mergeCell ref="H102:M102"/>
    <mergeCell ref="A105:A108"/>
    <mergeCell ref="A110:A113"/>
    <mergeCell ref="A115:A118"/>
    <mergeCell ref="A120:A123"/>
    <mergeCell ref="A125:A127"/>
    <mergeCell ref="A129:B129"/>
    <mergeCell ref="A87:A90"/>
    <mergeCell ref="A92:A94"/>
    <mergeCell ref="A96:B96"/>
    <mergeCell ref="A72:A75"/>
    <mergeCell ref="A77:A80"/>
    <mergeCell ref="A82:A85"/>
    <mergeCell ref="A63:B63"/>
    <mergeCell ref="A65:B65"/>
    <mergeCell ref="J65:K65"/>
    <mergeCell ref="A69:A70"/>
    <mergeCell ref="B69:B70"/>
    <mergeCell ref="C69:F69"/>
    <mergeCell ref="H69:M69"/>
    <mergeCell ref="A44:A47"/>
    <mergeCell ref="A49:A52"/>
    <mergeCell ref="A54:A57"/>
    <mergeCell ref="A59:A61"/>
    <mergeCell ref="A1:M1"/>
    <mergeCell ref="A36:A37"/>
    <mergeCell ref="B36:B37"/>
    <mergeCell ref="C36:F36"/>
    <mergeCell ref="H36:M36"/>
    <mergeCell ref="A39:A42"/>
    <mergeCell ref="A3:A4"/>
    <mergeCell ref="B3:B4"/>
    <mergeCell ref="C3:E3"/>
    <mergeCell ref="H3:M3"/>
    <mergeCell ref="A6:A9"/>
    <mergeCell ref="A11:A14"/>
    <mergeCell ref="J32:K32"/>
    <mergeCell ref="A16:A19"/>
    <mergeCell ref="A21:A24"/>
    <mergeCell ref="A26:A28"/>
    <mergeCell ref="A30:B30"/>
    <mergeCell ref="A32:B32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scale="56" orientation="landscape" r:id="rId1"/>
  <rowBreaks count="2" manualBreakCount="2">
    <brk id="100" max="16383" man="1"/>
    <brk id="160" max="16383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A1:J21"/>
  <sheetViews>
    <sheetView showGridLines="0" zoomScaleNormal="100" workbookViewId="0">
      <selection activeCell="L10" sqref="L10"/>
    </sheetView>
  </sheetViews>
  <sheetFormatPr baseColWidth="10" defaultRowHeight="15" x14ac:dyDescent="0.25"/>
  <cols>
    <col min="1" max="1" width="5.7109375" style="3787" customWidth="1"/>
    <col min="2" max="2" width="45.7109375" style="3787" customWidth="1"/>
    <col min="3" max="3" width="11.5703125" style="3787" bestFit="1" customWidth="1"/>
    <col min="4" max="4" width="9.140625" style="3787" bestFit="1" customWidth="1"/>
    <col min="5" max="5" width="10.7109375" style="3787" bestFit="1" customWidth="1"/>
    <col min="6" max="6" width="11.5703125" style="3787" bestFit="1" customWidth="1"/>
    <col min="7" max="7" width="9.140625" style="3787" bestFit="1" customWidth="1"/>
    <col min="8" max="8" width="10.7109375" style="3787" bestFit="1" customWidth="1"/>
    <col min="9" max="9" width="9" style="3788" customWidth="1"/>
    <col min="10" max="10" width="8.28515625" style="3788" customWidth="1"/>
    <col min="11" max="16384" width="11.42578125" style="3787"/>
  </cols>
  <sheetData>
    <row r="1" spans="1:10" x14ac:dyDescent="0.25">
      <c r="A1" s="89"/>
      <c r="F1" s="23"/>
      <c r="I1" s="3787"/>
      <c r="J1" s="3787"/>
    </row>
    <row r="2" spans="1:10" ht="18.75" x14ac:dyDescent="0.25">
      <c r="A2" s="89"/>
      <c r="B2" s="3976" t="s">
        <v>1278</v>
      </c>
      <c r="C2" s="3976"/>
      <c r="D2" s="3976"/>
      <c r="E2" s="3976"/>
      <c r="F2" s="89"/>
      <c r="I2" s="3787"/>
      <c r="J2" s="3787"/>
    </row>
    <row r="3" spans="1:10" x14ac:dyDescent="0.25">
      <c r="A3" s="5330" t="s">
        <v>1279</v>
      </c>
      <c r="B3" s="5330" t="s">
        <v>1280</v>
      </c>
      <c r="C3" s="5826" t="s">
        <v>1499</v>
      </c>
      <c r="D3" s="5827"/>
      <c r="E3" s="5828"/>
      <c r="F3" s="5817" t="s">
        <v>1444</v>
      </c>
      <c r="G3" s="5818"/>
      <c r="H3" s="5819"/>
      <c r="I3" s="3787"/>
      <c r="J3" s="3787"/>
    </row>
    <row r="4" spans="1:10" ht="35.1" customHeight="1" x14ac:dyDescent="0.25">
      <c r="A4" s="5330"/>
      <c r="B4" s="5330"/>
      <c r="C4" s="3977" t="s">
        <v>698</v>
      </c>
      <c r="D4" s="3977" t="s">
        <v>699</v>
      </c>
      <c r="E4" s="3977" t="s">
        <v>1456</v>
      </c>
      <c r="F4" s="3977" t="s">
        <v>698</v>
      </c>
      <c r="G4" s="3977" t="s">
        <v>699</v>
      </c>
      <c r="H4" s="3977" t="s">
        <v>1456</v>
      </c>
      <c r="I4" s="3787"/>
      <c r="J4" s="3787"/>
    </row>
    <row r="5" spans="1:10" ht="30" x14ac:dyDescent="0.25">
      <c r="A5" s="4719">
        <v>1</v>
      </c>
      <c r="B5" s="4720" t="s">
        <v>1445</v>
      </c>
      <c r="C5" s="3893">
        <v>12970</v>
      </c>
      <c r="D5" s="3893"/>
      <c r="E5" s="3893"/>
      <c r="F5" s="3893">
        <v>13338</v>
      </c>
      <c r="G5" s="3893"/>
      <c r="H5" s="3893"/>
      <c r="I5" s="3787"/>
      <c r="J5" s="3787"/>
    </row>
    <row r="6" spans="1:10" x14ac:dyDescent="0.25">
      <c r="A6" s="4719">
        <v>2</v>
      </c>
      <c r="B6" s="4720" t="s">
        <v>1271</v>
      </c>
      <c r="C6" s="3893">
        <v>2341</v>
      </c>
      <c r="D6" s="3893"/>
      <c r="E6" s="3893"/>
      <c r="F6" s="3893">
        <v>3783</v>
      </c>
      <c r="G6" s="3893"/>
      <c r="H6" s="3893"/>
      <c r="I6" s="3787"/>
      <c r="J6" s="3787"/>
    </row>
    <row r="7" spans="1:10" x14ac:dyDescent="0.25">
      <c r="A7" s="4719">
        <v>3</v>
      </c>
      <c r="B7" s="4721" t="s">
        <v>1275</v>
      </c>
      <c r="C7" s="3893">
        <v>62</v>
      </c>
      <c r="D7" s="3893"/>
      <c r="E7" s="3893"/>
      <c r="F7" s="3893">
        <v>64</v>
      </c>
      <c r="G7" s="3893"/>
      <c r="H7" s="3893"/>
      <c r="I7" s="3787"/>
      <c r="J7" s="3787"/>
    </row>
    <row r="8" spans="1:10" x14ac:dyDescent="0.25">
      <c r="A8" s="4719">
        <v>4</v>
      </c>
      <c r="B8" s="4721" t="s">
        <v>1446</v>
      </c>
      <c r="C8" s="3893"/>
      <c r="D8" s="3893"/>
      <c r="E8" s="3893"/>
      <c r="F8" s="4590">
        <v>234</v>
      </c>
      <c r="G8" s="4590"/>
      <c r="H8" s="4590"/>
      <c r="I8" s="3787"/>
      <c r="J8" s="3787"/>
    </row>
    <row r="9" spans="1:10" ht="30" x14ac:dyDescent="0.25">
      <c r="A9" s="4719">
        <v>5</v>
      </c>
      <c r="B9" s="4721" t="s">
        <v>1447</v>
      </c>
      <c r="C9" s="3893">
        <v>262</v>
      </c>
      <c r="D9" s="3893"/>
      <c r="E9" s="3893"/>
      <c r="F9" s="3893">
        <v>667</v>
      </c>
      <c r="G9" s="3893"/>
      <c r="H9" s="3893"/>
      <c r="I9" s="3787"/>
      <c r="J9" s="3787"/>
    </row>
    <row r="10" spans="1:10" ht="30" x14ac:dyDescent="0.25">
      <c r="A10" s="4719">
        <v>6</v>
      </c>
      <c r="B10" s="4721" t="s">
        <v>1448</v>
      </c>
      <c r="C10" s="3893">
        <v>121</v>
      </c>
      <c r="D10" s="3893"/>
      <c r="E10" s="3893"/>
      <c r="F10" s="3893">
        <v>399</v>
      </c>
      <c r="G10" s="3893"/>
      <c r="H10" s="3893"/>
      <c r="I10" s="3787"/>
      <c r="J10" s="3787"/>
    </row>
    <row r="11" spans="1:10" x14ac:dyDescent="0.25">
      <c r="A11" s="4719">
        <v>7</v>
      </c>
      <c r="B11" s="4721" t="s">
        <v>1276</v>
      </c>
      <c r="C11" s="3893">
        <v>39</v>
      </c>
      <c r="D11" s="3893"/>
      <c r="E11" s="3893"/>
      <c r="F11" s="3893">
        <v>122</v>
      </c>
      <c r="G11" s="3893"/>
      <c r="H11" s="3893"/>
      <c r="I11" s="3787"/>
      <c r="J11" s="3787"/>
    </row>
    <row r="12" spans="1:10" ht="45" x14ac:dyDescent="0.25">
      <c r="A12" s="4719">
        <v>8</v>
      </c>
      <c r="B12" s="4721" t="s">
        <v>1449</v>
      </c>
      <c r="C12" s="3893">
        <v>40</v>
      </c>
      <c r="D12" s="3893"/>
      <c r="E12" s="3893"/>
      <c r="F12" s="3893">
        <v>58</v>
      </c>
      <c r="G12" s="3893"/>
      <c r="H12" s="3893"/>
      <c r="I12" s="3787"/>
      <c r="J12" s="3787"/>
    </row>
    <row r="13" spans="1:10" ht="30" x14ac:dyDescent="0.25">
      <c r="A13" s="4719">
        <v>9</v>
      </c>
      <c r="B13" s="4721" t="s">
        <v>1450</v>
      </c>
      <c r="C13" s="3893"/>
      <c r="D13" s="3893">
        <v>93</v>
      </c>
      <c r="E13" s="3893"/>
      <c r="F13" s="3893"/>
      <c r="G13" s="3893">
        <v>143</v>
      </c>
      <c r="H13" s="3893"/>
      <c r="I13" s="3787"/>
      <c r="J13" s="3787"/>
    </row>
    <row r="14" spans="1:10" ht="30" x14ac:dyDescent="0.25">
      <c r="A14" s="4719">
        <v>10</v>
      </c>
      <c r="B14" s="4721" t="s">
        <v>1451</v>
      </c>
      <c r="C14" s="3893"/>
      <c r="D14" s="3893">
        <v>115</v>
      </c>
      <c r="E14" s="3893"/>
      <c r="F14" s="3893"/>
      <c r="G14" s="3893">
        <v>185</v>
      </c>
      <c r="H14" s="3893"/>
    </row>
    <row r="15" spans="1:10" ht="30" x14ac:dyDescent="0.25">
      <c r="A15" s="4719">
        <v>11</v>
      </c>
      <c r="B15" s="4721" t="s">
        <v>1452</v>
      </c>
      <c r="C15" s="3893"/>
      <c r="D15" s="3893">
        <v>8</v>
      </c>
      <c r="E15" s="3893"/>
      <c r="F15" s="3893"/>
      <c r="G15" s="3893">
        <v>43</v>
      </c>
      <c r="H15" s="3893"/>
    </row>
    <row r="16" spans="1:10" ht="45" x14ac:dyDescent="0.25">
      <c r="A16" s="4719">
        <v>12</v>
      </c>
      <c r="B16" s="4721" t="s">
        <v>1453</v>
      </c>
      <c r="C16" s="3893"/>
      <c r="D16" s="3893">
        <v>3</v>
      </c>
      <c r="E16" s="3893"/>
      <c r="F16" s="3893"/>
      <c r="G16" s="3893">
        <v>1</v>
      </c>
      <c r="H16" s="3893"/>
    </row>
    <row r="17" spans="1:8" x14ac:dyDescent="0.25">
      <c r="A17" s="4719">
        <v>13</v>
      </c>
      <c r="B17" s="4721" t="s">
        <v>1454</v>
      </c>
      <c r="C17" s="3893"/>
      <c r="D17" s="3893"/>
      <c r="E17" s="3893">
        <v>18</v>
      </c>
      <c r="F17" s="3893"/>
      <c r="G17" s="3893"/>
      <c r="H17" s="3893">
        <v>21</v>
      </c>
    </row>
    <row r="18" spans="1:8" x14ac:dyDescent="0.25">
      <c r="A18" s="4722">
        <v>14</v>
      </c>
      <c r="B18" s="4723" t="s">
        <v>1455</v>
      </c>
      <c r="C18" s="3893"/>
      <c r="D18" s="3893"/>
      <c r="E18" s="3893">
        <v>10</v>
      </c>
      <c r="F18" s="3893"/>
      <c r="G18" s="3893"/>
      <c r="H18" s="3893">
        <v>9</v>
      </c>
    </row>
    <row r="19" spans="1:8" x14ac:dyDescent="0.25">
      <c r="A19" s="5816" t="s">
        <v>160</v>
      </c>
      <c r="B19" s="5816"/>
      <c r="C19" s="4724">
        <f>SUM(C5:C18)</f>
        <v>15835</v>
      </c>
      <c r="D19" s="4724">
        <f>SUM(D5:D18)</f>
        <v>219</v>
      </c>
      <c r="E19" s="4724">
        <f>SUM(E5:E18)</f>
        <v>28</v>
      </c>
      <c r="F19" s="4724">
        <f>SUM(F5:F18)</f>
        <v>18665</v>
      </c>
      <c r="G19" s="4724">
        <f t="shared" ref="G19:H19" si="0">SUM(G5:G18)</f>
        <v>372</v>
      </c>
      <c r="H19" s="4724">
        <f t="shared" si="0"/>
        <v>30</v>
      </c>
    </row>
    <row r="20" spans="1:8" x14ac:dyDescent="0.25">
      <c r="A20" s="5816"/>
      <c r="B20" s="5816"/>
      <c r="C20" s="5823">
        <f>SUM(C19:E19)</f>
        <v>16082</v>
      </c>
      <c r="D20" s="5824"/>
      <c r="E20" s="5825"/>
      <c r="F20" s="5820">
        <f>SUM(F19:H19)</f>
        <v>19067</v>
      </c>
      <c r="G20" s="5821"/>
      <c r="H20" s="5822"/>
    </row>
    <row r="21" spans="1:8" x14ac:dyDescent="0.25">
      <c r="A21" s="3789"/>
      <c r="B21" s="3789"/>
      <c r="C21" s="3789"/>
      <c r="D21" s="3789"/>
      <c r="E21" s="3789"/>
      <c r="F21" s="3789"/>
      <c r="G21" s="3789"/>
      <c r="H21" s="3789"/>
    </row>
  </sheetData>
  <mergeCells count="7">
    <mergeCell ref="A3:A4"/>
    <mergeCell ref="B3:B4"/>
    <mergeCell ref="A19:B20"/>
    <mergeCell ref="F3:H3"/>
    <mergeCell ref="F20:H20"/>
    <mergeCell ref="C20:E20"/>
    <mergeCell ref="C3:E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A1:AG104"/>
  <sheetViews>
    <sheetView showGridLines="0" zoomScaleNormal="100" workbookViewId="0">
      <pane xSplit="3" ySplit="4" topLeftCell="U84" activePane="bottomRight" state="frozen"/>
      <selection pane="topRight" activeCell="E1" sqref="E1"/>
      <selection pane="bottomLeft" activeCell="A7" sqref="A7"/>
      <selection pane="bottomRight" activeCell="C93" sqref="C93:C99"/>
    </sheetView>
  </sheetViews>
  <sheetFormatPr baseColWidth="10" defaultRowHeight="12.75" x14ac:dyDescent="0.2"/>
  <cols>
    <col min="1" max="1" width="9.140625" style="951" customWidth="1"/>
    <col min="2" max="2" width="9.85546875" style="951" customWidth="1"/>
    <col min="3" max="3" width="35.42578125" style="951" customWidth="1"/>
    <col min="4" max="7" width="9.7109375" style="954" customWidth="1"/>
    <col min="8" max="33" width="9.7109375" style="951" customWidth="1"/>
    <col min="34" max="259" width="11.42578125" style="951"/>
    <col min="260" max="260" width="6.42578125" style="951" customWidth="1"/>
    <col min="261" max="261" width="11.42578125" style="951"/>
    <col min="262" max="262" width="12.85546875" style="951" bestFit="1" customWidth="1"/>
    <col min="263" max="263" width="41.140625" style="951" bestFit="1" customWidth="1"/>
    <col min="264" max="264" width="13.140625" style="951" bestFit="1" customWidth="1"/>
    <col min="265" max="265" width="11.140625" style="951" bestFit="1" customWidth="1"/>
    <col min="266" max="266" width="13.140625" style="951" bestFit="1" customWidth="1"/>
    <col min="267" max="267" width="11.140625" style="951" bestFit="1" customWidth="1"/>
    <col min="268" max="268" width="13.140625" style="951" bestFit="1" customWidth="1"/>
    <col min="269" max="269" width="11.140625" style="951" bestFit="1" customWidth="1"/>
    <col min="270" max="270" width="13" style="951" customWidth="1"/>
    <col min="271" max="271" width="11.42578125" style="951"/>
    <col min="272" max="272" width="13.5703125" style="951" customWidth="1"/>
    <col min="273" max="273" width="11.42578125" style="951"/>
    <col min="274" max="274" width="13.5703125" style="951" customWidth="1"/>
    <col min="275" max="515" width="11.42578125" style="951"/>
    <col min="516" max="516" width="6.42578125" style="951" customWidth="1"/>
    <col min="517" max="517" width="11.42578125" style="951"/>
    <col min="518" max="518" width="12.85546875" style="951" bestFit="1" customWidth="1"/>
    <col min="519" max="519" width="41.140625" style="951" bestFit="1" customWidth="1"/>
    <col min="520" max="520" width="13.140625" style="951" bestFit="1" customWidth="1"/>
    <col min="521" max="521" width="11.140625" style="951" bestFit="1" customWidth="1"/>
    <col min="522" max="522" width="13.140625" style="951" bestFit="1" customWidth="1"/>
    <col min="523" max="523" width="11.140625" style="951" bestFit="1" customWidth="1"/>
    <col min="524" max="524" width="13.140625" style="951" bestFit="1" customWidth="1"/>
    <col min="525" max="525" width="11.140625" style="951" bestFit="1" customWidth="1"/>
    <col min="526" max="526" width="13" style="951" customWidth="1"/>
    <col min="527" max="527" width="11.42578125" style="951"/>
    <col min="528" max="528" width="13.5703125" style="951" customWidth="1"/>
    <col min="529" max="529" width="11.42578125" style="951"/>
    <col min="530" max="530" width="13.5703125" style="951" customWidth="1"/>
    <col min="531" max="771" width="11.42578125" style="951"/>
    <col min="772" max="772" width="6.42578125" style="951" customWidth="1"/>
    <col min="773" max="773" width="11.42578125" style="951"/>
    <col min="774" max="774" width="12.85546875" style="951" bestFit="1" customWidth="1"/>
    <col min="775" max="775" width="41.140625" style="951" bestFit="1" customWidth="1"/>
    <col min="776" max="776" width="13.140625" style="951" bestFit="1" customWidth="1"/>
    <col min="777" max="777" width="11.140625" style="951" bestFit="1" customWidth="1"/>
    <col min="778" max="778" width="13.140625" style="951" bestFit="1" customWidth="1"/>
    <col min="779" max="779" width="11.140625" style="951" bestFit="1" customWidth="1"/>
    <col min="780" max="780" width="13.140625" style="951" bestFit="1" customWidth="1"/>
    <col min="781" max="781" width="11.140625" style="951" bestFit="1" customWidth="1"/>
    <col min="782" max="782" width="13" style="951" customWidth="1"/>
    <col min="783" max="783" width="11.42578125" style="951"/>
    <col min="784" max="784" width="13.5703125" style="951" customWidth="1"/>
    <col min="785" max="785" width="11.42578125" style="951"/>
    <col min="786" max="786" width="13.5703125" style="951" customWidth="1"/>
    <col min="787" max="1027" width="11.42578125" style="951"/>
    <col min="1028" max="1028" width="6.42578125" style="951" customWidth="1"/>
    <col min="1029" max="1029" width="11.42578125" style="951"/>
    <col min="1030" max="1030" width="12.85546875" style="951" bestFit="1" customWidth="1"/>
    <col min="1031" max="1031" width="41.140625" style="951" bestFit="1" customWidth="1"/>
    <col min="1032" max="1032" width="13.140625" style="951" bestFit="1" customWidth="1"/>
    <col min="1033" max="1033" width="11.140625" style="951" bestFit="1" customWidth="1"/>
    <col min="1034" max="1034" width="13.140625" style="951" bestFit="1" customWidth="1"/>
    <col min="1035" max="1035" width="11.140625" style="951" bestFit="1" customWidth="1"/>
    <col min="1036" max="1036" width="13.140625" style="951" bestFit="1" customWidth="1"/>
    <col min="1037" max="1037" width="11.140625" style="951" bestFit="1" customWidth="1"/>
    <col min="1038" max="1038" width="13" style="951" customWidth="1"/>
    <col min="1039" max="1039" width="11.42578125" style="951"/>
    <col min="1040" max="1040" width="13.5703125" style="951" customWidth="1"/>
    <col min="1041" max="1041" width="11.42578125" style="951"/>
    <col min="1042" max="1042" width="13.5703125" style="951" customWidth="1"/>
    <col min="1043" max="1283" width="11.42578125" style="951"/>
    <col min="1284" max="1284" width="6.42578125" style="951" customWidth="1"/>
    <col min="1285" max="1285" width="11.42578125" style="951"/>
    <col min="1286" max="1286" width="12.85546875" style="951" bestFit="1" customWidth="1"/>
    <col min="1287" max="1287" width="41.140625" style="951" bestFit="1" customWidth="1"/>
    <col min="1288" max="1288" width="13.140625" style="951" bestFit="1" customWidth="1"/>
    <col min="1289" max="1289" width="11.140625" style="951" bestFit="1" customWidth="1"/>
    <col min="1290" max="1290" width="13.140625" style="951" bestFit="1" customWidth="1"/>
    <col min="1291" max="1291" width="11.140625" style="951" bestFit="1" customWidth="1"/>
    <col min="1292" max="1292" width="13.140625" style="951" bestFit="1" customWidth="1"/>
    <col min="1293" max="1293" width="11.140625" style="951" bestFit="1" customWidth="1"/>
    <col min="1294" max="1294" width="13" style="951" customWidth="1"/>
    <col min="1295" max="1295" width="11.42578125" style="951"/>
    <col min="1296" max="1296" width="13.5703125" style="951" customWidth="1"/>
    <col min="1297" max="1297" width="11.42578125" style="951"/>
    <col min="1298" max="1298" width="13.5703125" style="951" customWidth="1"/>
    <col min="1299" max="1539" width="11.42578125" style="951"/>
    <col min="1540" max="1540" width="6.42578125" style="951" customWidth="1"/>
    <col min="1541" max="1541" width="11.42578125" style="951"/>
    <col min="1542" max="1542" width="12.85546875" style="951" bestFit="1" customWidth="1"/>
    <col min="1543" max="1543" width="41.140625" style="951" bestFit="1" customWidth="1"/>
    <col min="1544" max="1544" width="13.140625" style="951" bestFit="1" customWidth="1"/>
    <col min="1545" max="1545" width="11.140625" style="951" bestFit="1" customWidth="1"/>
    <col min="1546" max="1546" width="13.140625" style="951" bestFit="1" customWidth="1"/>
    <col min="1547" max="1547" width="11.140625" style="951" bestFit="1" customWidth="1"/>
    <col min="1548" max="1548" width="13.140625" style="951" bestFit="1" customWidth="1"/>
    <col min="1549" max="1549" width="11.140625" style="951" bestFit="1" customWidth="1"/>
    <col min="1550" max="1550" width="13" style="951" customWidth="1"/>
    <col min="1551" max="1551" width="11.42578125" style="951"/>
    <col min="1552" max="1552" width="13.5703125" style="951" customWidth="1"/>
    <col min="1553" max="1553" width="11.42578125" style="951"/>
    <col min="1554" max="1554" width="13.5703125" style="951" customWidth="1"/>
    <col min="1555" max="1795" width="11.42578125" style="951"/>
    <col min="1796" max="1796" width="6.42578125" style="951" customWidth="1"/>
    <col min="1797" max="1797" width="11.42578125" style="951"/>
    <col min="1798" max="1798" width="12.85546875" style="951" bestFit="1" customWidth="1"/>
    <col min="1799" max="1799" width="41.140625" style="951" bestFit="1" customWidth="1"/>
    <col min="1800" max="1800" width="13.140625" style="951" bestFit="1" customWidth="1"/>
    <col min="1801" max="1801" width="11.140625" style="951" bestFit="1" customWidth="1"/>
    <col min="1802" max="1802" width="13.140625" style="951" bestFit="1" customWidth="1"/>
    <col min="1803" max="1803" width="11.140625" style="951" bestFit="1" customWidth="1"/>
    <col min="1804" max="1804" width="13.140625" style="951" bestFit="1" customWidth="1"/>
    <col min="1805" max="1805" width="11.140625" style="951" bestFit="1" customWidth="1"/>
    <col min="1806" max="1806" width="13" style="951" customWidth="1"/>
    <col min="1807" max="1807" width="11.42578125" style="951"/>
    <col min="1808" max="1808" width="13.5703125" style="951" customWidth="1"/>
    <col min="1809" max="1809" width="11.42578125" style="951"/>
    <col min="1810" max="1810" width="13.5703125" style="951" customWidth="1"/>
    <col min="1811" max="2051" width="11.42578125" style="951"/>
    <col min="2052" max="2052" width="6.42578125" style="951" customWidth="1"/>
    <col min="2053" max="2053" width="11.42578125" style="951"/>
    <col min="2054" max="2054" width="12.85546875" style="951" bestFit="1" customWidth="1"/>
    <col min="2055" max="2055" width="41.140625" style="951" bestFit="1" customWidth="1"/>
    <col min="2056" max="2056" width="13.140625" style="951" bestFit="1" customWidth="1"/>
    <col min="2057" max="2057" width="11.140625" style="951" bestFit="1" customWidth="1"/>
    <col min="2058" max="2058" width="13.140625" style="951" bestFit="1" customWidth="1"/>
    <col min="2059" max="2059" width="11.140625" style="951" bestFit="1" customWidth="1"/>
    <col min="2060" max="2060" width="13.140625" style="951" bestFit="1" customWidth="1"/>
    <col min="2061" max="2061" width="11.140625" style="951" bestFit="1" customWidth="1"/>
    <col min="2062" max="2062" width="13" style="951" customWidth="1"/>
    <col min="2063" max="2063" width="11.42578125" style="951"/>
    <col min="2064" max="2064" width="13.5703125" style="951" customWidth="1"/>
    <col min="2065" max="2065" width="11.42578125" style="951"/>
    <col min="2066" max="2066" width="13.5703125" style="951" customWidth="1"/>
    <col min="2067" max="2307" width="11.42578125" style="951"/>
    <col min="2308" max="2308" width="6.42578125" style="951" customWidth="1"/>
    <col min="2309" max="2309" width="11.42578125" style="951"/>
    <col min="2310" max="2310" width="12.85546875" style="951" bestFit="1" customWidth="1"/>
    <col min="2311" max="2311" width="41.140625" style="951" bestFit="1" customWidth="1"/>
    <col min="2312" max="2312" width="13.140625" style="951" bestFit="1" customWidth="1"/>
    <col min="2313" max="2313" width="11.140625" style="951" bestFit="1" customWidth="1"/>
    <col min="2314" max="2314" width="13.140625" style="951" bestFit="1" customWidth="1"/>
    <col min="2315" max="2315" width="11.140625" style="951" bestFit="1" customWidth="1"/>
    <col min="2316" max="2316" width="13.140625" style="951" bestFit="1" customWidth="1"/>
    <col min="2317" max="2317" width="11.140625" style="951" bestFit="1" customWidth="1"/>
    <col min="2318" max="2318" width="13" style="951" customWidth="1"/>
    <col min="2319" max="2319" width="11.42578125" style="951"/>
    <col min="2320" max="2320" width="13.5703125" style="951" customWidth="1"/>
    <col min="2321" max="2321" width="11.42578125" style="951"/>
    <col min="2322" max="2322" width="13.5703125" style="951" customWidth="1"/>
    <col min="2323" max="2563" width="11.42578125" style="951"/>
    <col min="2564" max="2564" width="6.42578125" style="951" customWidth="1"/>
    <col min="2565" max="2565" width="11.42578125" style="951"/>
    <col min="2566" max="2566" width="12.85546875" style="951" bestFit="1" customWidth="1"/>
    <col min="2567" max="2567" width="41.140625" style="951" bestFit="1" customWidth="1"/>
    <col min="2568" max="2568" width="13.140625" style="951" bestFit="1" customWidth="1"/>
    <col min="2569" max="2569" width="11.140625" style="951" bestFit="1" customWidth="1"/>
    <col min="2570" max="2570" width="13.140625" style="951" bestFit="1" customWidth="1"/>
    <col min="2571" max="2571" width="11.140625" style="951" bestFit="1" customWidth="1"/>
    <col min="2572" max="2572" width="13.140625" style="951" bestFit="1" customWidth="1"/>
    <col min="2573" max="2573" width="11.140625" style="951" bestFit="1" customWidth="1"/>
    <col min="2574" max="2574" width="13" style="951" customWidth="1"/>
    <col min="2575" max="2575" width="11.42578125" style="951"/>
    <col min="2576" max="2576" width="13.5703125" style="951" customWidth="1"/>
    <col min="2577" max="2577" width="11.42578125" style="951"/>
    <col min="2578" max="2578" width="13.5703125" style="951" customWidth="1"/>
    <col min="2579" max="2819" width="11.42578125" style="951"/>
    <col min="2820" max="2820" width="6.42578125" style="951" customWidth="1"/>
    <col min="2821" max="2821" width="11.42578125" style="951"/>
    <col min="2822" max="2822" width="12.85546875" style="951" bestFit="1" customWidth="1"/>
    <col min="2823" max="2823" width="41.140625" style="951" bestFit="1" customWidth="1"/>
    <col min="2824" max="2824" width="13.140625" style="951" bestFit="1" customWidth="1"/>
    <col min="2825" max="2825" width="11.140625" style="951" bestFit="1" customWidth="1"/>
    <col min="2826" max="2826" width="13.140625" style="951" bestFit="1" customWidth="1"/>
    <col min="2827" max="2827" width="11.140625" style="951" bestFit="1" customWidth="1"/>
    <col min="2828" max="2828" width="13.140625" style="951" bestFit="1" customWidth="1"/>
    <col min="2829" max="2829" width="11.140625" style="951" bestFit="1" customWidth="1"/>
    <col min="2830" max="2830" width="13" style="951" customWidth="1"/>
    <col min="2831" max="2831" width="11.42578125" style="951"/>
    <col min="2832" max="2832" width="13.5703125" style="951" customWidth="1"/>
    <col min="2833" max="2833" width="11.42578125" style="951"/>
    <col min="2834" max="2834" width="13.5703125" style="951" customWidth="1"/>
    <col min="2835" max="3075" width="11.42578125" style="951"/>
    <col min="3076" max="3076" width="6.42578125" style="951" customWidth="1"/>
    <col min="3077" max="3077" width="11.42578125" style="951"/>
    <col min="3078" max="3078" width="12.85546875" style="951" bestFit="1" customWidth="1"/>
    <col min="3079" max="3079" width="41.140625" style="951" bestFit="1" customWidth="1"/>
    <col min="3080" max="3080" width="13.140625" style="951" bestFit="1" customWidth="1"/>
    <col min="3081" max="3081" width="11.140625" style="951" bestFit="1" customWidth="1"/>
    <col min="3082" max="3082" width="13.140625" style="951" bestFit="1" customWidth="1"/>
    <col min="3083" max="3083" width="11.140625" style="951" bestFit="1" customWidth="1"/>
    <col min="3084" max="3084" width="13.140625" style="951" bestFit="1" customWidth="1"/>
    <col min="3085" max="3085" width="11.140625" style="951" bestFit="1" customWidth="1"/>
    <col min="3086" max="3086" width="13" style="951" customWidth="1"/>
    <col min="3087" max="3087" width="11.42578125" style="951"/>
    <col min="3088" max="3088" width="13.5703125" style="951" customWidth="1"/>
    <col min="3089" max="3089" width="11.42578125" style="951"/>
    <col min="3090" max="3090" width="13.5703125" style="951" customWidth="1"/>
    <col min="3091" max="3331" width="11.42578125" style="951"/>
    <col min="3332" max="3332" width="6.42578125" style="951" customWidth="1"/>
    <col min="3333" max="3333" width="11.42578125" style="951"/>
    <col min="3334" max="3334" width="12.85546875" style="951" bestFit="1" customWidth="1"/>
    <col min="3335" max="3335" width="41.140625" style="951" bestFit="1" customWidth="1"/>
    <col min="3336" max="3336" width="13.140625" style="951" bestFit="1" customWidth="1"/>
    <col min="3337" max="3337" width="11.140625" style="951" bestFit="1" customWidth="1"/>
    <col min="3338" max="3338" width="13.140625" style="951" bestFit="1" customWidth="1"/>
    <col min="3339" max="3339" width="11.140625" style="951" bestFit="1" customWidth="1"/>
    <col min="3340" max="3340" width="13.140625" style="951" bestFit="1" customWidth="1"/>
    <col min="3341" max="3341" width="11.140625" style="951" bestFit="1" customWidth="1"/>
    <col min="3342" max="3342" width="13" style="951" customWidth="1"/>
    <col min="3343" max="3343" width="11.42578125" style="951"/>
    <col min="3344" max="3344" width="13.5703125" style="951" customWidth="1"/>
    <col min="3345" max="3345" width="11.42578125" style="951"/>
    <col min="3346" max="3346" width="13.5703125" style="951" customWidth="1"/>
    <col min="3347" max="3587" width="11.42578125" style="951"/>
    <col min="3588" max="3588" width="6.42578125" style="951" customWidth="1"/>
    <col min="3589" max="3589" width="11.42578125" style="951"/>
    <col min="3590" max="3590" width="12.85546875" style="951" bestFit="1" customWidth="1"/>
    <col min="3591" max="3591" width="41.140625" style="951" bestFit="1" customWidth="1"/>
    <col min="3592" max="3592" width="13.140625" style="951" bestFit="1" customWidth="1"/>
    <col min="3593" max="3593" width="11.140625" style="951" bestFit="1" customWidth="1"/>
    <col min="3594" max="3594" width="13.140625" style="951" bestFit="1" customWidth="1"/>
    <col min="3595" max="3595" width="11.140625" style="951" bestFit="1" customWidth="1"/>
    <col min="3596" max="3596" width="13.140625" style="951" bestFit="1" customWidth="1"/>
    <col min="3597" max="3597" width="11.140625" style="951" bestFit="1" customWidth="1"/>
    <col min="3598" max="3598" width="13" style="951" customWidth="1"/>
    <col min="3599" max="3599" width="11.42578125" style="951"/>
    <col min="3600" max="3600" width="13.5703125" style="951" customWidth="1"/>
    <col min="3601" max="3601" width="11.42578125" style="951"/>
    <col min="3602" max="3602" width="13.5703125" style="951" customWidth="1"/>
    <col min="3603" max="3843" width="11.42578125" style="951"/>
    <col min="3844" max="3844" width="6.42578125" style="951" customWidth="1"/>
    <col min="3845" max="3845" width="11.42578125" style="951"/>
    <col min="3846" max="3846" width="12.85546875" style="951" bestFit="1" customWidth="1"/>
    <col min="3847" max="3847" width="41.140625" style="951" bestFit="1" customWidth="1"/>
    <col min="3848" max="3848" width="13.140625" style="951" bestFit="1" customWidth="1"/>
    <col min="3849" max="3849" width="11.140625" style="951" bestFit="1" customWidth="1"/>
    <col min="3850" max="3850" width="13.140625" style="951" bestFit="1" customWidth="1"/>
    <col min="3851" max="3851" width="11.140625" style="951" bestFit="1" customWidth="1"/>
    <col min="3852" max="3852" width="13.140625" style="951" bestFit="1" customWidth="1"/>
    <col min="3853" max="3853" width="11.140625" style="951" bestFit="1" customWidth="1"/>
    <col min="3854" max="3854" width="13" style="951" customWidth="1"/>
    <col min="3855" max="3855" width="11.42578125" style="951"/>
    <col min="3856" max="3856" width="13.5703125" style="951" customWidth="1"/>
    <col min="3857" max="3857" width="11.42578125" style="951"/>
    <col min="3858" max="3858" width="13.5703125" style="951" customWidth="1"/>
    <col min="3859" max="4099" width="11.42578125" style="951"/>
    <col min="4100" max="4100" width="6.42578125" style="951" customWidth="1"/>
    <col min="4101" max="4101" width="11.42578125" style="951"/>
    <col min="4102" max="4102" width="12.85546875" style="951" bestFit="1" customWidth="1"/>
    <col min="4103" max="4103" width="41.140625" style="951" bestFit="1" customWidth="1"/>
    <col min="4104" max="4104" width="13.140625" style="951" bestFit="1" customWidth="1"/>
    <col min="4105" max="4105" width="11.140625" style="951" bestFit="1" customWidth="1"/>
    <col min="4106" max="4106" width="13.140625" style="951" bestFit="1" customWidth="1"/>
    <col min="4107" max="4107" width="11.140625" style="951" bestFit="1" customWidth="1"/>
    <col min="4108" max="4108" width="13.140625" style="951" bestFit="1" customWidth="1"/>
    <col min="4109" max="4109" width="11.140625" style="951" bestFit="1" customWidth="1"/>
    <col min="4110" max="4110" width="13" style="951" customWidth="1"/>
    <col min="4111" max="4111" width="11.42578125" style="951"/>
    <col min="4112" max="4112" width="13.5703125" style="951" customWidth="1"/>
    <col min="4113" max="4113" width="11.42578125" style="951"/>
    <col min="4114" max="4114" width="13.5703125" style="951" customWidth="1"/>
    <col min="4115" max="4355" width="11.42578125" style="951"/>
    <col min="4356" max="4356" width="6.42578125" style="951" customWidth="1"/>
    <col min="4357" max="4357" width="11.42578125" style="951"/>
    <col min="4358" max="4358" width="12.85546875" style="951" bestFit="1" customWidth="1"/>
    <col min="4359" max="4359" width="41.140625" style="951" bestFit="1" customWidth="1"/>
    <col min="4360" max="4360" width="13.140625" style="951" bestFit="1" customWidth="1"/>
    <col min="4361" max="4361" width="11.140625" style="951" bestFit="1" customWidth="1"/>
    <col min="4362" max="4362" width="13.140625" style="951" bestFit="1" customWidth="1"/>
    <col min="4363" max="4363" width="11.140625" style="951" bestFit="1" customWidth="1"/>
    <col min="4364" max="4364" width="13.140625" style="951" bestFit="1" customWidth="1"/>
    <col min="4365" max="4365" width="11.140625" style="951" bestFit="1" customWidth="1"/>
    <col min="4366" max="4366" width="13" style="951" customWidth="1"/>
    <col min="4367" max="4367" width="11.42578125" style="951"/>
    <col min="4368" max="4368" width="13.5703125" style="951" customWidth="1"/>
    <col min="4369" max="4369" width="11.42578125" style="951"/>
    <col min="4370" max="4370" width="13.5703125" style="951" customWidth="1"/>
    <col min="4371" max="4611" width="11.42578125" style="951"/>
    <col min="4612" max="4612" width="6.42578125" style="951" customWidth="1"/>
    <col min="4613" max="4613" width="11.42578125" style="951"/>
    <col min="4614" max="4614" width="12.85546875" style="951" bestFit="1" customWidth="1"/>
    <col min="4615" max="4615" width="41.140625" style="951" bestFit="1" customWidth="1"/>
    <col min="4616" max="4616" width="13.140625" style="951" bestFit="1" customWidth="1"/>
    <col min="4617" max="4617" width="11.140625" style="951" bestFit="1" customWidth="1"/>
    <col min="4618" max="4618" width="13.140625" style="951" bestFit="1" customWidth="1"/>
    <col min="4619" max="4619" width="11.140625" style="951" bestFit="1" customWidth="1"/>
    <col min="4620" max="4620" width="13.140625" style="951" bestFit="1" customWidth="1"/>
    <col min="4621" max="4621" width="11.140625" style="951" bestFit="1" customWidth="1"/>
    <col min="4622" max="4622" width="13" style="951" customWidth="1"/>
    <col min="4623" max="4623" width="11.42578125" style="951"/>
    <col min="4624" max="4624" width="13.5703125" style="951" customWidth="1"/>
    <col min="4625" max="4625" width="11.42578125" style="951"/>
    <col min="4626" max="4626" width="13.5703125" style="951" customWidth="1"/>
    <col min="4627" max="4867" width="11.42578125" style="951"/>
    <col min="4868" max="4868" width="6.42578125" style="951" customWidth="1"/>
    <col min="4869" max="4869" width="11.42578125" style="951"/>
    <col min="4870" max="4870" width="12.85546875" style="951" bestFit="1" customWidth="1"/>
    <col min="4871" max="4871" width="41.140625" style="951" bestFit="1" customWidth="1"/>
    <col min="4872" max="4872" width="13.140625" style="951" bestFit="1" customWidth="1"/>
    <col min="4873" max="4873" width="11.140625" style="951" bestFit="1" customWidth="1"/>
    <col min="4874" max="4874" width="13.140625" style="951" bestFit="1" customWidth="1"/>
    <col min="4875" max="4875" width="11.140625" style="951" bestFit="1" customWidth="1"/>
    <col min="4876" max="4876" width="13.140625" style="951" bestFit="1" customWidth="1"/>
    <col min="4877" max="4877" width="11.140625" style="951" bestFit="1" customWidth="1"/>
    <col min="4878" max="4878" width="13" style="951" customWidth="1"/>
    <col min="4879" max="4879" width="11.42578125" style="951"/>
    <col min="4880" max="4880" width="13.5703125" style="951" customWidth="1"/>
    <col min="4881" max="4881" width="11.42578125" style="951"/>
    <col min="4882" max="4882" width="13.5703125" style="951" customWidth="1"/>
    <col min="4883" max="5123" width="11.42578125" style="951"/>
    <col min="5124" max="5124" width="6.42578125" style="951" customWidth="1"/>
    <col min="5125" max="5125" width="11.42578125" style="951"/>
    <col min="5126" max="5126" width="12.85546875" style="951" bestFit="1" customWidth="1"/>
    <col min="5127" max="5127" width="41.140625" style="951" bestFit="1" customWidth="1"/>
    <col min="5128" max="5128" width="13.140625" style="951" bestFit="1" customWidth="1"/>
    <col min="5129" max="5129" width="11.140625" style="951" bestFit="1" customWidth="1"/>
    <col min="5130" max="5130" width="13.140625" style="951" bestFit="1" customWidth="1"/>
    <col min="5131" max="5131" width="11.140625" style="951" bestFit="1" customWidth="1"/>
    <col min="5132" max="5132" width="13.140625" style="951" bestFit="1" customWidth="1"/>
    <col min="5133" max="5133" width="11.140625" style="951" bestFit="1" customWidth="1"/>
    <col min="5134" max="5134" width="13" style="951" customWidth="1"/>
    <col min="5135" max="5135" width="11.42578125" style="951"/>
    <col min="5136" max="5136" width="13.5703125" style="951" customWidth="1"/>
    <col min="5137" max="5137" width="11.42578125" style="951"/>
    <col min="5138" max="5138" width="13.5703125" style="951" customWidth="1"/>
    <col min="5139" max="5379" width="11.42578125" style="951"/>
    <col min="5380" max="5380" width="6.42578125" style="951" customWidth="1"/>
    <col min="5381" max="5381" width="11.42578125" style="951"/>
    <col min="5382" max="5382" width="12.85546875" style="951" bestFit="1" customWidth="1"/>
    <col min="5383" max="5383" width="41.140625" style="951" bestFit="1" customWidth="1"/>
    <col min="5384" max="5384" width="13.140625" style="951" bestFit="1" customWidth="1"/>
    <col min="5385" max="5385" width="11.140625" style="951" bestFit="1" customWidth="1"/>
    <col min="5386" max="5386" width="13.140625" style="951" bestFit="1" customWidth="1"/>
    <col min="5387" max="5387" width="11.140625" style="951" bestFit="1" customWidth="1"/>
    <col min="5388" max="5388" width="13.140625" style="951" bestFit="1" customWidth="1"/>
    <col min="5389" max="5389" width="11.140625" style="951" bestFit="1" customWidth="1"/>
    <col min="5390" max="5390" width="13" style="951" customWidth="1"/>
    <col min="5391" max="5391" width="11.42578125" style="951"/>
    <col min="5392" max="5392" width="13.5703125" style="951" customWidth="1"/>
    <col min="5393" max="5393" width="11.42578125" style="951"/>
    <col min="5394" max="5394" width="13.5703125" style="951" customWidth="1"/>
    <col min="5395" max="5635" width="11.42578125" style="951"/>
    <col min="5636" max="5636" width="6.42578125" style="951" customWidth="1"/>
    <col min="5637" max="5637" width="11.42578125" style="951"/>
    <col min="5638" max="5638" width="12.85546875" style="951" bestFit="1" customWidth="1"/>
    <col min="5639" max="5639" width="41.140625" style="951" bestFit="1" customWidth="1"/>
    <col min="5640" max="5640" width="13.140625" style="951" bestFit="1" customWidth="1"/>
    <col min="5641" max="5641" width="11.140625" style="951" bestFit="1" customWidth="1"/>
    <col min="5642" max="5642" width="13.140625" style="951" bestFit="1" customWidth="1"/>
    <col min="5643" max="5643" width="11.140625" style="951" bestFit="1" customWidth="1"/>
    <col min="5644" max="5644" width="13.140625" style="951" bestFit="1" customWidth="1"/>
    <col min="5645" max="5645" width="11.140625" style="951" bestFit="1" customWidth="1"/>
    <col min="5646" max="5646" width="13" style="951" customWidth="1"/>
    <col min="5647" max="5647" width="11.42578125" style="951"/>
    <col min="5648" max="5648" width="13.5703125" style="951" customWidth="1"/>
    <col min="5649" max="5649" width="11.42578125" style="951"/>
    <col min="5650" max="5650" width="13.5703125" style="951" customWidth="1"/>
    <col min="5651" max="5891" width="11.42578125" style="951"/>
    <col min="5892" max="5892" width="6.42578125" style="951" customWidth="1"/>
    <col min="5893" max="5893" width="11.42578125" style="951"/>
    <col min="5894" max="5894" width="12.85546875" style="951" bestFit="1" customWidth="1"/>
    <col min="5895" max="5895" width="41.140625" style="951" bestFit="1" customWidth="1"/>
    <col min="5896" max="5896" width="13.140625" style="951" bestFit="1" customWidth="1"/>
    <col min="5897" max="5897" width="11.140625" style="951" bestFit="1" customWidth="1"/>
    <col min="5898" max="5898" width="13.140625" style="951" bestFit="1" customWidth="1"/>
    <col min="5899" max="5899" width="11.140625" style="951" bestFit="1" customWidth="1"/>
    <col min="5900" max="5900" width="13.140625" style="951" bestFit="1" customWidth="1"/>
    <col min="5901" max="5901" width="11.140625" style="951" bestFit="1" customWidth="1"/>
    <col min="5902" max="5902" width="13" style="951" customWidth="1"/>
    <col min="5903" max="5903" width="11.42578125" style="951"/>
    <col min="5904" max="5904" width="13.5703125" style="951" customWidth="1"/>
    <col min="5905" max="5905" width="11.42578125" style="951"/>
    <col min="5906" max="5906" width="13.5703125" style="951" customWidth="1"/>
    <col min="5907" max="6147" width="11.42578125" style="951"/>
    <col min="6148" max="6148" width="6.42578125" style="951" customWidth="1"/>
    <col min="6149" max="6149" width="11.42578125" style="951"/>
    <col min="6150" max="6150" width="12.85546875" style="951" bestFit="1" customWidth="1"/>
    <col min="6151" max="6151" width="41.140625" style="951" bestFit="1" customWidth="1"/>
    <col min="6152" max="6152" width="13.140625" style="951" bestFit="1" customWidth="1"/>
    <col min="6153" max="6153" width="11.140625" style="951" bestFit="1" customWidth="1"/>
    <col min="6154" max="6154" width="13.140625" style="951" bestFit="1" customWidth="1"/>
    <col min="6155" max="6155" width="11.140625" style="951" bestFit="1" customWidth="1"/>
    <col min="6156" max="6156" width="13.140625" style="951" bestFit="1" customWidth="1"/>
    <col min="6157" max="6157" width="11.140625" style="951" bestFit="1" customWidth="1"/>
    <col min="6158" max="6158" width="13" style="951" customWidth="1"/>
    <col min="6159" max="6159" width="11.42578125" style="951"/>
    <col min="6160" max="6160" width="13.5703125" style="951" customWidth="1"/>
    <col min="6161" max="6161" width="11.42578125" style="951"/>
    <col min="6162" max="6162" width="13.5703125" style="951" customWidth="1"/>
    <col min="6163" max="6403" width="11.42578125" style="951"/>
    <col min="6404" max="6404" width="6.42578125" style="951" customWidth="1"/>
    <col min="6405" max="6405" width="11.42578125" style="951"/>
    <col min="6406" max="6406" width="12.85546875" style="951" bestFit="1" customWidth="1"/>
    <col min="6407" max="6407" width="41.140625" style="951" bestFit="1" customWidth="1"/>
    <col min="6408" max="6408" width="13.140625" style="951" bestFit="1" customWidth="1"/>
    <col min="6409" max="6409" width="11.140625" style="951" bestFit="1" customWidth="1"/>
    <col min="6410" max="6410" width="13.140625" style="951" bestFit="1" customWidth="1"/>
    <col min="6411" max="6411" width="11.140625" style="951" bestFit="1" customWidth="1"/>
    <col min="6412" max="6412" width="13.140625" style="951" bestFit="1" customWidth="1"/>
    <col min="6413" max="6413" width="11.140625" style="951" bestFit="1" customWidth="1"/>
    <col min="6414" max="6414" width="13" style="951" customWidth="1"/>
    <col min="6415" max="6415" width="11.42578125" style="951"/>
    <col min="6416" max="6416" width="13.5703125" style="951" customWidth="1"/>
    <col min="6417" max="6417" width="11.42578125" style="951"/>
    <col min="6418" max="6418" width="13.5703125" style="951" customWidth="1"/>
    <col min="6419" max="6659" width="11.42578125" style="951"/>
    <col min="6660" max="6660" width="6.42578125" style="951" customWidth="1"/>
    <col min="6661" max="6661" width="11.42578125" style="951"/>
    <col min="6662" max="6662" width="12.85546875" style="951" bestFit="1" customWidth="1"/>
    <col min="6663" max="6663" width="41.140625" style="951" bestFit="1" customWidth="1"/>
    <col min="6664" max="6664" width="13.140625" style="951" bestFit="1" customWidth="1"/>
    <col min="6665" max="6665" width="11.140625" style="951" bestFit="1" customWidth="1"/>
    <col min="6666" max="6666" width="13.140625" style="951" bestFit="1" customWidth="1"/>
    <col min="6667" max="6667" width="11.140625" style="951" bestFit="1" customWidth="1"/>
    <col min="6668" max="6668" width="13.140625" style="951" bestFit="1" customWidth="1"/>
    <col min="6669" max="6669" width="11.140625" style="951" bestFit="1" customWidth="1"/>
    <col min="6670" max="6670" width="13" style="951" customWidth="1"/>
    <col min="6671" max="6671" width="11.42578125" style="951"/>
    <col min="6672" max="6672" width="13.5703125" style="951" customWidth="1"/>
    <col min="6673" max="6673" width="11.42578125" style="951"/>
    <col min="6674" max="6674" width="13.5703125" style="951" customWidth="1"/>
    <col min="6675" max="6915" width="11.42578125" style="951"/>
    <col min="6916" max="6916" width="6.42578125" style="951" customWidth="1"/>
    <col min="6917" max="6917" width="11.42578125" style="951"/>
    <col min="6918" max="6918" width="12.85546875" style="951" bestFit="1" customWidth="1"/>
    <col min="6919" max="6919" width="41.140625" style="951" bestFit="1" customWidth="1"/>
    <col min="6920" max="6920" width="13.140625" style="951" bestFit="1" customWidth="1"/>
    <col min="6921" max="6921" width="11.140625" style="951" bestFit="1" customWidth="1"/>
    <col min="6922" max="6922" width="13.140625" style="951" bestFit="1" customWidth="1"/>
    <col min="6923" max="6923" width="11.140625" style="951" bestFit="1" customWidth="1"/>
    <col min="6924" max="6924" width="13.140625" style="951" bestFit="1" customWidth="1"/>
    <col min="6925" max="6925" width="11.140625" style="951" bestFit="1" customWidth="1"/>
    <col min="6926" max="6926" width="13" style="951" customWidth="1"/>
    <col min="6927" max="6927" width="11.42578125" style="951"/>
    <col min="6928" max="6928" width="13.5703125" style="951" customWidth="1"/>
    <col min="6929" max="6929" width="11.42578125" style="951"/>
    <col min="6930" max="6930" width="13.5703125" style="951" customWidth="1"/>
    <col min="6931" max="7171" width="11.42578125" style="951"/>
    <col min="7172" max="7172" width="6.42578125" style="951" customWidth="1"/>
    <col min="7173" max="7173" width="11.42578125" style="951"/>
    <col min="7174" max="7174" width="12.85546875" style="951" bestFit="1" customWidth="1"/>
    <col min="7175" max="7175" width="41.140625" style="951" bestFit="1" customWidth="1"/>
    <col min="7176" max="7176" width="13.140625" style="951" bestFit="1" customWidth="1"/>
    <col min="7177" max="7177" width="11.140625" style="951" bestFit="1" customWidth="1"/>
    <col min="7178" max="7178" width="13.140625" style="951" bestFit="1" customWidth="1"/>
    <col min="7179" max="7179" width="11.140625" style="951" bestFit="1" customWidth="1"/>
    <col min="7180" max="7180" width="13.140625" style="951" bestFit="1" customWidth="1"/>
    <col min="7181" max="7181" width="11.140625" style="951" bestFit="1" customWidth="1"/>
    <col min="7182" max="7182" width="13" style="951" customWidth="1"/>
    <col min="7183" max="7183" width="11.42578125" style="951"/>
    <col min="7184" max="7184" width="13.5703125" style="951" customWidth="1"/>
    <col min="7185" max="7185" width="11.42578125" style="951"/>
    <col min="7186" max="7186" width="13.5703125" style="951" customWidth="1"/>
    <col min="7187" max="7427" width="11.42578125" style="951"/>
    <col min="7428" max="7428" width="6.42578125" style="951" customWidth="1"/>
    <col min="7429" max="7429" width="11.42578125" style="951"/>
    <col min="7430" max="7430" width="12.85546875" style="951" bestFit="1" customWidth="1"/>
    <col min="7431" max="7431" width="41.140625" style="951" bestFit="1" customWidth="1"/>
    <col min="7432" max="7432" width="13.140625" style="951" bestFit="1" customWidth="1"/>
    <col min="7433" max="7433" width="11.140625" style="951" bestFit="1" customWidth="1"/>
    <col min="7434" max="7434" width="13.140625" style="951" bestFit="1" customWidth="1"/>
    <col min="7435" max="7435" width="11.140625" style="951" bestFit="1" customWidth="1"/>
    <col min="7436" max="7436" width="13.140625" style="951" bestFit="1" customWidth="1"/>
    <col min="7437" max="7437" width="11.140625" style="951" bestFit="1" customWidth="1"/>
    <col min="7438" max="7438" width="13" style="951" customWidth="1"/>
    <col min="7439" max="7439" width="11.42578125" style="951"/>
    <col min="7440" max="7440" width="13.5703125" style="951" customWidth="1"/>
    <col min="7441" max="7441" width="11.42578125" style="951"/>
    <col min="7442" max="7442" width="13.5703125" style="951" customWidth="1"/>
    <col min="7443" max="7683" width="11.42578125" style="951"/>
    <col min="7684" max="7684" width="6.42578125" style="951" customWidth="1"/>
    <col min="7685" max="7685" width="11.42578125" style="951"/>
    <col min="7686" max="7686" width="12.85546875" style="951" bestFit="1" customWidth="1"/>
    <col min="7687" max="7687" width="41.140625" style="951" bestFit="1" customWidth="1"/>
    <col min="7688" max="7688" width="13.140625" style="951" bestFit="1" customWidth="1"/>
    <col min="7689" max="7689" width="11.140625" style="951" bestFit="1" customWidth="1"/>
    <col min="7690" max="7690" width="13.140625" style="951" bestFit="1" customWidth="1"/>
    <col min="7691" max="7691" width="11.140625" style="951" bestFit="1" customWidth="1"/>
    <col min="7692" max="7692" width="13.140625" style="951" bestFit="1" customWidth="1"/>
    <col min="7693" max="7693" width="11.140625" style="951" bestFit="1" customWidth="1"/>
    <col min="7694" max="7694" width="13" style="951" customWidth="1"/>
    <col min="7695" max="7695" width="11.42578125" style="951"/>
    <col min="7696" max="7696" width="13.5703125" style="951" customWidth="1"/>
    <col min="7697" max="7697" width="11.42578125" style="951"/>
    <col min="7698" max="7698" width="13.5703125" style="951" customWidth="1"/>
    <col min="7699" max="7939" width="11.42578125" style="951"/>
    <col min="7940" max="7940" width="6.42578125" style="951" customWidth="1"/>
    <col min="7941" max="7941" width="11.42578125" style="951"/>
    <col min="7942" max="7942" width="12.85546875" style="951" bestFit="1" customWidth="1"/>
    <col min="7943" max="7943" width="41.140625" style="951" bestFit="1" customWidth="1"/>
    <col min="7944" max="7944" width="13.140625" style="951" bestFit="1" customWidth="1"/>
    <col min="7945" max="7945" width="11.140625" style="951" bestFit="1" customWidth="1"/>
    <col min="7946" max="7946" width="13.140625" style="951" bestFit="1" customWidth="1"/>
    <col min="7947" max="7947" width="11.140625" style="951" bestFit="1" customWidth="1"/>
    <col min="7948" max="7948" width="13.140625" style="951" bestFit="1" customWidth="1"/>
    <col min="7949" max="7949" width="11.140625" style="951" bestFit="1" customWidth="1"/>
    <col min="7950" max="7950" width="13" style="951" customWidth="1"/>
    <col min="7951" max="7951" width="11.42578125" style="951"/>
    <col min="7952" max="7952" width="13.5703125" style="951" customWidth="1"/>
    <col min="7953" max="7953" width="11.42578125" style="951"/>
    <col min="7954" max="7954" width="13.5703125" style="951" customWidth="1"/>
    <col min="7955" max="8195" width="11.42578125" style="951"/>
    <col min="8196" max="8196" width="6.42578125" style="951" customWidth="1"/>
    <col min="8197" max="8197" width="11.42578125" style="951"/>
    <col min="8198" max="8198" width="12.85546875" style="951" bestFit="1" customWidth="1"/>
    <col min="8199" max="8199" width="41.140625" style="951" bestFit="1" customWidth="1"/>
    <col min="8200" max="8200" width="13.140625" style="951" bestFit="1" customWidth="1"/>
    <col min="8201" max="8201" width="11.140625" style="951" bestFit="1" customWidth="1"/>
    <col min="8202" max="8202" width="13.140625" style="951" bestFit="1" customWidth="1"/>
    <col min="8203" max="8203" width="11.140625" style="951" bestFit="1" customWidth="1"/>
    <col min="8204" max="8204" width="13.140625" style="951" bestFit="1" customWidth="1"/>
    <col min="8205" max="8205" width="11.140625" style="951" bestFit="1" customWidth="1"/>
    <col min="8206" max="8206" width="13" style="951" customWidth="1"/>
    <col min="8207" max="8207" width="11.42578125" style="951"/>
    <col min="8208" max="8208" width="13.5703125" style="951" customWidth="1"/>
    <col min="8209" max="8209" width="11.42578125" style="951"/>
    <col min="8210" max="8210" width="13.5703125" style="951" customWidth="1"/>
    <col min="8211" max="8451" width="11.42578125" style="951"/>
    <col min="8452" max="8452" width="6.42578125" style="951" customWidth="1"/>
    <col min="8453" max="8453" width="11.42578125" style="951"/>
    <col min="8454" max="8454" width="12.85546875" style="951" bestFit="1" customWidth="1"/>
    <col min="8455" max="8455" width="41.140625" style="951" bestFit="1" customWidth="1"/>
    <col min="8456" max="8456" width="13.140625" style="951" bestFit="1" customWidth="1"/>
    <col min="8457" max="8457" width="11.140625" style="951" bestFit="1" customWidth="1"/>
    <col min="8458" max="8458" width="13.140625" style="951" bestFit="1" customWidth="1"/>
    <col min="8459" max="8459" width="11.140625" style="951" bestFit="1" customWidth="1"/>
    <col min="8460" max="8460" width="13.140625" style="951" bestFit="1" customWidth="1"/>
    <col min="8461" max="8461" width="11.140625" style="951" bestFit="1" customWidth="1"/>
    <col min="8462" max="8462" width="13" style="951" customWidth="1"/>
    <col min="8463" max="8463" width="11.42578125" style="951"/>
    <col min="8464" max="8464" width="13.5703125" style="951" customWidth="1"/>
    <col min="8465" max="8465" width="11.42578125" style="951"/>
    <col min="8466" max="8466" width="13.5703125" style="951" customWidth="1"/>
    <col min="8467" max="8707" width="11.42578125" style="951"/>
    <col min="8708" max="8708" width="6.42578125" style="951" customWidth="1"/>
    <col min="8709" max="8709" width="11.42578125" style="951"/>
    <col min="8710" max="8710" width="12.85546875" style="951" bestFit="1" customWidth="1"/>
    <col min="8711" max="8711" width="41.140625" style="951" bestFit="1" customWidth="1"/>
    <col min="8712" max="8712" width="13.140625" style="951" bestFit="1" customWidth="1"/>
    <col min="8713" max="8713" width="11.140625" style="951" bestFit="1" customWidth="1"/>
    <col min="8714" max="8714" width="13.140625" style="951" bestFit="1" customWidth="1"/>
    <col min="8715" max="8715" width="11.140625" style="951" bestFit="1" customWidth="1"/>
    <col min="8716" max="8716" width="13.140625" style="951" bestFit="1" customWidth="1"/>
    <col min="8717" max="8717" width="11.140625" style="951" bestFit="1" customWidth="1"/>
    <col min="8718" max="8718" width="13" style="951" customWidth="1"/>
    <col min="8719" max="8719" width="11.42578125" style="951"/>
    <col min="8720" max="8720" width="13.5703125" style="951" customWidth="1"/>
    <col min="8721" max="8721" width="11.42578125" style="951"/>
    <col min="8722" max="8722" width="13.5703125" style="951" customWidth="1"/>
    <col min="8723" max="8963" width="11.42578125" style="951"/>
    <col min="8964" max="8964" width="6.42578125" style="951" customWidth="1"/>
    <col min="8965" max="8965" width="11.42578125" style="951"/>
    <col min="8966" max="8966" width="12.85546875" style="951" bestFit="1" customWidth="1"/>
    <col min="8967" max="8967" width="41.140625" style="951" bestFit="1" customWidth="1"/>
    <col min="8968" max="8968" width="13.140625" style="951" bestFit="1" customWidth="1"/>
    <col min="8969" max="8969" width="11.140625" style="951" bestFit="1" customWidth="1"/>
    <col min="8970" max="8970" width="13.140625" style="951" bestFit="1" customWidth="1"/>
    <col min="8971" max="8971" width="11.140625" style="951" bestFit="1" customWidth="1"/>
    <col min="8972" max="8972" width="13.140625" style="951" bestFit="1" customWidth="1"/>
    <col min="8973" max="8973" width="11.140625" style="951" bestFit="1" customWidth="1"/>
    <col min="8974" max="8974" width="13" style="951" customWidth="1"/>
    <col min="8975" max="8975" width="11.42578125" style="951"/>
    <col min="8976" max="8976" width="13.5703125" style="951" customWidth="1"/>
    <col min="8977" max="8977" width="11.42578125" style="951"/>
    <col min="8978" max="8978" width="13.5703125" style="951" customWidth="1"/>
    <col min="8979" max="9219" width="11.42578125" style="951"/>
    <col min="9220" max="9220" width="6.42578125" style="951" customWidth="1"/>
    <col min="9221" max="9221" width="11.42578125" style="951"/>
    <col min="9222" max="9222" width="12.85546875" style="951" bestFit="1" customWidth="1"/>
    <col min="9223" max="9223" width="41.140625" style="951" bestFit="1" customWidth="1"/>
    <col min="9224" max="9224" width="13.140625" style="951" bestFit="1" customWidth="1"/>
    <col min="9225" max="9225" width="11.140625" style="951" bestFit="1" customWidth="1"/>
    <col min="9226" max="9226" width="13.140625" style="951" bestFit="1" customWidth="1"/>
    <col min="9227" max="9227" width="11.140625" style="951" bestFit="1" customWidth="1"/>
    <col min="9228" max="9228" width="13.140625" style="951" bestFit="1" customWidth="1"/>
    <col min="9229" max="9229" width="11.140625" style="951" bestFit="1" customWidth="1"/>
    <col min="9230" max="9230" width="13" style="951" customWidth="1"/>
    <col min="9231" max="9231" width="11.42578125" style="951"/>
    <col min="9232" max="9232" width="13.5703125" style="951" customWidth="1"/>
    <col min="9233" max="9233" width="11.42578125" style="951"/>
    <col min="9234" max="9234" width="13.5703125" style="951" customWidth="1"/>
    <col min="9235" max="9475" width="11.42578125" style="951"/>
    <col min="9476" max="9476" width="6.42578125" style="951" customWidth="1"/>
    <col min="9477" max="9477" width="11.42578125" style="951"/>
    <col min="9478" max="9478" width="12.85546875" style="951" bestFit="1" customWidth="1"/>
    <col min="9479" max="9479" width="41.140625" style="951" bestFit="1" customWidth="1"/>
    <col min="9480" max="9480" width="13.140625" style="951" bestFit="1" customWidth="1"/>
    <col min="9481" max="9481" width="11.140625" style="951" bestFit="1" customWidth="1"/>
    <col min="9482" max="9482" width="13.140625" style="951" bestFit="1" customWidth="1"/>
    <col min="9483" max="9483" width="11.140625" style="951" bestFit="1" customWidth="1"/>
    <col min="9484" max="9484" width="13.140625" style="951" bestFit="1" customWidth="1"/>
    <col min="9485" max="9485" width="11.140625" style="951" bestFit="1" customWidth="1"/>
    <col min="9486" max="9486" width="13" style="951" customWidth="1"/>
    <col min="9487" max="9487" width="11.42578125" style="951"/>
    <col min="9488" max="9488" width="13.5703125" style="951" customWidth="1"/>
    <col min="9489" max="9489" width="11.42578125" style="951"/>
    <col min="9490" max="9490" width="13.5703125" style="951" customWidth="1"/>
    <col min="9491" max="9731" width="11.42578125" style="951"/>
    <col min="9732" max="9732" width="6.42578125" style="951" customWidth="1"/>
    <col min="9733" max="9733" width="11.42578125" style="951"/>
    <col min="9734" max="9734" width="12.85546875" style="951" bestFit="1" customWidth="1"/>
    <col min="9735" max="9735" width="41.140625" style="951" bestFit="1" customWidth="1"/>
    <col min="9736" max="9736" width="13.140625" style="951" bestFit="1" customWidth="1"/>
    <col min="9737" max="9737" width="11.140625" style="951" bestFit="1" customWidth="1"/>
    <col min="9738" max="9738" width="13.140625" style="951" bestFit="1" customWidth="1"/>
    <col min="9739" max="9739" width="11.140625" style="951" bestFit="1" customWidth="1"/>
    <col min="9740" max="9740" width="13.140625" style="951" bestFit="1" customWidth="1"/>
    <col min="9741" max="9741" width="11.140625" style="951" bestFit="1" customWidth="1"/>
    <col min="9742" max="9742" width="13" style="951" customWidth="1"/>
    <col min="9743" max="9743" width="11.42578125" style="951"/>
    <col min="9744" max="9744" width="13.5703125" style="951" customWidth="1"/>
    <col min="9745" max="9745" width="11.42578125" style="951"/>
    <col min="9746" max="9746" width="13.5703125" style="951" customWidth="1"/>
    <col min="9747" max="9987" width="11.42578125" style="951"/>
    <col min="9988" max="9988" width="6.42578125" style="951" customWidth="1"/>
    <col min="9989" max="9989" width="11.42578125" style="951"/>
    <col min="9990" max="9990" width="12.85546875" style="951" bestFit="1" customWidth="1"/>
    <col min="9991" max="9991" width="41.140625" style="951" bestFit="1" customWidth="1"/>
    <col min="9992" max="9992" width="13.140625" style="951" bestFit="1" customWidth="1"/>
    <col min="9993" max="9993" width="11.140625" style="951" bestFit="1" customWidth="1"/>
    <col min="9994" max="9994" width="13.140625" style="951" bestFit="1" customWidth="1"/>
    <col min="9995" max="9995" width="11.140625" style="951" bestFit="1" customWidth="1"/>
    <col min="9996" max="9996" width="13.140625" style="951" bestFit="1" customWidth="1"/>
    <col min="9997" max="9997" width="11.140625" style="951" bestFit="1" customWidth="1"/>
    <col min="9998" max="9998" width="13" style="951" customWidth="1"/>
    <col min="9999" max="9999" width="11.42578125" style="951"/>
    <col min="10000" max="10000" width="13.5703125" style="951" customWidth="1"/>
    <col min="10001" max="10001" width="11.42578125" style="951"/>
    <col min="10002" max="10002" width="13.5703125" style="951" customWidth="1"/>
    <col min="10003" max="10243" width="11.42578125" style="951"/>
    <col min="10244" max="10244" width="6.42578125" style="951" customWidth="1"/>
    <col min="10245" max="10245" width="11.42578125" style="951"/>
    <col min="10246" max="10246" width="12.85546875" style="951" bestFit="1" customWidth="1"/>
    <col min="10247" max="10247" width="41.140625" style="951" bestFit="1" customWidth="1"/>
    <col min="10248" max="10248" width="13.140625" style="951" bestFit="1" customWidth="1"/>
    <col min="10249" max="10249" width="11.140625" style="951" bestFit="1" customWidth="1"/>
    <col min="10250" max="10250" width="13.140625" style="951" bestFit="1" customWidth="1"/>
    <col min="10251" max="10251" width="11.140625" style="951" bestFit="1" customWidth="1"/>
    <col min="10252" max="10252" width="13.140625" style="951" bestFit="1" customWidth="1"/>
    <col min="10253" max="10253" width="11.140625" style="951" bestFit="1" customWidth="1"/>
    <col min="10254" max="10254" width="13" style="951" customWidth="1"/>
    <col min="10255" max="10255" width="11.42578125" style="951"/>
    <col min="10256" max="10256" width="13.5703125" style="951" customWidth="1"/>
    <col min="10257" max="10257" width="11.42578125" style="951"/>
    <col min="10258" max="10258" width="13.5703125" style="951" customWidth="1"/>
    <col min="10259" max="10499" width="11.42578125" style="951"/>
    <col min="10500" max="10500" width="6.42578125" style="951" customWidth="1"/>
    <col min="10501" max="10501" width="11.42578125" style="951"/>
    <col min="10502" max="10502" width="12.85546875" style="951" bestFit="1" customWidth="1"/>
    <col min="10503" max="10503" width="41.140625" style="951" bestFit="1" customWidth="1"/>
    <col min="10504" max="10504" width="13.140625" style="951" bestFit="1" customWidth="1"/>
    <col min="10505" max="10505" width="11.140625" style="951" bestFit="1" customWidth="1"/>
    <col min="10506" max="10506" width="13.140625" style="951" bestFit="1" customWidth="1"/>
    <col min="10507" max="10507" width="11.140625" style="951" bestFit="1" customWidth="1"/>
    <col min="10508" max="10508" width="13.140625" style="951" bestFit="1" customWidth="1"/>
    <col min="10509" max="10509" width="11.140625" style="951" bestFit="1" customWidth="1"/>
    <col min="10510" max="10510" width="13" style="951" customWidth="1"/>
    <col min="10511" max="10511" width="11.42578125" style="951"/>
    <col min="10512" max="10512" width="13.5703125" style="951" customWidth="1"/>
    <col min="10513" max="10513" width="11.42578125" style="951"/>
    <col min="10514" max="10514" width="13.5703125" style="951" customWidth="1"/>
    <col min="10515" max="10755" width="11.42578125" style="951"/>
    <col min="10756" max="10756" width="6.42578125" style="951" customWidth="1"/>
    <col min="10757" max="10757" width="11.42578125" style="951"/>
    <col min="10758" max="10758" width="12.85546875" style="951" bestFit="1" customWidth="1"/>
    <col min="10759" max="10759" width="41.140625" style="951" bestFit="1" customWidth="1"/>
    <col min="10760" max="10760" width="13.140625" style="951" bestFit="1" customWidth="1"/>
    <col min="10761" max="10761" width="11.140625" style="951" bestFit="1" customWidth="1"/>
    <col min="10762" max="10762" width="13.140625" style="951" bestFit="1" customWidth="1"/>
    <col min="10763" max="10763" width="11.140625" style="951" bestFit="1" customWidth="1"/>
    <col min="10764" max="10764" width="13.140625" style="951" bestFit="1" customWidth="1"/>
    <col min="10765" max="10765" width="11.140625" style="951" bestFit="1" customWidth="1"/>
    <col min="10766" max="10766" width="13" style="951" customWidth="1"/>
    <col min="10767" max="10767" width="11.42578125" style="951"/>
    <col min="10768" max="10768" width="13.5703125" style="951" customWidth="1"/>
    <col min="10769" max="10769" width="11.42578125" style="951"/>
    <col min="10770" max="10770" width="13.5703125" style="951" customWidth="1"/>
    <col min="10771" max="11011" width="11.42578125" style="951"/>
    <col min="11012" max="11012" width="6.42578125" style="951" customWidth="1"/>
    <col min="11013" max="11013" width="11.42578125" style="951"/>
    <col min="11014" max="11014" width="12.85546875" style="951" bestFit="1" customWidth="1"/>
    <col min="11015" max="11015" width="41.140625" style="951" bestFit="1" customWidth="1"/>
    <col min="11016" max="11016" width="13.140625" style="951" bestFit="1" customWidth="1"/>
    <col min="11017" max="11017" width="11.140625" style="951" bestFit="1" customWidth="1"/>
    <col min="11018" max="11018" width="13.140625" style="951" bestFit="1" customWidth="1"/>
    <col min="11019" max="11019" width="11.140625" style="951" bestFit="1" customWidth="1"/>
    <col min="11020" max="11020" width="13.140625" style="951" bestFit="1" customWidth="1"/>
    <col min="11021" max="11021" width="11.140625" style="951" bestFit="1" customWidth="1"/>
    <col min="11022" max="11022" width="13" style="951" customWidth="1"/>
    <col min="11023" max="11023" width="11.42578125" style="951"/>
    <col min="11024" max="11024" width="13.5703125" style="951" customWidth="1"/>
    <col min="11025" max="11025" width="11.42578125" style="951"/>
    <col min="11026" max="11026" width="13.5703125" style="951" customWidth="1"/>
    <col min="11027" max="11267" width="11.42578125" style="951"/>
    <col min="11268" max="11268" width="6.42578125" style="951" customWidth="1"/>
    <col min="11269" max="11269" width="11.42578125" style="951"/>
    <col min="11270" max="11270" width="12.85546875" style="951" bestFit="1" customWidth="1"/>
    <col min="11271" max="11271" width="41.140625" style="951" bestFit="1" customWidth="1"/>
    <col min="11272" max="11272" width="13.140625" style="951" bestFit="1" customWidth="1"/>
    <col min="11273" max="11273" width="11.140625" style="951" bestFit="1" customWidth="1"/>
    <col min="11274" max="11274" width="13.140625" style="951" bestFit="1" customWidth="1"/>
    <col min="11275" max="11275" width="11.140625" style="951" bestFit="1" customWidth="1"/>
    <col min="11276" max="11276" width="13.140625" style="951" bestFit="1" customWidth="1"/>
    <col min="11277" max="11277" width="11.140625" style="951" bestFit="1" customWidth="1"/>
    <col min="11278" max="11278" width="13" style="951" customWidth="1"/>
    <col min="11279" max="11279" width="11.42578125" style="951"/>
    <col min="11280" max="11280" width="13.5703125" style="951" customWidth="1"/>
    <col min="11281" max="11281" width="11.42578125" style="951"/>
    <col min="11282" max="11282" width="13.5703125" style="951" customWidth="1"/>
    <col min="11283" max="11523" width="11.42578125" style="951"/>
    <col min="11524" max="11524" width="6.42578125" style="951" customWidth="1"/>
    <col min="11525" max="11525" width="11.42578125" style="951"/>
    <col min="11526" max="11526" width="12.85546875" style="951" bestFit="1" customWidth="1"/>
    <col min="11527" max="11527" width="41.140625" style="951" bestFit="1" customWidth="1"/>
    <col min="11528" max="11528" width="13.140625" style="951" bestFit="1" customWidth="1"/>
    <col min="11529" max="11529" width="11.140625" style="951" bestFit="1" customWidth="1"/>
    <col min="11530" max="11530" width="13.140625" style="951" bestFit="1" customWidth="1"/>
    <col min="11531" max="11531" width="11.140625" style="951" bestFit="1" customWidth="1"/>
    <col min="11532" max="11532" width="13.140625" style="951" bestFit="1" customWidth="1"/>
    <col min="11533" max="11533" width="11.140625" style="951" bestFit="1" customWidth="1"/>
    <col min="11534" max="11534" width="13" style="951" customWidth="1"/>
    <col min="11535" max="11535" width="11.42578125" style="951"/>
    <col min="11536" max="11536" width="13.5703125" style="951" customWidth="1"/>
    <col min="11537" max="11537" width="11.42578125" style="951"/>
    <col min="11538" max="11538" width="13.5703125" style="951" customWidth="1"/>
    <col min="11539" max="11779" width="11.42578125" style="951"/>
    <col min="11780" max="11780" width="6.42578125" style="951" customWidth="1"/>
    <col min="11781" max="11781" width="11.42578125" style="951"/>
    <col min="11782" max="11782" width="12.85546875" style="951" bestFit="1" customWidth="1"/>
    <col min="11783" max="11783" width="41.140625" style="951" bestFit="1" customWidth="1"/>
    <col min="11784" max="11784" width="13.140625" style="951" bestFit="1" customWidth="1"/>
    <col min="11785" max="11785" width="11.140625" style="951" bestFit="1" customWidth="1"/>
    <col min="11786" max="11786" width="13.140625" style="951" bestFit="1" customWidth="1"/>
    <col min="11787" max="11787" width="11.140625" style="951" bestFit="1" customWidth="1"/>
    <col min="11788" max="11788" width="13.140625" style="951" bestFit="1" customWidth="1"/>
    <col min="11789" max="11789" width="11.140625" style="951" bestFit="1" customWidth="1"/>
    <col min="11790" max="11790" width="13" style="951" customWidth="1"/>
    <col min="11791" max="11791" width="11.42578125" style="951"/>
    <col min="11792" max="11792" width="13.5703125" style="951" customWidth="1"/>
    <col min="11793" max="11793" width="11.42578125" style="951"/>
    <col min="11794" max="11794" width="13.5703125" style="951" customWidth="1"/>
    <col min="11795" max="12035" width="11.42578125" style="951"/>
    <col min="12036" max="12036" width="6.42578125" style="951" customWidth="1"/>
    <col min="12037" max="12037" width="11.42578125" style="951"/>
    <col min="12038" max="12038" width="12.85546875" style="951" bestFit="1" customWidth="1"/>
    <col min="12039" max="12039" width="41.140625" style="951" bestFit="1" customWidth="1"/>
    <col min="12040" max="12040" width="13.140625" style="951" bestFit="1" customWidth="1"/>
    <col min="12041" max="12041" width="11.140625" style="951" bestFit="1" customWidth="1"/>
    <col min="12042" max="12042" width="13.140625" style="951" bestFit="1" customWidth="1"/>
    <col min="12043" max="12043" width="11.140625" style="951" bestFit="1" customWidth="1"/>
    <col min="12044" max="12044" width="13.140625" style="951" bestFit="1" customWidth="1"/>
    <col min="12045" max="12045" width="11.140625" style="951" bestFit="1" customWidth="1"/>
    <col min="12046" max="12046" width="13" style="951" customWidth="1"/>
    <col min="12047" max="12047" width="11.42578125" style="951"/>
    <col min="12048" max="12048" width="13.5703125" style="951" customWidth="1"/>
    <col min="12049" max="12049" width="11.42578125" style="951"/>
    <col min="12050" max="12050" width="13.5703125" style="951" customWidth="1"/>
    <col min="12051" max="12291" width="11.42578125" style="951"/>
    <col min="12292" max="12292" width="6.42578125" style="951" customWidth="1"/>
    <col min="12293" max="12293" width="11.42578125" style="951"/>
    <col min="12294" max="12294" width="12.85546875" style="951" bestFit="1" customWidth="1"/>
    <col min="12295" max="12295" width="41.140625" style="951" bestFit="1" customWidth="1"/>
    <col min="12296" max="12296" width="13.140625" style="951" bestFit="1" customWidth="1"/>
    <col min="12297" max="12297" width="11.140625" style="951" bestFit="1" customWidth="1"/>
    <col min="12298" max="12298" width="13.140625" style="951" bestFit="1" customWidth="1"/>
    <col min="12299" max="12299" width="11.140625" style="951" bestFit="1" customWidth="1"/>
    <col min="12300" max="12300" width="13.140625" style="951" bestFit="1" customWidth="1"/>
    <col min="12301" max="12301" width="11.140625" style="951" bestFit="1" customWidth="1"/>
    <col min="12302" max="12302" width="13" style="951" customWidth="1"/>
    <col min="12303" max="12303" width="11.42578125" style="951"/>
    <col min="12304" max="12304" width="13.5703125" style="951" customWidth="1"/>
    <col min="12305" max="12305" width="11.42578125" style="951"/>
    <col min="12306" max="12306" width="13.5703125" style="951" customWidth="1"/>
    <col min="12307" max="12547" width="11.42578125" style="951"/>
    <col min="12548" max="12548" width="6.42578125" style="951" customWidth="1"/>
    <col min="12549" max="12549" width="11.42578125" style="951"/>
    <col min="12550" max="12550" width="12.85546875" style="951" bestFit="1" customWidth="1"/>
    <col min="12551" max="12551" width="41.140625" style="951" bestFit="1" customWidth="1"/>
    <col min="12552" max="12552" width="13.140625" style="951" bestFit="1" customWidth="1"/>
    <col min="12553" max="12553" width="11.140625" style="951" bestFit="1" customWidth="1"/>
    <col min="12554" max="12554" width="13.140625" style="951" bestFit="1" customWidth="1"/>
    <col min="12555" max="12555" width="11.140625" style="951" bestFit="1" customWidth="1"/>
    <col min="12556" max="12556" width="13.140625" style="951" bestFit="1" customWidth="1"/>
    <col min="12557" max="12557" width="11.140625" style="951" bestFit="1" customWidth="1"/>
    <col min="12558" max="12558" width="13" style="951" customWidth="1"/>
    <col min="12559" max="12559" width="11.42578125" style="951"/>
    <col min="12560" max="12560" width="13.5703125" style="951" customWidth="1"/>
    <col min="12561" max="12561" width="11.42578125" style="951"/>
    <col min="12562" max="12562" width="13.5703125" style="951" customWidth="1"/>
    <col min="12563" max="12803" width="11.42578125" style="951"/>
    <col min="12804" max="12804" width="6.42578125" style="951" customWidth="1"/>
    <col min="12805" max="12805" width="11.42578125" style="951"/>
    <col min="12806" max="12806" width="12.85546875" style="951" bestFit="1" customWidth="1"/>
    <col min="12807" max="12807" width="41.140625" style="951" bestFit="1" customWidth="1"/>
    <col min="12808" max="12808" width="13.140625" style="951" bestFit="1" customWidth="1"/>
    <col min="12809" max="12809" width="11.140625" style="951" bestFit="1" customWidth="1"/>
    <col min="12810" max="12810" width="13.140625" style="951" bestFit="1" customWidth="1"/>
    <col min="12811" max="12811" width="11.140625" style="951" bestFit="1" customWidth="1"/>
    <col min="12812" max="12812" width="13.140625" style="951" bestFit="1" customWidth="1"/>
    <col min="12813" max="12813" width="11.140625" style="951" bestFit="1" customWidth="1"/>
    <col min="12814" max="12814" width="13" style="951" customWidth="1"/>
    <col min="12815" max="12815" width="11.42578125" style="951"/>
    <col min="12816" max="12816" width="13.5703125" style="951" customWidth="1"/>
    <col min="12817" max="12817" width="11.42578125" style="951"/>
    <col min="12818" max="12818" width="13.5703125" style="951" customWidth="1"/>
    <col min="12819" max="13059" width="11.42578125" style="951"/>
    <col min="13060" max="13060" width="6.42578125" style="951" customWidth="1"/>
    <col min="13061" max="13061" width="11.42578125" style="951"/>
    <col min="13062" max="13062" width="12.85546875" style="951" bestFit="1" customWidth="1"/>
    <col min="13063" max="13063" width="41.140625" style="951" bestFit="1" customWidth="1"/>
    <col min="13064" max="13064" width="13.140625" style="951" bestFit="1" customWidth="1"/>
    <col min="13065" max="13065" width="11.140625" style="951" bestFit="1" customWidth="1"/>
    <col min="13066" max="13066" width="13.140625" style="951" bestFit="1" customWidth="1"/>
    <col min="13067" max="13067" width="11.140625" style="951" bestFit="1" customWidth="1"/>
    <col min="13068" max="13068" width="13.140625" style="951" bestFit="1" customWidth="1"/>
    <col min="13069" max="13069" width="11.140625" style="951" bestFit="1" customWidth="1"/>
    <col min="13070" max="13070" width="13" style="951" customWidth="1"/>
    <col min="13071" max="13071" width="11.42578125" style="951"/>
    <col min="13072" max="13072" width="13.5703125" style="951" customWidth="1"/>
    <col min="13073" max="13073" width="11.42578125" style="951"/>
    <col min="13074" max="13074" width="13.5703125" style="951" customWidth="1"/>
    <col min="13075" max="13315" width="11.42578125" style="951"/>
    <col min="13316" max="13316" width="6.42578125" style="951" customWidth="1"/>
    <col min="13317" max="13317" width="11.42578125" style="951"/>
    <col min="13318" max="13318" width="12.85546875" style="951" bestFit="1" customWidth="1"/>
    <col min="13319" max="13319" width="41.140625" style="951" bestFit="1" customWidth="1"/>
    <col min="13320" max="13320" width="13.140625" style="951" bestFit="1" customWidth="1"/>
    <col min="13321" max="13321" width="11.140625" style="951" bestFit="1" customWidth="1"/>
    <col min="13322" max="13322" width="13.140625" style="951" bestFit="1" customWidth="1"/>
    <col min="13323" max="13323" width="11.140625" style="951" bestFit="1" customWidth="1"/>
    <col min="13324" max="13324" width="13.140625" style="951" bestFit="1" customWidth="1"/>
    <col min="13325" max="13325" width="11.140625" style="951" bestFit="1" customWidth="1"/>
    <col min="13326" max="13326" width="13" style="951" customWidth="1"/>
    <col min="13327" max="13327" width="11.42578125" style="951"/>
    <col min="13328" max="13328" width="13.5703125" style="951" customWidth="1"/>
    <col min="13329" max="13329" width="11.42578125" style="951"/>
    <col min="13330" max="13330" width="13.5703125" style="951" customWidth="1"/>
    <col min="13331" max="13571" width="11.42578125" style="951"/>
    <col min="13572" max="13572" width="6.42578125" style="951" customWidth="1"/>
    <col min="13573" max="13573" width="11.42578125" style="951"/>
    <col min="13574" max="13574" width="12.85546875" style="951" bestFit="1" customWidth="1"/>
    <col min="13575" max="13575" width="41.140625" style="951" bestFit="1" customWidth="1"/>
    <col min="13576" max="13576" width="13.140625" style="951" bestFit="1" customWidth="1"/>
    <col min="13577" max="13577" width="11.140625" style="951" bestFit="1" customWidth="1"/>
    <col min="13578" max="13578" width="13.140625" style="951" bestFit="1" customWidth="1"/>
    <col min="13579" max="13579" width="11.140625" style="951" bestFit="1" customWidth="1"/>
    <col min="13580" max="13580" width="13.140625" style="951" bestFit="1" customWidth="1"/>
    <col min="13581" max="13581" width="11.140625" style="951" bestFit="1" customWidth="1"/>
    <col min="13582" max="13582" width="13" style="951" customWidth="1"/>
    <col min="13583" max="13583" width="11.42578125" style="951"/>
    <col min="13584" max="13584" width="13.5703125" style="951" customWidth="1"/>
    <col min="13585" max="13585" width="11.42578125" style="951"/>
    <col min="13586" max="13586" width="13.5703125" style="951" customWidth="1"/>
    <col min="13587" max="13827" width="11.42578125" style="951"/>
    <col min="13828" max="13828" width="6.42578125" style="951" customWidth="1"/>
    <col min="13829" max="13829" width="11.42578125" style="951"/>
    <col min="13830" max="13830" width="12.85546875" style="951" bestFit="1" customWidth="1"/>
    <col min="13831" max="13831" width="41.140625" style="951" bestFit="1" customWidth="1"/>
    <col min="13832" max="13832" width="13.140625" style="951" bestFit="1" customWidth="1"/>
    <col min="13833" max="13833" width="11.140625" style="951" bestFit="1" customWidth="1"/>
    <col min="13834" max="13834" width="13.140625" style="951" bestFit="1" customWidth="1"/>
    <col min="13835" max="13835" width="11.140625" style="951" bestFit="1" customWidth="1"/>
    <col min="13836" max="13836" width="13.140625" style="951" bestFit="1" customWidth="1"/>
    <col min="13837" max="13837" width="11.140625" style="951" bestFit="1" customWidth="1"/>
    <col min="13838" max="13838" width="13" style="951" customWidth="1"/>
    <col min="13839" max="13839" width="11.42578125" style="951"/>
    <col min="13840" max="13840" width="13.5703125" style="951" customWidth="1"/>
    <col min="13841" max="13841" width="11.42578125" style="951"/>
    <col min="13842" max="13842" width="13.5703125" style="951" customWidth="1"/>
    <col min="13843" max="14083" width="11.42578125" style="951"/>
    <col min="14084" max="14084" width="6.42578125" style="951" customWidth="1"/>
    <col min="14085" max="14085" width="11.42578125" style="951"/>
    <col min="14086" max="14086" width="12.85546875" style="951" bestFit="1" customWidth="1"/>
    <col min="14087" max="14087" width="41.140625" style="951" bestFit="1" customWidth="1"/>
    <col min="14088" max="14088" width="13.140625" style="951" bestFit="1" customWidth="1"/>
    <col min="14089" max="14089" width="11.140625" style="951" bestFit="1" customWidth="1"/>
    <col min="14090" max="14090" width="13.140625" style="951" bestFit="1" customWidth="1"/>
    <col min="14091" max="14091" width="11.140625" style="951" bestFit="1" customWidth="1"/>
    <col min="14092" max="14092" width="13.140625" style="951" bestFit="1" customWidth="1"/>
    <col min="14093" max="14093" width="11.140625" style="951" bestFit="1" customWidth="1"/>
    <col min="14094" max="14094" width="13" style="951" customWidth="1"/>
    <col min="14095" max="14095" width="11.42578125" style="951"/>
    <col min="14096" max="14096" width="13.5703125" style="951" customWidth="1"/>
    <col min="14097" max="14097" width="11.42578125" style="951"/>
    <col min="14098" max="14098" width="13.5703125" style="951" customWidth="1"/>
    <col min="14099" max="14339" width="11.42578125" style="951"/>
    <col min="14340" max="14340" width="6.42578125" style="951" customWidth="1"/>
    <col min="14341" max="14341" width="11.42578125" style="951"/>
    <col min="14342" max="14342" width="12.85546875" style="951" bestFit="1" customWidth="1"/>
    <col min="14343" max="14343" width="41.140625" style="951" bestFit="1" customWidth="1"/>
    <col min="14344" max="14344" width="13.140625" style="951" bestFit="1" customWidth="1"/>
    <col min="14345" max="14345" width="11.140625" style="951" bestFit="1" customWidth="1"/>
    <col min="14346" max="14346" width="13.140625" style="951" bestFit="1" customWidth="1"/>
    <col min="14347" max="14347" width="11.140625" style="951" bestFit="1" customWidth="1"/>
    <col min="14348" max="14348" width="13.140625" style="951" bestFit="1" customWidth="1"/>
    <col min="14349" max="14349" width="11.140625" style="951" bestFit="1" customWidth="1"/>
    <col min="14350" max="14350" width="13" style="951" customWidth="1"/>
    <col min="14351" max="14351" width="11.42578125" style="951"/>
    <col min="14352" max="14352" width="13.5703125" style="951" customWidth="1"/>
    <col min="14353" max="14353" width="11.42578125" style="951"/>
    <col min="14354" max="14354" width="13.5703125" style="951" customWidth="1"/>
    <col min="14355" max="14595" width="11.42578125" style="951"/>
    <col min="14596" max="14596" width="6.42578125" style="951" customWidth="1"/>
    <col min="14597" max="14597" width="11.42578125" style="951"/>
    <col min="14598" max="14598" width="12.85546875" style="951" bestFit="1" customWidth="1"/>
    <col min="14599" max="14599" width="41.140625" style="951" bestFit="1" customWidth="1"/>
    <col min="14600" max="14600" width="13.140625" style="951" bestFit="1" customWidth="1"/>
    <col min="14601" max="14601" width="11.140625" style="951" bestFit="1" customWidth="1"/>
    <col min="14602" max="14602" width="13.140625" style="951" bestFit="1" customWidth="1"/>
    <col min="14603" max="14603" width="11.140625" style="951" bestFit="1" customWidth="1"/>
    <col min="14604" max="14604" width="13.140625" style="951" bestFit="1" customWidth="1"/>
    <col min="14605" max="14605" width="11.140625" style="951" bestFit="1" customWidth="1"/>
    <col min="14606" max="14606" width="13" style="951" customWidth="1"/>
    <col min="14607" max="14607" width="11.42578125" style="951"/>
    <col min="14608" max="14608" width="13.5703125" style="951" customWidth="1"/>
    <col min="14609" max="14609" width="11.42578125" style="951"/>
    <col min="14610" max="14610" width="13.5703125" style="951" customWidth="1"/>
    <col min="14611" max="14851" width="11.42578125" style="951"/>
    <col min="14852" max="14852" width="6.42578125" style="951" customWidth="1"/>
    <col min="14853" max="14853" width="11.42578125" style="951"/>
    <col min="14854" max="14854" width="12.85546875" style="951" bestFit="1" customWidth="1"/>
    <col min="14855" max="14855" width="41.140625" style="951" bestFit="1" customWidth="1"/>
    <col min="14856" max="14856" width="13.140625" style="951" bestFit="1" customWidth="1"/>
    <col min="14857" max="14857" width="11.140625" style="951" bestFit="1" customWidth="1"/>
    <col min="14858" max="14858" width="13.140625" style="951" bestFit="1" customWidth="1"/>
    <col min="14859" max="14859" width="11.140625" style="951" bestFit="1" customWidth="1"/>
    <col min="14860" max="14860" width="13.140625" style="951" bestFit="1" customWidth="1"/>
    <col min="14861" max="14861" width="11.140625" style="951" bestFit="1" customWidth="1"/>
    <col min="14862" max="14862" width="13" style="951" customWidth="1"/>
    <col min="14863" max="14863" width="11.42578125" style="951"/>
    <col min="14864" max="14864" width="13.5703125" style="951" customWidth="1"/>
    <col min="14865" max="14865" width="11.42578125" style="951"/>
    <col min="14866" max="14866" width="13.5703125" style="951" customWidth="1"/>
    <col min="14867" max="15107" width="11.42578125" style="951"/>
    <col min="15108" max="15108" width="6.42578125" style="951" customWidth="1"/>
    <col min="15109" max="15109" width="11.42578125" style="951"/>
    <col min="15110" max="15110" width="12.85546875" style="951" bestFit="1" customWidth="1"/>
    <col min="15111" max="15111" width="41.140625" style="951" bestFit="1" customWidth="1"/>
    <col min="15112" max="15112" width="13.140625" style="951" bestFit="1" customWidth="1"/>
    <col min="15113" max="15113" width="11.140625" style="951" bestFit="1" customWidth="1"/>
    <col min="15114" max="15114" width="13.140625" style="951" bestFit="1" customWidth="1"/>
    <col min="15115" max="15115" width="11.140625" style="951" bestFit="1" customWidth="1"/>
    <col min="15116" max="15116" width="13.140625" style="951" bestFit="1" customWidth="1"/>
    <col min="15117" max="15117" width="11.140625" style="951" bestFit="1" customWidth="1"/>
    <col min="15118" max="15118" width="13" style="951" customWidth="1"/>
    <col min="15119" max="15119" width="11.42578125" style="951"/>
    <col min="15120" max="15120" width="13.5703125" style="951" customWidth="1"/>
    <col min="15121" max="15121" width="11.42578125" style="951"/>
    <col min="15122" max="15122" width="13.5703125" style="951" customWidth="1"/>
    <col min="15123" max="15363" width="11.42578125" style="951"/>
    <col min="15364" max="15364" width="6.42578125" style="951" customWidth="1"/>
    <col min="15365" max="15365" width="11.42578125" style="951"/>
    <col min="15366" max="15366" width="12.85546875" style="951" bestFit="1" customWidth="1"/>
    <col min="15367" max="15367" width="41.140625" style="951" bestFit="1" customWidth="1"/>
    <col min="15368" max="15368" width="13.140625" style="951" bestFit="1" customWidth="1"/>
    <col min="15369" max="15369" width="11.140625" style="951" bestFit="1" customWidth="1"/>
    <col min="15370" max="15370" width="13.140625" style="951" bestFit="1" customWidth="1"/>
    <col min="15371" max="15371" width="11.140625" style="951" bestFit="1" customWidth="1"/>
    <col min="15372" max="15372" width="13.140625" style="951" bestFit="1" customWidth="1"/>
    <col min="15373" max="15373" width="11.140625" style="951" bestFit="1" customWidth="1"/>
    <col min="15374" max="15374" width="13" style="951" customWidth="1"/>
    <col min="15375" max="15375" width="11.42578125" style="951"/>
    <col min="15376" max="15376" width="13.5703125" style="951" customWidth="1"/>
    <col min="15377" max="15377" width="11.42578125" style="951"/>
    <col min="15378" max="15378" width="13.5703125" style="951" customWidth="1"/>
    <col min="15379" max="15619" width="11.42578125" style="951"/>
    <col min="15620" max="15620" width="6.42578125" style="951" customWidth="1"/>
    <col min="15621" max="15621" width="11.42578125" style="951"/>
    <col min="15622" max="15622" width="12.85546875" style="951" bestFit="1" customWidth="1"/>
    <col min="15623" max="15623" width="41.140625" style="951" bestFit="1" customWidth="1"/>
    <col min="15624" max="15624" width="13.140625" style="951" bestFit="1" customWidth="1"/>
    <col min="15625" max="15625" width="11.140625" style="951" bestFit="1" customWidth="1"/>
    <col min="15626" max="15626" width="13.140625" style="951" bestFit="1" customWidth="1"/>
    <col min="15627" max="15627" width="11.140625" style="951" bestFit="1" customWidth="1"/>
    <col min="15628" max="15628" width="13.140625" style="951" bestFit="1" customWidth="1"/>
    <col min="15629" max="15629" width="11.140625" style="951" bestFit="1" customWidth="1"/>
    <col min="15630" max="15630" width="13" style="951" customWidth="1"/>
    <col min="15631" max="15631" width="11.42578125" style="951"/>
    <col min="15632" max="15632" width="13.5703125" style="951" customWidth="1"/>
    <col min="15633" max="15633" width="11.42578125" style="951"/>
    <col min="15634" max="15634" width="13.5703125" style="951" customWidth="1"/>
    <col min="15635" max="15875" width="11.42578125" style="951"/>
    <col min="15876" max="15876" width="6.42578125" style="951" customWidth="1"/>
    <col min="15877" max="15877" width="11.42578125" style="951"/>
    <col min="15878" max="15878" width="12.85546875" style="951" bestFit="1" customWidth="1"/>
    <col min="15879" max="15879" width="41.140625" style="951" bestFit="1" customWidth="1"/>
    <col min="15880" max="15880" width="13.140625" style="951" bestFit="1" customWidth="1"/>
    <col min="15881" max="15881" width="11.140625" style="951" bestFit="1" customWidth="1"/>
    <col min="15882" max="15882" width="13.140625" style="951" bestFit="1" customWidth="1"/>
    <col min="15883" max="15883" width="11.140625" style="951" bestFit="1" customWidth="1"/>
    <col min="15884" max="15884" width="13.140625" style="951" bestFit="1" customWidth="1"/>
    <col min="15885" max="15885" width="11.140625" style="951" bestFit="1" customWidth="1"/>
    <col min="15886" max="15886" width="13" style="951" customWidth="1"/>
    <col min="15887" max="15887" width="11.42578125" style="951"/>
    <col min="15888" max="15888" width="13.5703125" style="951" customWidth="1"/>
    <col min="15889" max="15889" width="11.42578125" style="951"/>
    <col min="15890" max="15890" width="13.5703125" style="951" customWidth="1"/>
    <col min="15891" max="16131" width="11.42578125" style="951"/>
    <col min="16132" max="16132" width="6.42578125" style="951" customWidth="1"/>
    <col min="16133" max="16133" width="11.42578125" style="951"/>
    <col min="16134" max="16134" width="12.85546875" style="951" bestFit="1" customWidth="1"/>
    <col min="16135" max="16135" width="41.140625" style="951" bestFit="1" customWidth="1"/>
    <col min="16136" max="16136" width="13.140625" style="951" bestFit="1" customWidth="1"/>
    <col min="16137" max="16137" width="11.140625" style="951" bestFit="1" customWidth="1"/>
    <col min="16138" max="16138" width="13.140625" style="951" bestFit="1" customWidth="1"/>
    <col min="16139" max="16139" width="11.140625" style="951" bestFit="1" customWidth="1"/>
    <col min="16140" max="16140" width="13.140625" style="951" bestFit="1" customWidth="1"/>
    <col min="16141" max="16141" width="11.140625" style="951" bestFit="1" customWidth="1"/>
    <col min="16142" max="16142" width="13" style="951" customWidth="1"/>
    <col min="16143" max="16143" width="11.42578125" style="951"/>
    <col min="16144" max="16144" width="13.5703125" style="951" customWidth="1"/>
    <col min="16145" max="16145" width="11.42578125" style="951"/>
    <col min="16146" max="16146" width="13.5703125" style="951" customWidth="1"/>
    <col min="16147" max="16384" width="11.42578125" style="951"/>
  </cols>
  <sheetData>
    <row r="1" spans="1:33" s="946" customFormat="1" ht="41.25" customHeight="1" x14ac:dyDescent="0.2">
      <c r="A1" s="5834" t="s">
        <v>1524</v>
      </c>
      <c r="B1" s="5834"/>
      <c r="C1" s="5834"/>
      <c r="D1" s="950"/>
      <c r="E1" s="950"/>
      <c r="F1" s="950"/>
      <c r="G1" s="950"/>
      <c r="H1" s="949"/>
      <c r="I1" s="949"/>
      <c r="J1" s="949"/>
      <c r="K1" s="949"/>
      <c r="L1" s="949"/>
      <c r="M1" s="949"/>
      <c r="N1" s="949"/>
      <c r="O1" s="949"/>
      <c r="P1" s="949"/>
      <c r="Q1" s="949"/>
      <c r="R1" s="949"/>
      <c r="S1" s="949"/>
      <c r="AD1" s="5865" t="s">
        <v>1369</v>
      </c>
      <c r="AE1" s="5865"/>
    </row>
    <row r="3" spans="1:33" ht="15" x14ac:dyDescent="0.2">
      <c r="A3" s="5829" t="s">
        <v>16</v>
      </c>
      <c r="B3" s="5829" t="s">
        <v>356</v>
      </c>
      <c r="C3" s="5829" t="s">
        <v>165</v>
      </c>
      <c r="D3" s="5866">
        <v>2001</v>
      </c>
      <c r="E3" s="5867"/>
      <c r="F3" s="5866">
        <v>2002</v>
      </c>
      <c r="G3" s="5867"/>
      <c r="H3" s="5841">
        <v>2003</v>
      </c>
      <c r="I3" s="5842"/>
      <c r="J3" s="5841">
        <v>2004</v>
      </c>
      <c r="K3" s="5842"/>
      <c r="L3" s="5841">
        <v>2005</v>
      </c>
      <c r="M3" s="5842"/>
      <c r="N3" s="5841">
        <v>2006</v>
      </c>
      <c r="O3" s="5842"/>
      <c r="P3" s="5841">
        <v>2007</v>
      </c>
      <c r="Q3" s="5842"/>
      <c r="R3" s="5841">
        <v>2008</v>
      </c>
      <c r="S3" s="5842"/>
      <c r="T3" s="5841">
        <v>2009</v>
      </c>
      <c r="U3" s="5842"/>
      <c r="V3" s="5841">
        <v>2010</v>
      </c>
      <c r="W3" s="5842"/>
      <c r="X3" s="5841">
        <v>2011</v>
      </c>
      <c r="Y3" s="5842"/>
      <c r="Z3" s="5841">
        <v>2012</v>
      </c>
      <c r="AA3" s="5842"/>
      <c r="AB3" s="5841">
        <v>2013</v>
      </c>
      <c r="AC3" s="5842"/>
      <c r="AD3" s="5841">
        <v>2014</v>
      </c>
      <c r="AE3" s="5842"/>
      <c r="AF3" s="5841">
        <v>2015</v>
      </c>
      <c r="AG3" s="5842"/>
    </row>
    <row r="4" spans="1:33" x14ac:dyDescent="0.2">
      <c r="A4" s="5830"/>
      <c r="B4" s="5830"/>
      <c r="C4" s="5830"/>
      <c r="D4" s="1389" t="s">
        <v>646</v>
      </c>
      <c r="E4" s="1390" t="s">
        <v>647</v>
      </c>
      <c r="F4" s="1389" t="s">
        <v>646</v>
      </c>
      <c r="G4" s="1390" t="s">
        <v>647</v>
      </c>
      <c r="H4" s="1389" t="s">
        <v>646</v>
      </c>
      <c r="I4" s="1390" t="s">
        <v>647</v>
      </c>
      <c r="J4" s="1389" t="s">
        <v>646</v>
      </c>
      <c r="K4" s="1390" t="s">
        <v>647</v>
      </c>
      <c r="L4" s="1389" t="s">
        <v>646</v>
      </c>
      <c r="M4" s="1390" t="s">
        <v>647</v>
      </c>
      <c r="N4" s="1389" t="s">
        <v>646</v>
      </c>
      <c r="O4" s="1390" t="s">
        <v>647</v>
      </c>
      <c r="P4" s="1389" t="s">
        <v>646</v>
      </c>
      <c r="Q4" s="1390" t="s">
        <v>647</v>
      </c>
      <c r="R4" s="1389" t="s">
        <v>646</v>
      </c>
      <c r="S4" s="1390" t="s">
        <v>647</v>
      </c>
      <c r="T4" s="1389" t="s">
        <v>646</v>
      </c>
      <c r="U4" s="1390" t="s">
        <v>647</v>
      </c>
      <c r="V4" s="1389" t="s">
        <v>646</v>
      </c>
      <c r="W4" s="1390" t="s">
        <v>647</v>
      </c>
      <c r="X4" s="1389" t="s">
        <v>646</v>
      </c>
      <c r="Y4" s="1390" t="s">
        <v>647</v>
      </c>
      <c r="Z4" s="1389" t="s">
        <v>646</v>
      </c>
      <c r="AA4" s="1390" t="s">
        <v>647</v>
      </c>
      <c r="AB4" s="1389" t="s">
        <v>646</v>
      </c>
      <c r="AC4" s="1390" t="s">
        <v>647</v>
      </c>
      <c r="AD4" s="1389" t="s">
        <v>646</v>
      </c>
      <c r="AE4" s="1390" t="s">
        <v>647</v>
      </c>
      <c r="AF4" s="1389" t="s">
        <v>646</v>
      </c>
      <c r="AG4" s="1390" t="s">
        <v>647</v>
      </c>
    </row>
    <row r="5" spans="1:33" ht="15" customHeight="1" x14ac:dyDescent="0.2">
      <c r="A5" s="5835" t="s">
        <v>428</v>
      </c>
      <c r="B5" s="5838" t="s">
        <v>429</v>
      </c>
      <c r="C5" s="3735" t="s">
        <v>452</v>
      </c>
      <c r="D5" s="3736">
        <v>2</v>
      </c>
      <c r="E5" s="3737">
        <v>2</v>
      </c>
      <c r="F5" s="3736">
        <v>7</v>
      </c>
      <c r="G5" s="3737">
        <v>7</v>
      </c>
      <c r="H5" s="3736">
        <v>7</v>
      </c>
      <c r="I5" s="3737">
        <v>13</v>
      </c>
      <c r="J5" s="3736">
        <v>10</v>
      </c>
      <c r="K5" s="3737">
        <v>17</v>
      </c>
      <c r="L5" s="3736">
        <v>10</v>
      </c>
      <c r="M5" s="3737">
        <v>22</v>
      </c>
      <c r="N5" s="3736">
        <v>16</v>
      </c>
      <c r="O5" s="3737">
        <v>32</v>
      </c>
      <c r="P5" s="3736">
        <v>41</v>
      </c>
      <c r="Q5" s="3737">
        <v>59</v>
      </c>
      <c r="R5" s="3736">
        <v>19</v>
      </c>
      <c r="S5" s="3737">
        <v>62</v>
      </c>
      <c r="T5" s="3736">
        <v>60</v>
      </c>
      <c r="U5" s="3737">
        <v>89</v>
      </c>
      <c r="V5" s="3736">
        <v>84</v>
      </c>
      <c r="W5" s="3737">
        <v>141</v>
      </c>
      <c r="X5" s="3736">
        <v>80</v>
      </c>
      <c r="Y5" s="3737">
        <v>182</v>
      </c>
      <c r="Z5" s="3736">
        <v>45</v>
      </c>
      <c r="AA5" s="3737">
        <v>181</v>
      </c>
      <c r="AB5" s="3736">
        <v>57</v>
      </c>
      <c r="AC5" s="3737">
        <v>172</v>
      </c>
      <c r="AD5" s="3736">
        <v>64</v>
      </c>
      <c r="AE5" s="3737">
        <v>185</v>
      </c>
      <c r="AF5" s="3736">
        <v>48</v>
      </c>
      <c r="AG5" s="3737">
        <v>162</v>
      </c>
    </row>
    <row r="6" spans="1:33" ht="15" customHeight="1" x14ac:dyDescent="0.2">
      <c r="A6" s="5836"/>
      <c r="B6" s="5839"/>
      <c r="C6" s="3738" t="s">
        <v>453</v>
      </c>
      <c r="D6" s="3739">
        <v>2</v>
      </c>
      <c r="E6" s="3740">
        <v>2</v>
      </c>
      <c r="F6" s="3739">
        <v>8</v>
      </c>
      <c r="G6" s="3740">
        <v>9</v>
      </c>
      <c r="H6" s="3739">
        <v>8</v>
      </c>
      <c r="I6" s="3740">
        <v>15</v>
      </c>
      <c r="J6" s="3739">
        <v>12</v>
      </c>
      <c r="K6" s="3740">
        <v>19</v>
      </c>
      <c r="L6" s="3739">
        <v>12</v>
      </c>
      <c r="M6" s="3740">
        <v>24</v>
      </c>
      <c r="N6" s="3739">
        <v>21</v>
      </c>
      <c r="O6" s="3740">
        <v>37</v>
      </c>
      <c r="P6" s="3739">
        <v>53</v>
      </c>
      <c r="Q6" s="3740">
        <v>79</v>
      </c>
      <c r="R6" s="3739">
        <v>36</v>
      </c>
      <c r="S6" s="3740">
        <v>87</v>
      </c>
      <c r="T6" s="3739">
        <v>39</v>
      </c>
      <c r="U6" s="3740">
        <v>86</v>
      </c>
      <c r="V6" s="3739">
        <v>100</v>
      </c>
      <c r="W6" s="3740">
        <v>147</v>
      </c>
      <c r="X6" s="3739">
        <v>83</v>
      </c>
      <c r="Y6" s="3740">
        <v>186</v>
      </c>
      <c r="Z6" s="3739">
        <v>43</v>
      </c>
      <c r="AA6" s="3740">
        <v>174</v>
      </c>
      <c r="AB6" s="3739">
        <v>49</v>
      </c>
      <c r="AC6" s="3740">
        <v>142</v>
      </c>
      <c r="AD6" s="3739">
        <v>53</v>
      </c>
      <c r="AE6" s="3740">
        <v>163</v>
      </c>
      <c r="AF6" s="3739">
        <v>37</v>
      </c>
      <c r="AG6" s="3740">
        <v>146</v>
      </c>
    </row>
    <row r="7" spans="1:33" ht="15" customHeight="1" x14ac:dyDescent="0.2">
      <c r="A7" s="5836"/>
      <c r="B7" s="5839"/>
      <c r="C7" s="3738" t="s">
        <v>512</v>
      </c>
      <c r="D7" s="3739">
        <v>0</v>
      </c>
      <c r="E7" s="3740">
        <v>0</v>
      </c>
      <c r="F7" s="3739">
        <v>2</v>
      </c>
      <c r="G7" s="3740">
        <v>0</v>
      </c>
      <c r="H7" s="3739">
        <v>11</v>
      </c>
      <c r="I7" s="3740">
        <v>11</v>
      </c>
      <c r="J7" s="3739">
        <v>36</v>
      </c>
      <c r="K7" s="3740">
        <v>43</v>
      </c>
      <c r="L7" s="3739">
        <v>50</v>
      </c>
      <c r="M7" s="3740">
        <v>81</v>
      </c>
      <c r="N7" s="3739">
        <v>93</v>
      </c>
      <c r="O7" s="3740">
        <v>154</v>
      </c>
      <c r="P7" s="3739">
        <v>104</v>
      </c>
      <c r="Q7" s="3740">
        <v>216</v>
      </c>
      <c r="R7" s="3739">
        <v>52</v>
      </c>
      <c r="S7" s="3740">
        <v>187</v>
      </c>
      <c r="T7" s="3739">
        <v>89</v>
      </c>
      <c r="U7" s="3740">
        <v>181</v>
      </c>
      <c r="V7" s="3739">
        <v>21</v>
      </c>
      <c r="W7" s="3740">
        <v>41</v>
      </c>
      <c r="X7" s="3739">
        <v>44</v>
      </c>
      <c r="Y7" s="3740">
        <v>68</v>
      </c>
      <c r="Z7" s="3739">
        <v>46</v>
      </c>
      <c r="AA7" s="3740">
        <v>95</v>
      </c>
      <c r="AB7" s="3739">
        <v>45</v>
      </c>
      <c r="AC7" s="3740">
        <v>103</v>
      </c>
      <c r="AD7" s="3739">
        <v>31</v>
      </c>
      <c r="AE7" s="3740">
        <v>155</v>
      </c>
      <c r="AF7" s="3739">
        <v>42</v>
      </c>
      <c r="AG7" s="3740">
        <v>140</v>
      </c>
    </row>
    <row r="8" spans="1:33" ht="15" customHeight="1" x14ac:dyDescent="0.2">
      <c r="A8" s="5836"/>
      <c r="B8" s="5839"/>
      <c r="C8" s="3738" t="s">
        <v>454</v>
      </c>
      <c r="D8" s="3739">
        <v>5</v>
      </c>
      <c r="E8" s="3740">
        <v>5</v>
      </c>
      <c r="F8" s="3739">
        <v>22</v>
      </c>
      <c r="G8" s="3740">
        <v>24</v>
      </c>
      <c r="H8" s="3739">
        <v>4</v>
      </c>
      <c r="I8" s="3740">
        <v>6</v>
      </c>
      <c r="J8" s="3739">
        <v>14</v>
      </c>
      <c r="K8" s="3740">
        <v>15</v>
      </c>
      <c r="L8" s="3739">
        <v>7</v>
      </c>
      <c r="M8" s="3740">
        <v>18</v>
      </c>
      <c r="N8" s="3739">
        <v>10</v>
      </c>
      <c r="O8" s="3740">
        <v>19</v>
      </c>
      <c r="P8" s="3739">
        <v>33</v>
      </c>
      <c r="Q8" s="3740">
        <v>46</v>
      </c>
      <c r="R8" s="3739">
        <v>11</v>
      </c>
      <c r="S8" s="3740">
        <v>43</v>
      </c>
      <c r="T8" s="3739">
        <v>24</v>
      </c>
      <c r="U8" s="3740">
        <v>43</v>
      </c>
      <c r="V8" s="3739">
        <v>77</v>
      </c>
      <c r="W8" s="3740">
        <v>128</v>
      </c>
      <c r="X8" s="3739">
        <v>59</v>
      </c>
      <c r="Y8" s="3740">
        <v>147</v>
      </c>
      <c r="Z8" s="3739">
        <v>38</v>
      </c>
      <c r="AA8" s="3740">
        <v>139</v>
      </c>
      <c r="AB8" s="3739">
        <v>42</v>
      </c>
      <c r="AC8" s="3740">
        <v>127</v>
      </c>
      <c r="AD8" s="3739">
        <v>44</v>
      </c>
      <c r="AE8" s="3740">
        <v>103</v>
      </c>
      <c r="AF8" s="3739">
        <v>41</v>
      </c>
      <c r="AG8" s="3740">
        <v>95</v>
      </c>
    </row>
    <row r="9" spans="1:33" ht="15" customHeight="1" x14ac:dyDescent="0.2">
      <c r="A9" s="5836"/>
      <c r="B9" s="5839"/>
      <c r="C9" s="3738" t="s">
        <v>460</v>
      </c>
      <c r="D9" s="3739">
        <v>0</v>
      </c>
      <c r="E9" s="3740">
        <v>0</v>
      </c>
      <c r="F9" s="3739">
        <v>0</v>
      </c>
      <c r="G9" s="3740">
        <v>0</v>
      </c>
      <c r="H9" s="3739">
        <v>27</v>
      </c>
      <c r="I9" s="3740">
        <v>43</v>
      </c>
      <c r="J9" s="3739">
        <v>29</v>
      </c>
      <c r="K9" s="3740">
        <v>53</v>
      </c>
      <c r="L9" s="3739">
        <v>29</v>
      </c>
      <c r="M9" s="3740">
        <v>60</v>
      </c>
      <c r="N9" s="3739">
        <v>48</v>
      </c>
      <c r="O9" s="3740">
        <v>87</v>
      </c>
      <c r="P9" s="3739">
        <v>88</v>
      </c>
      <c r="Q9" s="3740">
        <v>149</v>
      </c>
      <c r="R9" s="3739">
        <v>27</v>
      </c>
      <c r="S9" s="3740">
        <v>119</v>
      </c>
      <c r="T9" s="3739">
        <v>46</v>
      </c>
      <c r="U9" s="3740">
        <v>93</v>
      </c>
      <c r="V9" s="3739">
        <v>107</v>
      </c>
      <c r="W9" s="3740">
        <v>209</v>
      </c>
      <c r="X9" s="3739">
        <v>85</v>
      </c>
      <c r="Y9" s="3740">
        <v>246</v>
      </c>
      <c r="Z9" s="3739">
        <v>42</v>
      </c>
      <c r="AA9" s="3740">
        <v>225</v>
      </c>
      <c r="AB9" s="3739">
        <v>46</v>
      </c>
      <c r="AC9" s="3740">
        <v>177</v>
      </c>
      <c r="AD9" s="3739">
        <v>53</v>
      </c>
      <c r="AE9" s="3740">
        <v>128</v>
      </c>
      <c r="AF9" s="3739">
        <v>29</v>
      </c>
      <c r="AG9" s="3740">
        <v>119</v>
      </c>
    </row>
    <row r="10" spans="1:33" ht="15" customHeight="1" x14ac:dyDescent="0.2">
      <c r="A10" s="5836"/>
      <c r="B10" s="5839"/>
      <c r="C10" s="3738" t="s">
        <v>455</v>
      </c>
      <c r="D10" s="3739">
        <v>4</v>
      </c>
      <c r="E10" s="3740">
        <v>4</v>
      </c>
      <c r="F10" s="3739">
        <v>4</v>
      </c>
      <c r="G10" s="3740">
        <v>8</v>
      </c>
      <c r="H10" s="3739">
        <v>4</v>
      </c>
      <c r="I10" s="3740">
        <v>7</v>
      </c>
      <c r="J10" s="3739">
        <v>13</v>
      </c>
      <c r="K10" s="3740">
        <v>16</v>
      </c>
      <c r="L10" s="3739">
        <v>10</v>
      </c>
      <c r="M10" s="3740">
        <v>21</v>
      </c>
      <c r="N10" s="3739">
        <v>21</v>
      </c>
      <c r="O10" s="3740">
        <v>32</v>
      </c>
      <c r="P10" s="3739">
        <v>19</v>
      </c>
      <c r="Q10" s="3740">
        <v>41</v>
      </c>
      <c r="R10" s="3739">
        <v>18</v>
      </c>
      <c r="S10" s="3740">
        <v>42</v>
      </c>
      <c r="T10" s="3739">
        <v>30</v>
      </c>
      <c r="U10" s="3740">
        <v>58</v>
      </c>
      <c r="V10" s="3739">
        <v>39</v>
      </c>
      <c r="W10" s="3740">
        <v>75</v>
      </c>
      <c r="X10" s="3739">
        <v>58</v>
      </c>
      <c r="Y10" s="3740">
        <v>112</v>
      </c>
      <c r="Z10" s="3739">
        <v>34</v>
      </c>
      <c r="AA10" s="3740">
        <v>116</v>
      </c>
      <c r="AB10" s="3739">
        <v>36</v>
      </c>
      <c r="AC10" s="3740">
        <v>95</v>
      </c>
      <c r="AD10" s="3739">
        <v>42</v>
      </c>
      <c r="AE10" s="3740">
        <v>109</v>
      </c>
      <c r="AF10" s="3739">
        <v>35</v>
      </c>
      <c r="AG10" s="3740">
        <v>110</v>
      </c>
    </row>
    <row r="11" spans="1:33" ht="15" customHeight="1" x14ac:dyDescent="0.2">
      <c r="A11" s="5836"/>
      <c r="B11" s="5839"/>
      <c r="C11" s="3738" t="s">
        <v>456</v>
      </c>
      <c r="D11" s="3739">
        <v>4</v>
      </c>
      <c r="E11" s="3740">
        <v>4</v>
      </c>
      <c r="F11" s="3739">
        <v>19</v>
      </c>
      <c r="G11" s="3740">
        <v>21</v>
      </c>
      <c r="H11" s="3739">
        <v>19</v>
      </c>
      <c r="I11" s="3740">
        <v>32</v>
      </c>
      <c r="J11" s="3739">
        <v>38</v>
      </c>
      <c r="K11" s="3740">
        <v>54</v>
      </c>
      <c r="L11" s="3739">
        <v>33</v>
      </c>
      <c r="M11" s="3740">
        <v>71</v>
      </c>
      <c r="N11" s="3739">
        <v>46</v>
      </c>
      <c r="O11" s="3740">
        <v>96</v>
      </c>
      <c r="P11" s="3739">
        <v>100</v>
      </c>
      <c r="Q11" s="3740">
        <v>163</v>
      </c>
      <c r="R11" s="3739">
        <v>38</v>
      </c>
      <c r="S11" s="3740">
        <v>150</v>
      </c>
      <c r="T11" s="3739">
        <v>47</v>
      </c>
      <c r="U11" s="3740">
        <v>99</v>
      </c>
      <c r="V11" s="3739">
        <v>68</v>
      </c>
      <c r="W11" s="3740">
        <v>124</v>
      </c>
      <c r="X11" s="3739">
        <v>80</v>
      </c>
      <c r="Y11" s="3740">
        <v>167</v>
      </c>
      <c r="Z11" s="3739">
        <v>42</v>
      </c>
      <c r="AA11" s="3740">
        <v>164</v>
      </c>
      <c r="AB11" s="3739">
        <v>42</v>
      </c>
      <c r="AC11" s="3740">
        <v>148</v>
      </c>
      <c r="AD11" s="3739">
        <v>54</v>
      </c>
      <c r="AE11" s="3740">
        <v>148</v>
      </c>
      <c r="AF11" s="3739">
        <v>48</v>
      </c>
      <c r="AG11" s="3740">
        <v>154</v>
      </c>
    </row>
    <row r="12" spans="1:33" ht="15" customHeight="1" x14ac:dyDescent="0.2">
      <c r="A12" s="5836"/>
      <c r="B12" s="5839"/>
      <c r="C12" s="3738" t="s">
        <v>457</v>
      </c>
      <c r="D12" s="3739">
        <v>2</v>
      </c>
      <c r="E12" s="3740">
        <v>2</v>
      </c>
      <c r="F12" s="3739">
        <v>7</v>
      </c>
      <c r="G12" s="3740">
        <v>8</v>
      </c>
      <c r="H12" s="3739">
        <v>9</v>
      </c>
      <c r="I12" s="3740">
        <v>14</v>
      </c>
      <c r="J12" s="3739">
        <v>15</v>
      </c>
      <c r="K12" s="3740">
        <v>23</v>
      </c>
      <c r="L12" s="3739">
        <v>17</v>
      </c>
      <c r="M12" s="3740">
        <v>34</v>
      </c>
      <c r="N12" s="3739">
        <v>32</v>
      </c>
      <c r="O12" s="3740">
        <v>62</v>
      </c>
      <c r="P12" s="3739">
        <v>63</v>
      </c>
      <c r="Q12" s="3740">
        <v>112</v>
      </c>
      <c r="R12" s="3739">
        <v>24</v>
      </c>
      <c r="S12" s="3740">
        <v>104</v>
      </c>
      <c r="T12" s="3739">
        <v>31</v>
      </c>
      <c r="U12" s="3740">
        <v>74</v>
      </c>
      <c r="V12" s="3739">
        <v>49</v>
      </c>
      <c r="W12" s="3740">
        <v>87</v>
      </c>
      <c r="X12" s="3739">
        <v>53</v>
      </c>
      <c r="Y12" s="3740">
        <v>110</v>
      </c>
      <c r="Z12" s="3739">
        <v>34</v>
      </c>
      <c r="AA12" s="3740">
        <v>115</v>
      </c>
      <c r="AB12" s="3739">
        <v>40</v>
      </c>
      <c r="AC12" s="3740">
        <v>116</v>
      </c>
      <c r="AD12" s="3739">
        <v>44</v>
      </c>
      <c r="AE12" s="3740">
        <v>122</v>
      </c>
      <c r="AF12" s="3739">
        <v>36</v>
      </c>
      <c r="AG12" s="3740">
        <v>115</v>
      </c>
    </row>
    <row r="13" spans="1:33" ht="15" customHeight="1" x14ac:dyDescent="0.2">
      <c r="A13" s="5836"/>
      <c r="B13" s="5839"/>
      <c r="C13" s="3738" t="s">
        <v>458</v>
      </c>
      <c r="D13" s="3739">
        <v>1</v>
      </c>
      <c r="E13" s="3740">
        <v>1</v>
      </c>
      <c r="F13" s="3739">
        <v>0</v>
      </c>
      <c r="G13" s="3740">
        <v>1</v>
      </c>
      <c r="H13" s="3739">
        <v>2</v>
      </c>
      <c r="I13" s="3740">
        <v>2</v>
      </c>
      <c r="J13" s="3739">
        <v>2</v>
      </c>
      <c r="K13" s="3740">
        <v>3</v>
      </c>
      <c r="L13" s="3739">
        <v>7</v>
      </c>
      <c r="M13" s="3740">
        <v>10</v>
      </c>
      <c r="N13" s="3739">
        <v>11</v>
      </c>
      <c r="O13" s="3740">
        <v>20</v>
      </c>
      <c r="P13" s="3739">
        <v>12</v>
      </c>
      <c r="Q13" s="3740">
        <v>26</v>
      </c>
      <c r="R13" s="3739">
        <v>7</v>
      </c>
      <c r="S13" s="3740">
        <v>23</v>
      </c>
      <c r="T13" s="3739">
        <v>13</v>
      </c>
      <c r="U13" s="3740">
        <v>23</v>
      </c>
      <c r="V13" s="3739">
        <v>23</v>
      </c>
      <c r="W13" s="3740">
        <v>35</v>
      </c>
      <c r="X13" s="3739">
        <v>36</v>
      </c>
      <c r="Y13" s="3740">
        <v>63</v>
      </c>
      <c r="Z13" s="3739">
        <v>32</v>
      </c>
      <c r="AA13" s="3740">
        <v>76</v>
      </c>
      <c r="AB13" s="3739">
        <v>52</v>
      </c>
      <c r="AC13" s="3740">
        <v>95</v>
      </c>
      <c r="AD13" s="3739">
        <v>57</v>
      </c>
      <c r="AE13" s="3740">
        <v>125</v>
      </c>
      <c r="AF13" s="3739">
        <v>44</v>
      </c>
      <c r="AG13" s="3740">
        <v>127</v>
      </c>
    </row>
    <row r="14" spans="1:33" ht="15" customHeight="1" x14ac:dyDescent="0.2">
      <c r="A14" s="5836"/>
      <c r="B14" s="5839"/>
      <c r="C14" s="3738" t="s">
        <v>459</v>
      </c>
      <c r="D14" s="3739">
        <v>3</v>
      </c>
      <c r="E14" s="3740">
        <v>2</v>
      </c>
      <c r="F14" s="3739">
        <v>17</v>
      </c>
      <c r="G14" s="3740">
        <v>17</v>
      </c>
      <c r="H14" s="3739">
        <v>19</v>
      </c>
      <c r="I14" s="3740">
        <v>35</v>
      </c>
      <c r="J14" s="3739">
        <v>28</v>
      </c>
      <c r="K14" s="3740">
        <v>49</v>
      </c>
      <c r="L14" s="3739">
        <v>15</v>
      </c>
      <c r="M14" s="3740">
        <v>47</v>
      </c>
      <c r="N14" s="3739">
        <v>43</v>
      </c>
      <c r="O14" s="3740">
        <v>73</v>
      </c>
      <c r="P14" s="3739">
        <v>55</v>
      </c>
      <c r="Q14" s="3740">
        <v>102</v>
      </c>
      <c r="R14" s="3739">
        <v>39</v>
      </c>
      <c r="S14" s="3740">
        <v>101</v>
      </c>
      <c r="T14" s="3739">
        <v>55</v>
      </c>
      <c r="U14" s="3740">
        <v>107</v>
      </c>
      <c r="V14" s="3739">
        <v>61</v>
      </c>
      <c r="W14" s="3740">
        <v>129</v>
      </c>
      <c r="X14" s="3739">
        <v>58</v>
      </c>
      <c r="Y14" s="3740">
        <v>152</v>
      </c>
      <c r="Z14" s="3739">
        <v>56</v>
      </c>
      <c r="AA14" s="3740">
        <v>165</v>
      </c>
      <c r="AB14" s="3739">
        <v>41</v>
      </c>
      <c r="AC14" s="3740">
        <v>143</v>
      </c>
      <c r="AD14" s="3739">
        <v>58</v>
      </c>
      <c r="AE14" s="3740">
        <v>138</v>
      </c>
      <c r="AF14" s="3739">
        <v>37</v>
      </c>
      <c r="AG14" s="3740">
        <v>127</v>
      </c>
    </row>
    <row r="15" spans="1:33" ht="15" customHeight="1" x14ac:dyDescent="0.2">
      <c r="A15" s="5836"/>
      <c r="B15" s="5840"/>
      <c r="C15" s="3744" t="s">
        <v>160</v>
      </c>
      <c r="D15" s="3745">
        <f>SUM(D5:D14)</f>
        <v>23</v>
      </c>
      <c r="E15" s="3746">
        <f t="shared" ref="E15:AA15" si="0">SUM(E5:E14)</f>
        <v>22</v>
      </c>
      <c r="F15" s="3745">
        <f t="shared" si="0"/>
        <v>86</v>
      </c>
      <c r="G15" s="3746">
        <f t="shared" si="0"/>
        <v>95</v>
      </c>
      <c r="H15" s="3745">
        <f t="shared" si="0"/>
        <v>110</v>
      </c>
      <c r="I15" s="3746">
        <f t="shared" si="0"/>
        <v>178</v>
      </c>
      <c r="J15" s="3745">
        <f t="shared" si="0"/>
        <v>197</v>
      </c>
      <c r="K15" s="3746">
        <f t="shared" si="0"/>
        <v>292</v>
      </c>
      <c r="L15" s="3745">
        <f t="shared" si="0"/>
        <v>190</v>
      </c>
      <c r="M15" s="3746">
        <f t="shared" si="0"/>
        <v>388</v>
      </c>
      <c r="N15" s="3745">
        <f t="shared" si="0"/>
        <v>341</v>
      </c>
      <c r="O15" s="3746">
        <f t="shared" si="0"/>
        <v>612</v>
      </c>
      <c r="P15" s="3745">
        <f t="shared" si="0"/>
        <v>568</v>
      </c>
      <c r="Q15" s="3746">
        <f t="shared" si="0"/>
        <v>993</v>
      </c>
      <c r="R15" s="3745">
        <f t="shared" si="0"/>
        <v>271</v>
      </c>
      <c r="S15" s="3746">
        <f t="shared" si="0"/>
        <v>918</v>
      </c>
      <c r="T15" s="3745">
        <f t="shared" si="0"/>
        <v>434</v>
      </c>
      <c r="U15" s="3746">
        <f t="shared" si="0"/>
        <v>853</v>
      </c>
      <c r="V15" s="3745">
        <f t="shared" si="0"/>
        <v>629</v>
      </c>
      <c r="W15" s="3746">
        <f t="shared" si="0"/>
        <v>1116</v>
      </c>
      <c r="X15" s="3745">
        <f t="shared" si="0"/>
        <v>636</v>
      </c>
      <c r="Y15" s="3746">
        <f t="shared" si="0"/>
        <v>1433</v>
      </c>
      <c r="Z15" s="3745">
        <f t="shared" si="0"/>
        <v>412</v>
      </c>
      <c r="AA15" s="3746">
        <f t="shared" si="0"/>
        <v>1450</v>
      </c>
      <c r="AB15" s="3745">
        <f t="shared" ref="AB15:AG15" si="1">SUM(AB5:AB14)</f>
        <v>450</v>
      </c>
      <c r="AC15" s="3746">
        <f t="shared" si="1"/>
        <v>1318</v>
      </c>
      <c r="AD15" s="3745">
        <f t="shared" si="1"/>
        <v>500</v>
      </c>
      <c r="AE15" s="3746">
        <f t="shared" si="1"/>
        <v>1376</v>
      </c>
      <c r="AF15" s="3745">
        <f t="shared" si="1"/>
        <v>397</v>
      </c>
      <c r="AG15" s="3746">
        <f t="shared" si="1"/>
        <v>1295</v>
      </c>
    </row>
    <row r="16" spans="1:33" ht="15" customHeight="1" x14ac:dyDescent="0.2">
      <c r="A16" s="5836"/>
      <c r="B16" s="5838" t="s">
        <v>430</v>
      </c>
      <c r="C16" s="3738" t="s">
        <v>462</v>
      </c>
      <c r="D16" s="3739">
        <v>7</v>
      </c>
      <c r="E16" s="3740">
        <v>7</v>
      </c>
      <c r="F16" s="3739">
        <v>31</v>
      </c>
      <c r="G16" s="3740">
        <v>36</v>
      </c>
      <c r="H16" s="3739">
        <v>29</v>
      </c>
      <c r="I16" s="3740">
        <v>64</v>
      </c>
      <c r="J16" s="3739">
        <v>20</v>
      </c>
      <c r="K16" s="3740">
        <v>77</v>
      </c>
      <c r="L16" s="3739">
        <v>38</v>
      </c>
      <c r="M16" s="3740">
        <v>100</v>
      </c>
      <c r="N16" s="3739">
        <v>97</v>
      </c>
      <c r="O16" s="3740">
        <v>161</v>
      </c>
      <c r="P16" s="3739">
        <v>65</v>
      </c>
      <c r="Q16" s="3740">
        <v>201</v>
      </c>
      <c r="R16" s="3739">
        <v>82</v>
      </c>
      <c r="S16" s="3740">
        <v>231</v>
      </c>
      <c r="T16" s="3739">
        <v>132</v>
      </c>
      <c r="U16" s="3740">
        <v>280</v>
      </c>
      <c r="V16" s="3739">
        <v>132</v>
      </c>
      <c r="W16" s="3740">
        <v>335</v>
      </c>
      <c r="X16" s="3739">
        <v>119</v>
      </c>
      <c r="Y16" s="3740">
        <v>384</v>
      </c>
      <c r="Z16" s="3739">
        <v>153</v>
      </c>
      <c r="AA16" s="3740">
        <v>443</v>
      </c>
      <c r="AB16" s="3739">
        <v>127</v>
      </c>
      <c r="AC16" s="3740">
        <v>438</v>
      </c>
      <c r="AD16" s="3739">
        <v>141</v>
      </c>
      <c r="AE16" s="3740">
        <v>458</v>
      </c>
      <c r="AF16" s="3739">
        <v>143</v>
      </c>
      <c r="AG16" s="3740">
        <v>474</v>
      </c>
    </row>
    <row r="17" spans="1:33" ht="15" customHeight="1" x14ac:dyDescent="0.2">
      <c r="A17" s="5836"/>
      <c r="B17" s="5839"/>
      <c r="C17" s="3738" t="s">
        <v>463</v>
      </c>
      <c r="D17" s="3739">
        <v>5</v>
      </c>
      <c r="E17" s="3740">
        <v>5</v>
      </c>
      <c r="F17" s="3739">
        <v>43</v>
      </c>
      <c r="G17" s="3740">
        <v>47</v>
      </c>
      <c r="H17" s="3739">
        <v>42</v>
      </c>
      <c r="I17" s="3740">
        <v>85</v>
      </c>
      <c r="J17" s="3739">
        <v>49</v>
      </c>
      <c r="K17" s="3740">
        <v>122</v>
      </c>
      <c r="L17" s="3739">
        <v>80</v>
      </c>
      <c r="M17" s="3740">
        <v>181</v>
      </c>
      <c r="N17" s="3739">
        <v>122</v>
      </c>
      <c r="O17" s="3740">
        <v>257</v>
      </c>
      <c r="P17" s="3739">
        <v>92</v>
      </c>
      <c r="Q17" s="3740">
        <v>289</v>
      </c>
      <c r="R17" s="3739">
        <v>117</v>
      </c>
      <c r="S17" s="3740">
        <v>301</v>
      </c>
      <c r="T17" s="3739">
        <v>175</v>
      </c>
      <c r="U17" s="3740">
        <v>395</v>
      </c>
      <c r="V17" s="3739">
        <v>205</v>
      </c>
      <c r="W17" s="3740">
        <v>498</v>
      </c>
      <c r="X17" s="3739">
        <v>224</v>
      </c>
      <c r="Y17" s="3740">
        <v>613</v>
      </c>
      <c r="Z17" s="3739">
        <v>207</v>
      </c>
      <c r="AA17" s="3740">
        <v>707</v>
      </c>
      <c r="AB17" s="3739">
        <v>195</v>
      </c>
      <c r="AC17" s="3740">
        <v>718</v>
      </c>
      <c r="AD17" s="3739">
        <v>252</v>
      </c>
      <c r="AE17" s="3740">
        <v>760</v>
      </c>
      <c r="AF17" s="3739">
        <v>208</v>
      </c>
      <c r="AG17" s="3740">
        <v>772</v>
      </c>
    </row>
    <row r="18" spans="1:33" ht="15" customHeight="1" x14ac:dyDescent="0.2">
      <c r="A18" s="5836"/>
      <c r="B18" s="5839"/>
      <c r="C18" s="3738" t="s">
        <v>464</v>
      </c>
      <c r="D18" s="3739">
        <v>3</v>
      </c>
      <c r="E18" s="3740">
        <v>3</v>
      </c>
      <c r="F18" s="3739">
        <v>22</v>
      </c>
      <c r="G18" s="3740">
        <v>23</v>
      </c>
      <c r="H18" s="3739">
        <v>28</v>
      </c>
      <c r="I18" s="3740">
        <v>43</v>
      </c>
      <c r="J18" s="3739">
        <v>24</v>
      </c>
      <c r="K18" s="3740">
        <v>59</v>
      </c>
      <c r="L18" s="3739">
        <v>20</v>
      </c>
      <c r="M18" s="3740">
        <v>67</v>
      </c>
      <c r="N18" s="3739">
        <v>37</v>
      </c>
      <c r="O18" s="3740">
        <v>75</v>
      </c>
      <c r="P18" s="3739">
        <v>49</v>
      </c>
      <c r="Q18" s="3740">
        <v>108</v>
      </c>
      <c r="R18" s="3739">
        <v>44</v>
      </c>
      <c r="S18" s="3740">
        <v>117</v>
      </c>
      <c r="T18" s="3739">
        <v>54</v>
      </c>
      <c r="U18" s="3740">
        <v>127</v>
      </c>
      <c r="V18" s="3739">
        <v>71</v>
      </c>
      <c r="W18" s="3740">
        <v>157</v>
      </c>
      <c r="X18" s="3739">
        <v>75</v>
      </c>
      <c r="Y18" s="3740">
        <v>184</v>
      </c>
      <c r="Z18" s="3739">
        <v>91</v>
      </c>
      <c r="AA18" s="3740">
        <v>224</v>
      </c>
      <c r="AB18" s="3739">
        <v>93</v>
      </c>
      <c r="AC18" s="3740">
        <v>241</v>
      </c>
      <c r="AD18" s="3739">
        <v>88</v>
      </c>
      <c r="AE18" s="3740">
        <v>259</v>
      </c>
      <c r="AF18" s="3739">
        <v>78</v>
      </c>
      <c r="AG18" s="3740">
        <v>250</v>
      </c>
    </row>
    <row r="19" spans="1:33" ht="15" customHeight="1" x14ac:dyDescent="0.2">
      <c r="A19" s="5836"/>
      <c r="B19" s="5839"/>
      <c r="C19" s="3738" t="s">
        <v>465</v>
      </c>
      <c r="D19" s="3739">
        <v>5</v>
      </c>
      <c r="E19" s="3740">
        <v>5</v>
      </c>
      <c r="F19" s="3739">
        <v>20</v>
      </c>
      <c r="G19" s="3740">
        <v>25</v>
      </c>
      <c r="H19" s="3739">
        <v>31</v>
      </c>
      <c r="I19" s="3740">
        <v>51</v>
      </c>
      <c r="J19" s="3739">
        <v>14</v>
      </c>
      <c r="K19" s="3740">
        <v>63</v>
      </c>
      <c r="L19" s="3739">
        <v>40</v>
      </c>
      <c r="M19" s="3740">
        <v>88</v>
      </c>
      <c r="N19" s="3739">
        <v>68</v>
      </c>
      <c r="O19" s="3740">
        <v>138</v>
      </c>
      <c r="P19" s="3739">
        <v>45</v>
      </c>
      <c r="Q19" s="3740">
        <v>153</v>
      </c>
      <c r="R19" s="3739">
        <v>50</v>
      </c>
      <c r="S19" s="3740">
        <v>154</v>
      </c>
      <c r="T19" s="3739">
        <v>102</v>
      </c>
      <c r="U19" s="3740">
        <v>187</v>
      </c>
      <c r="V19" s="3739">
        <v>95</v>
      </c>
      <c r="W19" s="3740">
        <v>224</v>
      </c>
      <c r="X19" s="3739">
        <v>94</v>
      </c>
      <c r="Y19" s="3740">
        <v>274</v>
      </c>
      <c r="Z19" s="3739">
        <v>93</v>
      </c>
      <c r="AA19" s="3740">
        <v>298</v>
      </c>
      <c r="AB19" s="3739">
        <v>118</v>
      </c>
      <c r="AC19" s="3740">
        <v>330</v>
      </c>
      <c r="AD19" s="3739">
        <v>127</v>
      </c>
      <c r="AE19" s="3740">
        <v>375</v>
      </c>
      <c r="AF19" s="3739">
        <v>119</v>
      </c>
      <c r="AG19" s="3740">
        <v>395</v>
      </c>
    </row>
    <row r="20" spans="1:33" ht="15" customHeight="1" x14ac:dyDescent="0.2">
      <c r="A20" s="5836"/>
      <c r="B20" s="5840"/>
      <c r="C20" s="3744" t="s">
        <v>160</v>
      </c>
      <c r="D20" s="3745">
        <f>SUM(D16:D19)</f>
        <v>20</v>
      </c>
      <c r="E20" s="3746">
        <f t="shared" ref="E20:AA20" si="2">SUM(E16:E19)</f>
        <v>20</v>
      </c>
      <c r="F20" s="3745">
        <f t="shared" si="2"/>
        <v>116</v>
      </c>
      <c r="G20" s="3746">
        <f t="shared" si="2"/>
        <v>131</v>
      </c>
      <c r="H20" s="3745">
        <f t="shared" si="2"/>
        <v>130</v>
      </c>
      <c r="I20" s="3746">
        <f t="shared" si="2"/>
        <v>243</v>
      </c>
      <c r="J20" s="3745">
        <f t="shared" si="2"/>
        <v>107</v>
      </c>
      <c r="K20" s="3746">
        <f t="shared" si="2"/>
        <v>321</v>
      </c>
      <c r="L20" s="3745">
        <f t="shared" si="2"/>
        <v>178</v>
      </c>
      <c r="M20" s="3746">
        <f t="shared" si="2"/>
        <v>436</v>
      </c>
      <c r="N20" s="3745">
        <f t="shared" si="2"/>
        <v>324</v>
      </c>
      <c r="O20" s="3746">
        <f t="shared" si="2"/>
        <v>631</v>
      </c>
      <c r="P20" s="3745">
        <f t="shared" si="2"/>
        <v>251</v>
      </c>
      <c r="Q20" s="3746">
        <f t="shared" si="2"/>
        <v>751</v>
      </c>
      <c r="R20" s="3745">
        <f t="shared" si="2"/>
        <v>293</v>
      </c>
      <c r="S20" s="3746">
        <f t="shared" si="2"/>
        <v>803</v>
      </c>
      <c r="T20" s="3745">
        <f t="shared" si="2"/>
        <v>463</v>
      </c>
      <c r="U20" s="3746">
        <f t="shared" si="2"/>
        <v>989</v>
      </c>
      <c r="V20" s="3745">
        <f t="shared" si="2"/>
        <v>503</v>
      </c>
      <c r="W20" s="3746">
        <f t="shared" si="2"/>
        <v>1214</v>
      </c>
      <c r="X20" s="3745">
        <f t="shared" si="2"/>
        <v>512</v>
      </c>
      <c r="Y20" s="3746">
        <f t="shared" si="2"/>
        <v>1455</v>
      </c>
      <c r="Z20" s="3745">
        <f t="shared" si="2"/>
        <v>544</v>
      </c>
      <c r="AA20" s="3746">
        <f t="shared" si="2"/>
        <v>1672</v>
      </c>
      <c r="AB20" s="3745">
        <f t="shared" ref="AB20:AG20" si="3">SUM(AB16:AB19)</f>
        <v>533</v>
      </c>
      <c r="AC20" s="3746">
        <f t="shared" si="3"/>
        <v>1727</v>
      </c>
      <c r="AD20" s="3745">
        <f t="shared" si="3"/>
        <v>608</v>
      </c>
      <c r="AE20" s="3746">
        <f t="shared" si="3"/>
        <v>1852</v>
      </c>
      <c r="AF20" s="3745">
        <f t="shared" si="3"/>
        <v>548</v>
      </c>
      <c r="AG20" s="3746">
        <f t="shared" si="3"/>
        <v>1891</v>
      </c>
    </row>
    <row r="21" spans="1:33" ht="15" customHeight="1" x14ac:dyDescent="0.2">
      <c r="A21" s="5836"/>
      <c r="B21" s="5838" t="s">
        <v>431</v>
      </c>
      <c r="C21" s="3738" t="s">
        <v>466</v>
      </c>
      <c r="D21" s="3739">
        <v>2</v>
      </c>
      <c r="E21" s="3740">
        <v>2</v>
      </c>
      <c r="F21" s="3739">
        <v>28</v>
      </c>
      <c r="G21" s="3740">
        <v>30</v>
      </c>
      <c r="H21" s="3739">
        <v>24</v>
      </c>
      <c r="I21" s="3740">
        <v>48</v>
      </c>
      <c r="J21" s="3739">
        <v>42</v>
      </c>
      <c r="K21" s="3740">
        <v>79</v>
      </c>
      <c r="L21" s="3739">
        <v>41</v>
      </c>
      <c r="M21" s="3740">
        <v>100</v>
      </c>
      <c r="N21" s="3739">
        <v>63</v>
      </c>
      <c r="O21" s="3740">
        <v>142</v>
      </c>
      <c r="P21" s="3739">
        <v>86</v>
      </c>
      <c r="Q21" s="3740">
        <v>198</v>
      </c>
      <c r="R21" s="3739">
        <v>80</v>
      </c>
      <c r="S21" s="3740">
        <v>212</v>
      </c>
      <c r="T21" s="3739">
        <v>79</v>
      </c>
      <c r="U21" s="3740">
        <v>216</v>
      </c>
      <c r="V21" s="3739">
        <v>98</v>
      </c>
      <c r="W21" s="3740">
        <v>253</v>
      </c>
      <c r="X21" s="3739">
        <v>73</v>
      </c>
      <c r="Y21" s="3740">
        <v>259</v>
      </c>
      <c r="Z21" s="3739">
        <v>67</v>
      </c>
      <c r="AA21" s="3740">
        <v>241</v>
      </c>
      <c r="AB21" s="3739">
        <v>81</v>
      </c>
      <c r="AC21" s="3740">
        <v>248</v>
      </c>
      <c r="AD21" s="3739">
        <v>94</v>
      </c>
      <c r="AE21" s="3740">
        <v>262</v>
      </c>
      <c r="AF21" s="3739">
        <v>87</v>
      </c>
      <c r="AG21" s="3740">
        <v>269</v>
      </c>
    </row>
    <row r="22" spans="1:33" ht="15" customHeight="1" x14ac:dyDescent="0.2">
      <c r="A22" s="5836"/>
      <c r="B22" s="5839"/>
      <c r="C22" s="3738" t="s">
        <v>583</v>
      </c>
      <c r="D22" s="3739">
        <v>6</v>
      </c>
      <c r="E22" s="3740">
        <v>5</v>
      </c>
      <c r="F22" s="3739">
        <v>24</v>
      </c>
      <c r="G22" s="3740">
        <v>30</v>
      </c>
      <c r="H22" s="3739">
        <v>30</v>
      </c>
      <c r="I22" s="3740">
        <v>54</v>
      </c>
      <c r="J22" s="3739">
        <v>28</v>
      </c>
      <c r="K22" s="3740">
        <v>75</v>
      </c>
      <c r="L22" s="3739">
        <v>62</v>
      </c>
      <c r="M22" s="3740">
        <v>124</v>
      </c>
      <c r="N22" s="3739">
        <v>75</v>
      </c>
      <c r="O22" s="3740">
        <v>185</v>
      </c>
      <c r="P22" s="3739">
        <v>47</v>
      </c>
      <c r="Q22" s="3740">
        <v>191</v>
      </c>
      <c r="R22" s="3739">
        <v>68</v>
      </c>
      <c r="S22" s="3740">
        <v>196</v>
      </c>
      <c r="T22" s="3739">
        <v>73</v>
      </c>
      <c r="U22" s="3740">
        <v>203</v>
      </c>
      <c r="V22" s="3739">
        <v>72</v>
      </c>
      <c r="W22" s="3740">
        <v>204</v>
      </c>
      <c r="X22" s="3739">
        <v>80</v>
      </c>
      <c r="Y22" s="3740">
        <v>239</v>
      </c>
      <c r="Z22" s="3739">
        <v>88</v>
      </c>
      <c r="AA22" s="3740">
        <v>273</v>
      </c>
      <c r="AB22" s="3739">
        <v>92</v>
      </c>
      <c r="AC22" s="3740">
        <v>288</v>
      </c>
      <c r="AD22" s="3739">
        <v>95</v>
      </c>
      <c r="AE22" s="3740">
        <v>308</v>
      </c>
      <c r="AF22" s="3739">
        <v>126</v>
      </c>
      <c r="AG22" s="3740">
        <v>352</v>
      </c>
    </row>
    <row r="23" spans="1:33" ht="15" customHeight="1" x14ac:dyDescent="0.2">
      <c r="A23" s="5836"/>
      <c r="B23" s="5839"/>
      <c r="C23" s="3738" t="s">
        <v>468</v>
      </c>
      <c r="D23" s="3739">
        <v>2</v>
      </c>
      <c r="E23" s="3740">
        <v>2</v>
      </c>
      <c r="F23" s="3739">
        <v>14</v>
      </c>
      <c r="G23" s="3740">
        <v>13</v>
      </c>
      <c r="H23" s="3739">
        <v>23</v>
      </c>
      <c r="I23" s="3740">
        <v>35</v>
      </c>
      <c r="J23" s="3739">
        <v>12</v>
      </c>
      <c r="K23" s="3740">
        <v>44</v>
      </c>
      <c r="L23" s="3739">
        <v>19</v>
      </c>
      <c r="M23" s="3740">
        <v>44</v>
      </c>
      <c r="N23" s="3739">
        <v>46</v>
      </c>
      <c r="O23" s="3740">
        <v>75</v>
      </c>
      <c r="P23" s="3739">
        <v>27</v>
      </c>
      <c r="Q23" s="3740">
        <v>98</v>
      </c>
      <c r="R23" s="3739">
        <v>36</v>
      </c>
      <c r="S23" s="3740">
        <v>105</v>
      </c>
      <c r="T23" s="3739">
        <v>51</v>
      </c>
      <c r="U23" s="3740">
        <v>120</v>
      </c>
      <c r="V23" s="3739">
        <v>43</v>
      </c>
      <c r="W23" s="3740">
        <v>128</v>
      </c>
      <c r="X23" s="3739">
        <v>52</v>
      </c>
      <c r="Y23" s="3740">
        <v>137</v>
      </c>
      <c r="Z23" s="3739">
        <v>55</v>
      </c>
      <c r="AA23" s="3740">
        <v>152</v>
      </c>
      <c r="AB23" s="3739">
        <v>44</v>
      </c>
      <c r="AC23" s="3740">
        <v>161</v>
      </c>
      <c r="AD23" s="3739">
        <v>55</v>
      </c>
      <c r="AE23" s="3740">
        <v>166</v>
      </c>
      <c r="AF23" s="3739">
        <v>62</v>
      </c>
      <c r="AG23" s="3740">
        <v>187</v>
      </c>
    </row>
    <row r="24" spans="1:33" ht="15" customHeight="1" x14ac:dyDescent="0.2">
      <c r="A24" s="5836"/>
      <c r="B24" s="5839"/>
      <c r="C24" s="3747" t="s">
        <v>160</v>
      </c>
      <c r="D24" s="3748">
        <f>SUM(D21:D23)</f>
        <v>10</v>
      </c>
      <c r="E24" s="3749">
        <f t="shared" ref="E24:AA24" si="4">SUM(E21:E23)</f>
        <v>9</v>
      </c>
      <c r="F24" s="3748">
        <f t="shared" si="4"/>
        <v>66</v>
      </c>
      <c r="G24" s="3749">
        <f t="shared" si="4"/>
        <v>73</v>
      </c>
      <c r="H24" s="3748">
        <f t="shared" si="4"/>
        <v>77</v>
      </c>
      <c r="I24" s="3749">
        <f t="shared" si="4"/>
        <v>137</v>
      </c>
      <c r="J24" s="3748">
        <f t="shared" si="4"/>
        <v>82</v>
      </c>
      <c r="K24" s="3749">
        <f t="shared" si="4"/>
        <v>198</v>
      </c>
      <c r="L24" s="3748">
        <f t="shared" si="4"/>
        <v>122</v>
      </c>
      <c r="M24" s="3749">
        <f t="shared" si="4"/>
        <v>268</v>
      </c>
      <c r="N24" s="3748">
        <f t="shared" si="4"/>
        <v>184</v>
      </c>
      <c r="O24" s="3749">
        <f t="shared" si="4"/>
        <v>402</v>
      </c>
      <c r="P24" s="3748">
        <f t="shared" si="4"/>
        <v>160</v>
      </c>
      <c r="Q24" s="3749">
        <f t="shared" si="4"/>
        <v>487</v>
      </c>
      <c r="R24" s="3748">
        <f t="shared" si="4"/>
        <v>184</v>
      </c>
      <c r="S24" s="3749">
        <f t="shared" si="4"/>
        <v>513</v>
      </c>
      <c r="T24" s="3748">
        <f t="shared" si="4"/>
        <v>203</v>
      </c>
      <c r="U24" s="3749">
        <f t="shared" si="4"/>
        <v>539</v>
      </c>
      <c r="V24" s="3748">
        <f t="shared" si="4"/>
        <v>213</v>
      </c>
      <c r="W24" s="3749">
        <f t="shared" si="4"/>
        <v>585</v>
      </c>
      <c r="X24" s="3748">
        <f t="shared" si="4"/>
        <v>205</v>
      </c>
      <c r="Y24" s="3749">
        <f t="shared" si="4"/>
        <v>635</v>
      </c>
      <c r="Z24" s="3748">
        <f t="shared" si="4"/>
        <v>210</v>
      </c>
      <c r="AA24" s="3749">
        <f t="shared" si="4"/>
        <v>666</v>
      </c>
      <c r="AB24" s="3748">
        <f t="shared" ref="AB24:AG24" si="5">SUM(AB21:AB23)</f>
        <v>217</v>
      </c>
      <c r="AC24" s="3749">
        <f t="shared" si="5"/>
        <v>697</v>
      </c>
      <c r="AD24" s="3748">
        <f t="shared" si="5"/>
        <v>244</v>
      </c>
      <c r="AE24" s="3749">
        <f t="shared" si="5"/>
        <v>736</v>
      </c>
      <c r="AF24" s="3748">
        <f t="shared" si="5"/>
        <v>275</v>
      </c>
      <c r="AG24" s="3749">
        <f t="shared" si="5"/>
        <v>808</v>
      </c>
    </row>
    <row r="25" spans="1:33" ht="15" customHeight="1" x14ac:dyDescent="0.2">
      <c r="A25" s="5837"/>
      <c r="B25" s="3776"/>
      <c r="C25" s="3777" t="s">
        <v>450</v>
      </c>
      <c r="D25" s="3778">
        <f>SUM(D24,D20,D15)</f>
        <v>53</v>
      </c>
      <c r="E25" s="3779">
        <f t="shared" ref="E25:AA25" si="6">SUM(E24,E20,E15)</f>
        <v>51</v>
      </c>
      <c r="F25" s="3778">
        <f t="shared" si="6"/>
        <v>268</v>
      </c>
      <c r="G25" s="3779">
        <f t="shared" si="6"/>
        <v>299</v>
      </c>
      <c r="H25" s="3778">
        <f t="shared" si="6"/>
        <v>317</v>
      </c>
      <c r="I25" s="3779">
        <f t="shared" si="6"/>
        <v>558</v>
      </c>
      <c r="J25" s="3778">
        <f t="shared" si="6"/>
        <v>386</v>
      </c>
      <c r="K25" s="3779">
        <f t="shared" si="6"/>
        <v>811</v>
      </c>
      <c r="L25" s="3778">
        <f t="shared" si="6"/>
        <v>490</v>
      </c>
      <c r="M25" s="3779">
        <f t="shared" si="6"/>
        <v>1092</v>
      </c>
      <c r="N25" s="3778">
        <f t="shared" si="6"/>
        <v>849</v>
      </c>
      <c r="O25" s="3779">
        <f t="shared" si="6"/>
        <v>1645</v>
      </c>
      <c r="P25" s="3778">
        <f t="shared" si="6"/>
        <v>979</v>
      </c>
      <c r="Q25" s="3779">
        <f t="shared" si="6"/>
        <v>2231</v>
      </c>
      <c r="R25" s="3778">
        <f t="shared" si="6"/>
        <v>748</v>
      </c>
      <c r="S25" s="3779">
        <f t="shared" si="6"/>
        <v>2234</v>
      </c>
      <c r="T25" s="3778">
        <f t="shared" si="6"/>
        <v>1100</v>
      </c>
      <c r="U25" s="3779">
        <f t="shared" si="6"/>
        <v>2381</v>
      </c>
      <c r="V25" s="3778">
        <f t="shared" si="6"/>
        <v>1345</v>
      </c>
      <c r="W25" s="3779">
        <f t="shared" si="6"/>
        <v>2915</v>
      </c>
      <c r="X25" s="3778">
        <f t="shared" si="6"/>
        <v>1353</v>
      </c>
      <c r="Y25" s="3779">
        <f t="shared" si="6"/>
        <v>3523</v>
      </c>
      <c r="Z25" s="3778">
        <f t="shared" si="6"/>
        <v>1166</v>
      </c>
      <c r="AA25" s="3779">
        <f t="shared" si="6"/>
        <v>3788</v>
      </c>
      <c r="AB25" s="3778">
        <f>SUM(AB24,AB20,AB15)</f>
        <v>1200</v>
      </c>
      <c r="AC25" s="3779">
        <f>SUM(AC24,AC20,AC15)</f>
        <v>3742</v>
      </c>
      <c r="AD25" s="3778">
        <f>SUM(AD15,AD20,AD24)</f>
        <v>1352</v>
      </c>
      <c r="AE25" s="3779">
        <f>SUM(AE24,AE20,AE15)</f>
        <v>3964</v>
      </c>
      <c r="AF25" s="3778">
        <f>SUM(AF15,AF20,AF24)</f>
        <v>1220</v>
      </c>
      <c r="AG25" s="3779">
        <f>SUM(AG24,AG20,AG15)</f>
        <v>3994</v>
      </c>
    </row>
    <row r="26" spans="1:33" ht="15" customHeight="1" x14ac:dyDescent="0.2">
      <c r="A26" s="5831" t="s">
        <v>432</v>
      </c>
      <c r="B26" s="5862" t="s">
        <v>357</v>
      </c>
      <c r="C26" s="3753" t="s">
        <v>475</v>
      </c>
      <c r="D26" s="3754">
        <v>6</v>
      </c>
      <c r="E26" s="3755">
        <v>6</v>
      </c>
      <c r="F26" s="3754">
        <v>16</v>
      </c>
      <c r="G26" s="3755">
        <v>21</v>
      </c>
      <c r="H26" s="3754">
        <v>24</v>
      </c>
      <c r="I26" s="3755">
        <v>39</v>
      </c>
      <c r="J26" s="3754">
        <v>27</v>
      </c>
      <c r="K26" s="3755">
        <v>52</v>
      </c>
      <c r="L26" s="3754">
        <v>33</v>
      </c>
      <c r="M26" s="3755">
        <v>68</v>
      </c>
      <c r="N26" s="3754">
        <v>55</v>
      </c>
      <c r="O26" s="3755">
        <v>92</v>
      </c>
      <c r="P26" s="3754">
        <v>43</v>
      </c>
      <c r="Q26" s="3755">
        <v>103</v>
      </c>
      <c r="R26" s="3754">
        <v>37</v>
      </c>
      <c r="S26" s="3755">
        <v>85</v>
      </c>
      <c r="T26" s="3754">
        <v>35</v>
      </c>
      <c r="U26" s="3755">
        <v>80</v>
      </c>
      <c r="V26" s="3754">
        <v>53</v>
      </c>
      <c r="W26" s="3755">
        <v>96</v>
      </c>
      <c r="X26" s="3754">
        <v>74</v>
      </c>
      <c r="Y26" s="3755">
        <v>139</v>
      </c>
      <c r="Z26" s="3754">
        <v>49</v>
      </c>
      <c r="AA26" s="3755">
        <v>125</v>
      </c>
      <c r="AB26" s="3754">
        <v>55</v>
      </c>
      <c r="AC26" s="3755">
        <v>111</v>
      </c>
      <c r="AD26" s="3754">
        <v>45</v>
      </c>
      <c r="AE26" s="3755">
        <v>123</v>
      </c>
      <c r="AF26" s="3754">
        <v>30</v>
      </c>
      <c r="AG26" s="3755">
        <v>104</v>
      </c>
    </row>
    <row r="27" spans="1:33" ht="15" customHeight="1" x14ac:dyDescent="0.2">
      <c r="A27" s="5832"/>
      <c r="B27" s="5862"/>
      <c r="C27" s="3738" t="s">
        <v>472</v>
      </c>
      <c r="D27" s="3739">
        <v>0</v>
      </c>
      <c r="E27" s="3740">
        <v>0</v>
      </c>
      <c r="F27" s="3739">
        <v>4</v>
      </c>
      <c r="G27" s="3740">
        <v>3</v>
      </c>
      <c r="H27" s="3739">
        <v>7</v>
      </c>
      <c r="I27" s="3740">
        <v>11</v>
      </c>
      <c r="J27" s="3739">
        <v>4</v>
      </c>
      <c r="K27" s="3740">
        <v>11</v>
      </c>
      <c r="L27" s="3739">
        <v>10</v>
      </c>
      <c r="M27" s="3740">
        <v>18</v>
      </c>
      <c r="N27" s="3739">
        <v>12</v>
      </c>
      <c r="O27" s="3740">
        <v>25</v>
      </c>
      <c r="P27" s="3739">
        <v>13</v>
      </c>
      <c r="Q27" s="3740">
        <v>26</v>
      </c>
      <c r="R27" s="3739">
        <v>15</v>
      </c>
      <c r="S27" s="3740">
        <v>28</v>
      </c>
      <c r="T27" s="3739">
        <v>11</v>
      </c>
      <c r="U27" s="3740">
        <v>25</v>
      </c>
      <c r="V27" s="3739">
        <v>35</v>
      </c>
      <c r="W27" s="3740">
        <v>46</v>
      </c>
      <c r="X27" s="3739">
        <v>37</v>
      </c>
      <c r="Y27" s="3740">
        <v>67</v>
      </c>
      <c r="Z27" s="3739">
        <v>42</v>
      </c>
      <c r="AA27" s="3740">
        <v>78</v>
      </c>
      <c r="AB27" s="3739">
        <v>42</v>
      </c>
      <c r="AC27" s="3740">
        <v>92</v>
      </c>
      <c r="AD27" s="3739">
        <v>38</v>
      </c>
      <c r="AE27" s="3740">
        <v>99</v>
      </c>
      <c r="AF27" s="3739">
        <v>32</v>
      </c>
      <c r="AG27" s="3740">
        <v>98</v>
      </c>
    </row>
    <row r="28" spans="1:33" ht="15" customHeight="1" x14ac:dyDescent="0.2">
      <c r="A28" s="5832"/>
      <c r="B28" s="5862"/>
      <c r="C28" s="3738" t="s">
        <v>469</v>
      </c>
      <c r="D28" s="3739">
        <v>1</v>
      </c>
      <c r="E28" s="3740">
        <v>1</v>
      </c>
      <c r="F28" s="3739">
        <v>10</v>
      </c>
      <c r="G28" s="3740">
        <v>10</v>
      </c>
      <c r="H28" s="3739">
        <v>15</v>
      </c>
      <c r="I28" s="3740">
        <v>22</v>
      </c>
      <c r="J28" s="3739">
        <v>14</v>
      </c>
      <c r="K28" s="3740">
        <v>31</v>
      </c>
      <c r="L28" s="3739">
        <v>18</v>
      </c>
      <c r="M28" s="3740">
        <v>35</v>
      </c>
      <c r="N28" s="3739">
        <v>41</v>
      </c>
      <c r="O28" s="3740">
        <v>56</v>
      </c>
      <c r="P28" s="3739">
        <v>25</v>
      </c>
      <c r="Q28" s="3740">
        <v>67</v>
      </c>
      <c r="R28" s="3739">
        <v>19</v>
      </c>
      <c r="S28" s="3740">
        <v>58</v>
      </c>
      <c r="T28" s="3739">
        <v>25</v>
      </c>
      <c r="U28" s="3740">
        <v>50</v>
      </c>
      <c r="V28" s="3739">
        <v>36</v>
      </c>
      <c r="W28" s="3740">
        <v>67</v>
      </c>
      <c r="X28" s="3739">
        <v>37</v>
      </c>
      <c r="Y28" s="3740">
        <v>85</v>
      </c>
      <c r="Z28" s="3739">
        <v>34</v>
      </c>
      <c r="AA28" s="3740">
        <v>78</v>
      </c>
      <c r="AB28" s="3739">
        <v>50</v>
      </c>
      <c r="AC28" s="3740">
        <v>105</v>
      </c>
      <c r="AD28" s="3739">
        <v>54</v>
      </c>
      <c r="AE28" s="3740">
        <v>119</v>
      </c>
      <c r="AF28" s="3739">
        <v>47</v>
      </c>
      <c r="AG28" s="3740">
        <v>136</v>
      </c>
    </row>
    <row r="29" spans="1:33" ht="15" customHeight="1" x14ac:dyDescent="0.2">
      <c r="A29" s="5832"/>
      <c r="B29" s="5862"/>
      <c r="C29" s="3738" t="s">
        <v>460</v>
      </c>
      <c r="D29" s="3739">
        <v>2</v>
      </c>
      <c r="E29" s="3740">
        <v>2</v>
      </c>
      <c r="F29" s="3739">
        <v>17</v>
      </c>
      <c r="G29" s="3740">
        <v>19</v>
      </c>
      <c r="H29" s="3739">
        <v>16</v>
      </c>
      <c r="I29" s="3740">
        <v>34</v>
      </c>
      <c r="J29" s="3739">
        <v>22</v>
      </c>
      <c r="K29" s="3740">
        <v>44</v>
      </c>
      <c r="L29" s="3739">
        <v>28</v>
      </c>
      <c r="M29" s="3740">
        <v>57</v>
      </c>
      <c r="N29" s="3739">
        <v>48</v>
      </c>
      <c r="O29" s="3740">
        <v>80</v>
      </c>
      <c r="P29" s="3739">
        <v>43</v>
      </c>
      <c r="Q29" s="3740">
        <v>95</v>
      </c>
      <c r="R29" s="3739">
        <v>23</v>
      </c>
      <c r="S29" s="3740">
        <v>79</v>
      </c>
      <c r="T29" s="3739">
        <v>18</v>
      </c>
      <c r="U29" s="3740">
        <v>62</v>
      </c>
      <c r="V29" s="3739">
        <v>37</v>
      </c>
      <c r="W29" s="3740">
        <v>66</v>
      </c>
      <c r="X29" s="3739">
        <v>45</v>
      </c>
      <c r="Y29" s="3740">
        <v>83</v>
      </c>
      <c r="Z29" s="3739">
        <v>23</v>
      </c>
      <c r="AA29" s="3740">
        <v>67</v>
      </c>
      <c r="AB29" s="3739">
        <v>51</v>
      </c>
      <c r="AC29" s="3740">
        <v>99</v>
      </c>
      <c r="AD29" s="3739">
        <v>53</v>
      </c>
      <c r="AE29" s="3740">
        <v>119</v>
      </c>
      <c r="AF29" s="3739">
        <v>29</v>
      </c>
      <c r="AG29" s="3740">
        <v>104</v>
      </c>
    </row>
    <row r="30" spans="1:33" ht="15" customHeight="1" x14ac:dyDescent="0.2">
      <c r="A30" s="5832"/>
      <c r="B30" s="5862"/>
      <c r="C30" s="3738" t="s">
        <v>471</v>
      </c>
      <c r="D30" s="3739">
        <v>1</v>
      </c>
      <c r="E30" s="3740">
        <v>1</v>
      </c>
      <c r="F30" s="3739">
        <v>5</v>
      </c>
      <c r="G30" s="3740">
        <v>5</v>
      </c>
      <c r="H30" s="3739">
        <v>4</v>
      </c>
      <c r="I30" s="3740">
        <v>8</v>
      </c>
      <c r="J30" s="3739">
        <v>9</v>
      </c>
      <c r="K30" s="3740">
        <v>14</v>
      </c>
      <c r="L30" s="3739">
        <v>14</v>
      </c>
      <c r="M30" s="3740">
        <v>23</v>
      </c>
      <c r="N30" s="3739">
        <v>19</v>
      </c>
      <c r="O30" s="3740">
        <v>33</v>
      </c>
      <c r="P30" s="3739">
        <v>15</v>
      </c>
      <c r="Q30" s="3740">
        <v>35</v>
      </c>
      <c r="R30" s="3739">
        <v>19</v>
      </c>
      <c r="S30" s="3740">
        <v>34</v>
      </c>
      <c r="T30" s="3739">
        <v>14</v>
      </c>
      <c r="U30" s="3740">
        <v>36</v>
      </c>
      <c r="V30" s="3739">
        <v>46</v>
      </c>
      <c r="W30" s="3740">
        <v>60</v>
      </c>
      <c r="X30" s="3739">
        <v>54</v>
      </c>
      <c r="Y30" s="3740">
        <v>94</v>
      </c>
      <c r="Z30" s="3739">
        <v>43</v>
      </c>
      <c r="AA30" s="3740">
        <v>96</v>
      </c>
      <c r="AB30" s="3739">
        <v>58</v>
      </c>
      <c r="AC30" s="3740">
        <v>126</v>
      </c>
      <c r="AD30" s="3739">
        <v>56</v>
      </c>
      <c r="AE30" s="3740">
        <v>141</v>
      </c>
      <c r="AF30" s="3739">
        <v>25</v>
      </c>
      <c r="AG30" s="3740">
        <v>113</v>
      </c>
    </row>
    <row r="31" spans="1:33" ht="15" customHeight="1" x14ac:dyDescent="0.2">
      <c r="A31" s="5832"/>
      <c r="B31" s="5862"/>
      <c r="C31" s="3738" t="s">
        <v>470</v>
      </c>
      <c r="D31" s="3739">
        <v>0</v>
      </c>
      <c r="E31" s="3740">
        <v>0</v>
      </c>
      <c r="F31" s="3739">
        <v>1</v>
      </c>
      <c r="G31" s="3740">
        <v>1</v>
      </c>
      <c r="H31" s="3739">
        <v>4</v>
      </c>
      <c r="I31" s="3740">
        <v>4</v>
      </c>
      <c r="J31" s="3739">
        <v>5</v>
      </c>
      <c r="K31" s="3740">
        <v>8</v>
      </c>
      <c r="L31" s="3739">
        <v>5</v>
      </c>
      <c r="M31" s="3740">
        <v>10</v>
      </c>
      <c r="N31" s="3739">
        <v>4</v>
      </c>
      <c r="O31" s="3740">
        <v>11</v>
      </c>
      <c r="P31" s="3739">
        <v>8</v>
      </c>
      <c r="Q31" s="3740">
        <v>11</v>
      </c>
      <c r="R31" s="3739">
        <v>4</v>
      </c>
      <c r="S31" s="3740">
        <v>12</v>
      </c>
      <c r="T31" s="3739">
        <v>2</v>
      </c>
      <c r="U31" s="3740">
        <v>8</v>
      </c>
      <c r="V31" s="3739">
        <v>9</v>
      </c>
      <c r="W31" s="3740">
        <v>12</v>
      </c>
      <c r="X31" s="3739">
        <v>13</v>
      </c>
      <c r="Y31" s="3740">
        <v>20</v>
      </c>
      <c r="Z31" s="3739">
        <v>8</v>
      </c>
      <c r="AA31" s="3740">
        <v>20</v>
      </c>
      <c r="AB31" s="3739">
        <v>21</v>
      </c>
      <c r="AC31" s="3740">
        <v>29</v>
      </c>
      <c r="AD31" s="3739">
        <v>18</v>
      </c>
      <c r="AE31" s="3740">
        <v>42</v>
      </c>
      <c r="AF31" s="3739">
        <v>10</v>
      </c>
      <c r="AG31" s="3740">
        <v>36</v>
      </c>
    </row>
    <row r="32" spans="1:33" ht="15" customHeight="1" x14ac:dyDescent="0.2">
      <c r="A32" s="5832"/>
      <c r="B32" s="5862"/>
      <c r="C32" s="3738" t="s">
        <v>459</v>
      </c>
      <c r="D32" s="3739">
        <v>6</v>
      </c>
      <c r="E32" s="3740">
        <v>6</v>
      </c>
      <c r="F32" s="3739">
        <v>5</v>
      </c>
      <c r="G32" s="3740">
        <v>11</v>
      </c>
      <c r="H32" s="3739">
        <v>7</v>
      </c>
      <c r="I32" s="3740">
        <v>16</v>
      </c>
      <c r="J32" s="3739">
        <v>8</v>
      </c>
      <c r="K32" s="3740">
        <v>19</v>
      </c>
      <c r="L32" s="3739">
        <v>17</v>
      </c>
      <c r="M32" s="3740">
        <v>31</v>
      </c>
      <c r="N32" s="3739">
        <v>31</v>
      </c>
      <c r="O32" s="3740">
        <v>50</v>
      </c>
      <c r="P32" s="3739">
        <v>17</v>
      </c>
      <c r="Q32" s="3740">
        <v>54</v>
      </c>
      <c r="R32" s="3739">
        <v>18</v>
      </c>
      <c r="S32" s="3740">
        <v>49</v>
      </c>
      <c r="T32" s="3739">
        <v>22</v>
      </c>
      <c r="U32" s="3740">
        <v>48</v>
      </c>
      <c r="V32" s="3739">
        <v>51</v>
      </c>
      <c r="W32" s="3740">
        <v>79</v>
      </c>
      <c r="X32" s="3739">
        <v>58</v>
      </c>
      <c r="Y32" s="3740">
        <v>119</v>
      </c>
      <c r="Z32" s="3739">
        <v>42</v>
      </c>
      <c r="AA32" s="3740">
        <v>113</v>
      </c>
      <c r="AB32" s="3739">
        <v>62</v>
      </c>
      <c r="AC32" s="3740">
        <v>135</v>
      </c>
      <c r="AD32" s="3739">
        <v>58</v>
      </c>
      <c r="AE32" s="3740">
        <v>146</v>
      </c>
      <c r="AF32" s="3739">
        <v>33</v>
      </c>
      <c r="AG32" s="3740">
        <v>142</v>
      </c>
    </row>
    <row r="33" spans="1:33" ht="15" customHeight="1" x14ac:dyDescent="0.2">
      <c r="A33" s="5832"/>
      <c r="B33" s="5862"/>
      <c r="C33" s="3738" t="s">
        <v>473</v>
      </c>
      <c r="D33" s="3739">
        <v>2</v>
      </c>
      <c r="E33" s="3740">
        <v>2</v>
      </c>
      <c r="F33" s="3739">
        <v>9</v>
      </c>
      <c r="G33" s="3740">
        <v>9</v>
      </c>
      <c r="H33" s="3739">
        <v>8</v>
      </c>
      <c r="I33" s="3740">
        <v>15</v>
      </c>
      <c r="J33" s="3739">
        <v>17</v>
      </c>
      <c r="K33" s="3740">
        <v>26</v>
      </c>
      <c r="L33" s="3739">
        <v>16</v>
      </c>
      <c r="M33" s="3740">
        <v>34</v>
      </c>
      <c r="N33" s="3739">
        <v>35</v>
      </c>
      <c r="O33" s="3740">
        <v>53</v>
      </c>
      <c r="P33" s="3739">
        <v>21</v>
      </c>
      <c r="Q33" s="3740">
        <v>57</v>
      </c>
      <c r="R33" s="3739">
        <v>33</v>
      </c>
      <c r="S33" s="3740">
        <v>57</v>
      </c>
      <c r="T33" s="3739">
        <v>21</v>
      </c>
      <c r="U33" s="3740">
        <v>51</v>
      </c>
      <c r="V33" s="3739">
        <v>35</v>
      </c>
      <c r="W33" s="3740">
        <v>57</v>
      </c>
      <c r="X33" s="3739">
        <v>21</v>
      </c>
      <c r="Y33" s="3740">
        <v>51</v>
      </c>
      <c r="Z33" s="3739">
        <v>16</v>
      </c>
      <c r="AA33" s="3740">
        <v>40</v>
      </c>
      <c r="AB33" s="3739">
        <v>33</v>
      </c>
      <c r="AC33" s="3740">
        <v>55</v>
      </c>
      <c r="AD33" s="3739">
        <v>37</v>
      </c>
      <c r="AE33" s="3740">
        <v>76</v>
      </c>
      <c r="AF33" s="3739">
        <v>38</v>
      </c>
      <c r="AG33" s="3740">
        <v>91</v>
      </c>
    </row>
    <row r="34" spans="1:33" ht="15" customHeight="1" x14ac:dyDescent="0.2">
      <c r="A34" s="5832"/>
      <c r="B34" s="5862"/>
      <c r="C34" s="3738" t="s">
        <v>474</v>
      </c>
      <c r="D34" s="3739">
        <v>0</v>
      </c>
      <c r="E34" s="3740">
        <v>0</v>
      </c>
      <c r="F34" s="3739">
        <v>3</v>
      </c>
      <c r="G34" s="3740">
        <v>2</v>
      </c>
      <c r="H34" s="3739">
        <v>4</v>
      </c>
      <c r="I34" s="3740">
        <v>4</v>
      </c>
      <c r="J34" s="3739">
        <v>2</v>
      </c>
      <c r="K34" s="3740">
        <v>6</v>
      </c>
      <c r="L34" s="3739">
        <v>3</v>
      </c>
      <c r="M34" s="3740">
        <v>6</v>
      </c>
      <c r="N34" s="3739">
        <v>9</v>
      </c>
      <c r="O34" s="3740">
        <v>12</v>
      </c>
      <c r="P34" s="3739">
        <v>12</v>
      </c>
      <c r="Q34" s="3740">
        <v>22</v>
      </c>
      <c r="R34" s="3739">
        <v>12</v>
      </c>
      <c r="S34" s="3740">
        <v>26</v>
      </c>
      <c r="T34" s="3739">
        <v>16</v>
      </c>
      <c r="U34" s="3740">
        <v>29</v>
      </c>
      <c r="V34" s="3739">
        <v>19</v>
      </c>
      <c r="W34" s="3740">
        <v>37</v>
      </c>
      <c r="X34" s="3739">
        <v>27</v>
      </c>
      <c r="Y34" s="3740">
        <v>48</v>
      </c>
      <c r="Z34" s="3739">
        <v>27</v>
      </c>
      <c r="AA34" s="3740">
        <v>52</v>
      </c>
      <c r="AB34" s="3739">
        <v>42</v>
      </c>
      <c r="AC34" s="3740">
        <v>80</v>
      </c>
      <c r="AD34" s="3739">
        <v>32</v>
      </c>
      <c r="AE34" s="3740">
        <v>91</v>
      </c>
      <c r="AF34" s="3739">
        <v>20</v>
      </c>
      <c r="AG34" s="3740">
        <v>70</v>
      </c>
    </row>
    <row r="35" spans="1:33" ht="15" customHeight="1" x14ac:dyDescent="0.2">
      <c r="A35" s="5832"/>
      <c r="B35" s="5863"/>
      <c r="C35" s="3744" t="s">
        <v>160</v>
      </c>
      <c r="D35" s="3745">
        <f>SUM(D26:D34)</f>
        <v>18</v>
      </c>
      <c r="E35" s="3746">
        <f t="shared" ref="E35:AA35" si="7">SUM(E26:E34)</f>
        <v>18</v>
      </c>
      <c r="F35" s="3745">
        <f t="shared" si="7"/>
        <v>70</v>
      </c>
      <c r="G35" s="3746">
        <f t="shared" si="7"/>
        <v>81</v>
      </c>
      <c r="H35" s="3745">
        <f t="shared" si="7"/>
        <v>89</v>
      </c>
      <c r="I35" s="3746">
        <f t="shared" si="7"/>
        <v>153</v>
      </c>
      <c r="J35" s="3745">
        <f t="shared" si="7"/>
        <v>108</v>
      </c>
      <c r="K35" s="3746">
        <f t="shared" si="7"/>
        <v>211</v>
      </c>
      <c r="L35" s="3745">
        <f t="shared" si="7"/>
        <v>144</v>
      </c>
      <c r="M35" s="3746">
        <f t="shared" si="7"/>
        <v>282</v>
      </c>
      <c r="N35" s="3745">
        <f t="shared" si="7"/>
        <v>254</v>
      </c>
      <c r="O35" s="3746">
        <f t="shared" si="7"/>
        <v>412</v>
      </c>
      <c r="P35" s="3745">
        <f t="shared" si="7"/>
        <v>197</v>
      </c>
      <c r="Q35" s="3746">
        <f t="shared" si="7"/>
        <v>470</v>
      </c>
      <c r="R35" s="3745">
        <f t="shared" si="7"/>
        <v>180</v>
      </c>
      <c r="S35" s="3746">
        <f t="shared" si="7"/>
        <v>428</v>
      </c>
      <c r="T35" s="3745">
        <f t="shared" si="7"/>
        <v>164</v>
      </c>
      <c r="U35" s="3746">
        <f t="shared" si="7"/>
        <v>389</v>
      </c>
      <c r="V35" s="3745">
        <f t="shared" si="7"/>
        <v>321</v>
      </c>
      <c r="W35" s="3746">
        <f t="shared" si="7"/>
        <v>520</v>
      </c>
      <c r="X35" s="3745">
        <f t="shared" si="7"/>
        <v>366</v>
      </c>
      <c r="Y35" s="3746">
        <f t="shared" si="7"/>
        <v>706</v>
      </c>
      <c r="Z35" s="3745">
        <f t="shared" si="7"/>
        <v>284</v>
      </c>
      <c r="AA35" s="3746">
        <f t="shared" si="7"/>
        <v>669</v>
      </c>
      <c r="AB35" s="3745">
        <f t="shared" ref="AB35:AG35" si="8">SUM(AB26:AB34)</f>
        <v>414</v>
      </c>
      <c r="AC35" s="3746">
        <f t="shared" si="8"/>
        <v>832</v>
      </c>
      <c r="AD35" s="3745">
        <f t="shared" si="8"/>
        <v>391</v>
      </c>
      <c r="AE35" s="3746">
        <f t="shared" si="8"/>
        <v>956</v>
      </c>
      <c r="AF35" s="3745">
        <f t="shared" si="8"/>
        <v>264</v>
      </c>
      <c r="AG35" s="3746">
        <f t="shared" si="8"/>
        <v>894</v>
      </c>
    </row>
    <row r="36" spans="1:33" ht="15" customHeight="1" x14ac:dyDescent="0.2">
      <c r="A36" s="5832"/>
      <c r="B36" s="5864" t="s">
        <v>433</v>
      </c>
      <c r="C36" s="3738" t="s">
        <v>462</v>
      </c>
      <c r="D36" s="3739">
        <v>6</v>
      </c>
      <c r="E36" s="3740">
        <v>6</v>
      </c>
      <c r="F36" s="3739">
        <v>23</v>
      </c>
      <c r="G36" s="3740">
        <v>28</v>
      </c>
      <c r="H36" s="3739">
        <v>33</v>
      </c>
      <c r="I36" s="3740">
        <v>56</v>
      </c>
      <c r="J36" s="3739">
        <v>26</v>
      </c>
      <c r="K36" s="3740">
        <v>72</v>
      </c>
      <c r="L36" s="3739">
        <v>23</v>
      </c>
      <c r="M36" s="3740">
        <v>86</v>
      </c>
      <c r="N36" s="3739">
        <v>115</v>
      </c>
      <c r="O36" s="3740">
        <v>171</v>
      </c>
      <c r="P36" s="3739">
        <v>63</v>
      </c>
      <c r="Q36" s="3740">
        <v>201</v>
      </c>
      <c r="R36" s="3739">
        <v>77</v>
      </c>
      <c r="S36" s="3740">
        <v>205</v>
      </c>
      <c r="T36" s="3739">
        <v>134</v>
      </c>
      <c r="U36" s="3740">
        <v>267</v>
      </c>
      <c r="V36" s="3739">
        <v>188</v>
      </c>
      <c r="W36" s="3740">
        <v>398</v>
      </c>
      <c r="X36" s="3739">
        <v>146</v>
      </c>
      <c r="Y36" s="3740">
        <v>458</v>
      </c>
      <c r="Z36" s="3739">
        <v>122</v>
      </c>
      <c r="AA36" s="3740">
        <v>476</v>
      </c>
      <c r="AB36" s="3739">
        <v>111</v>
      </c>
      <c r="AC36" s="3740">
        <v>443</v>
      </c>
      <c r="AD36" s="3739">
        <v>133</v>
      </c>
      <c r="AE36" s="3740">
        <v>456</v>
      </c>
      <c r="AF36" s="3739">
        <v>121</v>
      </c>
      <c r="AG36" s="3740">
        <v>463</v>
      </c>
    </row>
    <row r="37" spans="1:33" ht="15" customHeight="1" x14ac:dyDescent="0.2">
      <c r="A37" s="5832"/>
      <c r="B37" s="5862"/>
      <c r="C37" s="3738" t="s">
        <v>476</v>
      </c>
      <c r="D37" s="3739">
        <v>4</v>
      </c>
      <c r="E37" s="3740">
        <v>4</v>
      </c>
      <c r="F37" s="3739">
        <v>8</v>
      </c>
      <c r="G37" s="3740">
        <v>12</v>
      </c>
      <c r="H37" s="3739">
        <v>7</v>
      </c>
      <c r="I37" s="3740">
        <v>18</v>
      </c>
      <c r="J37" s="3739">
        <v>6</v>
      </c>
      <c r="K37" s="3740">
        <v>20</v>
      </c>
      <c r="L37" s="3739">
        <v>9</v>
      </c>
      <c r="M37" s="3740">
        <v>26</v>
      </c>
      <c r="N37" s="3739">
        <v>21</v>
      </c>
      <c r="O37" s="3740">
        <v>37</v>
      </c>
      <c r="P37" s="3739">
        <v>18</v>
      </c>
      <c r="Q37" s="3740">
        <v>44</v>
      </c>
      <c r="R37" s="3739">
        <v>25</v>
      </c>
      <c r="S37" s="3740">
        <v>58</v>
      </c>
      <c r="T37" s="3739">
        <v>31</v>
      </c>
      <c r="U37" s="3740">
        <v>79</v>
      </c>
      <c r="V37" s="3739">
        <v>39</v>
      </c>
      <c r="W37" s="3740">
        <v>98</v>
      </c>
      <c r="X37" s="3739">
        <v>21</v>
      </c>
      <c r="Y37" s="3740">
        <v>103</v>
      </c>
      <c r="Z37" s="3739">
        <v>14</v>
      </c>
      <c r="AA37" s="3740">
        <v>87</v>
      </c>
      <c r="AB37" s="3739">
        <v>24</v>
      </c>
      <c r="AC37" s="3740">
        <v>81</v>
      </c>
      <c r="AD37" s="3739">
        <v>32</v>
      </c>
      <c r="AE37" s="3740">
        <v>83</v>
      </c>
      <c r="AF37" s="3739">
        <v>22</v>
      </c>
      <c r="AG37" s="3740">
        <v>76</v>
      </c>
    </row>
    <row r="38" spans="1:33" ht="15" customHeight="1" x14ac:dyDescent="0.2">
      <c r="A38" s="5832"/>
      <c r="B38" s="5862"/>
      <c r="C38" s="3738" t="s">
        <v>481</v>
      </c>
      <c r="D38" s="3739">
        <v>6</v>
      </c>
      <c r="E38" s="3740">
        <v>6</v>
      </c>
      <c r="F38" s="3739">
        <v>10</v>
      </c>
      <c r="G38" s="3740">
        <v>15</v>
      </c>
      <c r="H38" s="3739">
        <v>12</v>
      </c>
      <c r="I38" s="3740">
        <v>25</v>
      </c>
      <c r="J38" s="3739">
        <v>9</v>
      </c>
      <c r="K38" s="3740">
        <v>31</v>
      </c>
      <c r="L38" s="3739">
        <v>19</v>
      </c>
      <c r="M38" s="3740">
        <v>42</v>
      </c>
      <c r="N38" s="3739">
        <v>32</v>
      </c>
      <c r="O38" s="3740">
        <v>60</v>
      </c>
      <c r="P38" s="3739">
        <v>31</v>
      </c>
      <c r="Q38" s="3740">
        <v>82</v>
      </c>
      <c r="R38" s="3739">
        <v>42</v>
      </c>
      <c r="S38" s="3740">
        <v>102</v>
      </c>
      <c r="T38" s="3739">
        <v>42</v>
      </c>
      <c r="U38" s="3740">
        <v>124</v>
      </c>
      <c r="V38" s="3739">
        <v>66</v>
      </c>
      <c r="W38" s="3740">
        <v>167</v>
      </c>
      <c r="X38" s="3739">
        <v>59</v>
      </c>
      <c r="Y38" s="3740">
        <v>173</v>
      </c>
      <c r="Z38" s="3739">
        <v>37</v>
      </c>
      <c r="AA38" s="3740">
        <v>166</v>
      </c>
      <c r="AB38" s="3739">
        <v>55</v>
      </c>
      <c r="AC38" s="3740">
        <v>170</v>
      </c>
      <c r="AD38" s="3739">
        <v>57</v>
      </c>
      <c r="AE38" s="3740">
        <v>178</v>
      </c>
      <c r="AF38" s="3739">
        <v>54</v>
      </c>
      <c r="AG38" s="3740">
        <v>179</v>
      </c>
    </row>
    <row r="39" spans="1:33" ht="15" customHeight="1" x14ac:dyDescent="0.2">
      <c r="A39" s="5832"/>
      <c r="B39" s="5862"/>
      <c r="C39" s="3738" t="s">
        <v>464</v>
      </c>
      <c r="D39" s="3739">
        <v>3</v>
      </c>
      <c r="E39" s="3740">
        <v>3</v>
      </c>
      <c r="F39" s="3739">
        <v>12</v>
      </c>
      <c r="G39" s="3740">
        <v>13</v>
      </c>
      <c r="H39" s="3739">
        <v>9</v>
      </c>
      <c r="I39" s="3740">
        <v>22</v>
      </c>
      <c r="J39" s="3739">
        <v>7</v>
      </c>
      <c r="K39" s="3740">
        <v>25</v>
      </c>
      <c r="L39" s="3739">
        <v>20</v>
      </c>
      <c r="M39" s="3740">
        <v>37</v>
      </c>
      <c r="N39" s="3739">
        <v>36</v>
      </c>
      <c r="O39" s="3740">
        <v>58</v>
      </c>
      <c r="P39" s="3739">
        <v>24</v>
      </c>
      <c r="Q39" s="3740">
        <v>66</v>
      </c>
      <c r="R39" s="3739">
        <v>33</v>
      </c>
      <c r="S39" s="3740">
        <v>80</v>
      </c>
      <c r="T39" s="3739">
        <v>47</v>
      </c>
      <c r="U39" s="3740">
        <v>101</v>
      </c>
      <c r="V39" s="3739">
        <v>51</v>
      </c>
      <c r="W39" s="3740">
        <v>125</v>
      </c>
      <c r="X39" s="3739">
        <v>49</v>
      </c>
      <c r="Y39" s="3740">
        <v>126</v>
      </c>
      <c r="Z39" s="3739">
        <v>48</v>
      </c>
      <c r="AA39" s="3740">
        <v>134</v>
      </c>
      <c r="AB39" s="3739">
        <v>48</v>
      </c>
      <c r="AC39" s="3740">
        <v>132</v>
      </c>
      <c r="AD39" s="3739">
        <v>50</v>
      </c>
      <c r="AE39" s="3740">
        <v>138</v>
      </c>
      <c r="AF39" s="3739">
        <v>54</v>
      </c>
      <c r="AG39" s="3740">
        <v>133</v>
      </c>
    </row>
    <row r="40" spans="1:33" ht="15" customHeight="1" x14ac:dyDescent="0.2">
      <c r="A40" s="5832"/>
      <c r="B40" s="5862"/>
      <c r="C40" s="3738" t="s">
        <v>478</v>
      </c>
      <c r="D40" s="3739">
        <v>2</v>
      </c>
      <c r="E40" s="3740">
        <v>2</v>
      </c>
      <c r="F40" s="3739">
        <v>10</v>
      </c>
      <c r="G40" s="3740">
        <v>11</v>
      </c>
      <c r="H40" s="3739">
        <v>4</v>
      </c>
      <c r="I40" s="3740">
        <v>15</v>
      </c>
      <c r="J40" s="3739">
        <v>7</v>
      </c>
      <c r="K40" s="3740">
        <v>19</v>
      </c>
      <c r="L40" s="3739">
        <v>13</v>
      </c>
      <c r="M40" s="3740">
        <v>30</v>
      </c>
      <c r="N40" s="3739">
        <v>27</v>
      </c>
      <c r="O40" s="3740">
        <v>49</v>
      </c>
      <c r="P40" s="3739">
        <v>15</v>
      </c>
      <c r="Q40" s="3740">
        <v>53</v>
      </c>
      <c r="R40" s="3739">
        <v>18</v>
      </c>
      <c r="S40" s="3740">
        <v>55</v>
      </c>
      <c r="T40" s="3739">
        <v>31</v>
      </c>
      <c r="U40" s="3740">
        <v>64</v>
      </c>
      <c r="V40" s="3739">
        <v>37</v>
      </c>
      <c r="W40" s="3740">
        <v>85</v>
      </c>
      <c r="X40" s="3739">
        <v>31</v>
      </c>
      <c r="Y40" s="3740">
        <v>104</v>
      </c>
      <c r="Z40" s="3739">
        <v>26</v>
      </c>
      <c r="AA40" s="3740">
        <v>87</v>
      </c>
      <c r="AB40" s="3739">
        <v>24</v>
      </c>
      <c r="AC40" s="3740">
        <v>84</v>
      </c>
      <c r="AD40" s="3739">
        <v>32</v>
      </c>
      <c r="AE40" s="3740">
        <v>88</v>
      </c>
      <c r="AF40" s="3739">
        <v>20</v>
      </c>
      <c r="AG40" s="3740">
        <v>82</v>
      </c>
    </row>
    <row r="41" spans="1:33" ht="15" customHeight="1" x14ac:dyDescent="0.2">
      <c r="A41" s="5832"/>
      <c r="B41" s="5862"/>
      <c r="C41" s="3738" t="s">
        <v>483</v>
      </c>
      <c r="D41" s="3739">
        <v>0</v>
      </c>
      <c r="E41" s="3740">
        <v>0</v>
      </c>
      <c r="F41" s="3739">
        <v>6</v>
      </c>
      <c r="G41" s="3740">
        <v>6</v>
      </c>
      <c r="H41" s="3739">
        <v>8</v>
      </c>
      <c r="I41" s="3740">
        <v>13</v>
      </c>
      <c r="J41" s="3739">
        <v>4</v>
      </c>
      <c r="K41" s="3740">
        <v>16</v>
      </c>
      <c r="L41" s="3739">
        <v>7</v>
      </c>
      <c r="M41" s="3740">
        <v>21</v>
      </c>
      <c r="N41" s="3739">
        <v>13</v>
      </c>
      <c r="O41" s="3740">
        <v>32</v>
      </c>
      <c r="P41" s="3739">
        <v>15</v>
      </c>
      <c r="Q41" s="3740">
        <v>35</v>
      </c>
      <c r="R41" s="3739">
        <v>9</v>
      </c>
      <c r="S41" s="3740">
        <v>38</v>
      </c>
      <c r="T41" s="3739">
        <v>18</v>
      </c>
      <c r="U41" s="3740">
        <v>38</v>
      </c>
      <c r="V41" s="3739">
        <v>14</v>
      </c>
      <c r="W41" s="3740">
        <v>38</v>
      </c>
      <c r="X41" s="3739">
        <v>23</v>
      </c>
      <c r="Y41" s="3740">
        <v>45</v>
      </c>
      <c r="Z41" s="3739">
        <v>22</v>
      </c>
      <c r="AA41" s="3740">
        <v>54</v>
      </c>
      <c r="AB41" s="3739">
        <v>23</v>
      </c>
      <c r="AC41" s="3740">
        <v>66</v>
      </c>
      <c r="AD41" s="3739">
        <v>24</v>
      </c>
      <c r="AE41" s="3740">
        <v>74</v>
      </c>
      <c r="AF41" s="3739">
        <v>22</v>
      </c>
      <c r="AG41" s="3740">
        <v>72</v>
      </c>
    </row>
    <row r="42" spans="1:33" ht="15" customHeight="1" x14ac:dyDescent="0.2">
      <c r="A42" s="5832"/>
      <c r="B42" s="5862"/>
      <c r="C42" s="3738" t="s">
        <v>479</v>
      </c>
      <c r="D42" s="3739">
        <v>3</v>
      </c>
      <c r="E42" s="3740">
        <v>3</v>
      </c>
      <c r="F42" s="3739">
        <v>10</v>
      </c>
      <c r="G42" s="3740">
        <v>12</v>
      </c>
      <c r="H42" s="3739">
        <v>8</v>
      </c>
      <c r="I42" s="3740">
        <v>18</v>
      </c>
      <c r="J42" s="3739">
        <v>13</v>
      </c>
      <c r="K42" s="3740">
        <v>27</v>
      </c>
      <c r="L42" s="3739">
        <v>16</v>
      </c>
      <c r="M42" s="3740">
        <v>40</v>
      </c>
      <c r="N42" s="3739">
        <v>33</v>
      </c>
      <c r="O42" s="3740">
        <v>53</v>
      </c>
      <c r="P42" s="3739">
        <v>22</v>
      </c>
      <c r="Q42" s="3740">
        <v>63</v>
      </c>
      <c r="R42" s="3739">
        <v>14</v>
      </c>
      <c r="S42" s="3740">
        <v>61</v>
      </c>
      <c r="T42" s="3739">
        <v>28</v>
      </c>
      <c r="U42" s="3740">
        <v>69</v>
      </c>
      <c r="V42" s="3739">
        <v>36</v>
      </c>
      <c r="W42" s="3740">
        <v>83</v>
      </c>
      <c r="X42" s="3739">
        <v>36</v>
      </c>
      <c r="Y42" s="3740">
        <v>102</v>
      </c>
      <c r="Z42" s="3739">
        <v>28</v>
      </c>
      <c r="AA42" s="3740">
        <v>100</v>
      </c>
      <c r="AB42" s="3739">
        <v>39</v>
      </c>
      <c r="AC42" s="3740">
        <v>102</v>
      </c>
      <c r="AD42" s="3739">
        <v>21</v>
      </c>
      <c r="AE42" s="3740">
        <v>98</v>
      </c>
      <c r="AF42" s="3739">
        <v>48</v>
      </c>
      <c r="AG42" s="3740">
        <v>120</v>
      </c>
    </row>
    <row r="43" spans="1:33" ht="15" customHeight="1" x14ac:dyDescent="0.2">
      <c r="A43" s="5832"/>
      <c r="B43" s="5862"/>
      <c r="C43" s="3738" t="s">
        <v>477</v>
      </c>
      <c r="D43" s="3739">
        <v>4</v>
      </c>
      <c r="E43" s="3740">
        <v>3</v>
      </c>
      <c r="F43" s="3739">
        <v>9</v>
      </c>
      <c r="G43" s="3740">
        <v>13</v>
      </c>
      <c r="H43" s="3739">
        <v>11</v>
      </c>
      <c r="I43" s="3740">
        <v>19</v>
      </c>
      <c r="J43" s="3739">
        <v>5</v>
      </c>
      <c r="K43" s="3740">
        <v>24</v>
      </c>
      <c r="L43" s="3739">
        <v>13</v>
      </c>
      <c r="M43" s="3740">
        <v>34</v>
      </c>
      <c r="N43" s="3739">
        <v>26</v>
      </c>
      <c r="O43" s="3740">
        <v>48</v>
      </c>
      <c r="P43" s="3739">
        <v>20</v>
      </c>
      <c r="Q43" s="3740">
        <v>53</v>
      </c>
      <c r="R43" s="3739">
        <v>13</v>
      </c>
      <c r="S43" s="3740">
        <v>52</v>
      </c>
      <c r="T43" s="3739">
        <v>16</v>
      </c>
      <c r="U43" s="3740">
        <v>49</v>
      </c>
      <c r="V43" s="3739">
        <v>29</v>
      </c>
      <c r="W43" s="3740">
        <v>68</v>
      </c>
      <c r="X43" s="3739">
        <v>24</v>
      </c>
      <c r="Y43" s="3740">
        <v>72</v>
      </c>
      <c r="Z43" s="3739">
        <v>15</v>
      </c>
      <c r="AA43" s="3740">
        <v>62</v>
      </c>
      <c r="AB43" s="3739">
        <v>17</v>
      </c>
      <c r="AC43" s="3740">
        <v>59</v>
      </c>
      <c r="AD43" s="3739">
        <v>20</v>
      </c>
      <c r="AE43" s="3740">
        <v>56</v>
      </c>
      <c r="AF43" s="3739">
        <v>27</v>
      </c>
      <c r="AG43" s="3740">
        <v>68</v>
      </c>
    </row>
    <row r="44" spans="1:33" ht="15" customHeight="1" x14ac:dyDescent="0.2">
      <c r="A44" s="5832"/>
      <c r="B44" s="5862"/>
      <c r="C44" s="3738" t="s">
        <v>480</v>
      </c>
      <c r="D44" s="3739">
        <v>2</v>
      </c>
      <c r="E44" s="3740">
        <v>2</v>
      </c>
      <c r="F44" s="3739">
        <v>5</v>
      </c>
      <c r="G44" s="3740">
        <v>7</v>
      </c>
      <c r="H44" s="3739">
        <v>6</v>
      </c>
      <c r="I44" s="3740">
        <v>11</v>
      </c>
      <c r="J44" s="3739">
        <v>4</v>
      </c>
      <c r="K44" s="3740">
        <v>13</v>
      </c>
      <c r="L44" s="3739">
        <v>5</v>
      </c>
      <c r="M44" s="3740">
        <v>16</v>
      </c>
      <c r="N44" s="3739">
        <v>14</v>
      </c>
      <c r="O44" s="3740">
        <v>22</v>
      </c>
      <c r="P44" s="3739">
        <v>7</v>
      </c>
      <c r="Q44" s="3740">
        <v>24</v>
      </c>
      <c r="R44" s="3739">
        <v>7</v>
      </c>
      <c r="S44" s="3740">
        <v>24</v>
      </c>
      <c r="T44" s="3739">
        <v>17</v>
      </c>
      <c r="U44" s="3740">
        <v>26</v>
      </c>
      <c r="V44" s="3739">
        <v>28</v>
      </c>
      <c r="W44" s="3740">
        <v>48</v>
      </c>
      <c r="X44" s="3739">
        <v>21</v>
      </c>
      <c r="Y44" s="3740">
        <v>56</v>
      </c>
      <c r="Z44" s="3739">
        <v>14</v>
      </c>
      <c r="AA44" s="3740">
        <v>55</v>
      </c>
      <c r="AB44" s="3739">
        <v>14</v>
      </c>
      <c r="AC44" s="3740">
        <v>44</v>
      </c>
      <c r="AD44" s="3739">
        <v>17</v>
      </c>
      <c r="AE44" s="3740">
        <v>44</v>
      </c>
      <c r="AF44" s="3739">
        <v>15</v>
      </c>
      <c r="AG44" s="3740">
        <v>43</v>
      </c>
    </row>
    <row r="45" spans="1:33" ht="15" customHeight="1" x14ac:dyDescent="0.2">
      <c r="A45" s="5832"/>
      <c r="B45" s="5862"/>
      <c r="C45" s="3738" t="s">
        <v>482</v>
      </c>
      <c r="D45" s="3739">
        <v>4</v>
      </c>
      <c r="E45" s="3740">
        <v>4</v>
      </c>
      <c r="F45" s="3739">
        <v>23</v>
      </c>
      <c r="G45" s="3740">
        <v>26</v>
      </c>
      <c r="H45" s="3739">
        <v>24</v>
      </c>
      <c r="I45" s="3740">
        <v>42</v>
      </c>
      <c r="J45" s="3739">
        <v>27</v>
      </c>
      <c r="K45" s="3740">
        <v>59</v>
      </c>
      <c r="L45" s="3739">
        <v>23</v>
      </c>
      <c r="M45" s="3740">
        <v>75</v>
      </c>
      <c r="N45" s="3739">
        <v>64</v>
      </c>
      <c r="O45" s="3740">
        <v>115</v>
      </c>
      <c r="P45" s="3739">
        <v>52</v>
      </c>
      <c r="Q45" s="3740">
        <v>145</v>
      </c>
      <c r="R45" s="3739">
        <v>84</v>
      </c>
      <c r="S45" s="3740">
        <v>178</v>
      </c>
      <c r="T45" s="3739">
        <v>107</v>
      </c>
      <c r="U45" s="3740">
        <v>228</v>
      </c>
      <c r="V45" s="3739">
        <v>140</v>
      </c>
      <c r="W45" s="3740">
        <v>307</v>
      </c>
      <c r="X45" s="3739">
        <v>105</v>
      </c>
      <c r="Y45" s="3740">
        <v>358</v>
      </c>
      <c r="Z45" s="3739">
        <v>80</v>
      </c>
      <c r="AA45" s="3740">
        <v>351</v>
      </c>
      <c r="AB45" s="3739">
        <v>101</v>
      </c>
      <c r="AC45" s="3740">
        <v>332</v>
      </c>
      <c r="AD45" s="3739">
        <v>101</v>
      </c>
      <c r="AE45" s="3740">
        <v>344</v>
      </c>
      <c r="AF45" s="3739">
        <v>106</v>
      </c>
      <c r="AG45" s="3740">
        <v>345</v>
      </c>
    </row>
    <row r="46" spans="1:33" ht="15" customHeight="1" x14ac:dyDescent="0.2">
      <c r="A46" s="5832"/>
      <c r="B46" s="5862"/>
      <c r="C46" s="3738" t="s">
        <v>465</v>
      </c>
      <c r="D46" s="3739">
        <v>1</v>
      </c>
      <c r="E46" s="3740">
        <v>1</v>
      </c>
      <c r="F46" s="3739">
        <v>13</v>
      </c>
      <c r="G46" s="3740">
        <v>14</v>
      </c>
      <c r="H46" s="3739">
        <v>17</v>
      </c>
      <c r="I46" s="3740">
        <v>28</v>
      </c>
      <c r="J46" s="3739">
        <v>8</v>
      </c>
      <c r="K46" s="3740">
        <v>33</v>
      </c>
      <c r="L46" s="3739">
        <v>18</v>
      </c>
      <c r="M46" s="3740">
        <v>42</v>
      </c>
      <c r="N46" s="3739">
        <v>37</v>
      </c>
      <c r="O46" s="3740">
        <v>65</v>
      </c>
      <c r="P46" s="3739">
        <v>21</v>
      </c>
      <c r="Q46" s="3740">
        <v>70</v>
      </c>
      <c r="R46" s="3739">
        <v>47</v>
      </c>
      <c r="S46" s="3740">
        <v>96</v>
      </c>
      <c r="T46" s="3739">
        <v>57</v>
      </c>
      <c r="U46" s="3740">
        <v>128</v>
      </c>
      <c r="V46" s="3739">
        <v>77</v>
      </c>
      <c r="W46" s="3740">
        <v>167</v>
      </c>
      <c r="X46" s="3739">
        <v>54</v>
      </c>
      <c r="Y46" s="3740">
        <v>184</v>
      </c>
      <c r="Z46" s="3739">
        <v>39</v>
      </c>
      <c r="AA46" s="3740">
        <v>166</v>
      </c>
      <c r="AB46" s="3739">
        <v>54</v>
      </c>
      <c r="AC46" s="3740">
        <v>175</v>
      </c>
      <c r="AD46" s="3739">
        <v>58</v>
      </c>
      <c r="AE46" s="3740">
        <v>176</v>
      </c>
      <c r="AF46" s="3739">
        <v>50</v>
      </c>
      <c r="AG46" s="3740">
        <v>183</v>
      </c>
    </row>
    <row r="47" spans="1:33" ht="15" customHeight="1" x14ac:dyDescent="0.2">
      <c r="A47" s="5832"/>
      <c r="B47" s="5863"/>
      <c r="C47" s="3744" t="s">
        <v>160</v>
      </c>
      <c r="D47" s="3745">
        <f>SUM(D36:D46)</f>
        <v>35</v>
      </c>
      <c r="E47" s="3746">
        <f t="shared" ref="E47:AA47" si="9">SUM(E36:E46)</f>
        <v>34</v>
      </c>
      <c r="F47" s="3745">
        <f t="shared" si="9"/>
        <v>129</v>
      </c>
      <c r="G47" s="3746">
        <f t="shared" si="9"/>
        <v>157</v>
      </c>
      <c r="H47" s="3745">
        <f t="shared" si="9"/>
        <v>139</v>
      </c>
      <c r="I47" s="3746">
        <f t="shared" si="9"/>
        <v>267</v>
      </c>
      <c r="J47" s="3745">
        <f t="shared" si="9"/>
        <v>116</v>
      </c>
      <c r="K47" s="3746">
        <f t="shared" si="9"/>
        <v>339</v>
      </c>
      <c r="L47" s="3745">
        <f t="shared" si="9"/>
        <v>166</v>
      </c>
      <c r="M47" s="3746">
        <f t="shared" si="9"/>
        <v>449</v>
      </c>
      <c r="N47" s="3745">
        <f t="shared" si="9"/>
        <v>418</v>
      </c>
      <c r="O47" s="3746">
        <f t="shared" si="9"/>
        <v>710</v>
      </c>
      <c r="P47" s="3745">
        <f t="shared" si="9"/>
        <v>288</v>
      </c>
      <c r="Q47" s="3746">
        <f t="shared" si="9"/>
        <v>836</v>
      </c>
      <c r="R47" s="3745">
        <f t="shared" si="9"/>
        <v>369</v>
      </c>
      <c r="S47" s="3746">
        <f t="shared" si="9"/>
        <v>949</v>
      </c>
      <c r="T47" s="3745">
        <f t="shared" si="9"/>
        <v>528</v>
      </c>
      <c r="U47" s="3746">
        <f t="shared" si="9"/>
        <v>1173</v>
      </c>
      <c r="V47" s="3745">
        <f t="shared" si="9"/>
        <v>705</v>
      </c>
      <c r="W47" s="3746">
        <f t="shared" si="9"/>
        <v>1584</v>
      </c>
      <c r="X47" s="3745">
        <f t="shared" si="9"/>
        <v>569</v>
      </c>
      <c r="Y47" s="3746">
        <f t="shared" si="9"/>
        <v>1781</v>
      </c>
      <c r="Z47" s="3745">
        <f t="shared" si="9"/>
        <v>445</v>
      </c>
      <c r="AA47" s="3746">
        <f t="shared" si="9"/>
        <v>1738</v>
      </c>
      <c r="AB47" s="3745">
        <f t="shared" ref="AB47:AG47" si="10">SUM(AB36:AB46)</f>
        <v>510</v>
      </c>
      <c r="AC47" s="3746">
        <f t="shared" si="10"/>
        <v>1688</v>
      </c>
      <c r="AD47" s="3745">
        <f t="shared" si="10"/>
        <v>545</v>
      </c>
      <c r="AE47" s="3746">
        <f t="shared" si="10"/>
        <v>1735</v>
      </c>
      <c r="AF47" s="3745">
        <f t="shared" si="10"/>
        <v>539</v>
      </c>
      <c r="AG47" s="3746">
        <f t="shared" si="10"/>
        <v>1764</v>
      </c>
    </row>
    <row r="48" spans="1:33" ht="15" customHeight="1" x14ac:dyDescent="0.2">
      <c r="A48" s="5832"/>
      <c r="B48" s="5864" t="s">
        <v>359</v>
      </c>
      <c r="C48" s="3738" t="s">
        <v>484</v>
      </c>
      <c r="D48" s="3739">
        <v>1</v>
      </c>
      <c r="E48" s="3740">
        <v>1</v>
      </c>
      <c r="F48" s="3739">
        <v>14</v>
      </c>
      <c r="G48" s="3740">
        <v>13</v>
      </c>
      <c r="H48" s="3739">
        <v>12</v>
      </c>
      <c r="I48" s="3740">
        <v>24</v>
      </c>
      <c r="J48" s="3739">
        <v>18</v>
      </c>
      <c r="K48" s="3740">
        <v>37</v>
      </c>
      <c r="L48" s="3739">
        <v>30</v>
      </c>
      <c r="M48" s="3740">
        <v>51</v>
      </c>
      <c r="N48" s="3739">
        <v>46</v>
      </c>
      <c r="O48" s="3740">
        <v>75</v>
      </c>
      <c r="P48" s="3739">
        <v>33</v>
      </c>
      <c r="Q48" s="3740">
        <v>88</v>
      </c>
      <c r="R48" s="3739">
        <v>34</v>
      </c>
      <c r="S48" s="3740">
        <v>93</v>
      </c>
      <c r="T48" s="3739">
        <v>48</v>
      </c>
      <c r="U48" s="3740">
        <v>103</v>
      </c>
      <c r="V48" s="3739">
        <v>83</v>
      </c>
      <c r="W48" s="3740">
        <v>137</v>
      </c>
      <c r="X48" s="3739">
        <v>72</v>
      </c>
      <c r="Y48" s="3740">
        <v>170</v>
      </c>
      <c r="Z48" s="3739">
        <v>60</v>
      </c>
      <c r="AA48" s="3740">
        <v>157</v>
      </c>
      <c r="AB48" s="3739">
        <v>56</v>
      </c>
      <c r="AC48" s="3740">
        <v>159</v>
      </c>
      <c r="AD48" s="3739">
        <v>66</v>
      </c>
      <c r="AE48" s="3740">
        <v>176</v>
      </c>
      <c r="AF48" s="3739">
        <v>66</v>
      </c>
      <c r="AG48" s="3740">
        <v>181</v>
      </c>
    </row>
    <row r="49" spans="1:33" ht="15" customHeight="1" x14ac:dyDescent="0.2">
      <c r="A49" s="5832"/>
      <c r="B49" s="5862"/>
      <c r="C49" s="3738" t="s">
        <v>485</v>
      </c>
      <c r="D49" s="3739">
        <v>0</v>
      </c>
      <c r="E49" s="3740">
        <v>0</v>
      </c>
      <c r="F49" s="3739">
        <v>15</v>
      </c>
      <c r="G49" s="3740">
        <v>15</v>
      </c>
      <c r="H49" s="3739">
        <v>9</v>
      </c>
      <c r="I49" s="3740">
        <v>22</v>
      </c>
      <c r="J49" s="3739">
        <v>17</v>
      </c>
      <c r="K49" s="3740">
        <v>32</v>
      </c>
      <c r="L49" s="3739">
        <v>26</v>
      </c>
      <c r="M49" s="3740">
        <v>49</v>
      </c>
      <c r="N49" s="3739">
        <v>34</v>
      </c>
      <c r="O49" s="3740">
        <v>67</v>
      </c>
      <c r="P49" s="3739">
        <v>28</v>
      </c>
      <c r="Q49" s="3740">
        <v>84</v>
      </c>
      <c r="R49" s="3739">
        <v>20</v>
      </c>
      <c r="S49" s="3740">
        <v>75</v>
      </c>
      <c r="T49" s="3739">
        <v>51</v>
      </c>
      <c r="U49" s="3740">
        <v>80</v>
      </c>
      <c r="V49" s="3739">
        <v>46</v>
      </c>
      <c r="W49" s="3740">
        <v>100</v>
      </c>
      <c r="X49" s="3739">
        <v>55</v>
      </c>
      <c r="Y49" s="3740">
        <v>116</v>
      </c>
      <c r="Z49" s="3739">
        <v>50</v>
      </c>
      <c r="AA49" s="3740">
        <v>130</v>
      </c>
      <c r="AB49" s="3739">
        <v>52</v>
      </c>
      <c r="AC49" s="3740">
        <v>139</v>
      </c>
      <c r="AD49" s="3739">
        <v>50</v>
      </c>
      <c r="AE49" s="3740">
        <v>141</v>
      </c>
      <c r="AF49" s="3739">
        <v>44</v>
      </c>
      <c r="AG49" s="3740">
        <v>136</v>
      </c>
    </row>
    <row r="50" spans="1:33" ht="15" customHeight="1" x14ac:dyDescent="0.2">
      <c r="A50" s="5832"/>
      <c r="B50" s="5862"/>
      <c r="C50" s="3738" t="s">
        <v>486</v>
      </c>
      <c r="D50" s="3739">
        <v>1</v>
      </c>
      <c r="E50" s="3740">
        <v>1</v>
      </c>
      <c r="F50" s="3739">
        <v>5</v>
      </c>
      <c r="G50" s="3740">
        <v>6</v>
      </c>
      <c r="H50" s="3739">
        <v>3</v>
      </c>
      <c r="I50" s="3740">
        <v>8</v>
      </c>
      <c r="J50" s="3739">
        <v>6</v>
      </c>
      <c r="K50" s="3740">
        <v>11</v>
      </c>
      <c r="L50" s="3739">
        <v>9</v>
      </c>
      <c r="M50" s="3740">
        <v>14</v>
      </c>
      <c r="N50" s="3739">
        <v>21</v>
      </c>
      <c r="O50" s="3740">
        <v>32</v>
      </c>
      <c r="P50" s="3739">
        <v>15</v>
      </c>
      <c r="Q50" s="3740">
        <v>42</v>
      </c>
      <c r="R50" s="3739">
        <v>5</v>
      </c>
      <c r="S50" s="3740">
        <v>28</v>
      </c>
      <c r="T50" s="3739">
        <v>12</v>
      </c>
      <c r="U50" s="3740">
        <v>25</v>
      </c>
      <c r="V50" s="3739">
        <v>39</v>
      </c>
      <c r="W50" s="3740">
        <v>52</v>
      </c>
      <c r="X50" s="3739">
        <v>51</v>
      </c>
      <c r="Y50" s="3740">
        <v>93</v>
      </c>
      <c r="Z50" s="3739">
        <v>53</v>
      </c>
      <c r="AA50" s="3740">
        <v>118</v>
      </c>
      <c r="AB50" s="3739">
        <v>43</v>
      </c>
      <c r="AC50" s="3740">
        <v>121</v>
      </c>
      <c r="AD50" s="3739">
        <v>53</v>
      </c>
      <c r="AE50" s="3740">
        <v>132</v>
      </c>
      <c r="AF50" s="3739">
        <v>44</v>
      </c>
      <c r="AG50" s="3740">
        <v>135</v>
      </c>
    </row>
    <row r="51" spans="1:33" ht="15" customHeight="1" x14ac:dyDescent="0.2">
      <c r="A51" s="5832"/>
      <c r="B51" s="5862"/>
      <c r="C51" s="3738" t="s">
        <v>488</v>
      </c>
      <c r="D51" s="3739">
        <v>1</v>
      </c>
      <c r="E51" s="3740">
        <v>1</v>
      </c>
      <c r="F51" s="3739">
        <v>21</v>
      </c>
      <c r="G51" s="3740">
        <v>21</v>
      </c>
      <c r="H51" s="3739">
        <v>24</v>
      </c>
      <c r="I51" s="3740">
        <v>38</v>
      </c>
      <c r="J51" s="3739">
        <v>26</v>
      </c>
      <c r="K51" s="3740">
        <v>59</v>
      </c>
      <c r="L51" s="3739">
        <v>31</v>
      </c>
      <c r="M51" s="3740">
        <v>67</v>
      </c>
      <c r="N51" s="3739">
        <v>59</v>
      </c>
      <c r="O51" s="3740">
        <v>100</v>
      </c>
      <c r="P51" s="3739">
        <v>38</v>
      </c>
      <c r="Q51" s="3740">
        <v>111</v>
      </c>
      <c r="R51" s="3739">
        <v>40</v>
      </c>
      <c r="S51" s="3740">
        <v>101</v>
      </c>
      <c r="T51" s="3739">
        <v>60</v>
      </c>
      <c r="U51" s="3740">
        <v>121</v>
      </c>
      <c r="V51" s="3739">
        <v>98</v>
      </c>
      <c r="W51" s="3740">
        <v>181</v>
      </c>
      <c r="X51" s="3739">
        <v>87</v>
      </c>
      <c r="Y51" s="3740">
        <v>206</v>
      </c>
      <c r="Z51" s="3739">
        <v>93</v>
      </c>
      <c r="AA51" s="3740">
        <v>232</v>
      </c>
      <c r="AB51" s="3739">
        <v>79</v>
      </c>
      <c r="AC51" s="3740">
        <v>238</v>
      </c>
      <c r="AD51" s="3739">
        <v>80</v>
      </c>
      <c r="AE51" s="3740">
        <v>225</v>
      </c>
      <c r="AF51" s="3739">
        <v>70</v>
      </c>
      <c r="AG51" s="3740">
        <v>221</v>
      </c>
    </row>
    <row r="52" spans="1:33" ht="15" customHeight="1" x14ac:dyDescent="0.2">
      <c r="A52" s="5832"/>
      <c r="B52" s="5862"/>
      <c r="C52" s="3738" t="s">
        <v>489</v>
      </c>
      <c r="D52" s="3739">
        <v>2</v>
      </c>
      <c r="E52" s="3740">
        <v>2</v>
      </c>
      <c r="F52" s="3739">
        <v>29</v>
      </c>
      <c r="G52" s="3740">
        <v>28</v>
      </c>
      <c r="H52" s="3739">
        <v>26</v>
      </c>
      <c r="I52" s="3740">
        <v>50</v>
      </c>
      <c r="J52" s="3739">
        <v>49</v>
      </c>
      <c r="K52" s="3740">
        <v>73</v>
      </c>
      <c r="L52" s="3739">
        <v>37</v>
      </c>
      <c r="M52" s="3740">
        <v>85</v>
      </c>
      <c r="N52" s="3739">
        <v>62</v>
      </c>
      <c r="O52" s="3740">
        <v>109</v>
      </c>
      <c r="P52" s="3739">
        <v>53</v>
      </c>
      <c r="Q52" s="3740">
        <v>129</v>
      </c>
      <c r="R52" s="3739">
        <v>35</v>
      </c>
      <c r="S52" s="3740">
        <v>118</v>
      </c>
      <c r="T52" s="3739">
        <v>77</v>
      </c>
      <c r="U52" s="3740">
        <v>136</v>
      </c>
      <c r="V52" s="3739">
        <v>103</v>
      </c>
      <c r="W52" s="3740">
        <v>186</v>
      </c>
      <c r="X52" s="3739">
        <v>96</v>
      </c>
      <c r="Y52" s="3740">
        <v>218</v>
      </c>
      <c r="Z52" s="3739">
        <v>91</v>
      </c>
      <c r="AA52" s="3740">
        <v>230</v>
      </c>
      <c r="AB52" s="3739">
        <v>87</v>
      </c>
      <c r="AC52" s="3740">
        <v>233</v>
      </c>
      <c r="AD52" s="3739">
        <v>94</v>
      </c>
      <c r="AE52" s="3740">
        <v>218</v>
      </c>
      <c r="AF52" s="3739">
        <v>80</v>
      </c>
      <c r="AG52" s="3740">
        <v>213</v>
      </c>
    </row>
    <row r="53" spans="1:33" ht="15" customHeight="1" x14ac:dyDescent="0.2">
      <c r="A53" s="5832"/>
      <c r="B53" s="5862"/>
      <c r="C53" s="3738" t="s">
        <v>487</v>
      </c>
      <c r="D53" s="3739">
        <v>1</v>
      </c>
      <c r="E53" s="3740">
        <v>1</v>
      </c>
      <c r="F53" s="3739">
        <v>3</v>
      </c>
      <c r="G53" s="3740">
        <v>4</v>
      </c>
      <c r="H53" s="3739">
        <v>1</v>
      </c>
      <c r="I53" s="3740">
        <v>3</v>
      </c>
      <c r="J53" s="3739">
        <v>4</v>
      </c>
      <c r="K53" s="3740">
        <v>5</v>
      </c>
      <c r="L53" s="3739">
        <v>5</v>
      </c>
      <c r="M53" s="3740">
        <v>8</v>
      </c>
      <c r="N53" s="3739">
        <v>8</v>
      </c>
      <c r="O53" s="3740">
        <v>10</v>
      </c>
      <c r="P53" s="3739">
        <v>7</v>
      </c>
      <c r="Q53" s="3740">
        <v>16</v>
      </c>
      <c r="R53" s="3739">
        <v>5</v>
      </c>
      <c r="S53" s="3740">
        <v>17</v>
      </c>
      <c r="T53" s="3739">
        <v>7</v>
      </c>
      <c r="U53" s="3740">
        <v>15</v>
      </c>
      <c r="V53" s="3739">
        <v>34</v>
      </c>
      <c r="W53" s="3740">
        <v>41</v>
      </c>
      <c r="X53" s="3739">
        <v>27</v>
      </c>
      <c r="Y53" s="3740">
        <v>55</v>
      </c>
      <c r="Z53" s="3739">
        <v>34</v>
      </c>
      <c r="AA53" s="3740">
        <v>59</v>
      </c>
      <c r="AB53" s="3739">
        <v>48</v>
      </c>
      <c r="AC53" s="3740">
        <v>88</v>
      </c>
      <c r="AD53" s="3739">
        <v>40</v>
      </c>
      <c r="AE53" s="3740">
        <v>110</v>
      </c>
      <c r="AF53" s="3739">
        <v>41</v>
      </c>
      <c r="AG53" s="3740">
        <v>119</v>
      </c>
    </row>
    <row r="54" spans="1:33" ht="15" customHeight="1" x14ac:dyDescent="0.2">
      <c r="A54" s="5832"/>
      <c r="B54" s="5862"/>
      <c r="C54" s="3747" t="s">
        <v>160</v>
      </c>
      <c r="D54" s="3748">
        <f>SUM(D48:D53)</f>
        <v>6</v>
      </c>
      <c r="E54" s="3749">
        <f t="shared" ref="E54:AA54" si="11">SUM(E48:E53)</f>
        <v>6</v>
      </c>
      <c r="F54" s="3748">
        <f t="shared" si="11"/>
        <v>87</v>
      </c>
      <c r="G54" s="3749">
        <f t="shared" si="11"/>
        <v>87</v>
      </c>
      <c r="H54" s="3748">
        <f t="shared" si="11"/>
        <v>75</v>
      </c>
      <c r="I54" s="3749">
        <f t="shared" si="11"/>
        <v>145</v>
      </c>
      <c r="J54" s="3748">
        <f t="shared" si="11"/>
        <v>120</v>
      </c>
      <c r="K54" s="3749">
        <f t="shared" si="11"/>
        <v>217</v>
      </c>
      <c r="L54" s="3748">
        <f t="shared" si="11"/>
        <v>138</v>
      </c>
      <c r="M54" s="3749">
        <f t="shared" si="11"/>
        <v>274</v>
      </c>
      <c r="N54" s="3748">
        <f t="shared" si="11"/>
        <v>230</v>
      </c>
      <c r="O54" s="3749">
        <f t="shared" si="11"/>
        <v>393</v>
      </c>
      <c r="P54" s="3748">
        <f t="shared" si="11"/>
        <v>174</v>
      </c>
      <c r="Q54" s="3749">
        <f t="shared" si="11"/>
        <v>470</v>
      </c>
      <c r="R54" s="3748">
        <f t="shared" si="11"/>
        <v>139</v>
      </c>
      <c r="S54" s="3749">
        <f t="shared" si="11"/>
        <v>432</v>
      </c>
      <c r="T54" s="3748">
        <f t="shared" si="11"/>
        <v>255</v>
      </c>
      <c r="U54" s="3749">
        <f t="shared" si="11"/>
        <v>480</v>
      </c>
      <c r="V54" s="3748">
        <f t="shared" si="11"/>
        <v>403</v>
      </c>
      <c r="W54" s="3749">
        <f t="shared" si="11"/>
        <v>697</v>
      </c>
      <c r="X54" s="3748">
        <f t="shared" si="11"/>
        <v>388</v>
      </c>
      <c r="Y54" s="3749">
        <f t="shared" si="11"/>
        <v>858</v>
      </c>
      <c r="Z54" s="3748">
        <f t="shared" si="11"/>
        <v>381</v>
      </c>
      <c r="AA54" s="3749">
        <f t="shared" si="11"/>
        <v>926</v>
      </c>
      <c r="AB54" s="3748">
        <f t="shared" ref="AB54:AG54" si="12">SUM(AB48:AB53)</f>
        <v>365</v>
      </c>
      <c r="AC54" s="3749">
        <f t="shared" si="12"/>
        <v>978</v>
      </c>
      <c r="AD54" s="3748">
        <f t="shared" si="12"/>
        <v>383</v>
      </c>
      <c r="AE54" s="3749">
        <f t="shared" si="12"/>
        <v>1002</v>
      </c>
      <c r="AF54" s="3748">
        <f t="shared" si="12"/>
        <v>345</v>
      </c>
      <c r="AG54" s="3749">
        <f t="shared" si="12"/>
        <v>1005</v>
      </c>
    </row>
    <row r="55" spans="1:33" ht="15" customHeight="1" x14ac:dyDescent="0.2">
      <c r="A55" s="5833"/>
      <c r="B55" s="3772"/>
      <c r="C55" s="3773" t="s">
        <v>450</v>
      </c>
      <c r="D55" s="3774">
        <f>SUM(D54,D47,D35)</f>
        <v>59</v>
      </c>
      <c r="E55" s="3775">
        <f t="shared" ref="E55:AA55" si="13">SUM(E54,E47,E35)</f>
        <v>58</v>
      </c>
      <c r="F55" s="3774">
        <f t="shared" si="13"/>
        <v>286</v>
      </c>
      <c r="G55" s="3775">
        <f t="shared" si="13"/>
        <v>325</v>
      </c>
      <c r="H55" s="3774">
        <f t="shared" si="13"/>
        <v>303</v>
      </c>
      <c r="I55" s="3775">
        <f t="shared" si="13"/>
        <v>565</v>
      </c>
      <c r="J55" s="3774">
        <f t="shared" si="13"/>
        <v>344</v>
      </c>
      <c r="K55" s="3775">
        <f t="shared" si="13"/>
        <v>767</v>
      </c>
      <c r="L55" s="3774">
        <f t="shared" si="13"/>
        <v>448</v>
      </c>
      <c r="M55" s="3775">
        <f t="shared" si="13"/>
        <v>1005</v>
      </c>
      <c r="N55" s="3774">
        <f t="shared" si="13"/>
        <v>902</v>
      </c>
      <c r="O55" s="3775">
        <f t="shared" si="13"/>
        <v>1515</v>
      </c>
      <c r="P55" s="3774">
        <f t="shared" si="13"/>
        <v>659</v>
      </c>
      <c r="Q55" s="3775">
        <f t="shared" si="13"/>
        <v>1776</v>
      </c>
      <c r="R55" s="3774">
        <f t="shared" si="13"/>
        <v>688</v>
      </c>
      <c r="S55" s="3775">
        <f t="shared" si="13"/>
        <v>1809</v>
      </c>
      <c r="T55" s="3774">
        <f t="shared" si="13"/>
        <v>947</v>
      </c>
      <c r="U55" s="3775">
        <f t="shared" si="13"/>
        <v>2042</v>
      </c>
      <c r="V55" s="3774">
        <f t="shared" si="13"/>
        <v>1429</v>
      </c>
      <c r="W55" s="3775">
        <f t="shared" si="13"/>
        <v>2801</v>
      </c>
      <c r="X55" s="3774">
        <f t="shared" si="13"/>
        <v>1323</v>
      </c>
      <c r="Y55" s="3775">
        <f t="shared" si="13"/>
        <v>3345</v>
      </c>
      <c r="Z55" s="3774">
        <f t="shared" si="13"/>
        <v>1110</v>
      </c>
      <c r="AA55" s="3775">
        <f t="shared" si="13"/>
        <v>3333</v>
      </c>
      <c r="AB55" s="3774">
        <f t="shared" ref="AB55:AG55" si="14">SUM(AB54,AB47,AB35)</f>
        <v>1289</v>
      </c>
      <c r="AC55" s="3775">
        <f t="shared" si="14"/>
        <v>3498</v>
      </c>
      <c r="AD55" s="3774">
        <f t="shared" si="14"/>
        <v>1319</v>
      </c>
      <c r="AE55" s="3775">
        <f t="shared" si="14"/>
        <v>3693</v>
      </c>
      <c r="AF55" s="3774">
        <f t="shared" si="14"/>
        <v>1148</v>
      </c>
      <c r="AG55" s="3775">
        <f t="shared" si="14"/>
        <v>3663</v>
      </c>
    </row>
    <row r="56" spans="1:33" ht="15" customHeight="1" x14ac:dyDescent="0.2">
      <c r="A56" s="5856" t="s">
        <v>434</v>
      </c>
      <c r="B56" s="5859" t="s">
        <v>435</v>
      </c>
      <c r="C56" s="3753" t="s">
        <v>462</v>
      </c>
      <c r="D56" s="3754">
        <v>3</v>
      </c>
      <c r="E56" s="3755">
        <v>3</v>
      </c>
      <c r="F56" s="3754">
        <v>15</v>
      </c>
      <c r="G56" s="3755">
        <v>16</v>
      </c>
      <c r="H56" s="3754">
        <v>20</v>
      </c>
      <c r="I56" s="3755">
        <v>32</v>
      </c>
      <c r="J56" s="3754">
        <v>21</v>
      </c>
      <c r="K56" s="3755">
        <v>49</v>
      </c>
      <c r="L56" s="3754">
        <v>22</v>
      </c>
      <c r="M56" s="3755">
        <v>56</v>
      </c>
      <c r="N56" s="3754">
        <v>64</v>
      </c>
      <c r="O56" s="3755">
        <v>101</v>
      </c>
      <c r="P56" s="3754">
        <v>36</v>
      </c>
      <c r="Q56" s="3755">
        <v>122</v>
      </c>
      <c r="R56" s="3754">
        <v>36</v>
      </c>
      <c r="S56" s="3755">
        <v>124</v>
      </c>
      <c r="T56" s="3754">
        <v>74</v>
      </c>
      <c r="U56" s="3755">
        <v>138</v>
      </c>
      <c r="V56" s="3754">
        <v>82</v>
      </c>
      <c r="W56" s="3755">
        <v>158</v>
      </c>
      <c r="X56" s="3754">
        <v>77</v>
      </c>
      <c r="Y56" s="3755">
        <v>195</v>
      </c>
      <c r="Z56" s="3754">
        <v>72</v>
      </c>
      <c r="AA56" s="3755">
        <v>205</v>
      </c>
      <c r="AB56" s="3754">
        <v>86</v>
      </c>
      <c r="AC56" s="3755">
        <v>237</v>
      </c>
      <c r="AD56" s="3754">
        <v>117</v>
      </c>
      <c r="AE56" s="3755">
        <v>257</v>
      </c>
      <c r="AF56" s="3754">
        <v>84</v>
      </c>
      <c r="AG56" s="3755">
        <v>273</v>
      </c>
    </row>
    <row r="57" spans="1:33" ht="15" customHeight="1" x14ac:dyDescent="0.2">
      <c r="A57" s="5857"/>
      <c r="B57" s="5859"/>
      <c r="C57" s="3738" t="s">
        <v>490</v>
      </c>
      <c r="D57" s="3739">
        <v>1</v>
      </c>
      <c r="E57" s="3740">
        <v>1</v>
      </c>
      <c r="F57" s="3739">
        <v>24</v>
      </c>
      <c r="G57" s="3740">
        <v>24</v>
      </c>
      <c r="H57" s="3739">
        <v>21</v>
      </c>
      <c r="I57" s="3740">
        <v>45</v>
      </c>
      <c r="J57" s="3739">
        <v>21</v>
      </c>
      <c r="K57" s="3740">
        <v>57</v>
      </c>
      <c r="L57" s="3739">
        <v>25</v>
      </c>
      <c r="M57" s="3740">
        <v>65</v>
      </c>
      <c r="N57" s="3739">
        <v>88</v>
      </c>
      <c r="O57" s="3740">
        <v>143</v>
      </c>
      <c r="P57" s="3739">
        <v>35</v>
      </c>
      <c r="Q57" s="3740">
        <v>156</v>
      </c>
      <c r="R57" s="3739">
        <v>43</v>
      </c>
      <c r="S57" s="3740">
        <v>160</v>
      </c>
      <c r="T57" s="3739">
        <v>132</v>
      </c>
      <c r="U57" s="3740">
        <v>227</v>
      </c>
      <c r="V57" s="3739">
        <v>118</v>
      </c>
      <c r="W57" s="3740">
        <v>288</v>
      </c>
      <c r="X57" s="3739">
        <v>94</v>
      </c>
      <c r="Y57" s="3740">
        <v>322</v>
      </c>
      <c r="Z57" s="3739">
        <v>85</v>
      </c>
      <c r="AA57" s="3740">
        <v>338</v>
      </c>
      <c r="AB57" s="3739">
        <v>79</v>
      </c>
      <c r="AC57" s="3740">
        <v>319</v>
      </c>
      <c r="AD57" s="3739">
        <v>125</v>
      </c>
      <c r="AE57" s="3740">
        <v>342</v>
      </c>
      <c r="AF57" s="3739">
        <v>89</v>
      </c>
      <c r="AG57" s="3740">
        <v>333</v>
      </c>
    </row>
    <row r="58" spans="1:33" ht="15" customHeight="1" x14ac:dyDescent="0.2">
      <c r="A58" s="5857"/>
      <c r="B58" s="5859"/>
      <c r="C58" s="3738" t="s">
        <v>464</v>
      </c>
      <c r="D58" s="3739">
        <v>3</v>
      </c>
      <c r="E58" s="3740">
        <v>3</v>
      </c>
      <c r="F58" s="3739">
        <v>14</v>
      </c>
      <c r="G58" s="3740">
        <v>17</v>
      </c>
      <c r="H58" s="3739">
        <v>20</v>
      </c>
      <c r="I58" s="3740">
        <v>34</v>
      </c>
      <c r="J58" s="3739">
        <v>15</v>
      </c>
      <c r="K58" s="3740">
        <v>39</v>
      </c>
      <c r="L58" s="3739">
        <v>20</v>
      </c>
      <c r="M58" s="3740">
        <v>47</v>
      </c>
      <c r="N58" s="3739">
        <v>51</v>
      </c>
      <c r="O58" s="3740">
        <v>80</v>
      </c>
      <c r="P58" s="3739">
        <v>51</v>
      </c>
      <c r="Q58" s="3740">
        <v>112</v>
      </c>
      <c r="R58" s="3739">
        <v>24</v>
      </c>
      <c r="S58" s="3740">
        <v>91</v>
      </c>
      <c r="T58" s="3739">
        <v>86</v>
      </c>
      <c r="U58" s="3740">
        <v>135</v>
      </c>
      <c r="V58" s="3739">
        <v>73</v>
      </c>
      <c r="W58" s="3740">
        <v>147</v>
      </c>
      <c r="X58" s="3739">
        <v>72</v>
      </c>
      <c r="Y58" s="3740">
        <v>163</v>
      </c>
      <c r="Z58" s="3739">
        <v>67</v>
      </c>
      <c r="AA58" s="3740">
        <v>162</v>
      </c>
      <c r="AB58" s="3739">
        <v>64</v>
      </c>
      <c r="AC58" s="3740">
        <v>139</v>
      </c>
      <c r="AD58" s="3739">
        <v>84</v>
      </c>
      <c r="AE58" s="3740">
        <v>160</v>
      </c>
      <c r="AF58" s="3739">
        <v>55</v>
      </c>
      <c r="AG58" s="3740">
        <v>160</v>
      </c>
    </row>
    <row r="59" spans="1:33" ht="15" customHeight="1" x14ac:dyDescent="0.2">
      <c r="A59" s="5857"/>
      <c r="B59" s="5859"/>
      <c r="C59" s="3738" t="s">
        <v>492</v>
      </c>
      <c r="D59" s="3739">
        <v>2</v>
      </c>
      <c r="E59" s="3740">
        <v>2</v>
      </c>
      <c r="F59" s="3739">
        <v>5</v>
      </c>
      <c r="G59" s="3740">
        <v>7</v>
      </c>
      <c r="H59" s="3739">
        <v>11</v>
      </c>
      <c r="I59" s="3740">
        <v>18</v>
      </c>
      <c r="J59" s="3739">
        <v>4</v>
      </c>
      <c r="K59" s="3740">
        <v>19</v>
      </c>
      <c r="L59" s="3739">
        <v>12</v>
      </c>
      <c r="M59" s="3740">
        <v>25</v>
      </c>
      <c r="N59" s="3739">
        <v>17</v>
      </c>
      <c r="O59" s="3740">
        <v>33</v>
      </c>
      <c r="P59" s="3739">
        <v>19</v>
      </c>
      <c r="Q59" s="3740">
        <v>46</v>
      </c>
      <c r="R59" s="3739">
        <v>15</v>
      </c>
      <c r="S59" s="3740">
        <v>47</v>
      </c>
      <c r="T59" s="3739">
        <v>31</v>
      </c>
      <c r="U59" s="3740">
        <v>61</v>
      </c>
      <c r="V59" s="3739">
        <v>37</v>
      </c>
      <c r="W59" s="3740">
        <v>77</v>
      </c>
      <c r="X59" s="3739">
        <v>25</v>
      </c>
      <c r="Y59" s="3740">
        <v>81</v>
      </c>
      <c r="Z59" s="3739">
        <v>27</v>
      </c>
      <c r="AA59" s="3740">
        <v>89</v>
      </c>
      <c r="AB59" s="3739">
        <v>24</v>
      </c>
      <c r="AC59" s="3740">
        <v>80</v>
      </c>
      <c r="AD59" s="3739">
        <v>44</v>
      </c>
      <c r="AE59" s="3740">
        <v>88</v>
      </c>
      <c r="AF59" s="3739">
        <v>42</v>
      </c>
      <c r="AG59" s="3740">
        <v>106</v>
      </c>
    </row>
    <row r="60" spans="1:33" ht="15" customHeight="1" x14ac:dyDescent="0.2">
      <c r="A60" s="5857"/>
      <c r="B60" s="5859"/>
      <c r="C60" s="3738" t="s">
        <v>581</v>
      </c>
      <c r="D60" s="3739">
        <v>7</v>
      </c>
      <c r="E60" s="3740">
        <v>6</v>
      </c>
      <c r="F60" s="3739">
        <v>38</v>
      </c>
      <c r="G60" s="3740">
        <v>40</v>
      </c>
      <c r="H60" s="3739">
        <v>23</v>
      </c>
      <c r="I60" s="3740">
        <v>62</v>
      </c>
      <c r="J60" s="3739">
        <v>40</v>
      </c>
      <c r="K60" s="3740">
        <v>91</v>
      </c>
      <c r="L60" s="3739">
        <v>55</v>
      </c>
      <c r="M60" s="3740">
        <v>113</v>
      </c>
      <c r="N60" s="3739">
        <v>129</v>
      </c>
      <c r="O60" s="3740">
        <v>226</v>
      </c>
      <c r="P60" s="3739">
        <v>62</v>
      </c>
      <c r="Q60" s="3740">
        <v>256</v>
      </c>
      <c r="R60" s="3739">
        <v>84</v>
      </c>
      <c r="S60" s="3740">
        <v>279</v>
      </c>
      <c r="T60" s="3739">
        <v>220</v>
      </c>
      <c r="U60" s="3740">
        <v>370</v>
      </c>
      <c r="V60" s="3739">
        <v>189</v>
      </c>
      <c r="W60" s="3740">
        <v>450</v>
      </c>
      <c r="X60" s="3739">
        <v>172</v>
      </c>
      <c r="Y60" s="3740">
        <v>545</v>
      </c>
      <c r="Z60" s="3739">
        <v>142</v>
      </c>
      <c r="AA60" s="3740">
        <v>570</v>
      </c>
      <c r="AB60" s="3739">
        <v>148</v>
      </c>
      <c r="AC60" s="3740">
        <v>552</v>
      </c>
      <c r="AD60" s="3739">
        <v>176</v>
      </c>
      <c r="AE60" s="3740">
        <v>549</v>
      </c>
      <c r="AF60" s="3739">
        <v>147</v>
      </c>
      <c r="AG60" s="3740">
        <v>549</v>
      </c>
    </row>
    <row r="61" spans="1:33" ht="15" customHeight="1" x14ac:dyDescent="0.2">
      <c r="A61" s="5857"/>
      <c r="B61" s="5859"/>
      <c r="C61" s="3738" t="s">
        <v>465</v>
      </c>
      <c r="D61" s="3739">
        <v>3</v>
      </c>
      <c r="E61" s="3740">
        <v>2</v>
      </c>
      <c r="F61" s="3739">
        <v>17</v>
      </c>
      <c r="G61" s="3740">
        <v>18</v>
      </c>
      <c r="H61" s="3739">
        <v>21</v>
      </c>
      <c r="I61" s="3740">
        <v>38</v>
      </c>
      <c r="J61" s="3739">
        <v>22</v>
      </c>
      <c r="K61" s="3740">
        <v>51</v>
      </c>
      <c r="L61" s="3739">
        <v>20</v>
      </c>
      <c r="M61" s="3740">
        <v>62</v>
      </c>
      <c r="N61" s="3739">
        <v>62</v>
      </c>
      <c r="O61" s="3740">
        <v>104</v>
      </c>
      <c r="P61" s="3739">
        <v>37</v>
      </c>
      <c r="Q61" s="3740">
        <v>122</v>
      </c>
      <c r="R61" s="3739">
        <v>38</v>
      </c>
      <c r="S61" s="3740">
        <v>123</v>
      </c>
      <c r="T61" s="3739">
        <v>131</v>
      </c>
      <c r="U61" s="3740">
        <v>205</v>
      </c>
      <c r="V61" s="3739">
        <v>101</v>
      </c>
      <c r="W61" s="3740">
        <v>251</v>
      </c>
      <c r="X61" s="3739">
        <v>80</v>
      </c>
      <c r="Y61" s="3740">
        <v>273</v>
      </c>
      <c r="Z61" s="3739">
        <v>83</v>
      </c>
      <c r="AA61" s="3740">
        <v>273</v>
      </c>
      <c r="AB61" s="3739">
        <v>71</v>
      </c>
      <c r="AC61" s="3740">
        <v>270</v>
      </c>
      <c r="AD61" s="3739">
        <v>87</v>
      </c>
      <c r="AE61" s="3740">
        <v>249</v>
      </c>
      <c r="AF61" s="3739">
        <v>103</v>
      </c>
      <c r="AG61" s="3740">
        <v>278</v>
      </c>
    </row>
    <row r="62" spans="1:33" ht="15" customHeight="1" x14ac:dyDescent="0.2">
      <c r="A62" s="5857"/>
      <c r="B62" s="5860"/>
      <c r="C62" s="3744" t="s">
        <v>160</v>
      </c>
      <c r="D62" s="3745">
        <f>SUM(D56:D61)</f>
        <v>19</v>
      </c>
      <c r="E62" s="3746">
        <f t="shared" ref="E62:AA62" si="15">SUM(E56:E61)</f>
        <v>17</v>
      </c>
      <c r="F62" s="3745">
        <f t="shared" si="15"/>
        <v>113</v>
      </c>
      <c r="G62" s="3746">
        <f t="shared" si="15"/>
        <v>122</v>
      </c>
      <c r="H62" s="3745">
        <f t="shared" si="15"/>
        <v>116</v>
      </c>
      <c r="I62" s="3746">
        <f t="shared" si="15"/>
        <v>229</v>
      </c>
      <c r="J62" s="3745">
        <f t="shared" si="15"/>
        <v>123</v>
      </c>
      <c r="K62" s="3746">
        <f t="shared" si="15"/>
        <v>306</v>
      </c>
      <c r="L62" s="3745">
        <f t="shared" si="15"/>
        <v>154</v>
      </c>
      <c r="M62" s="3746">
        <f t="shared" si="15"/>
        <v>368</v>
      </c>
      <c r="N62" s="3745">
        <f t="shared" si="15"/>
        <v>411</v>
      </c>
      <c r="O62" s="3746">
        <f t="shared" si="15"/>
        <v>687</v>
      </c>
      <c r="P62" s="3745">
        <f t="shared" si="15"/>
        <v>240</v>
      </c>
      <c r="Q62" s="3746">
        <f t="shared" si="15"/>
        <v>814</v>
      </c>
      <c r="R62" s="3745">
        <f t="shared" si="15"/>
        <v>240</v>
      </c>
      <c r="S62" s="3746">
        <f t="shared" si="15"/>
        <v>824</v>
      </c>
      <c r="T62" s="3745">
        <f t="shared" si="15"/>
        <v>674</v>
      </c>
      <c r="U62" s="3746">
        <f t="shared" si="15"/>
        <v>1136</v>
      </c>
      <c r="V62" s="3745">
        <f t="shared" si="15"/>
        <v>600</v>
      </c>
      <c r="W62" s="3746">
        <f t="shared" si="15"/>
        <v>1371</v>
      </c>
      <c r="X62" s="3745">
        <f t="shared" si="15"/>
        <v>520</v>
      </c>
      <c r="Y62" s="3746">
        <f t="shared" si="15"/>
        <v>1579</v>
      </c>
      <c r="Z62" s="3745">
        <f t="shared" si="15"/>
        <v>476</v>
      </c>
      <c r="AA62" s="3746">
        <f t="shared" si="15"/>
        <v>1637</v>
      </c>
      <c r="AB62" s="3745">
        <f t="shared" ref="AB62:AG62" si="16">SUM(AB56:AB61)</f>
        <v>472</v>
      </c>
      <c r="AC62" s="3746">
        <f t="shared" si="16"/>
        <v>1597</v>
      </c>
      <c r="AD62" s="3745">
        <f t="shared" si="16"/>
        <v>633</v>
      </c>
      <c r="AE62" s="3746">
        <f t="shared" si="16"/>
        <v>1645</v>
      </c>
      <c r="AF62" s="3745">
        <f t="shared" si="16"/>
        <v>520</v>
      </c>
      <c r="AG62" s="3746">
        <f t="shared" si="16"/>
        <v>1699</v>
      </c>
    </row>
    <row r="63" spans="1:33" ht="15" customHeight="1" x14ac:dyDescent="0.2">
      <c r="A63" s="5857"/>
      <c r="B63" s="5861" t="s">
        <v>359</v>
      </c>
      <c r="C63" s="3738" t="s">
        <v>497</v>
      </c>
      <c r="D63" s="3739">
        <v>2</v>
      </c>
      <c r="E63" s="3740">
        <v>2</v>
      </c>
      <c r="F63" s="3739">
        <v>13</v>
      </c>
      <c r="G63" s="3740">
        <v>15</v>
      </c>
      <c r="H63" s="3739">
        <v>18</v>
      </c>
      <c r="I63" s="3740">
        <v>27</v>
      </c>
      <c r="J63" s="3739">
        <v>5</v>
      </c>
      <c r="K63" s="3740">
        <v>28</v>
      </c>
      <c r="L63" s="3739">
        <v>10</v>
      </c>
      <c r="M63" s="3740">
        <v>31</v>
      </c>
      <c r="N63" s="3739">
        <v>37</v>
      </c>
      <c r="O63" s="3740">
        <v>61</v>
      </c>
      <c r="P63" s="3739">
        <v>41</v>
      </c>
      <c r="Q63" s="3740">
        <v>79</v>
      </c>
      <c r="R63" s="3739">
        <v>36</v>
      </c>
      <c r="S63" s="3740">
        <v>86</v>
      </c>
      <c r="T63" s="3739">
        <v>84</v>
      </c>
      <c r="U63" s="3740">
        <v>140</v>
      </c>
      <c r="V63" s="3739">
        <v>94</v>
      </c>
      <c r="W63" s="3740">
        <v>184</v>
      </c>
      <c r="X63" s="3739">
        <v>77</v>
      </c>
      <c r="Y63" s="3740">
        <v>205</v>
      </c>
      <c r="Z63" s="3739">
        <v>79</v>
      </c>
      <c r="AA63" s="3740">
        <v>213</v>
      </c>
      <c r="AB63" s="3739">
        <v>85</v>
      </c>
      <c r="AC63" s="3740">
        <v>203</v>
      </c>
      <c r="AD63" s="3739">
        <v>90</v>
      </c>
      <c r="AE63" s="3740">
        <v>227</v>
      </c>
      <c r="AF63" s="3739">
        <v>68</v>
      </c>
      <c r="AG63" s="3740">
        <v>231</v>
      </c>
    </row>
    <row r="64" spans="1:33" ht="15" customHeight="1" x14ac:dyDescent="0.2">
      <c r="A64" s="5857"/>
      <c r="B64" s="5859"/>
      <c r="C64" s="3738" t="s">
        <v>484</v>
      </c>
      <c r="D64" s="3739">
        <v>3</v>
      </c>
      <c r="E64" s="3740">
        <v>3</v>
      </c>
      <c r="F64" s="3739">
        <v>16</v>
      </c>
      <c r="G64" s="3740">
        <v>17</v>
      </c>
      <c r="H64" s="3739">
        <v>22</v>
      </c>
      <c r="I64" s="3740">
        <v>39</v>
      </c>
      <c r="J64" s="3739">
        <v>13</v>
      </c>
      <c r="K64" s="3740">
        <v>44</v>
      </c>
      <c r="L64" s="3739">
        <v>24</v>
      </c>
      <c r="M64" s="3740">
        <v>55</v>
      </c>
      <c r="N64" s="3739">
        <v>75</v>
      </c>
      <c r="O64" s="3740">
        <v>112</v>
      </c>
      <c r="P64" s="3739">
        <v>40</v>
      </c>
      <c r="Q64" s="3740">
        <v>139</v>
      </c>
      <c r="R64" s="3739">
        <v>32</v>
      </c>
      <c r="S64" s="3740">
        <v>123</v>
      </c>
      <c r="T64" s="3739">
        <v>124</v>
      </c>
      <c r="U64" s="3740">
        <v>206</v>
      </c>
      <c r="V64" s="3739">
        <v>95</v>
      </c>
      <c r="W64" s="3740">
        <v>235</v>
      </c>
      <c r="X64" s="3739">
        <v>80</v>
      </c>
      <c r="Y64" s="3740">
        <v>248</v>
      </c>
      <c r="Z64" s="3739">
        <v>86</v>
      </c>
      <c r="AA64" s="3740">
        <v>266</v>
      </c>
      <c r="AB64" s="3739">
        <v>81</v>
      </c>
      <c r="AC64" s="3740">
        <v>262</v>
      </c>
      <c r="AD64" s="3739">
        <v>100</v>
      </c>
      <c r="AE64" s="3740">
        <v>279</v>
      </c>
      <c r="AF64" s="3739">
        <v>84</v>
      </c>
      <c r="AG64" s="3740">
        <v>270</v>
      </c>
    </row>
    <row r="65" spans="1:33" ht="15" customHeight="1" x14ac:dyDescent="0.2">
      <c r="A65" s="5857"/>
      <c r="B65" s="5859"/>
      <c r="C65" s="3738" t="s">
        <v>493</v>
      </c>
      <c r="D65" s="3739">
        <v>2</v>
      </c>
      <c r="E65" s="3740">
        <v>2</v>
      </c>
      <c r="F65" s="3739">
        <v>9</v>
      </c>
      <c r="G65" s="3740">
        <v>9</v>
      </c>
      <c r="H65" s="3739">
        <v>18</v>
      </c>
      <c r="I65" s="3740">
        <v>20</v>
      </c>
      <c r="J65" s="3739">
        <v>8</v>
      </c>
      <c r="K65" s="3740">
        <v>29</v>
      </c>
      <c r="L65" s="3739">
        <v>11</v>
      </c>
      <c r="M65" s="3740">
        <v>36</v>
      </c>
      <c r="N65" s="3739">
        <v>58</v>
      </c>
      <c r="O65" s="3740">
        <v>90</v>
      </c>
      <c r="P65" s="3739">
        <v>26</v>
      </c>
      <c r="Q65" s="3740">
        <v>98</v>
      </c>
      <c r="R65" s="3739">
        <v>37</v>
      </c>
      <c r="S65" s="3740">
        <v>102</v>
      </c>
      <c r="T65" s="3739">
        <v>125</v>
      </c>
      <c r="U65" s="3740">
        <v>190</v>
      </c>
      <c r="V65" s="3739">
        <v>99</v>
      </c>
      <c r="W65" s="3740">
        <v>247</v>
      </c>
      <c r="X65" s="3739">
        <v>71</v>
      </c>
      <c r="Y65" s="3740">
        <v>259</v>
      </c>
      <c r="Z65" s="3739">
        <v>59</v>
      </c>
      <c r="AA65" s="3740">
        <v>249</v>
      </c>
      <c r="AB65" s="3739">
        <v>77</v>
      </c>
      <c r="AC65" s="3740">
        <v>240</v>
      </c>
      <c r="AD65" s="3739">
        <v>84</v>
      </c>
      <c r="AE65" s="3740">
        <v>237</v>
      </c>
      <c r="AF65" s="3739">
        <v>69</v>
      </c>
      <c r="AG65" s="3740">
        <v>249</v>
      </c>
    </row>
    <row r="66" spans="1:33" ht="15" customHeight="1" x14ac:dyDescent="0.2">
      <c r="A66" s="5857"/>
      <c r="B66" s="5859"/>
      <c r="C66" s="3738" t="s">
        <v>494</v>
      </c>
      <c r="D66" s="3739">
        <v>2</v>
      </c>
      <c r="E66" s="3740">
        <v>2</v>
      </c>
      <c r="F66" s="3739">
        <v>21</v>
      </c>
      <c r="G66" s="3740">
        <v>21</v>
      </c>
      <c r="H66" s="3739">
        <v>19</v>
      </c>
      <c r="I66" s="3740">
        <v>38</v>
      </c>
      <c r="J66" s="3739">
        <v>32</v>
      </c>
      <c r="K66" s="3740">
        <v>65</v>
      </c>
      <c r="L66" s="3739">
        <v>23</v>
      </c>
      <c r="M66" s="3740">
        <v>68</v>
      </c>
      <c r="N66" s="3739">
        <v>83</v>
      </c>
      <c r="O66" s="3740">
        <v>124</v>
      </c>
      <c r="P66" s="3739">
        <v>39</v>
      </c>
      <c r="Q66" s="3740">
        <v>146</v>
      </c>
      <c r="R66" s="3739">
        <v>46</v>
      </c>
      <c r="S66" s="3740">
        <v>164</v>
      </c>
      <c r="T66" s="3739">
        <v>135</v>
      </c>
      <c r="U66" s="3740">
        <v>234</v>
      </c>
      <c r="V66" s="3739">
        <v>101</v>
      </c>
      <c r="W66" s="3740">
        <v>266</v>
      </c>
      <c r="X66" s="3739">
        <v>75</v>
      </c>
      <c r="Y66" s="3740">
        <v>267</v>
      </c>
      <c r="Z66" s="3739">
        <v>58</v>
      </c>
      <c r="AA66" s="3740">
        <v>250</v>
      </c>
      <c r="AB66" s="3739">
        <v>78</v>
      </c>
      <c r="AC66" s="3740">
        <v>248</v>
      </c>
      <c r="AD66" s="3739">
        <v>119</v>
      </c>
      <c r="AE66" s="3740">
        <v>295</v>
      </c>
      <c r="AF66" s="3739">
        <v>75</v>
      </c>
      <c r="AG66" s="3740">
        <v>291</v>
      </c>
    </row>
    <row r="67" spans="1:33" ht="15" customHeight="1" x14ac:dyDescent="0.2">
      <c r="A67" s="5857"/>
      <c r="B67" s="5859"/>
      <c r="C67" s="3738" t="s">
        <v>496</v>
      </c>
      <c r="D67" s="3739">
        <v>3</v>
      </c>
      <c r="E67" s="3740">
        <v>3</v>
      </c>
      <c r="F67" s="3739">
        <v>22</v>
      </c>
      <c r="G67" s="3740">
        <v>24</v>
      </c>
      <c r="H67" s="3739">
        <v>24</v>
      </c>
      <c r="I67" s="3740">
        <v>43</v>
      </c>
      <c r="J67" s="3739">
        <v>23</v>
      </c>
      <c r="K67" s="3740">
        <v>62</v>
      </c>
      <c r="L67" s="3739">
        <v>33</v>
      </c>
      <c r="M67" s="3740">
        <v>85</v>
      </c>
      <c r="N67" s="3739">
        <v>79</v>
      </c>
      <c r="O67" s="3740">
        <v>141</v>
      </c>
      <c r="P67" s="3739">
        <v>75</v>
      </c>
      <c r="Q67" s="3740">
        <v>183</v>
      </c>
      <c r="R67" s="3739">
        <v>36</v>
      </c>
      <c r="S67" s="3740">
        <v>167</v>
      </c>
      <c r="T67" s="3739">
        <v>93</v>
      </c>
      <c r="U67" s="3740">
        <v>174</v>
      </c>
      <c r="V67" s="3739">
        <v>122</v>
      </c>
      <c r="W67" s="3740">
        <v>327</v>
      </c>
      <c r="X67" s="3739">
        <v>101</v>
      </c>
      <c r="Y67" s="3740">
        <v>354</v>
      </c>
      <c r="Z67" s="3739">
        <v>87</v>
      </c>
      <c r="AA67" s="3740">
        <v>398</v>
      </c>
      <c r="AB67" s="3739">
        <v>83</v>
      </c>
      <c r="AC67" s="3740">
        <v>385</v>
      </c>
      <c r="AD67" s="3739">
        <v>90</v>
      </c>
      <c r="AE67" s="3740">
        <v>248</v>
      </c>
      <c r="AF67" s="3739">
        <v>113</v>
      </c>
      <c r="AG67" s="3740">
        <v>290</v>
      </c>
    </row>
    <row r="68" spans="1:33" ht="15" customHeight="1" x14ac:dyDescent="0.2">
      <c r="A68" s="5857"/>
      <c r="B68" s="5859"/>
      <c r="C68" s="3738" t="s">
        <v>498</v>
      </c>
      <c r="D68" s="3739">
        <v>1</v>
      </c>
      <c r="E68" s="3740">
        <v>1</v>
      </c>
      <c r="F68" s="3739">
        <v>25</v>
      </c>
      <c r="G68" s="3740">
        <v>24</v>
      </c>
      <c r="H68" s="3739">
        <v>20</v>
      </c>
      <c r="I68" s="3740">
        <v>40</v>
      </c>
      <c r="J68" s="3739">
        <v>25</v>
      </c>
      <c r="K68" s="3740">
        <v>62</v>
      </c>
      <c r="L68" s="3739">
        <v>23</v>
      </c>
      <c r="M68" s="3740">
        <v>77</v>
      </c>
      <c r="N68" s="3739">
        <v>93</v>
      </c>
      <c r="O68" s="3740">
        <v>156</v>
      </c>
      <c r="P68" s="3739">
        <v>31</v>
      </c>
      <c r="Q68" s="3740">
        <v>172</v>
      </c>
      <c r="R68" s="3739">
        <v>53</v>
      </c>
      <c r="S68" s="3740">
        <v>193</v>
      </c>
      <c r="T68" s="3739">
        <v>121</v>
      </c>
      <c r="U68" s="3740">
        <v>263</v>
      </c>
      <c r="V68" s="3739">
        <v>79</v>
      </c>
      <c r="W68" s="3740">
        <v>186</v>
      </c>
      <c r="X68" s="3739">
        <v>90</v>
      </c>
      <c r="Y68" s="3740">
        <v>215</v>
      </c>
      <c r="Z68" s="3739">
        <v>70</v>
      </c>
      <c r="AA68" s="3740">
        <v>206</v>
      </c>
      <c r="AB68" s="3739">
        <v>79</v>
      </c>
      <c r="AC68" s="3740">
        <v>206</v>
      </c>
      <c r="AD68" s="3739">
        <v>121</v>
      </c>
      <c r="AE68" s="3740">
        <v>362</v>
      </c>
      <c r="AF68" s="3739">
        <v>92</v>
      </c>
      <c r="AG68" s="3740">
        <v>365</v>
      </c>
    </row>
    <row r="69" spans="1:33" ht="15" customHeight="1" x14ac:dyDescent="0.2">
      <c r="A69" s="5857"/>
      <c r="B69" s="5859"/>
      <c r="C69" s="3738" t="s">
        <v>499</v>
      </c>
      <c r="D69" s="3739">
        <v>1</v>
      </c>
      <c r="E69" s="3740">
        <v>1</v>
      </c>
      <c r="F69" s="3739">
        <v>13</v>
      </c>
      <c r="G69" s="3740">
        <v>14</v>
      </c>
      <c r="H69" s="3739">
        <v>17</v>
      </c>
      <c r="I69" s="3740">
        <v>27</v>
      </c>
      <c r="J69" s="3739">
        <v>12</v>
      </c>
      <c r="K69" s="3740">
        <v>35</v>
      </c>
      <c r="L69" s="3739">
        <v>13</v>
      </c>
      <c r="M69" s="3740">
        <v>38</v>
      </c>
      <c r="N69" s="3739">
        <v>46</v>
      </c>
      <c r="O69" s="3740">
        <v>76</v>
      </c>
      <c r="P69" s="3739">
        <v>20</v>
      </c>
      <c r="Q69" s="3740">
        <v>88</v>
      </c>
      <c r="R69" s="3739">
        <v>31</v>
      </c>
      <c r="S69" s="3740">
        <v>105</v>
      </c>
      <c r="T69" s="3739">
        <v>63</v>
      </c>
      <c r="U69" s="3740">
        <v>126</v>
      </c>
      <c r="V69" s="3739">
        <v>72</v>
      </c>
      <c r="W69" s="3740">
        <v>142</v>
      </c>
      <c r="X69" s="3739">
        <v>42</v>
      </c>
      <c r="Y69" s="3740">
        <v>166</v>
      </c>
      <c r="Z69" s="3739">
        <v>51</v>
      </c>
      <c r="AA69" s="3740">
        <v>177</v>
      </c>
      <c r="AB69" s="3739">
        <v>67</v>
      </c>
      <c r="AC69" s="3740">
        <v>180</v>
      </c>
      <c r="AD69" s="3739">
        <v>82</v>
      </c>
      <c r="AE69" s="3740">
        <v>204</v>
      </c>
      <c r="AF69" s="3739">
        <v>59</v>
      </c>
      <c r="AG69" s="3740">
        <v>220</v>
      </c>
    </row>
    <row r="70" spans="1:33" ht="15" customHeight="1" x14ac:dyDescent="0.2">
      <c r="A70" s="5857"/>
      <c r="B70" s="5859"/>
      <c r="C70" s="3738" t="s">
        <v>495</v>
      </c>
      <c r="D70" s="3739">
        <v>3</v>
      </c>
      <c r="E70" s="3740">
        <v>3</v>
      </c>
      <c r="F70" s="3739">
        <v>29</v>
      </c>
      <c r="G70" s="3740">
        <v>29</v>
      </c>
      <c r="H70" s="3739">
        <v>26</v>
      </c>
      <c r="I70" s="3740">
        <v>51</v>
      </c>
      <c r="J70" s="3739">
        <v>33</v>
      </c>
      <c r="K70" s="3740">
        <v>70</v>
      </c>
      <c r="L70" s="3739">
        <v>39</v>
      </c>
      <c r="M70" s="3740">
        <v>93</v>
      </c>
      <c r="N70" s="3739">
        <v>109</v>
      </c>
      <c r="O70" s="3740">
        <v>175</v>
      </c>
      <c r="P70" s="3739">
        <v>63</v>
      </c>
      <c r="Q70" s="3740">
        <v>194</v>
      </c>
      <c r="R70" s="3739">
        <v>69</v>
      </c>
      <c r="S70" s="3740">
        <v>198</v>
      </c>
      <c r="T70" s="3739">
        <v>123</v>
      </c>
      <c r="U70" s="3740">
        <v>234</v>
      </c>
      <c r="V70" s="3739">
        <v>138</v>
      </c>
      <c r="W70" s="3740">
        <v>280</v>
      </c>
      <c r="X70" s="3739">
        <v>106</v>
      </c>
      <c r="Y70" s="3740">
        <v>286</v>
      </c>
      <c r="Z70" s="3739">
        <v>104</v>
      </c>
      <c r="AA70" s="3740">
        <v>312</v>
      </c>
      <c r="AB70" s="3739">
        <v>121</v>
      </c>
      <c r="AC70" s="3740">
        <v>327</v>
      </c>
      <c r="AD70" s="3739">
        <v>166</v>
      </c>
      <c r="AE70" s="3740">
        <v>396</v>
      </c>
      <c r="AF70" s="3739">
        <v>131</v>
      </c>
      <c r="AG70" s="3740">
        <v>421</v>
      </c>
    </row>
    <row r="71" spans="1:33" ht="15" customHeight="1" x14ac:dyDescent="0.2">
      <c r="A71" s="5857"/>
      <c r="B71" s="5860"/>
      <c r="C71" s="3744" t="s">
        <v>160</v>
      </c>
      <c r="D71" s="3745">
        <f>SUM(D63:D70)</f>
        <v>17</v>
      </c>
      <c r="E71" s="3746">
        <f t="shared" ref="E71:AA71" si="17">SUM(E63:E70)</f>
        <v>17</v>
      </c>
      <c r="F71" s="3745">
        <f t="shared" si="17"/>
        <v>148</v>
      </c>
      <c r="G71" s="3746">
        <f t="shared" si="17"/>
        <v>153</v>
      </c>
      <c r="H71" s="3745">
        <f t="shared" si="17"/>
        <v>164</v>
      </c>
      <c r="I71" s="3746">
        <f t="shared" si="17"/>
        <v>285</v>
      </c>
      <c r="J71" s="3745">
        <f t="shared" si="17"/>
        <v>151</v>
      </c>
      <c r="K71" s="3746">
        <f t="shared" si="17"/>
        <v>395</v>
      </c>
      <c r="L71" s="3745">
        <f t="shared" si="17"/>
        <v>176</v>
      </c>
      <c r="M71" s="3746">
        <f t="shared" si="17"/>
        <v>483</v>
      </c>
      <c r="N71" s="3745">
        <f t="shared" si="17"/>
        <v>580</v>
      </c>
      <c r="O71" s="3746">
        <f t="shared" si="17"/>
        <v>935</v>
      </c>
      <c r="P71" s="3745">
        <f t="shared" si="17"/>
        <v>335</v>
      </c>
      <c r="Q71" s="3746">
        <f t="shared" si="17"/>
        <v>1099</v>
      </c>
      <c r="R71" s="3745">
        <f t="shared" si="17"/>
        <v>340</v>
      </c>
      <c r="S71" s="3746">
        <f t="shared" si="17"/>
        <v>1138</v>
      </c>
      <c r="T71" s="3745">
        <f t="shared" si="17"/>
        <v>868</v>
      </c>
      <c r="U71" s="3746">
        <f t="shared" si="17"/>
        <v>1567</v>
      </c>
      <c r="V71" s="3745">
        <f t="shared" si="17"/>
        <v>800</v>
      </c>
      <c r="W71" s="3746">
        <f t="shared" si="17"/>
        <v>1867</v>
      </c>
      <c r="X71" s="3745">
        <f t="shared" si="17"/>
        <v>642</v>
      </c>
      <c r="Y71" s="3746">
        <f t="shared" si="17"/>
        <v>2000</v>
      </c>
      <c r="Z71" s="3745">
        <f t="shared" si="17"/>
        <v>594</v>
      </c>
      <c r="AA71" s="3746">
        <f t="shared" si="17"/>
        <v>2071</v>
      </c>
      <c r="AB71" s="3745">
        <f t="shared" ref="AB71:AG71" si="18">SUM(AB63:AB70)</f>
        <v>671</v>
      </c>
      <c r="AC71" s="3746">
        <f t="shared" si="18"/>
        <v>2051</v>
      </c>
      <c r="AD71" s="3745">
        <f t="shared" si="18"/>
        <v>852</v>
      </c>
      <c r="AE71" s="3746">
        <f t="shared" si="18"/>
        <v>2248</v>
      </c>
      <c r="AF71" s="3745">
        <f t="shared" si="18"/>
        <v>691</v>
      </c>
      <c r="AG71" s="3746">
        <f t="shared" si="18"/>
        <v>2337</v>
      </c>
    </row>
    <row r="72" spans="1:33" ht="15" customHeight="1" x14ac:dyDescent="0.2">
      <c r="A72" s="5857"/>
      <c r="B72" s="5861" t="s">
        <v>358</v>
      </c>
      <c r="C72" s="3738" t="s">
        <v>466</v>
      </c>
      <c r="D72" s="3739">
        <v>5</v>
      </c>
      <c r="E72" s="3740">
        <v>5</v>
      </c>
      <c r="F72" s="3739">
        <v>24</v>
      </c>
      <c r="G72" s="3740">
        <v>24</v>
      </c>
      <c r="H72" s="3739">
        <v>23</v>
      </c>
      <c r="I72" s="3740">
        <v>44</v>
      </c>
      <c r="J72" s="3739">
        <v>41</v>
      </c>
      <c r="K72" s="3740">
        <v>77</v>
      </c>
      <c r="L72" s="3739">
        <v>31</v>
      </c>
      <c r="M72" s="3740">
        <v>90</v>
      </c>
      <c r="N72" s="3739">
        <v>109</v>
      </c>
      <c r="O72" s="3740">
        <v>170</v>
      </c>
      <c r="P72" s="3739">
        <v>63</v>
      </c>
      <c r="Q72" s="3740">
        <v>193</v>
      </c>
      <c r="R72" s="3739">
        <v>51</v>
      </c>
      <c r="S72" s="3740">
        <v>169</v>
      </c>
      <c r="T72" s="3739">
        <v>139</v>
      </c>
      <c r="U72" s="3740">
        <v>226</v>
      </c>
      <c r="V72" s="3739">
        <v>142</v>
      </c>
      <c r="W72" s="3740">
        <v>292</v>
      </c>
      <c r="X72" s="3739">
        <v>88</v>
      </c>
      <c r="Y72" s="3740">
        <v>284</v>
      </c>
      <c r="Z72" s="3739">
        <v>102</v>
      </c>
      <c r="AA72" s="3740">
        <v>298</v>
      </c>
      <c r="AB72" s="3739">
        <v>97</v>
      </c>
      <c r="AC72" s="3740">
        <v>286</v>
      </c>
      <c r="AD72" s="3739">
        <v>125</v>
      </c>
      <c r="AE72" s="3740">
        <v>316</v>
      </c>
      <c r="AF72" s="3739">
        <v>85</v>
      </c>
      <c r="AG72" s="3740">
        <v>312</v>
      </c>
    </row>
    <row r="73" spans="1:33" ht="15" customHeight="1" x14ac:dyDescent="0.2">
      <c r="A73" s="5857"/>
      <c r="B73" s="5859"/>
      <c r="C73" s="3738" t="s">
        <v>583</v>
      </c>
      <c r="D73" s="3739">
        <v>3</v>
      </c>
      <c r="E73" s="3740">
        <v>3</v>
      </c>
      <c r="F73" s="3739">
        <v>12</v>
      </c>
      <c r="G73" s="3740">
        <v>14</v>
      </c>
      <c r="H73" s="3739">
        <v>15</v>
      </c>
      <c r="I73" s="3740">
        <v>27</v>
      </c>
      <c r="J73" s="3739">
        <v>17</v>
      </c>
      <c r="K73" s="3740">
        <v>42</v>
      </c>
      <c r="L73" s="3739">
        <v>13</v>
      </c>
      <c r="M73" s="3740">
        <v>50</v>
      </c>
      <c r="N73" s="3739">
        <v>46</v>
      </c>
      <c r="O73" s="3740">
        <v>81</v>
      </c>
      <c r="P73" s="3739">
        <v>22</v>
      </c>
      <c r="Q73" s="3740">
        <v>89</v>
      </c>
      <c r="R73" s="3739">
        <v>17</v>
      </c>
      <c r="S73" s="3740">
        <v>72</v>
      </c>
      <c r="T73" s="3739">
        <v>66</v>
      </c>
      <c r="U73" s="3740">
        <v>98</v>
      </c>
      <c r="V73" s="3739">
        <v>58</v>
      </c>
      <c r="W73" s="3740">
        <v>126</v>
      </c>
      <c r="X73" s="3739">
        <v>48</v>
      </c>
      <c r="Y73" s="3740">
        <v>148</v>
      </c>
      <c r="Z73" s="3739">
        <v>45</v>
      </c>
      <c r="AA73" s="3740">
        <v>165</v>
      </c>
      <c r="AB73" s="3739">
        <v>38</v>
      </c>
      <c r="AC73" s="3740">
        <v>148</v>
      </c>
      <c r="AD73" s="3739">
        <v>51</v>
      </c>
      <c r="AE73" s="3740">
        <v>161</v>
      </c>
      <c r="AF73" s="3739">
        <v>55</v>
      </c>
      <c r="AG73" s="3740">
        <v>172</v>
      </c>
    </row>
    <row r="74" spans="1:33" ht="15" customHeight="1" x14ac:dyDescent="0.2">
      <c r="A74" s="5857"/>
      <c r="B74" s="5859"/>
      <c r="C74" s="3738" t="s">
        <v>468</v>
      </c>
      <c r="D74" s="3739">
        <v>2</v>
      </c>
      <c r="E74" s="3740">
        <v>1</v>
      </c>
      <c r="F74" s="3739">
        <v>14</v>
      </c>
      <c r="G74" s="3740">
        <v>16</v>
      </c>
      <c r="H74" s="3739">
        <v>17</v>
      </c>
      <c r="I74" s="3740">
        <v>31</v>
      </c>
      <c r="J74" s="3739">
        <v>10</v>
      </c>
      <c r="K74" s="3740">
        <v>37</v>
      </c>
      <c r="L74" s="3739">
        <v>18</v>
      </c>
      <c r="M74" s="3740">
        <v>46</v>
      </c>
      <c r="N74" s="3739">
        <v>50</v>
      </c>
      <c r="O74" s="3740">
        <v>80</v>
      </c>
      <c r="P74" s="3739">
        <v>25</v>
      </c>
      <c r="Q74" s="3740">
        <v>91</v>
      </c>
      <c r="R74" s="3739">
        <v>12</v>
      </c>
      <c r="S74" s="3740">
        <v>68</v>
      </c>
      <c r="T74" s="3739">
        <v>32</v>
      </c>
      <c r="U74" s="3740">
        <v>67</v>
      </c>
      <c r="V74" s="3739">
        <v>54</v>
      </c>
      <c r="W74" s="3740">
        <v>85</v>
      </c>
      <c r="X74" s="3739">
        <v>38</v>
      </c>
      <c r="Y74" s="3740">
        <v>100</v>
      </c>
      <c r="Z74" s="3739">
        <v>32</v>
      </c>
      <c r="AA74" s="3740">
        <v>96</v>
      </c>
      <c r="AB74" s="3739">
        <v>29</v>
      </c>
      <c r="AC74" s="3740">
        <v>89</v>
      </c>
      <c r="AD74" s="3739">
        <v>47</v>
      </c>
      <c r="AE74" s="3740">
        <v>109</v>
      </c>
      <c r="AF74" s="3739">
        <v>36</v>
      </c>
      <c r="AG74" s="3740">
        <v>112</v>
      </c>
    </row>
    <row r="75" spans="1:33" ht="15" customHeight="1" x14ac:dyDescent="0.2">
      <c r="A75" s="5857"/>
      <c r="B75" s="5859"/>
      <c r="C75" s="3738" t="s">
        <v>500</v>
      </c>
      <c r="D75" s="3739">
        <v>1</v>
      </c>
      <c r="E75" s="3740">
        <v>1</v>
      </c>
      <c r="F75" s="3739">
        <v>6</v>
      </c>
      <c r="G75" s="3740">
        <v>7</v>
      </c>
      <c r="H75" s="3739">
        <v>13</v>
      </c>
      <c r="I75" s="3740">
        <v>19</v>
      </c>
      <c r="J75" s="3739">
        <v>5</v>
      </c>
      <c r="K75" s="3740">
        <v>20</v>
      </c>
      <c r="L75" s="3739">
        <v>9</v>
      </c>
      <c r="M75" s="3740">
        <v>24</v>
      </c>
      <c r="N75" s="3739">
        <v>35</v>
      </c>
      <c r="O75" s="3740">
        <v>51</v>
      </c>
      <c r="P75" s="3739">
        <v>24</v>
      </c>
      <c r="Q75" s="3740">
        <v>68</v>
      </c>
      <c r="R75" s="3739">
        <v>43</v>
      </c>
      <c r="S75" s="3740">
        <v>88</v>
      </c>
      <c r="T75" s="3739">
        <v>62</v>
      </c>
      <c r="U75" s="3740">
        <v>100</v>
      </c>
      <c r="V75" s="3739">
        <v>69</v>
      </c>
      <c r="W75" s="3740">
        <v>140</v>
      </c>
      <c r="X75" s="3739">
        <v>48</v>
      </c>
      <c r="Y75" s="3740">
        <v>140</v>
      </c>
      <c r="Z75" s="3739">
        <v>57</v>
      </c>
      <c r="AA75" s="3740">
        <v>151</v>
      </c>
      <c r="AB75" s="3739">
        <v>53</v>
      </c>
      <c r="AC75" s="3740">
        <v>161</v>
      </c>
      <c r="AD75" s="3739">
        <v>61</v>
      </c>
      <c r="AE75" s="3740">
        <v>165</v>
      </c>
      <c r="AF75" s="3739">
        <v>55</v>
      </c>
      <c r="AG75" s="3740">
        <v>175</v>
      </c>
    </row>
    <row r="76" spans="1:33" ht="15" customHeight="1" x14ac:dyDescent="0.2">
      <c r="A76" s="5857"/>
      <c r="B76" s="5859"/>
      <c r="C76" s="3747" t="s">
        <v>160</v>
      </c>
      <c r="D76" s="3748">
        <f>SUM(D72:D75)</f>
        <v>11</v>
      </c>
      <c r="E76" s="3749">
        <f t="shared" ref="E76:AA76" si="19">SUM(E72:E75)</f>
        <v>10</v>
      </c>
      <c r="F76" s="3748">
        <f t="shared" si="19"/>
        <v>56</v>
      </c>
      <c r="G76" s="3749">
        <f t="shared" si="19"/>
        <v>61</v>
      </c>
      <c r="H76" s="3748">
        <f t="shared" si="19"/>
        <v>68</v>
      </c>
      <c r="I76" s="3749">
        <f t="shared" si="19"/>
        <v>121</v>
      </c>
      <c r="J76" s="3748">
        <f t="shared" si="19"/>
        <v>73</v>
      </c>
      <c r="K76" s="3749">
        <f t="shared" si="19"/>
        <v>176</v>
      </c>
      <c r="L76" s="3748">
        <f t="shared" si="19"/>
        <v>71</v>
      </c>
      <c r="M76" s="3749">
        <f t="shared" si="19"/>
        <v>210</v>
      </c>
      <c r="N76" s="3748">
        <f t="shared" si="19"/>
        <v>240</v>
      </c>
      <c r="O76" s="3749">
        <f t="shared" si="19"/>
        <v>382</v>
      </c>
      <c r="P76" s="3748">
        <f t="shared" si="19"/>
        <v>134</v>
      </c>
      <c r="Q76" s="3749">
        <f t="shared" si="19"/>
        <v>441</v>
      </c>
      <c r="R76" s="3748">
        <f t="shared" si="19"/>
        <v>123</v>
      </c>
      <c r="S76" s="3749">
        <f t="shared" si="19"/>
        <v>397</v>
      </c>
      <c r="T76" s="3748">
        <f t="shared" si="19"/>
        <v>299</v>
      </c>
      <c r="U76" s="3749">
        <f t="shared" si="19"/>
        <v>491</v>
      </c>
      <c r="V76" s="3748">
        <f t="shared" si="19"/>
        <v>323</v>
      </c>
      <c r="W76" s="3749">
        <f t="shared" si="19"/>
        <v>643</v>
      </c>
      <c r="X76" s="3748">
        <f t="shared" si="19"/>
        <v>222</v>
      </c>
      <c r="Y76" s="3749">
        <f t="shared" si="19"/>
        <v>672</v>
      </c>
      <c r="Z76" s="3748">
        <f t="shared" si="19"/>
        <v>236</v>
      </c>
      <c r="AA76" s="3749">
        <f t="shared" si="19"/>
        <v>710</v>
      </c>
      <c r="AB76" s="3748">
        <f t="shared" ref="AB76:AG76" si="20">SUM(AB72:AB75)</f>
        <v>217</v>
      </c>
      <c r="AC76" s="3749">
        <f t="shared" si="20"/>
        <v>684</v>
      </c>
      <c r="AD76" s="3748">
        <f t="shared" si="20"/>
        <v>284</v>
      </c>
      <c r="AE76" s="3749">
        <f t="shared" si="20"/>
        <v>751</v>
      </c>
      <c r="AF76" s="3748">
        <f t="shared" si="20"/>
        <v>231</v>
      </c>
      <c r="AG76" s="3749">
        <f t="shared" si="20"/>
        <v>771</v>
      </c>
    </row>
    <row r="77" spans="1:33" ht="15" customHeight="1" x14ac:dyDescent="0.2">
      <c r="A77" s="5858"/>
      <c r="B77" s="3771"/>
      <c r="C77" s="3768" t="s">
        <v>450</v>
      </c>
      <c r="D77" s="3769">
        <f>SUM(D76,D71,D62)</f>
        <v>47</v>
      </c>
      <c r="E77" s="3770">
        <f t="shared" ref="E77:AA77" si="21">SUM(E76,E71,E62)</f>
        <v>44</v>
      </c>
      <c r="F77" s="3769">
        <f t="shared" si="21"/>
        <v>317</v>
      </c>
      <c r="G77" s="3770">
        <f t="shared" si="21"/>
        <v>336</v>
      </c>
      <c r="H77" s="3769">
        <f t="shared" si="21"/>
        <v>348</v>
      </c>
      <c r="I77" s="3770">
        <f t="shared" si="21"/>
        <v>635</v>
      </c>
      <c r="J77" s="3769">
        <f t="shared" si="21"/>
        <v>347</v>
      </c>
      <c r="K77" s="3770">
        <f t="shared" si="21"/>
        <v>877</v>
      </c>
      <c r="L77" s="3769">
        <f t="shared" si="21"/>
        <v>401</v>
      </c>
      <c r="M77" s="3770">
        <f t="shared" si="21"/>
        <v>1061</v>
      </c>
      <c r="N77" s="3769">
        <f t="shared" si="21"/>
        <v>1231</v>
      </c>
      <c r="O77" s="3770">
        <f t="shared" si="21"/>
        <v>2004</v>
      </c>
      <c r="P77" s="3769">
        <f t="shared" si="21"/>
        <v>709</v>
      </c>
      <c r="Q77" s="3770">
        <f t="shared" si="21"/>
        <v>2354</v>
      </c>
      <c r="R77" s="3769">
        <f t="shared" si="21"/>
        <v>703</v>
      </c>
      <c r="S77" s="3770">
        <f t="shared" si="21"/>
        <v>2359</v>
      </c>
      <c r="T77" s="3769">
        <f t="shared" si="21"/>
        <v>1841</v>
      </c>
      <c r="U77" s="3770">
        <f t="shared" si="21"/>
        <v>3194</v>
      </c>
      <c r="V77" s="3769">
        <f t="shared" si="21"/>
        <v>1723</v>
      </c>
      <c r="W77" s="3770">
        <f t="shared" si="21"/>
        <v>3881</v>
      </c>
      <c r="X77" s="3769">
        <f t="shared" si="21"/>
        <v>1384</v>
      </c>
      <c r="Y77" s="3770">
        <f t="shared" si="21"/>
        <v>4251</v>
      </c>
      <c r="Z77" s="3769">
        <f t="shared" si="21"/>
        <v>1306</v>
      </c>
      <c r="AA77" s="3770">
        <f t="shared" si="21"/>
        <v>4418</v>
      </c>
      <c r="AB77" s="3769">
        <f t="shared" ref="AB77:AG77" si="22">SUM(AB76,AB71,AB62)</f>
        <v>1360</v>
      </c>
      <c r="AC77" s="3770">
        <f t="shared" si="22"/>
        <v>4332</v>
      </c>
      <c r="AD77" s="3769">
        <f t="shared" si="22"/>
        <v>1769</v>
      </c>
      <c r="AE77" s="3770">
        <f t="shared" si="22"/>
        <v>4644</v>
      </c>
      <c r="AF77" s="3769">
        <f t="shared" si="22"/>
        <v>1442</v>
      </c>
      <c r="AG77" s="3770">
        <f t="shared" si="22"/>
        <v>4807</v>
      </c>
    </row>
    <row r="78" spans="1:33" ht="15" customHeight="1" x14ac:dyDescent="0.2">
      <c r="A78" s="5845" t="s">
        <v>436</v>
      </c>
      <c r="B78" s="5848" t="s">
        <v>435</v>
      </c>
      <c r="C78" s="3753" t="s">
        <v>462</v>
      </c>
      <c r="D78" s="3754"/>
      <c r="E78" s="3755"/>
      <c r="F78" s="3754"/>
      <c r="G78" s="3755"/>
      <c r="H78" s="3754"/>
      <c r="I78" s="3755"/>
      <c r="J78" s="3754"/>
      <c r="K78" s="3755"/>
      <c r="L78" s="3754">
        <v>8</v>
      </c>
      <c r="M78" s="3755">
        <v>8</v>
      </c>
      <c r="N78" s="3754">
        <v>19</v>
      </c>
      <c r="O78" s="3755">
        <v>27</v>
      </c>
      <c r="P78" s="3754">
        <v>22</v>
      </c>
      <c r="Q78" s="3755">
        <v>47</v>
      </c>
      <c r="R78" s="3754">
        <v>19</v>
      </c>
      <c r="S78" s="3755">
        <v>61</v>
      </c>
      <c r="T78" s="3754">
        <v>7</v>
      </c>
      <c r="U78" s="3755">
        <v>60</v>
      </c>
      <c r="V78" s="3754">
        <v>21</v>
      </c>
      <c r="W78" s="3755">
        <v>61</v>
      </c>
      <c r="X78" s="3754">
        <v>16</v>
      </c>
      <c r="Y78" s="3755">
        <v>52</v>
      </c>
      <c r="Z78" s="3754">
        <v>14</v>
      </c>
      <c r="AA78" s="3755">
        <v>51</v>
      </c>
      <c r="AB78" s="3754">
        <v>23</v>
      </c>
      <c r="AC78" s="3755">
        <v>58</v>
      </c>
      <c r="AD78" s="3754">
        <v>32</v>
      </c>
      <c r="AE78" s="3755">
        <v>73</v>
      </c>
      <c r="AF78" s="3754">
        <v>41</v>
      </c>
      <c r="AG78" s="3755">
        <v>103</v>
      </c>
    </row>
    <row r="79" spans="1:33" ht="15" customHeight="1" x14ac:dyDescent="0.2">
      <c r="A79" s="5846"/>
      <c r="B79" s="5848"/>
      <c r="C79" s="3738" t="s">
        <v>463</v>
      </c>
      <c r="D79" s="3739"/>
      <c r="E79" s="3740"/>
      <c r="F79" s="3739"/>
      <c r="G79" s="3740"/>
      <c r="H79" s="3739"/>
      <c r="I79" s="3740"/>
      <c r="J79" s="3739"/>
      <c r="K79" s="3740"/>
      <c r="L79" s="3739">
        <v>8</v>
      </c>
      <c r="M79" s="3740">
        <v>8</v>
      </c>
      <c r="N79" s="3739">
        <v>19</v>
      </c>
      <c r="O79" s="3740">
        <v>27</v>
      </c>
      <c r="P79" s="3739">
        <v>5</v>
      </c>
      <c r="Q79" s="3740">
        <v>31</v>
      </c>
      <c r="R79" s="3739">
        <v>3</v>
      </c>
      <c r="S79" s="3740">
        <v>24</v>
      </c>
      <c r="T79" s="3739"/>
      <c r="U79" s="3740">
        <v>21</v>
      </c>
      <c r="V79" s="3739"/>
      <c r="W79" s="3740"/>
      <c r="X79" s="3739"/>
      <c r="Y79" s="3740"/>
      <c r="Z79" s="3739"/>
      <c r="AA79" s="3740"/>
      <c r="AB79" s="3739"/>
      <c r="AC79" s="3740"/>
      <c r="AD79" s="3739"/>
      <c r="AE79" s="3740"/>
      <c r="AF79" s="3739">
        <v>5</v>
      </c>
      <c r="AG79" s="3740">
        <v>5</v>
      </c>
    </row>
    <row r="80" spans="1:33" ht="15" customHeight="1" x14ac:dyDescent="0.2">
      <c r="A80" s="5846"/>
      <c r="B80" s="5848"/>
      <c r="C80" s="3738" t="s">
        <v>502</v>
      </c>
      <c r="D80" s="3739"/>
      <c r="E80" s="3740"/>
      <c r="F80" s="3739"/>
      <c r="G80" s="3740"/>
      <c r="H80" s="3739"/>
      <c r="I80" s="3740"/>
      <c r="J80" s="3739"/>
      <c r="K80" s="3740"/>
      <c r="L80" s="3739"/>
      <c r="M80" s="3740"/>
      <c r="N80" s="3739"/>
      <c r="O80" s="3740"/>
      <c r="P80" s="3739">
        <v>6</v>
      </c>
      <c r="Q80" s="3740">
        <v>6</v>
      </c>
      <c r="R80" s="3739">
        <v>6</v>
      </c>
      <c r="S80" s="3740">
        <v>12</v>
      </c>
      <c r="T80" s="3739">
        <v>7</v>
      </c>
      <c r="U80" s="3740">
        <v>19</v>
      </c>
      <c r="V80" s="3739">
        <v>13</v>
      </c>
      <c r="W80" s="3740">
        <v>26</v>
      </c>
      <c r="X80" s="3739">
        <v>14</v>
      </c>
      <c r="Y80" s="3740">
        <v>36</v>
      </c>
      <c r="Z80" s="3739">
        <v>4</v>
      </c>
      <c r="AA80" s="3740">
        <v>29</v>
      </c>
      <c r="AB80" s="3739">
        <v>11</v>
      </c>
      <c r="AC80" s="3740">
        <v>32</v>
      </c>
      <c r="AD80" s="3739">
        <v>31</v>
      </c>
      <c r="AE80" s="3740">
        <v>47</v>
      </c>
      <c r="AF80" s="3739">
        <v>27</v>
      </c>
      <c r="AG80" s="3740">
        <v>64</v>
      </c>
    </row>
    <row r="81" spans="1:33" ht="15" customHeight="1" x14ac:dyDescent="0.2">
      <c r="A81" s="5846"/>
      <c r="B81" s="5848"/>
      <c r="C81" s="3738" t="s">
        <v>501</v>
      </c>
      <c r="D81" s="3739"/>
      <c r="E81" s="3740"/>
      <c r="F81" s="3739"/>
      <c r="G81" s="3740"/>
      <c r="H81" s="3739"/>
      <c r="I81" s="3740"/>
      <c r="J81" s="3739"/>
      <c r="K81" s="3740"/>
      <c r="L81" s="3739"/>
      <c r="M81" s="3740"/>
      <c r="N81" s="3739"/>
      <c r="O81" s="3740"/>
      <c r="P81" s="3739">
        <v>3</v>
      </c>
      <c r="Q81" s="3740">
        <v>3</v>
      </c>
      <c r="R81" s="3739">
        <v>7</v>
      </c>
      <c r="S81" s="3740">
        <v>10</v>
      </c>
      <c r="T81" s="3739">
        <v>8</v>
      </c>
      <c r="U81" s="3740">
        <v>16</v>
      </c>
      <c r="V81" s="3739">
        <v>17</v>
      </c>
      <c r="W81" s="3740">
        <v>30</v>
      </c>
      <c r="X81" s="3739">
        <v>12</v>
      </c>
      <c r="Y81" s="3740">
        <v>40</v>
      </c>
      <c r="Z81" s="3739">
        <v>9</v>
      </c>
      <c r="AA81" s="3740">
        <v>34</v>
      </c>
      <c r="AB81" s="3739">
        <v>6</v>
      </c>
      <c r="AC81" s="3740">
        <v>28</v>
      </c>
      <c r="AD81" s="3739">
        <v>35</v>
      </c>
      <c r="AE81" s="3740">
        <v>57</v>
      </c>
      <c r="AF81" s="3739">
        <v>38</v>
      </c>
      <c r="AG81" s="3740">
        <v>82</v>
      </c>
    </row>
    <row r="82" spans="1:33" ht="15" customHeight="1" x14ac:dyDescent="0.2">
      <c r="A82" s="5846"/>
      <c r="B82" s="5849"/>
      <c r="C82" s="3744" t="s">
        <v>160</v>
      </c>
      <c r="D82" s="3745"/>
      <c r="E82" s="3746"/>
      <c r="F82" s="3745"/>
      <c r="G82" s="3746"/>
      <c r="H82" s="3745"/>
      <c r="I82" s="3746"/>
      <c r="J82" s="3745"/>
      <c r="K82" s="3746"/>
      <c r="L82" s="3745">
        <f>SUM(L78:L81)</f>
        <v>16</v>
      </c>
      <c r="M82" s="3746">
        <f t="shared" ref="M82:AA82" si="23">SUM(M78:M81)</f>
        <v>16</v>
      </c>
      <c r="N82" s="3745">
        <f t="shared" si="23"/>
        <v>38</v>
      </c>
      <c r="O82" s="3746">
        <f t="shared" si="23"/>
        <v>54</v>
      </c>
      <c r="P82" s="3745">
        <f t="shared" si="23"/>
        <v>36</v>
      </c>
      <c r="Q82" s="3746">
        <f t="shared" si="23"/>
        <v>87</v>
      </c>
      <c r="R82" s="3745">
        <f t="shared" si="23"/>
        <v>35</v>
      </c>
      <c r="S82" s="3746">
        <f t="shared" si="23"/>
        <v>107</v>
      </c>
      <c r="T82" s="3745">
        <f t="shared" si="23"/>
        <v>22</v>
      </c>
      <c r="U82" s="3746">
        <f t="shared" si="23"/>
        <v>116</v>
      </c>
      <c r="V82" s="3745">
        <f t="shared" si="23"/>
        <v>51</v>
      </c>
      <c r="W82" s="3746">
        <f t="shared" si="23"/>
        <v>117</v>
      </c>
      <c r="X82" s="3745">
        <f t="shared" si="23"/>
        <v>42</v>
      </c>
      <c r="Y82" s="3746">
        <f t="shared" si="23"/>
        <v>128</v>
      </c>
      <c r="Z82" s="3745">
        <f t="shared" si="23"/>
        <v>27</v>
      </c>
      <c r="AA82" s="3746">
        <f t="shared" si="23"/>
        <v>114</v>
      </c>
      <c r="AB82" s="3745">
        <f t="shared" ref="AB82:AG82" si="24">SUM(AB78:AB81)</f>
        <v>40</v>
      </c>
      <c r="AC82" s="3746">
        <f t="shared" si="24"/>
        <v>118</v>
      </c>
      <c r="AD82" s="3745">
        <f t="shared" si="24"/>
        <v>98</v>
      </c>
      <c r="AE82" s="3746">
        <f t="shared" si="24"/>
        <v>177</v>
      </c>
      <c r="AF82" s="3745">
        <f t="shared" si="24"/>
        <v>111</v>
      </c>
      <c r="AG82" s="3746">
        <f t="shared" si="24"/>
        <v>254</v>
      </c>
    </row>
    <row r="83" spans="1:33" ht="15" customHeight="1" x14ac:dyDescent="0.2">
      <c r="A83" s="5846"/>
      <c r="B83" s="5850" t="s">
        <v>9</v>
      </c>
      <c r="C83" s="3738" t="s">
        <v>582</v>
      </c>
      <c r="D83" s="3739"/>
      <c r="E83" s="3740"/>
      <c r="F83" s="3739"/>
      <c r="G83" s="3740"/>
      <c r="H83" s="3739"/>
      <c r="I83" s="3740"/>
      <c r="J83" s="3739"/>
      <c r="K83" s="3740"/>
      <c r="L83" s="3739">
        <v>4</v>
      </c>
      <c r="M83" s="3740">
        <v>4</v>
      </c>
      <c r="N83" s="3739">
        <v>19</v>
      </c>
      <c r="O83" s="3740">
        <v>23</v>
      </c>
      <c r="P83" s="3739">
        <v>11</v>
      </c>
      <c r="Q83" s="3740">
        <v>33</v>
      </c>
      <c r="R83" s="3739">
        <v>14</v>
      </c>
      <c r="S83" s="3740">
        <v>42</v>
      </c>
      <c r="T83" s="3739">
        <v>17</v>
      </c>
      <c r="U83" s="3740">
        <v>58</v>
      </c>
      <c r="V83" s="3739">
        <v>12</v>
      </c>
      <c r="W83" s="3740">
        <v>52</v>
      </c>
      <c r="X83" s="3739">
        <v>13</v>
      </c>
      <c r="Y83" s="3740">
        <v>38</v>
      </c>
      <c r="Z83" s="3739">
        <v>17</v>
      </c>
      <c r="AA83" s="3740">
        <v>38</v>
      </c>
      <c r="AB83" s="3739">
        <v>19</v>
      </c>
      <c r="AC83" s="3740">
        <v>66</v>
      </c>
      <c r="AD83" s="3739">
        <v>25</v>
      </c>
      <c r="AE83" s="3740">
        <v>62</v>
      </c>
      <c r="AF83" s="3739">
        <v>21</v>
      </c>
      <c r="AG83" s="3740">
        <v>67</v>
      </c>
    </row>
    <row r="84" spans="1:33" ht="15" customHeight="1" x14ac:dyDescent="0.2">
      <c r="A84" s="5846"/>
      <c r="B84" s="5848"/>
      <c r="C84" s="3738" t="s">
        <v>505</v>
      </c>
      <c r="D84" s="3739"/>
      <c r="E84" s="3740"/>
      <c r="F84" s="3739"/>
      <c r="G84" s="3740"/>
      <c r="H84" s="3739"/>
      <c r="I84" s="3740"/>
      <c r="J84" s="3739"/>
      <c r="K84" s="3740"/>
      <c r="L84" s="3739"/>
      <c r="M84" s="3740"/>
      <c r="N84" s="3739"/>
      <c r="O84" s="3740"/>
      <c r="P84" s="3739">
        <v>10</v>
      </c>
      <c r="Q84" s="3740">
        <v>10</v>
      </c>
      <c r="R84" s="3739">
        <v>20</v>
      </c>
      <c r="S84" s="3740">
        <v>29</v>
      </c>
      <c r="T84" s="3739">
        <v>12</v>
      </c>
      <c r="U84" s="3740">
        <v>37</v>
      </c>
      <c r="V84" s="3739">
        <v>15</v>
      </c>
      <c r="W84" s="3740">
        <v>47</v>
      </c>
      <c r="X84" s="3739">
        <v>24</v>
      </c>
      <c r="Y84" s="3740">
        <v>69</v>
      </c>
      <c r="Z84" s="3739">
        <v>16</v>
      </c>
      <c r="AA84" s="3740">
        <v>64</v>
      </c>
      <c r="AB84" s="3739">
        <v>25</v>
      </c>
      <c r="AC84" s="3740">
        <v>42</v>
      </c>
      <c r="AD84" s="3739">
        <v>34</v>
      </c>
      <c r="AE84" s="3740">
        <v>92</v>
      </c>
      <c r="AF84" s="3739">
        <v>30</v>
      </c>
      <c r="AG84" s="3740">
        <v>94</v>
      </c>
    </row>
    <row r="85" spans="1:33" ht="15" customHeight="1" x14ac:dyDescent="0.2">
      <c r="A85" s="5846"/>
      <c r="B85" s="5848"/>
      <c r="C85" s="3738" t="s">
        <v>504</v>
      </c>
      <c r="D85" s="3739"/>
      <c r="E85" s="3740"/>
      <c r="F85" s="3739"/>
      <c r="G85" s="3740"/>
      <c r="H85" s="3739"/>
      <c r="I85" s="3740"/>
      <c r="J85" s="3739"/>
      <c r="K85" s="3740"/>
      <c r="L85" s="3739"/>
      <c r="M85" s="3740"/>
      <c r="N85" s="3739"/>
      <c r="O85" s="3740"/>
      <c r="P85" s="3739">
        <v>3</v>
      </c>
      <c r="Q85" s="3740">
        <v>3</v>
      </c>
      <c r="R85" s="3739">
        <v>5</v>
      </c>
      <c r="S85" s="3740">
        <v>7</v>
      </c>
      <c r="T85" s="3739">
        <v>5</v>
      </c>
      <c r="U85" s="3740">
        <v>10</v>
      </c>
      <c r="V85" s="3739">
        <v>15</v>
      </c>
      <c r="W85" s="3740">
        <v>22</v>
      </c>
      <c r="X85" s="3739">
        <v>20</v>
      </c>
      <c r="Y85" s="3740">
        <v>35</v>
      </c>
      <c r="Z85" s="3739">
        <v>7</v>
      </c>
      <c r="AA85" s="3740">
        <v>28</v>
      </c>
      <c r="AB85" s="3739">
        <v>13</v>
      </c>
      <c r="AC85" s="3740">
        <v>29</v>
      </c>
      <c r="AD85" s="3739">
        <v>17</v>
      </c>
      <c r="AE85" s="3740">
        <v>34</v>
      </c>
      <c r="AF85" s="3739">
        <v>14</v>
      </c>
      <c r="AG85" s="3740">
        <v>32</v>
      </c>
    </row>
    <row r="86" spans="1:33" ht="15" customHeight="1" x14ac:dyDescent="0.2">
      <c r="A86" s="5846"/>
      <c r="B86" s="5849"/>
      <c r="C86" s="3744" t="s">
        <v>160</v>
      </c>
      <c r="D86" s="3745"/>
      <c r="E86" s="3746"/>
      <c r="F86" s="3745"/>
      <c r="G86" s="3746"/>
      <c r="H86" s="3745"/>
      <c r="I86" s="3746"/>
      <c r="J86" s="3745"/>
      <c r="K86" s="3746"/>
      <c r="L86" s="3745">
        <f>SUM(L83:L85)</f>
        <v>4</v>
      </c>
      <c r="M86" s="3746">
        <f t="shared" ref="M86:AA86" si="25">SUM(M83:M85)</f>
        <v>4</v>
      </c>
      <c r="N86" s="3745">
        <f t="shared" si="25"/>
        <v>19</v>
      </c>
      <c r="O86" s="3746">
        <f t="shared" si="25"/>
        <v>23</v>
      </c>
      <c r="P86" s="3745">
        <f t="shared" si="25"/>
        <v>24</v>
      </c>
      <c r="Q86" s="3746">
        <f t="shared" si="25"/>
        <v>46</v>
      </c>
      <c r="R86" s="3745">
        <f t="shared" si="25"/>
        <v>39</v>
      </c>
      <c r="S86" s="3746">
        <f t="shared" si="25"/>
        <v>78</v>
      </c>
      <c r="T86" s="3745">
        <f t="shared" si="25"/>
        <v>34</v>
      </c>
      <c r="U86" s="3746">
        <f t="shared" si="25"/>
        <v>105</v>
      </c>
      <c r="V86" s="3745">
        <f t="shared" si="25"/>
        <v>42</v>
      </c>
      <c r="W86" s="3746">
        <f t="shared" si="25"/>
        <v>121</v>
      </c>
      <c r="X86" s="3745">
        <f t="shared" si="25"/>
        <v>57</v>
      </c>
      <c r="Y86" s="3746">
        <f t="shared" si="25"/>
        <v>142</v>
      </c>
      <c r="Z86" s="3745">
        <f t="shared" si="25"/>
        <v>40</v>
      </c>
      <c r="AA86" s="3746">
        <f t="shared" si="25"/>
        <v>130</v>
      </c>
      <c r="AB86" s="3745">
        <f t="shared" ref="AB86:AG86" si="26">SUM(AB83:AB85)</f>
        <v>57</v>
      </c>
      <c r="AC86" s="3746">
        <f t="shared" si="26"/>
        <v>137</v>
      </c>
      <c r="AD86" s="3745">
        <f t="shared" si="26"/>
        <v>76</v>
      </c>
      <c r="AE86" s="3746">
        <f t="shared" si="26"/>
        <v>188</v>
      </c>
      <c r="AF86" s="3745">
        <f t="shared" si="26"/>
        <v>65</v>
      </c>
      <c r="AG86" s="3746">
        <f t="shared" si="26"/>
        <v>193</v>
      </c>
    </row>
    <row r="87" spans="1:33" ht="15" customHeight="1" x14ac:dyDescent="0.2">
      <c r="A87" s="5846"/>
      <c r="B87" s="5850" t="s">
        <v>74</v>
      </c>
      <c r="C87" s="3738" t="s">
        <v>461</v>
      </c>
      <c r="D87" s="3739"/>
      <c r="E87" s="3740"/>
      <c r="F87" s="3739"/>
      <c r="G87" s="3740"/>
      <c r="H87" s="3739"/>
      <c r="I87" s="3740"/>
      <c r="J87" s="3739"/>
      <c r="K87" s="3740"/>
      <c r="L87" s="3739">
        <v>6</v>
      </c>
      <c r="M87" s="3740">
        <v>6</v>
      </c>
      <c r="N87" s="3739">
        <v>13</v>
      </c>
      <c r="O87" s="3740">
        <v>19</v>
      </c>
      <c r="P87" s="3739">
        <v>6</v>
      </c>
      <c r="Q87" s="3740">
        <v>22</v>
      </c>
      <c r="R87" s="3739">
        <v>9</v>
      </c>
      <c r="S87" s="3740">
        <v>24</v>
      </c>
      <c r="T87" s="3739">
        <v>8</v>
      </c>
      <c r="U87" s="3740">
        <v>25</v>
      </c>
      <c r="V87" s="3739">
        <v>7</v>
      </c>
      <c r="W87" s="3740">
        <v>20</v>
      </c>
      <c r="X87" s="3739">
        <v>7</v>
      </c>
      <c r="Y87" s="3740">
        <v>23</v>
      </c>
      <c r="Z87" s="3739">
        <v>4</v>
      </c>
      <c r="AA87" s="3740">
        <v>18</v>
      </c>
      <c r="AB87" s="3739">
        <v>13</v>
      </c>
      <c r="AC87" s="3740">
        <v>11</v>
      </c>
      <c r="AD87" s="3739">
        <v>31</v>
      </c>
      <c r="AE87" s="3740">
        <v>43</v>
      </c>
      <c r="AF87" s="3739">
        <v>17</v>
      </c>
      <c r="AG87" s="3740">
        <v>46</v>
      </c>
    </row>
    <row r="88" spans="1:33" ht="15" customHeight="1" x14ac:dyDescent="0.2">
      <c r="A88" s="5846"/>
      <c r="B88" s="5848"/>
      <c r="C88" s="3738" t="s">
        <v>507</v>
      </c>
      <c r="D88" s="3739"/>
      <c r="E88" s="3740"/>
      <c r="F88" s="3739"/>
      <c r="G88" s="3740"/>
      <c r="H88" s="3739"/>
      <c r="I88" s="3740"/>
      <c r="J88" s="3739"/>
      <c r="K88" s="3740"/>
      <c r="L88" s="3739"/>
      <c r="M88" s="3740"/>
      <c r="N88" s="3739"/>
      <c r="O88" s="3740"/>
      <c r="P88" s="3739"/>
      <c r="Q88" s="3740"/>
      <c r="R88" s="3739">
        <v>1</v>
      </c>
      <c r="S88" s="3740">
        <v>1</v>
      </c>
      <c r="T88" s="3739">
        <v>5</v>
      </c>
      <c r="U88" s="3740">
        <v>6</v>
      </c>
      <c r="V88" s="3739">
        <v>8</v>
      </c>
      <c r="W88" s="3740">
        <v>12</v>
      </c>
      <c r="X88" s="3739">
        <v>6</v>
      </c>
      <c r="Y88" s="3740">
        <v>14</v>
      </c>
      <c r="Z88" s="3739">
        <v>5</v>
      </c>
      <c r="AA88" s="3740">
        <v>13</v>
      </c>
      <c r="AB88" s="3739">
        <v>3</v>
      </c>
      <c r="AC88" s="3740">
        <v>28</v>
      </c>
      <c r="AD88" s="3739">
        <v>20</v>
      </c>
      <c r="AE88" s="3740">
        <v>36</v>
      </c>
      <c r="AF88" s="3739">
        <v>20</v>
      </c>
      <c r="AG88" s="3740">
        <v>47</v>
      </c>
    </row>
    <row r="89" spans="1:33" ht="15" customHeight="1" x14ac:dyDescent="0.2">
      <c r="A89" s="5846"/>
      <c r="B89" s="5848"/>
      <c r="C89" s="3738" t="s">
        <v>506</v>
      </c>
      <c r="D89" s="3739"/>
      <c r="E89" s="3740"/>
      <c r="F89" s="3739"/>
      <c r="G89" s="3740"/>
      <c r="H89" s="3739"/>
      <c r="I89" s="3740"/>
      <c r="J89" s="3739"/>
      <c r="K89" s="3740"/>
      <c r="L89" s="3739">
        <v>2</v>
      </c>
      <c r="M89" s="3740">
        <v>2</v>
      </c>
      <c r="N89" s="3739">
        <v>1</v>
      </c>
      <c r="O89" s="3740">
        <v>3</v>
      </c>
      <c r="P89" s="3739">
        <v>6</v>
      </c>
      <c r="Q89" s="3740">
        <v>7</v>
      </c>
      <c r="R89" s="3739">
        <v>8</v>
      </c>
      <c r="S89" s="3740">
        <v>15</v>
      </c>
      <c r="T89" s="3739">
        <v>2</v>
      </c>
      <c r="U89" s="3740">
        <v>11</v>
      </c>
      <c r="V89" s="3739">
        <v>3</v>
      </c>
      <c r="W89" s="3740">
        <v>10</v>
      </c>
      <c r="X89" s="3739">
        <v>13</v>
      </c>
      <c r="Y89" s="3740">
        <v>18</v>
      </c>
      <c r="Z89" s="3739">
        <v>4</v>
      </c>
      <c r="AA89" s="3740">
        <v>16</v>
      </c>
      <c r="AB89" s="3739">
        <v>7</v>
      </c>
      <c r="AC89" s="3740">
        <v>20</v>
      </c>
      <c r="AD89" s="3739">
        <v>9</v>
      </c>
      <c r="AE89" s="3740">
        <v>18</v>
      </c>
      <c r="AF89" s="3739">
        <v>11</v>
      </c>
      <c r="AG89" s="3740">
        <v>22</v>
      </c>
    </row>
    <row r="90" spans="1:33" ht="15" customHeight="1" x14ac:dyDescent="0.2">
      <c r="A90" s="5846"/>
      <c r="B90" s="5848"/>
      <c r="C90" s="3738" t="s">
        <v>584</v>
      </c>
      <c r="D90" s="3739"/>
      <c r="E90" s="3740"/>
      <c r="F90" s="3739"/>
      <c r="G90" s="3740"/>
      <c r="H90" s="3739"/>
      <c r="I90" s="3740"/>
      <c r="J90" s="3739"/>
      <c r="K90" s="3740"/>
      <c r="L90" s="3739"/>
      <c r="M90" s="3740"/>
      <c r="N90" s="3739"/>
      <c r="O90" s="3740"/>
      <c r="P90" s="3739"/>
      <c r="Q90" s="3740"/>
      <c r="R90" s="3739"/>
      <c r="S90" s="3740"/>
      <c r="T90" s="3739"/>
      <c r="U90" s="3740"/>
      <c r="V90" s="3739">
        <v>3</v>
      </c>
      <c r="W90" s="3740">
        <v>3</v>
      </c>
      <c r="X90" s="3739">
        <v>11</v>
      </c>
      <c r="Y90" s="3740">
        <v>14</v>
      </c>
      <c r="Z90" s="3739">
        <v>8</v>
      </c>
      <c r="AA90" s="3740">
        <v>20</v>
      </c>
      <c r="AB90" s="3739">
        <v>16</v>
      </c>
      <c r="AC90" s="3740">
        <v>12</v>
      </c>
      <c r="AD90" s="3739">
        <v>21</v>
      </c>
      <c r="AE90" s="3740">
        <v>35</v>
      </c>
      <c r="AF90" s="3739">
        <v>22</v>
      </c>
      <c r="AG90" s="3740">
        <v>52</v>
      </c>
    </row>
    <row r="91" spans="1:33" ht="15" customHeight="1" x14ac:dyDescent="0.2">
      <c r="A91" s="5846"/>
      <c r="B91" s="5848"/>
      <c r="C91" s="3747" t="s">
        <v>160</v>
      </c>
      <c r="D91" s="3748"/>
      <c r="E91" s="3749"/>
      <c r="F91" s="3748"/>
      <c r="G91" s="3749"/>
      <c r="H91" s="3748"/>
      <c r="I91" s="3749"/>
      <c r="J91" s="3748"/>
      <c r="K91" s="3749"/>
      <c r="L91" s="3748">
        <f>SUM(L87:L90)</f>
        <v>8</v>
      </c>
      <c r="M91" s="3749">
        <f t="shared" ref="M91:AA91" si="27">SUM(M87:M90)</f>
        <v>8</v>
      </c>
      <c r="N91" s="3748">
        <f t="shared" si="27"/>
        <v>14</v>
      </c>
      <c r="O91" s="3749">
        <f t="shared" si="27"/>
        <v>22</v>
      </c>
      <c r="P91" s="3748">
        <f t="shared" si="27"/>
        <v>12</v>
      </c>
      <c r="Q91" s="3749">
        <f t="shared" si="27"/>
        <v>29</v>
      </c>
      <c r="R91" s="3748">
        <f t="shared" si="27"/>
        <v>18</v>
      </c>
      <c r="S91" s="3749">
        <f t="shared" si="27"/>
        <v>40</v>
      </c>
      <c r="T91" s="3748">
        <f t="shared" si="27"/>
        <v>15</v>
      </c>
      <c r="U91" s="3749">
        <f t="shared" si="27"/>
        <v>42</v>
      </c>
      <c r="V91" s="3748">
        <f t="shared" si="27"/>
        <v>21</v>
      </c>
      <c r="W91" s="3749">
        <f t="shared" si="27"/>
        <v>45</v>
      </c>
      <c r="X91" s="3748">
        <f t="shared" si="27"/>
        <v>37</v>
      </c>
      <c r="Y91" s="3749">
        <f t="shared" si="27"/>
        <v>69</v>
      </c>
      <c r="Z91" s="3748">
        <f t="shared" si="27"/>
        <v>21</v>
      </c>
      <c r="AA91" s="3749">
        <f t="shared" si="27"/>
        <v>67</v>
      </c>
      <c r="AB91" s="3748">
        <f t="shared" ref="AB91:AG91" si="28">SUM(AB87:AB90)</f>
        <v>39</v>
      </c>
      <c r="AC91" s="3749">
        <f t="shared" si="28"/>
        <v>71</v>
      </c>
      <c r="AD91" s="3748">
        <f t="shared" si="28"/>
        <v>81</v>
      </c>
      <c r="AE91" s="3749">
        <f t="shared" si="28"/>
        <v>132</v>
      </c>
      <c r="AF91" s="3748">
        <f t="shared" si="28"/>
        <v>70</v>
      </c>
      <c r="AG91" s="3749">
        <f t="shared" si="28"/>
        <v>167</v>
      </c>
    </row>
    <row r="92" spans="1:33" ht="15" customHeight="1" x14ac:dyDescent="0.2">
      <c r="A92" s="5847"/>
      <c r="B92" s="3767"/>
      <c r="C92" s="3762" t="s">
        <v>450</v>
      </c>
      <c r="D92" s="3763"/>
      <c r="E92" s="3764"/>
      <c r="F92" s="3763"/>
      <c r="G92" s="3764"/>
      <c r="H92" s="3763"/>
      <c r="I92" s="3764"/>
      <c r="J92" s="3763"/>
      <c r="K92" s="3764"/>
      <c r="L92" s="3765">
        <f>SUM(L91,L86,L82)</f>
        <v>28</v>
      </c>
      <c r="M92" s="3766">
        <f t="shared" ref="M92:AA92" si="29">SUM(M91,M86,M82)</f>
        <v>28</v>
      </c>
      <c r="N92" s="3765">
        <f t="shared" si="29"/>
        <v>71</v>
      </c>
      <c r="O92" s="3766">
        <f t="shared" si="29"/>
        <v>99</v>
      </c>
      <c r="P92" s="3765">
        <f t="shared" si="29"/>
        <v>72</v>
      </c>
      <c r="Q92" s="3766">
        <f t="shared" si="29"/>
        <v>162</v>
      </c>
      <c r="R92" s="3765">
        <f t="shared" si="29"/>
        <v>92</v>
      </c>
      <c r="S92" s="3766">
        <f t="shared" si="29"/>
        <v>225</v>
      </c>
      <c r="T92" s="3765">
        <f t="shared" si="29"/>
        <v>71</v>
      </c>
      <c r="U92" s="3766">
        <f t="shared" si="29"/>
        <v>263</v>
      </c>
      <c r="V92" s="3765">
        <f t="shared" si="29"/>
        <v>114</v>
      </c>
      <c r="W92" s="3766">
        <f t="shared" si="29"/>
        <v>283</v>
      </c>
      <c r="X92" s="3765">
        <f t="shared" si="29"/>
        <v>136</v>
      </c>
      <c r="Y92" s="3766">
        <f t="shared" si="29"/>
        <v>339</v>
      </c>
      <c r="Z92" s="3765">
        <f t="shared" si="29"/>
        <v>88</v>
      </c>
      <c r="AA92" s="3766">
        <f t="shared" si="29"/>
        <v>311</v>
      </c>
      <c r="AB92" s="3765">
        <f t="shared" ref="AB92:AG92" si="30">SUM(AB91,AB86,AB82)</f>
        <v>136</v>
      </c>
      <c r="AC92" s="3766">
        <f t="shared" si="30"/>
        <v>326</v>
      </c>
      <c r="AD92" s="3765">
        <f t="shared" si="30"/>
        <v>255</v>
      </c>
      <c r="AE92" s="3766">
        <f t="shared" si="30"/>
        <v>497</v>
      </c>
      <c r="AF92" s="3765">
        <f t="shared" si="30"/>
        <v>246</v>
      </c>
      <c r="AG92" s="3766">
        <f t="shared" si="30"/>
        <v>614</v>
      </c>
    </row>
    <row r="93" spans="1:33" ht="15" customHeight="1" x14ac:dyDescent="0.2">
      <c r="A93" s="5851" t="s">
        <v>437</v>
      </c>
      <c r="B93" s="5853" t="s">
        <v>5</v>
      </c>
      <c r="C93" s="3750" t="s">
        <v>509</v>
      </c>
      <c r="D93" s="3751"/>
      <c r="E93" s="3752"/>
      <c r="F93" s="3751"/>
      <c r="G93" s="3752"/>
      <c r="H93" s="3751"/>
      <c r="I93" s="3752"/>
      <c r="J93" s="3751"/>
      <c r="K93" s="3752"/>
      <c r="L93" s="3751"/>
      <c r="M93" s="3752"/>
      <c r="N93" s="3751"/>
      <c r="O93" s="3752"/>
      <c r="P93" s="3751"/>
      <c r="Q93" s="3752"/>
      <c r="R93" s="3751"/>
      <c r="S93" s="3752"/>
      <c r="T93" s="3751"/>
      <c r="U93" s="3752"/>
      <c r="V93" s="3751"/>
      <c r="W93" s="3752"/>
      <c r="X93" s="3751">
        <v>22</v>
      </c>
      <c r="Y93" s="3752">
        <v>22</v>
      </c>
      <c r="Z93" s="3751">
        <v>17</v>
      </c>
      <c r="AA93" s="3752">
        <v>40</v>
      </c>
      <c r="AB93" s="3751">
        <v>18</v>
      </c>
      <c r="AC93" s="3752">
        <v>50</v>
      </c>
      <c r="AD93" s="3751">
        <v>8</v>
      </c>
      <c r="AE93" s="3752">
        <v>45</v>
      </c>
      <c r="AF93" s="3751">
        <v>31</v>
      </c>
      <c r="AG93" s="3752">
        <v>61</v>
      </c>
    </row>
    <row r="94" spans="1:33" ht="15" customHeight="1" x14ac:dyDescent="0.2">
      <c r="A94" s="5851"/>
      <c r="B94" s="5855"/>
      <c r="C94" s="3744" t="s">
        <v>160</v>
      </c>
      <c r="D94" s="3745"/>
      <c r="E94" s="3746"/>
      <c r="F94" s="3745"/>
      <c r="G94" s="3746"/>
      <c r="H94" s="3745"/>
      <c r="I94" s="3746"/>
      <c r="J94" s="3745"/>
      <c r="K94" s="3746"/>
      <c r="L94" s="3745"/>
      <c r="M94" s="3746"/>
      <c r="N94" s="3745"/>
      <c r="O94" s="3746"/>
      <c r="P94" s="3745"/>
      <c r="Q94" s="3746"/>
      <c r="R94" s="3745"/>
      <c r="S94" s="3746"/>
      <c r="T94" s="3745"/>
      <c r="U94" s="3746"/>
      <c r="V94" s="3745"/>
      <c r="W94" s="3746"/>
      <c r="X94" s="3745">
        <f>SUM(X93)</f>
        <v>22</v>
      </c>
      <c r="Y94" s="3746">
        <f t="shared" ref="Y94:AE94" si="31">SUM(Y93)</f>
        <v>22</v>
      </c>
      <c r="Z94" s="3745">
        <f t="shared" si="31"/>
        <v>17</v>
      </c>
      <c r="AA94" s="3746">
        <f t="shared" si="31"/>
        <v>40</v>
      </c>
      <c r="AB94" s="3745">
        <f t="shared" si="31"/>
        <v>18</v>
      </c>
      <c r="AC94" s="3746">
        <f t="shared" si="31"/>
        <v>50</v>
      </c>
      <c r="AD94" s="3745">
        <f t="shared" si="31"/>
        <v>8</v>
      </c>
      <c r="AE94" s="3746">
        <f t="shared" si="31"/>
        <v>45</v>
      </c>
      <c r="AF94" s="3745">
        <f t="shared" ref="AF94:AG94" si="32">SUM(AF93)</f>
        <v>31</v>
      </c>
      <c r="AG94" s="3746">
        <f t="shared" si="32"/>
        <v>61</v>
      </c>
    </row>
    <row r="95" spans="1:33" ht="15" customHeight="1" x14ac:dyDescent="0.2">
      <c r="A95" s="5851"/>
      <c r="B95" s="5853" t="s">
        <v>6</v>
      </c>
      <c r="C95" s="3741" t="s">
        <v>510</v>
      </c>
      <c r="D95" s="3742"/>
      <c r="E95" s="3743"/>
      <c r="F95" s="3742"/>
      <c r="G95" s="3743"/>
      <c r="H95" s="3742"/>
      <c r="I95" s="3743"/>
      <c r="J95" s="3742"/>
      <c r="K95" s="3743"/>
      <c r="L95" s="3742"/>
      <c r="M95" s="3743"/>
      <c r="N95" s="3742"/>
      <c r="O95" s="3743"/>
      <c r="P95" s="3742"/>
      <c r="Q95" s="3743"/>
      <c r="R95" s="3742"/>
      <c r="S95" s="3743"/>
      <c r="T95" s="3742"/>
      <c r="U95" s="3743"/>
      <c r="V95" s="3742"/>
      <c r="W95" s="3743"/>
      <c r="X95" s="3742">
        <v>25</v>
      </c>
      <c r="Y95" s="3743">
        <v>25</v>
      </c>
      <c r="Z95" s="3742">
        <v>20</v>
      </c>
      <c r="AA95" s="3743">
        <v>45</v>
      </c>
      <c r="AB95" s="3742">
        <v>19</v>
      </c>
      <c r="AC95" s="3743">
        <v>4</v>
      </c>
      <c r="AD95" s="3742">
        <v>12</v>
      </c>
      <c r="AE95" s="3743">
        <v>65</v>
      </c>
      <c r="AF95" s="3742">
        <v>27</v>
      </c>
      <c r="AG95" s="3743">
        <v>83</v>
      </c>
    </row>
    <row r="96" spans="1:33" ht="15" customHeight="1" x14ac:dyDescent="0.2">
      <c r="A96" s="5851"/>
      <c r="B96" s="5854"/>
      <c r="C96" s="3741" t="s">
        <v>645</v>
      </c>
      <c r="D96" s="3742"/>
      <c r="E96" s="3743"/>
      <c r="F96" s="3742"/>
      <c r="G96" s="3743"/>
      <c r="H96" s="3742"/>
      <c r="I96" s="3743"/>
      <c r="J96" s="3742"/>
      <c r="K96" s="3743"/>
      <c r="L96" s="3742"/>
      <c r="M96" s="3743"/>
      <c r="N96" s="3742"/>
      <c r="O96" s="3743"/>
      <c r="P96" s="3742"/>
      <c r="Q96" s="3743"/>
      <c r="R96" s="3742"/>
      <c r="S96" s="3743"/>
      <c r="T96" s="3742"/>
      <c r="U96" s="3743"/>
      <c r="V96" s="3742"/>
      <c r="W96" s="3743"/>
      <c r="X96" s="3742"/>
      <c r="Y96" s="3743"/>
      <c r="Z96" s="3742"/>
      <c r="AA96" s="3743"/>
      <c r="AB96" s="3742">
        <v>4</v>
      </c>
      <c r="AC96" s="3743">
        <v>57</v>
      </c>
      <c r="AD96" s="3742">
        <v>9</v>
      </c>
      <c r="AE96" s="3743">
        <v>12</v>
      </c>
      <c r="AF96" s="3742">
        <v>18</v>
      </c>
      <c r="AG96" s="3743">
        <v>27</v>
      </c>
    </row>
    <row r="97" spans="1:33" ht="15" customHeight="1" x14ac:dyDescent="0.2">
      <c r="A97" s="5851"/>
      <c r="B97" s="5855"/>
      <c r="C97" s="3744" t="s">
        <v>160</v>
      </c>
      <c r="D97" s="3745"/>
      <c r="E97" s="3746"/>
      <c r="F97" s="3745"/>
      <c r="G97" s="3746"/>
      <c r="H97" s="3745"/>
      <c r="I97" s="3746"/>
      <c r="J97" s="3745"/>
      <c r="K97" s="3746"/>
      <c r="L97" s="3745"/>
      <c r="M97" s="3746"/>
      <c r="N97" s="3745"/>
      <c r="O97" s="3746"/>
      <c r="P97" s="3745"/>
      <c r="Q97" s="3746"/>
      <c r="R97" s="3745"/>
      <c r="S97" s="3746"/>
      <c r="T97" s="3745"/>
      <c r="U97" s="3746"/>
      <c r="V97" s="3745"/>
      <c r="W97" s="3746"/>
      <c r="X97" s="3745">
        <f>SUM(X95:X96)</f>
        <v>25</v>
      </c>
      <c r="Y97" s="3746">
        <f t="shared" ref="Y97:AC97" si="33">SUM(Y95:Y96)</f>
        <v>25</v>
      </c>
      <c r="Z97" s="3745">
        <f t="shared" si="33"/>
        <v>20</v>
      </c>
      <c r="AA97" s="3746">
        <f t="shared" si="33"/>
        <v>45</v>
      </c>
      <c r="AB97" s="3745">
        <f t="shared" si="33"/>
        <v>23</v>
      </c>
      <c r="AC97" s="3746">
        <f t="shared" si="33"/>
        <v>61</v>
      </c>
      <c r="AD97" s="3745">
        <f>SUM(AD95:AD96)</f>
        <v>21</v>
      </c>
      <c r="AE97" s="3746">
        <f>SUM(AE95:AE96)</f>
        <v>77</v>
      </c>
      <c r="AF97" s="3745">
        <f>SUM(AF95:AF96)</f>
        <v>45</v>
      </c>
      <c r="AG97" s="3746">
        <f>SUM(AG95:AG96)</f>
        <v>110</v>
      </c>
    </row>
    <row r="98" spans="1:33" ht="15" customHeight="1" x14ac:dyDescent="0.2">
      <c r="A98" s="5851"/>
      <c r="B98" s="5853" t="s">
        <v>11</v>
      </c>
      <c r="C98" s="3741" t="s">
        <v>511</v>
      </c>
      <c r="D98" s="3742"/>
      <c r="E98" s="3743"/>
      <c r="F98" s="3742"/>
      <c r="G98" s="3743"/>
      <c r="H98" s="3742"/>
      <c r="I98" s="3743"/>
      <c r="J98" s="3742"/>
      <c r="K98" s="3743"/>
      <c r="L98" s="3742"/>
      <c r="M98" s="3743"/>
      <c r="N98" s="3742"/>
      <c r="O98" s="3743"/>
      <c r="P98" s="3742"/>
      <c r="Q98" s="3743"/>
      <c r="R98" s="3742"/>
      <c r="S98" s="3743"/>
      <c r="T98" s="3742"/>
      <c r="U98" s="3743"/>
      <c r="V98" s="3742"/>
      <c r="W98" s="3743"/>
      <c r="X98" s="3742">
        <v>29</v>
      </c>
      <c r="Y98" s="3743">
        <v>26</v>
      </c>
      <c r="Z98" s="3742">
        <v>9</v>
      </c>
      <c r="AA98" s="3743">
        <v>28</v>
      </c>
      <c r="AB98" s="3742">
        <v>20</v>
      </c>
      <c r="AC98" s="3743">
        <v>34</v>
      </c>
      <c r="AD98" s="3742">
        <v>22</v>
      </c>
      <c r="AE98" s="3743">
        <v>50</v>
      </c>
      <c r="AF98" s="3742">
        <v>46</v>
      </c>
      <c r="AG98" s="3743">
        <v>89</v>
      </c>
    </row>
    <row r="99" spans="1:33" ht="15" customHeight="1" x14ac:dyDescent="0.2">
      <c r="A99" s="5851"/>
      <c r="B99" s="5855"/>
      <c r="C99" s="4855" t="s">
        <v>160</v>
      </c>
      <c r="D99" s="4856"/>
      <c r="E99" s="4857"/>
      <c r="F99" s="4856"/>
      <c r="G99" s="4857"/>
      <c r="H99" s="4856"/>
      <c r="I99" s="4857"/>
      <c r="J99" s="4856"/>
      <c r="K99" s="4857"/>
      <c r="L99" s="4856"/>
      <c r="M99" s="4857"/>
      <c r="N99" s="4856"/>
      <c r="O99" s="4857"/>
      <c r="P99" s="4856"/>
      <c r="Q99" s="4857"/>
      <c r="R99" s="4856"/>
      <c r="S99" s="4857"/>
      <c r="T99" s="4856"/>
      <c r="U99" s="4857"/>
      <c r="V99" s="4856"/>
      <c r="W99" s="4857"/>
      <c r="X99" s="4856">
        <f>SUM(X98)</f>
        <v>29</v>
      </c>
      <c r="Y99" s="4857">
        <f t="shared" ref="Y99:AE99" si="34">SUM(Y98)</f>
        <v>26</v>
      </c>
      <c r="Z99" s="4856">
        <f t="shared" si="34"/>
        <v>9</v>
      </c>
      <c r="AA99" s="4857">
        <f t="shared" si="34"/>
        <v>28</v>
      </c>
      <c r="AB99" s="4856">
        <f t="shared" si="34"/>
        <v>20</v>
      </c>
      <c r="AC99" s="4857">
        <f t="shared" si="34"/>
        <v>34</v>
      </c>
      <c r="AD99" s="4856">
        <f t="shared" si="34"/>
        <v>22</v>
      </c>
      <c r="AE99" s="4857">
        <f t="shared" si="34"/>
        <v>50</v>
      </c>
      <c r="AF99" s="4856">
        <f t="shared" ref="AF99:AG99" si="35">SUM(AF98)</f>
        <v>46</v>
      </c>
      <c r="AG99" s="4857">
        <f t="shared" si="35"/>
        <v>89</v>
      </c>
    </row>
    <row r="100" spans="1:33" ht="15" customHeight="1" x14ac:dyDescent="0.2">
      <c r="A100" s="5852"/>
      <c r="B100" s="3756"/>
      <c r="C100" s="3757" t="s">
        <v>450</v>
      </c>
      <c r="D100" s="3758"/>
      <c r="E100" s="3759"/>
      <c r="F100" s="3758"/>
      <c r="G100" s="3759"/>
      <c r="H100" s="3758"/>
      <c r="I100" s="3759"/>
      <c r="J100" s="3758"/>
      <c r="K100" s="3759"/>
      <c r="L100" s="3758"/>
      <c r="M100" s="3759"/>
      <c r="N100" s="3758"/>
      <c r="O100" s="3759"/>
      <c r="P100" s="3758"/>
      <c r="Q100" s="3759"/>
      <c r="R100" s="3758"/>
      <c r="S100" s="3759"/>
      <c r="T100" s="3758"/>
      <c r="U100" s="3759"/>
      <c r="V100" s="3758"/>
      <c r="W100" s="3759"/>
      <c r="X100" s="3760">
        <f>SUM(X99,X97,X94)</f>
        <v>76</v>
      </c>
      <c r="Y100" s="3761">
        <f t="shared" ref="Y100:AE100" si="36">SUM(Y99,Y97,Y94)</f>
        <v>73</v>
      </c>
      <c r="Z100" s="3760">
        <f t="shared" si="36"/>
        <v>46</v>
      </c>
      <c r="AA100" s="3761">
        <f t="shared" si="36"/>
        <v>113</v>
      </c>
      <c r="AB100" s="3760">
        <f t="shared" si="36"/>
        <v>61</v>
      </c>
      <c r="AC100" s="3761">
        <f t="shared" si="36"/>
        <v>145</v>
      </c>
      <c r="AD100" s="3760">
        <f t="shared" si="36"/>
        <v>51</v>
      </c>
      <c r="AE100" s="3761">
        <f t="shared" si="36"/>
        <v>172</v>
      </c>
      <c r="AF100" s="3760">
        <f t="shared" ref="AF100:AG100" si="37">SUM(AF99,AF97,AF94)</f>
        <v>122</v>
      </c>
      <c r="AG100" s="3761">
        <f t="shared" si="37"/>
        <v>260</v>
      </c>
    </row>
    <row r="101" spans="1:33" ht="14.25" x14ac:dyDescent="0.2">
      <c r="A101" s="1388"/>
      <c r="B101" s="1388"/>
      <c r="C101" s="1388"/>
      <c r="D101" s="2311"/>
      <c r="E101" s="2311"/>
      <c r="F101" s="2311"/>
      <c r="G101" s="2311"/>
      <c r="H101" s="2312"/>
      <c r="I101" s="2312"/>
      <c r="J101" s="2312"/>
      <c r="K101" s="2312"/>
      <c r="L101" s="2312"/>
      <c r="M101" s="2312"/>
      <c r="N101" s="2312"/>
      <c r="O101" s="2312"/>
      <c r="P101" s="2312"/>
      <c r="Q101" s="2312"/>
      <c r="R101" s="2312"/>
      <c r="S101" s="2312"/>
      <c r="T101" s="2312"/>
      <c r="U101" s="2312"/>
      <c r="V101" s="2312"/>
      <c r="W101" s="2312"/>
      <c r="X101" s="2312"/>
      <c r="Y101" s="2312"/>
      <c r="Z101" s="2312"/>
      <c r="AA101" s="2312"/>
      <c r="AB101" s="2312"/>
      <c r="AC101" s="2312"/>
      <c r="AD101" s="2312"/>
      <c r="AE101" s="2312"/>
      <c r="AF101" s="2312"/>
      <c r="AG101" s="2312"/>
    </row>
    <row r="102" spans="1:33" s="952" customFormat="1" ht="19.5" customHeight="1" x14ac:dyDescent="0.2">
      <c r="A102" s="5843" t="s">
        <v>12</v>
      </c>
      <c r="B102" s="5843"/>
      <c r="C102" s="5844"/>
      <c r="D102" s="2313">
        <f t="shared" ref="D102:AC102" si="38">SUM(D77,D55,D25,D92,D100)</f>
        <v>159</v>
      </c>
      <c r="E102" s="2314">
        <f t="shared" si="38"/>
        <v>153</v>
      </c>
      <c r="F102" s="2313">
        <f t="shared" si="38"/>
        <v>871</v>
      </c>
      <c r="G102" s="2314">
        <f t="shared" si="38"/>
        <v>960</v>
      </c>
      <c r="H102" s="2313">
        <f t="shared" si="38"/>
        <v>968</v>
      </c>
      <c r="I102" s="2314">
        <f t="shared" si="38"/>
        <v>1758</v>
      </c>
      <c r="J102" s="2313">
        <f t="shared" si="38"/>
        <v>1077</v>
      </c>
      <c r="K102" s="2314">
        <f t="shared" si="38"/>
        <v>2455</v>
      </c>
      <c r="L102" s="2313">
        <f t="shared" si="38"/>
        <v>1367</v>
      </c>
      <c r="M102" s="2314">
        <f t="shared" si="38"/>
        <v>3186</v>
      </c>
      <c r="N102" s="2313">
        <f t="shared" si="38"/>
        <v>3053</v>
      </c>
      <c r="O102" s="2314">
        <f t="shared" si="38"/>
        <v>5263</v>
      </c>
      <c r="P102" s="2313">
        <f t="shared" si="38"/>
        <v>2419</v>
      </c>
      <c r="Q102" s="2314">
        <f t="shared" si="38"/>
        <v>6523</v>
      </c>
      <c r="R102" s="2313">
        <f t="shared" si="38"/>
        <v>2231</v>
      </c>
      <c r="S102" s="2314">
        <f t="shared" si="38"/>
        <v>6627</v>
      </c>
      <c r="T102" s="2313">
        <f t="shared" si="38"/>
        <v>3959</v>
      </c>
      <c r="U102" s="2314">
        <f t="shared" si="38"/>
        <v>7880</v>
      </c>
      <c r="V102" s="2313">
        <f t="shared" si="38"/>
        <v>4611</v>
      </c>
      <c r="W102" s="2314">
        <f t="shared" si="38"/>
        <v>9880</v>
      </c>
      <c r="X102" s="2313">
        <f t="shared" si="38"/>
        <v>4272</v>
      </c>
      <c r="Y102" s="2314">
        <f t="shared" si="38"/>
        <v>11531</v>
      </c>
      <c r="Z102" s="2313">
        <f t="shared" si="38"/>
        <v>3716</v>
      </c>
      <c r="AA102" s="2314">
        <f t="shared" si="38"/>
        <v>11963</v>
      </c>
      <c r="AB102" s="2313">
        <f t="shared" si="38"/>
        <v>4046</v>
      </c>
      <c r="AC102" s="2314">
        <f t="shared" si="38"/>
        <v>12043</v>
      </c>
      <c r="AD102" s="2313">
        <f>SUM(AD77,AD55,AD25,AD92,AD100)</f>
        <v>4746</v>
      </c>
      <c r="AE102" s="2314">
        <f>SUM(AE77,AE55,AE25,AE92,AE100)</f>
        <v>12970</v>
      </c>
      <c r="AF102" s="2313">
        <f>SUM(AF77,AF55,AF25,AF92,AF100)</f>
        <v>4178</v>
      </c>
      <c r="AG102" s="2314">
        <f>SUM(AG77,AG55,AG25,AG92,AG100)</f>
        <v>13338</v>
      </c>
    </row>
    <row r="103" spans="1:33" x14ac:dyDescent="0.2">
      <c r="A103" s="946"/>
      <c r="B103" s="946"/>
      <c r="C103" s="947"/>
      <c r="D103" s="948"/>
      <c r="E103" s="948"/>
      <c r="F103" s="948"/>
      <c r="G103" s="948"/>
      <c r="H103" s="946"/>
      <c r="I103" s="946"/>
      <c r="J103" s="946"/>
      <c r="K103" s="946"/>
      <c r="L103" s="953"/>
      <c r="M103" s="953"/>
      <c r="N103" s="946"/>
    </row>
    <row r="104" spans="1:33" ht="18" x14ac:dyDescent="0.25">
      <c r="H104" s="955"/>
      <c r="I104" s="955"/>
      <c r="J104" s="955"/>
      <c r="K104" s="955"/>
      <c r="L104" s="955"/>
    </row>
  </sheetData>
  <mergeCells count="41">
    <mergeCell ref="AF3:AG3"/>
    <mergeCell ref="AD1:AE1"/>
    <mergeCell ref="Z3:AA3"/>
    <mergeCell ref="P3:Q3"/>
    <mergeCell ref="B48:B54"/>
    <mergeCell ref="R3:S3"/>
    <mergeCell ref="AB3:AC3"/>
    <mergeCell ref="T3:U3"/>
    <mergeCell ref="V3:W3"/>
    <mergeCell ref="X3:Y3"/>
    <mergeCell ref="H3:I3"/>
    <mergeCell ref="J3:K3"/>
    <mergeCell ref="L3:M3"/>
    <mergeCell ref="D3:E3"/>
    <mergeCell ref="F3:G3"/>
    <mergeCell ref="AD3:AE3"/>
    <mergeCell ref="N3:O3"/>
    <mergeCell ref="A102:C102"/>
    <mergeCell ref="A78:A92"/>
    <mergeCell ref="B78:B82"/>
    <mergeCell ref="B83:B86"/>
    <mergeCell ref="B87:B91"/>
    <mergeCell ref="A93:A100"/>
    <mergeCell ref="B95:B97"/>
    <mergeCell ref="B93:B94"/>
    <mergeCell ref="B98:B99"/>
    <mergeCell ref="A56:A77"/>
    <mergeCell ref="B56:B62"/>
    <mergeCell ref="B63:B71"/>
    <mergeCell ref="B72:B76"/>
    <mergeCell ref="B26:B35"/>
    <mergeCell ref="B36:B47"/>
    <mergeCell ref="A3:A4"/>
    <mergeCell ref="B3:B4"/>
    <mergeCell ref="C3:C4"/>
    <mergeCell ref="A26:A55"/>
    <mergeCell ref="A1:C1"/>
    <mergeCell ref="A5:A25"/>
    <mergeCell ref="B5:B15"/>
    <mergeCell ref="B16:B20"/>
    <mergeCell ref="B21:B24"/>
  </mergeCells>
  <printOptions horizontalCentered="1" verticalCentered="1"/>
  <pageMargins left="0.74803149606299213" right="0.74803149606299213" top="0.39370078740157483" bottom="0.39370078740157483" header="0" footer="0"/>
  <pageSetup scale="60" pageOrder="overThenDown" orientation="landscape" r:id="rId1"/>
  <headerFooter alignWithMargins="0"/>
  <rowBreaks count="1" manualBreakCount="1">
    <brk id="55" max="16383" man="1"/>
  </rowBreaks>
  <colBreaks count="1" manualBreakCount="1">
    <brk id="17" max="1048575" man="1"/>
  </colBreaks>
  <ignoredErrors>
    <ignoredError sqref="Y97:AC97 AD97:AE97" formulaRange="1"/>
    <ignoredError sqref="AF25" formula="1"/>
  </ignoredError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A1:AF57"/>
  <sheetViews>
    <sheetView showGridLines="0" zoomScaleNormal="100" zoomScaleSheetLayoutView="90" workbookViewId="0">
      <pane xSplit="2" ySplit="5" topLeftCell="R6" activePane="bottomRight" state="frozen"/>
      <selection pane="topRight" activeCell="C1" sqref="C1"/>
      <selection pane="bottomLeft" activeCell="A8" sqref="A8"/>
      <selection pane="bottomRight" activeCell="R55" sqref="R55"/>
    </sheetView>
  </sheetViews>
  <sheetFormatPr baseColWidth="10" defaultRowHeight="12.75" x14ac:dyDescent="0.2"/>
  <cols>
    <col min="1" max="1" width="18.140625" style="209" customWidth="1"/>
    <col min="2" max="2" width="9.140625" style="209" bestFit="1" customWidth="1"/>
    <col min="3" max="32" width="9.7109375" style="209" customWidth="1"/>
    <col min="33" max="258" width="11.42578125" style="209"/>
    <col min="259" max="260" width="1.42578125" style="209" customWidth="1"/>
    <col min="261" max="261" width="24.5703125" style="209" customWidth="1"/>
    <col min="262" max="262" width="15.5703125" style="209" customWidth="1"/>
    <col min="263" max="276" width="10.7109375" style="209" customWidth="1"/>
    <col min="277" max="277" width="3.7109375" style="209" customWidth="1"/>
    <col min="278" max="514" width="11.42578125" style="209"/>
    <col min="515" max="516" width="1.42578125" style="209" customWidth="1"/>
    <col min="517" max="517" width="24.5703125" style="209" customWidth="1"/>
    <col min="518" max="518" width="15.5703125" style="209" customWidth="1"/>
    <col min="519" max="532" width="10.7109375" style="209" customWidth="1"/>
    <col min="533" max="533" width="3.7109375" style="209" customWidth="1"/>
    <col min="534" max="770" width="11.42578125" style="209"/>
    <col min="771" max="772" width="1.42578125" style="209" customWidth="1"/>
    <col min="773" max="773" width="24.5703125" style="209" customWidth="1"/>
    <col min="774" max="774" width="15.5703125" style="209" customWidth="1"/>
    <col min="775" max="788" width="10.7109375" style="209" customWidth="1"/>
    <col min="789" max="789" width="3.7109375" style="209" customWidth="1"/>
    <col min="790" max="1026" width="11.42578125" style="209"/>
    <col min="1027" max="1028" width="1.42578125" style="209" customWidth="1"/>
    <col min="1029" max="1029" width="24.5703125" style="209" customWidth="1"/>
    <col min="1030" max="1030" width="15.5703125" style="209" customWidth="1"/>
    <col min="1031" max="1044" width="10.7109375" style="209" customWidth="1"/>
    <col min="1045" max="1045" width="3.7109375" style="209" customWidth="1"/>
    <col min="1046" max="1282" width="11.42578125" style="209"/>
    <col min="1283" max="1284" width="1.42578125" style="209" customWidth="1"/>
    <col min="1285" max="1285" width="24.5703125" style="209" customWidth="1"/>
    <col min="1286" max="1286" width="15.5703125" style="209" customWidth="1"/>
    <col min="1287" max="1300" width="10.7109375" style="209" customWidth="1"/>
    <col min="1301" max="1301" width="3.7109375" style="209" customWidth="1"/>
    <col min="1302" max="1538" width="11.42578125" style="209"/>
    <col min="1539" max="1540" width="1.42578125" style="209" customWidth="1"/>
    <col min="1541" max="1541" width="24.5703125" style="209" customWidth="1"/>
    <col min="1542" max="1542" width="15.5703125" style="209" customWidth="1"/>
    <col min="1543" max="1556" width="10.7109375" style="209" customWidth="1"/>
    <col min="1557" max="1557" width="3.7109375" style="209" customWidth="1"/>
    <col min="1558" max="1794" width="11.42578125" style="209"/>
    <col min="1795" max="1796" width="1.42578125" style="209" customWidth="1"/>
    <col min="1797" max="1797" width="24.5703125" style="209" customWidth="1"/>
    <col min="1798" max="1798" width="15.5703125" style="209" customWidth="1"/>
    <col min="1799" max="1812" width="10.7109375" style="209" customWidth="1"/>
    <col min="1813" max="1813" width="3.7109375" style="209" customWidth="1"/>
    <col min="1814" max="2050" width="11.42578125" style="209"/>
    <col min="2051" max="2052" width="1.42578125" style="209" customWidth="1"/>
    <col min="2053" max="2053" width="24.5703125" style="209" customWidth="1"/>
    <col min="2054" max="2054" width="15.5703125" style="209" customWidth="1"/>
    <col min="2055" max="2068" width="10.7109375" style="209" customWidth="1"/>
    <col min="2069" max="2069" width="3.7109375" style="209" customWidth="1"/>
    <col min="2070" max="2306" width="11.42578125" style="209"/>
    <col min="2307" max="2308" width="1.42578125" style="209" customWidth="1"/>
    <col min="2309" max="2309" width="24.5703125" style="209" customWidth="1"/>
    <col min="2310" max="2310" width="15.5703125" style="209" customWidth="1"/>
    <col min="2311" max="2324" width="10.7109375" style="209" customWidth="1"/>
    <col min="2325" max="2325" width="3.7109375" style="209" customWidth="1"/>
    <col min="2326" max="2562" width="11.42578125" style="209"/>
    <col min="2563" max="2564" width="1.42578125" style="209" customWidth="1"/>
    <col min="2565" max="2565" width="24.5703125" style="209" customWidth="1"/>
    <col min="2566" max="2566" width="15.5703125" style="209" customWidth="1"/>
    <col min="2567" max="2580" width="10.7109375" style="209" customWidth="1"/>
    <col min="2581" max="2581" width="3.7109375" style="209" customWidth="1"/>
    <col min="2582" max="2818" width="11.42578125" style="209"/>
    <col min="2819" max="2820" width="1.42578125" style="209" customWidth="1"/>
    <col min="2821" max="2821" width="24.5703125" style="209" customWidth="1"/>
    <col min="2822" max="2822" width="15.5703125" style="209" customWidth="1"/>
    <col min="2823" max="2836" width="10.7109375" style="209" customWidth="1"/>
    <col min="2837" max="2837" width="3.7109375" style="209" customWidth="1"/>
    <col min="2838" max="3074" width="11.42578125" style="209"/>
    <col min="3075" max="3076" width="1.42578125" style="209" customWidth="1"/>
    <col min="3077" max="3077" width="24.5703125" style="209" customWidth="1"/>
    <col min="3078" max="3078" width="15.5703125" style="209" customWidth="1"/>
    <col min="3079" max="3092" width="10.7109375" style="209" customWidth="1"/>
    <col min="3093" max="3093" width="3.7109375" style="209" customWidth="1"/>
    <col min="3094" max="3330" width="11.42578125" style="209"/>
    <col min="3331" max="3332" width="1.42578125" style="209" customWidth="1"/>
    <col min="3333" max="3333" width="24.5703125" style="209" customWidth="1"/>
    <col min="3334" max="3334" width="15.5703125" style="209" customWidth="1"/>
    <col min="3335" max="3348" width="10.7109375" style="209" customWidth="1"/>
    <col min="3349" max="3349" width="3.7109375" style="209" customWidth="1"/>
    <col min="3350" max="3586" width="11.42578125" style="209"/>
    <col min="3587" max="3588" width="1.42578125" style="209" customWidth="1"/>
    <col min="3589" max="3589" width="24.5703125" style="209" customWidth="1"/>
    <col min="3590" max="3590" width="15.5703125" style="209" customWidth="1"/>
    <col min="3591" max="3604" width="10.7109375" style="209" customWidth="1"/>
    <col min="3605" max="3605" width="3.7109375" style="209" customWidth="1"/>
    <col min="3606" max="3842" width="11.42578125" style="209"/>
    <col min="3843" max="3844" width="1.42578125" style="209" customWidth="1"/>
    <col min="3845" max="3845" width="24.5703125" style="209" customWidth="1"/>
    <col min="3846" max="3846" width="15.5703125" style="209" customWidth="1"/>
    <col min="3847" max="3860" width="10.7109375" style="209" customWidth="1"/>
    <col min="3861" max="3861" width="3.7109375" style="209" customWidth="1"/>
    <col min="3862" max="4098" width="11.42578125" style="209"/>
    <col min="4099" max="4100" width="1.42578125" style="209" customWidth="1"/>
    <col min="4101" max="4101" width="24.5703125" style="209" customWidth="1"/>
    <col min="4102" max="4102" width="15.5703125" style="209" customWidth="1"/>
    <col min="4103" max="4116" width="10.7109375" style="209" customWidth="1"/>
    <col min="4117" max="4117" width="3.7109375" style="209" customWidth="1"/>
    <col min="4118" max="4354" width="11.42578125" style="209"/>
    <col min="4355" max="4356" width="1.42578125" style="209" customWidth="1"/>
    <col min="4357" max="4357" width="24.5703125" style="209" customWidth="1"/>
    <col min="4358" max="4358" width="15.5703125" style="209" customWidth="1"/>
    <col min="4359" max="4372" width="10.7109375" style="209" customWidth="1"/>
    <col min="4373" max="4373" width="3.7109375" style="209" customWidth="1"/>
    <col min="4374" max="4610" width="11.42578125" style="209"/>
    <col min="4611" max="4612" width="1.42578125" style="209" customWidth="1"/>
    <col min="4613" max="4613" width="24.5703125" style="209" customWidth="1"/>
    <col min="4614" max="4614" width="15.5703125" style="209" customWidth="1"/>
    <col min="4615" max="4628" width="10.7109375" style="209" customWidth="1"/>
    <col min="4629" max="4629" width="3.7109375" style="209" customWidth="1"/>
    <col min="4630" max="4866" width="11.42578125" style="209"/>
    <col min="4867" max="4868" width="1.42578125" style="209" customWidth="1"/>
    <col min="4869" max="4869" width="24.5703125" style="209" customWidth="1"/>
    <col min="4870" max="4870" width="15.5703125" style="209" customWidth="1"/>
    <col min="4871" max="4884" width="10.7109375" style="209" customWidth="1"/>
    <col min="4885" max="4885" width="3.7109375" style="209" customWidth="1"/>
    <col min="4886" max="5122" width="11.42578125" style="209"/>
    <col min="5123" max="5124" width="1.42578125" style="209" customWidth="1"/>
    <col min="5125" max="5125" width="24.5703125" style="209" customWidth="1"/>
    <col min="5126" max="5126" width="15.5703125" style="209" customWidth="1"/>
    <col min="5127" max="5140" width="10.7109375" style="209" customWidth="1"/>
    <col min="5141" max="5141" width="3.7109375" style="209" customWidth="1"/>
    <col min="5142" max="5378" width="11.42578125" style="209"/>
    <col min="5379" max="5380" width="1.42578125" style="209" customWidth="1"/>
    <col min="5381" max="5381" width="24.5703125" style="209" customWidth="1"/>
    <col min="5382" max="5382" width="15.5703125" style="209" customWidth="1"/>
    <col min="5383" max="5396" width="10.7109375" style="209" customWidth="1"/>
    <col min="5397" max="5397" width="3.7109375" style="209" customWidth="1"/>
    <col min="5398" max="5634" width="11.42578125" style="209"/>
    <col min="5635" max="5636" width="1.42578125" style="209" customWidth="1"/>
    <col min="5637" max="5637" width="24.5703125" style="209" customWidth="1"/>
    <col min="5638" max="5638" width="15.5703125" style="209" customWidth="1"/>
    <col min="5639" max="5652" width="10.7109375" style="209" customWidth="1"/>
    <col min="5653" max="5653" width="3.7109375" style="209" customWidth="1"/>
    <col min="5654" max="5890" width="11.42578125" style="209"/>
    <col min="5891" max="5892" width="1.42578125" style="209" customWidth="1"/>
    <col min="5893" max="5893" width="24.5703125" style="209" customWidth="1"/>
    <col min="5894" max="5894" width="15.5703125" style="209" customWidth="1"/>
    <col min="5895" max="5908" width="10.7109375" style="209" customWidth="1"/>
    <col min="5909" max="5909" width="3.7109375" style="209" customWidth="1"/>
    <col min="5910" max="6146" width="11.42578125" style="209"/>
    <col min="6147" max="6148" width="1.42578125" style="209" customWidth="1"/>
    <col min="6149" max="6149" width="24.5703125" style="209" customWidth="1"/>
    <col min="6150" max="6150" width="15.5703125" style="209" customWidth="1"/>
    <col min="6151" max="6164" width="10.7109375" style="209" customWidth="1"/>
    <col min="6165" max="6165" width="3.7109375" style="209" customWidth="1"/>
    <col min="6166" max="6402" width="11.42578125" style="209"/>
    <col min="6403" max="6404" width="1.42578125" style="209" customWidth="1"/>
    <col min="6405" max="6405" width="24.5703125" style="209" customWidth="1"/>
    <col min="6406" max="6406" width="15.5703125" style="209" customWidth="1"/>
    <col min="6407" max="6420" width="10.7109375" style="209" customWidth="1"/>
    <col min="6421" max="6421" width="3.7109375" style="209" customWidth="1"/>
    <col min="6422" max="6658" width="11.42578125" style="209"/>
    <col min="6659" max="6660" width="1.42578125" style="209" customWidth="1"/>
    <col min="6661" max="6661" width="24.5703125" style="209" customWidth="1"/>
    <col min="6662" max="6662" width="15.5703125" style="209" customWidth="1"/>
    <col min="6663" max="6676" width="10.7109375" style="209" customWidth="1"/>
    <col min="6677" max="6677" width="3.7109375" style="209" customWidth="1"/>
    <col min="6678" max="6914" width="11.42578125" style="209"/>
    <col min="6915" max="6916" width="1.42578125" style="209" customWidth="1"/>
    <col min="6917" max="6917" width="24.5703125" style="209" customWidth="1"/>
    <col min="6918" max="6918" width="15.5703125" style="209" customWidth="1"/>
    <col min="6919" max="6932" width="10.7109375" style="209" customWidth="1"/>
    <col min="6933" max="6933" width="3.7109375" style="209" customWidth="1"/>
    <col min="6934" max="7170" width="11.42578125" style="209"/>
    <col min="7171" max="7172" width="1.42578125" style="209" customWidth="1"/>
    <col min="7173" max="7173" width="24.5703125" style="209" customWidth="1"/>
    <col min="7174" max="7174" width="15.5703125" style="209" customWidth="1"/>
    <col min="7175" max="7188" width="10.7109375" style="209" customWidth="1"/>
    <col min="7189" max="7189" width="3.7109375" style="209" customWidth="1"/>
    <col min="7190" max="7426" width="11.42578125" style="209"/>
    <col min="7427" max="7428" width="1.42578125" style="209" customWidth="1"/>
    <col min="7429" max="7429" width="24.5703125" style="209" customWidth="1"/>
    <col min="7430" max="7430" width="15.5703125" style="209" customWidth="1"/>
    <col min="7431" max="7444" width="10.7109375" style="209" customWidth="1"/>
    <col min="7445" max="7445" width="3.7109375" style="209" customWidth="1"/>
    <col min="7446" max="7682" width="11.42578125" style="209"/>
    <col min="7683" max="7684" width="1.42578125" style="209" customWidth="1"/>
    <col min="7685" max="7685" width="24.5703125" style="209" customWidth="1"/>
    <col min="7686" max="7686" width="15.5703125" style="209" customWidth="1"/>
    <col min="7687" max="7700" width="10.7109375" style="209" customWidth="1"/>
    <col min="7701" max="7701" width="3.7109375" style="209" customWidth="1"/>
    <col min="7702" max="7938" width="11.42578125" style="209"/>
    <col min="7939" max="7940" width="1.42578125" style="209" customWidth="1"/>
    <col min="7941" max="7941" width="24.5703125" style="209" customWidth="1"/>
    <col min="7942" max="7942" width="15.5703125" style="209" customWidth="1"/>
    <col min="7943" max="7956" width="10.7109375" style="209" customWidth="1"/>
    <col min="7957" max="7957" width="3.7109375" style="209" customWidth="1"/>
    <col min="7958" max="8194" width="11.42578125" style="209"/>
    <col min="8195" max="8196" width="1.42578125" style="209" customWidth="1"/>
    <col min="8197" max="8197" width="24.5703125" style="209" customWidth="1"/>
    <col min="8198" max="8198" width="15.5703125" style="209" customWidth="1"/>
    <col min="8199" max="8212" width="10.7109375" style="209" customWidth="1"/>
    <col min="8213" max="8213" width="3.7109375" style="209" customWidth="1"/>
    <col min="8214" max="8450" width="11.42578125" style="209"/>
    <col min="8451" max="8452" width="1.42578125" style="209" customWidth="1"/>
    <col min="8453" max="8453" width="24.5703125" style="209" customWidth="1"/>
    <col min="8454" max="8454" width="15.5703125" style="209" customWidth="1"/>
    <col min="8455" max="8468" width="10.7109375" style="209" customWidth="1"/>
    <col min="8469" max="8469" width="3.7109375" style="209" customWidth="1"/>
    <col min="8470" max="8706" width="11.42578125" style="209"/>
    <col min="8707" max="8708" width="1.42578125" style="209" customWidth="1"/>
    <col min="8709" max="8709" width="24.5703125" style="209" customWidth="1"/>
    <col min="8710" max="8710" width="15.5703125" style="209" customWidth="1"/>
    <col min="8711" max="8724" width="10.7109375" style="209" customWidth="1"/>
    <col min="8725" max="8725" width="3.7109375" style="209" customWidth="1"/>
    <col min="8726" max="8962" width="11.42578125" style="209"/>
    <col min="8963" max="8964" width="1.42578125" style="209" customWidth="1"/>
    <col min="8965" max="8965" width="24.5703125" style="209" customWidth="1"/>
    <col min="8966" max="8966" width="15.5703125" style="209" customWidth="1"/>
    <col min="8967" max="8980" width="10.7109375" style="209" customWidth="1"/>
    <col min="8981" max="8981" width="3.7109375" style="209" customWidth="1"/>
    <col min="8982" max="9218" width="11.42578125" style="209"/>
    <col min="9219" max="9220" width="1.42578125" style="209" customWidth="1"/>
    <col min="9221" max="9221" width="24.5703125" style="209" customWidth="1"/>
    <col min="9222" max="9222" width="15.5703125" style="209" customWidth="1"/>
    <col min="9223" max="9236" width="10.7109375" style="209" customWidth="1"/>
    <col min="9237" max="9237" width="3.7109375" style="209" customWidth="1"/>
    <col min="9238" max="9474" width="11.42578125" style="209"/>
    <col min="9475" max="9476" width="1.42578125" style="209" customWidth="1"/>
    <col min="9477" max="9477" width="24.5703125" style="209" customWidth="1"/>
    <col min="9478" max="9478" width="15.5703125" style="209" customWidth="1"/>
    <col min="9479" max="9492" width="10.7109375" style="209" customWidth="1"/>
    <col min="9493" max="9493" width="3.7109375" style="209" customWidth="1"/>
    <col min="9494" max="9730" width="11.42578125" style="209"/>
    <col min="9731" max="9732" width="1.42578125" style="209" customWidth="1"/>
    <col min="9733" max="9733" width="24.5703125" style="209" customWidth="1"/>
    <col min="9734" max="9734" width="15.5703125" style="209" customWidth="1"/>
    <col min="9735" max="9748" width="10.7109375" style="209" customWidth="1"/>
    <col min="9749" max="9749" width="3.7109375" style="209" customWidth="1"/>
    <col min="9750" max="9986" width="11.42578125" style="209"/>
    <col min="9987" max="9988" width="1.42578125" style="209" customWidth="1"/>
    <col min="9989" max="9989" width="24.5703125" style="209" customWidth="1"/>
    <col min="9990" max="9990" width="15.5703125" style="209" customWidth="1"/>
    <col min="9991" max="10004" width="10.7109375" style="209" customWidth="1"/>
    <col min="10005" max="10005" width="3.7109375" style="209" customWidth="1"/>
    <col min="10006" max="10242" width="11.42578125" style="209"/>
    <col min="10243" max="10244" width="1.42578125" style="209" customWidth="1"/>
    <col min="10245" max="10245" width="24.5703125" style="209" customWidth="1"/>
    <col min="10246" max="10246" width="15.5703125" style="209" customWidth="1"/>
    <col min="10247" max="10260" width="10.7109375" style="209" customWidth="1"/>
    <col min="10261" max="10261" width="3.7109375" style="209" customWidth="1"/>
    <col min="10262" max="10498" width="11.42578125" style="209"/>
    <col min="10499" max="10500" width="1.42578125" style="209" customWidth="1"/>
    <col min="10501" max="10501" width="24.5703125" style="209" customWidth="1"/>
    <col min="10502" max="10502" width="15.5703125" style="209" customWidth="1"/>
    <col min="10503" max="10516" width="10.7109375" style="209" customWidth="1"/>
    <col min="10517" max="10517" width="3.7109375" style="209" customWidth="1"/>
    <col min="10518" max="10754" width="11.42578125" style="209"/>
    <col min="10755" max="10756" width="1.42578125" style="209" customWidth="1"/>
    <col min="10757" max="10757" width="24.5703125" style="209" customWidth="1"/>
    <col min="10758" max="10758" width="15.5703125" style="209" customWidth="1"/>
    <col min="10759" max="10772" width="10.7109375" style="209" customWidth="1"/>
    <col min="10773" max="10773" width="3.7109375" style="209" customWidth="1"/>
    <col min="10774" max="11010" width="11.42578125" style="209"/>
    <col min="11011" max="11012" width="1.42578125" style="209" customWidth="1"/>
    <col min="11013" max="11013" width="24.5703125" style="209" customWidth="1"/>
    <col min="11014" max="11014" width="15.5703125" style="209" customWidth="1"/>
    <col min="11015" max="11028" width="10.7109375" style="209" customWidth="1"/>
    <col min="11029" max="11029" width="3.7109375" style="209" customWidth="1"/>
    <col min="11030" max="11266" width="11.42578125" style="209"/>
    <col min="11267" max="11268" width="1.42578125" style="209" customWidth="1"/>
    <col min="11269" max="11269" width="24.5703125" style="209" customWidth="1"/>
    <col min="11270" max="11270" width="15.5703125" style="209" customWidth="1"/>
    <col min="11271" max="11284" width="10.7109375" style="209" customWidth="1"/>
    <col min="11285" max="11285" width="3.7109375" style="209" customWidth="1"/>
    <col min="11286" max="11522" width="11.42578125" style="209"/>
    <col min="11523" max="11524" width="1.42578125" style="209" customWidth="1"/>
    <col min="11525" max="11525" width="24.5703125" style="209" customWidth="1"/>
    <col min="11526" max="11526" width="15.5703125" style="209" customWidth="1"/>
    <col min="11527" max="11540" width="10.7109375" style="209" customWidth="1"/>
    <col min="11541" max="11541" width="3.7109375" style="209" customWidth="1"/>
    <col min="11542" max="11778" width="11.42578125" style="209"/>
    <col min="11779" max="11780" width="1.42578125" style="209" customWidth="1"/>
    <col min="11781" max="11781" width="24.5703125" style="209" customWidth="1"/>
    <col min="11782" max="11782" width="15.5703125" style="209" customWidth="1"/>
    <col min="11783" max="11796" width="10.7109375" style="209" customWidth="1"/>
    <col min="11797" max="11797" width="3.7109375" style="209" customWidth="1"/>
    <col min="11798" max="12034" width="11.42578125" style="209"/>
    <col min="12035" max="12036" width="1.42578125" style="209" customWidth="1"/>
    <col min="12037" max="12037" width="24.5703125" style="209" customWidth="1"/>
    <col min="12038" max="12038" width="15.5703125" style="209" customWidth="1"/>
    <col min="12039" max="12052" width="10.7109375" style="209" customWidth="1"/>
    <col min="12053" max="12053" width="3.7109375" style="209" customWidth="1"/>
    <col min="12054" max="12290" width="11.42578125" style="209"/>
    <col min="12291" max="12292" width="1.42578125" style="209" customWidth="1"/>
    <col min="12293" max="12293" width="24.5703125" style="209" customWidth="1"/>
    <col min="12294" max="12294" width="15.5703125" style="209" customWidth="1"/>
    <col min="12295" max="12308" width="10.7109375" style="209" customWidth="1"/>
    <col min="12309" max="12309" width="3.7109375" style="209" customWidth="1"/>
    <col min="12310" max="12546" width="11.42578125" style="209"/>
    <col min="12547" max="12548" width="1.42578125" style="209" customWidth="1"/>
    <col min="12549" max="12549" width="24.5703125" style="209" customWidth="1"/>
    <col min="12550" max="12550" width="15.5703125" style="209" customWidth="1"/>
    <col min="12551" max="12564" width="10.7109375" style="209" customWidth="1"/>
    <col min="12565" max="12565" width="3.7109375" style="209" customWidth="1"/>
    <col min="12566" max="12802" width="11.42578125" style="209"/>
    <col min="12803" max="12804" width="1.42578125" style="209" customWidth="1"/>
    <col min="12805" max="12805" width="24.5703125" style="209" customWidth="1"/>
    <col min="12806" max="12806" width="15.5703125" style="209" customWidth="1"/>
    <col min="12807" max="12820" width="10.7109375" style="209" customWidth="1"/>
    <col min="12821" max="12821" width="3.7109375" style="209" customWidth="1"/>
    <col min="12822" max="13058" width="11.42578125" style="209"/>
    <col min="13059" max="13060" width="1.42578125" style="209" customWidth="1"/>
    <col min="13061" max="13061" width="24.5703125" style="209" customWidth="1"/>
    <col min="13062" max="13062" width="15.5703125" style="209" customWidth="1"/>
    <col min="13063" max="13076" width="10.7109375" style="209" customWidth="1"/>
    <col min="13077" max="13077" width="3.7109375" style="209" customWidth="1"/>
    <col min="13078" max="13314" width="11.42578125" style="209"/>
    <col min="13315" max="13316" width="1.42578125" style="209" customWidth="1"/>
    <col min="13317" max="13317" width="24.5703125" style="209" customWidth="1"/>
    <col min="13318" max="13318" width="15.5703125" style="209" customWidth="1"/>
    <col min="13319" max="13332" width="10.7109375" style="209" customWidth="1"/>
    <col min="13333" max="13333" width="3.7109375" style="209" customWidth="1"/>
    <col min="13334" max="13570" width="11.42578125" style="209"/>
    <col min="13571" max="13572" width="1.42578125" style="209" customWidth="1"/>
    <col min="13573" max="13573" width="24.5703125" style="209" customWidth="1"/>
    <col min="13574" max="13574" width="15.5703125" style="209" customWidth="1"/>
    <col min="13575" max="13588" width="10.7109375" style="209" customWidth="1"/>
    <col min="13589" max="13589" width="3.7109375" style="209" customWidth="1"/>
    <col min="13590" max="13826" width="11.42578125" style="209"/>
    <col min="13827" max="13828" width="1.42578125" style="209" customWidth="1"/>
    <col min="13829" max="13829" width="24.5703125" style="209" customWidth="1"/>
    <col min="13830" max="13830" width="15.5703125" style="209" customWidth="1"/>
    <col min="13831" max="13844" width="10.7109375" style="209" customWidth="1"/>
    <col min="13845" max="13845" width="3.7109375" style="209" customWidth="1"/>
    <col min="13846" max="14082" width="11.42578125" style="209"/>
    <col min="14083" max="14084" width="1.42578125" style="209" customWidth="1"/>
    <col min="14085" max="14085" width="24.5703125" style="209" customWidth="1"/>
    <col min="14086" max="14086" width="15.5703125" style="209" customWidth="1"/>
    <col min="14087" max="14100" width="10.7109375" style="209" customWidth="1"/>
    <col min="14101" max="14101" width="3.7109375" style="209" customWidth="1"/>
    <col min="14102" max="14338" width="11.42578125" style="209"/>
    <col min="14339" max="14340" width="1.42578125" style="209" customWidth="1"/>
    <col min="14341" max="14341" width="24.5703125" style="209" customWidth="1"/>
    <col min="14342" max="14342" width="15.5703125" style="209" customWidth="1"/>
    <col min="14343" max="14356" width="10.7109375" style="209" customWidth="1"/>
    <col min="14357" max="14357" width="3.7109375" style="209" customWidth="1"/>
    <col min="14358" max="14594" width="11.42578125" style="209"/>
    <col min="14595" max="14596" width="1.42578125" style="209" customWidth="1"/>
    <col min="14597" max="14597" width="24.5703125" style="209" customWidth="1"/>
    <col min="14598" max="14598" width="15.5703125" style="209" customWidth="1"/>
    <col min="14599" max="14612" width="10.7109375" style="209" customWidth="1"/>
    <col min="14613" max="14613" width="3.7109375" style="209" customWidth="1"/>
    <col min="14614" max="14850" width="11.42578125" style="209"/>
    <col min="14851" max="14852" width="1.42578125" style="209" customWidth="1"/>
    <col min="14853" max="14853" width="24.5703125" style="209" customWidth="1"/>
    <col min="14854" max="14854" width="15.5703125" style="209" customWidth="1"/>
    <col min="14855" max="14868" width="10.7109375" style="209" customWidth="1"/>
    <col min="14869" max="14869" width="3.7109375" style="209" customWidth="1"/>
    <col min="14870" max="15106" width="11.42578125" style="209"/>
    <col min="15107" max="15108" width="1.42578125" style="209" customWidth="1"/>
    <col min="15109" max="15109" width="24.5703125" style="209" customWidth="1"/>
    <col min="15110" max="15110" width="15.5703125" style="209" customWidth="1"/>
    <col min="15111" max="15124" width="10.7109375" style="209" customWidth="1"/>
    <col min="15125" max="15125" width="3.7109375" style="209" customWidth="1"/>
    <col min="15126" max="15362" width="11.42578125" style="209"/>
    <col min="15363" max="15364" width="1.42578125" style="209" customWidth="1"/>
    <col min="15365" max="15365" width="24.5703125" style="209" customWidth="1"/>
    <col min="15366" max="15366" width="15.5703125" style="209" customWidth="1"/>
    <col min="15367" max="15380" width="10.7109375" style="209" customWidth="1"/>
    <col min="15381" max="15381" width="3.7109375" style="209" customWidth="1"/>
    <col min="15382" max="15618" width="11.42578125" style="209"/>
    <col min="15619" max="15620" width="1.42578125" style="209" customWidth="1"/>
    <col min="15621" max="15621" width="24.5703125" style="209" customWidth="1"/>
    <col min="15622" max="15622" width="15.5703125" style="209" customWidth="1"/>
    <col min="15623" max="15636" width="10.7109375" style="209" customWidth="1"/>
    <col min="15637" max="15637" width="3.7109375" style="209" customWidth="1"/>
    <col min="15638" max="15874" width="11.42578125" style="209"/>
    <col min="15875" max="15876" width="1.42578125" style="209" customWidth="1"/>
    <col min="15877" max="15877" width="24.5703125" style="209" customWidth="1"/>
    <col min="15878" max="15878" width="15.5703125" style="209" customWidth="1"/>
    <col min="15879" max="15892" width="10.7109375" style="209" customWidth="1"/>
    <col min="15893" max="15893" width="3.7109375" style="209" customWidth="1"/>
    <col min="15894" max="16130" width="11.42578125" style="209"/>
    <col min="16131" max="16132" width="1.42578125" style="209" customWidth="1"/>
    <col min="16133" max="16133" width="24.5703125" style="209" customWidth="1"/>
    <col min="16134" max="16134" width="15.5703125" style="209" customWidth="1"/>
    <col min="16135" max="16148" width="10.7109375" style="209" customWidth="1"/>
    <col min="16149" max="16149" width="3.7109375" style="209" customWidth="1"/>
    <col min="16150" max="16384" width="11.42578125" style="209"/>
  </cols>
  <sheetData>
    <row r="1" spans="1:32" s="214" customFormat="1" ht="43.5" customHeight="1" x14ac:dyDescent="0.2">
      <c r="A1" s="5868" t="s">
        <v>1370</v>
      </c>
      <c r="B1" s="5868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</row>
    <row r="2" spans="1:32" s="214" customFormat="1" ht="18" x14ac:dyDescent="0.2">
      <c r="B2" s="77"/>
      <c r="C2" s="956"/>
      <c r="D2" s="956"/>
      <c r="E2" s="956"/>
      <c r="F2" s="956"/>
      <c r="G2" s="956"/>
      <c r="H2" s="956"/>
      <c r="I2" s="956"/>
      <c r="J2" s="956"/>
      <c r="K2" s="956"/>
      <c r="L2" s="956"/>
      <c r="M2" s="956"/>
      <c r="N2" s="956"/>
      <c r="O2" s="956"/>
      <c r="P2" s="956"/>
      <c r="Q2" s="956"/>
      <c r="R2" s="956"/>
      <c r="S2" s="956"/>
      <c r="T2" s="956"/>
    </row>
    <row r="3" spans="1:32" ht="15" customHeight="1" x14ac:dyDescent="0.2">
      <c r="A3" s="5020" t="s">
        <v>16</v>
      </c>
      <c r="B3" s="5020" t="s">
        <v>4</v>
      </c>
      <c r="C3" s="5869">
        <v>2001</v>
      </c>
      <c r="D3" s="5870"/>
      <c r="E3" s="5872">
        <v>2002</v>
      </c>
      <c r="F3" s="5872"/>
      <c r="G3" s="5871">
        <v>2003</v>
      </c>
      <c r="H3" s="5871"/>
      <c r="I3" s="5869">
        <v>2004</v>
      </c>
      <c r="J3" s="5870"/>
      <c r="K3" s="5871">
        <v>2005</v>
      </c>
      <c r="L3" s="5871"/>
      <c r="M3" s="5869">
        <v>2006</v>
      </c>
      <c r="N3" s="5870"/>
      <c r="O3" s="5869">
        <v>2007</v>
      </c>
      <c r="P3" s="5870"/>
      <c r="Q3" s="5869">
        <v>2008</v>
      </c>
      <c r="R3" s="5870"/>
      <c r="S3" s="5869">
        <v>2009</v>
      </c>
      <c r="T3" s="5870"/>
      <c r="U3" s="5869">
        <v>2010</v>
      </c>
      <c r="V3" s="5870"/>
      <c r="W3" s="5869">
        <v>2011</v>
      </c>
      <c r="X3" s="5870"/>
      <c r="Y3" s="5869">
        <v>2012</v>
      </c>
      <c r="Z3" s="5870"/>
      <c r="AA3" s="5869">
        <v>2013</v>
      </c>
      <c r="AB3" s="5870"/>
      <c r="AC3" s="5869">
        <v>2014</v>
      </c>
      <c r="AD3" s="5870"/>
      <c r="AE3" s="5869">
        <v>2015</v>
      </c>
      <c r="AF3" s="5870"/>
    </row>
    <row r="4" spans="1:32" ht="15" customHeight="1" x14ac:dyDescent="0.2">
      <c r="A4" s="5021"/>
      <c r="B4" s="5021"/>
      <c r="C4" s="1389" t="s">
        <v>646</v>
      </c>
      <c r="D4" s="1390" t="s">
        <v>647</v>
      </c>
      <c r="E4" s="1389" t="s">
        <v>646</v>
      </c>
      <c r="F4" s="1390" t="s">
        <v>647</v>
      </c>
      <c r="G4" s="1389" t="s">
        <v>646</v>
      </c>
      <c r="H4" s="1390" t="s">
        <v>647</v>
      </c>
      <c r="I4" s="1389" t="s">
        <v>646</v>
      </c>
      <c r="J4" s="1390" t="s">
        <v>647</v>
      </c>
      <c r="K4" s="1389" t="s">
        <v>646</v>
      </c>
      <c r="L4" s="1390" t="s">
        <v>647</v>
      </c>
      <c r="M4" s="1389" t="s">
        <v>646</v>
      </c>
      <c r="N4" s="1390" t="s">
        <v>647</v>
      </c>
      <c r="O4" s="1389" t="s">
        <v>646</v>
      </c>
      <c r="P4" s="1390" t="s">
        <v>647</v>
      </c>
      <c r="Q4" s="1389" t="s">
        <v>646</v>
      </c>
      <c r="R4" s="1390" t="s">
        <v>647</v>
      </c>
      <c r="S4" s="1389" t="s">
        <v>646</v>
      </c>
      <c r="T4" s="1390" t="s">
        <v>647</v>
      </c>
      <c r="U4" s="1389" t="s">
        <v>646</v>
      </c>
      <c r="V4" s="1390" t="s">
        <v>647</v>
      </c>
      <c r="W4" s="1389" t="s">
        <v>646</v>
      </c>
      <c r="X4" s="1390" t="s">
        <v>647</v>
      </c>
      <c r="Y4" s="1389" t="s">
        <v>646</v>
      </c>
      <c r="Z4" s="1390" t="s">
        <v>647</v>
      </c>
      <c r="AA4" s="1389" t="s">
        <v>646</v>
      </c>
      <c r="AB4" s="1390" t="s">
        <v>647</v>
      </c>
      <c r="AC4" s="1389" t="s">
        <v>646</v>
      </c>
      <c r="AD4" s="1390" t="s">
        <v>647</v>
      </c>
      <c r="AE4" s="1389" t="s">
        <v>646</v>
      </c>
      <c r="AF4" s="1390" t="s">
        <v>647</v>
      </c>
    </row>
    <row r="5" spans="1:32" ht="15" customHeight="1" x14ac:dyDescent="0.2">
      <c r="A5" s="263"/>
      <c r="B5" s="263"/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3"/>
      <c r="P5" s="263"/>
      <c r="Q5" s="263"/>
      <c r="R5" s="263"/>
      <c r="S5" s="263"/>
      <c r="T5" s="263"/>
      <c r="U5" s="263"/>
      <c r="V5" s="263"/>
      <c r="W5" s="263"/>
      <c r="X5" s="263"/>
      <c r="Y5" s="263"/>
      <c r="Z5" s="263"/>
      <c r="AA5" s="263"/>
      <c r="AB5" s="263"/>
      <c r="AC5" s="263"/>
      <c r="AD5" s="263"/>
      <c r="AE5" s="263"/>
      <c r="AF5" s="263"/>
    </row>
    <row r="6" spans="1:32" ht="15" customHeight="1" x14ac:dyDescent="0.2">
      <c r="A6" s="5037" t="s">
        <v>161</v>
      </c>
      <c r="B6" s="264" t="s">
        <v>5</v>
      </c>
      <c r="C6" s="265">
        <v>23</v>
      </c>
      <c r="D6" s="266">
        <v>22</v>
      </c>
      <c r="E6" s="265">
        <v>86</v>
      </c>
      <c r="F6" s="266">
        <v>95</v>
      </c>
      <c r="G6" s="265">
        <v>110</v>
      </c>
      <c r="H6" s="266">
        <v>178</v>
      </c>
      <c r="I6" s="265">
        <v>197</v>
      </c>
      <c r="J6" s="267">
        <v>292</v>
      </c>
      <c r="K6" s="266">
        <v>190</v>
      </c>
      <c r="L6" s="267">
        <v>388</v>
      </c>
      <c r="M6" s="266">
        <v>341</v>
      </c>
      <c r="N6" s="267">
        <v>612</v>
      </c>
      <c r="O6" s="266">
        <v>568</v>
      </c>
      <c r="P6" s="267">
        <v>993</v>
      </c>
      <c r="Q6" s="266">
        <v>271</v>
      </c>
      <c r="R6" s="267">
        <v>918</v>
      </c>
      <c r="S6" s="266">
        <v>434</v>
      </c>
      <c r="T6" s="267">
        <v>853</v>
      </c>
      <c r="U6" s="266">
        <v>629</v>
      </c>
      <c r="V6" s="267">
        <v>1116</v>
      </c>
      <c r="W6" s="266">
        <v>636</v>
      </c>
      <c r="X6" s="267">
        <v>1433</v>
      </c>
      <c r="Y6" s="266">
        <v>412</v>
      </c>
      <c r="Z6" s="267">
        <v>1450</v>
      </c>
      <c r="AA6" s="265">
        <f>+' 1 Pronabes plan'!AB15</f>
        <v>450</v>
      </c>
      <c r="AB6" s="267">
        <f>+' 1 Pronabes plan'!AC15</f>
        <v>1318</v>
      </c>
      <c r="AC6" s="265">
        <f>+' 1 Pronabes plan'!AD15</f>
        <v>500</v>
      </c>
      <c r="AD6" s="267">
        <f>+' 1 Pronabes plan'!AE15</f>
        <v>1376</v>
      </c>
      <c r="AE6" s="265">
        <f>+' 1 Pronabes plan'!AF15</f>
        <v>397</v>
      </c>
      <c r="AF6" s="267">
        <f>+' 1 Pronabes plan'!AG15</f>
        <v>1295</v>
      </c>
    </row>
    <row r="7" spans="1:32" ht="15" customHeight="1" x14ac:dyDescent="0.2">
      <c r="A7" s="5038"/>
      <c r="B7" s="268" t="s">
        <v>6</v>
      </c>
      <c r="C7" s="269">
        <v>20</v>
      </c>
      <c r="D7" s="270">
        <v>20</v>
      </c>
      <c r="E7" s="269">
        <v>116</v>
      </c>
      <c r="F7" s="270">
        <v>131</v>
      </c>
      <c r="G7" s="269">
        <v>130</v>
      </c>
      <c r="H7" s="270">
        <v>243</v>
      </c>
      <c r="I7" s="269">
        <v>107</v>
      </c>
      <c r="J7" s="271">
        <v>321</v>
      </c>
      <c r="K7" s="270">
        <v>178</v>
      </c>
      <c r="L7" s="271">
        <v>436</v>
      </c>
      <c r="M7" s="270">
        <v>324</v>
      </c>
      <c r="N7" s="271">
        <v>631</v>
      </c>
      <c r="O7" s="270">
        <v>251</v>
      </c>
      <c r="P7" s="271">
        <v>751</v>
      </c>
      <c r="Q7" s="270">
        <v>293</v>
      </c>
      <c r="R7" s="271">
        <v>803</v>
      </c>
      <c r="S7" s="270">
        <v>463</v>
      </c>
      <c r="T7" s="271">
        <v>989</v>
      </c>
      <c r="U7" s="270">
        <v>503</v>
      </c>
      <c r="V7" s="271">
        <v>1214</v>
      </c>
      <c r="W7" s="270">
        <v>512</v>
      </c>
      <c r="X7" s="271">
        <v>1455</v>
      </c>
      <c r="Y7" s="270">
        <v>544</v>
      </c>
      <c r="Z7" s="271">
        <v>1672</v>
      </c>
      <c r="AA7" s="269">
        <f>+' 1 Pronabes plan'!AB20</f>
        <v>533</v>
      </c>
      <c r="AB7" s="271">
        <f>+' 1 Pronabes plan'!AC20</f>
        <v>1727</v>
      </c>
      <c r="AC7" s="269">
        <f>+' 1 Pronabes plan'!AD20</f>
        <v>608</v>
      </c>
      <c r="AD7" s="271">
        <f>+' 1 Pronabes plan'!AE20</f>
        <v>1852</v>
      </c>
      <c r="AE7" s="269">
        <f>+' 1 Pronabes plan'!AF20</f>
        <v>548</v>
      </c>
      <c r="AF7" s="271">
        <f>+' 1 Pronabes plan'!AG20</f>
        <v>1891</v>
      </c>
    </row>
    <row r="8" spans="1:32" ht="15" customHeight="1" x14ac:dyDescent="0.2">
      <c r="A8" s="5038"/>
      <c r="B8" s="268" t="s">
        <v>7</v>
      </c>
      <c r="C8" s="269">
        <v>10</v>
      </c>
      <c r="D8" s="270">
        <v>9</v>
      </c>
      <c r="E8" s="269">
        <v>66</v>
      </c>
      <c r="F8" s="270">
        <v>73</v>
      </c>
      <c r="G8" s="269">
        <v>77</v>
      </c>
      <c r="H8" s="270">
        <v>137</v>
      </c>
      <c r="I8" s="269">
        <v>82</v>
      </c>
      <c r="J8" s="271">
        <v>198</v>
      </c>
      <c r="K8" s="270">
        <v>122</v>
      </c>
      <c r="L8" s="271">
        <v>268</v>
      </c>
      <c r="M8" s="270">
        <v>184</v>
      </c>
      <c r="N8" s="271">
        <v>402</v>
      </c>
      <c r="O8" s="270">
        <v>160</v>
      </c>
      <c r="P8" s="271">
        <v>487</v>
      </c>
      <c r="Q8" s="270">
        <v>184</v>
      </c>
      <c r="R8" s="271">
        <v>513</v>
      </c>
      <c r="S8" s="270">
        <v>203</v>
      </c>
      <c r="T8" s="271">
        <v>539</v>
      </c>
      <c r="U8" s="270">
        <v>213</v>
      </c>
      <c r="V8" s="271">
        <v>585</v>
      </c>
      <c r="W8" s="270">
        <v>205</v>
      </c>
      <c r="X8" s="271">
        <v>635</v>
      </c>
      <c r="Y8" s="270">
        <v>210</v>
      </c>
      <c r="Z8" s="271">
        <v>666</v>
      </c>
      <c r="AA8" s="269">
        <f>+' 1 Pronabes plan'!AB24</f>
        <v>217</v>
      </c>
      <c r="AB8" s="271">
        <f>+' 1 Pronabes plan'!AC24</f>
        <v>697</v>
      </c>
      <c r="AC8" s="269">
        <f>+' 1 Pronabes plan'!AD24</f>
        <v>244</v>
      </c>
      <c r="AD8" s="271">
        <f>+' 1 Pronabes plan'!AE24</f>
        <v>736</v>
      </c>
      <c r="AE8" s="269">
        <f>+' 1 Pronabes plan'!AF24</f>
        <v>275</v>
      </c>
      <c r="AF8" s="271">
        <f>+' 1 Pronabes plan'!AG24</f>
        <v>808</v>
      </c>
    </row>
    <row r="9" spans="1:32" ht="15" customHeight="1" x14ac:dyDescent="0.2">
      <c r="A9" s="5108"/>
      <c r="B9" s="2405" t="s">
        <v>160</v>
      </c>
      <c r="C9" s="2406">
        <f>SUM(C6:C8)</f>
        <v>53</v>
      </c>
      <c r="D9" s="2490">
        <f>SUM(D6:D8)</f>
        <v>51</v>
      </c>
      <c r="E9" s="2406">
        <f>SUM(E6:E8)</f>
        <v>268</v>
      </c>
      <c r="F9" s="2490">
        <f>SUM(F6:F8)</f>
        <v>299</v>
      </c>
      <c r="G9" s="2406">
        <v>317</v>
      </c>
      <c r="H9" s="2490">
        <v>558</v>
      </c>
      <c r="I9" s="2406">
        <v>386</v>
      </c>
      <c r="J9" s="2491">
        <v>811</v>
      </c>
      <c r="K9" s="2490">
        <v>490</v>
      </c>
      <c r="L9" s="2491">
        <v>1092</v>
      </c>
      <c r="M9" s="2490">
        <v>849</v>
      </c>
      <c r="N9" s="2491">
        <v>1645</v>
      </c>
      <c r="O9" s="2490">
        <v>979</v>
      </c>
      <c r="P9" s="2491">
        <v>2231</v>
      </c>
      <c r="Q9" s="2490">
        <v>748</v>
      </c>
      <c r="R9" s="2491">
        <v>2234</v>
      </c>
      <c r="S9" s="2490">
        <v>1100</v>
      </c>
      <c r="T9" s="2491">
        <v>2381</v>
      </c>
      <c r="U9" s="2490">
        <f t="shared" ref="U9:Z9" si="0">SUM(U6:U8)</f>
        <v>1345</v>
      </c>
      <c r="V9" s="2491">
        <f t="shared" si="0"/>
        <v>2915</v>
      </c>
      <c r="W9" s="2490">
        <f t="shared" si="0"/>
        <v>1353</v>
      </c>
      <c r="X9" s="2491">
        <f t="shared" si="0"/>
        <v>3523</v>
      </c>
      <c r="Y9" s="2490">
        <f t="shared" si="0"/>
        <v>1166</v>
      </c>
      <c r="Z9" s="2491">
        <f t="shared" si="0"/>
        <v>3788</v>
      </c>
      <c r="AA9" s="2406">
        <f t="shared" ref="AA9:AF9" si="1">SUM(AA6:AA8)</f>
        <v>1200</v>
      </c>
      <c r="AB9" s="2491">
        <f t="shared" si="1"/>
        <v>3742</v>
      </c>
      <c r="AC9" s="2406">
        <f t="shared" si="1"/>
        <v>1352</v>
      </c>
      <c r="AD9" s="2491">
        <f t="shared" si="1"/>
        <v>3964</v>
      </c>
      <c r="AE9" s="2406">
        <f t="shared" si="1"/>
        <v>1220</v>
      </c>
      <c r="AF9" s="2491">
        <f t="shared" si="1"/>
        <v>3994</v>
      </c>
    </row>
    <row r="10" spans="1:32" ht="15" customHeight="1" x14ac:dyDescent="0.25">
      <c r="A10" s="1923"/>
    </row>
    <row r="11" spans="1:32" ht="15" customHeight="1" x14ac:dyDescent="0.2">
      <c r="A11" s="5028" t="s">
        <v>410</v>
      </c>
      <c r="B11" s="264" t="s">
        <v>6</v>
      </c>
      <c r="C11" s="265"/>
      <c r="D11" s="266"/>
      <c r="E11" s="265"/>
      <c r="F11" s="266"/>
      <c r="G11" s="265"/>
      <c r="H11" s="266"/>
      <c r="I11" s="265"/>
      <c r="J11" s="267"/>
      <c r="K11" s="266">
        <v>16</v>
      </c>
      <c r="L11" s="267">
        <v>16</v>
      </c>
      <c r="M11" s="266">
        <v>38</v>
      </c>
      <c r="N11" s="267">
        <v>54</v>
      </c>
      <c r="O11" s="266">
        <v>36</v>
      </c>
      <c r="P11" s="267">
        <v>87</v>
      </c>
      <c r="Q11" s="266">
        <v>35</v>
      </c>
      <c r="R11" s="267">
        <v>107</v>
      </c>
      <c r="S11" s="266">
        <v>22</v>
      </c>
      <c r="T11" s="267">
        <v>116</v>
      </c>
      <c r="U11" s="266">
        <v>51</v>
      </c>
      <c r="V11" s="267">
        <v>117</v>
      </c>
      <c r="W11" s="266">
        <v>42</v>
      </c>
      <c r="X11" s="267">
        <v>128</v>
      </c>
      <c r="Y11" s="266">
        <v>27</v>
      </c>
      <c r="Z11" s="267">
        <v>114</v>
      </c>
      <c r="AA11" s="265">
        <f>+' 1 Pronabes plan'!AB82</f>
        <v>40</v>
      </c>
      <c r="AB11" s="267">
        <f>+' 1 Pronabes plan'!AC82</f>
        <v>118</v>
      </c>
      <c r="AC11" s="265">
        <f>+' 1 Pronabes plan'!AD82</f>
        <v>98</v>
      </c>
      <c r="AD11" s="267">
        <f>+' 1 Pronabes plan'!AE82</f>
        <v>177</v>
      </c>
      <c r="AE11" s="265">
        <f>+' 1 Pronabes plan'!AF82</f>
        <v>111</v>
      </c>
      <c r="AF11" s="267">
        <f>+' 1 Pronabes plan'!AG82</f>
        <v>254</v>
      </c>
    </row>
    <row r="12" spans="1:32" ht="15" customHeight="1" x14ac:dyDescent="0.2">
      <c r="A12" s="5029"/>
      <c r="B12" s="268" t="s">
        <v>9</v>
      </c>
      <c r="C12" s="269"/>
      <c r="D12" s="270"/>
      <c r="E12" s="269"/>
      <c r="F12" s="270"/>
      <c r="G12" s="269"/>
      <c r="H12" s="270"/>
      <c r="I12" s="269"/>
      <c r="J12" s="271"/>
      <c r="K12" s="270">
        <v>4</v>
      </c>
      <c r="L12" s="271">
        <v>4</v>
      </c>
      <c r="M12" s="270">
        <v>19</v>
      </c>
      <c r="N12" s="271">
        <v>23</v>
      </c>
      <c r="O12" s="270">
        <v>24</v>
      </c>
      <c r="P12" s="271">
        <v>46</v>
      </c>
      <c r="Q12" s="270">
        <v>39</v>
      </c>
      <c r="R12" s="271">
        <v>78</v>
      </c>
      <c r="S12" s="270">
        <v>34</v>
      </c>
      <c r="T12" s="271">
        <v>105</v>
      </c>
      <c r="U12" s="270">
        <v>42</v>
      </c>
      <c r="V12" s="271">
        <v>121</v>
      </c>
      <c r="W12" s="270">
        <v>57</v>
      </c>
      <c r="X12" s="271">
        <v>142</v>
      </c>
      <c r="Y12" s="270">
        <v>40</v>
      </c>
      <c r="Z12" s="271">
        <v>130</v>
      </c>
      <c r="AA12" s="269">
        <f>+' 1 Pronabes plan'!AB86</f>
        <v>57</v>
      </c>
      <c r="AB12" s="271">
        <f>+' 1 Pronabes plan'!AC86</f>
        <v>137</v>
      </c>
      <c r="AC12" s="269">
        <f>+' 1 Pronabes plan'!AD86</f>
        <v>76</v>
      </c>
      <c r="AD12" s="271">
        <f>+' 1 Pronabes plan'!AE86</f>
        <v>188</v>
      </c>
      <c r="AE12" s="269">
        <f>+' 1 Pronabes plan'!AF86</f>
        <v>65</v>
      </c>
      <c r="AF12" s="271">
        <f>+' 1 Pronabes plan'!AG86</f>
        <v>193</v>
      </c>
    </row>
    <row r="13" spans="1:32" ht="15" customHeight="1" x14ac:dyDescent="0.2">
      <c r="A13" s="5029"/>
      <c r="B13" s="268" t="s">
        <v>74</v>
      </c>
      <c r="C13" s="269"/>
      <c r="D13" s="270"/>
      <c r="E13" s="269"/>
      <c r="F13" s="270"/>
      <c r="G13" s="269"/>
      <c r="H13" s="270"/>
      <c r="I13" s="269"/>
      <c r="J13" s="271"/>
      <c r="K13" s="270">
        <v>8</v>
      </c>
      <c r="L13" s="271">
        <v>8</v>
      </c>
      <c r="M13" s="270">
        <v>14</v>
      </c>
      <c r="N13" s="271">
        <v>22</v>
      </c>
      <c r="O13" s="270">
        <v>12</v>
      </c>
      <c r="P13" s="271">
        <v>29</v>
      </c>
      <c r="Q13" s="270">
        <v>18</v>
      </c>
      <c r="R13" s="271">
        <v>40</v>
      </c>
      <c r="S13" s="270">
        <v>15</v>
      </c>
      <c r="T13" s="271">
        <v>42</v>
      </c>
      <c r="U13" s="270">
        <v>21</v>
      </c>
      <c r="V13" s="271">
        <v>45</v>
      </c>
      <c r="W13" s="270">
        <v>37</v>
      </c>
      <c r="X13" s="271">
        <v>69</v>
      </c>
      <c r="Y13" s="270">
        <v>21</v>
      </c>
      <c r="Z13" s="271">
        <v>67</v>
      </c>
      <c r="AA13" s="269">
        <f>+' 1 Pronabes plan'!AB91</f>
        <v>39</v>
      </c>
      <c r="AB13" s="271">
        <f>+' 1 Pronabes plan'!AC91</f>
        <v>71</v>
      </c>
      <c r="AC13" s="269">
        <f>+' 1 Pronabes plan'!AD91</f>
        <v>81</v>
      </c>
      <c r="AD13" s="271">
        <f>+' 1 Pronabes plan'!AE91</f>
        <v>132</v>
      </c>
      <c r="AE13" s="269">
        <f>+' 1 Pronabes plan'!AF91</f>
        <v>70</v>
      </c>
      <c r="AF13" s="271">
        <f>+' 1 Pronabes plan'!AG91</f>
        <v>167</v>
      </c>
    </row>
    <row r="14" spans="1:32" ht="15" customHeight="1" x14ac:dyDescent="0.2">
      <c r="A14" s="5030"/>
      <c r="B14" s="2402" t="s">
        <v>160</v>
      </c>
      <c r="C14" s="2403"/>
      <c r="D14" s="2492"/>
      <c r="E14" s="2403"/>
      <c r="F14" s="2492"/>
      <c r="G14" s="2403"/>
      <c r="H14" s="2492"/>
      <c r="I14" s="2403"/>
      <c r="J14" s="2493"/>
      <c r="K14" s="2492">
        <v>28</v>
      </c>
      <c r="L14" s="2493">
        <v>28</v>
      </c>
      <c r="M14" s="2492">
        <v>71</v>
      </c>
      <c r="N14" s="2493">
        <v>99</v>
      </c>
      <c r="O14" s="2492">
        <v>72</v>
      </c>
      <c r="P14" s="2493">
        <v>162</v>
      </c>
      <c r="Q14" s="2492">
        <v>92</v>
      </c>
      <c r="R14" s="2493">
        <v>225</v>
      </c>
      <c r="S14" s="2492">
        <v>71</v>
      </c>
      <c r="T14" s="2493">
        <v>263</v>
      </c>
      <c r="U14" s="2492">
        <f t="shared" ref="U14:Z14" si="2">SUM(U11:U13)</f>
        <v>114</v>
      </c>
      <c r="V14" s="2493">
        <f t="shared" si="2"/>
        <v>283</v>
      </c>
      <c r="W14" s="2492">
        <f t="shared" si="2"/>
        <v>136</v>
      </c>
      <c r="X14" s="2493">
        <f t="shared" si="2"/>
        <v>339</v>
      </c>
      <c r="Y14" s="2492">
        <f t="shared" si="2"/>
        <v>88</v>
      </c>
      <c r="Z14" s="2493">
        <f t="shared" si="2"/>
        <v>311</v>
      </c>
      <c r="AA14" s="2403">
        <f t="shared" ref="AA14:AF14" si="3">SUM(AA11:AA13)</f>
        <v>136</v>
      </c>
      <c r="AB14" s="2493">
        <f t="shared" si="3"/>
        <v>326</v>
      </c>
      <c r="AC14" s="2403">
        <f t="shared" si="3"/>
        <v>255</v>
      </c>
      <c r="AD14" s="2493">
        <f t="shared" si="3"/>
        <v>497</v>
      </c>
      <c r="AE14" s="2403">
        <f t="shared" si="3"/>
        <v>246</v>
      </c>
      <c r="AF14" s="2493">
        <f t="shared" si="3"/>
        <v>614</v>
      </c>
    </row>
    <row r="15" spans="1:32" ht="15" customHeight="1" x14ac:dyDescent="0.25">
      <c r="A15" s="1923"/>
      <c r="B15" s="700"/>
      <c r="C15" s="700"/>
      <c r="D15" s="700"/>
      <c r="E15" s="700"/>
      <c r="F15" s="700"/>
      <c r="G15" s="700"/>
      <c r="H15" s="700"/>
      <c r="I15" s="700"/>
      <c r="J15" s="700"/>
      <c r="K15" s="700"/>
      <c r="L15" s="700"/>
      <c r="M15" s="700"/>
      <c r="N15" s="700"/>
      <c r="O15" s="700"/>
      <c r="P15" s="700"/>
      <c r="Q15" s="700"/>
      <c r="R15" s="700"/>
      <c r="S15" s="700"/>
      <c r="T15" s="700"/>
      <c r="U15" s="700"/>
      <c r="V15" s="700"/>
      <c r="W15" s="700"/>
      <c r="X15" s="700"/>
      <c r="Y15" s="700"/>
      <c r="Z15" s="700"/>
      <c r="AA15" s="700"/>
      <c r="AB15" s="700"/>
      <c r="AC15" s="700"/>
      <c r="AD15" s="700"/>
      <c r="AE15" s="700"/>
      <c r="AF15" s="700"/>
    </row>
    <row r="16" spans="1:32" ht="15" customHeight="1" x14ac:dyDescent="0.2">
      <c r="A16" s="5040" t="s">
        <v>162</v>
      </c>
      <c r="B16" s="268" t="s">
        <v>5</v>
      </c>
      <c r="C16" s="265">
        <v>18</v>
      </c>
      <c r="D16" s="266">
        <v>18</v>
      </c>
      <c r="E16" s="265">
        <v>70</v>
      </c>
      <c r="F16" s="266">
        <v>81</v>
      </c>
      <c r="G16" s="269">
        <v>89</v>
      </c>
      <c r="H16" s="270">
        <v>153</v>
      </c>
      <c r="I16" s="269">
        <v>108</v>
      </c>
      <c r="J16" s="271">
        <v>211</v>
      </c>
      <c r="K16" s="270">
        <v>144</v>
      </c>
      <c r="L16" s="271">
        <v>282</v>
      </c>
      <c r="M16" s="270">
        <v>254</v>
      </c>
      <c r="N16" s="271">
        <v>412</v>
      </c>
      <c r="O16" s="270">
        <v>197</v>
      </c>
      <c r="P16" s="271">
        <v>470</v>
      </c>
      <c r="Q16" s="270">
        <v>180</v>
      </c>
      <c r="R16" s="271">
        <v>428</v>
      </c>
      <c r="S16" s="270">
        <v>164</v>
      </c>
      <c r="T16" s="271">
        <v>389</v>
      </c>
      <c r="U16" s="270">
        <v>321</v>
      </c>
      <c r="V16" s="271">
        <v>520</v>
      </c>
      <c r="W16" s="270">
        <v>366</v>
      </c>
      <c r="X16" s="271">
        <v>706</v>
      </c>
      <c r="Y16" s="270">
        <v>284</v>
      </c>
      <c r="Z16" s="271">
        <v>669</v>
      </c>
      <c r="AA16" s="265">
        <f>+' 1 Pronabes plan'!AB35</f>
        <v>414</v>
      </c>
      <c r="AB16" s="267">
        <f>+' 1 Pronabes plan'!AC35</f>
        <v>832</v>
      </c>
      <c r="AC16" s="265">
        <f>+' 1 Pronabes plan'!AD35</f>
        <v>391</v>
      </c>
      <c r="AD16" s="267">
        <f>+' 1 Pronabes plan'!AE35</f>
        <v>956</v>
      </c>
      <c r="AE16" s="265">
        <f>+' 1 Pronabes plan'!AF35</f>
        <v>264</v>
      </c>
      <c r="AF16" s="267">
        <f>+' 1 Pronabes plan'!AG35</f>
        <v>894</v>
      </c>
    </row>
    <row r="17" spans="1:32" ht="15" customHeight="1" x14ac:dyDescent="0.2">
      <c r="A17" s="5041"/>
      <c r="B17" s="268" t="s">
        <v>6</v>
      </c>
      <c r="C17" s="269">
        <v>35</v>
      </c>
      <c r="D17" s="270">
        <v>34</v>
      </c>
      <c r="E17" s="269">
        <v>129</v>
      </c>
      <c r="F17" s="270">
        <v>157</v>
      </c>
      <c r="G17" s="269">
        <v>139</v>
      </c>
      <c r="H17" s="270">
        <v>267</v>
      </c>
      <c r="I17" s="269">
        <v>116</v>
      </c>
      <c r="J17" s="271">
        <v>339</v>
      </c>
      <c r="K17" s="270">
        <v>166</v>
      </c>
      <c r="L17" s="271">
        <v>449</v>
      </c>
      <c r="M17" s="270">
        <v>418</v>
      </c>
      <c r="N17" s="271">
        <v>710</v>
      </c>
      <c r="O17" s="270">
        <v>288</v>
      </c>
      <c r="P17" s="271">
        <v>836</v>
      </c>
      <c r="Q17" s="270">
        <v>369</v>
      </c>
      <c r="R17" s="271">
        <v>949</v>
      </c>
      <c r="S17" s="270">
        <v>528</v>
      </c>
      <c r="T17" s="271">
        <v>1173</v>
      </c>
      <c r="U17" s="270">
        <v>705</v>
      </c>
      <c r="V17" s="271">
        <v>1584</v>
      </c>
      <c r="W17" s="270">
        <v>569</v>
      </c>
      <c r="X17" s="271">
        <v>1781</v>
      </c>
      <c r="Y17" s="270">
        <v>445</v>
      </c>
      <c r="Z17" s="271">
        <v>1738</v>
      </c>
      <c r="AA17" s="269">
        <f>+' 1 Pronabes plan'!AB47</f>
        <v>510</v>
      </c>
      <c r="AB17" s="271">
        <f>+' 1 Pronabes plan'!AC47</f>
        <v>1688</v>
      </c>
      <c r="AC17" s="269">
        <f>+' 1 Pronabes plan'!AD47</f>
        <v>545</v>
      </c>
      <c r="AD17" s="271">
        <f>+' 1 Pronabes plan'!AE47</f>
        <v>1735</v>
      </c>
      <c r="AE17" s="269">
        <f>+' 1 Pronabes plan'!AF47</f>
        <v>539</v>
      </c>
      <c r="AF17" s="271">
        <f>+' 1 Pronabes plan'!AG47</f>
        <v>1764</v>
      </c>
    </row>
    <row r="18" spans="1:32" ht="15" customHeight="1" x14ac:dyDescent="0.2">
      <c r="A18" s="5041"/>
      <c r="B18" s="268" t="s">
        <v>11</v>
      </c>
      <c r="C18" s="269">
        <v>6</v>
      </c>
      <c r="D18" s="270">
        <v>6</v>
      </c>
      <c r="E18" s="269">
        <v>87</v>
      </c>
      <c r="F18" s="270">
        <v>87</v>
      </c>
      <c r="G18" s="269">
        <v>75</v>
      </c>
      <c r="H18" s="270">
        <v>145</v>
      </c>
      <c r="I18" s="269">
        <v>120</v>
      </c>
      <c r="J18" s="271">
        <v>217</v>
      </c>
      <c r="K18" s="270">
        <v>138</v>
      </c>
      <c r="L18" s="271">
        <v>274</v>
      </c>
      <c r="M18" s="270">
        <v>230</v>
      </c>
      <c r="N18" s="271">
        <v>393</v>
      </c>
      <c r="O18" s="270">
        <v>174</v>
      </c>
      <c r="P18" s="271">
        <v>470</v>
      </c>
      <c r="Q18" s="270">
        <v>139</v>
      </c>
      <c r="R18" s="271">
        <v>432</v>
      </c>
      <c r="S18" s="270">
        <v>255</v>
      </c>
      <c r="T18" s="271">
        <v>480</v>
      </c>
      <c r="U18" s="270">
        <v>403</v>
      </c>
      <c r="V18" s="271">
        <v>697</v>
      </c>
      <c r="W18" s="270">
        <v>388</v>
      </c>
      <c r="X18" s="271">
        <v>858</v>
      </c>
      <c r="Y18" s="270">
        <v>381</v>
      </c>
      <c r="Z18" s="271">
        <v>926</v>
      </c>
      <c r="AA18" s="269">
        <f>+' 1 Pronabes plan'!AB54</f>
        <v>365</v>
      </c>
      <c r="AB18" s="271">
        <f>+' 1 Pronabes plan'!AC54</f>
        <v>978</v>
      </c>
      <c r="AC18" s="269">
        <f>+' 1 Pronabes plan'!AD54</f>
        <v>383</v>
      </c>
      <c r="AD18" s="271">
        <f>+' 1 Pronabes plan'!AE54</f>
        <v>1002</v>
      </c>
      <c r="AE18" s="269">
        <f>+' 1 Pronabes plan'!AF54</f>
        <v>345</v>
      </c>
      <c r="AF18" s="271">
        <f>+' 1 Pronabes plan'!AG54</f>
        <v>1005</v>
      </c>
    </row>
    <row r="19" spans="1:32" ht="15" customHeight="1" x14ac:dyDescent="0.2">
      <c r="A19" s="5109"/>
      <c r="B19" s="2399" t="s">
        <v>160</v>
      </c>
      <c r="C19" s="2400">
        <f>SUM(C16:C18)</f>
        <v>59</v>
      </c>
      <c r="D19" s="2488">
        <f>SUM(D16:D18)</f>
        <v>58</v>
      </c>
      <c r="E19" s="2400">
        <f>SUM(E16:E18)</f>
        <v>286</v>
      </c>
      <c r="F19" s="2488">
        <f>SUM(F16:F18)</f>
        <v>325</v>
      </c>
      <c r="G19" s="2400">
        <v>303</v>
      </c>
      <c r="H19" s="2488">
        <v>565</v>
      </c>
      <c r="I19" s="2400">
        <v>344</v>
      </c>
      <c r="J19" s="2489">
        <v>767</v>
      </c>
      <c r="K19" s="2488">
        <v>448</v>
      </c>
      <c r="L19" s="2489">
        <v>1005</v>
      </c>
      <c r="M19" s="2488">
        <v>902</v>
      </c>
      <c r="N19" s="2489">
        <v>1515</v>
      </c>
      <c r="O19" s="2488">
        <v>659</v>
      </c>
      <c r="P19" s="2489">
        <v>1776</v>
      </c>
      <c r="Q19" s="2488">
        <v>688</v>
      </c>
      <c r="R19" s="2489">
        <v>1809</v>
      </c>
      <c r="S19" s="2488">
        <v>947</v>
      </c>
      <c r="T19" s="2489">
        <v>2042</v>
      </c>
      <c r="U19" s="2488">
        <f t="shared" ref="U19:Z19" si="4">SUM(U16:U18)</f>
        <v>1429</v>
      </c>
      <c r="V19" s="2489">
        <f t="shared" si="4"/>
        <v>2801</v>
      </c>
      <c r="W19" s="2488">
        <f t="shared" si="4"/>
        <v>1323</v>
      </c>
      <c r="X19" s="2489">
        <f t="shared" si="4"/>
        <v>3345</v>
      </c>
      <c r="Y19" s="2488">
        <f t="shared" si="4"/>
        <v>1110</v>
      </c>
      <c r="Z19" s="2489">
        <f t="shared" si="4"/>
        <v>3333</v>
      </c>
      <c r="AA19" s="2400">
        <f t="shared" ref="AA19:AF19" si="5">SUM(AA16:AA18)</f>
        <v>1289</v>
      </c>
      <c r="AB19" s="2489">
        <f t="shared" si="5"/>
        <v>3498</v>
      </c>
      <c r="AC19" s="2400">
        <f t="shared" si="5"/>
        <v>1319</v>
      </c>
      <c r="AD19" s="2489">
        <f t="shared" si="5"/>
        <v>3693</v>
      </c>
      <c r="AE19" s="2400">
        <f t="shared" si="5"/>
        <v>1148</v>
      </c>
      <c r="AF19" s="2489">
        <f t="shared" si="5"/>
        <v>3663</v>
      </c>
    </row>
    <row r="20" spans="1:32" ht="15" customHeight="1" x14ac:dyDescent="0.2">
      <c r="A20" s="195"/>
      <c r="B20" s="700"/>
      <c r="C20" s="700"/>
      <c r="D20" s="700"/>
      <c r="E20" s="700"/>
      <c r="F20" s="700"/>
      <c r="G20" s="700"/>
      <c r="H20" s="700"/>
      <c r="I20" s="700"/>
      <c r="J20" s="700"/>
      <c r="K20" s="700"/>
      <c r="L20" s="700"/>
      <c r="M20" s="700"/>
      <c r="N20" s="700"/>
      <c r="O20" s="700"/>
      <c r="P20" s="700"/>
      <c r="Q20" s="700"/>
      <c r="R20" s="700"/>
      <c r="S20" s="700"/>
      <c r="T20" s="700"/>
      <c r="U20" s="700"/>
      <c r="V20" s="700"/>
      <c r="W20" s="700"/>
      <c r="X20" s="700"/>
      <c r="Y20" s="700"/>
      <c r="Z20" s="700"/>
      <c r="AA20" s="700"/>
      <c r="AB20" s="700"/>
      <c r="AC20" s="700"/>
      <c r="AD20" s="700"/>
      <c r="AE20" s="700"/>
      <c r="AF20" s="700"/>
    </row>
    <row r="21" spans="1:32" ht="15" customHeight="1" x14ac:dyDescent="0.2">
      <c r="A21" s="5031" t="s">
        <v>411</v>
      </c>
      <c r="B21" s="264" t="s">
        <v>5</v>
      </c>
      <c r="C21" s="265"/>
      <c r="D21" s="266"/>
      <c r="E21" s="265"/>
      <c r="F21" s="266"/>
      <c r="G21" s="265"/>
      <c r="H21" s="266"/>
      <c r="I21" s="265"/>
      <c r="J21" s="267"/>
      <c r="K21" s="266"/>
      <c r="L21" s="267"/>
      <c r="M21" s="266"/>
      <c r="N21" s="267"/>
      <c r="O21" s="266"/>
      <c r="P21" s="267"/>
      <c r="Q21" s="266"/>
      <c r="R21" s="267"/>
      <c r="S21" s="266"/>
      <c r="T21" s="267"/>
      <c r="U21" s="266"/>
      <c r="V21" s="267"/>
      <c r="W21" s="270">
        <f>SUM(' 1 Pronabes plan'!X94)</f>
        <v>22</v>
      </c>
      <c r="X21" s="271">
        <f>SUM(' 1 Pronabes plan'!Y94)</f>
        <v>22</v>
      </c>
      <c r="Y21" s="270">
        <f>SUM(' 1 Pronabes plan'!Z94)</f>
        <v>17</v>
      </c>
      <c r="Z21" s="271">
        <f>SUM(' 1 Pronabes plan'!AA94)</f>
        <v>40</v>
      </c>
      <c r="AA21" s="265">
        <f>SUM(' 1 Pronabes plan'!AB94)</f>
        <v>18</v>
      </c>
      <c r="AB21" s="267">
        <f>SUM(' 1 Pronabes plan'!AC94)</f>
        <v>50</v>
      </c>
      <c r="AC21" s="265">
        <f>SUM(' 1 Pronabes plan'!AD94)</f>
        <v>8</v>
      </c>
      <c r="AD21" s="267">
        <f>SUM(' 1 Pronabes plan'!AE94)</f>
        <v>45</v>
      </c>
      <c r="AE21" s="265">
        <f>SUM(' 1 Pronabes plan'!AF94)</f>
        <v>31</v>
      </c>
      <c r="AF21" s="267">
        <f>SUM(' 1 Pronabes plan'!AG94)</f>
        <v>61</v>
      </c>
    </row>
    <row r="22" spans="1:32" ht="15" customHeight="1" x14ac:dyDescent="0.2">
      <c r="A22" s="5032"/>
      <c r="B22" s="268" t="s">
        <v>6</v>
      </c>
      <c r="C22" s="269"/>
      <c r="D22" s="270"/>
      <c r="E22" s="269"/>
      <c r="F22" s="270"/>
      <c r="G22" s="269"/>
      <c r="H22" s="270"/>
      <c r="I22" s="269"/>
      <c r="J22" s="271"/>
      <c r="K22" s="270"/>
      <c r="L22" s="271"/>
      <c r="M22" s="270"/>
      <c r="N22" s="271"/>
      <c r="O22" s="270"/>
      <c r="P22" s="271"/>
      <c r="Q22" s="270"/>
      <c r="R22" s="271"/>
      <c r="S22" s="270"/>
      <c r="T22" s="271"/>
      <c r="U22" s="270"/>
      <c r="V22" s="271"/>
      <c r="W22" s="270">
        <f>SUM(' 1 Pronabes plan'!X97)</f>
        <v>25</v>
      </c>
      <c r="X22" s="271">
        <f>SUM(' 1 Pronabes plan'!Y97)</f>
        <v>25</v>
      </c>
      <c r="Y22" s="270">
        <f>SUM(' 1 Pronabes plan'!Z97)</f>
        <v>20</v>
      </c>
      <c r="Z22" s="271">
        <f>SUM(' 1 Pronabes plan'!AA97)</f>
        <v>45</v>
      </c>
      <c r="AA22" s="269">
        <f>SUM(' 1 Pronabes plan'!AB97)</f>
        <v>23</v>
      </c>
      <c r="AB22" s="271">
        <f>SUM(' 1 Pronabes plan'!AC97)</f>
        <v>61</v>
      </c>
      <c r="AC22" s="269">
        <f>SUM(' 1 Pronabes plan'!AD97)</f>
        <v>21</v>
      </c>
      <c r="AD22" s="271">
        <f>SUM(' 1 Pronabes plan'!AE97)</f>
        <v>77</v>
      </c>
      <c r="AE22" s="269">
        <f>SUM(' 1 Pronabes plan'!AF97)</f>
        <v>45</v>
      </c>
      <c r="AF22" s="271">
        <f>SUM(' 1 Pronabes plan'!AG97)</f>
        <v>110</v>
      </c>
    </row>
    <row r="23" spans="1:32" ht="15" customHeight="1" x14ac:dyDescent="0.2">
      <c r="A23" s="5032"/>
      <c r="B23" s="268" t="s">
        <v>11</v>
      </c>
      <c r="C23" s="269"/>
      <c r="D23" s="270"/>
      <c r="E23" s="269"/>
      <c r="F23" s="270"/>
      <c r="G23" s="269"/>
      <c r="H23" s="270"/>
      <c r="I23" s="269"/>
      <c r="J23" s="271"/>
      <c r="K23" s="270"/>
      <c r="L23" s="271"/>
      <c r="M23" s="270"/>
      <c r="N23" s="271"/>
      <c r="O23" s="270"/>
      <c r="P23" s="271"/>
      <c r="Q23" s="270"/>
      <c r="R23" s="271"/>
      <c r="S23" s="270"/>
      <c r="T23" s="271"/>
      <c r="U23" s="270"/>
      <c r="V23" s="271"/>
      <c r="W23" s="270">
        <f>SUM(' 1 Pronabes plan'!X99)</f>
        <v>29</v>
      </c>
      <c r="X23" s="271">
        <f>SUM(' 1 Pronabes plan'!Y99)</f>
        <v>26</v>
      </c>
      <c r="Y23" s="270">
        <f>SUM(' 1 Pronabes plan'!Z99)</f>
        <v>9</v>
      </c>
      <c r="Z23" s="271">
        <f>SUM(' 1 Pronabes plan'!AA99)</f>
        <v>28</v>
      </c>
      <c r="AA23" s="269">
        <f>SUM(' 1 Pronabes plan'!AB99)</f>
        <v>20</v>
      </c>
      <c r="AB23" s="271">
        <f>SUM(' 1 Pronabes plan'!AC99)</f>
        <v>34</v>
      </c>
      <c r="AC23" s="269">
        <f>SUM(' 1 Pronabes plan'!AD99)</f>
        <v>22</v>
      </c>
      <c r="AD23" s="271">
        <f>SUM(' 1 Pronabes plan'!AE99)</f>
        <v>50</v>
      </c>
      <c r="AE23" s="269">
        <f>SUM(' 1 Pronabes plan'!AF99)</f>
        <v>46</v>
      </c>
      <c r="AF23" s="271">
        <f>SUM(' 1 Pronabes plan'!AG99)</f>
        <v>89</v>
      </c>
    </row>
    <row r="24" spans="1:32" ht="15" customHeight="1" x14ac:dyDescent="0.2">
      <c r="A24" s="5113"/>
      <c r="B24" s="2397" t="s">
        <v>160</v>
      </c>
      <c r="C24" s="2398"/>
      <c r="D24" s="2494"/>
      <c r="E24" s="2398"/>
      <c r="F24" s="2494"/>
      <c r="G24" s="2398"/>
      <c r="H24" s="2494"/>
      <c r="I24" s="2398"/>
      <c r="J24" s="2408"/>
      <c r="K24" s="2494"/>
      <c r="L24" s="2408"/>
      <c r="M24" s="2494"/>
      <c r="N24" s="2408"/>
      <c r="O24" s="2494"/>
      <c r="P24" s="2408"/>
      <c r="Q24" s="2494"/>
      <c r="R24" s="2408"/>
      <c r="S24" s="2494"/>
      <c r="T24" s="2408"/>
      <c r="U24" s="2494"/>
      <c r="V24" s="2408"/>
      <c r="W24" s="2494">
        <f>SUM(W21:W23)</f>
        <v>76</v>
      </c>
      <c r="X24" s="2408">
        <f t="shared" ref="X24:AD24" si="6">SUM(X21:X23)</f>
        <v>73</v>
      </c>
      <c r="Y24" s="2494">
        <f t="shared" si="6"/>
        <v>46</v>
      </c>
      <c r="Z24" s="2408">
        <f t="shared" si="6"/>
        <v>113</v>
      </c>
      <c r="AA24" s="2398">
        <f t="shared" si="6"/>
        <v>61</v>
      </c>
      <c r="AB24" s="2408">
        <f t="shared" si="6"/>
        <v>145</v>
      </c>
      <c r="AC24" s="2398">
        <f t="shared" si="6"/>
        <v>51</v>
      </c>
      <c r="AD24" s="2408">
        <f t="shared" si="6"/>
        <v>172</v>
      </c>
      <c r="AE24" s="2398">
        <f t="shared" ref="AE24:AF24" si="7">SUM(AE21:AE23)</f>
        <v>122</v>
      </c>
      <c r="AF24" s="2408">
        <f t="shared" si="7"/>
        <v>260</v>
      </c>
    </row>
    <row r="25" spans="1:32" ht="15" customHeight="1" x14ac:dyDescent="0.25">
      <c r="A25" s="1923"/>
    </row>
    <row r="26" spans="1:32" ht="15" customHeight="1" x14ac:dyDescent="0.2">
      <c r="A26" s="5043" t="s">
        <v>163</v>
      </c>
      <c r="B26" s="264" t="s">
        <v>6</v>
      </c>
      <c r="C26" s="265">
        <v>19</v>
      </c>
      <c r="D26" s="266">
        <v>17</v>
      </c>
      <c r="E26" s="265">
        <v>113</v>
      </c>
      <c r="F26" s="266">
        <v>122</v>
      </c>
      <c r="G26" s="265">
        <v>116</v>
      </c>
      <c r="H26" s="266">
        <v>229</v>
      </c>
      <c r="I26" s="265">
        <v>123</v>
      </c>
      <c r="J26" s="267">
        <v>306</v>
      </c>
      <c r="K26" s="266">
        <v>154</v>
      </c>
      <c r="L26" s="267">
        <v>368</v>
      </c>
      <c r="M26" s="266">
        <v>411</v>
      </c>
      <c r="N26" s="267">
        <v>687</v>
      </c>
      <c r="O26" s="266">
        <v>240</v>
      </c>
      <c r="P26" s="267">
        <v>814</v>
      </c>
      <c r="Q26" s="266">
        <v>240</v>
      </c>
      <c r="R26" s="267">
        <v>824</v>
      </c>
      <c r="S26" s="266">
        <v>674</v>
      </c>
      <c r="T26" s="267">
        <v>1136</v>
      </c>
      <c r="U26" s="266">
        <v>600</v>
      </c>
      <c r="V26" s="267">
        <v>1371</v>
      </c>
      <c r="W26" s="266">
        <v>520</v>
      </c>
      <c r="X26" s="267">
        <v>1579</v>
      </c>
      <c r="Y26" s="266">
        <v>476</v>
      </c>
      <c r="Z26" s="267">
        <v>1637</v>
      </c>
      <c r="AA26" s="265">
        <f>+' 1 Pronabes plan'!AB62</f>
        <v>472</v>
      </c>
      <c r="AB26" s="267">
        <f>+' 1 Pronabes plan'!AC62</f>
        <v>1597</v>
      </c>
      <c r="AC26" s="265">
        <f>+' 1 Pronabes plan'!AD62</f>
        <v>633</v>
      </c>
      <c r="AD26" s="267">
        <f>+' 1 Pronabes plan'!AE62</f>
        <v>1645</v>
      </c>
      <c r="AE26" s="265">
        <f>+' 1 Pronabes plan'!AF62</f>
        <v>520</v>
      </c>
      <c r="AF26" s="267">
        <f>+' 1 Pronabes plan'!AG62</f>
        <v>1699</v>
      </c>
    </row>
    <row r="27" spans="1:32" ht="15" customHeight="1" x14ac:dyDescent="0.2">
      <c r="A27" s="5044"/>
      <c r="B27" s="268" t="s">
        <v>11</v>
      </c>
      <c r="C27" s="269">
        <v>17</v>
      </c>
      <c r="D27" s="270">
        <v>17</v>
      </c>
      <c r="E27" s="269">
        <v>148</v>
      </c>
      <c r="F27" s="270">
        <v>153</v>
      </c>
      <c r="G27" s="269">
        <v>164</v>
      </c>
      <c r="H27" s="270">
        <v>285</v>
      </c>
      <c r="I27" s="269">
        <v>151</v>
      </c>
      <c r="J27" s="271">
        <v>395</v>
      </c>
      <c r="K27" s="270">
        <v>176</v>
      </c>
      <c r="L27" s="271">
        <v>483</v>
      </c>
      <c r="M27" s="270">
        <v>580</v>
      </c>
      <c r="N27" s="271">
        <v>935</v>
      </c>
      <c r="O27" s="270">
        <v>335</v>
      </c>
      <c r="P27" s="271">
        <v>1099</v>
      </c>
      <c r="Q27" s="270">
        <v>340</v>
      </c>
      <c r="R27" s="271">
        <v>1138</v>
      </c>
      <c r="S27" s="270">
        <v>868</v>
      </c>
      <c r="T27" s="271">
        <v>1567</v>
      </c>
      <c r="U27" s="270">
        <v>800</v>
      </c>
      <c r="V27" s="271">
        <v>1867</v>
      </c>
      <c r="W27" s="270">
        <v>642</v>
      </c>
      <c r="X27" s="271">
        <v>2000</v>
      </c>
      <c r="Y27" s="270">
        <v>594</v>
      </c>
      <c r="Z27" s="271">
        <v>2071</v>
      </c>
      <c r="AA27" s="269">
        <f>+' 1 Pronabes plan'!AB71</f>
        <v>671</v>
      </c>
      <c r="AB27" s="271">
        <f>+' 1 Pronabes plan'!AC71</f>
        <v>2051</v>
      </c>
      <c r="AC27" s="269">
        <f>+' 1 Pronabes plan'!AD71</f>
        <v>852</v>
      </c>
      <c r="AD27" s="271">
        <f>+' 1 Pronabes plan'!AE71</f>
        <v>2248</v>
      </c>
      <c r="AE27" s="269">
        <f>+' 1 Pronabes plan'!AF71</f>
        <v>691</v>
      </c>
      <c r="AF27" s="271">
        <f>+' 1 Pronabes plan'!AG71</f>
        <v>2337</v>
      </c>
    </row>
    <row r="28" spans="1:32" ht="15" customHeight="1" x14ac:dyDescent="0.2">
      <c r="A28" s="5044"/>
      <c r="B28" s="268" t="s">
        <v>7</v>
      </c>
      <c r="C28" s="269">
        <v>11</v>
      </c>
      <c r="D28" s="270">
        <v>10</v>
      </c>
      <c r="E28" s="269">
        <v>56</v>
      </c>
      <c r="F28" s="270">
        <v>61</v>
      </c>
      <c r="G28" s="269">
        <v>68</v>
      </c>
      <c r="H28" s="270">
        <v>121</v>
      </c>
      <c r="I28" s="269">
        <v>73</v>
      </c>
      <c r="J28" s="271">
        <v>176</v>
      </c>
      <c r="K28" s="270">
        <v>71</v>
      </c>
      <c r="L28" s="271">
        <v>210</v>
      </c>
      <c r="M28" s="270">
        <v>240</v>
      </c>
      <c r="N28" s="271">
        <v>382</v>
      </c>
      <c r="O28" s="270">
        <v>134</v>
      </c>
      <c r="P28" s="271">
        <v>441</v>
      </c>
      <c r="Q28" s="270">
        <v>123</v>
      </c>
      <c r="R28" s="271">
        <v>397</v>
      </c>
      <c r="S28" s="270">
        <v>299</v>
      </c>
      <c r="T28" s="271">
        <v>491</v>
      </c>
      <c r="U28" s="270">
        <v>323</v>
      </c>
      <c r="V28" s="271">
        <v>643</v>
      </c>
      <c r="W28" s="270">
        <v>222</v>
      </c>
      <c r="X28" s="271">
        <v>672</v>
      </c>
      <c r="Y28" s="270">
        <v>236</v>
      </c>
      <c r="Z28" s="271">
        <v>710</v>
      </c>
      <c r="AA28" s="269">
        <f>+' 1 Pronabes plan'!AB76</f>
        <v>217</v>
      </c>
      <c r="AB28" s="271">
        <f>+' 1 Pronabes plan'!AC76</f>
        <v>684</v>
      </c>
      <c r="AC28" s="269">
        <f>+' 1 Pronabes plan'!AD76</f>
        <v>284</v>
      </c>
      <c r="AD28" s="271">
        <f>+' 1 Pronabes plan'!AE76</f>
        <v>751</v>
      </c>
      <c r="AE28" s="269">
        <f>+' 1 Pronabes plan'!AF76</f>
        <v>231</v>
      </c>
      <c r="AF28" s="271">
        <f>+' 1 Pronabes plan'!AG76</f>
        <v>771</v>
      </c>
    </row>
    <row r="29" spans="1:32" ht="15" customHeight="1" x14ac:dyDescent="0.2">
      <c r="A29" s="5110"/>
      <c r="B29" s="2409" t="s">
        <v>160</v>
      </c>
      <c r="C29" s="2410">
        <f>SUM(C26:C28)</f>
        <v>47</v>
      </c>
      <c r="D29" s="2486">
        <f>SUM(D26:D28)</f>
        <v>44</v>
      </c>
      <c r="E29" s="2410">
        <f>SUM(E26:E28)</f>
        <v>317</v>
      </c>
      <c r="F29" s="2486">
        <f>SUM(F26:F28)</f>
        <v>336</v>
      </c>
      <c r="G29" s="2410">
        <v>348</v>
      </c>
      <c r="H29" s="2486">
        <v>635</v>
      </c>
      <c r="I29" s="2410">
        <v>347</v>
      </c>
      <c r="J29" s="2487">
        <v>877</v>
      </c>
      <c r="K29" s="2486">
        <v>401</v>
      </c>
      <c r="L29" s="2487">
        <v>1061</v>
      </c>
      <c r="M29" s="2486">
        <v>1231</v>
      </c>
      <c r="N29" s="2487">
        <v>2004</v>
      </c>
      <c r="O29" s="2486">
        <v>709</v>
      </c>
      <c r="P29" s="2487">
        <v>2354</v>
      </c>
      <c r="Q29" s="2486">
        <v>703</v>
      </c>
      <c r="R29" s="2487">
        <v>2359</v>
      </c>
      <c r="S29" s="2486">
        <v>1841</v>
      </c>
      <c r="T29" s="2487">
        <v>3194</v>
      </c>
      <c r="U29" s="2486">
        <f t="shared" ref="U29:Z29" si="8">SUM(U26:U28)</f>
        <v>1723</v>
      </c>
      <c r="V29" s="2487">
        <f t="shared" si="8"/>
        <v>3881</v>
      </c>
      <c r="W29" s="2486">
        <f t="shared" si="8"/>
        <v>1384</v>
      </c>
      <c r="X29" s="2487">
        <f t="shared" si="8"/>
        <v>4251</v>
      </c>
      <c r="Y29" s="2486">
        <f t="shared" si="8"/>
        <v>1306</v>
      </c>
      <c r="Z29" s="2487">
        <f t="shared" si="8"/>
        <v>4418</v>
      </c>
      <c r="AA29" s="2410">
        <f t="shared" ref="AA29:AF29" si="9">SUM(AA26:AA28)</f>
        <v>1360</v>
      </c>
      <c r="AB29" s="2487">
        <f t="shared" si="9"/>
        <v>4332</v>
      </c>
      <c r="AC29" s="2410">
        <f t="shared" si="9"/>
        <v>1769</v>
      </c>
      <c r="AD29" s="2487">
        <f t="shared" si="9"/>
        <v>4644</v>
      </c>
      <c r="AE29" s="2410">
        <f t="shared" si="9"/>
        <v>1442</v>
      </c>
      <c r="AF29" s="2487">
        <f t="shared" si="9"/>
        <v>4807</v>
      </c>
    </row>
    <row r="30" spans="1:32" ht="15" customHeight="1" x14ac:dyDescent="0.2"/>
    <row r="31" spans="1:32" ht="15" customHeight="1" x14ac:dyDescent="0.2">
      <c r="A31" s="5059" t="s">
        <v>60</v>
      </c>
      <c r="B31" s="264" t="s">
        <v>5</v>
      </c>
      <c r="C31" s="265">
        <f>SUM(C6,C16)</f>
        <v>41</v>
      </c>
      <c r="D31" s="266">
        <f>SUM(D6,D16)</f>
        <v>40</v>
      </c>
      <c r="E31" s="265">
        <f>SUM(E6,E16)</f>
        <v>156</v>
      </c>
      <c r="F31" s="266">
        <f>SUM(F6,F16)</f>
        <v>176</v>
      </c>
      <c r="G31" s="265">
        <v>199</v>
      </c>
      <c r="H31" s="266">
        <v>331</v>
      </c>
      <c r="I31" s="265">
        <v>305</v>
      </c>
      <c r="J31" s="267">
        <v>503</v>
      </c>
      <c r="K31" s="266">
        <v>334</v>
      </c>
      <c r="L31" s="267">
        <v>670</v>
      </c>
      <c r="M31" s="266">
        <v>595</v>
      </c>
      <c r="N31" s="267">
        <v>1024</v>
      </c>
      <c r="O31" s="266">
        <v>765</v>
      </c>
      <c r="P31" s="267">
        <v>1463</v>
      </c>
      <c r="Q31" s="266">
        <v>451</v>
      </c>
      <c r="R31" s="267">
        <v>1346</v>
      </c>
      <c r="S31" s="266">
        <v>598</v>
      </c>
      <c r="T31" s="267">
        <v>1242</v>
      </c>
      <c r="U31" s="265">
        <f>SUM(U6,U16)</f>
        <v>950</v>
      </c>
      <c r="V31" s="267">
        <f>SUM(V6,V16)</f>
        <v>1636</v>
      </c>
      <c r="W31" s="265">
        <f t="shared" ref="W31:AB31" si="10">SUM(W6,W16,W21)</f>
        <v>1024</v>
      </c>
      <c r="X31" s="267">
        <f t="shared" si="10"/>
        <v>2161</v>
      </c>
      <c r="Y31" s="265">
        <f t="shared" si="10"/>
        <v>713</v>
      </c>
      <c r="Z31" s="267">
        <f t="shared" si="10"/>
        <v>2159</v>
      </c>
      <c r="AA31" s="265">
        <f t="shared" si="10"/>
        <v>882</v>
      </c>
      <c r="AB31" s="267">
        <f t="shared" si="10"/>
        <v>2200</v>
      </c>
      <c r="AC31" s="265">
        <f>SUM(AC6,AC16,AC21)</f>
        <v>899</v>
      </c>
      <c r="AD31" s="267">
        <f>SUM(AD6,AD16,AD21)</f>
        <v>2377</v>
      </c>
      <c r="AE31" s="265">
        <f>SUM(AE6,AE16,AE21)</f>
        <v>692</v>
      </c>
      <c r="AF31" s="267">
        <f>SUM(AF6,AF16,AF21)</f>
        <v>2250</v>
      </c>
    </row>
    <row r="32" spans="1:32" ht="15" customHeight="1" x14ac:dyDescent="0.2">
      <c r="A32" s="5060"/>
      <c r="B32" s="268" t="s">
        <v>6</v>
      </c>
      <c r="C32" s="269">
        <f>SUM(C7,C17,C26)</f>
        <v>74</v>
      </c>
      <c r="D32" s="270">
        <f>SUM(D7,D17,D26)</f>
        <v>71</v>
      </c>
      <c r="E32" s="269">
        <f>SUM(E7,E17,E26)</f>
        <v>358</v>
      </c>
      <c r="F32" s="270">
        <f>SUM(F7,F17,F26)</f>
        <v>410</v>
      </c>
      <c r="G32" s="269">
        <v>385</v>
      </c>
      <c r="H32" s="270">
        <v>739</v>
      </c>
      <c r="I32" s="269">
        <v>346</v>
      </c>
      <c r="J32" s="271">
        <v>966</v>
      </c>
      <c r="K32" s="270">
        <v>514</v>
      </c>
      <c r="L32" s="271">
        <v>1269</v>
      </c>
      <c r="M32" s="270">
        <v>1191</v>
      </c>
      <c r="N32" s="271">
        <v>2082</v>
      </c>
      <c r="O32" s="270">
        <v>815</v>
      </c>
      <c r="P32" s="271">
        <v>2488</v>
      </c>
      <c r="Q32" s="270">
        <v>937</v>
      </c>
      <c r="R32" s="271">
        <v>2683</v>
      </c>
      <c r="S32" s="270">
        <v>1687</v>
      </c>
      <c r="T32" s="271">
        <v>3414</v>
      </c>
      <c r="U32" s="269">
        <f>SUM(U7,U11,U17,U26)</f>
        <v>1859</v>
      </c>
      <c r="V32" s="271">
        <f>SUM(V7,V11,V17,V26)</f>
        <v>4286</v>
      </c>
      <c r="W32" s="269">
        <f t="shared" ref="W32:AB32" si="11">SUM(W7,W11,W17,W26,W22)</f>
        <v>1668</v>
      </c>
      <c r="X32" s="271">
        <f t="shared" si="11"/>
        <v>4968</v>
      </c>
      <c r="Y32" s="269">
        <f t="shared" si="11"/>
        <v>1512</v>
      </c>
      <c r="Z32" s="271">
        <f t="shared" si="11"/>
        <v>5206</v>
      </c>
      <c r="AA32" s="269">
        <f t="shared" si="11"/>
        <v>1578</v>
      </c>
      <c r="AB32" s="271">
        <f t="shared" si="11"/>
        <v>5191</v>
      </c>
      <c r="AC32" s="269">
        <f>SUM(AC7,AC11,AC17,AC26,AC22)</f>
        <v>1905</v>
      </c>
      <c r="AD32" s="271">
        <f>SUM(AD7,AD11,AD17,AD26,AD22)</f>
        <v>5486</v>
      </c>
      <c r="AE32" s="269">
        <f>SUM(AE7,AE11,AE17,AE26,AE22)</f>
        <v>1763</v>
      </c>
      <c r="AF32" s="271">
        <f>SUM(AF7,AF11,AF17,AF26,AF22)</f>
        <v>5718</v>
      </c>
    </row>
    <row r="33" spans="1:32" ht="15" customHeight="1" x14ac:dyDescent="0.2">
      <c r="A33" s="5060"/>
      <c r="B33" s="268" t="s">
        <v>11</v>
      </c>
      <c r="C33" s="269">
        <f>SUM(C18,C27)</f>
        <v>23</v>
      </c>
      <c r="D33" s="270">
        <f>SUM(D18,D27)</f>
        <v>23</v>
      </c>
      <c r="E33" s="269">
        <f>SUM(E18,E27)</f>
        <v>235</v>
      </c>
      <c r="F33" s="270">
        <f>SUM(F18,F27)</f>
        <v>240</v>
      </c>
      <c r="G33" s="269">
        <v>239</v>
      </c>
      <c r="H33" s="270">
        <v>430</v>
      </c>
      <c r="I33" s="269">
        <v>271</v>
      </c>
      <c r="J33" s="271">
        <v>612</v>
      </c>
      <c r="K33" s="270">
        <v>314</v>
      </c>
      <c r="L33" s="271">
        <v>757</v>
      </c>
      <c r="M33" s="270">
        <v>810</v>
      </c>
      <c r="N33" s="271">
        <v>1328</v>
      </c>
      <c r="O33" s="270">
        <v>509</v>
      </c>
      <c r="P33" s="271">
        <v>1569</v>
      </c>
      <c r="Q33" s="270">
        <v>479</v>
      </c>
      <c r="R33" s="271">
        <v>1570</v>
      </c>
      <c r="S33" s="270">
        <v>1123</v>
      </c>
      <c r="T33" s="271">
        <v>2047</v>
      </c>
      <c r="U33" s="269">
        <f>SUM(U18,U27)</f>
        <v>1203</v>
      </c>
      <c r="V33" s="271">
        <f>SUM(V18,V27)</f>
        <v>2564</v>
      </c>
      <c r="W33" s="269">
        <f t="shared" ref="W33:AB33" si="12">SUM(W18,W27,W23)</f>
        <v>1059</v>
      </c>
      <c r="X33" s="271">
        <f t="shared" si="12"/>
        <v>2884</v>
      </c>
      <c r="Y33" s="269">
        <f t="shared" si="12"/>
        <v>984</v>
      </c>
      <c r="Z33" s="271">
        <f t="shared" si="12"/>
        <v>3025</v>
      </c>
      <c r="AA33" s="269">
        <f t="shared" si="12"/>
        <v>1056</v>
      </c>
      <c r="AB33" s="271">
        <f t="shared" si="12"/>
        <v>3063</v>
      </c>
      <c r="AC33" s="269">
        <f>SUM(AC18,AC27,AC23)</f>
        <v>1257</v>
      </c>
      <c r="AD33" s="271">
        <f>SUM(AD18,AD27,AD23)</f>
        <v>3300</v>
      </c>
      <c r="AE33" s="269">
        <f>SUM(AE18,AE27,AE23)</f>
        <v>1082</v>
      </c>
      <c r="AF33" s="271">
        <f>SUM(AF18,AF27,AF23)</f>
        <v>3431</v>
      </c>
    </row>
    <row r="34" spans="1:32" ht="15" customHeight="1" x14ac:dyDescent="0.2">
      <c r="A34" s="5060"/>
      <c r="B34" s="268" t="s">
        <v>7</v>
      </c>
      <c r="C34" s="269">
        <f>SUM(C8,C28)</f>
        <v>21</v>
      </c>
      <c r="D34" s="270">
        <f>SUM(D8,D28)</f>
        <v>19</v>
      </c>
      <c r="E34" s="269">
        <f>SUM(E8,E28)</f>
        <v>122</v>
      </c>
      <c r="F34" s="270">
        <f>SUM(F8,F28)</f>
        <v>134</v>
      </c>
      <c r="G34" s="269">
        <v>145</v>
      </c>
      <c r="H34" s="270">
        <v>258</v>
      </c>
      <c r="I34" s="269">
        <v>155</v>
      </c>
      <c r="J34" s="271">
        <v>374</v>
      </c>
      <c r="K34" s="270">
        <v>193</v>
      </c>
      <c r="L34" s="271">
        <v>478</v>
      </c>
      <c r="M34" s="270">
        <v>424</v>
      </c>
      <c r="N34" s="271">
        <v>784</v>
      </c>
      <c r="O34" s="270">
        <v>294</v>
      </c>
      <c r="P34" s="271">
        <v>928</v>
      </c>
      <c r="Q34" s="270">
        <v>307</v>
      </c>
      <c r="R34" s="271">
        <v>910</v>
      </c>
      <c r="S34" s="270">
        <v>502</v>
      </c>
      <c r="T34" s="271">
        <v>1030</v>
      </c>
      <c r="U34" s="269">
        <f t="shared" ref="U34:Z34" si="13">SUM(U8,U28)</f>
        <v>536</v>
      </c>
      <c r="V34" s="271">
        <f t="shared" si="13"/>
        <v>1228</v>
      </c>
      <c r="W34" s="269">
        <f t="shared" si="13"/>
        <v>427</v>
      </c>
      <c r="X34" s="271">
        <f t="shared" si="13"/>
        <v>1307</v>
      </c>
      <c r="Y34" s="269">
        <f t="shared" si="13"/>
        <v>446</v>
      </c>
      <c r="Z34" s="271">
        <f t="shared" si="13"/>
        <v>1376</v>
      </c>
      <c r="AA34" s="269">
        <f t="shared" ref="AA34:AF34" si="14">SUM(AA8,AA28)</f>
        <v>434</v>
      </c>
      <c r="AB34" s="271">
        <f t="shared" si="14"/>
        <v>1381</v>
      </c>
      <c r="AC34" s="269">
        <f t="shared" si="14"/>
        <v>528</v>
      </c>
      <c r="AD34" s="271">
        <f t="shared" si="14"/>
        <v>1487</v>
      </c>
      <c r="AE34" s="269">
        <f t="shared" si="14"/>
        <v>506</v>
      </c>
      <c r="AF34" s="271">
        <f t="shared" si="14"/>
        <v>1579</v>
      </c>
    </row>
    <row r="35" spans="1:32" ht="15" customHeight="1" x14ac:dyDescent="0.2">
      <c r="A35" s="5060"/>
      <c r="B35" s="268" t="s">
        <v>9</v>
      </c>
      <c r="C35" s="269"/>
      <c r="D35" s="270"/>
      <c r="E35" s="269"/>
      <c r="F35" s="270"/>
      <c r="G35" s="269"/>
      <c r="H35" s="270"/>
      <c r="I35" s="269"/>
      <c r="J35" s="271"/>
      <c r="K35" s="270">
        <v>4</v>
      </c>
      <c r="L35" s="271">
        <v>4</v>
      </c>
      <c r="M35" s="270">
        <v>19</v>
      </c>
      <c r="N35" s="271">
        <v>23</v>
      </c>
      <c r="O35" s="270">
        <v>24</v>
      </c>
      <c r="P35" s="271">
        <v>46</v>
      </c>
      <c r="Q35" s="270">
        <v>39</v>
      </c>
      <c r="R35" s="271">
        <v>78</v>
      </c>
      <c r="S35" s="270">
        <v>34</v>
      </c>
      <c r="T35" s="271">
        <v>105</v>
      </c>
      <c r="U35" s="269">
        <f t="shared" ref="U35:Z36" si="15">SUM(U12)</f>
        <v>42</v>
      </c>
      <c r="V35" s="271">
        <f t="shared" si="15"/>
        <v>121</v>
      </c>
      <c r="W35" s="269">
        <f t="shared" si="15"/>
        <v>57</v>
      </c>
      <c r="X35" s="271">
        <f t="shared" si="15"/>
        <v>142</v>
      </c>
      <c r="Y35" s="269">
        <f t="shared" si="15"/>
        <v>40</v>
      </c>
      <c r="Z35" s="271">
        <f t="shared" si="15"/>
        <v>130</v>
      </c>
      <c r="AA35" s="269">
        <f t="shared" ref="AA35:AD36" si="16">SUM(AA12)</f>
        <v>57</v>
      </c>
      <c r="AB35" s="271">
        <f t="shared" si="16"/>
        <v>137</v>
      </c>
      <c r="AC35" s="269">
        <f t="shared" si="16"/>
        <v>76</v>
      </c>
      <c r="AD35" s="271">
        <f t="shared" si="16"/>
        <v>188</v>
      </c>
      <c r="AE35" s="269">
        <f t="shared" ref="AE35:AF35" si="17">SUM(AE12)</f>
        <v>65</v>
      </c>
      <c r="AF35" s="271">
        <f t="shared" si="17"/>
        <v>193</v>
      </c>
    </row>
    <row r="36" spans="1:32" ht="15" customHeight="1" x14ac:dyDescent="0.2">
      <c r="A36" s="5060"/>
      <c r="B36" s="278" t="s">
        <v>74</v>
      </c>
      <c r="C36" s="272"/>
      <c r="D36" s="273"/>
      <c r="E36" s="272"/>
      <c r="F36" s="273"/>
      <c r="G36" s="272"/>
      <c r="H36" s="273"/>
      <c r="I36" s="272"/>
      <c r="J36" s="274"/>
      <c r="K36" s="273">
        <v>8</v>
      </c>
      <c r="L36" s="274">
        <v>8</v>
      </c>
      <c r="M36" s="273">
        <v>14</v>
      </c>
      <c r="N36" s="274">
        <v>22</v>
      </c>
      <c r="O36" s="273">
        <v>12</v>
      </c>
      <c r="P36" s="274">
        <v>29</v>
      </c>
      <c r="Q36" s="273">
        <v>18</v>
      </c>
      <c r="R36" s="274">
        <v>40</v>
      </c>
      <c r="S36" s="273">
        <v>15</v>
      </c>
      <c r="T36" s="274">
        <v>42</v>
      </c>
      <c r="U36" s="272">
        <f t="shared" si="15"/>
        <v>21</v>
      </c>
      <c r="V36" s="274">
        <f t="shared" si="15"/>
        <v>45</v>
      </c>
      <c r="W36" s="272">
        <f t="shared" si="15"/>
        <v>37</v>
      </c>
      <c r="X36" s="274">
        <f t="shared" si="15"/>
        <v>69</v>
      </c>
      <c r="Y36" s="272">
        <f t="shared" si="15"/>
        <v>21</v>
      </c>
      <c r="Z36" s="274">
        <f t="shared" si="15"/>
        <v>67</v>
      </c>
      <c r="AA36" s="272">
        <f t="shared" si="16"/>
        <v>39</v>
      </c>
      <c r="AB36" s="274">
        <f t="shared" si="16"/>
        <v>71</v>
      </c>
      <c r="AC36" s="272">
        <f t="shared" si="16"/>
        <v>81</v>
      </c>
      <c r="AD36" s="274">
        <f t="shared" si="16"/>
        <v>132</v>
      </c>
      <c r="AE36" s="272">
        <f t="shared" ref="AE36:AF36" si="18">SUM(AE13)</f>
        <v>70</v>
      </c>
      <c r="AF36" s="274">
        <f t="shared" si="18"/>
        <v>167</v>
      </c>
    </row>
    <row r="37" spans="1:32" ht="15" customHeight="1" x14ac:dyDescent="0.2">
      <c r="A37" s="5061"/>
      <c r="B37" s="577" t="s">
        <v>160</v>
      </c>
      <c r="C37" s="578">
        <f>SUM(C31:C36)</f>
        <v>159</v>
      </c>
      <c r="D37" s="579">
        <f>SUM(D31:D36)</f>
        <v>153</v>
      </c>
      <c r="E37" s="578">
        <f>SUM(E31:E36)</f>
        <v>871</v>
      </c>
      <c r="F37" s="579">
        <f>SUM(F31:F36)</f>
        <v>960</v>
      </c>
      <c r="G37" s="578">
        <v>968</v>
      </c>
      <c r="H37" s="579">
        <v>1758</v>
      </c>
      <c r="I37" s="578">
        <v>1077</v>
      </c>
      <c r="J37" s="580">
        <v>2455</v>
      </c>
      <c r="K37" s="579">
        <v>1367</v>
      </c>
      <c r="L37" s="580">
        <v>3186</v>
      </c>
      <c r="M37" s="579">
        <v>3053</v>
      </c>
      <c r="N37" s="580">
        <v>5263</v>
      </c>
      <c r="O37" s="579">
        <v>2419</v>
      </c>
      <c r="P37" s="580">
        <v>6523</v>
      </c>
      <c r="Q37" s="579">
        <v>2231</v>
      </c>
      <c r="R37" s="580">
        <v>6627</v>
      </c>
      <c r="S37" s="579">
        <v>3959</v>
      </c>
      <c r="T37" s="580">
        <v>7880</v>
      </c>
      <c r="U37" s="579">
        <f t="shared" ref="U37:AA37" si="19">SUM(U31:U36)</f>
        <v>4611</v>
      </c>
      <c r="V37" s="580">
        <f t="shared" si="19"/>
        <v>9880</v>
      </c>
      <c r="W37" s="579">
        <f t="shared" si="19"/>
        <v>4272</v>
      </c>
      <c r="X37" s="580">
        <f t="shared" si="19"/>
        <v>11531</v>
      </c>
      <c r="Y37" s="579">
        <f t="shared" si="19"/>
        <v>3716</v>
      </c>
      <c r="Z37" s="580">
        <f t="shared" si="19"/>
        <v>11963</v>
      </c>
      <c r="AA37" s="579">
        <f t="shared" si="19"/>
        <v>4046</v>
      </c>
      <c r="AB37" s="580">
        <v>12043</v>
      </c>
      <c r="AC37" s="579">
        <f>SUM(AC31:AC36)</f>
        <v>4746</v>
      </c>
      <c r="AD37" s="580">
        <f>SUM(AD31:AD36)</f>
        <v>12970</v>
      </c>
      <c r="AE37" s="579">
        <f>SUM(AE31:AE36)</f>
        <v>4178</v>
      </c>
      <c r="AF37" s="580">
        <f>SUM(AF31:AF36)</f>
        <v>13338</v>
      </c>
    </row>
    <row r="38" spans="1:32" ht="15" x14ac:dyDescent="0.2">
      <c r="A38" s="240" t="s">
        <v>131</v>
      </c>
      <c r="B38" s="200"/>
      <c r="C38" s="200"/>
      <c r="D38" s="200"/>
      <c r="E38" s="200"/>
      <c r="F38" s="200"/>
      <c r="G38" s="200"/>
      <c r="H38" s="200"/>
      <c r="I38" s="200"/>
      <c r="J38" s="200"/>
    </row>
    <row r="43" spans="1:32" x14ac:dyDescent="0.2">
      <c r="R43" s="3985">
        <v>2001</v>
      </c>
    </row>
    <row r="44" spans="1:32" x14ac:dyDescent="0.2">
      <c r="R44" s="3985">
        <v>2002</v>
      </c>
    </row>
    <row r="45" spans="1:32" x14ac:dyDescent="0.2">
      <c r="R45" s="3985">
        <v>2003</v>
      </c>
    </row>
    <row r="46" spans="1:32" x14ac:dyDescent="0.2">
      <c r="R46" s="3985">
        <v>2004</v>
      </c>
    </row>
    <row r="47" spans="1:32" x14ac:dyDescent="0.2">
      <c r="R47" s="3985">
        <v>2005</v>
      </c>
    </row>
    <row r="48" spans="1:32" x14ac:dyDescent="0.2">
      <c r="R48" s="3985">
        <v>2006</v>
      </c>
    </row>
    <row r="49" spans="18:18" x14ac:dyDescent="0.2">
      <c r="R49" s="3985">
        <v>2007</v>
      </c>
    </row>
    <row r="50" spans="18:18" x14ac:dyDescent="0.2">
      <c r="R50" s="3985">
        <v>2008</v>
      </c>
    </row>
    <row r="51" spans="18:18" x14ac:dyDescent="0.2">
      <c r="R51" s="3985">
        <v>2009</v>
      </c>
    </row>
    <row r="52" spans="18:18" x14ac:dyDescent="0.2">
      <c r="R52" s="3985">
        <v>2010</v>
      </c>
    </row>
    <row r="53" spans="18:18" x14ac:dyDescent="0.2">
      <c r="R53" s="3985">
        <v>2011</v>
      </c>
    </row>
    <row r="54" spans="18:18" x14ac:dyDescent="0.2">
      <c r="R54" s="3985">
        <v>2012</v>
      </c>
    </row>
    <row r="55" spans="18:18" x14ac:dyDescent="0.2">
      <c r="R55" s="3985">
        <v>2013</v>
      </c>
    </row>
    <row r="56" spans="18:18" x14ac:dyDescent="0.2">
      <c r="R56" s="3985">
        <v>2014</v>
      </c>
    </row>
    <row r="57" spans="18:18" x14ac:dyDescent="0.2">
      <c r="R57" s="3985">
        <v>2015</v>
      </c>
    </row>
  </sheetData>
  <mergeCells count="24">
    <mergeCell ref="AE3:AF3"/>
    <mergeCell ref="B3:B4"/>
    <mergeCell ref="G3:H3"/>
    <mergeCell ref="I3:J3"/>
    <mergeCell ref="K3:L3"/>
    <mergeCell ref="M3:N3"/>
    <mergeCell ref="C3:D3"/>
    <mergeCell ref="E3:F3"/>
    <mergeCell ref="A1:B1"/>
    <mergeCell ref="AC3:AD3"/>
    <mergeCell ref="A31:A37"/>
    <mergeCell ref="O3:P3"/>
    <mergeCell ref="Q3:R3"/>
    <mergeCell ref="S3:T3"/>
    <mergeCell ref="U3:V3"/>
    <mergeCell ref="A6:A9"/>
    <mergeCell ref="A11:A14"/>
    <mergeCell ref="A16:A19"/>
    <mergeCell ref="A21:A24"/>
    <mergeCell ref="A26:A29"/>
    <mergeCell ref="AA3:AB3"/>
    <mergeCell ref="W3:X3"/>
    <mergeCell ref="Y3:Z3"/>
    <mergeCell ref="A3:A4"/>
  </mergeCells>
  <printOptions horizontalCentered="1" verticalCentered="1"/>
  <pageMargins left="0.39370078740157483" right="0.39370078740157483" top="0.47244094488188981" bottom="0.19685039370078741" header="0" footer="0"/>
  <pageSetup scale="72" pageOrder="overThenDown" orientation="landscape" horizontalDpi="1200" verticalDpi="1200" r:id="rId1"/>
  <headerFooter alignWithMargins="0">
    <oddFooter>&amp;R62</oddFooter>
  </headerFooter>
  <rowBreaks count="1" manualBreakCount="1">
    <brk id="38" max="29" man="1"/>
  </rowBreaks>
  <colBreaks count="1" manualBreakCount="1">
    <brk id="18" max="75" man="1"/>
  </col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C1:AH40"/>
  <sheetViews>
    <sheetView showGridLines="0" topLeftCell="A2" zoomScaleNormal="100" zoomScaleSheetLayoutView="80" workbookViewId="0">
      <pane xSplit="4" ySplit="5" topLeftCell="S7" activePane="bottomRight" state="frozen"/>
      <selection activeCell="A2" sqref="A2"/>
      <selection pane="topRight" activeCell="E2" sqref="E2"/>
      <selection pane="bottomLeft" activeCell="A7" sqref="A7"/>
      <selection pane="bottomRight" activeCell="D33" sqref="D33"/>
    </sheetView>
  </sheetViews>
  <sheetFormatPr baseColWidth="10" defaultRowHeight="12.75" x14ac:dyDescent="0.2"/>
  <cols>
    <col min="1" max="2" width="1.42578125" style="1" customWidth="1"/>
    <col min="3" max="3" width="15.7109375" style="1" customWidth="1"/>
    <col min="4" max="6" width="9.7109375" style="1" customWidth="1"/>
    <col min="7" max="7" width="10.140625" style="1" customWidth="1"/>
    <col min="8" max="8" width="12.42578125" style="1" customWidth="1"/>
    <col min="9" max="9" width="7.140625" style="1" customWidth="1"/>
    <col min="10" max="11" width="9.7109375" style="1" customWidth="1"/>
    <col min="12" max="12" width="11.140625" style="1" customWidth="1"/>
    <col min="13" max="13" width="11.5703125" style="1" customWidth="1"/>
    <col min="14" max="14" width="7.140625" style="1" customWidth="1"/>
    <col min="15" max="16" width="9.7109375" style="1" customWidth="1"/>
    <col min="17" max="17" width="10.5703125" style="1" customWidth="1"/>
    <col min="18" max="18" width="12" style="1" customWidth="1"/>
    <col min="19" max="19" width="7.140625" style="1" bestFit="1" customWidth="1"/>
    <col min="20" max="20" width="9.85546875" style="1" bestFit="1" customWidth="1"/>
    <col min="21" max="21" width="8.42578125" style="1" customWidth="1"/>
    <col min="22" max="22" width="10.42578125" style="1" customWidth="1"/>
    <col min="23" max="23" width="11.7109375" style="1" customWidth="1"/>
    <col min="24" max="24" width="7.140625" style="1" bestFit="1" customWidth="1"/>
    <col min="25" max="25" width="9.85546875" style="1" bestFit="1" customWidth="1"/>
    <col min="26" max="26" width="8.85546875" style="1" customWidth="1"/>
    <col min="27" max="27" width="10.28515625" style="1" customWidth="1"/>
    <col min="28" max="28" width="12" style="1" customWidth="1"/>
    <col min="29" max="29" width="7.140625" style="1" bestFit="1" customWidth="1"/>
    <col min="30" max="16384" width="11.42578125" style="1"/>
  </cols>
  <sheetData>
    <row r="1" spans="3:34" ht="15" x14ac:dyDescent="0.2">
      <c r="C1" s="4"/>
      <c r="D1" s="4"/>
      <c r="E1" s="945"/>
      <c r="F1" s="945"/>
      <c r="G1" s="945"/>
      <c r="H1" s="945"/>
      <c r="I1" s="945"/>
      <c r="J1" s="945"/>
      <c r="K1" s="945"/>
      <c r="L1" s="945"/>
      <c r="M1" s="945"/>
      <c r="N1" s="945"/>
      <c r="O1" s="945"/>
      <c r="P1" s="945"/>
      <c r="Q1" s="945"/>
      <c r="R1" s="945"/>
      <c r="S1" s="945"/>
      <c r="T1" s="560"/>
      <c r="U1" s="4"/>
      <c r="V1" s="4"/>
      <c r="W1" s="4"/>
      <c r="X1" s="4"/>
      <c r="Y1" s="29"/>
    </row>
    <row r="2" spans="3:34" ht="18.75" x14ac:dyDescent="0.2">
      <c r="C2" s="5877" t="s">
        <v>322</v>
      </c>
      <c r="D2" s="5877"/>
      <c r="E2" s="5877"/>
      <c r="F2" s="5877"/>
      <c r="G2" s="5877"/>
      <c r="H2" s="5877"/>
      <c r="I2" s="5877"/>
      <c r="J2" s="5877"/>
      <c r="K2" s="5877"/>
      <c r="L2" s="5877"/>
      <c r="M2" s="5877"/>
      <c r="N2" s="5877"/>
      <c r="O2" s="5877"/>
      <c r="P2" s="5877"/>
      <c r="Q2" s="5877"/>
      <c r="R2" s="5877"/>
      <c r="S2" s="5877"/>
      <c r="T2" s="5877"/>
      <c r="U2" s="5877"/>
      <c r="V2" s="5877"/>
      <c r="W2" s="5877"/>
      <c r="X2" s="5877"/>
      <c r="Y2" s="35"/>
    </row>
    <row r="3" spans="3:34" ht="18.75" x14ac:dyDescent="0.2">
      <c r="C3" s="5877" t="s">
        <v>165</v>
      </c>
      <c r="D3" s="5877"/>
      <c r="E3" s="5877"/>
      <c r="F3" s="5877"/>
      <c r="G3" s="5877"/>
      <c r="H3" s="5877"/>
      <c r="I3" s="5877"/>
      <c r="J3" s="5877"/>
      <c r="K3" s="5877"/>
      <c r="L3" s="5877"/>
      <c r="M3" s="5877"/>
      <c r="N3" s="5877"/>
      <c r="O3" s="5877"/>
      <c r="P3" s="5877"/>
      <c r="Q3" s="5877"/>
      <c r="R3" s="5877"/>
      <c r="S3" s="5877"/>
      <c r="T3" s="5877"/>
      <c r="U3" s="5877"/>
      <c r="V3" s="5877"/>
      <c r="W3" s="5877"/>
      <c r="X3" s="5877"/>
      <c r="Y3" s="35"/>
    </row>
    <row r="4" spans="3:34" ht="15.75" x14ac:dyDescent="0.2">
      <c r="C4" s="957"/>
      <c r="D4" s="957"/>
      <c r="E4" s="1038"/>
      <c r="F4" s="1038"/>
      <c r="G4" s="1038"/>
      <c r="H4" s="1038"/>
      <c r="I4" s="1038"/>
      <c r="J4" s="957"/>
      <c r="K4" s="957"/>
      <c r="L4" s="957"/>
      <c r="M4" s="957"/>
      <c r="N4" s="957"/>
      <c r="O4" s="957"/>
      <c r="P4" s="957"/>
      <c r="Q4" s="957"/>
      <c r="R4" s="957"/>
      <c r="S4" s="957"/>
      <c r="T4" s="957"/>
      <c r="U4" s="957"/>
      <c r="V4" s="957"/>
      <c r="W4" s="957"/>
      <c r="X4" s="957"/>
      <c r="Y4" s="35"/>
    </row>
    <row r="5" spans="3:34" ht="15" x14ac:dyDescent="0.2">
      <c r="C5" s="5574" t="s">
        <v>16</v>
      </c>
      <c r="D5" s="5580" t="s">
        <v>356</v>
      </c>
      <c r="E5" s="5878">
        <v>2008</v>
      </c>
      <c r="F5" s="5879"/>
      <c r="G5" s="5879"/>
      <c r="H5" s="5879"/>
      <c r="I5" s="5880"/>
      <c r="J5" s="5878">
        <v>2009</v>
      </c>
      <c r="K5" s="5879"/>
      <c r="L5" s="5879"/>
      <c r="M5" s="5879"/>
      <c r="N5" s="5880"/>
      <c r="O5" s="5878">
        <v>2010</v>
      </c>
      <c r="P5" s="5879"/>
      <c r="Q5" s="5879"/>
      <c r="R5" s="5879"/>
      <c r="S5" s="5880"/>
      <c r="T5" s="5878">
        <v>2011</v>
      </c>
      <c r="U5" s="5879"/>
      <c r="V5" s="5879"/>
      <c r="W5" s="5879"/>
      <c r="X5" s="5880"/>
      <c r="Y5" s="5878">
        <v>2012</v>
      </c>
      <c r="Z5" s="5879"/>
      <c r="AA5" s="5879"/>
      <c r="AB5" s="5879"/>
      <c r="AC5" s="5880"/>
      <c r="AD5" s="5878">
        <v>2013</v>
      </c>
      <c r="AE5" s="5879"/>
      <c r="AF5" s="5879"/>
      <c r="AG5" s="5879"/>
      <c r="AH5" s="5880"/>
    </row>
    <row r="6" spans="3:34" ht="25.5" x14ac:dyDescent="0.2">
      <c r="C6" s="5574"/>
      <c r="D6" s="5580"/>
      <c r="E6" s="1639" t="s">
        <v>648</v>
      </c>
      <c r="F6" s="1640" t="s">
        <v>649</v>
      </c>
      <c r="G6" s="1640" t="s">
        <v>650</v>
      </c>
      <c r="H6" s="1641" t="s">
        <v>651</v>
      </c>
      <c r="I6" s="1642" t="s">
        <v>12</v>
      </c>
      <c r="J6" s="1639" t="s">
        <v>648</v>
      </c>
      <c r="K6" s="1640" t="s">
        <v>649</v>
      </c>
      <c r="L6" s="1640" t="s">
        <v>650</v>
      </c>
      <c r="M6" s="1641" t="s">
        <v>651</v>
      </c>
      <c r="N6" s="1642" t="s">
        <v>12</v>
      </c>
      <c r="O6" s="1639" t="s">
        <v>648</v>
      </c>
      <c r="P6" s="1640" t="s">
        <v>649</v>
      </c>
      <c r="Q6" s="1640" t="s">
        <v>650</v>
      </c>
      <c r="R6" s="1641" t="s">
        <v>651</v>
      </c>
      <c r="S6" s="1642" t="s">
        <v>12</v>
      </c>
      <c r="T6" s="1639" t="s">
        <v>648</v>
      </c>
      <c r="U6" s="1640" t="s">
        <v>649</v>
      </c>
      <c r="V6" s="1640" t="s">
        <v>650</v>
      </c>
      <c r="W6" s="1641" t="s">
        <v>651</v>
      </c>
      <c r="X6" s="1642" t="s">
        <v>12</v>
      </c>
      <c r="Y6" s="1639" t="s">
        <v>648</v>
      </c>
      <c r="Z6" s="1640" t="s">
        <v>649</v>
      </c>
      <c r="AA6" s="1640" t="s">
        <v>650</v>
      </c>
      <c r="AB6" s="1641" t="s">
        <v>651</v>
      </c>
      <c r="AC6" s="1642" t="s">
        <v>12</v>
      </c>
      <c r="AD6" s="1639" t="s">
        <v>648</v>
      </c>
      <c r="AE6" s="1640" t="s">
        <v>649</v>
      </c>
      <c r="AF6" s="1640" t="s">
        <v>650</v>
      </c>
      <c r="AG6" s="1641" t="s">
        <v>651</v>
      </c>
      <c r="AH6" s="1490" t="s">
        <v>12</v>
      </c>
    </row>
    <row r="7" spans="3:34" ht="12.75" customHeight="1" x14ac:dyDescent="0.2">
      <c r="C7" s="250"/>
      <c r="D7" s="250"/>
      <c r="E7" s="250"/>
      <c r="F7" s="250"/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250"/>
      <c r="R7" s="250"/>
      <c r="S7" s="250"/>
      <c r="T7" s="250"/>
      <c r="U7" s="250"/>
      <c r="V7" s="250"/>
      <c r="W7" s="250"/>
      <c r="X7" s="250"/>
      <c r="Y7" s="250"/>
      <c r="Z7" s="250"/>
      <c r="AA7" s="250"/>
      <c r="AB7" s="250"/>
      <c r="AC7" s="250"/>
      <c r="AD7" s="250"/>
      <c r="AE7" s="250"/>
      <c r="AF7" s="250"/>
      <c r="AG7" s="250"/>
      <c r="AH7" s="250"/>
    </row>
    <row r="8" spans="3:34" ht="12.75" customHeight="1" x14ac:dyDescent="0.2">
      <c r="C8" s="5881" t="s">
        <v>3</v>
      </c>
      <c r="D8" s="1491" t="s">
        <v>357</v>
      </c>
      <c r="E8" s="1491">
        <v>1</v>
      </c>
      <c r="F8" s="1492">
        <v>36</v>
      </c>
      <c r="G8" s="1492">
        <v>23</v>
      </c>
      <c r="H8" s="1493"/>
      <c r="I8" s="1491">
        <f>SUM(E8:H8)</f>
        <v>60</v>
      </c>
      <c r="J8" s="1491"/>
      <c r="K8" s="1492">
        <v>7</v>
      </c>
      <c r="L8" s="1492">
        <v>2</v>
      </c>
      <c r="M8" s="1493">
        <v>1</v>
      </c>
      <c r="N8" s="1491">
        <f>SUM(K8:M8)</f>
        <v>10</v>
      </c>
      <c r="O8" s="1491">
        <v>3</v>
      </c>
      <c r="P8" s="1492">
        <v>35</v>
      </c>
      <c r="Q8" s="1492">
        <v>23</v>
      </c>
      <c r="R8" s="1493">
        <v>4</v>
      </c>
      <c r="S8" s="1491">
        <v>65</v>
      </c>
      <c r="T8" s="1491">
        <v>8</v>
      </c>
      <c r="U8" s="1492">
        <v>10</v>
      </c>
      <c r="V8" s="1492">
        <v>21</v>
      </c>
      <c r="W8" s="1493">
        <v>0</v>
      </c>
      <c r="X8" s="1494">
        <f>SUM(T8:W8)</f>
        <v>39</v>
      </c>
      <c r="Y8" s="1491">
        <v>20</v>
      </c>
      <c r="Z8" s="1492">
        <v>26</v>
      </c>
      <c r="AA8" s="1492">
        <v>14</v>
      </c>
      <c r="AB8" s="1493">
        <v>4</v>
      </c>
      <c r="AC8" s="1495">
        <f>SUM(Y8:AB8)</f>
        <v>64</v>
      </c>
      <c r="AD8" s="1491"/>
      <c r="AE8" s="1492"/>
      <c r="AF8" s="1492"/>
      <c r="AG8" s="1493"/>
      <c r="AH8" s="1495">
        <f>SUM(AD8:AG8)</f>
        <v>0</v>
      </c>
    </row>
    <row r="9" spans="3:34" ht="15" x14ac:dyDescent="0.2">
      <c r="C9" s="5881"/>
      <c r="D9" s="1496" t="s">
        <v>6</v>
      </c>
      <c r="E9" s="1496">
        <v>12</v>
      </c>
      <c r="F9" s="1497">
        <v>45</v>
      </c>
      <c r="G9" s="1497">
        <v>87</v>
      </c>
      <c r="H9" s="1498"/>
      <c r="I9" s="1496">
        <f>SUM(E9:H9)</f>
        <v>144</v>
      </c>
      <c r="J9" s="1496"/>
      <c r="K9" s="1497">
        <v>10</v>
      </c>
      <c r="L9" s="1497">
        <v>36</v>
      </c>
      <c r="M9" s="1498"/>
      <c r="N9" s="1496">
        <f>SUM(K9:M9)</f>
        <v>46</v>
      </c>
      <c r="O9" s="1496">
        <v>5</v>
      </c>
      <c r="P9" s="1497">
        <v>9</v>
      </c>
      <c r="Q9" s="1497">
        <v>44</v>
      </c>
      <c r="R9" s="1498">
        <v>0</v>
      </c>
      <c r="S9" s="1496">
        <v>58</v>
      </c>
      <c r="T9" s="1496">
        <v>5</v>
      </c>
      <c r="U9" s="1497">
        <v>4</v>
      </c>
      <c r="V9" s="1497">
        <v>17</v>
      </c>
      <c r="W9" s="1498">
        <v>0</v>
      </c>
      <c r="X9" s="1499">
        <f>SUM(T9:W9)</f>
        <v>26</v>
      </c>
      <c r="Y9" s="1496">
        <v>28</v>
      </c>
      <c r="Z9" s="1497">
        <v>8</v>
      </c>
      <c r="AA9" s="1497">
        <v>30</v>
      </c>
      <c r="AB9" s="1498">
        <v>2</v>
      </c>
      <c r="AC9" s="1500">
        <f>SUM(Y9:AB9)</f>
        <v>68</v>
      </c>
      <c r="AD9" s="1496"/>
      <c r="AE9" s="1497"/>
      <c r="AF9" s="1497"/>
      <c r="AG9" s="1498"/>
      <c r="AH9" s="1500">
        <f>SUM(AD9:AG9)</f>
        <v>0</v>
      </c>
    </row>
    <row r="10" spans="3:34" ht="15" x14ac:dyDescent="0.2">
      <c r="C10" s="5881"/>
      <c r="D10" s="1496" t="s">
        <v>358</v>
      </c>
      <c r="E10" s="1496">
        <v>1</v>
      </c>
      <c r="F10" s="1497">
        <v>8</v>
      </c>
      <c r="G10" s="1497">
        <v>4</v>
      </c>
      <c r="H10" s="1498"/>
      <c r="I10" s="1496">
        <f>SUM(E10:H10)</f>
        <v>13</v>
      </c>
      <c r="J10" s="1496"/>
      <c r="K10" s="1497">
        <v>2</v>
      </c>
      <c r="L10" s="1497"/>
      <c r="M10" s="1498"/>
      <c r="N10" s="1496">
        <f>SUM(K10:M10)</f>
        <v>2</v>
      </c>
      <c r="O10" s="1496">
        <v>18</v>
      </c>
      <c r="P10" s="1497">
        <v>12</v>
      </c>
      <c r="Q10" s="1497">
        <v>56</v>
      </c>
      <c r="R10" s="1498">
        <v>1</v>
      </c>
      <c r="S10" s="1496">
        <v>87</v>
      </c>
      <c r="T10" s="1496">
        <v>17</v>
      </c>
      <c r="U10" s="1497">
        <v>4</v>
      </c>
      <c r="V10" s="1497">
        <v>31</v>
      </c>
      <c r="W10" s="1498">
        <v>2</v>
      </c>
      <c r="X10" s="1499">
        <f>SUM(T10:W10)</f>
        <v>54</v>
      </c>
      <c r="Y10" s="1496">
        <v>56</v>
      </c>
      <c r="Z10" s="1497">
        <v>22</v>
      </c>
      <c r="AA10" s="1497">
        <v>29</v>
      </c>
      <c r="AB10" s="1498">
        <v>1</v>
      </c>
      <c r="AC10" s="1500">
        <f>SUM(Y10:AB10)</f>
        <v>108</v>
      </c>
      <c r="AD10" s="1496"/>
      <c r="AE10" s="1497"/>
      <c r="AF10" s="1497"/>
      <c r="AG10" s="1498"/>
      <c r="AH10" s="1500">
        <f>SUM(AD10:AG10)</f>
        <v>0</v>
      </c>
    </row>
    <row r="11" spans="3:34" ht="15" x14ac:dyDescent="0.2">
      <c r="C11" s="5881"/>
      <c r="D11" s="1501" t="s">
        <v>12</v>
      </c>
      <c r="E11" s="1501">
        <f>SUM(E8:E10)</f>
        <v>14</v>
      </c>
      <c r="F11" s="1502">
        <f>SUM(F8:F10)</f>
        <v>89</v>
      </c>
      <c r="G11" s="1502">
        <f>SUM(G8:G10)</f>
        <v>114</v>
      </c>
      <c r="H11" s="1503">
        <f>SUM(H8:H10)</f>
        <v>0</v>
      </c>
      <c r="I11" s="1501">
        <f>SUM(I8:I10)</f>
        <v>217</v>
      </c>
      <c r="J11" s="1501"/>
      <c r="K11" s="1502">
        <f>SUM(K8:K10)</f>
        <v>19</v>
      </c>
      <c r="L11" s="1502">
        <f>SUM(L8:L10)</f>
        <v>38</v>
      </c>
      <c r="M11" s="1503">
        <f>SUM(M8:M10)</f>
        <v>1</v>
      </c>
      <c r="N11" s="1501">
        <f>SUM(N8:N10)</f>
        <v>58</v>
      </c>
      <c r="O11" s="1501">
        <v>26</v>
      </c>
      <c r="P11" s="1502">
        <v>56</v>
      </c>
      <c r="Q11" s="1502">
        <v>123</v>
      </c>
      <c r="R11" s="1503">
        <v>5</v>
      </c>
      <c r="S11" s="1501">
        <v>210</v>
      </c>
      <c r="T11" s="1501">
        <f t="shared" ref="T11:Y11" si="0">SUM(T8:T10)</f>
        <v>30</v>
      </c>
      <c r="U11" s="1502">
        <f t="shared" si="0"/>
        <v>18</v>
      </c>
      <c r="V11" s="1502">
        <f t="shared" si="0"/>
        <v>69</v>
      </c>
      <c r="W11" s="1503">
        <f t="shared" si="0"/>
        <v>2</v>
      </c>
      <c r="X11" s="1504">
        <f t="shared" si="0"/>
        <v>119</v>
      </c>
      <c r="Y11" s="1501">
        <f t="shared" si="0"/>
        <v>104</v>
      </c>
      <c r="Z11" s="1502">
        <f t="shared" ref="Z11:AH11" si="1">SUM(Z8:Z10)</f>
        <v>56</v>
      </c>
      <c r="AA11" s="1502">
        <f t="shared" si="1"/>
        <v>73</v>
      </c>
      <c r="AB11" s="1503">
        <f t="shared" si="1"/>
        <v>7</v>
      </c>
      <c r="AC11" s="1505">
        <f t="shared" si="1"/>
        <v>240</v>
      </c>
      <c r="AD11" s="1501">
        <f t="shared" si="1"/>
        <v>0</v>
      </c>
      <c r="AE11" s="1502">
        <f t="shared" si="1"/>
        <v>0</v>
      </c>
      <c r="AF11" s="1502">
        <f t="shared" si="1"/>
        <v>0</v>
      </c>
      <c r="AG11" s="1503">
        <f t="shared" si="1"/>
        <v>0</v>
      </c>
      <c r="AH11" s="1505">
        <f t="shared" si="1"/>
        <v>0</v>
      </c>
    </row>
    <row r="12" spans="3:34" ht="15" x14ac:dyDescent="0.25">
      <c r="C12" s="250"/>
      <c r="D12" s="250"/>
      <c r="E12" s="250"/>
      <c r="F12" s="250"/>
      <c r="G12" s="250"/>
      <c r="H12" s="250"/>
      <c r="I12" s="250"/>
      <c r="J12" s="250"/>
      <c r="K12" s="250"/>
      <c r="L12" s="250"/>
      <c r="M12" s="250"/>
      <c r="N12" s="250"/>
      <c r="O12" s="250"/>
      <c r="P12" s="250"/>
      <c r="Q12" s="250"/>
      <c r="R12" s="250"/>
      <c r="S12" s="250"/>
      <c r="T12" s="250"/>
      <c r="U12" s="250"/>
      <c r="V12" s="250"/>
      <c r="W12" s="250"/>
      <c r="X12" s="250"/>
      <c r="Y12" s="1506"/>
      <c r="Z12" s="1506"/>
      <c r="AA12" s="1506"/>
      <c r="AB12" s="1506"/>
      <c r="AC12" s="1506"/>
      <c r="AD12" s="1506"/>
      <c r="AE12" s="1506"/>
      <c r="AF12" s="1506"/>
      <c r="AG12" s="1506"/>
      <c r="AH12" s="1506"/>
    </row>
    <row r="13" spans="3:34" ht="15" x14ac:dyDescent="0.2">
      <c r="C13" s="5884" t="s">
        <v>8</v>
      </c>
      <c r="D13" s="1491" t="s">
        <v>6</v>
      </c>
      <c r="E13" s="1491">
        <v>3</v>
      </c>
      <c r="F13" s="1492">
        <v>7</v>
      </c>
      <c r="G13" s="1492"/>
      <c r="H13" s="1493"/>
      <c r="I13" s="1491">
        <f>SUM(E13:H13)</f>
        <v>10</v>
      </c>
      <c r="J13" s="1491"/>
      <c r="K13" s="1492">
        <v>3</v>
      </c>
      <c r="L13" s="1492">
        <v>1</v>
      </c>
      <c r="M13" s="1493"/>
      <c r="N13" s="1491">
        <f>SUM(K13:M13)</f>
        <v>4</v>
      </c>
      <c r="O13" s="1491">
        <v>2</v>
      </c>
      <c r="P13" s="1492">
        <v>4</v>
      </c>
      <c r="Q13" s="1492">
        <v>0</v>
      </c>
      <c r="R13" s="1493">
        <v>0</v>
      </c>
      <c r="S13" s="1491">
        <v>6</v>
      </c>
      <c r="T13" s="1491">
        <v>0</v>
      </c>
      <c r="U13" s="1492">
        <v>1</v>
      </c>
      <c r="V13" s="1492">
        <v>1</v>
      </c>
      <c r="W13" s="1493">
        <v>1</v>
      </c>
      <c r="X13" s="1494">
        <f>SUM(T13:W13)</f>
        <v>3</v>
      </c>
      <c r="Y13" s="1491">
        <v>3</v>
      </c>
      <c r="Z13" s="1492">
        <v>3</v>
      </c>
      <c r="AA13" s="1492">
        <v>0</v>
      </c>
      <c r="AB13" s="1493">
        <v>2</v>
      </c>
      <c r="AC13" s="1495">
        <f>SUM(Y13:AB13)</f>
        <v>8</v>
      </c>
      <c r="AD13" s="1491"/>
      <c r="AE13" s="1492"/>
      <c r="AF13" s="1492"/>
      <c r="AG13" s="1493"/>
      <c r="AH13" s="1495">
        <f>SUM(AD13:AG13)</f>
        <v>0</v>
      </c>
    </row>
    <row r="14" spans="3:34" ht="15" x14ac:dyDescent="0.2">
      <c r="C14" s="5884"/>
      <c r="D14" s="1496" t="s">
        <v>9</v>
      </c>
      <c r="E14" s="1496">
        <v>1</v>
      </c>
      <c r="F14" s="1497"/>
      <c r="G14" s="1497"/>
      <c r="H14" s="1498"/>
      <c r="I14" s="1496">
        <f>SUM(E14:H14)</f>
        <v>1</v>
      </c>
      <c r="J14" s="1496"/>
      <c r="K14" s="1497">
        <v>1</v>
      </c>
      <c r="L14" s="1497"/>
      <c r="M14" s="1498"/>
      <c r="N14" s="1496">
        <f>SUM(K14:M14)</f>
        <v>1</v>
      </c>
      <c r="O14" s="1496">
        <v>0</v>
      </c>
      <c r="P14" s="1497">
        <v>1</v>
      </c>
      <c r="Q14" s="1497">
        <v>0</v>
      </c>
      <c r="R14" s="1498">
        <v>0</v>
      </c>
      <c r="S14" s="1496">
        <v>1</v>
      </c>
      <c r="T14" s="1496">
        <v>1</v>
      </c>
      <c r="U14" s="1497">
        <v>1</v>
      </c>
      <c r="V14" s="1497">
        <v>1</v>
      </c>
      <c r="W14" s="1498">
        <v>0</v>
      </c>
      <c r="X14" s="1499">
        <f>SUM(T14:W14)</f>
        <v>3</v>
      </c>
      <c r="Y14" s="1496">
        <v>0</v>
      </c>
      <c r="Z14" s="1497">
        <v>6</v>
      </c>
      <c r="AA14" s="1497">
        <v>0</v>
      </c>
      <c r="AB14" s="1498">
        <v>1</v>
      </c>
      <c r="AC14" s="1500">
        <f>SUM(Y14:AB14)</f>
        <v>7</v>
      </c>
      <c r="AD14" s="1496"/>
      <c r="AE14" s="1497"/>
      <c r="AF14" s="1497"/>
      <c r="AG14" s="1498"/>
      <c r="AH14" s="1500">
        <f>SUM(AD14:AG14)</f>
        <v>0</v>
      </c>
    </row>
    <row r="15" spans="3:34" ht="15" x14ac:dyDescent="0.2">
      <c r="C15" s="5884"/>
      <c r="D15" s="1496" t="s">
        <v>74</v>
      </c>
      <c r="E15" s="1496">
        <v>1</v>
      </c>
      <c r="F15" s="1497">
        <v>1</v>
      </c>
      <c r="G15" s="1497"/>
      <c r="H15" s="1498"/>
      <c r="I15" s="1496">
        <f>SUM(E15:H15)</f>
        <v>2</v>
      </c>
      <c r="J15" s="1496"/>
      <c r="K15" s="1497"/>
      <c r="L15" s="1497"/>
      <c r="M15" s="1498"/>
      <c r="N15" s="1496">
        <f>SUM(K15:M15)</f>
        <v>0</v>
      </c>
      <c r="O15" s="1496">
        <v>3</v>
      </c>
      <c r="P15" s="1497">
        <v>1</v>
      </c>
      <c r="Q15" s="1497">
        <v>0</v>
      </c>
      <c r="R15" s="1498">
        <v>0</v>
      </c>
      <c r="S15" s="1496">
        <v>4</v>
      </c>
      <c r="T15" s="1496">
        <v>5</v>
      </c>
      <c r="U15" s="1497">
        <v>0</v>
      </c>
      <c r="V15" s="1497">
        <v>0</v>
      </c>
      <c r="W15" s="1498">
        <v>0</v>
      </c>
      <c r="X15" s="1499">
        <f>SUM(T15:W15)</f>
        <v>5</v>
      </c>
      <c r="Y15" s="1496">
        <v>3</v>
      </c>
      <c r="Z15" s="1497">
        <v>0</v>
      </c>
      <c r="AA15" s="1497">
        <v>0</v>
      </c>
      <c r="AB15" s="1498">
        <v>0</v>
      </c>
      <c r="AC15" s="1500">
        <f>SUM(Y15:AB15)</f>
        <v>3</v>
      </c>
      <c r="AD15" s="1496"/>
      <c r="AE15" s="1497"/>
      <c r="AF15" s="1497"/>
      <c r="AG15" s="1498"/>
      <c r="AH15" s="1500">
        <f>SUM(AD15:AG15)</f>
        <v>0</v>
      </c>
    </row>
    <row r="16" spans="3:34" ht="15" x14ac:dyDescent="0.2">
      <c r="C16" s="5884"/>
      <c r="D16" s="1501" t="s">
        <v>12</v>
      </c>
      <c r="E16" s="1501">
        <f>SUM(E13:E15)</f>
        <v>5</v>
      </c>
      <c r="F16" s="1502">
        <f>SUM(F13:F15)</f>
        <v>8</v>
      </c>
      <c r="G16" s="1502">
        <f>SUM(G13:G15)</f>
        <v>0</v>
      </c>
      <c r="H16" s="1503">
        <f>SUM(H13:H15)</f>
        <v>0</v>
      </c>
      <c r="I16" s="1501">
        <f>SUM(I13:I15)</f>
        <v>13</v>
      </c>
      <c r="J16" s="1501"/>
      <c r="K16" s="1502">
        <f>SUM(K13:K15)</f>
        <v>4</v>
      </c>
      <c r="L16" s="1502">
        <f>SUM(L13:L15)</f>
        <v>1</v>
      </c>
      <c r="M16" s="1503">
        <f>SUM(M13:M15)</f>
        <v>0</v>
      </c>
      <c r="N16" s="1501">
        <f>SUM(N13:N15)</f>
        <v>5</v>
      </c>
      <c r="O16" s="1501">
        <v>5</v>
      </c>
      <c r="P16" s="1502">
        <v>6</v>
      </c>
      <c r="Q16" s="1502">
        <v>0</v>
      </c>
      <c r="R16" s="1503">
        <v>0</v>
      </c>
      <c r="S16" s="1501">
        <v>11</v>
      </c>
      <c r="T16" s="1501">
        <f t="shared" ref="T16:Y16" si="2">SUM(T13:T15)</f>
        <v>6</v>
      </c>
      <c r="U16" s="1502">
        <f t="shared" si="2"/>
        <v>2</v>
      </c>
      <c r="V16" s="1502">
        <f t="shared" si="2"/>
        <v>2</v>
      </c>
      <c r="W16" s="1503">
        <f t="shared" si="2"/>
        <v>1</v>
      </c>
      <c r="X16" s="1504">
        <f t="shared" si="2"/>
        <v>11</v>
      </c>
      <c r="Y16" s="1501">
        <f t="shared" si="2"/>
        <v>6</v>
      </c>
      <c r="Z16" s="1502">
        <f t="shared" ref="Z16:AH16" si="3">SUM(Z13:Z15)</f>
        <v>9</v>
      </c>
      <c r="AA16" s="1502">
        <f t="shared" si="3"/>
        <v>0</v>
      </c>
      <c r="AB16" s="1503">
        <f t="shared" si="3"/>
        <v>3</v>
      </c>
      <c r="AC16" s="1505">
        <f t="shared" si="3"/>
        <v>18</v>
      </c>
      <c r="AD16" s="1501">
        <f t="shared" si="3"/>
        <v>0</v>
      </c>
      <c r="AE16" s="1502">
        <f t="shared" si="3"/>
        <v>0</v>
      </c>
      <c r="AF16" s="1502">
        <f t="shared" si="3"/>
        <v>0</v>
      </c>
      <c r="AG16" s="1503">
        <f t="shared" si="3"/>
        <v>0</v>
      </c>
      <c r="AH16" s="1505">
        <f t="shared" si="3"/>
        <v>0</v>
      </c>
    </row>
    <row r="17" spans="3:34" ht="15" x14ac:dyDescent="0.2">
      <c r="C17" s="480"/>
      <c r="D17" s="480"/>
      <c r="E17" s="480"/>
      <c r="F17" s="480"/>
      <c r="G17" s="480"/>
      <c r="H17" s="480"/>
      <c r="I17" s="480"/>
      <c r="J17" s="480"/>
      <c r="K17" s="480"/>
      <c r="L17" s="480"/>
      <c r="M17" s="480"/>
      <c r="N17" s="480"/>
      <c r="O17" s="480"/>
      <c r="P17" s="480"/>
      <c r="Q17" s="480"/>
      <c r="R17" s="480"/>
      <c r="S17" s="480"/>
      <c r="T17" s="480"/>
      <c r="U17" s="480"/>
      <c r="V17" s="480"/>
      <c r="W17" s="480"/>
      <c r="X17" s="1507"/>
      <c r="Y17" s="1508"/>
      <c r="Z17" s="1508"/>
      <c r="AA17" s="1508"/>
      <c r="AB17" s="1508"/>
      <c r="AC17" s="1509"/>
      <c r="AD17" s="1508"/>
      <c r="AE17" s="1508"/>
      <c r="AF17" s="1508"/>
      <c r="AG17" s="1508"/>
      <c r="AH17" s="1509"/>
    </row>
    <row r="18" spans="3:34" ht="15" x14ac:dyDescent="0.2">
      <c r="C18" s="5882" t="s">
        <v>75</v>
      </c>
      <c r="D18" s="1491" t="s">
        <v>357</v>
      </c>
      <c r="E18" s="1491"/>
      <c r="F18" s="1492">
        <v>11</v>
      </c>
      <c r="G18" s="1492">
        <v>4</v>
      </c>
      <c r="H18" s="1493">
        <v>1</v>
      </c>
      <c r="I18" s="1491">
        <f>SUM(E18:H18)</f>
        <v>16</v>
      </c>
      <c r="J18" s="1491"/>
      <c r="K18" s="1492">
        <v>3</v>
      </c>
      <c r="L18" s="1492"/>
      <c r="M18" s="1493">
        <v>1</v>
      </c>
      <c r="N18" s="1491">
        <f>SUM(K18:M18)</f>
        <v>4</v>
      </c>
      <c r="O18" s="1491">
        <v>2</v>
      </c>
      <c r="P18" s="1492">
        <v>5</v>
      </c>
      <c r="Q18" s="1492">
        <v>6</v>
      </c>
      <c r="R18" s="1493">
        <v>0</v>
      </c>
      <c r="S18" s="1491">
        <v>13</v>
      </c>
      <c r="T18" s="1491">
        <v>5</v>
      </c>
      <c r="U18" s="1492">
        <v>3</v>
      </c>
      <c r="V18" s="1492">
        <v>5</v>
      </c>
      <c r="W18" s="1493">
        <v>0</v>
      </c>
      <c r="X18" s="1494">
        <f>SUM(T18:W18)</f>
        <v>13</v>
      </c>
      <c r="Y18" s="1491">
        <v>7</v>
      </c>
      <c r="Z18" s="1492">
        <v>5</v>
      </c>
      <c r="AA18" s="1492">
        <v>4</v>
      </c>
      <c r="AB18" s="1493">
        <v>1</v>
      </c>
      <c r="AC18" s="1495">
        <f>SUM(Y18:AB18)</f>
        <v>17</v>
      </c>
      <c r="AD18" s="1491"/>
      <c r="AE18" s="1492"/>
      <c r="AF18" s="1492"/>
      <c r="AG18" s="1493"/>
      <c r="AH18" s="1495">
        <f>SUM(AD18:AG18)</f>
        <v>0</v>
      </c>
    </row>
    <row r="19" spans="3:34" ht="15" x14ac:dyDescent="0.2">
      <c r="C19" s="5882"/>
      <c r="D19" s="1496" t="s">
        <v>6</v>
      </c>
      <c r="E19" s="1496">
        <v>15</v>
      </c>
      <c r="F19" s="1497">
        <v>31</v>
      </c>
      <c r="G19" s="1497">
        <v>43</v>
      </c>
      <c r="H19" s="1498"/>
      <c r="I19" s="1496">
        <f>SUM(E19:H19)</f>
        <v>89</v>
      </c>
      <c r="J19" s="1496"/>
      <c r="K19" s="1497">
        <v>9</v>
      </c>
      <c r="L19" s="1497">
        <v>8</v>
      </c>
      <c r="M19" s="1498"/>
      <c r="N19" s="1496">
        <f>SUM(K19:M19)</f>
        <v>17</v>
      </c>
      <c r="O19" s="1496">
        <v>17</v>
      </c>
      <c r="P19" s="1497">
        <v>37</v>
      </c>
      <c r="Q19" s="1497">
        <v>31</v>
      </c>
      <c r="R19" s="1498">
        <v>2</v>
      </c>
      <c r="S19" s="1496">
        <v>87</v>
      </c>
      <c r="T19" s="1496">
        <v>32</v>
      </c>
      <c r="U19" s="1497">
        <v>4</v>
      </c>
      <c r="V19" s="1497">
        <v>19</v>
      </c>
      <c r="W19" s="1498">
        <v>0</v>
      </c>
      <c r="X19" s="1499">
        <f>SUM(T19:W19)</f>
        <v>55</v>
      </c>
      <c r="Y19" s="1496">
        <v>32</v>
      </c>
      <c r="Z19" s="1497">
        <v>15</v>
      </c>
      <c r="AA19" s="1497">
        <v>44</v>
      </c>
      <c r="AB19" s="1498">
        <v>1</v>
      </c>
      <c r="AC19" s="1500">
        <f>SUM(Y19:AB19)</f>
        <v>92</v>
      </c>
      <c r="AD19" s="1496"/>
      <c r="AE19" s="1497"/>
      <c r="AF19" s="1497"/>
      <c r="AG19" s="1498"/>
      <c r="AH19" s="1500">
        <f>SUM(AD19:AG19)</f>
        <v>0</v>
      </c>
    </row>
    <row r="20" spans="3:34" ht="15" x14ac:dyDescent="0.2">
      <c r="C20" s="5882"/>
      <c r="D20" s="1496" t="s">
        <v>359</v>
      </c>
      <c r="E20" s="1496">
        <v>3</v>
      </c>
      <c r="F20" s="1497">
        <v>16</v>
      </c>
      <c r="G20" s="1497">
        <v>12</v>
      </c>
      <c r="H20" s="1498"/>
      <c r="I20" s="1496">
        <f>SUM(E20:H20)</f>
        <v>31</v>
      </c>
      <c r="J20" s="1496"/>
      <c r="K20" s="1497">
        <v>4</v>
      </c>
      <c r="L20" s="1497"/>
      <c r="M20" s="1498">
        <v>1</v>
      </c>
      <c r="N20" s="1496">
        <f>SUM(K20:M20)</f>
        <v>5</v>
      </c>
      <c r="O20" s="1496">
        <v>0</v>
      </c>
      <c r="P20" s="1497">
        <v>7</v>
      </c>
      <c r="Q20" s="1497">
        <v>4</v>
      </c>
      <c r="R20" s="1498">
        <v>3</v>
      </c>
      <c r="S20" s="1496">
        <v>14</v>
      </c>
      <c r="T20" s="1496">
        <v>3</v>
      </c>
      <c r="U20" s="1497">
        <v>11</v>
      </c>
      <c r="V20" s="1497">
        <v>4</v>
      </c>
      <c r="W20" s="1498">
        <v>0</v>
      </c>
      <c r="X20" s="1499">
        <f>SUM(T20:W20)</f>
        <v>18</v>
      </c>
      <c r="Y20" s="1496">
        <v>11</v>
      </c>
      <c r="Z20" s="1497">
        <v>6</v>
      </c>
      <c r="AA20" s="1497">
        <v>5</v>
      </c>
      <c r="AB20" s="1498">
        <v>0</v>
      </c>
      <c r="AC20" s="1500">
        <f>SUM(Y20:AB20)</f>
        <v>22</v>
      </c>
      <c r="AD20" s="1496"/>
      <c r="AE20" s="1497"/>
      <c r="AF20" s="1497"/>
      <c r="AG20" s="1498"/>
      <c r="AH20" s="1500">
        <f>SUM(AD20:AG20)</f>
        <v>0</v>
      </c>
    </row>
    <row r="21" spans="3:34" ht="15" x14ac:dyDescent="0.2">
      <c r="C21" s="5882"/>
      <c r="D21" s="1501" t="s">
        <v>12</v>
      </c>
      <c r="E21" s="1501">
        <f>SUM(E18:E20)</f>
        <v>18</v>
      </c>
      <c r="F21" s="1502">
        <f>SUM(F18:F20)</f>
        <v>58</v>
      </c>
      <c r="G21" s="1502">
        <f>SUM(G18:G20)</f>
        <v>59</v>
      </c>
      <c r="H21" s="1503">
        <f>SUM(H18:H20)</f>
        <v>1</v>
      </c>
      <c r="I21" s="1501">
        <f>SUM(I18:I20)</f>
        <v>136</v>
      </c>
      <c r="J21" s="1501"/>
      <c r="K21" s="1502">
        <f>SUM(K18:K20)</f>
        <v>16</v>
      </c>
      <c r="L21" s="1502">
        <f>SUM(L18:L20)</f>
        <v>8</v>
      </c>
      <c r="M21" s="1503">
        <f>SUM(M18:M20)</f>
        <v>2</v>
      </c>
      <c r="N21" s="1501">
        <f>SUM(N18:N20)</f>
        <v>26</v>
      </c>
      <c r="O21" s="1501">
        <v>19</v>
      </c>
      <c r="P21" s="1502">
        <v>49</v>
      </c>
      <c r="Q21" s="1502">
        <v>41</v>
      </c>
      <c r="R21" s="1503">
        <v>5</v>
      </c>
      <c r="S21" s="1501">
        <v>114</v>
      </c>
      <c r="T21" s="1501">
        <f t="shared" ref="T21:Y21" si="4">SUM(T18:T20)</f>
        <v>40</v>
      </c>
      <c r="U21" s="1502">
        <f t="shared" si="4"/>
        <v>18</v>
      </c>
      <c r="V21" s="1502">
        <f t="shared" si="4"/>
        <v>28</v>
      </c>
      <c r="W21" s="1503">
        <f t="shared" si="4"/>
        <v>0</v>
      </c>
      <c r="X21" s="1504">
        <f t="shared" si="4"/>
        <v>86</v>
      </c>
      <c r="Y21" s="1501">
        <f t="shared" si="4"/>
        <v>50</v>
      </c>
      <c r="Z21" s="1502">
        <f t="shared" ref="Z21:AH21" si="5">SUM(Z18:Z20)</f>
        <v>26</v>
      </c>
      <c r="AA21" s="1502">
        <f t="shared" si="5"/>
        <v>53</v>
      </c>
      <c r="AB21" s="1503">
        <f t="shared" si="5"/>
        <v>2</v>
      </c>
      <c r="AC21" s="1505">
        <f t="shared" si="5"/>
        <v>131</v>
      </c>
      <c r="AD21" s="1501">
        <f t="shared" si="5"/>
        <v>0</v>
      </c>
      <c r="AE21" s="1502">
        <f t="shared" si="5"/>
        <v>0</v>
      </c>
      <c r="AF21" s="1502">
        <f t="shared" si="5"/>
        <v>0</v>
      </c>
      <c r="AG21" s="1503">
        <f t="shared" si="5"/>
        <v>0</v>
      </c>
      <c r="AH21" s="1505">
        <f t="shared" si="5"/>
        <v>0</v>
      </c>
    </row>
    <row r="22" spans="3:34" ht="15" x14ac:dyDescent="0.25">
      <c r="C22" s="480"/>
      <c r="D22" s="480"/>
      <c r="E22" s="480"/>
      <c r="F22" s="480"/>
      <c r="G22" s="480"/>
      <c r="H22" s="480"/>
      <c r="I22" s="480"/>
      <c r="J22" s="480"/>
      <c r="K22" s="480"/>
      <c r="L22" s="480"/>
      <c r="M22" s="480"/>
      <c r="N22" s="480"/>
      <c r="O22" s="480"/>
      <c r="P22" s="480"/>
      <c r="Q22" s="480"/>
      <c r="R22" s="480"/>
      <c r="S22" s="480"/>
      <c r="T22" s="480"/>
      <c r="U22" s="480"/>
      <c r="V22" s="480"/>
      <c r="W22" s="480"/>
      <c r="X22" s="1507"/>
      <c r="Y22" s="251"/>
      <c r="Z22" s="251"/>
      <c r="AA22" s="251"/>
      <c r="AB22" s="251"/>
      <c r="AC22" s="251"/>
      <c r="AD22" s="251"/>
      <c r="AE22" s="251"/>
      <c r="AF22" s="251"/>
      <c r="AG22" s="251"/>
      <c r="AH22" s="251"/>
    </row>
    <row r="23" spans="3:34" ht="15" x14ac:dyDescent="0.2">
      <c r="C23" s="5876" t="s">
        <v>326</v>
      </c>
      <c r="D23" s="1491" t="s">
        <v>357</v>
      </c>
      <c r="E23" s="1491"/>
      <c r="F23" s="1492"/>
      <c r="G23" s="1492"/>
      <c r="H23" s="1493"/>
      <c r="I23" s="1491"/>
      <c r="J23" s="1491"/>
      <c r="K23" s="1492"/>
      <c r="L23" s="1492"/>
      <c r="M23" s="1493"/>
      <c r="N23" s="1491"/>
      <c r="O23" s="1491"/>
      <c r="P23" s="1492"/>
      <c r="Q23" s="1492"/>
      <c r="R23" s="1493"/>
      <c r="S23" s="1491"/>
      <c r="T23" s="1491"/>
      <c r="U23" s="1492"/>
      <c r="V23" s="1492"/>
      <c r="W23" s="1493"/>
      <c r="X23" s="1495"/>
      <c r="Y23" s="1491">
        <v>1</v>
      </c>
      <c r="Z23" s="1492">
        <v>0</v>
      </c>
      <c r="AA23" s="1492">
        <v>0</v>
      </c>
      <c r="AB23" s="1493">
        <v>0</v>
      </c>
      <c r="AC23" s="1495">
        <f>SUM(Y23:AB23)</f>
        <v>1</v>
      </c>
      <c r="AD23" s="1491"/>
      <c r="AE23" s="1492"/>
      <c r="AF23" s="1492"/>
      <c r="AG23" s="1493"/>
      <c r="AH23" s="1495">
        <f>SUM(AD23:AG23)</f>
        <v>0</v>
      </c>
    </row>
    <row r="24" spans="3:34" ht="15" x14ac:dyDescent="0.2">
      <c r="C24" s="5876"/>
      <c r="D24" s="1496" t="s">
        <v>359</v>
      </c>
      <c r="E24" s="1496"/>
      <c r="F24" s="1497"/>
      <c r="G24" s="1497"/>
      <c r="H24" s="1498"/>
      <c r="I24" s="1496"/>
      <c r="J24" s="1496"/>
      <c r="K24" s="1497"/>
      <c r="L24" s="1497"/>
      <c r="M24" s="1498"/>
      <c r="N24" s="1496"/>
      <c r="O24" s="1496"/>
      <c r="P24" s="1497"/>
      <c r="Q24" s="1497"/>
      <c r="R24" s="1498"/>
      <c r="S24" s="1496"/>
      <c r="T24" s="1496"/>
      <c r="U24" s="1497"/>
      <c r="V24" s="1497"/>
      <c r="W24" s="1498"/>
      <c r="X24" s="1500"/>
      <c r="Y24" s="1496">
        <v>1</v>
      </c>
      <c r="Z24" s="1497">
        <v>0</v>
      </c>
      <c r="AA24" s="1497">
        <v>0</v>
      </c>
      <c r="AB24" s="1498">
        <v>0</v>
      </c>
      <c r="AC24" s="1500">
        <f>SUM(Y24:AB24)</f>
        <v>1</v>
      </c>
      <c r="AD24" s="1496"/>
      <c r="AE24" s="1497"/>
      <c r="AF24" s="1497"/>
      <c r="AG24" s="1498"/>
      <c r="AH24" s="1500">
        <f>SUM(AD24:AG24)</f>
        <v>0</v>
      </c>
    </row>
    <row r="25" spans="3:34" ht="15" x14ac:dyDescent="0.2">
      <c r="C25" s="5876"/>
      <c r="D25" s="1496" t="s">
        <v>6</v>
      </c>
      <c r="E25" s="1496"/>
      <c r="F25" s="1497"/>
      <c r="G25" s="1497"/>
      <c r="H25" s="1498"/>
      <c r="I25" s="1496"/>
      <c r="J25" s="1496"/>
      <c r="K25" s="1497"/>
      <c r="L25" s="1497"/>
      <c r="M25" s="1498"/>
      <c r="N25" s="1496"/>
      <c r="O25" s="1496"/>
      <c r="P25" s="1497"/>
      <c r="Q25" s="1497"/>
      <c r="R25" s="1498"/>
      <c r="S25" s="1496"/>
      <c r="T25" s="1496"/>
      <c r="U25" s="1497"/>
      <c r="V25" s="1497"/>
      <c r="W25" s="1498"/>
      <c r="X25" s="1500"/>
      <c r="Y25" s="1496">
        <v>0</v>
      </c>
      <c r="Z25" s="1497">
        <v>0</v>
      </c>
      <c r="AA25" s="1497">
        <v>0</v>
      </c>
      <c r="AB25" s="1498">
        <v>1</v>
      </c>
      <c r="AC25" s="1500">
        <f>SUM(Y25:AB25)</f>
        <v>1</v>
      </c>
      <c r="AD25" s="1496"/>
      <c r="AE25" s="1497"/>
      <c r="AF25" s="1497"/>
      <c r="AG25" s="1498"/>
      <c r="AH25" s="1500">
        <f>SUM(AD25:AG25)</f>
        <v>0</v>
      </c>
    </row>
    <row r="26" spans="3:34" ht="15" x14ac:dyDescent="0.2">
      <c r="C26" s="5876"/>
      <c r="D26" s="1501" t="s">
        <v>12</v>
      </c>
      <c r="E26" s="1501"/>
      <c r="F26" s="1502"/>
      <c r="G26" s="1502"/>
      <c r="H26" s="1503"/>
      <c r="I26" s="1501"/>
      <c r="J26" s="1501"/>
      <c r="K26" s="1502"/>
      <c r="L26" s="1502"/>
      <c r="M26" s="1503"/>
      <c r="N26" s="1501"/>
      <c r="O26" s="1501"/>
      <c r="P26" s="1502"/>
      <c r="Q26" s="1502"/>
      <c r="R26" s="1503"/>
      <c r="S26" s="1501"/>
      <c r="T26" s="1501"/>
      <c r="U26" s="1502"/>
      <c r="V26" s="1502"/>
      <c r="W26" s="1503"/>
      <c r="X26" s="1505"/>
      <c r="Y26" s="1501">
        <f t="shared" ref="Y26:AH26" si="6">SUM(Y23:Y25)</f>
        <v>2</v>
      </c>
      <c r="Z26" s="1502">
        <f t="shared" si="6"/>
        <v>0</v>
      </c>
      <c r="AA26" s="1502">
        <f t="shared" si="6"/>
        <v>0</v>
      </c>
      <c r="AB26" s="1503">
        <f t="shared" si="6"/>
        <v>1</v>
      </c>
      <c r="AC26" s="1505">
        <f t="shared" si="6"/>
        <v>3</v>
      </c>
      <c r="AD26" s="1501">
        <f t="shared" si="6"/>
        <v>0</v>
      </c>
      <c r="AE26" s="1502">
        <f t="shared" si="6"/>
        <v>0</v>
      </c>
      <c r="AF26" s="1502">
        <f t="shared" si="6"/>
        <v>0</v>
      </c>
      <c r="AG26" s="1503">
        <f t="shared" si="6"/>
        <v>0</v>
      </c>
      <c r="AH26" s="1505">
        <f t="shared" si="6"/>
        <v>0</v>
      </c>
    </row>
    <row r="27" spans="3:34" ht="15" x14ac:dyDescent="0.2">
      <c r="C27" s="480"/>
      <c r="D27" s="480"/>
      <c r="E27" s="480"/>
      <c r="F27" s="480"/>
      <c r="G27" s="480"/>
      <c r="H27" s="480"/>
      <c r="I27" s="480"/>
      <c r="J27" s="480"/>
      <c r="K27" s="480"/>
      <c r="L27" s="480"/>
      <c r="M27" s="480"/>
      <c r="N27" s="480"/>
      <c r="O27" s="480"/>
      <c r="P27" s="480"/>
      <c r="Q27" s="480"/>
      <c r="R27" s="480"/>
      <c r="S27" s="480"/>
      <c r="T27" s="480"/>
      <c r="U27" s="480"/>
      <c r="V27" s="480"/>
      <c r="W27" s="480"/>
      <c r="X27" s="1507"/>
      <c r="Y27" s="1508"/>
      <c r="Z27" s="1508"/>
      <c r="AA27" s="1508"/>
      <c r="AB27" s="1508"/>
      <c r="AC27" s="1509"/>
      <c r="AD27" s="1508"/>
      <c r="AE27" s="1508"/>
      <c r="AF27" s="1508"/>
      <c r="AG27" s="1508"/>
      <c r="AH27" s="1509"/>
    </row>
    <row r="28" spans="3:34" ht="15" x14ac:dyDescent="0.2">
      <c r="C28" s="5883" t="s">
        <v>10</v>
      </c>
      <c r="D28" s="1491" t="s">
        <v>6</v>
      </c>
      <c r="E28" s="1491">
        <v>47</v>
      </c>
      <c r="F28" s="1492">
        <v>70</v>
      </c>
      <c r="G28" s="1492">
        <v>35</v>
      </c>
      <c r="H28" s="1493"/>
      <c r="I28" s="1491">
        <f>SUM(E28:H28)</f>
        <v>152</v>
      </c>
      <c r="J28" s="1491"/>
      <c r="K28" s="1492">
        <v>23</v>
      </c>
      <c r="L28" s="1492">
        <v>21</v>
      </c>
      <c r="M28" s="1493"/>
      <c r="N28" s="1491">
        <f>SUM(K28:M28)</f>
        <v>44</v>
      </c>
      <c r="O28" s="1491">
        <v>19</v>
      </c>
      <c r="P28" s="1492">
        <v>13</v>
      </c>
      <c r="Q28" s="1492">
        <v>17</v>
      </c>
      <c r="R28" s="1493">
        <v>0</v>
      </c>
      <c r="S28" s="1491">
        <v>49</v>
      </c>
      <c r="T28" s="1491">
        <v>67</v>
      </c>
      <c r="U28" s="1492">
        <v>1</v>
      </c>
      <c r="V28" s="1492">
        <v>11</v>
      </c>
      <c r="W28" s="1493">
        <v>0</v>
      </c>
      <c r="X28" s="1494">
        <f>SUM(T28:W28)</f>
        <v>79</v>
      </c>
      <c r="Y28" s="1491">
        <v>238</v>
      </c>
      <c r="Z28" s="1492">
        <v>11</v>
      </c>
      <c r="AA28" s="1492">
        <v>55</v>
      </c>
      <c r="AB28" s="1493">
        <v>1</v>
      </c>
      <c r="AC28" s="1495">
        <f>SUM(Y28:AB28)</f>
        <v>305</v>
      </c>
      <c r="AD28" s="1491"/>
      <c r="AE28" s="1492"/>
      <c r="AF28" s="1492"/>
      <c r="AG28" s="1493"/>
      <c r="AH28" s="1495">
        <f>SUM(AD28:AG28)</f>
        <v>0</v>
      </c>
    </row>
    <row r="29" spans="3:34" ht="15" x14ac:dyDescent="0.2">
      <c r="C29" s="5883"/>
      <c r="D29" s="1496" t="s">
        <v>359</v>
      </c>
      <c r="E29" s="1496">
        <v>41</v>
      </c>
      <c r="F29" s="1497">
        <v>92</v>
      </c>
      <c r="G29" s="1497">
        <v>54</v>
      </c>
      <c r="H29" s="1498"/>
      <c r="I29" s="1496">
        <f>SUM(E29:H29)</f>
        <v>187</v>
      </c>
      <c r="J29" s="1496"/>
      <c r="K29" s="1497">
        <v>70</v>
      </c>
      <c r="L29" s="1497">
        <v>7</v>
      </c>
      <c r="M29" s="1498"/>
      <c r="N29" s="1496">
        <f>SUM(K29:M29)</f>
        <v>77</v>
      </c>
      <c r="O29" s="1496">
        <v>32</v>
      </c>
      <c r="P29" s="1497">
        <v>76</v>
      </c>
      <c r="Q29" s="1497">
        <v>27</v>
      </c>
      <c r="R29" s="1498">
        <v>0</v>
      </c>
      <c r="S29" s="1496">
        <v>135</v>
      </c>
      <c r="T29" s="1496">
        <v>55</v>
      </c>
      <c r="U29" s="1497">
        <v>24</v>
      </c>
      <c r="V29" s="1497">
        <v>36</v>
      </c>
      <c r="W29" s="1498">
        <v>0</v>
      </c>
      <c r="X29" s="1499">
        <f>SUM(T29:W29)</f>
        <v>115</v>
      </c>
      <c r="Y29" s="1496">
        <v>198</v>
      </c>
      <c r="Z29" s="1497">
        <v>85</v>
      </c>
      <c r="AA29" s="1497">
        <v>58</v>
      </c>
      <c r="AB29" s="1498">
        <v>1</v>
      </c>
      <c r="AC29" s="1500">
        <f>SUM(Y29:AB29)</f>
        <v>342</v>
      </c>
      <c r="AD29" s="1496"/>
      <c r="AE29" s="1497"/>
      <c r="AF29" s="1497"/>
      <c r="AG29" s="1498"/>
      <c r="AH29" s="1500">
        <f>SUM(AD29:AG29)</f>
        <v>0</v>
      </c>
    </row>
    <row r="30" spans="3:34" ht="15" x14ac:dyDescent="0.2">
      <c r="C30" s="5883"/>
      <c r="D30" s="1496" t="s">
        <v>358</v>
      </c>
      <c r="E30" s="1496">
        <v>36</v>
      </c>
      <c r="F30" s="1497">
        <v>30</v>
      </c>
      <c r="G30" s="1497">
        <v>12</v>
      </c>
      <c r="H30" s="1498"/>
      <c r="I30" s="1496">
        <f>SUM(E30:H30)</f>
        <v>78</v>
      </c>
      <c r="J30" s="1496"/>
      <c r="K30" s="1497">
        <v>9</v>
      </c>
      <c r="L30" s="1497">
        <v>1</v>
      </c>
      <c r="M30" s="1498"/>
      <c r="N30" s="1496">
        <f>SUM(K30:M30)</f>
        <v>10</v>
      </c>
      <c r="O30" s="1496">
        <v>16</v>
      </c>
      <c r="P30" s="1497">
        <v>9</v>
      </c>
      <c r="Q30" s="1497">
        <v>12</v>
      </c>
      <c r="R30" s="1498">
        <v>0</v>
      </c>
      <c r="S30" s="1496">
        <v>37</v>
      </c>
      <c r="T30" s="1496">
        <v>46</v>
      </c>
      <c r="U30" s="1497">
        <v>0</v>
      </c>
      <c r="V30" s="1497">
        <v>8</v>
      </c>
      <c r="W30" s="1498">
        <v>1</v>
      </c>
      <c r="X30" s="1499">
        <f>SUM(T30:W30)</f>
        <v>55</v>
      </c>
      <c r="Y30" s="1496">
        <v>109</v>
      </c>
      <c r="Z30" s="1497">
        <v>13</v>
      </c>
      <c r="AA30" s="1497">
        <v>18</v>
      </c>
      <c r="AB30" s="1498">
        <v>0</v>
      </c>
      <c r="AC30" s="1500">
        <f>SUM(Y30:AB30)</f>
        <v>140</v>
      </c>
      <c r="AD30" s="1496"/>
      <c r="AE30" s="1497"/>
      <c r="AF30" s="1497"/>
      <c r="AG30" s="1498"/>
      <c r="AH30" s="1500">
        <f>SUM(AD30:AG30)</f>
        <v>0</v>
      </c>
    </row>
    <row r="31" spans="3:34" ht="15" x14ac:dyDescent="0.2">
      <c r="C31" s="5883"/>
      <c r="D31" s="1501" t="s">
        <v>12</v>
      </c>
      <c r="E31" s="1501">
        <f>SUM(E28:E30)</f>
        <v>124</v>
      </c>
      <c r="F31" s="1502">
        <f>SUM(F28:F30)</f>
        <v>192</v>
      </c>
      <c r="G31" s="1502">
        <f>SUM(G28:G30)</f>
        <v>101</v>
      </c>
      <c r="H31" s="1503">
        <f>SUM(H28:H30)</f>
        <v>0</v>
      </c>
      <c r="I31" s="1501">
        <f>SUM(I28:I30)</f>
        <v>417</v>
      </c>
      <c r="J31" s="1501"/>
      <c r="K31" s="1502">
        <f>SUM(K28:K30)</f>
        <v>102</v>
      </c>
      <c r="L31" s="1502">
        <f>SUM(L28:L30)</f>
        <v>29</v>
      </c>
      <c r="M31" s="1503">
        <f>SUM(M28:M30)</f>
        <v>0</v>
      </c>
      <c r="N31" s="1501">
        <f>SUM(N28:N30)</f>
        <v>131</v>
      </c>
      <c r="O31" s="1501">
        <v>67</v>
      </c>
      <c r="P31" s="1502">
        <v>98</v>
      </c>
      <c r="Q31" s="1502">
        <v>56</v>
      </c>
      <c r="R31" s="1503">
        <v>0</v>
      </c>
      <c r="S31" s="1501">
        <v>221</v>
      </c>
      <c r="T31" s="1501">
        <f t="shared" ref="T31:Y31" si="7">SUM(T28:T30)</f>
        <v>168</v>
      </c>
      <c r="U31" s="1502">
        <f t="shared" si="7"/>
        <v>25</v>
      </c>
      <c r="V31" s="1502">
        <f t="shared" si="7"/>
        <v>55</v>
      </c>
      <c r="W31" s="1503">
        <f t="shared" si="7"/>
        <v>1</v>
      </c>
      <c r="X31" s="1504">
        <f t="shared" si="7"/>
        <v>249</v>
      </c>
      <c r="Y31" s="1501">
        <f t="shared" si="7"/>
        <v>545</v>
      </c>
      <c r="Z31" s="1502">
        <f t="shared" ref="Z31:AH31" si="8">SUM(Z28:Z30)</f>
        <v>109</v>
      </c>
      <c r="AA31" s="1502">
        <f t="shared" si="8"/>
        <v>131</v>
      </c>
      <c r="AB31" s="1503">
        <f t="shared" si="8"/>
        <v>2</v>
      </c>
      <c r="AC31" s="1505">
        <f t="shared" si="8"/>
        <v>787</v>
      </c>
      <c r="AD31" s="1501">
        <f t="shared" si="8"/>
        <v>0</v>
      </c>
      <c r="AE31" s="1502">
        <f t="shared" si="8"/>
        <v>0</v>
      </c>
      <c r="AF31" s="1502">
        <f t="shared" si="8"/>
        <v>0</v>
      </c>
      <c r="AG31" s="1503">
        <f t="shared" si="8"/>
        <v>0</v>
      </c>
      <c r="AH31" s="1505">
        <f t="shared" si="8"/>
        <v>0</v>
      </c>
    </row>
    <row r="32" spans="3:34" ht="15" x14ac:dyDescent="0.2">
      <c r="C32" s="250"/>
      <c r="D32" s="250"/>
      <c r="E32" s="250"/>
      <c r="F32" s="250"/>
      <c r="G32" s="250"/>
      <c r="H32" s="250"/>
      <c r="I32" s="250"/>
      <c r="J32" s="250"/>
      <c r="K32" s="250"/>
      <c r="L32" s="250"/>
      <c r="M32" s="250"/>
      <c r="N32" s="250"/>
      <c r="O32" s="250"/>
      <c r="P32" s="250"/>
      <c r="Q32" s="250"/>
      <c r="R32" s="250"/>
      <c r="S32" s="250"/>
      <c r="T32" s="250"/>
      <c r="U32" s="250"/>
      <c r="V32" s="250"/>
      <c r="W32" s="250"/>
      <c r="X32" s="250"/>
      <c r="Y32" s="1508"/>
      <c r="Z32" s="1508"/>
      <c r="AA32" s="1508"/>
      <c r="AB32" s="1508"/>
      <c r="AC32" s="1509"/>
      <c r="AD32" s="1508"/>
      <c r="AE32" s="1508"/>
      <c r="AF32" s="1508"/>
      <c r="AG32" s="1508"/>
      <c r="AH32" s="1509"/>
    </row>
    <row r="33" spans="3:34" ht="15" x14ac:dyDescent="0.2">
      <c r="C33" s="5873" t="s">
        <v>60</v>
      </c>
      <c r="D33" s="1491" t="s">
        <v>5</v>
      </c>
      <c r="E33" s="1491">
        <f t="shared" ref="E33:N33" si="9">SUM(E8,E18)</f>
        <v>1</v>
      </c>
      <c r="F33" s="1492">
        <f t="shared" si="9"/>
        <v>47</v>
      </c>
      <c r="G33" s="1492">
        <f t="shared" si="9"/>
        <v>27</v>
      </c>
      <c r="H33" s="1493">
        <f t="shared" si="9"/>
        <v>1</v>
      </c>
      <c r="I33" s="1491">
        <f t="shared" si="9"/>
        <v>76</v>
      </c>
      <c r="J33" s="1491">
        <f t="shared" si="9"/>
        <v>0</v>
      </c>
      <c r="K33" s="1492">
        <f t="shared" si="9"/>
        <v>10</v>
      </c>
      <c r="L33" s="1492">
        <f t="shared" si="9"/>
        <v>2</v>
      </c>
      <c r="M33" s="1493">
        <f t="shared" si="9"/>
        <v>2</v>
      </c>
      <c r="N33" s="1491">
        <f t="shared" si="9"/>
        <v>14</v>
      </c>
      <c r="O33" s="1491">
        <v>5</v>
      </c>
      <c r="P33" s="1492">
        <v>40</v>
      </c>
      <c r="Q33" s="1492">
        <v>29</v>
      </c>
      <c r="R33" s="1493">
        <v>4</v>
      </c>
      <c r="S33" s="1491">
        <v>78</v>
      </c>
      <c r="T33" s="1491">
        <f>SUM(T8,T18)</f>
        <v>13</v>
      </c>
      <c r="U33" s="1492">
        <f>SUM(U8,U18)</f>
        <v>13</v>
      </c>
      <c r="V33" s="1492">
        <f>SUM(V8,V18)</f>
        <v>26</v>
      </c>
      <c r="W33" s="1493">
        <f>SUM(W8,W18)</f>
        <v>0</v>
      </c>
      <c r="X33" s="1510">
        <f>SUM(X8,X18)</f>
        <v>52</v>
      </c>
      <c r="Y33" s="1491">
        <f t="shared" ref="Y33:AH33" si="10">SUM(Y8,Y18,Y23)</f>
        <v>28</v>
      </c>
      <c r="Z33" s="1492">
        <f t="shared" si="10"/>
        <v>31</v>
      </c>
      <c r="AA33" s="1492">
        <f t="shared" si="10"/>
        <v>18</v>
      </c>
      <c r="AB33" s="1493">
        <f t="shared" si="10"/>
        <v>5</v>
      </c>
      <c r="AC33" s="1511">
        <f t="shared" si="10"/>
        <v>82</v>
      </c>
      <c r="AD33" s="1491">
        <f t="shared" si="10"/>
        <v>0</v>
      </c>
      <c r="AE33" s="1492">
        <f t="shared" si="10"/>
        <v>0</v>
      </c>
      <c r="AF33" s="1492">
        <f t="shared" si="10"/>
        <v>0</v>
      </c>
      <c r="AG33" s="1493">
        <f t="shared" si="10"/>
        <v>0</v>
      </c>
      <c r="AH33" s="1511">
        <f t="shared" si="10"/>
        <v>0</v>
      </c>
    </row>
    <row r="34" spans="3:34" ht="15" x14ac:dyDescent="0.2">
      <c r="C34" s="5874"/>
      <c r="D34" s="1496" t="s">
        <v>6</v>
      </c>
      <c r="E34" s="1496">
        <f t="shared" ref="E34:N34" si="11">SUM(E9,E13,E19,E28)</f>
        <v>77</v>
      </c>
      <c r="F34" s="1497">
        <f t="shared" si="11"/>
        <v>153</v>
      </c>
      <c r="G34" s="1497">
        <f t="shared" si="11"/>
        <v>165</v>
      </c>
      <c r="H34" s="1498">
        <f t="shared" si="11"/>
        <v>0</v>
      </c>
      <c r="I34" s="1496">
        <f t="shared" si="11"/>
        <v>395</v>
      </c>
      <c r="J34" s="1496">
        <f t="shared" si="11"/>
        <v>0</v>
      </c>
      <c r="K34" s="1497">
        <f t="shared" si="11"/>
        <v>45</v>
      </c>
      <c r="L34" s="1497">
        <f t="shared" si="11"/>
        <v>66</v>
      </c>
      <c r="M34" s="1498">
        <f t="shared" si="11"/>
        <v>0</v>
      </c>
      <c r="N34" s="1496">
        <f t="shared" si="11"/>
        <v>111</v>
      </c>
      <c r="O34" s="1496">
        <v>43</v>
      </c>
      <c r="P34" s="1497">
        <v>63</v>
      </c>
      <c r="Q34" s="1497">
        <v>92</v>
      </c>
      <c r="R34" s="1498">
        <v>2</v>
      </c>
      <c r="S34" s="1496">
        <v>200</v>
      </c>
      <c r="T34" s="1496">
        <f>SUM(T9,T19,T28,T13)</f>
        <v>104</v>
      </c>
      <c r="U34" s="1497">
        <f>SUM(U9,U19,U28,U13)</f>
        <v>10</v>
      </c>
      <c r="V34" s="1497">
        <f>SUM(V9,V19,V28,V13)</f>
        <v>48</v>
      </c>
      <c r="W34" s="1498">
        <f>SUM(W9,W19,W28,W13)</f>
        <v>1</v>
      </c>
      <c r="X34" s="1512">
        <f>SUM(X9,X19,X28,X13)</f>
        <v>163</v>
      </c>
      <c r="Y34" s="1496">
        <f t="shared" ref="Y34:AH34" si="12">SUM(Y9,Y19,Y28,Y13,Y25)</f>
        <v>301</v>
      </c>
      <c r="Z34" s="1497">
        <f t="shared" si="12"/>
        <v>37</v>
      </c>
      <c r="AA34" s="1497">
        <f t="shared" si="12"/>
        <v>129</v>
      </c>
      <c r="AB34" s="1498">
        <f t="shared" si="12"/>
        <v>7</v>
      </c>
      <c r="AC34" s="1513">
        <f t="shared" si="12"/>
        <v>474</v>
      </c>
      <c r="AD34" s="1496">
        <f t="shared" si="12"/>
        <v>0</v>
      </c>
      <c r="AE34" s="1497">
        <f t="shared" si="12"/>
        <v>0</v>
      </c>
      <c r="AF34" s="1497">
        <f t="shared" si="12"/>
        <v>0</v>
      </c>
      <c r="AG34" s="1498">
        <f t="shared" si="12"/>
        <v>0</v>
      </c>
      <c r="AH34" s="1513">
        <f t="shared" si="12"/>
        <v>0</v>
      </c>
    </row>
    <row r="35" spans="3:34" ht="15" x14ac:dyDescent="0.2">
      <c r="C35" s="5874"/>
      <c r="D35" s="1496" t="s">
        <v>11</v>
      </c>
      <c r="E35" s="1496">
        <f t="shared" ref="E35:N35" si="13">SUM(E20,E29)</f>
        <v>44</v>
      </c>
      <c r="F35" s="1497">
        <f t="shared" si="13"/>
        <v>108</v>
      </c>
      <c r="G35" s="1497">
        <f t="shared" si="13"/>
        <v>66</v>
      </c>
      <c r="H35" s="1498">
        <f t="shared" si="13"/>
        <v>0</v>
      </c>
      <c r="I35" s="1496">
        <f t="shared" si="13"/>
        <v>218</v>
      </c>
      <c r="J35" s="1496">
        <f t="shared" si="13"/>
        <v>0</v>
      </c>
      <c r="K35" s="1497">
        <f t="shared" si="13"/>
        <v>74</v>
      </c>
      <c r="L35" s="1497">
        <f t="shared" si="13"/>
        <v>7</v>
      </c>
      <c r="M35" s="1498">
        <f t="shared" si="13"/>
        <v>1</v>
      </c>
      <c r="N35" s="1496">
        <f t="shared" si="13"/>
        <v>82</v>
      </c>
      <c r="O35" s="1496">
        <v>32</v>
      </c>
      <c r="P35" s="1497">
        <v>83</v>
      </c>
      <c r="Q35" s="1497">
        <v>31</v>
      </c>
      <c r="R35" s="1498">
        <v>3</v>
      </c>
      <c r="S35" s="1496">
        <v>149</v>
      </c>
      <c r="T35" s="1496">
        <f>SUM(T20,T29)</f>
        <v>58</v>
      </c>
      <c r="U35" s="1497">
        <f>SUM(U20,U29)</f>
        <v>35</v>
      </c>
      <c r="V35" s="1497">
        <f>SUM(V20,V29)</f>
        <v>40</v>
      </c>
      <c r="W35" s="1498">
        <f>SUM(W20,W29)</f>
        <v>0</v>
      </c>
      <c r="X35" s="1512"/>
      <c r="Y35" s="1496">
        <f t="shared" ref="Y35:AH35" si="14">SUM(Y20,Y29,Y24)</f>
        <v>210</v>
      </c>
      <c r="Z35" s="1497">
        <f t="shared" si="14"/>
        <v>91</v>
      </c>
      <c r="AA35" s="1497">
        <f t="shared" si="14"/>
        <v>63</v>
      </c>
      <c r="AB35" s="1498">
        <f t="shared" si="14"/>
        <v>1</v>
      </c>
      <c r="AC35" s="1513">
        <f t="shared" si="14"/>
        <v>365</v>
      </c>
      <c r="AD35" s="1496">
        <f t="shared" si="14"/>
        <v>0</v>
      </c>
      <c r="AE35" s="1497">
        <f t="shared" si="14"/>
        <v>0</v>
      </c>
      <c r="AF35" s="1497">
        <f t="shared" si="14"/>
        <v>0</v>
      </c>
      <c r="AG35" s="1498">
        <f t="shared" si="14"/>
        <v>0</v>
      </c>
      <c r="AH35" s="1513">
        <f t="shared" si="14"/>
        <v>0</v>
      </c>
    </row>
    <row r="36" spans="3:34" ht="15" x14ac:dyDescent="0.2">
      <c r="C36" s="5874"/>
      <c r="D36" s="1496" t="s">
        <v>7</v>
      </c>
      <c r="E36" s="1496">
        <f t="shared" ref="E36:N36" si="15">SUM(E10,E30)</f>
        <v>37</v>
      </c>
      <c r="F36" s="1497">
        <f t="shared" si="15"/>
        <v>38</v>
      </c>
      <c r="G36" s="1497">
        <f t="shared" si="15"/>
        <v>16</v>
      </c>
      <c r="H36" s="1498">
        <f t="shared" si="15"/>
        <v>0</v>
      </c>
      <c r="I36" s="1496">
        <f t="shared" si="15"/>
        <v>91</v>
      </c>
      <c r="J36" s="1496">
        <f t="shared" si="15"/>
        <v>0</v>
      </c>
      <c r="K36" s="1497">
        <f t="shared" si="15"/>
        <v>11</v>
      </c>
      <c r="L36" s="1497">
        <f t="shared" si="15"/>
        <v>1</v>
      </c>
      <c r="M36" s="1498">
        <f t="shared" si="15"/>
        <v>0</v>
      </c>
      <c r="N36" s="1496">
        <f t="shared" si="15"/>
        <v>12</v>
      </c>
      <c r="O36" s="1496">
        <v>34</v>
      </c>
      <c r="P36" s="1497">
        <v>21</v>
      </c>
      <c r="Q36" s="1497">
        <v>68</v>
      </c>
      <c r="R36" s="1498">
        <v>1</v>
      </c>
      <c r="S36" s="1496">
        <v>124</v>
      </c>
      <c r="T36" s="1496">
        <f t="shared" ref="T36:Y36" si="16">SUM(T10,T30)</f>
        <v>63</v>
      </c>
      <c r="U36" s="1497">
        <f t="shared" si="16"/>
        <v>4</v>
      </c>
      <c r="V36" s="1497">
        <f t="shared" si="16"/>
        <v>39</v>
      </c>
      <c r="W36" s="1498">
        <f t="shared" si="16"/>
        <v>3</v>
      </c>
      <c r="X36" s="1512">
        <f t="shared" si="16"/>
        <v>109</v>
      </c>
      <c r="Y36" s="1496">
        <f t="shared" si="16"/>
        <v>165</v>
      </c>
      <c r="Z36" s="1497">
        <f t="shared" ref="Z36:AH36" si="17">SUM(Z10,Z30)</f>
        <v>35</v>
      </c>
      <c r="AA36" s="1497">
        <f t="shared" si="17"/>
        <v>47</v>
      </c>
      <c r="AB36" s="1498">
        <f t="shared" si="17"/>
        <v>1</v>
      </c>
      <c r="AC36" s="1513">
        <f t="shared" si="17"/>
        <v>248</v>
      </c>
      <c r="AD36" s="1496">
        <f t="shared" si="17"/>
        <v>0</v>
      </c>
      <c r="AE36" s="1497">
        <f t="shared" si="17"/>
        <v>0</v>
      </c>
      <c r="AF36" s="1497">
        <f t="shared" si="17"/>
        <v>0</v>
      </c>
      <c r="AG36" s="1498">
        <f t="shared" si="17"/>
        <v>0</v>
      </c>
      <c r="AH36" s="1513">
        <f t="shared" si="17"/>
        <v>0</v>
      </c>
    </row>
    <row r="37" spans="3:34" ht="15" x14ac:dyDescent="0.2">
      <c r="C37" s="5874"/>
      <c r="D37" s="1496" t="s">
        <v>9</v>
      </c>
      <c r="E37" s="1496">
        <f t="shared" ref="E37:N37" si="18">SUM(E14)</f>
        <v>1</v>
      </c>
      <c r="F37" s="1497">
        <f t="shared" si="18"/>
        <v>0</v>
      </c>
      <c r="G37" s="1497">
        <f t="shared" si="18"/>
        <v>0</v>
      </c>
      <c r="H37" s="1498">
        <f t="shared" si="18"/>
        <v>0</v>
      </c>
      <c r="I37" s="1496">
        <f t="shared" si="18"/>
        <v>1</v>
      </c>
      <c r="J37" s="1496">
        <f t="shared" si="18"/>
        <v>0</v>
      </c>
      <c r="K37" s="1497">
        <f t="shared" si="18"/>
        <v>1</v>
      </c>
      <c r="L37" s="1497">
        <f t="shared" si="18"/>
        <v>0</v>
      </c>
      <c r="M37" s="1498">
        <f t="shared" si="18"/>
        <v>0</v>
      </c>
      <c r="N37" s="1496">
        <f t="shared" si="18"/>
        <v>1</v>
      </c>
      <c r="O37" s="1496">
        <v>0</v>
      </c>
      <c r="P37" s="1497">
        <v>1</v>
      </c>
      <c r="Q37" s="1497">
        <v>0</v>
      </c>
      <c r="R37" s="1498">
        <v>0</v>
      </c>
      <c r="S37" s="1496">
        <v>1</v>
      </c>
      <c r="T37" s="1496">
        <f t="shared" ref="T37:Y38" si="19">SUM(T14)</f>
        <v>1</v>
      </c>
      <c r="U37" s="1497">
        <f t="shared" si="19"/>
        <v>1</v>
      </c>
      <c r="V37" s="1497">
        <f t="shared" si="19"/>
        <v>1</v>
      </c>
      <c r="W37" s="1498">
        <f t="shared" si="19"/>
        <v>0</v>
      </c>
      <c r="X37" s="1512">
        <f t="shared" si="19"/>
        <v>3</v>
      </c>
      <c r="Y37" s="1496">
        <f t="shared" si="19"/>
        <v>0</v>
      </c>
      <c r="Z37" s="1497">
        <f t="shared" ref="Z37:AD38" si="20">SUM(Z14)</f>
        <v>6</v>
      </c>
      <c r="AA37" s="1497">
        <f t="shared" si="20"/>
        <v>0</v>
      </c>
      <c r="AB37" s="1498">
        <f t="shared" si="20"/>
        <v>1</v>
      </c>
      <c r="AC37" s="1513">
        <f t="shared" si="20"/>
        <v>7</v>
      </c>
      <c r="AD37" s="1496">
        <f t="shared" si="20"/>
        <v>0</v>
      </c>
      <c r="AE37" s="1497">
        <f t="shared" ref="AE37:AH38" si="21">SUM(AE14)</f>
        <v>0</v>
      </c>
      <c r="AF37" s="1497">
        <f t="shared" si="21"/>
        <v>0</v>
      </c>
      <c r="AG37" s="1498">
        <f t="shared" si="21"/>
        <v>0</v>
      </c>
      <c r="AH37" s="1513">
        <f t="shared" si="21"/>
        <v>0</v>
      </c>
    </row>
    <row r="38" spans="3:34" ht="15" x14ac:dyDescent="0.2">
      <c r="C38" s="5874"/>
      <c r="D38" s="1514" t="s">
        <v>74</v>
      </c>
      <c r="E38" s="1514">
        <f t="shared" ref="E38:N38" si="22">SUM(E15)</f>
        <v>1</v>
      </c>
      <c r="F38" s="1515">
        <f t="shared" si="22"/>
        <v>1</v>
      </c>
      <c r="G38" s="1515">
        <f t="shared" si="22"/>
        <v>0</v>
      </c>
      <c r="H38" s="1516">
        <f t="shared" si="22"/>
        <v>0</v>
      </c>
      <c r="I38" s="1514">
        <f t="shared" si="22"/>
        <v>2</v>
      </c>
      <c r="J38" s="1514">
        <f t="shared" si="22"/>
        <v>0</v>
      </c>
      <c r="K38" s="1515">
        <f t="shared" si="22"/>
        <v>0</v>
      </c>
      <c r="L38" s="1515">
        <f t="shared" si="22"/>
        <v>0</v>
      </c>
      <c r="M38" s="1516">
        <f t="shared" si="22"/>
        <v>0</v>
      </c>
      <c r="N38" s="1514">
        <f t="shared" si="22"/>
        <v>0</v>
      </c>
      <c r="O38" s="1514">
        <v>3</v>
      </c>
      <c r="P38" s="1515">
        <v>1</v>
      </c>
      <c r="Q38" s="1515">
        <v>0</v>
      </c>
      <c r="R38" s="1516">
        <v>0</v>
      </c>
      <c r="S38" s="1514">
        <v>4</v>
      </c>
      <c r="T38" s="1514">
        <f t="shared" si="19"/>
        <v>5</v>
      </c>
      <c r="U38" s="1515">
        <f t="shared" si="19"/>
        <v>0</v>
      </c>
      <c r="V38" s="1515">
        <f t="shared" si="19"/>
        <v>0</v>
      </c>
      <c r="W38" s="1516">
        <f t="shared" si="19"/>
        <v>0</v>
      </c>
      <c r="X38" s="1517">
        <f t="shared" si="19"/>
        <v>5</v>
      </c>
      <c r="Y38" s="1514">
        <f t="shared" si="19"/>
        <v>3</v>
      </c>
      <c r="Z38" s="1515">
        <f t="shared" si="20"/>
        <v>0</v>
      </c>
      <c r="AA38" s="1515">
        <f t="shared" si="20"/>
        <v>0</v>
      </c>
      <c r="AB38" s="1516">
        <f t="shared" si="20"/>
        <v>0</v>
      </c>
      <c r="AC38" s="1518">
        <f t="shared" si="20"/>
        <v>3</v>
      </c>
      <c r="AD38" s="1514">
        <f t="shared" si="20"/>
        <v>0</v>
      </c>
      <c r="AE38" s="1515">
        <f t="shared" si="21"/>
        <v>0</v>
      </c>
      <c r="AF38" s="1515">
        <f t="shared" si="21"/>
        <v>0</v>
      </c>
      <c r="AG38" s="1516">
        <f t="shared" si="21"/>
        <v>0</v>
      </c>
      <c r="AH38" s="1518">
        <f t="shared" si="21"/>
        <v>0</v>
      </c>
    </row>
    <row r="39" spans="3:34" ht="15" x14ac:dyDescent="0.2">
      <c r="C39" s="5875"/>
      <c r="D39" s="1486" t="s">
        <v>12</v>
      </c>
      <c r="E39" s="1485">
        <f>SUM(E33:E38)</f>
        <v>161</v>
      </c>
      <c r="F39" s="1487">
        <f t="shared" ref="F39:N39" si="23">SUM(F33:F38)</f>
        <v>347</v>
      </c>
      <c r="G39" s="1487">
        <f t="shared" si="23"/>
        <v>274</v>
      </c>
      <c r="H39" s="1486">
        <f t="shared" si="23"/>
        <v>1</v>
      </c>
      <c r="I39" s="1486">
        <f t="shared" si="23"/>
        <v>783</v>
      </c>
      <c r="J39" s="1485">
        <f t="shared" si="23"/>
        <v>0</v>
      </c>
      <c r="K39" s="1487">
        <f t="shared" si="23"/>
        <v>141</v>
      </c>
      <c r="L39" s="1487">
        <f t="shared" si="23"/>
        <v>76</v>
      </c>
      <c r="M39" s="1486">
        <f t="shared" si="23"/>
        <v>3</v>
      </c>
      <c r="N39" s="1486">
        <f t="shared" si="23"/>
        <v>220</v>
      </c>
      <c r="O39" s="1485">
        <v>117</v>
      </c>
      <c r="P39" s="1487">
        <v>209</v>
      </c>
      <c r="Q39" s="1487">
        <v>220</v>
      </c>
      <c r="R39" s="1486">
        <v>10</v>
      </c>
      <c r="S39" s="1486">
        <v>556</v>
      </c>
      <c r="T39" s="1485">
        <f t="shared" ref="T39:Y39" si="24">SUM(T33:T38)</f>
        <v>244</v>
      </c>
      <c r="U39" s="1487">
        <f t="shared" si="24"/>
        <v>63</v>
      </c>
      <c r="V39" s="1487">
        <f t="shared" si="24"/>
        <v>154</v>
      </c>
      <c r="W39" s="1486">
        <f t="shared" si="24"/>
        <v>4</v>
      </c>
      <c r="X39" s="1483">
        <f t="shared" si="24"/>
        <v>332</v>
      </c>
      <c r="Y39" s="1485">
        <f t="shared" si="24"/>
        <v>707</v>
      </c>
      <c r="Z39" s="1487">
        <f t="shared" ref="Z39:AH39" si="25">SUM(Z33:Z38)</f>
        <v>200</v>
      </c>
      <c r="AA39" s="1487">
        <f t="shared" si="25"/>
        <v>257</v>
      </c>
      <c r="AB39" s="1486">
        <f t="shared" si="25"/>
        <v>15</v>
      </c>
      <c r="AC39" s="1484">
        <f t="shared" si="25"/>
        <v>1179</v>
      </c>
      <c r="AD39" s="1485">
        <f t="shared" si="25"/>
        <v>0</v>
      </c>
      <c r="AE39" s="1487">
        <f t="shared" si="25"/>
        <v>0</v>
      </c>
      <c r="AF39" s="1487">
        <f t="shared" si="25"/>
        <v>0</v>
      </c>
      <c r="AG39" s="1486">
        <f t="shared" si="25"/>
        <v>0</v>
      </c>
      <c r="AH39" s="1484">
        <f t="shared" si="25"/>
        <v>0</v>
      </c>
    </row>
    <row r="40" spans="3:34" x14ac:dyDescent="0.2">
      <c r="C40" s="86" t="s">
        <v>131</v>
      </c>
    </row>
  </sheetData>
  <mergeCells count="16">
    <mergeCell ref="AD5:AH5"/>
    <mergeCell ref="Y5:AC5"/>
    <mergeCell ref="C8:C11"/>
    <mergeCell ref="C18:C21"/>
    <mergeCell ref="C28:C31"/>
    <mergeCell ref="C13:C16"/>
    <mergeCell ref="C33:C39"/>
    <mergeCell ref="C23:C26"/>
    <mergeCell ref="C2:X2"/>
    <mergeCell ref="C3:X3"/>
    <mergeCell ref="C5:C6"/>
    <mergeCell ref="D5:D6"/>
    <mergeCell ref="E5:I5"/>
    <mergeCell ref="J5:N5"/>
    <mergeCell ref="O5:S5"/>
    <mergeCell ref="T5:X5"/>
  </mergeCells>
  <printOptions horizontalCentered="1" verticalCentered="1"/>
  <pageMargins left="0.39370078740157483" right="0.39370078740157483" top="0.47244094488188981" bottom="0.19685039370078741" header="0" footer="0"/>
  <pageSetup scale="70" orientation="landscape" horizontalDpi="1200" verticalDpi="1200" r:id="rId1"/>
  <headerFooter alignWithMargins="0">
    <oddHeader>&amp;LANEXO ESTADÍSTICO 2008&amp;CBECAS&amp;R&amp;G</oddHeader>
    <oddFooter xml:space="preserve">&amp;R63
</oddFooter>
  </headerFooter>
  <ignoredErrors>
    <ignoredError sqref="X8:X30" formulaRange="1"/>
  </ignoredError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AP103"/>
  <sheetViews>
    <sheetView showGridLines="0" zoomScaleNormal="100" zoomScaleSheetLayoutView="30" workbookViewId="0">
      <pane xSplit="3" ySplit="4" topLeftCell="AC26" activePane="bottomRight" state="frozen"/>
      <selection pane="topRight" activeCell="E1" sqref="E1"/>
      <selection pane="bottomLeft" activeCell="A6" sqref="A6"/>
      <selection pane="bottomRight" activeCell="K86" sqref="K86"/>
    </sheetView>
  </sheetViews>
  <sheetFormatPr baseColWidth="10" defaultRowHeight="12.75" x14ac:dyDescent="0.2"/>
  <cols>
    <col min="1" max="1" width="8.85546875" style="199" customWidth="1"/>
    <col min="2" max="2" width="9.7109375" style="199" customWidth="1"/>
    <col min="3" max="3" width="36.7109375" style="199" bestFit="1" customWidth="1"/>
    <col min="4" max="42" width="8.7109375" style="199" customWidth="1"/>
    <col min="43" max="255" width="11.42578125" style="199"/>
    <col min="256" max="256" width="1.5703125" style="199" customWidth="1"/>
    <col min="257" max="257" width="21.140625" style="199" customWidth="1"/>
    <col min="258" max="258" width="7.140625" style="199" customWidth="1"/>
    <col min="259" max="259" width="36.7109375" style="199" bestFit="1" customWidth="1"/>
    <col min="260" max="261" width="9.28515625" style="199" bestFit="1" customWidth="1"/>
    <col min="262" max="262" width="12" style="199" customWidth="1"/>
    <col min="263" max="263" width="8.42578125" style="199" bestFit="1" customWidth="1"/>
    <col min="264" max="264" width="9" style="199" customWidth="1"/>
    <col min="265" max="265" width="11.7109375" style="199" customWidth="1"/>
    <col min="266" max="266" width="9.28515625" style="199" bestFit="1" customWidth="1"/>
    <col min="267" max="267" width="8.42578125" style="199" bestFit="1" customWidth="1"/>
    <col min="268" max="268" width="11.7109375" style="199" customWidth="1"/>
    <col min="269" max="270" width="8.42578125" style="199" bestFit="1" customWidth="1"/>
    <col min="271" max="271" width="11.7109375" style="199" customWidth="1"/>
    <col min="272" max="272" width="9" style="199" customWidth="1"/>
    <col min="273" max="273" width="8.42578125" style="199" bestFit="1" customWidth="1"/>
    <col min="274" max="274" width="11.7109375" style="199" customWidth="1"/>
    <col min="275" max="276" width="8.42578125" style="199" bestFit="1" customWidth="1"/>
    <col min="277" max="277" width="11.7109375" style="199" customWidth="1"/>
    <col min="278" max="279" width="9" style="199" customWidth="1"/>
    <col min="280" max="280" width="12" style="199" customWidth="1"/>
    <col min="281" max="281" width="9" style="199" bestFit="1" customWidth="1"/>
    <col min="282" max="282" width="8" style="199" bestFit="1" customWidth="1"/>
    <col min="283" max="283" width="11.7109375" style="199" customWidth="1"/>
    <col min="284" max="511" width="11.42578125" style="199"/>
    <col min="512" max="512" width="1.5703125" style="199" customWidth="1"/>
    <col min="513" max="513" width="21.140625" style="199" customWidth="1"/>
    <col min="514" max="514" width="7.140625" style="199" customWidth="1"/>
    <col min="515" max="515" width="36.7109375" style="199" bestFit="1" customWidth="1"/>
    <col min="516" max="517" width="9.28515625" style="199" bestFit="1" customWidth="1"/>
    <col min="518" max="518" width="12" style="199" customWidth="1"/>
    <col min="519" max="519" width="8.42578125" style="199" bestFit="1" customWidth="1"/>
    <col min="520" max="520" width="9" style="199" customWidth="1"/>
    <col min="521" max="521" width="11.7109375" style="199" customWidth="1"/>
    <col min="522" max="522" width="9.28515625" style="199" bestFit="1" customWidth="1"/>
    <col min="523" max="523" width="8.42578125" style="199" bestFit="1" customWidth="1"/>
    <col min="524" max="524" width="11.7109375" style="199" customWidth="1"/>
    <col min="525" max="526" width="8.42578125" style="199" bestFit="1" customWidth="1"/>
    <col min="527" max="527" width="11.7109375" style="199" customWidth="1"/>
    <col min="528" max="528" width="9" style="199" customWidth="1"/>
    <col min="529" max="529" width="8.42578125" style="199" bestFit="1" customWidth="1"/>
    <col min="530" max="530" width="11.7109375" style="199" customWidth="1"/>
    <col min="531" max="532" width="8.42578125" style="199" bestFit="1" customWidth="1"/>
    <col min="533" max="533" width="11.7109375" style="199" customWidth="1"/>
    <col min="534" max="535" width="9" style="199" customWidth="1"/>
    <col min="536" max="536" width="12" style="199" customWidth="1"/>
    <col min="537" max="537" width="9" style="199" bestFit="1" customWidth="1"/>
    <col min="538" max="538" width="8" style="199" bestFit="1" customWidth="1"/>
    <col min="539" max="539" width="11.7109375" style="199" customWidth="1"/>
    <col min="540" max="767" width="11.42578125" style="199"/>
    <col min="768" max="768" width="1.5703125" style="199" customWidth="1"/>
    <col min="769" max="769" width="21.140625" style="199" customWidth="1"/>
    <col min="770" max="770" width="7.140625" style="199" customWidth="1"/>
    <col min="771" max="771" width="36.7109375" style="199" bestFit="1" customWidth="1"/>
    <col min="772" max="773" width="9.28515625" style="199" bestFit="1" customWidth="1"/>
    <col min="774" max="774" width="12" style="199" customWidth="1"/>
    <col min="775" max="775" width="8.42578125" style="199" bestFit="1" customWidth="1"/>
    <col min="776" max="776" width="9" style="199" customWidth="1"/>
    <col min="777" max="777" width="11.7109375" style="199" customWidth="1"/>
    <col min="778" max="778" width="9.28515625" style="199" bestFit="1" customWidth="1"/>
    <col min="779" max="779" width="8.42578125" style="199" bestFit="1" customWidth="1"/>
    <col min="780" max="780" width="11.7109375" style="199" customWidth="1"/>
    <col min="781" max="782" width="8.42578125" style="199" bestFit="1" customWidth="1"/>
    <col min="783" max="783" width="11.7109375" style="199" customWidth="1"/>
    <col min="784" max="784" width="9" style="199" customWidth="1"/>
    <col min="785" max="785" width="8.42578125" style="199" bestFit="1" customWidth="1"/>
    <col min="786" max="786" width="11.7109375" style="199" customWidth="1"/>
    <col min="787" max="788" width="8.42578125" style="199" bestFit="1" customWidth="1"/>
    <col min="789" max="789" width="11.7109375" style="199" customWidth="1"/>
    <col min="790" max="791" width="9" style="199" customWidth="1"/>
    <col min="792" max="792" width="12" style="199" customWidth="1"/>
    <col min="793" max="793" width="9" style="199" bestFit="1" customWidth="1"/>
    <col min="794" max="794" width="8" style="199" bestFit="1" customWidth="1"/>
    <col min="795" max="795" width="11.7109375" style="199" customWidth="1"/>
    <col min="796" max="1023" width="11.42578125" style="199"/>
    <col min="1024" max="1024" width="1.5703125" style="199" customWidth="1"/>
    <col min="1025" max="1025" width="21.140625" style="199" customWidth="1"/>
    <col min="1026" max="1026" width="7.140625" style="199" customWidth="1"/>
    <col min="1027" max="1027" width="36.7109375" style="199" bestFit="1" customWidth="1"/>
    <col min="1028" max="1029" width="9.28515625" style="199" bestFit="1" customWidth="1"/>
    <col min="1030" max="1030" width="12" style="199" customWidth="1"/>
    <col min="1031" max="1031" width="8.42578125" style="199" bestFit="1" customWidth="1"/>
    <col min="1032" max="1032" width="9" style="199" customWidth="1"/>
    <col min="1033" max="1033" width="11.7109375" style="199" customWidth="1"/>
    <col min="1034" max="1034" width="9.28515625" style="199" bestFit="1" customWidth="1"/>
    <col min="1035" max="1035" width="8.42578125" style="199" bestFit="1" customWidth="1"/>
    <col min="1036" max="1036" width="11.7109375" style="199" customWidth="1"/>
    <col min="1037" max="1038" width="8.42578125" style="199" bestFit="1" customWidth="1"/>
    <col min="1039" max="1039" width="11.7109375" style="199" customWidth="1"/>
    <col min="1040" max="1040" width="9" style="199" customWidth="1"/>
    <col min="1041" max="1041" width="8.42578125" style="199" bestFit="1" customWidth="1"/>
    <col min="1042" max="1042" width="11.7109375" style="199" customWidth="1"/>
    <col min="1043" max="1044" width="8.42578125" style="199" bestFit="1" customWidth="1"/>
    <col min="1045" max="1045" width="11.7109375" style="199" customWidth="1"/>
    <col min="1046" max="1047" width="9" style="199" customWidth="1"/>
    <col min="1048" max="1048" width="12" style="199" customWidth="1"/>
    <col min="1049" max="1049" width="9" style="199" bestFit="1" customWidth="1"/>
    <col min="1050" max="1050" width="8" style="199" bestFit="1" customWidth="1"/>
    <col min="1051" max="1051" width="11.7109375" style="199" customWidth="1"/>
    <col min="1052" max="1279" width="11.42578125" style="199"/>
    <col min="1280" max="1280" width="1.5703125" style="199" customWidth="1"/>
    <col min="1281" max="1281" width="21.140625" style="199" customWidth="1"/>
    <col min="1282" max="1282" width="7.140625" style="199" customWidth="1"/>
    <col min="1283" max="1283" width="36.7109375" style="199" bestFit="1" customWidth="1"/>
    <col min="1284" max="1285" width="9.28515625" style="199" bestFit="1" customWidth="1"/>
    <col min="1286" max="1286" width="12" style="199" customWidth="1"/>
    <col min="1287" max="1287" width="8.42578125" style="199" bestFit="1" customWidth="1"/>
    <col min="1288" max="1288" width="9" style="199" customWidth="1"/>
    <col min="1289" max="1289" width="11.7109375" style="199" customWidth="1"/>
    <col min="1290" max="1290" width="9.28515625" style="199" bestFit="1" customWidth="1"/>
    <col min="1291" max="1291" width="8.42578125" style="199" bestFit="1" customWidth="1"/>
    <col min="1292" max="1292" width="11.7109375" style="199" customWidth="1"/>
    <col min="1293" max="1294" width="8.42578125" style="199" bestFit="1" customWidth="1"/>
    <col min="1295" max="1295" width="11.7109375" style="199" customWidth="1"/>
    <col min="1296" max="1296" width="9" style="199" customWidth="1"/>
    <col min="1297" max="1297" width="8.42578125" style="199" bestFit="1" customWidth="1"/>
    <col min="1298" max="1298" width="11.7109375" style="199" customWidth="1"/>
    <col min="1299" max="1300" width="8.42578125" style="199" bestFit="1" customWidth="1"/>
    <col min="1301" max="1301" width="11.7109375" style="199" customWidth="1"/>
    <col min="1302" max="1303" width="9" style="199" customWidth="1"/>
    <col min="1304" max="1304" width="12" style="199" customWidth="1"/>
    <col min="1305" max="1305" width="9" style="199" bestFit="1" customWidth="1"/>
    <col min="1306" max="1306" width="8" style="199" bestFit="1" customWidth="1"/>
    <col min="1307" max="1307" width="11.7109375" style="199" customWidth="1"/>
    <col min="1308" max="1535" width="11.42578125" style="199"/>
    <col min="1536" max="1536" width="1.5703125" style="199" customWidth="1"/>
    <col min="1537" max="1537" width="21.140625" style="199" customWidth="1"/>
    <col min="1538" max="1538" width="7.140625" style="199" customWidth="1"/>
    <col min="1539" max="1539" width="36.7109375" style="199" bestFit="1" customWidth="1"/>
    <col min="1540" max="1541" width="9.28515625" style="199" bestFit="1" customWidth="1"/>
    <col min="1542" max="1542" width="12" style="199" customWidth="1"/>
    <col min="1543" max="1543" width="8.42578125" style="199" bestFit="1" customWidth="1"/>
    <col min="1544" max="1544" width="9" style="199" customWidth="1"/>
    <col min="1545" max="1545" width="11.7109375" style="199" customWidth="1"/>
    <col min="1546" max="1546" width="9.28515625" style="199" bestFit="1" customWidth="1"/>
    <col min="1547" max="1547" width="8.42578125" style="199" bestFit="1" customWidth="1"/>
    <col min="1548" max="1548" width="11.7109375" style="199" customWidth="1"/>
    <col min="1549" max="1550" width="8.42578125" style="199" bestFit="1" customWidth="1"/>
    <col min="1551" max="1551" width="11.7109375" style="199" customWidth="1"/>
    <col min="1552" max="1552" width="9" style="199" customWidth="1"/>
    <col min="1553" max="1553" width="8.42578125" style="199" bestFit="1" customWidth="1"/>
    <col min="1554" max="1554" width="11.7109375" style="199" customWidth="1"/>
    <col min="1555" max="1556" width="8.42578125" style="199" bestFit="1" customWidth="1"/>
    <col min="1557" max="1557" width="11.7109375" style="199" customWidth="1"/>
    <col min="1558" max="1559" width="9" style="199" customWidth="1"/>
    <col min="1560" max="1560" width="12" style="199" customWidth="1"/>
    <col min="1561" max="1561" width="9" style="199" bestFit="1" customWidth="1"/>
    <col min="1562" max="1562" width="8" style="199" bestFit="1" customWidth="1"/>
    <col min="1563" max="1563" width="11.7109375" style="199" customWidth="1"/>
    <col min="1564" max="1791" width="11.42578125" style="199"/>
    <col min="1792" max="1792" width="1.5703125" style="199" customWidth="1"/>
    <col min="1793" max="1793" width="21.140625" style="199" customWidth="1"/>
    <col min="1794" max="1794" width="7.140625" style="199" customWidth="1"/>
    <col min="1795" max="1795" width="36.7109375" style="199" bestFit="1" customWidth="1"/>
    <col min="1796" max="1797" width="9.28515625" style="199" bestFit="1" customWidth="1"/>
    <col min="1798" max="1798" width="12" style="199" customWidth="1"/>
    <col min="1799" max="1799" width="8.42578125" style="199" bestFit="1" customWidth="1"/>
    <col min="1800" max="1800" width="9" style="199" customWidth="1"/>
    <col min="1801" max="1801" width="11.7109375" style="199" customWidth="1"/>
    <col min="1802" max="1802" width="9.28515625" style="199" bestFit="1" customWidth="1"/>
    <col min="1803" max="1803" width="8.42578125" style="199" bestFit="1" customWidth="1"/>
    <col min="1804" max="1804" width="11.7109375" style="199" customWidth="1"/>
    <col min="1805" max="1806" width="8.42578125" style="199" bestFit="1" customWidth="1"/>
    <col min="1807" max="1807" width="11.7109375" style="199" customWidth="1"/>
    <col min="1808" max="1808" width="9" style="199" customWidth="1"/>
    <col min="1809" max="1809" width="8.42578125" style="199" bestFit="1" customWidth="1"/>
    <col min="1810" max="1810" width="11.7109375" style="199" customWidth="1"/>
    <col min="1811" max="1812" width="8.42578125" style="199" bestFit="1" customWidth="1"/>
    <col min="1813" max="1813" width="11.7109375" style="199" customWidth="1"/>
    <col min="1814" max="1815" width="9" style="199" customWidth="1"/>
    <col min="1816" max="1816" width="12" style="199" customWidth="1"/>
    <col min="1817" max="1817" width="9" style="199" bestFit="1" customWidth="1"/>
    <col min="1818" max="1818" width="8" style="199" bestFit="1" customWidth="1"/>
    <col min="1819" max="1819" width="11.7109375" style="199" customWidth="1"/>
    <col min="1820" max="2047" width="11.42578125" style="199"/>
    <col min="2048" max="2048" width="1.5703125" style="199" customWidth="1"/>
    <col min="2049" max="2049" width="21.140625" style="199" customWidth="1"/>
    <col min="2050" max="2050" width="7.140625" style="199" customWidth="1"/>
    <col min="2051" max="2051" width="36.7109375" style="199" bestFit="1" customWidth="1"/>
    <col min="2052" max="2053" width="9.28515625" style="199" bestFit="1" customWidth="1"/>
    <col min="2054" max="2054" width="12" style="199" customWidth="1"/>
    <col min="2055" max="2055" width="8.42578125" style="199" bestFit="1" customWidth="1"/>
    <col min="2056" max="2056" width="9" style="199" customWidth="1"/>
    <col min="2057" max="2057" width="11.7109375" style="199" customWidth="1"/>
    <col min="2058" max="2058" width="9.28515625" style="199" bestFit="1" customWidth="1"/>
    <col min="2059" max="2059" width="8.42578125" style="199" bestFit="1" customWidth="1"/>
    <col min="2060" max="2060" width="11.7109375" style="199" customWidth="1"/>
    <col min="2061" max="2062" width="8.42578125" style="199" bestFit="1" customWidth="1"/>
    <col min="2063" max="2063" width="11.7109375" style="199" customWidth="1"/>
    <col min="2064" max="2064" width="9" style="199" customWidth="1"/>
    <col min="2065" max="2065" width="8.42578125" style="199" bestFit="1" customWidth="1"/>
    <col min="2066" max="2066" width="11.7109375" style="199" customWidth="1"/>
    <col min="2067" max="2068" width="8.42578125" style="199" bestFit="1" customWidth="1"/>
    <col min="2069" max="2069" width="11.7109375" style="199" customWidth="1"/>
    <col min="2070" max="2071" width="9" style="199" customWidth="1"/>
    <col min="2072" max="2072" width="12" style="199" customWidth="1"/>
    <col min="2073" max="2073" width="9" style="199" bestFit="1" customWidth="1"/>
    <col min="2074" max="2074" width="8" style="199" bestFit="1" customWidth="1"/>
    <col min="2075" max="2075" width="11.7109375" style="199" customWidth="1"/>
    <col min="2076" max="2303" width="11.42578125" style="199"/>
    <col min="2304" max="2304" width="1.5703125" style="199" customWidth="1"/>
    <col min="2305" max="2305" width="21.140625" style="199" customWidth="1"/>
    <col min="2306" max="2306" width="7.140625" style="199" customWidth="1"/>
    <col min="2307" max="2307" width="36.7109375" style="199" bestFit="1" customWidth="1"/>
    <col min="2308" max="2309" width="9.28515625" style="199" bestFit="1" customWidth="1"/>
    <col min="2310" max="2310" width="12" style="199" customWidth="1"/>
    <col min="2311" max="2311" width="8.42578125" style="199" bestFit="1" customWidth="1"/>
    <col min="2312" max="2312" width="9" style="199" customWidth="1"/>
    <col min="2313" max="2313" width="11.7109375" style="199" customWidth="1"/>
    <col min="2314" max="2314" width="9.28515625" style="199" bestFit="1" customWidth="1"/>
    <col min="2315" max="2315" width="8.42578125" style="199" bestFit="1" customWidth="1"/>
    <col min="2316" max="2316" width="11.7109375" style="199" customWidth="1"/>
    <col min="2317" max="2318" width="8.42578125" style="199" bestFit="1" customWidth="1"/>
    <col min="2319" max="2319" width="11.7109375" style="199" customWidth="1"/>
    <col min="2320" max="2320" width="9" style="199" customWidth="1"/>
    <col min="2321" max="2321" width="8.42578125" style="199" bestFit="1" customWidth="1"/>
    <col min="2322" max="2322" width="11.7109375" style="199" customWidth="1"/>
    <col min="2323" max="2324" width="8.42578125" style="199" bestFit="1" customWidth="1"/>
    <col min="2325" max="2325" width="11.7109375" style="199" customWidth="1"/>
    <col min="2326" max="2327" width="9" style="199" customWidth="1"/>
    <col min="2328" max="2328" width="12" style="199" customWidth="1"/>
    <col min="2329" max="2329" width="9" style="199" bestFit="1" customWidth="1"/>
    <col min="2330" max="2330" width="8" style="199" bestFit="1" customWidth="1"/>
    <col min="2331" max="2331" width="11.7109375" style="199" customWidth="1"/>
    <col min="2332" max="2559" width="11.42578125" style="199"/>
    <col min="2560" max="2560" width="1.5703125" style="199" customWidth="1"/>
    <col min="2561" max="2561" width="21.140625" style="199" customWidth="1"/>
    <col min="2562" max="2562" width="7.140625" style="199" customWidth="1"/>
    <col min="2563" max="2563" width="36.7109375" style="199" bestFit="1" customWidth="1"/>
    <col min="2564" max="2565" width="9.28515625" style="199" bestFit="1" customWidth="1"/>
    <col min="2566" max="2566" width="12" style="199" customWidth="1"/>
    <col min="2567" max="2567" width="8.42578125" style="199" bestFit="1" customWidth="1"/>
    <col min="2568" max="2568" width="9" style="199" customWidth="1"/>
    <col min="2569" max="2569" width="11.7109375" style="199" customWidth="1"/>
    <col min="2570" max="2570" width="9.28515625" style="199" bestFit="1" customWidth="1"/>
    <col min="2571" max="2571" width="8.42578125" style="199" bestFit="1" customWidth="1"/>
    <col min="2572" max="2572" width="11.7109375" style="199" customWidth="1"/>
    <col min="2573" max="2574" width="8.42578125" style="199" bestFit="1" customWidth="1"/>
    <col min="2575" max="2575" width="11.7109375" style="199" customWidth="1"/>
    <col min="2576" max="2576" width="9" style="199" customWidth="1"/>
    <col min="2577" max="2577" width="8.42578125" style="199" bestFit="1" customWidth="1"/>
    <col min="2578" max="2578" width="11.7109375" style="199" customWidth="1"/>
    <col min="2579" max="2580" width="8.42578125" style="199" bestFit="1" customWidth="1"/>
    <col min="2581" max="2581" width="11.7109375" style="199" customWidth="1"/>
    <col min="2582" max="2583" width="9" style="199" customWidth="1"/>
    <col min="2584" max="2584" width="12" style="199" customWidth="1"/>
    <col min="2585" max="2585" width="9" style="199" bestFit="1" customWidth="1"/>
    <col min="2586" max="2586" width="8" style="199" bestFit="1" customWidth="1"/>
    <col min="2587" max="2587" width="11.7109375" style="199" customWidth="1"/>
    <col min="2588" max="2815" width="11.42578125" style="199"/>
    <col min="2816" max="2816" width="1.5703125" style="199" customWidth="1"/>
    <col min="2817" max="2817" width="21.140625" style="199" customWidth="1"/>
    <col min="2818" max="2818" width="7.140625" style="199" customWidth="1"/>
    <col min="2819" max="2819" width="36.7109375" style="199" bestFit="1" customWidth="1"/>
    <col min="2820" max="2821" width="9.28515625" style="199" bestFit="1" customWidth="1"/>
    <col min="2822" max="2822" width="12" style="199" customWidth="1"/>
    <col min="2823" max="2823" width="8.42578125" style="199" bestFit="1" customWidth="1"/>
    <col min="2824" max="2824" width="9" style="199" customWidth="1"/>
    <col min="2825" max="2825" width="11.7109375" style="199" customWidth="1"/>
    <col min="2826" max="2826" width="9.28515625" style="199" bestFit="1" customWidth="1"/>
    <col min="2827" max="2827" width="8.42578125" style="199" bestFit="1" customWidth="1"/>
    <col min="2828" max="2828" width="11.7109375" style="199" customWidth="1"/>
    <col min="2829" max="2830" width="8.42578125" style="199" bestFit="1" customWidth="1"/>
    <col min="2831" max="2831" width="11.7109375" style="199" customWidth="1"/>
    <col min="2832" max="2832" width="9" style="199" customWidth="1"/>
    <col min="2833" max="2833" width="8.42578125" style="199" bestFit="1" customWidth="1"/>
    <col min="2834" max="2834" width="11.7109375" style="199" customWidth="1"/>
    <col min="2835" max="2836" width="8.42578125" style="199" bestFit="1" customWidth="1"/>
    <col min="2837" max="2837" width="11.7109375" style="199" customWidth="1"/>
    <col min="2838" max="2839" width="9" style="199" customWidth="1"/>
    <col min="2840" max="2840" width="12" style="199" customWidth="1"/>
    <col min="2841" max="2841" width="9" style="199" bestFit="1" customWidth="1"/>
    <col min="2842" max="2842" width="8" style="199" bestFit="1" customWidth="1"/>
    <col min="2843" max="2843" width="11.7109375" style="199" customWidth="1"/>
    <col min="2844" max="3071" width="11.42578125" style="199"/>
    <col min="3072" max="3072" width="1.5703125" style="199" customWidth="1"/>
    <col min="3073" max="3073" width="21.140625" style="199" customWidth="1"/>
    <col min="3074" max="3074" width="7.140625" style="199" customWidth="1"/>
    <col min="3075" max="3075" width="36.7109375" style="199" bestFit="1" customWidth="1"/>
    <col min="3076" max="3077" width="9.28515625" style="199" bestFit="1" customWidth="1"/>
    <col min="3078" max="3078" width="12" style="199" customWidth="1"/>
    <col min="3079" max="3079" width="8.42578125" style="199" bestFit="1" customWidth="1"/>
    <col min="3080" max="3080" width="9" style="199" customWidth="1"/>
    <col min="3081" max="3081" width="11.7109375" style="199" customWidth="1"/>
    <col min="3082" max="3082" width="9.28515625" style="199" bestFit="1" customWidth="1"/>
    <col min="3083" max="3083" width="8.42578125" style="199" bestFit="1" customWidth="1"/>
    <col min="3084" max="3084" width="11.7109375" style="199" customWidth="1"/>
    <col min="3085" max="3086" width="8.42578125" style="199" bestFit="1" customWidth="1"/>
    <col min="3087" max="3087" width="11.7109375" style="199" customWidth="1"/>
    <col min="3088" max="3088" width="9" style="199" customWidth="1"/>
    <col min="3089" max="3089" width="8.42578125" style="199" bestFit="1" customWidth="1"/>
    <col min="3090" max="3090" width="11.7109375" style="199" customWidth="1"/>
    <col min="3091" max="3092" width="8.42578125" style="199" bestFit="1" customWidth="1"/>
    <col min="3093" max="3093" width="11.7109375" style="199" customWidth="1"/>
    <col min="3094" max="3095" width="9" style="199" customWidth="1"/>
    <col min="3096" max="3096" width="12" style="199" customWidth="1"/>
    <col min="3097" max="3097" width="9" style="199" bestFit="1" customWidth="1"/>
    <col min="3098" max="3098" width="8" style="199" bestFit="1" customWidth="1"/>
    <col min="3099" max="3099" width="11.7109375" style="199" customWidth="1"/>
    <col min="3100" max="3327" width="11.42578125" style="199"/>
    <col min="3328" max="3328" width="1.5703125" style="199" customWidth="1"/>
    <col min="3329" max="3329" width="21.140625" style="199" customWidth="1"/>
    <col min="3330" max="3330" width="7.140625" style="199" customWidth="1"/>
    <col min="3331" max="3331" width="36.7109375" style="199" bestFit="1" customWidth="1"/>
    <col min="3332" max="3333" width="9.28515625" style="199" bestFit="1" customWidth="1"/>
    <col min="3334" max="3334" width="12" style="199" customWidth="1"/>
    <col min="3335" max="3335" width="8.42578125" style="199" bestFit="1" customWidth="1"/>
    <col min="3336" max="3336" width="9" style="199" customWidth="1"/>
    <col min="3337" max="3337" width="11.7109375" style="199" customWidth="1"/>
    <col min="3338" max="3338" width="9.28515625" style="199" bestFit="1" customWidth="1"/>
    <col min="3339" max="3339" width="8.42578125" style="199" bestFit="1" customWidth="1"/>
    <col min="3340" max="3340" width="11.7109375" style="199" customWidth="1"/>
    <col min="3341" max="3342" width="8.42578125" style="199" bestFit="1" customWidth="1"/>
    <col min="3343" max="3343" width="11.7109375" style="199" customWidth="1"/>
    <col min="3344" max="3344" width="9" style="199" customWidth="1"/>
    <col min="3345" max="3345" width="8.42578125" style="199" bestFit="1" customWidth="1"/>
    <col min="3346" max="3346" width="11.7109375" style="199" customWidth="1"/>
    <col min="3347" max="3348" width="8.42578125" style="199" bestFit="1" customWidth="1"/>
    <col min="3349" max="3349" width="11.7109375" style="199" customWidth="1"/>
    <col min="3350" max="3351" width="9" style="199" customWidth="1"/>
    <col min="3352" max="3352" width="12" style="199" customWidth="1"/>
    <col min="3353" max="3353" width="9" style="199" bestFit="1" customWidth="1"/>
    <col min="3354" max="3354" width="8" style="199" bestFit="1" customWidth="1"/>
    <col min="3355" max="3355" width="11.7109375" style="199" customWidth="1"/>
    <col min="3356" max="3583" width="11.42578125" style="199"/>
    <col min="3584" max="3584" width="1.5703125" style="199" customWidth="1"/>
    <col min="3585" max="3585" width="21.140625" style="199" customWidth="1"/>
    <col min="3586" max="3586" width="7.140625" style="199" customWidth="1"/>
    <col min="3587" max="3587" width="36.7109375" style="199" bestFit="1" customWidth="1"/>
    <col min="3588" max="3589" width="9.28515625" style="199" bestFit="1" customWidth="1"/>
    <col min="3590" max="3590" width="12" style="199" customWidth="1"/>
    <col min="3591" max="3591" width="8.42578125" style="199" bestFit="1" customWidth="1"/>
    <col min="3592" max="3592" width="9" style="199" customWidth="1"/>
    <col min="3593" max="3593" width="11.7109375" style="199" customWidth="1"/>
    <col min="3594" max="3594" width="9.28515625" style="199" bestFit="1" customWidth="1"/>
    <col min="3595" max="3595" width="8.42578125" style="199" bestFit="1" customWidth="1"/>
    <col min="3596" max="3596" width="11.7109375" style="199" customWidth="1"/>
    <col min="3597" max="3598" width="8.42578125" style="199" bestFit="1" customWidth="1"/>
    <col min="3599" max="3599" width="11.7109375" style="199" customWidth="1"/>
    <col min="3600" max="3600" width="9" style="199" customWidth="1"/>
    <col min="3601" max="3601" width="8.42578125" style="199" bestFit="1" customWidth="1"/>
    <col min="3602" max="3602" width="11.7109375" style="199" customWidth="1"/>
    <col min="3603" max="3604" width="8.42578125" style="199" bestFit="1" customWidth="1"/>
    <col min="3605" max="3605" width="11.7109375" style="199" customWidth="1"/>
    <col min="3606" max="3607" width="9" style="199" customWidth="1"/>
    <col min="3608" max="3608" width="12" style="199" customWidth="1"/>
    <col min="3609" max="3609" width="9" style="199" bestFit="1" customWidth="1"/>
    <col min="3610" max="3610" width="8" style="199" bestFit="1" customWidth="1"/>
    <col min="3611" max="3611" width="11.7109375" style="199" customWidth="1"/>
    <col min="3612" max="3839" width="11.42578125" style="199"/>
    <col min="3840" max="3840" width="1.5703125" style="199" customWidth="1"/>
    <col min="3841" max="3841" width="21.140625" style="199" customWidth="1"/>
    <col min="3842" max="3842" width="7.140625" style="199" customWidth="1"/>
    <col min="3843" max="3843" width="36.7109375" style="199" bestFit="1" customWidth="1"/>
    <col min="3844" max="3845" width="9.28515625" style="199" bestFit="1" customWidth="1"/>
    <col min="3846" max="3846" width="12" style="199" customWidth="1"/>
    <col min="3847" max="3847" width="8.42578125" style="199" bestFit="1" customWidth="1"/>
    <col min="3848" max="3848" width="9" style="199" customWidth="1"/>
    <col min="3849" max="3849" width="11.7109375" style="199" customWidth="1"/>
    <col min="3850" max="3850" width="9.28515625" style="199" bestFit="1" customWidth="1"/>
    <col min="3851" max="3851" width="8.42578125" style="199" bestFit="1" customWidth="1"/>
    <col min="3852" max="3852" width="11.7109375" style="199" customWidth="1"/>
    <col min="3853" max="3854" width="8.42578125" style="199" bestFit="1" customWidth="1"/>
    <col min="3855" max="3855" width="11.7109375" style="199" customWidth="1"/>
    <col min="3856" max="3856" width="9" style="199" customWidth="1"/>
    <col min="3857" max="3857" width="8.42578125" style="199" bestFit="1" customWidth="1"/>
    <col min="3858" max="3858" width="11.7109375" style="199" customWidth="1"/>
    <col min="3859" max="3860" width="8.42578125" style="199" bestFit="1" customWidth="1"/>
    <col min="3861" max="3861" width="11.7109375" style="199" customWidth="1"/>
    <col min="3862" max="3863" width="9" style="199" customWidth="1"/>
    <col min="3864" max="3864" width="12" style="199" customWidth="1"/>
    <col min="3865" max="3865" width="9" style="199" bestFit="1" customWidth="1"/>
    <col min="3866" max="3866" width="8" style="199" bestFit="1" customWidth="1"/>
    <col min="3867" max="3867" width="11.7109375" style="199" customWidth="1"/>
    <col min="3868" max="4095" width="11.42578125" style="199"/>
    <col min="4096" max="4096" width="1.5703125" style="199" customWidth="1"/>
    <col min="4097" max="4097" width="21.140625" style="199" customWidth="1"/>
    <col min="4098" max="4098" width="7.140625" style="199" customWidth="1"/>
    <col min="4099" max="4099" width="36.7109375" style="199" bestFit="1" customWidth="1"/>
    <col min="4100" max="4101" width="9.28515625" style="199" bestFit="1" customWidth="1"/>
    <col min="4102" max="4102" width="12" style="199" customWidth="1"/>
    <col min="4103" max="4103" width="8.42578125" style="199" bestFit="1" customWidth="1"/>
    <col min="4104" max="4104" width="9" style="199" customWidth="1"/>
    <col min="4105" max="4105" width="11.7109375" style="199" customWidth="1"/>
    <col min="4106" max="4106" width="9.28515625" style="199" bestFit="1" customWidth="1"/>
    <col min="4107" max="4107" width="8.42578125" style="199" bestFit="1" customWidth="1"/>
    <col min="4108" max="4108" width="11.7109375" style="199" customWidth="1"/>
    <col min="4109" max="4110" width="8.42578125" style="199" bestFit="1" customWidth="1"/>
    <col min="4111" max="4111" width="11.7109375" style="199" customWidth="1"/>
    <col min="4112" max="4112" width="9" style="199" customWidth="1"/>
    <col min="4113" max="4113" width="8.42578125" style="199" bestFit="1" customWidth="1"/>
    <col min="4114" max="4114" width="11.7109375" style="199" customWidth="1"/>
    <col min="4115" max="4116" width="8.42578125" style="199" bestFit="1" customWidth="1"/>
    <col min="4117" max="4117" width="11.7109375" style="199" customWidth="1"/>
    <col min="4118" max="4119" width="9" style="199" customWidth="1"/>
    <col min="4120" max="4120" width="12" style="199" customWidth="1"/>
    <col min="4121" max="4121" width="9" style="199" bestFit="1" customWidth="1"/>
    <col min="4122" max="4122" width="8" style="199" bestFit="1" customWidth="1"/>
    <col min="4123" max="4123" width="11.7109375" style="199" customWidth="1"/>
    <col min="4124" max="4351" width="11.42578125" style="199"/>
    <col min="4352" max="4352" width="1.5703125" style="199" customWidth="1"/>
    <col min="4353" max="4353" width="21.140625" style="199" customWidth="1"/>
    <col min="4354" max="4354" width="7.140625" style="199" customWidth="1"/>
    <col min="4355" max="4355" width="36.7109375" style="199" bestFit="1" customWidth="1"/>
    <col min="4356" max="4357" width="9.28515625" style="199" bestFit="1" customWidth="1"/>
    <col min="4358" max="4358" width="12" style="199" customWidth="1"/>
    <col min="4359" max="4359" width="8.42578125" style="199" bestFit="1" customWidth="1"/>
    <col min="4360" max="4360" width="9" style="199" customWidth="1"/>
    <col min="4361" max="4361" width="11.7109375" style="199" customWidth="1"/>
    <col min="4362" max="4362" width="9.28515625" style="199" bestFit="1" customWidth="1"/>
    <col min="4363" max="4363" width="8.42578125" style="199" bestFit="1" customWidth="1"/>
    <col min="4364" max="4364" width="11.7109375" style="199" customWidth="1"/>
    <col min="4365" max="4366" width="8.42578125" style="199" bestFit="1" customWidth="1"/>
    <col min="4367" max="4367" width="11.7109375" style="199" customWidth="1"/>
    <col min="4368" max="4368" width="9" style="199" customWidth="1"/>
    <col min="4369" max="4369" width="8.42578125" style="199" bestFit="1" customWidth="1"/>
    <col min="4370" max="4370" width="11.7109375" style="199" customWidth="1"/>
    <col min="4371" max="4372" width="8.42578125" style="199" bestFit="1" customWidth="1"/>
    <col min="4373" max="4373" width="11.7109375" style="199" customWidth="1"/>
    <col min="4374" max="4375" width="9" style="199" customWidth="1"/>
    <col min="4376" max="4376" width="12" style="199" customWidth="1"/>
    <col min="4377" max="4377" width="9" style="199" bestFit="1" customWidth="1"/>
    <col min="4378" max="4378" width="8" style="199" bestFit="1" customWidth="1"/>
    <col min="4379" max="4379" width="11.7109375" style="199" customWidth="1"/>
    <col min="4380" max="4607" width="11.42578125" style="199"/>
    <col min="4608" max="4608" width="1.5703125" style="199" customWidth="1"/>
    <col min="4609" max="4609" width="21.140625" style="199" customWidth="1"/>
    <col min="4610" max="4610" width="7.140625" style="199" customWidth="1"/>
    <col min="4611" max="4611" width="36.7109375" style="199" bestFit="1" customWidth="1"/>
    <col min="4612" max="4613" width="9.28515625" style="199" bestFit="1" customWidth="1"/>
    <col min="4614" max="4614" width="12" style="199" customWidth="1"/>
    <col min="4615" max="4615" width="8.42578125" style="199" bestFit="1" customWidth="1"/>
    <col min="4616" max="4616" width="9" style="199" customWidth="1"/>
    <col min="4617" max="4617" width="11.7109375" style="199" customWidth="1"/>
    <col min="4618" max="4618" width="9.28515625" style="199" bestFit="1" customWidth="1"/>
    <col min="4619" max="4619" width="8.42578125" style="199" bestFit="1" customWidth="1"/>
    <col min="4620" max="4620" width="11.7109375" style="199" customWidth="1"/>
    <col min="4621" max="4622" width="8.42578125" style="199" bestFit="1" customWidth="1"/>
    <col min="4623" max="4623" width="11.7109375" style="199" customWidth="1"/>
    <col min="4624" max="4624" width="9" style="199" customWidth="1"/>
    <col min="4625" max="4625" width="8.42578125" style="199" bestFit="1" customWidth="1"/>
    <col min="4626" max="4626" width="11.7109375" style="199" customWidth="1"/>
    <col min="4627" max="4628" width="8.42578125" style="199" bestFit="1" customWidth="1"/>
    <col min="4629" max="4629" width="11.7109375" style="199" customWidth="1"/>
    <col min="4630" max="4631" width="9" style="199" customWidth="1"/>
    <col min="4632" max="4632" width="12" style="199" customWidth="1"/>
    <col min="4633" max="4633" width="9" style="199" bestFit="1" customWidth="1"/>
    <col min="4634" max="4634" width="8" style="199" bestFit="1" customWidth="1"/>
    <col min="4635" max="4635" width="11.7109375" style="199" customWidth="1"/>
    <col min="4636" max="4863" width="11.42578125" style="199"/>
    <col min="4864" max="4864" width="1.5703125" style="199" customWidth="1"/>
    <col min="4865" max="4865" width="21.140625" style="199" customWidth="1"/>
    <col min="4866" max="4866" width="7.140625" style="199" customWidth="1"/>
    <col min="4867" max="4867" width="36.7109375" style="199" bestFit="1" customWidth="1"/>
    <col min="4868" max="4869" width="9.28515625" style="199" bestFit="1" customWidth="1"/>
    <col min="4870" max="4870" width="12" style="199" customWidth="1"/>
    <col min="4871" max="4871" width="8.42578125" style="199" bestFit="1" customWidth="1"/>
    <col min="4872" max="4872" width="9" style="199" customWidth="1"/>
    <col min="4873" max="4873" width="11.7109375" style="199" customWidth="1"/>
    <col min="4874" max="4874" width="9.28515625" style="199" bestFit="1" customWidth="1"/>
    <col min="4875" max="4875" width="8.42578125" style="199" bestFit="1" customWidth="1"/>
    <col min="4876" max="4876" width="11.7109375" style="199" customWidth="1"/>
    <col min="4877" max="4878" width="8.42578125" style="199" bestFit="1" customWidth="1"/>
    <col min="4879" max="4879" width="11.7109375" style="199" customWidth="1"/>
    <col min="4880" max="4880" width="9" style="199" customWidth="1"/>
    <col min="4881" max="4881" width="8.42578125" style="199" bestFit="1" customWidth="1"/>
    <col min="4882" max="4882" width="11.7109375" style="199" customWidth="1"/>
    <col min="4883" max="4884" width="8.42578125" style="199" bestFit="1" customWidth="1"/>
    <col min="4885" max="4885" width="11.7109375" style="199" customWidth="1"/>
    <col min="4886" max="4887" width="9" style="199" customWidth="1"/>
    <col min="4888" max="4888" width="12" style="199" customWidth="1"/>
    <col min="4889" max="4889" width="9" style="199" bestFit="1" customWidth="1"/>
    <col min="4890" max="4890" width="8" style="199" bestFit="1" customWidth="1"/>
    <col min="4891" max="4891" width="11.7109375" style="199" customWidth="1"/>
    <col min="4892" max="5119" width="11.42578125" style="199"/>
    <col min="5120" max="5120" width="1.5703125" style="199" customWidth="1"/>
    <col min="5121" max="5121" width="21.140625" style="199" customWidth="1"/>
    <col min="5122" max="5122" width="7.140625" style="199" customWidth="1"/>
    <col min="5123" max="5123" width="36.7109375" style="199" bestFit="1" customWidth="1"/>
    <col min="5124" max="5125" width="9.28515625" style="199" bestFit="1" customWidth="1"/>
    <col min="5126" max="5126" width="12" style="199" customWidth="1"/>
    <col min="5127" max="5127" width="8.42578125" style="199" bestFit="1" customWidth="1"/>
    <col min="5128" max="5128" width="9" style="199" customWidth="1"/>
    <col min="5129" max="5129" width="11.7109375" style="199" customWidth="1"/>
    <col min="5130" max="5130" width="9.28515625" style="199" bestFit="1" customWidth="1"/>
    <col min="5131" max="5131" width="8.42578125" style="199" bestFit="1" customWidth="1"/>
    <col min="5132" max="5132" width="11.7109375" style="199" customWidth="1"/>
    <col min="5133" max="5134" width="8.42578125" style="199" bestFit="1" customWidth="1"/>
    <col min="5135" max="5135" width="11.7109375" style="199" customWidth="1"/>
    <col min="5136" max="5136" width="9" style="199" customWidth="1"/>
    <col min="5137" max="5137" width="8.42578125" style="199" bestFit="1" customWidth="1"/>
    <col min="5138" max="5138" width="11.7109375" style="199" customWidth="1"/>
    <col min="5139" max="5140" width="8.42578125" style="199" bestFit="1" customWidth="1"/>
    <col min="5141" max="5141" width="11.7109375" style="199" customWidth="1"/>
    <col min="5142" max="5143" width="9" style="199" customWidth="1"/>
    <col min="5144" max="5144" width="12" style="199" customWidth="1"/>
    <col min="5145" max="5145" width="9" style="199" bestFit="1" customWidth="1"/>
    <col min="5146" max="5146" width="8" style="199" bestFit="1" customWidth="1"/>
    <col min="5147" max="5147" width="11.7109375" style="199" customWidth="1"/>
    <col min="5148" max="5375" width="11.42578125" style="199"/>
    <col min="5376" max="5376" width="1.5703125" style="199" customWidth="1"/>
    <col min="5377" max="5377" width="21.140625" style="199" customWidth="1"/>
    <col min="5378" max="5378" width="7.140625" style="199" customWidth="1"/>
    <col min="5379" max="5379" width="36.7109375" style="199" bestFit="1" customWidth="1"/>
    <col min="5380" max="5381" width="9.28515625" style="199" bestFit="1" customWidth="1"/>
    <col min="5382" max="5382" width="12" style="199" customWidth="1"/>
    <col min="5383" max="5383" width="8.42578125" style="199" bestFit="1" customWidth="1"/>
    <col min="5384" max="5384" width="9" style="199" customWidth="1"/>
    <col min="5385" max="5385" width="11.7109375" style="199" customWidth="1"/>
    <col min="5386" max="5386" width="9.28515625" style="199" bestFit="1" customWidth="1"/>
    <col min="5387" max="5387" width="8.42578125" style="199" bestFit="1" customWidth="1"/>
    <col min="5388" max="5388" width="11.7109375" style="199" customWidth="1"/>
    <col min="5389" max="5390" width="8.42578125" style="199" bestFit="1" customWidth="1"/>
    <col min="5391" max="5391" width="11.7109375" style="199" customWidth="1"/>
    <col min="5392" max="5392" width="9" style="199" customWidth="1"/>
    <col min="5393" max="5393" width="8.42578125" style="199" bestFit="1" customWidth="1"/>
    <col min="5394" max="5394" width="11.7109375" style="199" customWidth="1"/>
    <col min="5395" max="5396" width="8.42578125" style="199" bestFit="1" customWidth="1"/>
    <col min="5397" max="5397" width="11.7109375" style="199" customWidth="1"/>
    <col min="5398" max="5399" width="9" style="199" customWidth="1"/>
    <col min="5400" max="5400" width="12" style="199" customWidth="1"/>
    <col min="5401" max="5401" width="9" style="199" bestFit="1" customWidth="1"/>
    <col min="5402" max="5402" width="8" style="199" bestFit="1" customWidth="1"/>
    <col min="5403" max="5403" width="11.7109375" style="199" customWidth="1"/>
    <col min="5404" max="5631" width="11.42578125" style="199"/>
    <col min="5632" max="5632" width="1.5703125" style="199" customWidth="1"/>
    <col min="5633" max="5633" width="21.140625" style="199" customWidth="1"/>
    <col min="5634" max="5634" width="7.140625" style="199" customWidth="1"/>
    <col min="5635" max="5635" width="36.7109375" style="199" bestFit="1" customWidth="1"/>
    <col min="5636" max="5637" width="9.28515625" style="199" bestFit="1" customWidth="1"/>
    <col min="5638" max="5638" width="12" style="199" customWidth="1"/>
    <col min="5639" max="5639" width="8.42578125" style="199" bestFit="1" customWidth="1"/>
    <col min="5640" max="5640" width="9" style="199" customWidth="1"/>
    <col min="5641" max="5641" width="11.7109375" style="199" customWidth="1"/>
    <col min="5642" max="5642" width="9.28515625" style="199" bestFit="1" customWidth="1"/>
    <col min="5643" max="5643" width="8.42578125" style="199" bestFit="1" customWidth="1"/>
    <col min="5644" max="5644" width="11.7109375" style="199" customWidth="1"/>
    <col min="5645" max="5646" width="8.42578125" style="199" bestFit="1" customWidth="1"/>
    <col min="5647" max="5647" width="11.7109375" style="199" customWidth="1"/>
    <col min="5648" max="5648" width="9" style="199" customWidth="1"/>
    <col min="5649" max="5649" width="8.42578125" style="199" bestFit="1" customWidth="1"/>
    <col min="5650" max="5650" width="11.7109375" style="199" customWidth="1"/>
    <col min="5651" max="5652" width="8.42578125" style="199" bestFit="1" customWidth="1"/>
    <col min="5653" max="5653" width="11.7109375" style="199" customWidth="1"/>
    <col min="5654" max="5655" width="9" style="199" customWidth="1"/>
    <col min="5656" max="5656" width="12" style="199" customWidth="1"/>
    <col min="5657" max="5657" width="9" style="199" bestFit="1" customWidth="1"/>
    <col min="5658" max="5658" width="8" style="199" bestFit="1" customWidth="1"/>
    <col min="5659" max="5659" width="11.7109375" style="199" customWidth="1"/>
    <col min="5660" max="5887" width="11.42578125" style="199"/>
    <col min="5888" max="5888" width="1.5703125" style="199" customWidth="1"/>
    <col min="5889" max="5889" width="21.140625" style="199" customWidth="1"/>
    <col min="5890" max="5890" width="7.140625" style="199" customWidth="1"/>
    <col min="5891" max="5891" width="36.7109375" style="199" bestFit="1" customWidth="1"/>
    <col min="5892" max="5893" width="9.28515625" style="199" bestFit="1" customWidth="1"/>
    <col min="5894" max="5894" width="12" style="199" customWidth="1"/>
    <col min="5895" max="5895" width="8.42578125" style="199" bestFit="1" customWidth="1"/>
    <col min="5896" max="5896" width="9" style="199" customWidth="1"/>
    <col min="5897" max="5897" width="11.7109375" style="199" customWidth="1"/>
    <col min="5898" max="5898" width="9.28515625" style="199" bestFit="1" customWidth="1"/>
    <col min="5899" max="5899" width="8.42578125" style="199" bestFit="1" customWidth="1"/>
    <col min="5900" max="5900" width="11.7109375" style="199" customWidth="1"/>
    <col min="5901" max="5902" width="8.42578125" style="199" bestFit="1" customWidth="1"/>
    <col min="5903" max="5903" width="11.7109375" style="199" customWidth="1"/>
    <col min="5904" max="5904" width="9" style="199" customWidth="1"/>
    <col min="5905" max="5905" width="8.42578125" style="199" bestFit="1" customWidth="1"/>
    <col min="5906" max="5906" width="11.7109375" style="199" customWidth="1"/>
    <col min="5907" max="5908" width="8.42578125" style="199" bestFit="1" customWidth="1"/>
    <col min="5909" max="5909" width="11.7109375" style="199" customWidth="1"/>
    <col min="5910" max="5911" width="9" style="199" customWidth="1"/>
    <col min="5912" max="5912" width="12" style="199" customWidth="1"/>
    <col min="5913" max="5913" width="9" style="199" bestFit="1" customWidth="1"/>
    <col min="5914" max="5914" width="8" style="199" bestFit="1" customWidth="1"/>
    <col min="5915" max="5915" width="11.7109375" style="199" customWidth="1"/>
    <col min="5916" max="6143" width="11.42578125" style="199"/>
    <col min="6144" max="6144" width="1.5703125" style="199" customWidth="1"/>
    <col min="6145" max="6145" width="21.140625" style="199" customWidth="1"/>
    <col min="6146" max="6146" width="7.140625" style="199" customWidth="1"/>
    <col min="6147" max="6147" width="36.7109375" style="199" bestFit="1" customWidth="1"/>
    <col min="6148" max="6149" width="9.28515625" style="199" bestFit="1" customWidth="1"/>
    <col min="6150" max="6150" width="12" style="199" customWidth="1"/>
    <col min="6151" max="6151" width="8.42578125" style="199" bestFit="1" customWidth="1"/>
    <col min="6152" max="6152" width="9" style="199" customWidth="1"/>
    <col min="6153" max="6153" width="11.7109375" style="199" customWidth="1"/>
    <col min="6154" max="6154" width="9.28515625" style="199" bestFit="1" customWidth="1"/>
    <col min="6155" max="6155" width="8.42578125" style="199" bestFit="1" customWidth="1"/>
    <col min="6156" max="6156" width="11.7109375" style="199" customWidth="1"/>
    <col min="6157" max="6158" width="8.42578125" style="199" bestFit="1" customWidth="1"/>
    <col min="6159" max="6159" width="11.7109375" style="199" customWidth="1"/>
    <col min="6160" max="6160" width="9" style="199" customWidth="1"/>
    <col min="6161" max="6161" width="8.42578125" style="199" bestFit="1" customWidth="1"/>
    <col min="6162" max="6162" width="11.7109375" style="199" customWidth="1"/>
    <col min="6163" max="6164" width="8.42578125" style="199" bestFit="1" customWidth="1"/>
    <col min="6165" max="6165" width="11.7109375" style="199" customWidth="1"/>
    <col min="6166" max="6167" width="9" style="199" customWidth="1"/>
    <col min="6168" max="6168" width="12" style="199" customWidth="1"/>
    <col min="6169" max="6169" width="9" style="199" bestFit="1" customWidth="1"/>
    <col min="6170" max="6170" width="8" style="199" bestFit="1" customWidth="1"/>
    <col min="6171" max="6171" width="11.7109375" style="199" customWidth="1"/>
    <col min="6172" max="6399" width="11.42578125" style="199"/>
    <col min="6400" max="6400" width="1.5703125" style="199" customWidth="1"/>
    <col min="6401" max="6401" width="21.140625" style="199" customWidth="1"/>
    <col min="6402" max="6402" width="7.140625" style="199" customWidth="1"/>
    <col min="6403" max="6403" width="36.7109375" style="199" bestFit="1" customWidth="1"/>
    <col min="6404" max="6405" width="9.28515625" style="199" bestFit="1" customWidth="1"/>
    <col min="6406" max="6406" width="12" style="199" customWidth="1"/>
    <col min="6407" max="6407" width="8.42578125" style="199" bestFit="1" customWidth="1"/>
    <col min="6408" max="6408" width="9" style="199" customWidth="1"/>
    <col min="6409" max="6409" width="11.7109375" style="199" customWidth="1"/>
    <col min="6410" max="6410" width="9.28515625" style="199" bestFit="1" customWidth="1"/>
    <col min="6411" max="6411" width="8.42578125" style="199" bestFit="1" customWidth="1"/>
    <col min="6412" max="6412" width="11.7109375" style="199" customWidth="1"/>
    <col min="6413" max="6414" width="8.42578125" style="199" bestFit="1" customWidth="1"/>
    <col min="6415" max="6415" width="11.7109375" style="199" customWidth="1"/>
    <col min="6416" max="6416" width="9" style="199" customWidth="1"/>
    <col min="6417" max="6417" width="8.42578125" style="199" bestFit="1" customWidth="1"/>
    <col min="6418" max="6418" width="11.7109375" style="199" customWidth="1"/>
    <col min="6419" max="6420" width="8.42578125" style="199" bestFit="1" customWidth="1"/>
    <col min="6421" max="6421" width="11.7109375" style="199" customWidth="1"/>
    <col min="6422" max="6423" width="9" style="199" customWidth="1"/>
    <col min="6424" max="6424" width="12" style="199" customWidth="1"/>
    <col min="6425" max="6425" width="9" style="199" bestFit="1" customWidth="1"/>
    <col min="6426" max="6426" width="8" style="199" bestFit="1" customWidth="1"/>
    <col min="6427" max="6427" width="11.7109375" style="199" customWidth="1"/>
    <col min="6428" max="6655" width="11.42578125" style="199"/>
    <col min="6656" max="6656" width="1.5703125" style="199" customWidth="1"/>
    <col min="6657" max="6657" width="21.140625" style="199" customWidth="1"/>
    <col min="6658" max="6658" width="7.140625" style="199" customWidth="1"/>
    <col min="6659" max="6659" width="36.7109375" style="199" bestFit="1" customWidth="1"/>
    <col min="6660" max="6661" width="9.28515625" style="199" bestFit="1" customWidth="1"/>
    <col min="6662" max="6662" width="12" style="199" customWidth="1"/>
    <col min="6663" max="6663" width="8.42578125" style="199" bestFit="1" customWidth="1"/>
    <col min="6664" max="6664" width="9" style="199" customWidth="1"/>
    <col min="6665" max="6665" width="11.7109375" style="199" customWidth="1"/>
    <col min="6666" max="6666" width="9.28515625" style="199" bestFit="1" customWidth="1"/>
    <col min="6667" max="6667" width="8.42578125" style="199" bestFit="1" customWidth="1"/>
    <col min="6668" max="6668" width="11.7109375" style="199" customWidth="1"/>
    <col min="6669" max="6670" width="8.42578125" style="199" bestFit="1" customWidth="1"/>
    <col min="6671" max="6671" width="11.7109375" style="199" customWidth="1"/>
    <col min="6672" max="6672" width="9" style="199" customWidth="1"/>
    <col min="6673" max="6673" width="8.42578125" style="199" bestFit="1" customWidth="1"/>
    <col min="6674" max="6674" width="11.7109375" style="199" customWidth="1"/>
    <col min="6675" max="6676" width="8.42578125" style="199" bestFit="1" customWidth="1"/>
    <col min="6677" max="6677" width="11.7109375" style="199" customWidth="1"/>
    <col min="6678" max="6679" width="9" style="199" customWidth="1"/>
    <col min="6680" max="6680" width="12" style="199" customWidth="1"/>
    <col min="6681" max="6681" width="9" style="199" bestFit="1" customWidth="1"/>
    <col min="6682" max="6682" width="8" style="199" bestFit="1" customWidth="1"/>
    <col min="6683" max="6683" width="11.7109375" style="199" customWidth="1"/>
    <col min="6684" max="6911" width="11.42578125" style="199"/>
    <col min="6912" max="6912" width="1.5703125" style="199" customWidth="1"/>
    <col min="6913" max="6913" width="21.140625" style="199" customWidth="1"/>
    <col min="6914" max="6914" width="7.140625" style="199" customWidth="1"/>
    <col min="6915" max="6915" width="36.7109375" style="199" bestFit="1" customWidth="1"/>
    <col min="6916" max="6917" width="9.28515625" style="199" bestFit="1" customWidth="1"/>
    <col min="6918" max="6918" width="12" style="199" customWidth="1"/>
    <col min="6919" max="6919" width="8.42578125" style="199" bestFit="1" customWidth="1"/>
    <col min="6920" max="6920" width="9" style="199" customWidth="1"/>
    <col min="6921" max="6921" width="11.7109375" style="199" customWidth="1"/>
    <col min="6922" max="6922" width="9.28515625" style="199" bestFit="1" customWidth="1"/>
    <col min="6923" max="6923" width="8.42578125" style="199" bestFit="1" customWidth="1"/>
    <col min="6924" max="6924" width="11.7109375" style="199" customWidth="1"/>
    <col min="6925" max="6926" width="8.42578125" style="199" bestFit="1" customWidth="1"/>
    <col min="6927" max="6927" width="11.7109375" style="199" customWidth="1"/>
    <col min="6928" max="6928" width="9" style="199" customWidth="1"/>
    <col min="6929" max="6929" width="8.42578125" style="199" bestFit="1" customWidth="1"/>
    <col min="6930" max="6930" width="11.7109375" style="199" customWidth="1"/>
    <col min="6931" max="6932" width="8.42578125" style="199" bestFit="1" customWidth="1"/>
    <col min="6933" max="6933" width="11.7109375" style="199" customWidth="1"/>
    <col min="6934" max="6935" width="9" style="199" customWidth="1"/>
    <col min="6936" max="6936" width="12" style="199" customWidth="1"/>
    <col min="6937" max="6937" width="9" style="199" bestFit="1" customWidth="1"/>
    <col min="6938" max="6938" width="8" style="199" bestFit="1" customWidth="1"/>
    <col min="6939" max="6939" width="11.7109375" style="199" customWidth="1"/>
    <col min="6940" max="7167" width="11.42578125" style="199"/>
    <col min="7168" max="7168" width="1.5703125" style="199" customWidth="1"/>
    <col min="7169" max="7169" width="21.140625" style="199" customWidth="1"/>
    <col min="7170" max="7170" width="7.140625" style="199" customWidth="1"/>
    <col min="7171" max="7171" width="36.7109375" style="199" bestFit="1" customWidth="1"/>
    <col min="7172" max="7173" width="9.28515625" style="199" bestFit="1" customWidth="1"/>
    <col min="7174" max="7174" width="12" style="199" customWidth="1"/>
    <col min="7175" max="7175" width="8.42578125" style="199" bestFit="1" customWidth="1"/>
    <col min="7176" max="7176" width="9" style="199" customWidth="1"/>
    <col min="7177" max="7177" width="11.7109375" style="199" customWidth="1"/>
    <col min="7178" max="7178" width="9.28515625" style="199" bestFit="1" customWidth="1"/>
    <col min="7179" max="7179" width="8.42578125" style="199" bestFit="1" customWidth="1"/>
    <col min="7180" max="7180" width="11.7109375" style="199" customWidth="1"/>
    <col min="7181" max="7182" width="8.42578125" style="199" bestFit="1" customWidth="1"/>
    <col min="7183" max="7183" width="11.7109375" style="199" customWidth="1"/>
    <col min="7184" max="7184" width="9" style="199" customWidth="1"/>
    <col min="7185" max="7185" width="8.42578125" style="199" bestFit="1" customWidth="1"/>
    <col min="7186" max="7186" width="11.7109375" style="199" customWidth="1"/>
    <col min="7187" max="7188" width="8.42578125" style="199" bestFit="1" customWidth="1"/>
    <col min="7189" max="7189" width="11.7109375" style="199" customWidth="1"/>
    <col min="7190" max="7191" width="9" style="199" customWidth="1"/>
    <col min="7192" max="7192" width="12" style="199" customWidth="1"/>
    <col min="7193" max="7193" width="9" style="199" bestFit="1" customWidth="1"/>
    <col min="7194" max="7194" width="8" style="199" bestFit="1" customWidth="1"/>
    <col min="7195" max="7195" width="11.7109375" style="199" customWidth="1"/>
    <col min="7196" max="7423" width="11.42578125" style="199"/>
    <col min="7424" max="7424" width="1.5703125" style="199" customWidth="1"/>
    <col min="7425" max="7425" width="21.140625" style="199" customWidth="1"/>
    <col min="7426" max="7426" width="7.140625" style="199" customWidth="1"/>
    <col min="7427" max="7427" width="36.7109375" style="199" bestFit="1" customWidth="1"/>
    <col min="7428" max="7429" width="9.28515625" style="199" bestFit="1" customWidth="1"/>
    <col min="7430" max="7430" width="12" style="199" customWidth="1"/>
    <col min="7431" max="7431" width="8.42578125" style="199" bestFit="1" customWidth="1"/>
    <col min="7432" max="7432" width="9" style="199" customWidth="1"/>
    <col min="7433" max="7433" width="11.7109375" style="199" customWidth="1"/>
    <col min="7434" max="7434" width="9.28515625" style="199" bestFit="1" customWidth="1"/>
    <col min="7435" max="7435" width="8.42578125" style="199" bestFit="1" customWidth="1"/>
    <col min="7436" max="7436" width="11.7109375" style="199" customWidth="1"/>
    <col min="7437" max="7438" width="8.42578125" style="199" bestFit="1" customWidth="1"/>
    <col min="7439" max="7439" width="11.7109375" style="199" customWidth="1"/>
    <col min="7440" max="7440" width="9" style="199" customWidth="1"/>
    <col min="7441" max="7441" width="8.42578125" style="199" bestFit="1" customWidth="1"/>
    <col min="7442" max="7442" width="11.7109375" style="199" customWidth="1"/>
    <col min="7443" max="7444" width="8.42578125" style="199" bestFit="1" customWidth="1"/>
    <col min="7445" max="7445" width="11.7109375" style="199" customWidth="1"/>
    <col min="7446" max="7447" width="9" style="199" customWidth="1"/>
    <col min="7448" max="7448" width="12" style="199" customWidth="1"/>
    <col min="7449" max="7449" width="9" style="199" bestFit="1" customWidth="1"/>
    <col min="7450" max="7450" width="8" style="199" bestFit="1" customWidth="1"/>
    <col min="7451" max="7451" width="11.7109375" style="199" customWidth="1"/>
    <col min="7452" max="7679" width="11.42578125" style="199"/>
    <col min="7680" max="7680" width="1.5703125" style="199" customWidth="1"/>
    <col min="7681" max="7681" width="21.140625" style="199" customWidth="1"/>
    <col min="7682" max="7682" width="7.140625" style="199" customWidth="1"/>
    <col min="7683" max="7683" width="36.7109375" style="199" bestFit="1" customWidth="1"/>
    <col min="7684" max="7685" width="9.28515625" style="199" bestFit="1" customWidth="1"/>
    <col min="7686" max="7686" width="12" style="199" customWidth="1"/>
    <col min="7687" max="7687" width="8.42578125" style="199" bestFit="1" customWidth="1"/>
    <col min="7688" max="7688" width="9" style="199" customWidth="1"/>
    <col min="7689" max="7689" width="11.7109375" style="199" customWidth="1"/>
    <col min="7690" max="7690" width="9.28515625" style="199" bestFit="1" customWidth="1"/>
    <col min="7691" max="7691" width="8.42578125" style="199" bestFit="1" customWidth="1"/>
    <col min="7692" max="7692" width="11.7109375" style="199" customWidth="1"/>
    <col min="7693" max="7694" width="8.42578125" style="199" bestFit="1" customWidth="1"/>
    <col min="7695" max="7695" width="11.7109375" style="199" customWidth="1"/>
    <col min="7696" max="7696" width="9" style="199" customWidth="1"/>
    <col min="7697" max="7697" width="8.42578125" style="199" bestFit="1" customWidth="1"/>
    <col min="7698" max="7698" width="11.7109375" style="199" customWidth="1"/>
    <col min="7699" max="7700" width="8.42578125" style="199" bestFit="1" customWidth="1"/>
    <col min="7701" max="7701" width="11.7109375" style="199" customWidth="1"/>
    <col min="7702" max="7703" width="9" style="199" customWidth="1"/>
    <col min="7704" max="7704" width="12" style="199" customWidth="1"/>
    <col min="7705" max="7705" width="9" style="199" bestFit="1" customWidth="1"/>
    <col min="7706" max="7706" width="8" style="199" bestFit="1" customWidth="1"/>
    <col min="7707" max="7707" width="11.7109375" style="199" customWidth="1"/>
    <col min="7708" max="7935" width="11.42578125" style="199"/>
    <col min="7936" max="7936" width="1.5703125" style="199" customWidth="1"/>
    <col min="7937" max="7937" width="21.140625" style="199" customWidth="1"/>
    <col min="7938" max="7938" width="7.140625" style="199" customWidth="1"/>
    <col min="7939" max="7939" width="36.7109375" style="199" bestFit="1" customWidth="1"/>
    <col min="7940" max="7941" width="9.28515625" style="199" bestFit="1" customWidth="1"/>
    <col min="7942" max="7942" width="12" style="199" customWidth="1"/>
    <col min="7943" max="7943" width="8.42578125" style="199" bestFit="1" customWidth="1"/>
    <col min="7944" max="7944" width="9" style="199" customWidth="1"/>
    <col min="7945" max="7945" width="11.7109375" style="199" customWidth="1"/>
    <col min="7946" max="7946" width="9.28515625" style="199" bestFit="1" customWidth="1"/>
    <col min="7947" max="7947" width="8.42578125" style="199" bestFit="1" customWidth="1"/>
    <col min="7948" max="7948" width="11.7109375" style="199" customWidth="1"/>
    <col min="7949" max="7950" width="8.42578125" style="199" bestFit="1" customWidth="1"/>
    <col min="7951" max="7951" width="11.7109375" style="199" customWidth="1"/>
    <col min="7952" max="7952" width="9" style="199" customWidth="1"/>
    <col min="7953" max="7953" width="8.42578125" style="199" bestFit="1" customWidth="1"/>
    <col min="7954" max="7954" width="11.7109375" style="199" customWidth="1"/>
    <col min="7955" max="7956" width="8.42578125" style="199" bestFit="1" customWidth="1"/>
    <col min="7957" max="7957" width="11.7109375" style="199" customWidth="1"/>
    <col min="7958" max="7959" width="9" style="199" customWidth="1"/>
    <col min="7960" max="7960" width="12" style="199" customWidth="1"/>
    <col min="7961" max="7961" width="9" style="199" bestFit="1" customWidth="1"/>
    <col min="7962" max="7962" width="8" style="199" bestFit="1" customWidth="1"/>
    <col min="7963" max="7963" width="11.7109375" style="199" customWidth="1"/>
    <col min="7964" max="8191" width="11.42578125" style="199"/>
    <col min="8192" max="8192" width="1.5703125" style="199" customWidth="1"/>
    <col min="8193" max="8193" width="21.140625" style="199" customWidth="1"/>
    <col min="8194" max="8194" width="7.140625" style="199" customWidth="1"/>
    <col min="8195" max="8195" width="36.7109375" style="199" bestFit="1" customWidth="1"/>
    <col min="8196" max="8197" width="9.28515625" style="199" bestFit="1" customWidth="1"/>
    <col min="8198" max="8198" width="12" style="199" customWidth="1"/>
    <col min="8199" max="8199" width="8.42578125" style="199" bestFit="1" customWidth="1"/>
    <col min="8200" max="8200" width="9" style="199" customWidth="1"/>
    <col min="8201" max="8201" width="11.7109375" style="199" customWidth="1"/>
    <col min="8202" max="8202" width="9.28515625" style="199" bestFit="1" customWidth="1"/>
    <col min="8203" max="8203" width="8.42578125" style="199" bestFit="1" customWidth="1"/>
    <col min="8204" max="8204" width="11.7109375" style="199" customWidth="1"/>
    <col min="8205" max="8206" width="8.42578125" style="199" bestFit="1" customWidth="1"/>
    <col min="8207" max="8207" width="11.7109375" style="199" customWidth="1"/>
    <col min="8208" max="8208" width="9" style="199" customWidth="1"/>
    <col min="8209" max="8209" width="8.42578125" style="199" bestFit="1" customWidth="1"/>
    <col min="8210" max="8210" width="11.7109375" style="199" customWidth="1"/>
    <col min="8211" max="8212" width="8.42578125" style="199" bestFit="1" customWidth="1"/>
    <col min="8213" max="8213" width="11.7109375" style="199" customWidth="1"/>
    <col min="8214" max="8215" width="9" style="199" customWidth="1"/>
    <col min="8216" max="8216" width="12" style="199" customWidth="1"/>
    <col min="8217" max="8217" width="9" style="199" bestFit="1" customWidth="1"/>
    <col min="8218" max="8218" width="8" style="199" bestFit="1" customWidth="1"/>
    <col min="8219" max="8219" width="11.7109375" style="199" customWidth="1"/>
    <col min="8220" max="8447" width="11.42578125" style="199"/>
    <col min="8448" max="8448" width="1.5703125" style="199" customWidth="1"/>
    <col min="8449" max="8449" width="21.140625" style="199" customWidth="1"/>
    <col min="8450" max="8450" width="7.140625" style="199" customWidth="1"/>
    <col min="8451" max="8451" width="36.7109375" style="199" bestFit="1" customWidth="1"/>
    <col min="8452" max="8453" width="9.28515625" style="199" bestFit="1" customWidth="1"/>
    <col min="8454" max="8454" width="12" style="199" customWidth="1"/>
    <col min="8455" max="8455" width="8.42578125" style="199" bestFit="1" customWidth="1"/>
    <col min="8456" max="8456" width="9" style="199" customWidth="1"/>
    <col min="8457" max="8457" width="11.7109375" style="199" customWidth="1"/>
    <col min="8458" max="8458" width="9.28515625" style="199" bestFit="1" customWidth="1"/>
    <col min="8459" max="8459" width="8.42578125" style="199" bestFit="1" customWidth="1"/>
    <col min="8460" max="8460" width="11.7109375" style="199" customWidth="1"/>
    <col min="8461" max="8462" width="8.42578125" style="199" bestFit="1" customWidth="1"/>
    <col min="8463" max="8463" width="11.7109375" style="199" customWidth="1"/>
    <col min="8464" max="8464" width="9" style="199" customWidth="1"/>
    <col min="8465" max="8465" width="8.42578125" style="199" bestFit="1" customWidth="1"/>
    <col min="8466" max="8466" width="11.7109375" style="199" customWidth="1"/>
    <col min="8467" max="8468" width="8.42578125" style="199" bestFit="1" customWidth="1"/>
    <col min="8469" max="8469" width="11.7109375" style="199" customWidth="1"/>
    <col min="8470" max="8471" width="9" style="199" customWidth="1"/>
    <col min="8472" max="8472" width="12" style="199" customWidth="1"/>
    <col min="8473" max="8473" width="9" style="199" bestFit="1" customWidth="1"/>
    <col min="8474" max="8474" width="8" style="199" bestFit="1" customWidth="1"/>
    <col min="8475" max="8475" width="11.7109375" style="199" customWidth="1"/>
    <col min="8476" max="8703" width="11.42578125" style="199"/>
    <col min="8704" max="8704" width="1.5703125" style="199" customWidth="1"/>
    <col min="8705" max="8705" width="21.140625" style="199" customWidth="1"/>
    <col min="8706" max="8706" width="7.140625" style="199" customWidth="1"/>
    <col min="8707" max="8707" width="36.7109375" style="199" bestFit="1" customWidth="1"/>
    <col min="8708" max="8709" width="9.28515625" style="199" bestFit="1" customWidth="1"/>
    <col min="8710" max="8710" width="12" style="199" customWidth="1"/>
    <col min="8711" max="8711" width="8.42578125" style="199" bestFit="1" customWidth="1"/>
    <col min="8712" max="8712" width="9" style="199" customWidth="1"/>
    <col min="8713" max="8713" width="11.7109375" style="199" customWidth="1"/>
    <col min="8714" max="8714" width="9.28515625" style="199" bestFit="1" customWidth="1"/>
    <col min="8715" max="8715" width="8.42578125" style="199" bestFit="1" customWidth="1"/>
    <col min="8716" max="8716" width="11.7109375" style="199" customWidth="1"/>
    <col min="8717" max="8718" width="8.42578125" style="199" bestFit="1" customWidth="1"/>
    <col min="8719" max="8719" width="11.7109375" style="199" customWidth="1"/>
    <col min="8720" max="8720" width="9" style="199" customWidth="1"/>
    <col min="8721" max="8721" width="8.42578125" style="199" bestFit="1" customWidth="1"/>
    <col min="8722" max="8722" width="11.7109375" style="199" customWidth="1"/>
    <col min="8723" max="8724" width="8.42578125" style="199" bestFit="1" customWidth="1"/>
    <col min="8725" max="8725" width="11.7109375" style="199" customWidth="1"/>
    <col min="8726" max="8727" width="9" style="199" customWidth="1"/>
    <col min="8728" max="8728" width="12" style="199" customWidth="1"/>
    <col min="8729" max="8729" width="9" style="199" bestFit="1" customWidth="1"/>
    <col min="8730" max="8730" width="8" style="199" bestFit="1" customWidth="1"/>
    <col min="8731" max="8731" width="11.7109375" style="199" customWidth="1"/>
    <col min="8732" max="8959" width="11.42578125" style="199"/>
    <col min="8960" max="8960" width="1.5703125" style="199" customWidth="1"/>
    <col min="8961" max="8961" width="21.140625" style="199" customWidth="1"/>
    <col min="8962" max="8962" width="7.140625" style="199" customWidth="1"/>
    <col min="8963" max="8963" width="36.7109375" style="199" bestFit="1" customWidth="1"/>
    <col min="8964" max="8965" width="9.28515625" style="199" bestFit="1" customWidth="1"/>
    <col min="8966" max="8966" width="12" style="199" customWidth="1"/>
    <col min="8967" max="8967" width="8.42578125" style="199" bestFit="1" customWidth="1"/>
    <col min="8968" max="8968" width="9" style="199" customWidth="1"/>
    <col min="8969" max="8969" width="11.7109375" style="199" customWidth="1"/>
    <col min="8970" max="8970" width="9.28515625" style="199" bestFit="1" customWidth="1"/>
    <col min="8971" max="8971" width="8.42578125" style="199" bestFit="1" customWidth="1"/>
    <col min="8972" max="8972" width="11.7109375" style="199" customWidth="1"/>
    <col min="8973" max="8974" width="8.42578125" style="199" bestFit="1" customWidth="1"/>
    <col min="8975" max="8975" width="11.7109375" style="199" customWidth="1"/>
    <col min="8976" max="8976" width="9" style="199" customWidth="1"/>
    <col min="8977" max="8977" width="8.42578125" style="199" bestFit="1" customWidth="1"/>
    <col min="8978" max="8978" width="11.7109375" style="199" customWidth="1"/>
    <col min="8979" max="8980" width="8.42578125" style="199" bestFit="1" customWidth="1"/>
    <col min="8981" max="8981" width="11.7109375" style="199" customWidth="1"/>
    <col min="8982" max="8983" width="9" style="199" customWidth="1"/>
    <col min="8984" max="8984" width="12" style="199" customWidth="1"/>
    <col min="8985" max="8985" width="9" style="199" bestFit="1" customWidth="1"/>
    <col min="8986" max="8986" width="8" style="199" bestFit="1" customWidth="1"/>
    <col min="8987" max="8987" width="11.7109375" style="199" customWidth="1"/>
    <col min="8988" max="9215" width="11.42578125" style="199"/>
    <col min="9216" max="9216" width="1.5703125" style="199" customWidth="1"/>
    <col min="9217" max="9217" width="21.140625" style="199" customWidth="1"/>
    <col min="9218" max="9218" width="7.140625" style="199" customWidth="1"/>
    <col min="9219" max="9219" width="36.7109375" style="199" bestFit="1" customWidth="1"/>
    <col min="9220" max="9221" width="9.28515625" style="199" bestFit="1" customWidth="1"/>
    <col min="9222" max="9222" width="12" style="199" customWidth="1"/>
    <col min="9223" max="9223" width="8.42578125" style="199" bestFit="1" customWidth="1"/>
    <col min="9224" max="9224" width="9" style="199" customWidth="1"/>
    <col min="9225" max="9225" width="11.7109375" style="199" customWidth="1"/>
    <col min="9226" max="9226" width="9.28515625" style="199" bestFit="1" customWidth="1"/>
    <col min="9227" max="9227" width="8.42578125" style="199" bestFit="1" customWidth="1"/>
    <col min="9228" max="9228" width="11.7109375" style="199" customWidth="1"/>
    <col min="9229" max="9230" width="8.42578125" style="199" bestFit="1" customWidth="1"/>
    <col min="9231" max="9231" width="11.7109375" style="199" customWidth="1"/>
    <col min="9232" max="9232" width="9" style="199" customWidth="1"/>
    <col min="9233" max="9233" width="8.42578125" style="199" bestFit="1" customWidth="1"/>
    <col min="9234" max="9234" width="11.7109375" style="199" customWidth="1"/>
    <col min="9235" max="9236" width="8.42578125" style="199" bestFit="1" customWidth="1"/>
    <col min="9237" max="9237" width="11.7109375" style="199" customWidth="1"/>
    <col min="9238" max="9239" width="9" style="199" customWidth="1"/>
    <col min="9240" max="9240" width="12" style="199" customWidth="1"/>
    <col min="9241" max="9241" width="9" style="199" bestFit="1" customWidth="1"/>
    <col min="9242" max="9242" width="8" style="199" bestFit="1" customWidth="1"/>
    <col min="9243" max="9243" width="11.7109375" style="199" customWidth="1"/>
    <col min="9244" max="9471" width="11.42578125" style="199"/>
    <col min="9472" max="9472" width="1.5703125" style="199" customWidth="1"/>
    <col min="9473" max="9473" width="21.140625" style="199" customWidth="1"/>
    <col min="9474" max="9474" width="7.140625" style="199" customWidth="1"/>
    <col min="9475" max="9475" width="36.7109375" style="199" bestFit="1" customWidth="1"/>
    <col min="9476" max="9477" width="9.28515625" style="199" bestFit="1" customWidth="1"/>
    <col min="9478" max="9478" width="12" style="199" customWidth="1"/>
    <col min="9479" max="9479" width="8.42578125" style="199" bestFit="1" customWidth="1"/>
    <col min="9480" max="9480" width="9" style="199" customWidth="1"/>
    <col min="9481" max="9481" width="11.7109375" style="199" customWidth="1"/>
    <col min="9482" max="9482" width="9.28515625" style="199" bestFit="1" customWidth="1"/>
    <col min="9483" max="9483" width="8.42578125" style="199" bestFit="1" customWidth="1"/>
    <col min="9484" max="9484" width="11.7109375" style="199" customWidth="1"/>
    <col min="9485" max="9486" width="8.42578125" style="199" bestFit="1" customWidth="1"/>
    <col min="9487" max="9487" width="11.7109375" style="199" customWidth="1"/>
    <col min="9488" max="9488" width="9" style="199" customWidth="1"/>
    <col min="9489" max="9489" width="8.42578125" style="199" bestFit="1" customWidth="1"/>
    <col min="9490" max="9490" width="11.7109375" style="199" customWidth="1"/>
    <col min="9491" max="9492" width="8.42578125" style="199" bestFit="1" customWidth="1"/>
    <col min="9493" max="9493" width="11.7109375" style="199" customWidth="1"/>
    <col min="9494" max="9495" width="9" style="199" customWidth="1"/>
    <col min="9496" max="9496" width="12" style="199" customWidth="1"/>
    <col min="9497" max="9497" width="9" style="199" bestFit="1" customWidth="1"/>
    <col min="9498" max="9498" width="8" style="199" bestFit="1" customWidth="1"/>
    <col min="9499" max="9499" width="11.7109375" style="199" customWidth="1"/>
    <col min="9500" max="9727" width="11.42578125" style="199"/>
    <col min="9728" max="9728" width="1.5703125" style="199" customWidth="1"/>
    <col min="9729" max="9729" width="21.140625" style="199" customWidth="1"/>
    <col min="9730" max="9730" width="7.140625" style="199" customWidth="1"/>
    <col min="9731" max="9731" width="36.7109375" style="199" bestFit="1" customWidth="1"/>
    <col min="9732" max="9733" width="9.28515625" style="199" bestFit="1" customWidth="1"/>
    <col min="9734" max="9734" width="12" style="199" customWidth="1"/>
    <col min="9735" max="9735" width="8.42578125" style="199" bestFit="1" customWidth="1"/>
    <col min="9736" max="9736" width="9" style="199" customWidth="1"/>
    <col min="9737" max="9737" width="11.7109375" style="199" customWidth="1"/>
    <col min="9738" max="9738" width="9.28515625" style="199" bestFit="1" customWidth="1"/>
    <col min="9739" max="9739" width="8.42578125" style="199" bestFit="1" customWidth="1"/>
    <col min="9740" max="9740" width="11.7109375" style="199" customWidth="1"/>
    <col min="9741" max="9742" width="8.42578125" style="199" bestFit="1" customWidth="1"/>
    <col min="9743" max="9743" width="11.7109375" style="199" customWidth="1"/>
    <col min="9744" max="9744" width="9" style="199" customWidth="1"/>
    <col min="9745" max="9745" width="8.42578125" style="199" bestFit="1" customWidth="1"/>
    <col min="9746" max="9746" width="11.7109375" style="199" customWidth="1"/>
    <col min="9747" max="9748" width="8.42578125" style="199" bestFit="1" customWidth="1"/>
    <col min="9749" max="9749" width="11.7109375" style="199" customWidth="1"/>
    <col min="9750" max="9751" width="9" style="199" customWidth="1"/>
    <col min="9752" max="9752" width="12" style="199" customWidth="1"/>
    <col min="9753" max="9753" width="9" style="199" bestFit="1" customWidth="1"/>
    <col min="9754" max="9754" width="8" style="199" bestFit="1" customWidth="1"/>
    <col min="9755" max="9755" width="11.7109375" style="199" customWidth="1"/>
    <col min="9756" max="9983" width="11.42578125" style="199"/>
    <col min="9984" max="9984" width="1.5703125" style="199" customWidth="1"/>
    <col min="9985" max="9985" width="21.140625" style="199" customWidth="1"/>
    <col min="9986" max="9986" width="7.140625" style="199" customWidth="1"/>
    <col min="9987" max="9987" width="36.7109375" style="199" bestFit="1" customWidth="1"/>
    <col min="9988" max="9989" width="9.28515625" style="199" bestFit="1" customWidth="1"/>
    <col min="9990" max="9990" width="12" style="199" customWidth="1"/>
    <col min="9991" max="9991" width="8.42578125" style="199" bestFit="1" customWidth="1"/>
    <col min="9992" max="9992" width="9" style="199" customWidth="1"/>
    <col min="9993" max="9993" width="11.7109375" style="199" customWidth="1"/>
    <col min="9994" max="9994" width="9.28515625" style="199" bestFit="1" customWidth="1"/>
    <col min="9995" max="9995" width="8.42578125" style="199" bestFit="1" customWidth="1"/>
    <col min="9996" max="9996" width="11.7109375" style="199" customWidth="1"/>
    <col min="9997" max="9998" width="8.42578125" style="199" bestFit="1" customWidth="1"/>
    <col min="9999" max="9999" width="11.7109375" style="199" customWidth="1"/>
    <col min="10000" max="10000" width="9" style="199" customWidth="1"/>
    <col min="10001" max="10001" width="8.42578125" style="199" bestFit="1" customWidth="1"/>
    <col min="10002" max="10002" width="11.7109375" style="199" customWidth="1"/>
    <col min="10003" max="10004" width="8.42578125" style="199" bestFit="1" customWidth="1"/>
    <col min="10005" max="10005" width="11.7109375" style="199" customWidth="1"/>
    <col min="10006" max="10007" width="9" style="199" customWidth="1"/>
    <col min="10008" max="10008" width="12" style="199" customWidth="1"/>
    <col min="10009" max="10009" width="9" style="199" bestFit="1" customWidth="1"/>
    <col min="10010" max="10010" width="8" style="199" bestFit="1" customWidth="1"/>
    <col min="10011" max="10011" width="11.7109375" style="199" customWidth="1"/>
    <col min="10012" max="10239" width="11.42578125" style="199"/>
    <col min="10240" max="10240" width="1.5703125" style="199" customWidth="1"/>
    <col min="10241" max="10241" width="21.140625" style="199" customWidth="1"/>
    <col min="10242" max="10242" width="7.140625" style="199" customWidth="1"/>
    <col min="10243" max="10243" width="36.7109375" style="199" bestFit="1" customWidth="1"/>
    <col min="10244" max="10245" width="9.28515625" style="199" bestFit="1" customWidth="1"/>
    <col min="10246" max="10246" width="12" style="199" customWidth="1"/>
    <col min="10247" max="10247" width="8.42578125" style="199" bestFit="1" customWidth="1"/>
    <col min="10248" max="10248" width="9" style="199" customWidth="1"/>
    <col min="10249" max="10249" width="11.7109375" style="199" customWidth="1"/>
    <col min="10250" max="10250" width="9.28515625" style="199" bestFit="1" customWidth="1"/>
    <col min="10251" max="10251" width="8.42578125" style="199" bestFit="1" customWidth="1"/>
    <col min="10252" max="10252" width="11.7109375" style="199" customWidth="1"/>
    <col min="10253" max="10254" width="8.42578125" style="199" bestFit="1" customWidth="1"/>
    <col min="10255" max="10255" width="11.7109375" style="199" customWidth="1"/>
    <col min="10256" max="10256" width="9" style="199" customWidth="1"/>
    <col min="10257" max="10257" width="8.42578125" style="199" bestFit="1" customWidth="1"/>
    <col min="10258" max="10258" width="11.7109375" style="199" customWidth="1"/>
    <col min="10259" max="10260" width="8.42578125" style="199" bestFit="1" customWidth="1"/>
    <col min="10261" max="10261" width="11.7109375" style="199" customWidth="1"/>
    <col min="10262" max="10263" width="9" style="199" customWidth="1"/>
    <col min="10264" max="10264" width="12" style="199" customWidth="1"/>
    <col min="10265" max="10265" width="9" style="199" bestFit="1" customWidth="1"/>
    <col min="10266" max="10266" width="8" style="199" bestFit="1" customWidth="1"/>
    <col min="10267" max="10267" width="11.7109375" style="199" customWidth="1"/>
    <col min="10268" max="10495" width="11.42578125" style="199"/>
    <col min="10496" max="10496" width="1.5703125" style="199" customWidth="1"/>
    <col min="10497" max="10497" width="21.140625" style="199" customWidth="1"/>
    <col min="10498" max="10498" width="7.140625" style="199" customWidth="1"/>
    <col min="10499" max="10499" width="36.7109375" style="199" bestFit="1" customWidth="1"/>
    <col min="10500" max="10501" width="9.28515625" style="199" bestFit="1" customWidth="1"/>
    <col min="10502" max="10502" width="12" style="199" customWidth="1"/>
    <col min="10503" max="10503" width="8.42578125" style="199" bestFit="1" customWidth="1"/>
    <col min="10504" max="10504" width="9" style="199" customWidth="1"/>
    <col min="10505" max="10505" width="11.7109375" style="199" customWidth="1"/>
    <col min="10506" max="10506" width="9.28515625" style="199" bestFit="1" customWidth="1"/>
    <col min="10507" max="10507" width="8.42578125" style="199" bestFit="1" customWidth="1"/>
    <col min="10508" max="10508" width="11.7109375" style="199" customWidth="1"/>
    <col min="10509" max="10510" width="8.42578125" style="199" bestFit="1" customWidth="1"/>
    <col min="10511" max="10511" width="11.7109375" style="199" customWidth="1"/>
    <col min="10512" max="10512" width="9" style="199" customWidth="1"/>
    <col min="10513" max="10513" width="8.42578125" style="199" bestFit="1" customWidth="1"/>
    <col min="10514" max="10514" width="11.7109375" style="199" customWidth="1"/>
    <col min="10515" max="10516" width="8.42578125" style="199" bestFit="1" customWidth="1"/>
    <col min="10517" max="10517" width="11.7109375" style="199" customWidth="1"/>
    <col min="10518" max="10519" width="9" style="199" customWidth="1"/>
    <col min="10520" max="10520" width="12" style="199" customWidth="1"/>
    <col min="10521" max="10521" width="9" style="199" bestFit="1" customWidth="1"/>
    <col min="10522" max="10522" width="8" style="199" bestFit="1" customWidth="1"/>
    <col min="10523" max="10523" width="11.7109375" style="199" customWidth="1"/>
    <col min="10524" max="10751" width="11.42578125" style="199"/>
    <col min="10752" max="10752" width="1.5703125" style="199" customWidth="1"/>
    <col min="10753" max="10753" width="21.140625" style="199" customWidth="1"/>
    <col min="10754" max="10754" width="7.140625" style="199" customWidth="1"/>
    <col min="10755" max="10755" width="36.7109375" style="199" bestFit="1" customWidth="1"/>
    <col min="10756" max="10757" width="9.28515625" style="199" bestFit="1" customWidth="1"/>
    <col min="10758" max="10758" width="12" style="199" customWidth="1"/>
    <col min="10759" max="10759" width="8.42578125" style="199" bestFit="1" customWidth="1"/>
    <col min="10760" max="10760" width="9" style="199" customWidth="1"/>
    <col min="10761" max="10761" width="11.7109375" style="199" customWidth="1"/>
    <col min="10762" max="10762" width="9.28515625" style="199" bestFit="1" customWidth="1"/>
    <col min="10763" max="10763" width="8.42578125" style="199" bestFit="1" customWidth="1"/>
    <col min="10764" max="10764" width="11.7109375" style="199" customWidth="1"/>
    <col min="10765" max="10766" width="8.42578125" style="199" bestFit="1" customWidth="1"/>
    <col min="10767" max="10767" width="11.7109375" style="199" customWidth="1"/>
    <col min="10768" max="10768" width="9" style="199" customWidth="1"/>
    <col min="10769" max="10769" width="8.42578125" style="199" bestFit="1" customWidth="1"/>
    <col min="10770" max="10770" width="11.7109375" style="199" customWidth="1"/>
    <col min="10771" max="10772" width="8.42578125" style="199" bestFit="1" customWidth="1"/>
    <col min="10773" max="10773" width="11.7109375" style="199" customWidth="1"/>
    <col min="10774" max="10775" width="9" style="199" customWidth="1"/>
    <col min="10776" max="10776" width="12" style="199" customWidth="1"/>
    <col min="10777" max="10777" width="9" style="199" bestFit="1" customWidth="1"/>
    <col min="10778" max="10778" width="8" style="199" bestFit="1" customWidth="1"/>
    <col min="10779" max="10779" width="11.7109375" style="199" customWidth="1"/>
    <col min="10780" max="11007" width="11.42578125" style="199"/>
    <col min="11008" max="11008" width="1.5703125" style="199" customWidth="1"/>
    <col min="11009" max="11009" width="21.140625" style="199" customWidth="1"/>
    <col min="11010" max="11010" width="7.140625" style="199" customWidth="1"/>
    <col min="11011" max="11011" width="36.7109375" style="199" bestFit="1" customWidth="1"/>
    <col min="11012" max="11013" width="9.28515625" style="199" bestFit="1" customWidth="1"/>
    <col min="11014" max="11014" width="12" style="199" customWidth="1"/>
    <col min="11015" max="11015" width="8.42578125" style="199" bestFit="1" customWidth="1"/>
    <col min="11016" max="11016" width="9" style="199" customWidth="1"/>
    <col min="11017" max="11017" width="11.7109375" style="199" customWidth="1"/>
    <col min="11018" max="11018" width="9.28515625" style="199" bestFit="1" customWidth="1"/>
    <col min="11019" max="11019" width="8.42578125" style="199" bestFit="1" customWidth="1"/>
    <col min="11020" max="11020" width="11.7109375" style="199" customWidth="1"/>
    <col min="11021" max="11022" width="8.42578125" style="199" bestFit="1" customWidth="1"/>
    <col min="11023" max="11023" width="11.7109375" style="199" customWidth="1"/>
    <col min="11024" max="11024" width="9" style="199" customWidth="1"/>
    <col min="11025" max="11025" width="8.42578125" style="199" bestFit="1" customWidth="1"/>
    <col min="11026" max="11026" width="11.7109375" style="199" customWidth="1"/>
    <col min="11027" max="11028" width="8.42578125" style="199" bestFit="1" customWidth="1"/>
    <col min="11029" max="11029" width="11.7109375" style="199" customWidth="1"/>
    <col min="11030" max="11031" width="9" style="199" customWidth="1"/>
    <col min="11032" max="11032" width="12" style="199" customWidth="1"/>
    <col min="11033" max="11033" width="9" style="199" bestFit="1" customWidth="1"/>
    <col min="11034" max="11034" width="8" style="199" bestFit="1" customWidth="1"/>
    <col min="11035" max="11035" width="11.7109375" style="199" customWidth="1"/>
    <col min="11036" max="11263" width="11.42578125" style="199"/>
    <col min="11264" max="11264" width="1.5703125" style="199" customWidth="1"/>
    <col min="11265" max="11265" width="21.140625" style="199" customWidth="1"/>
    <col min="11266" max="11266" width="7.140625" style="199" customWidth="1"/>
    <col min="11267" max="11267" width="36.7109375" style="199" bestFit="1" customWidth="1"/>
    <col min="11268" max="11269" width="9.28515625" style="199" bestFit="1" customWidth="1"/>
    <col min="11270" max="11270" width="12" style="199" customWidth="1"/>
    <col min="11271" max="11271" width="8.42578125" style="199" bestFit="1" customWidth="1"/>
    <col min="11272" max="11272" width="9" style="199" customWidth="1"/>
    <col min="11273" max="11273" width="11.7109375" style="199" customWidth="1"/>
    <col min="11274" max="11274" width="9.28515625" style="199" bestFit="1" customWidth="1"/>
    <col min="11275" max="11275" width="8.42578125" style="199" bestFit="1" customWidth="1"/>
    <col min="11276" max="11276" width="11.7109375" style="199" customWidth="1"/>
    <col min="11277" max="11278" width="8.42578125" style="199" bestFit="1" customWidth="1"/>
    <col min="11279" max="11279" width="11.7109375" style="199" customWidth="1"/>
    <col min="11280" max="11280" width="9" style="199" customWidth="1"/>
    <col min="11281" max="11281" width="8.42578125" style="199" bestFit="1" customWidth="1"/>
    <col min="11282" max="11282" width="11.7109375" style="199" customWidth="1"/>
    <col min="11283" max="11284" width="8.42578125" style="199" bestFit="1" customWidth="1"/>
    <col min="11285" max="11285" width="11.7109375" style="199" customWidth="1"/>
    <col min="11286" max="11287" width="9" style="199" customWidth="1"/>
    <col min="11288" max="11288" width="12" style="199" customWidth="1"/>
    <col min="11289" max="11289" width="9" style="199" bestFit="1" customWidth="1"/>
    <col min="11290" max="11290" width="8" style="199" bestFit="1" customWidth="1"/>
    <col min="11291" max="11291" width="11.7109375" style="199" customWidth="1"/>
    <col min="11292" max="11519" width="11.42578125" style="199"/>
    <col min="11520" max="11520" width="1.5703125" style="199" customWidth="1"/>
    <col min="11521" max="11521" width="21.140625" style="199" customWidth="1"/>
    <col min="11522" max="11522" width="7.140625" style="199" customWidth="1"/>
    <col min="11523" max="11523" width="36.7109375" style="199" bestFit="1" customWidth="1"/>
    <col min="11524" max="11525" width="9.28515625" style="199" bestFit="1" customWidth="1"/>
    <col min="11526" max="11526" width="12" style="199" customWidth="1"/>
    <col min="11527" max="11527" width="8.42578125" style="199" bestFit="1" customWidth="1"/>
    <col min="11528" max="11528" width="9" style="199" customWidth="1"/>
    <col min="11529" max="11529" width="11.7109375" style="199" customWidth="1"/>
    <col min="11530" max="11530" width="9.28515625" style="199" bestFit="1" customWidth="1"/>
    <col min="11531" max="11531" width="8.42578125" style="199" bestFit="1" customWidth="1"/>
    <col min="11532" max="11532" width="11.7109375" style="199" customWidth="1"/>
    <col min="11533" max="11534" width="8.42578125" style="199" bestFit="1" customWidth="1"/>
    <col min="11535" max="11535" width="11.7109375" style="199" customWidth="1"/>
    <col min="11536" max="11536" width="9" style="199" customWidth="1"/>
    <col min="11537" max="11537" width="8.42578125" style="199" bestFit="1" customWidth="1"/>
    <col min="11538" max="11538" width="11.7109375" style="199" customWidth="1"/>
    <col min="11539" max="11540" width="8.42578125" style="199" bestFit="1" customWidth="1"/>
    <col min="11541" max="11541" width="11.7109375" style="199" customWidth="1"/>
    <col min="11542" max="11543" width="9" style="199" customWidth="1"/>
    <col min="11544" max="11544" width="12" style="199" customWidth="1"/>
    <col min="11545" max="11545" width="9" style="199" bestFit="1" customWidth="1"/>
    <col min="11546" max="11546" width="8" style="199" bestFit="1" customWidth="1"/>
    <col min="11547" max="11547" width="11.7109375" style="199" customWidth="1"/>
    <col min="11548" max="11775" width="11.42578125" style="199"/>
    <col min="11776" max="11776" width="1.5703125" style="199" customWidth="1"/>
    <col min="11777" max="11777" width="21.140625" style="199" customWidth="1"/>
    <col min="11778" max="11778" width="7.140625" style="199" customWidth="1"/>
    <col min="11779" max="11779" width="36.7109375" style="199" bestFit="1" customWidth="1"/>
    <col min="11780" max="11781" width="9.28515625" style="199" bestFit="1" customWidth="1"/>
    <col min="11782" max="11782" width="12" style="199" customWidth="1"/>
    <col min="11783" max="11783" width="8.42578125" style="199" bestFit="1" customWidth="1"/>
    <col min="11784" max="11784" width="9" style="199" customWidth="1"/>
    <col min="11785" max="11785" width="11.7109375" style="199" customWidth="1"/>
    <col min="11786" max="11786" width="9.28515625" style="199" bestFit="1" customWidth="1"/>
    <col min="11787" max="11787" width="8.42578125" style="199" bestFit="1" customWidth="1"/>
    <col min="11788" max="11788" width="11.7109375" style="199" customWidth="1"/>
    <col min="11789" max="11790" width="8.42578125" style="199" bestFit="1" customWidth="1"/>
    <col min="11791" max="11791" width="11.7109375" style="199" customWidth="1"/>
    <col min="11792" max="11792" width="9" style="199" customWidth="1"/>
    <col min="11793" max="11793" width="8.42578125" style="199" bestFit="1" customWidth="1"/>
    <col min="11794" max="11794" width="11.7109375" style="199" customWidth="1"/>
    <col min="11795" max="11796" width="8.42578125" style="199" bestFit="1" customWidth="1"/>
    <col min="11797" max="11797" width="11.7109375" style="199" customWidth="1"/>
    <col min="11798" max="11799" width="9" style="199" customWidth="1"/>
    <col min="11800" max="11800" width="12" style="199" customWidth="1"/>
    <col min="11801" max="11801" width="9" style="199" bestFit="1" customWidth="1"/>
    <col min="11802" max="11802" width="8" style="199" bestFit="1" customWidth="1"/>
    <col min="11803" max="11803" width="11.7109375" style="199" customWidth="1"/>
    <col min="11804" max="12031" width="11.42578125" style="199"/>
    <col min="12032" max="12032" width="1.5703125" style="199" customWidth="1"/>
    <col min="12033" max="12033" width="21.140625" style="199" customWidth="1"/>
    <col min="12034" max="12034" width="7.140625" style="199" customWidth="1"/>
    <col min="12035" max="12035" width="36.7109375" style="199" bestFit="1" customWidth="1"/>
    <col min="12036" max="12037" width="9.28515625" style="199" bestFit="1" customWidth="1"/>
    <col min="12038" max="12038" width="12" style="199" customWidth="1"/>
    <col min="12039" max="12039" width="8.42578125" style="199" bestFit="1" customWidth="1"/>
    <col min="12040" max="12040" width="9" style="199" customWidth="1"/>
    <col min="12041" max="12041" width="11.7109375" style="199" customWidth="1"/>
    <col min="12042" max="12042" width="9.28515625" style="199" bestFit="1" customWidth="1"/>
    <col min="12043" max="12043" width="8.42578125" style="199" bestFit="1" customWidth="1"/>
    <col min="12044" max="12044" width="11.7109375" style="199" customWidth="1"/>
    <col min="12045" max="12046" width="8.42578125" style="199" bestFit="1" customWidth="1"/>
    <col min="12047" max="12047" width="11.7109375" style="199" customWidth="1"/>
    <col min="12048" max="12048" width="9" style="199" customWidth="1"/>
    <col min="12049" max="12049" width="8.42578125" style="199" bestFit="1" customWidth="1"/>
    <col min="12050" max="12050" width="11.7109375" style="199" customWidth="1"/>
    <col min="12051" max="12052" width="8.42578125" style="199" bestFit="1" customWidth="1"/>
    <col min="12053" max="12053" width="11.7109375" style="199" customWidth="1"/>
    <col min="12054" max="12055" width="9" style="199" customWidth="1"/>
    <col min="12056" max="12056" width="12" style="199" customWidth="1"/>
    <col min="12057" max="12057" width="9" style="199" bestFit="1" customWidth="1"/>
    <col min="12058" max="12058" width="8" style="199" bestFit="1" customWidth="1"/>
    <col min="12059" max="12059" width="11.7109375" style="199" customWidth="1"/>
    <col min="12060" max="12287" width="11.42578125" style="199"/>
    <col min="12288" max="12288" width="1.5703125" style="199" customWidth="1"/>
    <col min="12289" max="12289" width="21.140625" style="199" customWidth="1"/>
    <col min="12290" max="12290" width="7.140625" style="199" customWidth="1"/>
    <col min="12291" max="12291" width="36.7109375" style="199" bestFit="1" customWidth="1"/>
    <col min="12292" max="12293" width="9.28515625" style="199" bestFit="1" customWidth="1"/>
    <col min="12294" max="12294" width="12" style="199" customWidth="1"/>
    <col min="12295" max="12295" width="8.42578125" style="199" bestFit="1" customWidth="1"/>
    <col min="12296" max="12296" width="9" style="199" customWidth="1"/>
    <col min="12297" max="12297" width="11.7109375" style="199" customWidth="1"/>
    <col min="12298" max="12298" width="9.28515625" style="199" bestFit="1" customWidth="1"/>
    <col min="12299" max="12299" width="8.42578125" style="199" bestFit="1" customWidth="1"/>
    <col min="12300" max="12300" width="11.7109375" style="199" customWidth="1"/>
    <col min="12301" max="12302" width="8.42578125" style="199" bestFit="1" customWidth="1"/>
    <col min="12303" max="12303" width="11.7109375" style="199" customWidth="1"/>
    <col min="12304" max="12304" width="9" style="199" customWidth="1"/>
    <col min="12305" max="12305" width="8.42578125" style="199" bestFit="1" customWidth="1"/>
    <col min="12306" max="12306" width="11.7109375" style="199" customWidth="1"/>
    <col min="12307" max="12308" width="8.42578125" style="199" bestFit="1" customWidth="1"/>
    <col min="12309" max="12309" width="11.7109375" style="199" customWidth="1"/>
    <col min="12310" max="12311" width="9" style="199" customWidth="1"/>
    <col min="12312" max="12312" width="12" style="199" customWidth="1"/>
    <col min="12313" max="12313" width="9" style="199" bestFit="1" customWidth="1"/>
    <col min="12314" max="12314" width="8" style="199" bestFit="1" customWidth="1"/>
    <col min="12315" max="12315" width="11.7109375" style="199" customWidth="1"/>
    <col min="12316" max="12543" width="11.42578125" style="199"/>
    <col min="12544" max="12544" width="1.5703125" style="199" customWidth="1"/>
    <col min="12545" max="12545" width="21.140625" style="199" customWidth="1"/>
    <col min="12546" max="12546" width="7.140625" style="199" customWidth="1"/>
    <col min="12547" max="12547" width="36.7109375" style="199" bestFit="1" customWidth="1"/>
    <col min="12548" max="12549" width="9.28515625" style="199" bestFit="1" customWidth="1"/>
    <col min="12550" max="12550" width="12" style="199" customWidth="1"/>
    <col min="12551" max="12551" width="8.42578125" style="199" bestFit="1" customWidth="1"/>
    <col min="12552" max="12552" width="9" style="199" customWidth="1"/>
    <col min="12553" max="12553" width="11.7109375" style="199" customWidth="1"/>
    <col min="12554" max="12554" width="9.28515625" style="199" bestFit="1" customWidth="1"/>
    <col min="12555" max="12555" width="8.42578125" style="199" bestFit="1" customWidth="1"/>
    <col min="12556" max="12556" width="11.7109375" style="199" customWidth="1"/>
    <col min="12557" max="12558" width="8.42578125" style="199" bestFit="1" customWidth="1"/>
    <col min="12559" max="12559" width="11.7109375" style="199" customWidth="1"/>
    <col min="12560" max="12560" width="9" style="199" customWidth="1"/>
    <col min="12561" max="12561" width="8.42578125" style="199" bestFit="1" customWidth="1"/>
    <col min="12562" max="12562" width="11.7109375" style="199" customWidth="1"/>
    <col min="12563" max="12564" width="8.42578125" style="199" bestFit="1" customWidth="1"/>
    <col min="12565" max="12565" width="11.7109375" style="199" customWidth="1"/>
    <col min="12566" max="12567" width="9" style="199" customWidth="1"/>
    <col min="12568" max="12568" width="12" style="199" customWidth="1"/>
    <col min="12569" max="12569" width="9" style="199" bestFit="1" customWidth="1"/>
    <col min="12570" max="12570" width="8" style="199" bestFit="1" customWidth="1"/>
    <col min="12571" max="12571" width="11.7109375" style="199" customWidth="1"/>
    <col min="12572" max="12799" width="11.42578125" style="199"/>
    <col min="12800" max="12800" width="1.5703125" style="199" customWidth="1"/>
    <col min="12801" max="12801" width="21.140625" style="199" customWidth="1"/>
    <col min="12802" max="12802" width="7.140625" style="199" customWidth="1"/>
    <col min="12803" max="12803" width="36.7109375" style="199" bestFit="1" customWidth="1"/>
    <col min="12804" max="12805" width="9.28515625" style="199" bestFit="1" customWidth="1"/>
    <col min="12806" max="12806" width="12" style="199" customWidth="1"/>
    <col min="12807" max="12807" width="8.42578125" style="199" bestFit="1" customWidth="1"/>
    <col min="12808" max="12808" width="9" style="199" customWidth="1"/>
    <col min="12809" max="12809" width="11.7109375" style="199" customWidth="1"/>
    <col min="12810" max="12810" width="9.28515625" style="199" bestFit="1" customWidth="1"/>
    <col min="12811" max="12811" width="8.42578125" style="199" bestFit="1" customWidth="1"/>
    <col min="12812" max="12812" width="11.7109375" style="199" customWidth="1"/>
    <col min="12813" max="12814" width="8.42578125" style="199" bestFit="1" customWidth="1"/>
    <col min="12815" max="12815" width="11.7109375" style="199" customWidth="1"/>
    <col min="12816" max="12816" width="9" style="199" customWidth="1"/>
    <col min="12817" max="12817" width="8.42578125" style="199" bestFit="1" customWidth="1"/>
    <col min="12818" max="12818" width="11.7109375" style="199" customWidth="1"/>
    <col min="12819" max="12820" width="8.42578125" style="199" bestFit="1" customWidth="1"/>
    <col min="12821" max="12821" width="11.7109375" style="199" customWidth="1"/>
    <col min="12822" max="12823" width="9" style="199" customWidth="1"/>
    <col min="12824" max="12824" width="12" style="199" customWidth="1"/>
    <col min="12825" max="12825" width="9" style="199" bestFit="1" customWidth="1"/>
    <col min="12826" max="12826" width="8" style="199" bestFit="1" customWidth="1"/>
    <col min="12827" max="12827" width="11.7109375" style="199" customWidth="1"/>
    <col min="12828" max="13055" width="11.42578125" style="199"/>
    <col min="13056" max="13056" width="1.5703125" style="199" customWidth="1"/>
    <col min="13057" max="13057" width="21.140625" style="199" customWidth="1"/>
    <col min="13058" max="13058" width="7.140625" style="199" customWidth="1"/>
    <col min="13059" max="13059" width="36.7109375" style="199" bestFit="1" customWidth="1"/>
    <col min="13060" max="13061" width="9.28515625" style="199" bestFit="1" customWidth="1"/>
    <col min="13062" max="13062" width="12" style="199" customWidth="1"/>
    <col min="13063" max="13063" width="8.42578125" style="199" bestFit="1" customWidth="1"/>
    <col min="13064" max="13064" width="9" style="199" customWidth="1"/>
    <col min="13065" max="13065" width="11.7109375" style="199" customWidth="1"/>
    <col min="13066" max="13066" width="9.28515625" style="199" bestFit="1" customWidth="1"/>
    <col min="13067" max="13067" width="8.42578125" style="199" bestFit="1" customWidth="1"/>
    <col min="13068" max="13068" width="11.7109375" style="199" customWidth="1"/>
    <col min="13069" max="13070" width="8.42578125" style="199" bestFit="1" customWidth="1"/>
    <col min="13071" max="13071" width="11.7109375" style="199" customWidth="1"/>
    <col min="13072" max="13072" width="9" style="199" customWidth="1"/>
    <col min="13073" max="13073" width="8.42578125" style="199" bestFit="1" customWidth="1"/>
    <col min="13074" max="13074" width="11.7109375" style="199" customWidth="1"/>
    <col min="13075" max="13076" width="8.42578125" style="199" bestFit="1" customWidth="1"/>
    <col min="13077" max="13077" width="11.7109375" style="199" customWidth="1"/>
    <col min="13078" max="13079" width="9" style="199" customWidth="1"/>
    <col min="13080" max="13080" width="12" style="199" customWidth="1"/>
    <col min="13081" max="13081" width="9" style="199" bestFit="1" customWidth="1"/>
    <col min="13082" max="13082" width="8" style="199" bestFit="1" customWidth="1"/>
    <col min="13083" max="13083" width="11.7109375" style="199" customWidth="1"/>
    <col min="13084" max="13311" width="11.42578125" style="199"/>
    <col min="13312" max="13312" width="1.5703125" style="199" customWidth="1"/>
    <col min="13313" max="13313" width="21.140625" style="199" customWidth="1"/>
    <col min="13314" max="13314" width="7.140625" style="199" customWidth="1"/>
    <col min="13315" max="13315" width="36.7109375" style="199" bestFit="1" customWidth="1"/>
    <col min="13316" max="13317" width="9.28515625" style="199" bestFit="1" customWidth="1"/>
    <col min="13318" max="13318" width="12" style="199" customWidth="1"/>
    <col min="13319" max="13319" width="8.42578125" style="199" bestFit="1" customWidth="1"/>
    <col min="13320" max="13320" width="9" style="199" customWidth="1"/>
    <col min="13321" max="13321" width="11.7109375" style="199" customWidth="1"/>
    <col min="13322" max="13322" width="9.28515625" style="199" bestFit="1" customWidth="1"/>
    <col min="13323" max="13323" width="8.42578125" style="199" bestFit="1" customWidth="1"/>
    <col min="13324" max="13324" width="11.7109375" style="199" customWidth="1"/>
    <col min="13325" max="13326" width="8.42578125" style="199" bestFit="1" customWidth="1"/>
    <col min="13327" max="13327" width="11.7109375" style="199" customWidth="1"/>
    <col min="13328" max="13328" width="9" style="199" customWidth="1"/>
    <col min="13329" max="13329" width="8.42578125" style="199" bestFit="1" customWidth="1"/>
    <col min="13330" max="13330" width="11.7109375" style="199" customWidth="1"/>
    <col min="13331" max="13332" width="8.42578125" style="199" bestFit="1" customWidth="1"/>
    <col min="13333" max="13333" width="11.7109375" style="199" customWidth="1"/>
    <col min="13334" max="13335" width="9" style="199" customWidth="1"/>
    <col min="13336" max="13336" width="12" style="199" customWidth="1"/>
    <col min="13337" max="13337" width="9" style="199" bestFit="1" customWidth="1"/>
    <col min="13338" max="13338" width="8" style="199" bestFit="1" customWidth="1"/>
    <col min="13339" max="13339" width="11.7109375" style="199" customWidth="1"/>
    <col min="13340" max="13567" width="11.42578125" style="199"/>
    <col min="13568" max="13568" width="1.5703125" style="199" customWidth="1"/>
    <col min="13569" max="13569" width="21.140625" style="199" customWidth="1"/>
    <col min="13570" max="13570" width="7.140625" style="199" customWidth="1"/>
    <col min="13571" max="13571" width="36.7109375" style="199" bestFit="1" customWidth="1"/>
    <col min="13572" max="13573" width="9.28515625" style="199" bestFit="1" customWidth="1"/>
    <col min="13574" max="13574" width="12" style="199" customWidth="1"/>
    <col min="13575" max="13575" width="8.42578125" style="199" bestFit="1" customWidth="1"/>
    <col min="13576" max="13576" width="9" style="199" customWidth="1"/>
    <col min="13577" max="13577" width="11.7109375" style="199" customWidth="1"/>
    <col min="13578" max="13578" width="9.28515625" style="199" bestFit="1" customWidth="1"/>
    <col min="13579" max="13579" width="8.42578125" style="199" bestFit="1" customWidth="1"/>
    <col min="13580" max="13580" width="11.7109375" style="199" customWidth="1"/>
    <col min="13581" max="13582" width="8.42578125" style="199" bestFit="1" customWidth="1"/>
    <col min="13583" max="13583" width="11.7109375" style="199" customWidth="1"/>
    <col min="13584" max="13584" width="9" style="199" customWidth="1"/>
    <col min="13585" max="13585" width="8.42578125" style="199" bestFit="1" customWidth="1"/>
    <col min="13586" max="13586" width="11.7109375" style="199" customWidth="1"/>
    <col min="13587" max="13588" width="8.42578125" style="199" bestFit="1" customWidth="1"/>
    <col min="13589" max="13589" width="11.7109375" style="199" customWidth="1"/>
    <col min="13590" max="13591" width="9" style="199" customWidth="1"/>
    <col min="13592" max="13592" width="12" style="199" customWidth="1"/>
    <col min="13593" max="13593" width="9" style="199" bestFit="1" customWidth="1"/>
    <col min="13594" max="13594" width="8" style="199" bestFit="1" customWidth="1"/>
    <col min="13595" max="13595" width="11.7109375" style="199" customWidth="1"/>
    <col min="13596" max="13823" width="11.42578125" style="199"/>
    <col min="13824" max="13824" width="1.5703125" style="199" customWidth="1"/>
    <col min="13825" max="13825" width="21.140625" style="199" customWidth="1"/>
    <col min="13826" max="13826" width="7.140625" style="199" customWidth="1"/>
    <col min="13827" max="13827" width="36.7109375" style="199" bestFit="1" customWidth="1"/>
    <col min="13828" max="13829" width="9.28515625" style="199" bestFit="1" customWidth="1"/>
    <col min="13830" max="13830" width="12" style="199" customWidth="1"/>
    <col min="13831" max="13831" width="8.42578125" style="199" bestFit="1" customWidth="1"/>
    <col min="13832" max="13832" width="9" style="199" customWidth="1"/>
    <col min="13833" max="13833" width="11.7109375" style="199" customWidth="1"/>
    <col min="13834" max="13834" width="9.28515625" style="199" bestFit="1" customWidth="1"/>
    <col min="13835" max="13835" width="8.42578125" style="199" bestFit="1" customWidth="1"/>
    <col min="13836" max="13836" width="11.7109375" style="199" customWidth="1"/>
    <col min="13837" max="13838" width="8.42578125" style="199" bestFit="1" customWidth="1"/>
    <col min="13839" max="13839" width="11.7109375" style="199" customWidth="1"/>
    <col min="13840" max="13840" width="9" style="199" customWidth="1"/>
    <col min="13841" max="13841" width="8.42578125" style="199" bestFit="1" customWidth="1"/>
    <col min="13842" max="13842" width="11.7109375" style="199" customWidth="1"/>
    <col min="13843" max="13844" width="8.42578125" style="199" bestFit="1" customWidth="1"/>
    <col min="13845" max="13845" width="11.7109375" style="199" customWidth="1"/>
    <col min="13846" max="13847" width="9" style="199" customWidth="1"/>
    <col min="13848" max="13848" width="12" style="199" customWidth="1"/>
    <col min="13849" max="13849" width="9" style="199" bestFit="1" customWidth="1"/>
    <col min="13850" max="13850" width="8" style="199" bestFit="1" customWidth="1"/>
    <col min="13851" max="13851" width="11.7109375" style="199" customWidth="1"/>
    <col min="13852" max="14079" width="11.42578125" style="199"/>
    <col min="14080" max="14080" width="1.5703125" style="199" customWidth="1"/>
    <col min="14081" max="14081" width="21.140625" style="199" customWidth="1"/>
    <col min="14082" max="14082" width="7.140625" style="199" customWidth="1"/>
    <col min="14083" max="14083" width="36.7109375" style="199" bestFit="1" customWidth="1"/>
    <col min="14084" max="14085" width="9.28515625" style="199" bestFit="1" customWidth="1"/>
    <col min="14086" max="14086" width="12" style="199" customWidth="1"/>
    <col min="14087" max="14087" width="8.42578125" style="199" bestFit="1" customWidth="1"/>
    <col min="14088" max="14088" width="9" style="199" customWidth="1"/>
    <col min="14089" max="14089" width="11.7109375" style="199" customWidth="1"/>
    <col min="14090" max="14090" width="9.28515625" style="199" bestFit="1" customWidth="1"/>
    <col min="14091" max="14091" width="8.42578125" style="199" bestFit="1" customWidth="1"/>
    <col min="14092" max="14092" width="11.7109375" style="199" customWidth="1"/>
    <col min="14093" max="14094" width="8.42578125" style="199" bestFit="1" customWidth="1"/>
    <col min="14095" max="14095" width="11.7109375" style="199" customWidth="1"/>
    <col min="14096" max="14096" width="9" style="199" customWidth="1"/>
    <col min="14097" max="14097" width="8.42578125" style="199" bestFit="1" customWidth="1"/>
    <col min="14098" max="14098" width="11.7109375" style="199" customWidth="1"/>
    <col min="14099" max="14100" width="8.42578125" style="199" bestFit="1" customWidth="1"/>
    <col min="14101" max="14101" width="11.7109375" style="199" customWidth="1"/>
    <col min="14102" max="14103" width="9" style="199" customWidth="1"/>
    <col min="14104" max="14104" width="12" style="199" customWidth="1"/>
    <col min="14105" max="14105" width="9" style="199" bestFit="1" customWidth="1"/>
    <col min="14106" max="14106" width="8" style="199" bestFit="1" customWidth="1"/>
    <col min="14107" max="14107" width="11.7109375" style="199" customWidth="1"/>
    <col min="14108" max="14335" width="11.42578125" style="199"/>
    <col min="14336" max="14336" width="1.5703125" style="199" customWidth="1"/>
    <col min="14337" max="14337" width="21.140625" style="199" customWidth="1"/>
    <col min="14338" max="14338" width="7.140625" style="199" customWidth="1"/>
    <col min="14339" max="14339" width="36.7109375" style="199" bestFit="1" customWidth="1"/>
    <col min="14340" max="14341" width="9.28515625" style="199" bestFit="1" customWidth="1"/>
    <col min="14342" max="14342" width="12" style="199" customWidth="1"/>
    <col min="14343" max="14343" width="8.42578125" style="199" bestFit="1" customWidth="1"/>
    <col min="14344" max="14344" width="9" style="199" customWidth="1"/>
    <col min="14345" max="14345" width="11.7109375" style="199" customWidth="1"/>
    <col min="14346" max="14346" width="9.28515625" style="199" bestFit="1" customWidth="1"/>
    <col min="14347" max="14347" width="8.42578125" style="199" bestFit="1" customWidth="1"/>
    <col min="14348" max="14348" width="11.7109375" style="199" customWidth="1"/>
    <col min="14349" max="14350" width="8.42578125" style="199" bestFit="1" customWidth="1"/>
    <col min="14351" max="14351" width="11.7109375" style="199" customWidth="1"/>
    <col min="14352" max="14352" width="9" style="199" customWidth="1"/>
    <col min="14353" max="14353" width="8.42578125" style="199" bestFit="1" customWidth="1"/>
    <col min="14354" max="14354" width="11.7109375" style="199" customWidth="1"/>
    <col min="14355" max="14356" width="8.42578125" style="199" bestFit="1" customWidth="1"/>
    <col min="14357" max="14357" width="11.7109375" style="199" customWidth="1"/>
    <col min="14358" max="14359" width="9" style="199" customWidth="1"/>
    <col min="14360" max="14360" width="12" style="199" customWidth="1"/>
    <col min="14361" max="14361" width="9" style="199" bestFit="1" customWidth="1"/>
    <col min="14362" max="14362" width="8" style="199" bestFit="1" customWidth="1"/>
    <col min="14363" max="14363" width="11.7109375" style="199" customWidth="1"/>
    <col min="14364" max="14591" width="11.42578125" style="199"/>
    <col min="14592" max="14592" width="1.5703125" style="199" customWidth="1"/>
    <col min="14593" max="14593" width="21.140625" style="199" customWidth="1"/>
    <col min="14594" max="14594" width="7.140625" style="199" customWidth="1"/>
    <col min="14595" max="14595" width="36.7109375" style="199" bestFit="1" customWidth="1"/>
    <col min="14596" max="14597" width="9.28515625" style="199" bestFit="1" customWidth="1"/>
    <col min="14598" max="14598" width="12" style="199" customWidth="1"/>
    <col min="14599" max="14599" width="8.42578125" style="199" bestFit="1" customWidth="1"/>
    <col min="14600" max="14600" width="9" style="199" customWidth="1"/>
    <col min="14601" max="14601" width="11.7109375" style="199" customWidth="1"/>
    <col min="14602" max="14602" width="9.28515625" style="199" bestFit="1" customWidth="1"/>
    <col min="14603" max="14603" width="8.42578125" style="199" bestFit="1" customWidth="1"/>
    <col min="14604" max="14604" width="11.7109375" style="199" customWidth="1"/>
    <col min="14605" max="14606" width="8.42578125" style="199" bestFit="1" customWidth="1"/>
    <col min="14607" max="14607" width="11.7109375" style="199" customWidth="1"/>
    <col min="14608" max="14608" width="9" style="199" customWidth="1"/>
    <col min="14609" max="14609" width="8.42578125" style="199" bestFit="1" customWidth="1"/>
    <col min="14610" max="14610" width="11.7109375" style="199" customWidth="1"/>
    <col min="14611" max="14612" width="8.42578125" style="199" bestFit="1" customWidth="1"/>
    <col min="14613" max="14613" width="11.7109375" style="199" customWidth="1"/>
    <col min="14614" max="14615" width="9" style="199" customWidth="1"/>
    <col min="14616" max="14616" width="12" style="199" customWidth="1"/>
    <col min="14617" max="14617" width="9" style="199" bestFit="1" customWidth="1"/>
    <col min="14618" max="14618" width="8" style="199" bestFit="1" customWidth="1"/>
    <col min="14619" max="14619" width="11.7109375" style="199" customWidth="1"/>
    <col min="14620" max="14847" width="11.42578125" style="199"/>
    <col min="14848" max="14848" width="1.5703125" style="199" customWidth="1"/>
    <col min="14849" max="14849" width="21.140625" style="199" customWidth="1"/>
    <col min="14850" max="14850" width="7.140625" style="199" customWidth="1"/>
    <col min="14851" max="14851" width="36.7109375" style="199" bestFit="1" customWidth="1"/>
    <col min="14852" max="14853" width="9.28515625" style="199" bestFit="1" customWidth="1"/>
    <col min="14854" max="14854" width="12" style="199" customWidth="1"/>
    <col min="14855" max="14855" width="8.42578125" style="199" bestFit="1" customWidth="1"/>
    <col min="14856" max="14856" width="9" style="199" customWidth="1"/>
    <col min="14857" max="14857" width="11.7109375" style="199" customWidth="1"/>
    <col min="14858" max="14858" width="9.28515625" style="199" bestFit="1" customWidth="1"/>
    <col min="14859" max="14859" width="8.42578125" style="199" bestFit="1" customWidth="1"/>
    <col min="14860" max="14860" width="11.7109375" style="199" customWidth="1"/>
    <col min="14861" max="14862" width="8.42578125" style="199" bestFit="1" customWidth="1"/>
    <col min="14863" max="14863" width="11.7109375" style="199" customWidth="1"/>
    <col min="14864" max="14864" width="9" style="199" customWidth="1"/>
    <col min="14865" max="14865" width="8.42578125" style="199" bestFit="1" customWidth="1"/>
    <col min="14866" max="14866" width="11.7109375" style="199" customWidth="1"/>
    <col min="14867" max="14868" width="8.42578125" style="199" bestFit="1" customWidth="1"/>
    <col min="14869" max="14869" width="11.7109375" style="199" customWidth="1"/>
    <col min="14870" max="14871" width="9" style="199" customWidth="1"/>
    <col min="14872" max="14872" width="12" style="199" customWidth="1"/>
    <col min="14873" max="14873" width="9" style="199" bestFit="1" customWidth="1"/>
    <col min="14874" max="14874" width="8" style="199" bestFit="1" customWidth="1"/>
    <col min="14875" max="14875" width="11.7109375" style="199" customWidth="1"/>
    <col min="14876" max="15103" width="11.42578125" style="199"/>
    <col min="15104" max="15104" width="1.5703125" style="199" customWidth="1"/>
    <col min="15105" max="15105" width="21.140625" style="199" customWidth="1"/>
    <col min="15106" max="15106" width="7.140625" style="199" customWidth="1"/>
    <col min="15107" max="15107" width="36.7109375" style="199" bestFit="1" customWidth="1"/>
    <col min="15108" max="15109" width="9.28515625" style="199" bestFit="1" customWidth="1"/>
    <col min="15110" max="15110" width="12" style="199" customWidth="1"/>
    <col min="15111" max="15111" width="8.42578125" style="199" bestFit="1" customWidth="1"/>
    <col min="15112" max="15112" width="9" style="199" customWidth="1"/>
    <col min="15113" max="15113" width="11.7109375" style="199" customWidth="1"/>
    <col min="15114" max="15114" width="9.28515625" style="199" bestFit="1" customWidth="1"/>
    <col min="15115" max="15115" width="8.42578125" style="199" bestFit="1" customWidth="1"/>
    <col min="15116" max="15116" width="11.7109375" style="199" customWidth="1"/>
    <col min="15117" max="15118" width="8.42578125" style="199" bestFit="1" customWidth="1"/>
    <col min="15119" max="15119" width="11.7109375" style="199" customWidth="1"/>
    <col min="15120" max="15120" width="9" style="199" customWidth="1"/>
    <col min="15121" max="15121" width="8.42578125" style="199" bestFit="1" customWidth="1"/>
    <col min="15122" max="15122" width="11.7109375" style="199" customWidth="1"/>
    <col min="15123" max="15124" width="8.42578125" style="199" bestFit="1" customWidth="1"/>
    <col min="15125" max="15125" width="11.7109375" style="199" customWidth="1"/>
    <col min="15126" max="15127" width="9" style="199" customWidth="1"/>
    <col min="15128" max="15128" width="12" style="199" customWidth="1"/>
    <col min="15129" max="15129" width="9" style="199" bestFit="1" customWidth="1"/>
    <col min="15130" max="15130" width="8" style="199" bestFit="1" customWidth="1"/>
    <col min="15131" max="15131" width="11.7109375" style="199" customWidth="1"/>
    <col min="15132" max="15359" width="11.42578125" style="199"/>
    <col min="15360" max="15360" width="1.5703125" style="199" customWidth="1"/>
    <col min="15361" max="15361" width="21.140625" style="199" customWidth="1"/>
    <col min="15362" max="15362" width="7.140625" style="199" customWidth="1"/>
    <col min="15363" max="15363" width="36.7109375" style="199" bestFit="1" customWidth="1"/>
    <col min="15364" max="15365" width="9.28515625" style="199" bestFit="1" customWidth="1"/>
    <col min="15366" max="15366" width="12" style="199" customWidth="1"/>
    <col min="15367" max="15367" width="8.42578125" style="199" bestFit="1" customWidth="1"/>
    <col min="15368" max="15368" width="9" style="199" customWidth="1"/>
    <col min="15369" max="15369" width="11.7109375" style="199" customWidth="1"/>
    <col min="15370" max="15370" width="9.28515625" style="199" bestFit="1" customWidth="1"/>
    <col min="15371" max="15371" width="8.42578125" style="199" bestFit="1" customWidth="1"/>
    <col min="15372" max="15372" width="11.7109375" style="199" customWidth="1"/>
    <col min="15373" max="15374" width="8.42578125" style="199" bestFit="1" customWidth="1"/>
    <col min="15375" max="15375" width="11.7109375" style="199" customWidth="1"/>
    <col min="15376" max="15376" width="9" style="199" customWidth="1"/>
    <col min="15377" max="15377" width="8.42578125" style="199" bestFit="1" customWidth="1"/>
    <col min="15378" max="15378" width="11.7109375" style="199" customWidth="1"/>
    <col min="15379" max="15380" width="8.42578125" style="199" bestFit="1" customWidth="1"/>
    <col min="15381" max="15381" width="11.7109375" style="199" customWidth="1"/>
    <col min="15382" max="15383" width="9" style="199" customWidth="1"/>
    <col min="15384" max="15384" width="12" style="199" customWidth="1"/>
    <col min="15385" max="15385" width="9" style="199" bestFit="1" customWidth="1"/>
    <col min="15386" max="15386" width="8" style="199" bestFit="1" customWidth="1"/>
    <col min="15387" max="15387" width="11.7109375" style="199" customWidth="1"/>
    <col min="15388" max="15615" width="11.42578125" style="199"/>
    <col min="15616" max="15616" width="1.5703125" style="199" customWidth="1"/>
    <col min="15617" max="15617" width="21.140625" style="199" customWidth="1"/>
    <col min="15618" max="15618" width="7.140625" style="199" customWidth="1"/>
    <col min="15619" max="15619" width="36.7109375" style="199" bestFit="1" customWidth="1"/>
    <col min="15620" max="15621" width="9.28515625" style="199" bestFit="1" customWidth="1"/>
    <col min="15622" max="15622" width="12" style="199" customWidth="1"/>
    <col min="15623" max="15623" width="8.42578125" style="199" bestFit="1" customWidth="1"/>
    <col min="15624" max="15624" width="9" style="199" customWidth="1"/>
    <col min="15625" max="15625" width="11.7109375" style="199" customWidth="1"/>
    <col min="15626" max="15626" width="9.28515625" style="199" bestFit="1" customWidth="1"/>
    <col min="15627" max="15627" width="8.42578125" style="199" bestFit="1" customWidth="1"/>
    <col min="15628" max="15628" width="11.7109375" style="199" customWidth="1"/>
    <col min="15629" max="15630" width="8.42578125" style="199" bestFit="1" customWidth="1"/>
    <col min="15631" max="15631" width="11.7109375" style="199" customWidth="1"/>
    <col min="15632" max="15632" width="9" style="199" customWidth="1"/>
    <col min="15633" max="15633" width="8.42578125" style="199" bestFit="1" customWidth="1"/>
    <col min="15634" max="15634" width="11.7109375" style="199" customWidth="1"/>
    <col min="15635" max="15636" width="8.42578125" style="199" bestFit="1" customWidth="1"/>
    <col min="15637" max="15637" width="11.7109375" style="199" customWidth="1"/>
    <col min="15638" max="15639" width="9" style="199" customWidth="1"/>
    <col min="15640" max="15640" width="12" style="199" customWidth="1"/>
    <col min="15641" max="15641" width="9" style="199" bestFit="1" customWidth="1"/>
    <col min="15642" max="15642" width="8" style="199" bestFit="1" customWidth="1"/>
    <col min="15643" max="15643" width="11.7109375" style="199" customWidth="1"/>
    <col min="15644" max="15871" width="11.42578125" style="199"/>
    <col min="15872" max="15872" width="1.5703125" style="199" customWidth="1"/>
    <col min="15873" max="15873" width="21.140625" style="199" customWidth="1"/>
    <col min="15874" max="15874" width="7.140625" style="199" customWidth="1"/>
    <col min="15875" max="15875" width="36.7109375" style="199" bestFit="1" customWidth="1"/>
    <col min="15876" max="15877" width="9.28515625" style="199" bestFit="1" customWidth="1"/>
    <col min="15878" max="15878" width="12" style="199" customWidth="1"/>
    <col min="15879" max="15879" width="8.42578125" style="199" bestFit="1" customWidth="1"/>
    <col min="15880" max="15880" width="9" style="199" customWidth="1"/>
    <col min="15881" max="15881" width="11.7109375" style="199" customWidth="1"/>
    <col min="15882" max="15882" width="9.28515625" style="199" bestFit="1" customWidth="1"/>
    <col min="15883" max="15883" width="8.42578125" style="199" bestFit="1" customWidth="1"/>
    <col min="15884" max="15884" width="11.7109375" style="199" customWidth="1"/>
    <col min="15885" max="15886" width="8.42578125" style="199" bestFit="1" customWidth="1"/>
    <col min="15887" max="15887" width="11.7109375" style="199" customWidth="1"/>
    <col min="15888" max="15888" width="9" style="199" customWidth="1"/>
    <col min="15889" max="15889" width="8.42578125" style="199" bestFit="1" customWidth="1"/>
    <col min="15890" max="15890" width="11.7109375" style="199" customWidth="1"/>
    <col min="15891" max="15892" width="8.42578125" style="199" bestFit="1" customWidth="1"/>
    <col min="15893" max="15893" width="11.7109375" style="199" customWidth="1"/>
    <col min="15894" max="15895" width="9" style="199" customWidth="1"/>
    <col min="15896" max="15896" width="12" style="199" customWidth="1"/>
    <col min="15897" max="15897" width="9" style="199" bestFit="1" customWidth="1"/>
    <col min="15898" max="15898" width="8" style="199" bestFit="1" customWidth="1"/>
    <col min="15899" max="15899" width="11.7109375" style="199" customWidth="1"/>
    <col min="15900" max="16127" width="11.42578125" style="199"/>
    <col min="16128" max="16128" width="1.5703125" style="199" customWidth="1"/>
    <col min="16129" max="16129" width="21.140625" style="199" customWidth="1"/>
    <col min="16130" max="16130" width="7.140625" style="199" customWidth="1"/>
    <col min="16131" max="16131" width="36.7109375" style="199" bestFit="1" customWidth="1"/>
    <col min="16132" max="16133" width="9.28515625" style="199" bestFit="1" customWidth="1"/>
    <col min="16134" max="16134" width="12" style="199" customWidth="1"/>
    <col min="16135" max="16135" width="8.42578125" style="199" bestFit="1" customWidth="1"/>
    <col min="16136" max="16136" width="9" style="199" customWidth="1"/>
    <col min="16137" max="16137" width="11.7109375" style="199" customWidth="1"/>
    <col min="16138" max="16138" width="9.28515625" style="199" bestFit="1" customWidth="1"/>
    <col min="16139" max="16139" width="8.42578125" style="199" bestFit="1" customWidth="1"/>
    <col min="16140" max="16140" width="11.7109375" style="199" customWidth="1"/>
    <col min="16141" max="16142" width="8.42578125" style="199" bestFit="1" customWidth="1"/>
    <col min="16143" max="16143" width="11.7109375" style="199" customWidth="1"/>
    <col min="16144" max="16144" width="9" style="199" customWidth="1"/>
    <col min="16145" max="16145" width="8.42578125" style="199" bestFit="1" customWidth="1"/>
    <col min="16146" max="16146" width="11.7109375" style="199" customWidth="1"/>
    <col min="16147" max="16148" width="8.42578125" style="199" bestFit="1" customWidth="1"/>
    <col min="16149" max="16149" width="11.7109375" style="199" customWidth="1"/>
    <col min="16150" max="16151" width="9" style="199" customWidth="1"/>
    <col min="16152" max="16152" width="12" style="199" customWidth="1"/>
    <col min="16153" max="16153" width="9" style="199" bestFit="1" customWidth="1"/>
    <col min="16154" max="16154" width="8" style="199" bestFit="1" customWidth="1"/>
    <col min="16155" max="16155" width="11.7109375" style="199" customWidth="1"/>
    <col min="16156" max="16384" width="11.42578125" style="199"/>
  </cols>
  <sheetData>
    <row r="1" spans="1:42" s="203" customFormat="1" ht="31.5" customHeight="1" x14ac:dyDescent="0.25">
      <c r="A1" s="5097" t="s">
        <v>1286</v>
      </c>
      <c r="B1" s="5097"/>
      <c r="C1" s="5097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</row>
    <row r="2" spans="1:42" s="203" customFormat="1" ht="15.75" x14ac:dyDescent="0.25">
      <c r="A2" s="205"/>
      <c r="C2" s="242"/>
      <c r="D2" s="242"/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  <c r="AA2" s="242"/>
    </row>
    <row r="3" spans="1:42" ht="15" x14ac:dyDescent="0.2">
      <c r="A3" s="5106" t="s">
        <v>16</v>
      </c>
      <c r="B3" s="5106" t="s">
        <v>4</v>
      </c>
      <c r="C3" s="5106" t="s">
        <v>351</v>
      </c>
      <c r="D3" s="5022">
        <v>2003</v>
      </c>
      <c r="E3" s="5023"/>
      <c r="F3" s="5024"/>
      <c r="G3" s="5022">
        <v>2004</v>
      </c>
      <c r="H3" s="5023"/>
      <c r="I3" s="5024"/>
      <c r="J3" s="5022">
        <v>2005</v>
      </c>
      <c r="K3" s="5023"/>
      <c r="L3" s="5024"/>
      <c r="M3" s="5022">
        <v>2006</v>
      </c>
      <c r="N3" s="5023"/>
      <c r="O3" s="5024"/>
      <c r="P3" s="5022">
        <v>2007</v>
      </c>
      <c r="Q3" s="5023"/>
      <c r="R3" s="5024"/>
      <c r="S3" s="5022">
        <v>2008</v>
      </c>
      <c r="T3" s="5023"/>
      <c r="U3" s="5024"/>
      <c r="V3" s="5022">
        <v>2009</v>
      </c>
      <c r="W3" s="5023"/>
      <c r="X3" s="5024"/>
      <c r="Y3" s="5022">
        <v>2010</v>
      </c>
      <c r="Z3" s="5023"/>
      <c r="AA3" s="5024"/>
      <c r="AB3" s="5022">
        <v>2011</v>
      </c>
      <c r="AC3" s="5023"/>
      <c r="AD3" s="5024"/>
      <c r="AE3" s="5022">
        <v>2012</v>
      </c>
      <c r="AF3" s="5023"/>
      <c r="AG3" s="5024"/>
      <c r="AH3" s="5022">
        <v>2013</v>
      </c>
      <c r="AI3" s="5023"/>
      <c r="AJ3" s="5024"/>
      <c r="AK3" s="5022">
        <v>2014</v>
      </c>
      <c r="AL3" s="5023"/>
      <c r="AM3" s="5024"/>
      <c r="AN3" s="5022">
        <v>2015</v>
      </c>
      <c r="AO3" s="5023"/>
      <c r="AP3" s="5024"/>
    </row>
    <row r="4" spans="1:42" s="196" customFormat="1" ht="15.75" x14ac:dyDescent="0.25">
      <c r="A4" s="5106"/>
      <c r="B4" s="5106"/>
      <c r="C4" s="5106"/>
      <c r="D4" s="566" t="s">
        <v>668</v>
      </c>
      <c r="E4" s="567" t="s">
        <v>669</v>
      </c>
      <c r="F4" s="1031" t="s">
        <v>160</v>
      </c>
      <c r="G4" s="566" t="s">
        <v>668</v>
      </c>
      <c r="H4" s="567" t="s">
        <v>669</v>
      </c>
      <c r="I4" s="1031" t="s">
        <v>160</v>
      </c>
      <c r="J4" s="566" t="s">
        <v>668</v>
      </c>
      <c r="K4" s="567" t="s">
        <v>669</v>
      </c>
      <c r="L4" s="1031" t="s">
        <v>160</v>
      </c>
      <c r="M4" s="566" t="s">
        <v>668</v>
      </c>
      <c r="N4" s="567" t="s">
        <v>669</v>
      </c>
      <c r="O4" s="1031" t="s">
        <v>160</v>
      </c>
      <c r="P4" s="566" t="s">
        <v>668</v>
      </c>
      <c r="Q4" s="567" t="s">
        <v>669</v>
      </c>
      <c r="R4" s="1031" t="s">
        <v>160</v>
      </c>
      <c r="S4" s="566" t="s">
        <v>668</v>
      </c>
      <c r="T4" s="567" t="s">
        <v>669</v>
      </c>
      <c r="U4" s="1031" t="s">
        <v>160</v>
      </c>
      <c r="V4" s="566" t="s">
        <v>668</v>
      </c>
      <c r="W4" s="567" t="s">
        <v>669</v>
      </c>
      <c r="X4" s="1031" t="s">
        <v>160</v>
      </c>
      <c r="Y4" s="566" t="s">
        <v>668</v>
      </c>
      <c r="Z4" s="567" t="s">
        <v>669</v>
      </c>
      <c r="AA4" s="1031" t="s">
        <v>160</v>
      </c>
      <c r="AB4" s="566" t="s">
        <v>668</v>
      </c>
      <c r="AC4" s="567" t="s">
        <v>669</v>
      </c>
      <c r="AD4" s="1031" t="s">
        <v>160</v>
      </c>
      <c r="AE4" s="566" t="s">
        <v>668</v>
      </c>
      <c r="AF4" s="567" t="s">
        <v>669</v>
      </c>
      <c r="AG4" s="1031" t="s">
        <v>160</v>
      </c>
      <c r="AH4" s="566" t="s">
        <v>668</v>
      </c>
      <c r="AI4" s="567" t="s">
        <v>669</v>
      </c>
      <c r="AJ4" s="1031" t="s">
        <v>160</v>
      </c>
      <c r="AK4" s="566" t="s">
        <v>668</v>
      </c>
      <c r="AL4" s="567" t="s">
        <v>669</v>
      </c>
      <c r="AM4" s="1031" t="s">
        <v>160</v>
      </c>
      <c r="AN4" s="566" t="s">
        <v>668</v>
      </c>
      <c r="AO4" s="567" t="s">
        <v>669</v>
      </c>
      <c r="AP4" s="1031" t="s">
        <v>160</v>
      </c>
    </row>
    <row r="5" spans="1:42" s="186" customFormat="1" ht="15" customHeight="1" x14ac:dyDescent="0.25">
      <c r="A5" s="5065" t="s">
        <v>446</v>
      </c>
      <c r="B5" s="5046" t="s">
        <v>5</v>
      </c>
      <c r="C5" s="807" t="s">
        <v>452</v>
      </c>
      <c r="D5" s="852">
        <v>34</v>
      </c>
      <c r="E5" s="853">
        <v>53</v>
      </c>
      <c r="F5" s="810">
        <v>87</v>
      </c>
      <c r="G5" s="852">
        <v>24</v>
      </c>
      <c r="H5" s="853">
        <v>82</v>
      </c>
      <c r="I5" s="810">
        <v>106</v>
      </c>
      <c r="J5" s="808">
        <v>21</v>
      </c>
      <c r="K5" s="809">
        <v>62</v>
      </c>
      <c r="L5" s="810">
        <v>83</v>
      </c>
      <c r="M5" s="808">
        <v>44</v>
      </c>
      <c r="N5" s="809">
        <v>71</v>
      </c>
      <c r="O5" s="810">
        <v>115</v>
      </c>
      <c r="P5" s="808">
        <v>38</v>
      </c>
      <c r="Q5" s="809">
        <v>114</v>
      </c>
      <c r="R5" s="810">
        <v>152</v>
      </c>
      <c r="S5" s="808">
        <v>67</v>
      </c>
      <c r="T5" s="809">
        <v>148</v>
      </c>
      <c r="U5" s="810">
        <v>215</v>
      </c>
      <c r="V5" s="808">
        <v>76</v>
      </c>
      <c r="W5" s="809">
        <v>126</v>
      </c>
      <c r="X5" s="810">
        <v>202</v>
      </c>
      <c r="Y5" s="808">
        <v>111</v>
      </c>
      <c r="Z5" s="809">
        <v>168</v>
      </c>
      <c r="AA5" s="810">
        <f>SUM(Y5:Z5)</f>
        <v>279</v>
      </c>
      <c r="AB5" s="808">
        <v>108</v>
      </c>
      <c r="AC5" s="809">
        <v>111</v>
      </c>
      <c r="AD5" s="810">
        <f>SUM(AB5:AC5)</f>
        <v>219</v>
      </c>
      <c r="AE5" s="808">
        <v>56</v>
      </c>
      <c r="AF5" s="809">
        <v>103</v>
      </c>
      <c r="AG5" s="810">
        <f>SUM(AE5:AF5)</f>
        <v>159</v>
      </c>
      <c r="AH5" s="808">
        <v>60</v>
      </c>
      <c r="AI5" s="809">
        <v>96</v>
      </c>
      <c r="AJ5" s="810">
        <f>SUM(AH5:AI5)</f>
        <v>156</v>
      </c>
      <c r="AK5" s="811">
        <v>47</v>
      </c>
      <c r="AL5" s="809">
        <v>105</v>
      </c>
      <c r="AM5" s="810">
        <f>SUM(AK5:AL5)</f>
        <v>152</v>
      </c>
      <c r="AN5" s="811">
        <v>40</v>
      </c>
      <c r="AO5" s="809">
        <v>83</v>
      </c>
      <c r="AP5" s="810">
        <f>SUM(AN5:AO5)</f>
        <v>123</v>
      </c>
    </row>
    <row r="6" spans="1:42" s="186" customFormat="1" ht="15" customHeight="1" x14ac:dyDescent="0.25">
      <c r="A6" s="5066"/>
      <c r="B6" s="5047"/>
      <c r="C6" s="813" t="s">
        <v>453</v>
      </c>
      <c r="D6" s="854">
        <v>35</v>
      </c>
      <c r="E6" s="855">
        <v>93</v>
      </c>
      <c r="F6" s="816">
        <v>128</v>
      </c>
      <c r="G6" s="854">
        <v>40</v>
      </c>
      <c r="H6" s="855">
        <v>135</v>
      </c>
      <c r="I6" s="816">
        <v>175</v>
      </c>
      <c r="J6" s="814">
        <v>68</v>
      </c>
      <c r="K6" s="815">
        <v>100</v>
      </c>
      <c r="L6" s="816">
        <v>168</v>
      </c>
      <c r="M6" s="814">
        <v>58</v>
      </c>
      <c r="N6" s="815">
        <v>140</v>
      </c>
      <c r="O6" s="816">
        <v>198</v>
      </c>
      <c r="P6" s="814">
        <v>57</v>
      </c>
      <c r="Q6" s="815">
        <v>162</v>
      </c>
      <c r="R6" s="816">
        <v>219</v>
      </c>
      <c r="S6" s="814">
        <v>83</v>
      </c>
      <c r="T6" s="815">
        <v>162</v>
      </c>
      <c r="U6" s="816">
        <v>245</v>
      </c>
      <c r="V6" s="814">
        <v>102</v>
      </c>
      <c r="W6" s="815">
        <v>157</v>
      </c>
      <c r="X6" s="816">
        <v>259</v>
      </c>
      <c r="Y6" s="814">
        <v>116</v>
      </c>
      <c r="Z6" s="815">
        <v>225</v>
      </c>
      <c r="AA6" s="816">
        <f t="shared" ref="AA6:AA67" si="0">SUM(Y6:Z6)</f>
        <v>341</v>
      </c>
      <c r="AB6" s="814">
        <v>114</v>
      </c>
      <c r="AC6" s="815">
        <v>115</v>
      </c>
      <c r="AD6" s="816">
        <f t="shared" ref="AD6:AD67" si="1">SUM(AB6:AC6)</f>
        <v>229</v>
      </c>
      <c r="AE6" s="814">
        <v>56</v>
      </c>
      <c r="AF6" s="815">
        <v>106</v>
      </c>
      <c r="AG6" s="816">
        <f t="shared" ref="AG6:AG81" si="2">SUM(AE6:AF6)</f>
        <v>162</v>
      </c>
      <c r="AH6" s="814">
        <v>60</v>
      </c>
      <c r="AI6" s="815">
        <v>97</v>
      </c>
      <c r="AJ6" s="816">
        <f t="shared" ref="AJ6:AJ14" si="3">SUM(AH6:AI6)</f>
        <v>157</v>
      </c>
      <c r="AK6" s="817">
        <v>47</v>
      </c>
      <c r="AL6" s="815">
        <v>115</v>
      </c>
      <c r="AM6" s="816">
        <f t="shared" ref="AM6:AM14" si="4">SUM(AK6:AL6)</f>
        <v>162</v>
      </c>
      <c r="AN6" s="817">
        <v>40</v>
      </c>
      <c r="AO6" s="815">
        <v>88</v>
      </c>
      <c r="AP6" s="816">
        <f t="shared" ref="AP6:AP14" si="5">SUM(AN6:AO6)</f>
        <v>128</v>
      </c>
    </row>
    <row r="7" spans="1:42" s="186" customFormat="1" ht="15" customHeight="1" x14ac:dyDescent="0.25">
      <c r="A7" s="5066"/>
      <c r="B7" s="5047"/>
      <c r="C7" s="813" t="s">
        <v>454</v>
      </c>
      <c r="D7" s="854">
        <v>24</v>
      </c>
      <c r="E7" s="855">
        <v>57</v>
      </c>
      <c r="F7" s="816">
        <v>81</v>
      </c>
      <c r="G7" s="854">
        <v>58</v>
      </c>
      <c r="H7" s="855">
        <v>80</v>
      </c>
      <c r="I7" s="816">
        <v>138</v>
      </c>
      <c r="J7" s="814">
        <v>20</v>
      </c>
      <c r="K7" s="815">
        <v>39</v>
      </c>
      <c r="L7" s="816">
        <v>59</v>
      </c>
      <c r="M7" s="814">
        <v>27</v>
      </c>
      <c r="N7" s="815">
        <v>50</v>
      </c>
      <c r="O7" s="816">
        <v>77</v>
      </c>
      <c r="P7" s="814">
        <v>33</v>
      </c>
      <c r="Q7" s="815">
        <v>57</v>
      </c>
      <c r="R7" s="816">
        <v>90</v>
      </c>
      <c r="S7" s="814">
        <v>35</v>
      </c>
      <c r="T7" s="815">
        <v>75</v>
      </c>
      <c r="U7" s="816">
        <v>110</v>
      </c>
      <c r="V7" s="814">
        <v>54</v>
      </c>
      <c r="W7" s="815">
        <v>84</v>
      </c>
      <c r="X7" s="816">
        <v>138</v>
      </c>
      <c r="Y7" s="814">
        <v>29</v>
      </c>
      <c r="Z7" s="815">
        <v>74</v>
      </c>
      <c r="AA7" s="816">
        <f t="shared" si="0"/>
        <v>103</v>
      </c>
      <c r="AB7" s="814">
        <v>97</v>
      </c>
      <c r="AC7" s="815">
        <v>77</v>
      </c>
      <c r="AD7" s="816">
        <f t="shared" si="1"/>
        <v>174</v>
      </c>
      <c r="AE7" s="814">
        <v>55</v>
      </c>
      <c r="AF7" s="815">
        <v>78</v>
      </c>
      <c r="AG7" s="816">
        <f t="shared" si="2"/>
        <v>133</v>
      </c>
      <c r="AH7" s="814">
        <v>61</v>
      </c>
      <c r="AI7" s="815">
        <v>85</v>
      </c>
      <c r="AJ7" s="816">
        <f t="shared" si="3"/>
        <v>146</v>
      </c>
      <c r="AK7" s="817">
        <v>32</v>
      </c>
      <c r="AL7" s="815">
        <v>75</v>
      </c>
      <c r="AM7" s="816">
        <f t="shared" si="4"/>
        <v>107</v>
      </c>
      <c r="AN7" s="817">
        <v>35</v>
      </c>
      <c r="AO7" s="815">
        <v>71</v>
      </c>
      <c r="AP7" s="816">
        <f t="shared" si="5"/>
        <v>106</v>
      </c>
    </row>
    <row r="8" spans="1:42" s="186" customFormat="1" ht="15" customHeight="1" x14ac:dyDescent="0.25">
      <c r="A8" s="5066"/>
      <c r="B8" s="5047"/>
      <c r="C8" s="813" t="s">
        <v>455</v>
      </c>
      <c r="D8" s="854">
        <v>18</v>
      </c>
      <c r="E8" s="855">
        <v>41</v>
      </c>
      <c r="F8" s="816">
        <v>59</v>
      </c>
      <c r="G8" s="854">
        <v>30</v>
      </c>
      <c r="H8" s="855">
        <v>54</v>
      </c>
      <c r="I8" s="816">
        <v>84</v>
      </c>
      <c r="J8" s="814">
        <v>28</v>
      </c>
      <c r="K8" s="815">
        <v>54</v>
      </c>
      <c r="L8" s="816">
        <v>82</v>
      </c>
      <c r="M8" s="814">
        <v>16</v>
      </c>
      <c r="N8" s="815">
        <v>42</v>
      </c>
      <c r="O8" s="816">
        <v>58</v>
      </c>
      <c r="P8" s="814">
        <v>11</v>
      </c>
      <c r="Q8" s="815">
        <v>42</v>
      </c>
      <c r="R8" s="816">
        <v>53</v>
      </c>
      <c r="S8" s="814">
        <v>26</v>
      </c>
      <c r="T8" s="815">
        <v>61</v>
      </c>
      <c r="U8" s="816">
        <v>87</v>
      </c>
      <c r="V8" s="814">
        <v>28</v>
      </c>
      <c r="W8" s="815">
        <v>70</v>
      </c>
      <c r="X8" s="816">
        <v>98</v>
      </c>
      <c r="Y8" s="814">
        <v>38</v>
      </c>
      <c r="Z8" s="815">
        <v>94</v>
      </c>
      <c r="AA8" s="816">
        <f t="shared" si="0"/>
        <v>132</v>
      </c>
      <c r="AB8" s="814">
        <v>94</v>
      </c>
      <c r="AC8" s="815">
        <v>81</v>
      </c>
      <c r="AD8" s="816">
        <f t="shared" si="1"/>
        <v>175</v>
      </c>
      <c r="AE8" s="814">
        <v>45</v>
      </c>
      <c r="AF8" s="815">
        <v>87</v>
      </c>
      <c r="AG8" s="816">
        <f t="shared" si="2"/>
        <v>132</v>
      </c>
      <c r="AH8" s="814">
        <v>60</v>
      </c>
      <c r="AI8" s="815">
        <v>92</v>
      </c>
      <c r="AJ8" s="816">
        <f t="shared" si="3"/>
        <v>152</v>
      </c>
      <c r="AK8" s="817">
        <v>49</v>
      </c>
      <c r="AL8" s="815">
        <v>97</v>
      </c>
      <c r="AM8" s="816">
        <f t="shared" si="4"/>
        <v>146</v>
      </c>
      <c r="AN8" s="817">
        <v>40</v>
      </c>
      <c r="AO8" s="815">
        <v>90</v>
      </c>
      <c r="AP8" s="816">
        <f t="shared" si="5"/>
        <v>130</v>
      </c>
    </row>
    <row r="9" spans="1:42" s="186" customFormat="1" ht="15" customHeight="1" x14ac:dyDescent="0.25">
      <c r="A9" s="5066"/>
      <c r="B9" s="5047"/>
      <c r="C9" s="813" t="s">
        <v>456</v>
      </c>
      <c r="D9" s="854">
        <v>90</v>
      </c>
      <c r="E9" s="855">
        <v>169</v>
      </c>
      <c r="F9" s="816">
        <v>259</v>
      </c>
      <c r="G9" s="854">
        <v>130</v>
      </c>
      <c r="H9" s="855">
        <v>168</v>
      </c>
      <c r="I9" s="816">
        <v>298</v>
      </c>
      <c r="J9" s="814">
        <v>101</v>
      </c>
      <c r="K9" s="815">
        <v>182</v>
      </c>
      <c r="L9" s="816">
        <v>283</v>
      </c>
      <c r="M9" s="814">
        <v>90</v>
      </c>
      <c r="N9" s="815">
        <v>231</v>
      </c>
      <c r="O9" s="816">
        <v>321</v>
      </c>
      <c r="P9" s="814">
        <v>123</v>
      </c>
      <c r="Q9" s="815">
        <v>230</v>
      </c>
      <c r="R9" s="816">
        <v>353</v>
      </c>
      <c r="S9" s="814">
        <v>98</v>
      </c>
      <c r="T9" s="815">
        <v>187</v>
      </c>
      <c r="U9" s="816">
        <v>285</v>
      </c>
      <c r="V9" s="814">
        <v>95</v>
      </c>
      <c r="W9" s="815">
        <v>131</v>
      </c>
      <c r="X9" s="816">
        <v>226</v>
      </c>
      <c r="Y9" s="814">
        <v>118</v>
      </c>
      <c r="Z9" s="815">
        <v>189</v>
      </c>
      <c r="AA9" s="816">
        <f t="shared" si="0"/>
        <v>307</v>
      </c>
      <c r="AB9" s="814">
        <v>112</v>
      </c>
      <c r="AC9" s="815">
        <v>107</v>
      </c>
      <c r="AD9" s="816">
        <f t="shared" si="1"/>
        <v>219</v>
      </c>
      <c r="AE9" s="814">
        <v>46</v>
      </c>
      <c r="AF9" s="815">
        <v>98</v>
      </c>
      <c r="AG9" s="816">
        <f t="shared" si="2"/>
        <v>144</v>
      </c>
      <c r="AH9" s="814">
        <v>60</v>
      </c>
      <c r="AI9" s="815">
        <v>103</v>
      </c>
      <c r="AJ9" s="816">
        <f t="shared" si="3"/>
        <v>163</v>
      </c>
      <c r="AK9" s="817">
        <v>47</v>
      </c>
      <c r="AL9" s="815">
        <v>100</v>
      </c>
      <c r="AM9" s="816">
        <f t="shared" si="4"/>
        <v>147</v>
      </c>
      <c r="AN9" s="817">
        <v>40</v>
      </c>
      <c r="AO9" s="815">
        <v>91</v>
      </c>
      <c r="AP9" s="816">
        <f t="shared" si="5"/>
        <v>131</v>
      </c>
    </row>
    <row r="10" spans="1:42" s="186" customFormat="1" ht="15" customHeight="1" x14ac:dyDescent="0.25">
      <c r="A10" s="5066"/>
      <c r="B10" s="5047"/>
      <c r="C10" s="813" t="s">
        <v>457</v>
      </c>
      <c r="D10" s="854">
        <v>56</v>
      </c>
      <c r="E10" s="855">
        <v>133</v>
      </c>
      <c r="F10" s="816">
        <v>189</v>
      </c>
      <c r="G10" s="854">
        <v>69</v>
      </c>
      <c r="H10" s="855">
        <v>134</v>
      </c>
      <c r="I10" s="816">
        <v>203</v>
      </c>
      <c r="J10" s="814">
        <v>91</v>
      </c>
      <c r="K10" s="815">
        <v>144</v>
      </c>
      <c r="L10" s="816">
        <v>235</v>
      </c>
      <c r="M10" s="814">
        <v>102</v>
      </c>
      <c r="N10" s="815">
        <v>173</v>
      </c>
      <c r="O10" s="816">
        <v>275</v>
      </c>
      <c r="P10" s="814">
        <v>63</v>
      </c>
      <c r="Q10" s="815">
        <v>208</v>
      </c>
      <c r="R10" s="816">
        <v>271</v>
      </c>
      <c r="S10" s="814">
        <v>73</v>
      </c>
      <c r="T10" s="815">
        <v>165</v>
      </c>
      <c r="U10" s="816">
        <v>238</v>
      </c>
      <c r="V10" s="814">
        <v>87</v>
      </c>
      <c r="W10" s="815">
        <v>144</v>
      </c>
      <c r="X10" s="816">
        <v>231</v>
      </c>
      <c r="Y10" s="814">
        <v>111</v>
      </c>
      <c r="Z10" s="815">
        <v>167</v>
      </c>
      <c r="AA10" s="816">
        <f t="shared" si="0"/>
        <v>278</v>
      </c>
      <c r="AB10" s="814">
        <v>115</v>
      </c>
      <c r="AC10" s="815">
        <v>107</v>
      </c>
      <c r="AD10" s="816">
        <f t="shared" si="1"/>
        <v>222</v>
      </c>
      <c r="AE10" s="814">
        <v>45</v>
      </c>
      <c r="AF10" s="815">
        <v>92</v>
      </c>
      <c r="AG10" s="816">
        <f t="shared" si="2"/>
        <v>137</v>
      </c>
      <c r="AH10" s="814">
        <v>60</v>
      </c>
      <c r="AI10" s="815">
        <v>98</v>
      </c>
      <c r="AJ10" s="816">
        <f t="shared" si="3"/>
        <v>158</v>
      </c>
      <c r="AK10" s="817">
        <v>47</v>
      </c>
      <c r="AL10" s="815">
        <v>110</v>
      </c>
      <c r="AM10" s="816">
        <f t="shared" si="4"/>
        <v>157</v>
      </c>
      <c r="AN10" s="817">
        <v>40</v>
      </c>
      <c r="AO10" s="815">
        <v>88</v>
      </c>
      <c r="AP10" s="816">
        <f t="shared" si="5"/>
        <v>128</v>
      </c>
    </row>
    <row r="11" spans="1:42" s="186" customFormat="1" ht="15" customHeight="1" x14ac:dyDescent="0.25">
      <c r="A11" s="5066"/>
      <c r="B11" s="5047"/>
      <c r="C11" s="813" t="s">
        <v>458</v>
      </c>
      <c r="D11" s="854">
        <v>4</v>
      </c>
      <c r="E11" s="855">
        <v>13</v>
      </c>
      <c r="F11" s="816">
        <v>17</v>
      </c>
      <c r="G11" s="854">
        <v>7</v>
      </c>
      <c r="H11" s="855">
        <v>29</v>
      </c>
      <c r="I11" s="816">
        <v>36</v>
      </c>
      <c r="J11" s="814">
        <v>13</v>
      </c>
      <c r="K11" s="815">
        <v>27</v>
      </c>
      <c r="L11" s="816">
        <v>40</v>
      </c>
      <c r="M11" s="814">
        <v>8</v>
      </c>
      <c r="N11" s="815">
        <v>39</v>
      </c>
      <c r="O11" s="816">
        <v>47</v>
      </c>
      <c r="P11" s="814">
        <v>14</v>
      </c>
      <c r="Q11" s="815">
        <v>29</v>
      </c>
      <c r="R11" s="816">
        <v>43</v>
      </c>
      <c r="S11" s="814">
        <v>12</v>
      </c>
      <c r="T11" s="815">
        <v>42</v>
      </c>
      <c r="U11" s="816">
        <v>54</v>
      </c>
      <c r="V11" s="814">
        <v>21</v>
      </c>
      <c r="W11" s="815">
        <v>59</v>
      </c>
      <c r="X11" s="816">
        <v>80</v>
      </c>
      <c r="Y11" s="814">
        <v>22</v>
      </c>
      <c r="Z11" s="815">
        <v>59</v>
      </c>
      <c r="AA11" s="816">
        <f t="shared" si="0"/>
        <v>81</v>
      </c>
      <c r="AB11" s="814">
        <v>96</v>
      </c>
      <c r="AC11" s="815">
        <v>51</v>
      </c>
      <c r="AD11" s="816">
        <f t="shared" si="1"/>
        <v>147</v>
      </c>
      <c r="AE11" s="814">
        <v>55</v>
      </c>
      <c r="AF11" s="815">
        <v>75</v>
      </c>
      <c r="AG11" s="816">
        <f t="shared" si="2"/>
        <v>130</v>
      </c>
      <c r="AH11" s="814">
        <v>60</v>
      </c>
      <c r="AI11" s="815">
        <v>93</v>
      </c>
      <c r="AJ11" s="816">
        <f t="shared" si="3"/>
        <v>153</v>
      </c>
      <c r="AK11" s="817">
        <v>39</v>
      </c>
      <c r="AL11" s="815">
        <v>84</v>
      </c>
      <c r="AM11" s="816">
        <f t="shared" si="4"/>
        <v>123</v>
      </c>
      <c r="AN11" s="817">
        <v>40</v>
      </c>
      <c r="AO11" s="815">
        <v>85</v>
      </c>
      <c r="AP11" s="816">
        <f t="shared" si="5"/>
        <v>125</v>
      </c>
    </row>
    <row r="12" spans="1:42" s="186" customFormat="1" ht="15" customHeight="1" x14ac:dyDescent="0.25">
      <c r="A12" s="5066"/>
      <c r="B12" s="5047"/>
      <c r="C12" s="813" t="s">
        <v>459</v>
      </c>
      <c r="D12" s="854">
        <v>50</v>
      </c>
      <c r="E12" s="855">
        <v>131</v>
      </c>
      <c r="F12" s="816">
        <v>181</v>
      </c>
      <c r="G12" s="854">
        <v>50</v>
      </c>
      <c r="H12" s="855">
        <v>139</v>
      </c>
      <c r="I12" s="816">
        <v>189</v>
      </c>
      <c r="J12" s="814">
        <v>51</v>
      </c>
      <c r="K12" s="815">
        <v>126</v>
      </c>
      <c r="L12" s="816">
        <v>177</v>
      </c>
      <c r="M12" s="814">
        <v>74</v>
      </c>
      <c r="N12" s="815">
        <v>117</v>
      </c>
      <c r="O12" s="816">
        <v>191</v>
      </c>
      <c r="P12" s="814">
        <v>62</v>
      </c>
      <c r="Q12" s="815">
        <v>184</v>
      </c>
      <c r="R12" s="816">
        <v>246</v>
      </c>
      <c r="S12" s="814">
        <v>75</v>
      </c>
      <c r="T12" s="815">
        <v>155</v>
      </c>
      <c r="U12" s="816">
        <v>230</v>
      </c>
      <c r="V12" s="814">
        <v>81</v>
      </c>
      <c r="W12" s="815">
        <v>140</v>
      </c>
      <c r="X12" s="816">
        <v>221</v>
      </c>
      <c r="Y12" s="814">
        <v>117</v>
      </c>
      <c r="Z12" s="815">
        <v>155</v>
      </c>
      <c r="AA12" s="816">
        <f t="shared" si="0"/>
        <v>272</v>
      </c>
      <c r="AB12" s="814">
        <v>100</v>
      </c>
      <c r="AC12" s="815">
        <v>110</v>
      </c>
      <c r="AD12" s="816">
        <f t="shared" si="1"/>
        <v>210</v>
      </c>
      <c r="AE12" s="814">
        <v>55</v>
      </c>
      <c r="AF12" s="815">
        <v>96</v>
      </c>
      <c r="AG12" s="816">
        <f t="shared" si="2"/>
        <v>151</v>
      </c>
      <c r="AH12" s="814">
        <v>59</v>
      </c>
      <c r="AI12" s="815">
        <v>97</v>
      </c>
      <c r="AJ12" s="816">
        <f t="shared" si="3"/>
        <v>156</v>
      </c>
      <c r="AK12" s="817">
        <v>48</v>
      </c>
      <c r="AL12" s="815">
        <v>122</v>
      </c>
      <c r="AM12" s="816">
        <f t="shared" si="4"/>
        <v>170</v>
      </c>
      <c r="AN12" s="817">
        <v>40</v>
      </c>
      <c r="AO12" s="815">
        <v>91</v>
      </c>
      <c r="AP12" s="816">
        <f t="shared" si="5"/>
        <v>131</v>
      </c>
    </row>
    <row r="13" spans="1:42" s="186" customFormat="1" ht="15" customHeight="1" x14ac:dyDescent="0.25">
      <c r="A13" s="5066"/>
      <c r="B13" s="5047"/>
      <c r="C13" s="813" t="s">
        <v>460</v>
      </c>
      <c r="D13" s="854">
        <v>109</v>
      </c>
      <c r="E13" s="855">
        <v>172</v>
      </c>
      <c r="F13" s="816">
        <v>281</v>
      </c>
      <c r="G13" s="854">
        <v>143</v>
      </c>
      <c r="H13" s="855">
        <v>187</v>
      </c>
      <c r="I13" s="816">
        <v>330</v>
      </c>
      <c r="J13" s="814">
        <v>161</v>
      </c>
      <c r="K13" s="815">
        <v>255</v>
      </c>
      <c r="L13" s="816">
        <v>416</v>
      </c>
      <c r="M13" s="814">
        <v>169</v>
      </c>
      <c r="N13" s="815">
        <v>200</v>
      </c>
      <c r="O13" s="816">
        <v>369</v>
      </c>
      <c r="P13" s="814">
        <v>144</v>
      </c>
      <c r="Q13" s="815">
        <v>175</v>
      </c>
      <c r="R13" s="816">
        <v>319</v>
      </c>
      <c r="S13" s="814">
        <v>76</v>
      </c>
      <c r="T13" s="815">
        <v>177</v>
      </c>
      <c r="U13" s="816">
        <v>253</v>
      </c>
      <c r="V13" s="814">
        <v>83</v>
      </c>
      <c r="W13" s="815">
        <v>167</v>
      </c>
      <c r="X13" s="816">
        <v>250</v>
      </c>
      <c r="Y13" s="814">
        <v>119</v>
      </c>
      <c r="Z13" s="815">
        <v>168</v>
      </c>
      <c r="AA13" s="816">
        <f t="shared" si="0"/>
        <v>287</v>
      </c>
      <c r="AB13" s="814">
        <v>111</v>
      </c>
      <c r="AC13" s="815">
        <v>110</v>
      </c>
      <c r="AD13" s="816">
        <f t="shared" si="1"/>
        <v>221</v>
      </c>
      <c r="AE13" s="814">
        <v>56</v>
      </c>
      <c r="AF13" s="815">
        <v>102</v>
      </c>
      <c r="AG13" s="816">
        <f t="shared" si="2"/>
        <v>158</v>
      </c>
      <c r="AH13" s="814">
        <v>60</v>
      </c>
      <c r="AI13" s="815">
        <v>95</v>
      </c>
      <c r="AJ13" s="816">
        <f t="shared" si="3"/>
        <v>155</v>
      </c>
      <c r="AK13" s="817">
        <v>48</v>
      </c>
      <c r="AL13" s="815">
        <v>95</v>
      </c>
      <c r="AM13" s="816">
        <f t="shared" si="4"/>
        <v>143</v>
      </c>
      <c r="AN13" s="817">
        <v>40</v>
      </c>
      <c r="AO13" s="815">
        <v>81</v>
      </c>
      <c r="AP13" s="816">
        <f t="shared" si="5"/>
        <v>121</v>
      </c>
    </row>
    <row r="14" spans="1:42" s="186" customFormat="1" ht="15" customHeight="1" x14ac:dyDescent="0.25">
      <c r="A14" s="5066"/>
      <c r="B14" s="5047"/>
      <c r="C14" s="822" t="s">
        <v>461</v>
      </c>
      <c r="D14" s="823"/>
      <c r="E14" s="859">
        <v>132</v>
      </c>
      <c r="F14" s="825">
        <v>132</v>
      </c>
      <c r="G14" s="860">
        <v>225</v>
      </c>
      <c r="H14" s="859">
        <v>209</v>
      </c>
      <c r="I14" s="825">
        <v>434</v>
      </c>
      <c r="J14" s="823">
        <v>203</v>
      </c>
      <c r="K14" s="824">
        <v>277</v>
      </c>
      <c r="L14" s="825">
        <v>480</v>
      </c>
      <c r="M14" s="823">
        <v>214</v>
      </c>
      <c r="N14" s="824">
        <v>291</v>
      </c>
      <c r="O14" s="825">
        <v>505</v>
      </c>
      <c r="P14" s="823">
        <v>166</v>
      </c>
      <c r="Q14" s="824">
        <v>179</v>
      </c>
      <c r="R14" s="825">
        <v>345</v>
      </c>
      <c r="S14" s="823">
        <v>177</v>
      </c>
      <c r="T14" s="824">
        <v>226</v>
      </c>
      <c r="U14" s="825">
        <v>403</v>
      </c>
      <c r="V14" s="823">
        <v>157</v>
      </c>
      <c r="W14" s="824">
        <v>181</v>
      </c>
      <c r="X14" s="825">
        <v>338</v>
      </c>
      <c r="Y14" s="823">
        <v>144</v>
      </c>
      <c r="Z14" s="824">
        <v>161</v>
      </c>
      <c r="AA14" s="825">
        <f t="shared" si="0"/>
        <v>305</v>
      </c>
      <c r="AB14" s="826">
        <v>111</v>
      </c>
      <c r="AC14" s="824">
        <v>109</v>
      </c>
      <c r="AD14" s="825">
        <f t="shared" si="1"/>
        <v>220</v>
      </c>
      <c r="AE14" s="826">
        <v>46</v>
      </c>
      <c r="AF14" s="824">
        <v>97</v>
      </c>
      <c r="AG14" s="825">
        <f t="shared" si="2"/>
        <v>143</v>
      </c>
      <c r="AH14" s="826">
        <v>60</v>
      </c>
      <c r="AI14" s="824">
        <v>92</v>
      </c>
      <c r="AJ14" s="825">
        <f t="shared" si="3"/>
        <v>152</v>
      </c>
      <c r="AK14" s="817">
        <v>50</v>
      </c>
      <c r="AL14" s="824">
        <v>97</v>
      </c>
      <c r="AM14" s="825">
        <f t="shared" si="4"/>
        <v>147</v>
      </c>
      <c r="AN14" s="817">
        <v>40</v>
      </c>
      <c r="AO14" s="824">
        <v>86</v>
      </c>
      <c r="AP14" s="825">
        <f t="shared" si="5"/>
        <v>126</v>
      </c>
    </row>
    <row r="15" spans="1:42" s="186" customFormat="1" ht="15" customHeight="1" x14ac:dyDescent="0.25">
      <c r="A15" s="5066"/>
      <c r="B15" s="5048"/>
      <c r="C15" s="875" t="s">
        <v>160</v>
      </c>
      <c r="D15" s="876">
        <f>SUM(D5:D14)</f>
        <v>420</v>
      </c>
      <c r="E15" s="877">
        <f t="shared" ref="E15:AG15" si="6">SUM(E5:E14)</f>
        <v>994</v>
      </c>
      <c r="F15" s="586">
        <f t="shared" si="6"/>
        <v>1414</v>
      </c>
      <c r="G15" s="876">
        <f t="shared" si="6"/>
        <v>776</v>
      </c>
      <c r="H15" s="877">
        <f t="shared" si="6"/>
        <v>1217</v>
      </c>
      <c r="I15" s="586">
        <f t="shared" si="6"/>
        <v>1993</v>
      </c>
      <c r="J15" s="876">
        <f t="shared" si="6"/>
        <v>757</v>
      </c>
      <c r="K15" s="877">
        <f t="shared" si="6"/>
        <v>1266</v>
      </c>
      <c r="L15" s="586">
        <f t="shared" si="6"/>
        <v>2023</v>
      </c>
      <c r="M15" s="876">
        <f t="shared" si="6"/>
        <v>802</v>
      </c>
      <c r="N15" s="877">
        <f t="shared" si="6"/>
        <v>1354</v>
      </c>
      <c r="O15" s="586">
        <f t="shared" si="6"/>
        <v>2156</v>
      </c>
      <c r="P15" s="876">
        <f t="shared" si="6"/>
        <v>711</v>
      </c>
      <c r="Q15" s="877">
        <f t="shared" si="6"/>
        <v>1380</v>
      </c>
      <c r="R15" s="586">
        <f t="shared" si="6"/>
        <v>2091</v>
      </c>
      <c r="S15" s="876">
        <f t="shared" si="6"/>
        <v>722</v>
      </c>
      <c r="T15" s="877">
        <f t="shared" si="6"/>
        <v>1398</v>
      </c>
      <c r="U15" s="586">
        <f t="shared" si="6"/>
        <v>2120</v>
      </c>
      <c r="V15" s="876">
        <f t="shared" si="6"/>
        <v>784</v>
      </c>
      <c r="W15" s="877">
        <f t="shared" si="6"/>
        <v>1259</v>
      </c>
      <c r="X15" s="586">
        <f t="shared" si="6"/>
        <v>2043</v>
      </c>
      <c r="Y15" s="876">
        <f t="shared" si="6"/>
        <v>925</v>
      </c>
      <c r="Z15" s="877">
        <f t="shared" si="6"/>
        <v>1460</v>
      </c>
      <c r="AA15" s="586">
        <f t="shared" si="6"/>
        <v>2385</v>
      </c>
      <c r="AB15" s="876">
        <f t="shared" si="6"/>
        <v>1058</v>
      </c>
      <c r="AC15" s="877">
        <f t="shared" si="6"/>
        <v>978</v>
      </c>
      <c r="AD15" s="586">
        <f t="shared" si="6"/>
        <v>2036</v>
      </c>
      <c r="AE15" s="876">
        <f t="shared" si="6"/>
        <v>515</v>
      </c>
      <c r="AF15" s="877">
        <f t="shared" si="6"/>
        <v>934</v>
      </c>
      <c r="AG15" s="586">
        <f t="shared" si="6"/>
        <v>1449</v>
      </c>
      <c r="AH15" s="876">
        <f t="shared" ref="AH15:AM15" si="7">SUM(AH5:AH14)</f>
        <v>600</v>
      </c>
      <c r="AI15" s="1522">
        <f t="shared" si="7"/>
        <v>948</v>
      </c>
      <c r="AJ15" s="586">
        <f t="shared" si="7"/>
        <v>1548</v>
      </c>
      <c r="AK15" s="2328">
        <f>SUM(AK5:AK14)</f>
        <v>454</v>
      </c>
      <c r="AL15" s="2332">
        <f>SUM(AL5:AL14)</f>
        <v>1000</v>
      </c>
      <c r="AM15" s="586">
        <f t="shared" si="7"/>
        <v>1454</v>
      </c>
      <c r="AN15" s="2328">
        <f>SUM(AN5:AN14)</f>
        <v>395</v>
      </c>
      <c r="AO15" s="2332">
        <f>SUM(AO5:AO14)</f>
        <v>854</v>
      </c>
      <c r="AP15" s="586">
        <f t="shared" ref="AP15" si="8">SUM(AP5:AP14)</f>
        <v>1249</v>
      </c>
    </row>
    <row r="16" spans="1:42" s="186" customFormat="1" ht="15" customHeight="1" x14ac:dyDescent="0.25">
      <c r="A16" s="5066"/>
      <c r="B16" s="5046" t="s">
        <v>6</v>
      </c>
      <c r="C16" s="827" t="s">
        <v>462</v>
      </c>
      <c r="D16" s="861">
        <v>113</v>
      </c>
      <c r="E16" s="862">
        <v>192</v>
      </c>
      <c r="F16" s="830">
        <v>305</v>
      </c>
      <c r="G16" s="861">
        <v>123</v>
      </c>
      <c r="H16" s="862">
        <v>200</v>
      </c>
      <c r="I16" s="830">
        <v>323</v>
      </c>
      <c r="J16" s="828">
        <v>119</v>
      </c>
      <c r="K16" s="829">
        <v>208</v>
      </c>
      <c r="L16" s="830">
        <v>327</v>
      </c>
      <c r="M16" s="828">
        <v>109</v>
      </c>
      <c r="N16" s="829">
        <v>215</v>
      </c>
      <c r="O16" s="830">
        <v>324</v>
      </c>
      <c r="P16" s="828">
        <v>201</v>
      </c>
      <c r="Q16" s="829">
        <v>181</v>
      </c>
      <c r="R16" s="830">
        <v>382</v>
      </c>
      <c r="S16" s="828">
        <v>165</v>
      </c>
      <c r="T16" s="829">
        <v>187</v>
      </c>
      <c r="U16" s="830">
        <v>352</v>
      </c>
      <c r="V16" s="828">
        <v>154</v>
      </c>
      <c r="W16" s="829">
        <v>204</v>
      </c>
      <c r="X16" s="830">
        <v>358</v>
      </c>
      <c r="Y16" s="828">
        <v>154</v>
      </c>
      <c r="Z16" s="829">
        <v>180</v>
      </c>
      <c r="AA16" s="830">
        <f t="shared" si="0"/>
        <v>334</v>
      </c>
      <c r="AB16" s="828">
        <v>154</v>
      </c>
      <c r="AC16" s="829">
        <v>185</v>
      </c>
      <c r="AD16" s="830">
        <f t="shared" si="1"/>
        <v>339</v>
      </c>
      <c r="AE16" s="828">
        <v>168</v>
      </c>
      <c r="AF16" s="829">
        <v>219</v>
      </c>
      <c r="AG16" s="830">
        <f t="shared" si="2"/>
        <v>387</v>
      </c>
      <c r="AH16" s="828">
        <v>163</v>
      </c>
      <c r="AI16" s="829">
        <v>215</v>
      </c>
      <c r="AJ16" s="830">
        <f>SUM(AH16:AI16)</f>
        <v>378</v>
      </c>
      <c r="AK16" s="831">
        <v>161</v>
      </c>
      <c r="AL16" s="829">
        <v>197</v>
      </c>
      <c r="AM16" s="830">
        <f>SUM(AK16:AL16)</f>
        <v>358</v>
      </c>
      <c r="AN16" s="831">
        <v>176</v>
      </c>
      <c r="AO16" s="829">
        <v>212</v>
      </c>
      <c r="AP16" s="830">
        <f>SUM(AN16:AO16)</f>
        <v>388</v>
      </c>
    </row>
    <row r="17" spans="1:42" s="186" customFormat="1" ht="15" customHeight="1" x14ac:dyDescent="0.25">
      <c r="A17" s="5066"/>
      <c r="B17" s="5047"/>
      <c r="C17" s="813" t="s">
        <v>463</v>
      </c>
      <c r="D17" s="854">
        <v>176</v>
      </c>
      <c r="E17" s="855">
        <v>274</v>
      </c>
      <c r="F17" s="816">
        <v>450</v>
      </c>
      <c r="G17" s="854">
        <v>144</v>
      </c>
      <c r="H17" s="855">
        <v>281</v>
      </c>
      <c r="I17" s="816">
        <v>425</v>
      </c>
      <c r="J17" s="814">
        <v>183</v>
      </c>
      <c r="K17" s="815">
        <v>298</v>
      </c>
      <c r="L17" s="816">
        <v>481</v>
      </c>
      <c r="M17" s="814">
        <v>141</v>
      </c>
      <c r="N17" s="815">
        <v>298</v>
      </c>
      <c r="O17" s="816">
        <v>439</v>
      </c>
      <c r="P17" s="814">
        <v>218</v>
      </c>
      <c r="Q17" s="815">
        <v>237</v>
      </c>
      <c r="R17" s="816">
        <v>455</v>
      </c>
      <c r="S17" s="814">
        <v>246</v>
      </c>
      <c r="T17" s="815">
        <v>245</v>
      </c>
      <c r="U17" s="816">
        <v>491</v>
      </c>
      <c r="V17" s="814">
        <v>224</v>
      </c>
      <c r="W17" s="815">
        <v>314</v>
      </c>
      <c r="X17" s="816">
        <v>538</v>
      </c>
      <c r="Y17" s="814">
        <v>244</v>
      </c>
      <c r="Z17" s="815">
        <v>279</v>
      </c>
      <c r="AA17" s="816">
        <f t="shared" si="0"/>
        <v>523</v>
      </c>
      <c r="AB17" s="814">
        <v>248</v>
      </c>
      <c r="AC17" s="815">
        <v>281</v>
      </c>
      <c r="AD17" s="816">
        <f t="shared" si="1"/>
        <v>529</v>
      </c>
      <c r="AE17" s="814">
        <v>270</v>
      </c>
      <c r="AF17" s="815">
        <v>337</v>
      </c>
      <c r="AG17" s="816">
        <f t="shared" si="2"/>
        <v>607</v>
      </c>
      <c r="AH17" s="814">
        <v>251</v>
      </c>
      <c r="AI17" s="815">
        <v>316</v>
      </c>
      <c r="AJ17" s="816">
        <f>SUM(AH17:AI17)</f>
        <v>567</v>
      </c>
      <c r="AK17" s="817">
        <v>243</v>
      </c>
      <c r="AL17" s="815">
        <v>324</v>
      </c>
      <c r="AM17" s="816">
        <f>SUM(AK17:AL17)</f>
        <v>567</v>
      </c>
      <c r="AN17" s="817">
        <v>269</v>
      </c>
      <c r="AO17" s="815">
        <v>331</v>
      </c>
      <c r="AP17" s="816">
        <f>SUM(AN17:AO17)</f>
        <v>600</v>
      </c>
    </row>
    <row r="18" spans="1:42" s="186" customFormat="1" ht="15" customHeight="1" x14ac:dyDescent="0.25">
      <c r="A18" s="5066"/>
      <c r="B18" s="5047"/>
      <c r="C18" s="813" t="s">
        <v>464</v>
      </c>
      <c r="D18" s="854">
        <v>107</v>
      </c>
      <c r="E18" s="855">
        <v>118</v>
      </c>
      <c r="F18" s="816">
        <v>225</v>
      </c>
      <c r="G18" s="854">
        <v>96</v>
      </c>
      <c r="H18" s="855">
        <v>158</v>
      </c>
      <c r="I18" s="816">
        <v>254</v>
      </c>
      <c r="J18" s="814">
        <v>114</v>
      </c>
      <c r="K18" s="815">
        <v>114</v>
      </c>
      <c r="L18" s="816">
        <v>228</v>
      </c>
      <c r="M18" s="814">
        <v>99</v>
      </c>
      <c r="N18" s="815">
        <v>163</v>
      </c>
      <c r="O18" s="816">
        <v>262</v>
      </c>
      <c r="P18" s="814">
        <v>95</v>
      </c>
      <c r="Q18" s="815">
        <v>150</v>
      </c>
      <c r="R18" s="816">
        <v>245</v>
      </c>
      <c r="S18" s="814">
        <v>145</v>
      </c>
      <c r="T18" s="815">
        <v>143</v>
      </c>
      <c r="U18" s="816">
        <v>288</v>
      </c>
      <c r="V18" s="814">
        <v>129</v>
      </c>
      <c r="W18" s="815">
        <v>174</v>
      </c>
      <c r="X18" s="816">
        <v>303</v>
      </c>
      <c r="Y18" s="814">
        <v>110</v>
      </c>
      <c r="Z18" s="815">
        <v>140</v>
      </c>
      <c r="AA18" s="816">
        <f t="shared" si="0"/>
        <v>250</v>
      </c>
      <c r="AB18" s="814">
        <v>123</v>
      </c>
      <c r="AC18" s="815">
        <v>160</v>
      </c>
      <c r="AD18" s="816">
        <f t="shared" si="1"/>
        <v>283</v>
      </c>
      <c r="AE18" s="814">
        <v>134</v>
      </c>
      <c r="AF18" s="815">
        <v>175</v>
      </c>
      <c r="AG18" s="816">
        <f t="shared" si="2"/>
        <v>309</v>
      </c>
      <c r="AH18" s="814">
        <v>125</v>
      </c>
      <c r="AI18" s="815">
        <v>173</v>
      </c>
      <c r="AJ18" s="816">
        <f>SUM(AH18:AI18)</f>
        <v>298</v>
      </c>
      <c r="AK18" s="817">
        <v>117</v>
      </c>
      <c r="AL18" s="815">
        <v>150</v>
      </c>
      <c r="AM18" s="816">
        <f>SUM(AK18:AL18)</f>
        <v>267</v>
      </c>
      <c r="AN18" s="817">
        <v>142</v>
      </c>
      <c r="AO18" s="815">
        <v>204</v>
      </c>
      <c r="AP18" s="816">
        <f>SUM(AN18:AO18)</f>
        <v>346</v>
      </c>
    </row>
    <row r="19" spans="1:42" s="186" customFormat="1" ht="15" customHeight="1" x14ac:dyDescent="0.25">
      <c r="A19" s="5066"/>
      <c r="B19" s="5047"/>
      <c r="C19" s="822" t="s">
        <v>465</v>
      </c>
      <c r="D19" s="823">
        <v>111</v>
      </c>
      <c r="E19" s="859">
        <v>125</v>
      </c>
      <c r="F19" s="825">
        <v>236</v>
      </c>
      <c r="G19" s="860">
        <v>121</v>
      </c>
      <c r="H19" s="859">
        <v>154</v>
      </c>
      <c r="I19" s="825">
        <v>275</v>
      </c>
      <c r="J19" s="823">
        <v>126</v>
      </c>
      <c r="K19" s="824">
        <v>113</v>
      </c>
      <c r="L19" s="825">
        <v>239</v>
      </c>
      <c r="M19" s="823">
        <v>99</v>
      </c>
      <c r="N19" s="824">
        <v>124</v>
      </c>
      <c r="O19" s="825">
        <v>223</v>
      </c>
      <c r="P19" s="823">
        <v>107</v>
      </c>
      <c r="Q19" s="824">
        <v>145</v>
      </c>
      <c r="R19" s="825">
        <v>252</v>
      </c>
      <c r="S19" s="823">
        <v>146</v>
      </c>
      <c r="T19" s="824">
        <v>120</v>
      </c>
      <c r="U19" s="825">
        <v>266</v>
      </c>
      <c r="V19" s="823">
        <v>118</v>
      </c>
      <c r="W19" s="824">
        <v>125</v>
      </c>
      <c r="X19" s="825">
        <v>243</v>
      </c>
      <c r="Y19" s="823">
        <v>118</v>
      </c>
      <c r="Z19" s="824">
        <v>124</v>
      </c>
      <c r="AA19" s="825">
        <f t="shared" si="0"/>
        <v>242</v>
      </c>
      <c r="AB19" s="826">
        <v>124</v>
      </c>
      <c r="AC19" s="824">
        <v>130</v>
      </c>
      <c r="AD19" s="825">
        <f t="shared" si="1"/>
        <v>254</v>
      </c>
      <c r="AE19" s="826">
        <v>132</v>
      </c>
      <c r="AF19" s="824">
        <v>151</v>
      </c>
      <c r="AG19" s="825">
        <f t="shared" si="2"/>
        <v>283</v>
      </c>
      <c r="AH19" s="826">
        <v>122</v>
      </c>
      <c r="AI19" s="824">
        <v>147</v>
      </c>
      <c r="AJ19" s="825">
        <f>SUM(AH19:AI19)</f>
        <v>269</v>
      </c>
      <c r="AK19" s="817">
        <v>123</v>
      </c>
      <c r="AL19" s="824">
        <v>139</v>
      </c>
      <c r="AM19" s="825">
        <f>SUM(AK19:AL19)</f>
        <v>262</v>
      </c>
      <c r="AN19" s="817">
        <v>131</v>
      </c>
      <c r="AO19" s="824">
        <v>151</v>
      </c>
      <c r="AP19" s="825">
        <f>SUM(AN19:AO19)</f>
        <v>282</v>
      </c>
    </row>
    <row r="20" spans="1:42" s="186" customFormat="1" ht="15" customHeight="1" x14ac:dyDescent="0.25">
      <c r="A20" s="5066"/>
      <c r="B20" s="5048"/>
      <c r="C20" s="875" t="s">
        <v>160</v>
      </c>
      <c r="D20" s="876">
        <f>SUM(D16:D19)</f>
        <v>507</v>
      </c>
      <c r="E20" s="877">
        <f t="shared" ref="E20:AG20" si="9">SUM(E16:E19)</f>
        <v>709</v>
      </c>
      <c r="F20" s="586">
        <f t="shared" si="9"/>
        <v>1216</v>
      </c>
      <c r="G20" s="876">
        <f t="shared" si="9"/>
        <v>484</v>
      </c>
      <c r="H20" s="877">
        <f t="shared" si="9"/>
        <v>793</v>
      </c>
      <c r="I20" s="586">
        <f t="shared" si="9"/>
        <v>1277</v>
      </c>
      <c r="J20" s="876">
        <f t="shared" si="9"/>
        <v>542</v>
      </c>
      <c r="K20" s="877">
        <f t="shared" si="9"/>
        <v>733</v>
      </c>
      <c r="L20" s="586">
        <f t="shared" si="9"/>
        <v>1275</v>
      </c>
      <c r="M20" s="876">
        <f t="shared" si="9"/>
        <v>448</v>
      </c>
      <c r="N20" s="877">
        <f t="shared" si="9"/>
        <v>800</v>
      </c>
      <c r="O20" s="586">
        <f t="shared" si="9"/>
        <v>1248</v>
      </c>
      <c r="P20" s="876">
        <f t="shared" si="9"/>
        <v>621</v>
      </c>
      <c r="Q20" s="877">
        <f t="shared" si="9"/>
        <v>713</v>
      </c>
      <c r="R20" s="586">
        <f t="shared" si="9"/>
        <v>1334</v>
      </c>
      <c r="S20" s="876">
        <f t="shared" si="9"/>
        <v>702</v>
      </c>
      <c r="T20" s="877">
        <f t="shared" si="9"/>
        <v>695</v>
      </c>
      <c r="U20" s="586">
        <f t="shared" si="9"/>
        <v>1397</v>
      </c>
      <c r="V20" s="876">
        <f t="shared" si="9"/>
        <v>625</v>
      </c>
      <c r="W20" s="877">
        <f t="shared" si="9"/>
        <v>817</v>
      </c>
      <c r="X20" s="586">
        <f t="shared" si="9"/>
        <v>1442</v>
      </c>
      <c r="Y20" s="876">
        <f t="shared" si="9"/>
        <v>626</v>
      </c>
      <c r="Z20" s="877">
        <f t="shared" si="9"/>
        <v>723</v>
      </c>
      <c r="AA20" s="586">
        <f t="shared" si="9"/>
        <v>1349</v>
      </c>
      <c r="AB20" s="876">
        <f t="shared" si="9"/>
        <v>649</v>
      </c>
      <c r="AC20" s="877">
        <f t="shared" si="9"/>
        <v>756</v>
      </c>
      <c r="AD20" s="586">
        <f t="shared" si="9"/>
        <v>1405</v>
      </c>
      <c r="AE20" s="876">
        <f t="shared" si="9"/>
        <v>704</v>
      </c>
      <c r="AF20" s="877">
        <f t="shared" si="9"/>
        <v>882</v>
      </c>
      <c r="AG20" s="586">
        <f t="shared" si="9"/>
        <v>1586</v>
      </c>
      <c r="AH20" s="876">
        <f t="shared" ref="AH20:AM20" si="10">SUM(AH16:AH19)</f>
        <v>661</v>
      </c>
      <c r="AI20" s="1522">
        <f t="shared" si="10"/>
        <v>851</v>
      </c>
      <c r="AJ20" s="586">
        <f t="shared" si="10"/>
        <v>1512</v>
      </c>
      <c r="AK20" s="2328">
        <f>SUM(AK16:AK19)</f>
        <v>644</v>
      </c>
      <c r="AL20" s="2332">
        <f>SUM(AL16:AL19)</f>
        <v>810</v>
      </c>
      <c r="AM20" s="586">
        <f t="shared" si="10"/>
        <v>1454</v>
      </c>
      <c r="AN20" s="2328">
        <f>SUM(AN16:AN19)</f>
        <v>718</v>
      </c>
      <c r="AO20" s="2332">
        <f>SUM(AO16:AO19)</f>
        <v>898</v>
      </c>
      <c r="AP20" s="586">
        <f t="shared" ref="AP20" si="11">SUM(AP16:AP19)</f>
        <v>1616</v>
      </c>
    </row>
    <row r="21" spans="1:42" s="186" customFormat="1" ht="15" customHeight="1" x14ac:dyDescent="0.25">
      <c r="A21" s="5066"/>
      <c r="B21" s="5046" t="s">
        <v>7</v>
      </c>
      <c r="C21" s="813" t="s">
        <v>466</v>
      </c>
      <c r="D21" s="854">
        <v>128</v>
      </c>
      <c r="E21" s="855">
        <v>229</v>
      </c>
      <c r="F21" s="816">
        <v>357</v>
      </c>
      <c r="G21" s="854">
        <v>141</v>
      </c>
      <c r="H21" s="855">
        <v>220</v>
      </c>
      <c r="I21" s="816">
        <v>361</v>
      </c>
      <c r="J21" s="814">
        <v>152</v>
      </c>
      <c r="K21" s="815">
        <v>186</v>
      </c>
      <c r="L21" s="816">
        <v>338</v>
      </c>
      <c r="M21" s="814">
        <v>135</v>
      </c>
      <c r="N21" s="815">
        <v>206</v>
      </c>
      <c r="O21" s="816">
        <v>341</v>
      </c>
      <c r="P21" s="881">
        <v>159</v>
      </c>
      <c r="Q21" s="815">
        <v>199</v>
      </c>
      <c r="R21" s="816">
        <v>358</v>
      </c>
      <c r="S21" s="881">
        <v>140</v>
      </c>
      <c r="T21" s="815">
        <v>166</v>
      </c>
      <c r="U21" s="816">
        <v>306</v>
      </c>
      <c r="V21" s="881">
        <v>127</v>
      </c>
      <c r="W21" s="815">
        <v>166</v>
      </c>
      <c r="X21" s="816">
        <v>293</v>
      </c>
      <c r="Y21" s="881">
        <v>119</v>
      </c>
      <c r="Z21" s="815">
        <v>146</v>
      </c>
      <c r="AA21" s="816">
        <f t="shared" si="0"/>
        <v>265</v>
      </c>
      <c r="AB21" s="881">
        <v>108</v>
      </c>
      <c r="AC21" s="815">
        <v>143</v>
      </c>
      <c r="AD21" s="816">
        <f t="shared" si="1"/>
        <v>251</v>
      </c>
      <c r="AE21" s="881">
        <v>107</v>
      </c>
      <c r="AF21" s="815">
        <v>141</v>
      </c>
      <c r="AG21" s="816">
        <f t="shared" si="2"/>
        <v>248</v>
      </c>
      <c r="AH21" s="881">
        <v>109</v>
      </c>
      <c r="AI21" s="815">
        <v>131</v>
      </c>
      <c r="AJ21" s="816">
        <f>SUM(AH21:AI21)</f>
        <v>240</v>
      </c>
      <c r="AK21" s="831">
        <v>105</v>
      </c>
      <c r="AL21" s="815">
        <v>130</v>
      </c>
      <c r="AM21" s="816">
        <f>SUM(AK21:AL21)</f>
        <v>235</v>
      </c>
      <c r="AN21" s="831">
        <v>110</v>
      </c>
      <c r="AO21" s="815">
        <v>119</v>
      </c>
      <c r="AP21" s="816">
        <f>SUM(AN21:AO21)</f>
        <v>229</v>
      </c>
    </row>
    <row r="22" spans="1:42" s="186" customFormat="1" ht="15" customHeight="1" x14ac:dyDescent="0.25">
      <c r="A22" s="5066"/>
      <c r="B22" s="5047"/>
      <c r="C22" s="813" t="s">
        <v>467</v>
      </c>
      <c r="D22" s="854">
        <v>146</v>
      </c>
      <c r="E22" s="855">
        <v>145</v>
      </c>
      <c r="F22" s="816">
        <v>291</v>
      </c>
      <c r="G22" s="854">
        <v>146</v>
      </c>
      <c r="H22" s="855">
        <v>85</v>
      </c>
      <c r="I22" s="816">
        <v>231</v>
      </c>
      <c r="J22" s="814">
        <v>107</v>
      </c>
      <c r="K22" s="815">
        <v>124</v>
      </c>
      <c r="L22" s="816">
        <v>231</v>
      </c>
      <c r="M22" s="814">
        <v>83</v>
      </c>
      <c r="N22" s="815">
        <v>90</v>
      </c>
      <c r="O22" s="816">
        <v>173</v>
      </c>
      <c r="P22" s="814">
        <v>78</v>
      </c>
      <c r="Q22" s="815">
        <v>102</v>
      </c>
      <c r="R22" s="816">
        <v>180</v>
      </c>
      <c r="S22" s="814">
        <v>86</v>
      </c>
      <c r="T22" s="815">
        <v>99</v>
      </c>
      <c r="U22" s="816">
        <v>185</v>
      </c>
      <c r="V22" s="814">
        <v>91</v>
      </c>
      <c r="W22" s="815">
        <v>106</v>
      </c>
      <c r="X22" s="816">
        <v>197</v>
      </c>
      <c r="Y22" s="814">
        <v>92</v>
      </c>
      <c r="Z22" s="815">
        <v>104</v>
      </c>
      <c r="AA22" s="816">
        <f t="shared" si="0"/>
        <v>196</v>
      </c>
      <c r="AB22" s="814">
        <v>111</v>
      </c>
      <c r="AC22" s="815">
        <v>118</v>
      </c>
      <c r="AD22" s="816">
        <f t="shared" si="1"/>
        <v>229</v>
      </c>
      <c r="AE22" s="814">
        <v>105</v>
      </c>
      <c r="AF22" s="815">
        <v>115</v>
      </c>
      <c r="AG22" s="816">
        <f t="shared" si="2"/>
        <v>220</v>
      </c>
      <c r="AH22" s="814">
        <v>129</v>
      </c>
      <c r="AI22" s="815">
        <v>152</v>
      </c>
      <c r="AJ22" s="816">
        <f>SUM(AH22:AI22)</f>
        <v>281</v>
      </c>
      <c r="AK22" s="817">
        <v>127</v>
      </c>
      <c r="AL22" s="815">
        <v>140</v>
      </c>
      <c r="AM22" s="816">
        <f>SUM(AK22:AL22)</f>
        <v>267</v>
      </c>
      <c r="AN22" s="817">
        <v>134</v>
      </c>
      <c r="AO22" s="815">
        <v>165</v>
      </c>
      <c r="AP22" s="816">
        <f>SUM(AN22:AO22)</f>
        <v>299</v>
      </c>
    </row>
    <row r="23" spans="1:42" s="186" customFormat="1" ht="15.75" customHeight="1" x14ac:dyDescent="0.25">
      <c r="A23" s="5066"/>
      <c r="B23" s="5047"/>
      <c r="C23" s="822" t="s">
        <v>468</v>
      </c>
      <c r="D23" s="823">
        <v>74</v>
      </c>
      <c r="E23" s="859">
        <v>90</v>
      </c>
      <c r="F23" s="825">
        <v>164</v>
      </c>
      <c r="G23" s="860">
        <v>61</v>
      </c>
      <c r="H23" s="859">
        <v>74</v>
      </c>
      <c r="I23" s="825">
        <v>135</v>
      </c>
      <c r="J23" s="823">
        <v>69</v>
      </c>
      <c r="K23" s="824">
        <v>79</v>
      </c>
      <c r="L23" s="825">
        <v>148</v>
      </c>
      <c r="M23" s="823">
        <v>60</v>
      </c>
      <c r="N23" s="824">
        <v>74</v>
      </c>
      <c r="O23" s="825">
        <v>134</v>
      </c>
      <c r="P23" s="823">
        <v>56</v>
      </c>
      <c r="Q23" s="824">
        <v>69</v>
      </c>
      <c r="R23" s="825">
        <v>125</v>
      </c>
      <c r="S23" s="823">
        <v>60</v>
      </c>
      <c r="T23" s="824">
        <v>65</v>
      </c>
      <c r="U23" s="825">
        <v>125</v>
      </c>
      <c r="V23" s="823">
        <v>72</v>
      </c>
      <c r="W23" s="824">
        <v>85</v>
      </c>
      <c r="X23" s="825">
        <v>157</v>
      </c>
      <c r="Y23" s="823">
        <v>73</v>
      </c>
      <c r="Z23" s="824">
        <v>88</v>
      </c>
      <c r="AA23" s="825">
        <f t="shared" si="0"/>
        <v>161</v>
      </c>
      <c r="AB23" s="826">
        <v>81</v>
      </c>
      <c r="AC23" s="824">
        <v>97</v>
      </c>
      <c r="AD23" s="825">
        <f t="shared" si="1"/>
        <v>178</v>
      </c>
      <c r="AE23" s="826">
        <v>80</v>
      </c>
      <c r="AF23" s="824">
        <v>92</v>
      </c>
      <c r="AG23" s="825">
        <f t="shared" si="2"/>
        <v>172</v>
      </c>
      <c r="AH23" s="826">
        <v>79</v>
      </c>
      <c r="AI23" s="824">
        <v>91</v>
      </c>
      <c r="AJ23" s="825">
        <f>SUM(AH23:AI23)</f>
        <v>170</v>
      </c>
      <c r="AK23" s="817">
        <v>80</v>
      </c>
      <c r="AL23" s="824">
        <v>85</v>
      </c>
      <c r="AM23" s="825">
        <f>SUM(AK23:AL23)</f>
        <v>165</v>
      </c>
      <c r="AN23" s="817">
        <v>79</v>
      </c>
      <c r="AO23" s="824">
        <v>118</v>
      </c>
      <c r="AP23" s="825">
        <f>SUM(AN23:AO23)</f>
        <v>197</v>
      </c>
    </row>
    <row r="24" spans="1:42" s="186" customFormat="1" ht="15.75" customHeight="1" x14ac:dyDescent="0.25">
      <c r="A24" s="5066"/>
      <c r="B24" s="5047"/>
      <c r="C24" s="875" t="s">
        <v>160</v>
      </c>
      <c r="D24" s="876">
        <f>SUM(D21:D23)</f>
        <v>348</v>
      </c>
      <c r="E24" s="877">
        <f t="shared" ref="E24:AG24" si="12">SUM(E21:E23)</f>
        <v>464</v>
      </c>
      <c r="F24" s="586">
        <f t="shared" si="12"/>
        <v>812</v>
      </c>
      <c r="G24" s="876">
        <f t="shared" si="12"/>
        <v>348</v>
      </c>
      <c r="H24" s="877">
        <f t="shared" si="12"/>
        <v>379</v>
      </c>
      <c r="I24" s="586">
        <f t="shared" si="12"/>
        <v>727</v>
      </c>
      <c r="J24" s="876">
        <f t="shared" si="12"/>
        <v>328</v>
      </c>
      <c r="K24" s="877">
        <f t="shared" si="12"/>
        <v>389</v>
      </c>
      <c r="L24" s="586">
        <f t="shared" si="12"/>
        <v>717</v>
      </c>
      <c r="M24" s="876">
        <f t="shared" si="12"/>
        <v>278</v>
      </c>
      <c r="N24" s="877">
        <f t="shared" si="12"/>
        <v>370</v>
      </c>
      <c r="O24" s="586">
        <f t="shared" si="12"/>
        <v>648</v>
      </c>
      <c r="P24" s="876">
        <f t="shared" si="12"/>
        <v>293</v>
      </c>
      <c r="Q24" s="877">
        <f t="shared" si="12"/>
        <v>370</v>
      </c>
      <c r="R24" s="586">
        <f t="shared" si="12"/>
        <v>663</v>
      </c>
      <c r="S24" s="876">
        <f t="shared" si="12"/>
        <v>286</v>
      </c>
      <c r="T24" s="877">
        <f t="shared" si="12"/>
        <v>330</v>
      </c>
      <c r="U24" s="586">
        <f t="shared" si="12"/>
        <v>616</v>
      </c>
      <c r="V24" s="876">
        <f t="shared" si="12"/>
        <v>290</v>
      </c>
      <c r="W24" s="877">
        <f t="shared" si="12"/>
        <v>357</v>
      </c>
      <c r="X24" s="586">
        <f t="shared" si="12"/>
        <v>647</v>
      </c>
      <c r="Y24" s="876">
        <f t="shared" si="12"/>
        <v>284</v>
      </c>
      <c r="Z24" s="877">
        <f t="shared" si="12"/>
        <v>338</v>
      </c>
      <c r="AA24" s="586">
        <f t="shared" si="12"/>
        <v>622</v>
      </c>
      <c r="AB24" s="876">
        <f t="shared" si="12"/>
        <v>300</v>
      </c>
      <c r="AC24" s="877">
        <f t="shared" si="12"/>
        <v>358</v>
      </c>
      <c r="AD24" s="586">
        <f t="shared" si="12"/>
        <v>658</v>
      </c>
      <c r="AE24" s="876">
        <f t="shared" si="12"/>
        <v>292</v>
      </c>
      <c r="AF24" s="877">
        <f t="shared" si="12"/>
        <v>348</v>
      </c>
      <c r="AG24" s="586">
        <f t="shared" si="12"/>
        <v>640</v>
      </c>
      <c r="AH24" s="876">
        <f t="shared" ref="AH24:AM24" si="13">SUM(AH21:AH23)</f>
        <v>317</v>
      </c>
      <c r="AI24" s="1522">
        <f t="shared" si="13"/>
        <v>374</v>
      </c>
      <c r="AJ24" s="586">
        <f t="shared" si="13"/>
        <v>691</v>
      </c>
      <c r="AK24" s="2329">
        <f>SUM(AK21:AK23)</f>
        <v>312</v>
      </c>
      <c r="AL24" s="2336">
        <f>SUM(AL21:AL23)</f>
        <v>355</v>
      </c>
      <c r="AM24" s="586">
        <f t="shared" si="13"/>
        <v>667</v>
      </c>
      <c r="AN24" s="2329">
        <f>SUM(AN21:AN23)</f>
        <v>323</v>
      </c>
      <c r="AO24" s="2336">
        <f>SUM(AO21:AO23)</f>
        <v>402</v>
      </c>
      <c r="AP24" s="586">
        <f t="shared" ref="AP24" si="14">SUM(AP21:AP23)</f>
        <v>725</v>
      </c>
    </row>
    <row r="25" spans="1:42" s="186" customFormat="1" ht="15.75" customHeight="1" x14ac:dyDescent="0.25">
      <c r="A25" s="5105"/>
      <c r="B25" s="3980"/>
      <c r="C25" s="2431" t="s">
        <v>450</v>
      </c>
      <c r="D25" s="2432">
        <f>SUM(D24,D20,D15)</f>
        <v>1275</v>
      </c>
      <c r="E25" s="2433">
        <f t="shared" ref="E25:AG25" si="15">SUM(E24,E20,E15)</f>
        <v>2167</v>
      </c>
      <c r="F25" s="2434">
        <f t="shared" si="15"/>
        <v>3442</v>
      </c>
      <c r="G25" s="2432">
        <f t="shared" si="15"/>
        <v>1608</v>
      </c>
      <c r="H25" s="2433">
        <f t="shared" si="15"/>
        <v>2389</v>
      </c>
      <c r="I25" s="2434">
        <f t="shared" si="15"/>
        <v>3997</v>
      </c>
      <c r="J25" s="2432">
        <f t="shared" si="15"/>
        <v>1627</v>
      </c>
      <c r="K25" s="2433">
        <f t="shared" si="15"/>
        <v>2388</v>
      </c>
      <c r="L25" s="2434">
        <f t="shared" si="15"/>
        <v>4015</v>
      </c>
      <c r="M25" s="2432">
        <f t="shared" si="15"/>
        <v>1528</v>
      </c>
      <c r="N25" s="2433">
        <f t="shared" si="15"/>
        <v>2524</v>
      </c>
      <c r="O25" s="2434">
        <f t="shared" si="15"/>
        <v>4052</v>
      </c>
      <c r="P25" s="2432">
        <f t="shared" si="15"/>
        <v>1625</v>
      </c>
      <c r="Q25" s="2433">
        <f t="shared" si="15"/>
        <v>2463</v>
      </c>
      <c r="R25" s="2434">
        <f t="shared" si="15"/>
        <v>4088</v>
      </c>
      <c r="S25" s="2432">
        <f t="shared" si="15"/>
        <v>1710</v>
      </c>
      <c r="T25" s="2433">
        <f t="shared" si="15"/>
        <v>2423</v>
      </c>
      <c r="U25" s="2434">
        <f t="shared" si="15"/>
        <v>4133</v>
      </c>
      <c r="V25" s="2432">
        <f t="shared" si="15"/>
        <v>1699</v>
      </c>
      <c r="W25" s="2433">
        <f t="shared" si="15"/>
        <v>2433</v>
      </c>
      <c r="X25" s="2434">
        <f t="shared" si="15"/>
        <v>4132</v>
      </c>
      <c r="Y25" s="2432">
        <f t="shared" si="15"/>
        <v>1835</v>
      </c>
      <c r="Z25" s="2433">
        <f t="shared" si="15"/>
        <v>2521</v>
      </c>
      <c r="AA25" s="2434">
        <f t="shared" si="15"/>
        <v>4356</v>
      </c>
      <c r="AB25" s="2432">
        <f t="shared" si="15"/>
        <v>2007</v>
      </c>
      <c r="AC25" s="2433">
        <f t="shared" si="15"/>
        <v>2092</v>
      </c>
      <c r="AD25" s="2434">
        <f t="shared" si="15"/>
        <v>4099</v>
      </c>
      <c r="AE25" s="2432">
        <f t="shared" si="15"/>
        <v>1511</v>
      </c>
      <c r="AF25" s="2433">
        <f t="shared" si="15"/>
        <v>2164</v>
      </c>
      <c r="AG25" s="2434">
        <f t="shared" si="15"/>
        <v>3675</v>
      </c>
      <c r="AH25" s="2432">
        <f t="shared" ref="AH25:AM25" si="16">SUM(AH24,AH20,AH15)</f>
        <v>1578</v>
      </c>
      <c r="AI25" s="2433">
        <f t="shared" si="16"/>
        <v>2173</v>
      </c>
      <c r="AJ25" s="2434">
        <f t="shared" si="16"/>
        <v>3751</v>
      </c>
      <c r="AK25" s="2432">
        <f t="shared" si="16"/>
        <v>1410</v>
      </c>
      <c r="AL25" s="2433">
        <f t="shared" si="16"/>
        <v>2165</v>
      </c>
      <c r="AM25" s="2434">
        <f t="shared" si="16"/>
        <v>3575</v>
      </c>
      <c r="AN25" s="2432">
        <f t="shared" ref="AN25:AP25" si="17">SUM(AN24,AN20,AN15)</f>
        <v>1436</v>
      </c>
      <c r="AO25" s="2433">
        <f t="shared" si="17"/>
        <v>2154</v>
      </c>
      <c r="AP25" s="2434">
        <f t="shared" si="17"/>
        <v>3590</v>
      </c>
    </row>
    <row r="26" spans="1:42" s="186" customFormat="1" ht="15" customHeight="1" x14ac:dyDescent="0.25">
      <c r="A26" s="5062" t="s">
        <v>447</v>
      </c>
      <c r="B26" s="5049" t="s">
        <v>5</v>
      </c>
      <c r="C26" s="813" t="s">
        <v>469</v>
      </c>
      <c r="D26" s="854">
        <v>41</v>
      </c>
      <c r="E26" s="855">
        <v>92</v>
      </c>
      <c r="F26" s="816">
        <v>133</v>
      </c>
      <c r="G26" s="854">
        <v>35</v>
      </c>
      <c r="H26" s="855">
        <v>83</v>
      </c>
      <c r="I26" s="816">
        <v>118</v>
      </c>
      <c r="J26" s="814">
        <v>47</v>
      </c>
      <c r="K26" s="815">
        <v>106</v>
      </c>
      <c r="L26" s="816">
        <v>153</v>
      </c>
      <c r="M26" s="814">
        <v>63</v>
      </c>
      <c r="N26" s="815">
        <v>93</v>
      </c>
      <c r="O26" s="816">
        <v>156</v>
      </c>
      <c r="P26" s="814">
        <v>30</v>
      </c>
      <c r="Q26" s="815">
        <v>79</v>
      </c>
      <c r="R26" s="816">
        <v>109</v>
      </c>
      <c r="S26" s="814">
        <v>35</v>
      </c>
      <c r="T26" s="815">
        <v>85</v>
      </c>
      <c r="U26" s="816">
        <v>120</v>
      </c>
      <c r="V26" s="814">
        <v>30</v>
      </c>
      <c r="W26" s="815">
        <v>106</v>
      </c>
      <c r="X26" s="816">
        <v>136</v>
      </c>
      <c r="Y26" s="814"/>
      <c r="Z26" s="815">
        <v>136</v>
      </c>
      <c r="AA26" s="816">
        <f t="shared" si="0"/>
        <v>136</v>
      </c>
      <c r="AB26" s="814"/>
      <c r="AC26" s="815">
        <v>138</v>
      </c>
      <c r="AD26" s="816">
        <f t="shared" si="1"/>
        <v>138</v>
      </c>
      <c r="AE26" s="814"/>
      <c r="AF26" s="815">
        <v>162</v>
      </c>
      <c r="AG26" s="816">
        <f t="shared" si="2"/>
        <v>162</v>
      </c>
      <c r="AH26" s="814"/>
      <c r="AI26" s="815">
        <v>172</v>
      </c>
      <c r="AJ26" s="816">
        <f t="shared" ref="AJ26:AJ34" si="18">SUM(AH26:AI26)</f>
        <v>172</v>
      </c>
      <c r="AK26" s="811"/>
      <c r="AL26" s="815">
        <v>161</v>
      </c>
      <c r="AM26" s="816">
        <f t="shared" ref="AM26:AM34" si="19">SUM(AK26:AL26)</f>
        <v>161</v>
      </c>
      <c r="AN26" s="811"/>
      <c r="AO26" s="815">
        <v>151</v>
      </c>
      <c r="AP26" s="816">
        <f t="shared" ref="AP26:AP34" si="20">SUM(AN26:AO26)</f>
        <v>151</v>
      </c>
    </row>
    <row r="27" spans="1:42" s="186" customFormat="1" ht="15" customHeight="1" x14ac:dyDescent="0.25">
      <c r="A27" s="5063"/>
      <c r="B27" s="5050"/>
      <c r="C27" s="813" t="s">
        <v>470</v>
      </c>
      <c r="D27" s="854">
        <v>10</v>
      </c>
      <c r="E27" s="855">
        <v>10</v>
      </c>
      <c r="F27" s="816">
        <v>20</v>
      </c>
      <c r="G27" s="854">
        <v>6</v>
      </c>
      <c r="H27" s="855">
        <v>15</v>
      </c>
      <c r="I27" s="816">
        <v>21</v>
      </c>
      <c r="J27" s="814">
        <v>8</v>
      </c>
      <c r="K27" s="815">
        <v>15</v>
      </c>
      <c r="L27" s="816">
        <v>23</v>
      </c>
      <c r="M27" s="814">
        <v>9</v>
      </c>
      <c r="N27" s="815">
        <v>9</v>
      </c>
      <c r="O27" s="816">
        <v>18</v>
      </c>
      <c r="P27" s="814">
        <v>11</v>
      </c>
      <c r="Q27" s="815">
        <v>21</v>
      </c>
      <c r="R27" s="816">
        <v>32</v>
      </c>
      <c r="S27" s="814"/>
      <c r="T27" s="815">
        <v>31</v>
      </c>
      <c r="U27" s="816">
        <v>31</v>
      </c>
      <c r="V27" s="814"/>
      <c r="W27" s="815">
        <v>18</v>
      </c>
      <c r="X27" s="816">
        <v>18</v>
      </c>
      <c r="Y27" s="814"/>
      <c r="Z27" s="815">
        <v>24</v>
      </c>
      <c r="AA27" s="816">
        <f t="shared" si="0"/>
        <v>24</v>
      </c>
      <c r="AB27" s="814"/>
      <c r="AC27" s="815">
        <v>36</v>
      </c>
      <c r="AD27" s="816">
        <f t="shared" si="1"/>
        <v>36</v>
      </c>
      <c r="AE27" s="814"/>
      <c r="AF27" s="815">
        <v>46</v>
      </c>
      <c r="AG27" s="816">
        <f t="shared" si="2"/>
        <v>46</v>
      </c>
      <c r="AH27" s="814"/>
      <c r="AI27" s="815">
        <v>34</v>
      </c>
      <c r="AJ27" s="816">
        <f t="shared" si="18"/>
        <v>34</v>
      </c>
      <c r="AK27" s="817"/>
      <c r="AL27" s="815">
        <v>40</v>
      </c>
      <c r="AM27" s="816">
        <f t="shared" si="19"/>
        <v>40</v>
      </c>
      <c r="AN27" s="817"/>
      <c r="AO27" s="815">
        <v>35</v>
      </c>
      <c r="AP27" s="816">
        <f t="shared" si="20"/>
        <v>35</v>
      </c>
    </row>
    <row r="28" spans="1:42" s="186" customFormat="1" ht="15" customHeight="1" x14ac:dyDescent="0.25">
      <c r="A28" s="5063"/>
      <c r="B28" s="5050"/>
      <c r="C28" s="813" t="s">
        <v>459</v>
      </c>
      <c r="D28" s="854">
        <v>21</v>
      </c>
      <c r="E28" s="855">
        <v>49</v>
      </c>
      <c r="F28" s="816">
        <v>70</v>
      </c>
      <c r="G28" s="854">
        <v>27</v>
      </c>
      <c r="H28" s="855">
        <v>63</v>
      </c>
      <c r="I28" s="816">
        <v>90</v>
      </c>
      <c r="J28" s="814">
        <v>28</v>
      </c>
      <c r="K28" s="815">
        <v>88</v>
      </c>
      <c r="L28" s="816">
        <v>116</v>
      </c>
      <c r="M28" s="814">
        <v>31</v>
      </c>
      <c r="N28" s="815">
        <v>85</v>
      </c>
      <c r="O28" s="816">
        <v>116</v>
      </c>
      <c r="P28" s="814">
        <v>29</v>
      </c>
      <c r="Q28" s="815">
        <v>67</v>
      </c>
      <c r="R28" s="816">
        <v>96</v>
      </c>
      <c r="S28" s="814">
        <v>36</v>
      </c>
      <c r="T28" s="815">
        <v>69</v>
      </c>
      <c r="U28" s="816">
        <v>105</v>
      </c>
      <c r="V28" s="814">
        <v>29</v>
      </c>
      <c r="W28" s="815">
        <v>75</v>
      </c>
      <c r="X28" s="816">
        <v>104</v>
      </c>
      <c r="Y28" s="814">
        <v>44</v>
      </c>
      <c r="Z28" s="815">
        <v>111</v>
      </c>
      <c r="AA28" s="816">
        <f t="shared" si="0"/>
        <v>155</v>
      </c>
      <c r="AB28" s="814">
        <v>43</v>
      </c>
      <c r="AC28" s="815">
        <v>94</v>
      </c>
      <c r="AD28" s="816">
        <f t="shared" si="1"/>
        <v>137</v>
      </c>
      <c r="AE28" s="814">
        <v>73</v>
      </c>
      <c r="AF28" s="815">
        <v>96</v>
      </c>
      <c r="AG28" s="816">
        <f t="shared" si="2"/>
        <v>169</v>
      </c>
      <c r="AH28" s="814">
        <v>82</v>
      </c>
      <c r="AI28" s="815">
        <v>113</v>
      </c>
      <c r="AJ28" s="816">
        <f t="shared" si="18"/>
        <v>195</v>
      </c>
      <c r="AK28" s="817">
        <v>55</v>
      </c>
      <c r="AL28" s="815">
        <v>78</v>
      </c>
      <c r="AM28" s="816">
        <f t="shared" si="19"/>
        <v>133</v>
      </c>
      <c r="AN28" s="817">
        <v>49</v>
      </c>
      <c r="AO28" s="815">
        <v>74</v>
      </c>
      <c r="AP28" s="816">
        <f t="shared" si="20"/>
        <v>123</v>
      </c>
    </row>
    <row r="29" spans="1:42" s="186" customFormat="1" ht="15" customHeight="1" x14ac:dyDescent="0.25">
      <c r="A29" s="5063"/>
      <c r="B29" s="5050"/>
      <c r="C29" s="813" t="s">
        <v>471</v>
      </c>
      <c r="D29" s="854">
        <v>23</v>
      </c>
      <c r="E29" s="855">
        <v>42</v>
      </c>
      <c r="F29" s="816">
        <v>65</v>
      </c>
      <c r="G29" s="854">
        <v>20</v>
      </c>
      <c r="H29" s="855">
        <v>37</v>
      </c>
      <c r="I29" s="816">
        <v>57</v>
      </c>
      <c r="J29" s="814">
        <v>34</v>
      </c>
      <c r="K29" s="815">
        <v>39</v>
      </c>
      <c r="L29" s="816">
        <v>73</v>
      </c>
      <c r="M29" s="814">
        <v>25</v>
      </c>
      <c r="N29" s="815">
        <v>31</v>
      </c>
      <c r="O29" s="816">
        <v>56</v>
      </c>
      <c r="P29" s="814">
        <v>15</v>
      </c>
      <c r="Q29" s="815">
        <v>49</v>
      </c>
      <c r="R29" s="816">
        <v>64</v>
      </c>
      <c r="S29" s="814">
        <v>28</v>
      </c>
      <c r="T29" s="815">
        <v>49</v>
      </c>
      <c r="U29" s="816">
        <v>77</v>
      </c>
      <c r="V29" s="814">
        <v>24</v>
      </c>
      <c r="W29" s="815">
        <v>65</v>
      </c>
      <c r="X29" s="816">
        <v>89</v>
      </c>
      <c r="Y29" s="814">
        <v>44</v>
      </c>
      <c r="Z29" s="815">
        <v>57</v>
      </c>
      <c r="AA29" s="816">
        <f t="shared" si="0"/>
        <v>101</v>
      </c>
      <c r="AB29" s="814">
        <v>80</v>
      </c>
      <c r="AC29" s="815">
        <v>75</v>
      </c>
      <c r="AD29" s="816">
        <f t="shared" si="1"/>
        <v>155</v>
      </c>
      <c r="AE29" s="814">
        <v>53</v>
      </c>
      <c r="AF29" s="815">
        <v>77</v>
      </c>
      <c r="AG29" s="816">
        <f t="shared" si="2"/>
        <v>130</v>
      </c>
      <c r="AH29" s="814">
        <v>90</v>
      </c>
      <c r="AI29" s="815">
        <v>83</v>
      </c>
      <c r="AJ29" s="816">
        <f t="shared" si="18"/>
        <v>173</v>
      </c>
      <c r="AK29" s="817">
        <v>78</v>
      </c>
      <c r="AL29" s="815">
        <v>70</v>
      </c>
      <c r="AM29" s="816">
        <f t="shared" si="19"/>
        <v>148</v>
      </c>
      <c r="AN29" s="817">
        <v>63</v>
      </c>
      <c r="AO29" s="815">
        <v>67</v>
      </c>
      <c r="AP29" s="816">
        <f t="shared" si="20"/>
        <v>130</v>
      </c>
    </row>
    <row r="30" spans="1:42" s="186" customFormat="1" ht="15" customHeight="1" x14ac:dyDescent="0.25">
      <c r="A30" s="5063"/>
      <c r="B30" s="5050"/>
      <c r="C30" s="813" t="s">
        <v>472</v>
      </c>
      <c r="D30" s="854">
        <v>10</v>
      </c>
      <c r="E30" s="855">
        <v>33</v>
      </c>
      <c r="F30" s="816">
        <v>43</v>
      </c>
      <c r="G30" s="854">
        <v>9</v>
      </c>
      <c r="H30" s="855">
        <v>39</v>
      </c>
      <c r="I30" s="816">
        <v>48</v>
      </c>
      <c r="J30" s="814">
        <v>14</v>
      </c>
      <c r="K30" s="815">
        <v>46</v>
      </c>
      <c r="L30" s="816">
        <v>60</v>
      </c>
      <c r="M30" s="814">
        <v>20</v>
      </c>
      <c r="N30" s="815">
        <v>35</v>
      </c>
      <c r="O30" s="816">
        <v>55</v>
      </c>
      <c r="P30" s="814">
        <v>20</v>
      </c>
      <c r="Q30" s="815">
        <v>47</v>
      </c>
      <c r="R30" s="816">
        <v>67</v>
      </c>
      <c r="S30" s="814">
        <v>17</v>
      </c>
      <c r="T30" s="815">
        <v>46</v>
      </c>
      <c r="U30" s="816">
        <v>63</v>
      </c>
      <c r="V30" s="814">
        <v>21</v>
      </c>
      <c r="W30" s="815">
        <v>53</v>
      </c>
      <c r="X30" s="816">
        <v>74</v>
      </c>
      <c r="Y30" s="814">
        <v>38</v>
      </c>
      <c r="Z30" s="815">
        <v>74</v>
      </c>
      <c r="AA30" s="816">
        <f t="shared" si="0"/>
        <v>112</v>
      </c>
      <c r="AB30" s="814">
        <v>49</v>
      </c>
      <c r="AC30" s="815">
        <v>107</v>
      </c>
      <c r="AD30" s="816">
        <f t="shared" si="1"/>
        <v>156</v>
      </c>
      <c r="AE30" s="814">
        <v>67</v>
      </c>
      <c r="AF30" s="815">
        <v>97</v>
      </c>
      <c r="AG30" s="816">
        <f t="shared" si="2"/>
        <v>164</v>
      </c>
      <c r="AH30" s="814">
        <v>67</v>
      </c>
      <c r="AI30" s="815">
        <v>89</v>
      </c>
      <c r="AJ30" s="816">
        <f t="shared" si="18"/>
        <v>156</v>
      </c>
      <c r="AK30" s="817">
        <v>52</v>
      </c>
      <c r="AL30" s="815">
        <v>84</v>
      </c>
      <c r="AM30" s="816">
        <f t="shared" si="19"/>
        <v>136</v>
      </c>
      <c r="AN30" s="817">
        <v>62</v>
      </c>
      <c r="AO30" s="815">
        <v>84</v>
      </c>
      <c r="AP30" s="816">
        <f t="shared" si="20"/>
        <v>146</v>
      </c>
    </row>
    <row r="31" spans="1:42" s="186" customFormat="1" ht="15" customHeight="1" x14ac:dyDescent="0.25">
      <c r="A31" s="5063"/>
      <c r="B31" s="5050"/>
      <c r="C31" s="813" t="s">
        <v>460</v>
      </c>
      <c r="D31" s="854">
        <v>71</v>
      </c>
      <c r="E31" s="855">
        <v>76</v>
      </c>
      <c r="F31" s="816">
        <v>147</v>
      </c>
      <c r="G31" s="854">
        <v>57</v>
      </c>
      <c r="H31" s="855">
        <v>100</v>
      </c>
      <c r="I31" s="816">
        <v>157</v>
      </c>
      <c r="J31" s="814">
        <v>62</v>
      </c>
      <c r="K31" s="815">
        <v>105</v>
      </c>
      <c r="L31" s="816">
        <v>167</v>
      </c>
      <c r="M31" s="814">
        <v>88</v>
      </c>
      <c r="N31" s="815">
        <v>130</v>
      </c>
      <c r="O31" s="816">
        <v>218</v>
      </c>
      <c r="P31" s="814">
        <v>63</v>
      </c>
      <c r="Q31" s="815">
        <v>109</v>
      </c>
      <c r="R31" s="816">
        <v>172</v>
      </c>
      <c r="S31" s="814">
        <v>40</v>
      </c>
      <c r="T31" s="815">
        <v>97</v>
      </c>
      <c r="U31" s="816">
        <v>137</v>
      </c>
      <c r="V31" s="814">
        <v>50</v>
      </c>
      <c r="W31" s="815">
        <v>90</v>
      </c>
      <c r="X31" s="816">
        <v>140</v>
      </c>
      <c r="Y31" s="814"/>
      <c r="Z31" s="815">
        <v>144</v>
      </c>
      <c r="AA31" s="816">
        <f t="shared" si="0"/>
        <v>144</v>
      </c>
      <c r="AB31" s="814"/>
      <c r="AC31" s="815">
        <v>142</v>
      </c>
      <c r="AD31" s="816">
        <f t="shared" si="1"/>
        <v>142</v>
      </c>
      <c r="AE31" s="814"/>
      <c r="AF31" s="815">
        <v>130</v>
      </c>
      <c r="AG31" s="816">
        <f t="shared" si="2"/>
        <v>130</v>
      </c>
      <c r="AH31" s="814"/>
      <c r="AI31" s="815">
        <v>175</v>
      </c>
      <c r="AJ31" s="816">
        <f t="shared" si="18"/>
        <v>175</v>
      </c>
      <c r="AK31" s="817"/>
      <c r="AL31" s="815">
        <v>115</v>
      </c>
      <c r="AM31" s="816">
        <f t="shared" si="19"/>
        <v>115</v>
      </c>
      <c r="AN31" s="817"/>
      <c r="AO31" s="815">
        <v>103</v>
      </c>
      <c r="AP31" s="816">
        <f t="shared" si="20"/>
        <v>103</v>
      </c>
    </row>
    <row r="32" spans="1:42" s="186" customFormat="1" ht="15" customHeight="1" x14ac:dyDescent="0.25">
      <c r="A32" s="5063"/>
      <c r="B32" s="5050"/>
      <c r="C32" s="813" t="s">
        <v>473</v>
      </c>
      <c r="D32" s="854">
        <v>39</v>
      </c>
      <c r="E32" s="855">
        <v>87</v>
      </c>
      <c r="F32" s="816">
        <v>126</v>
      </c>
      <c r="G32" s="854">
        <v>35</v>
      </c>
      <c r="H32" s="855">
        <v>92</v>
      </c>
      <c r="I32" s="816">
        <v>127</v>
      </c>
      <c r="J32" s="814">
        <v>23</v>
      </c>
      <c r="K32" s="815">
        <v>89</v>
      </c>
      <c r="L32" s="816">
        <v>112</v>
      </c>
      <c r="M32" s="814">
        <v>52</v>
      </c>
      <c r="N32" s="815">
        <v>85</v>
      </c>
      <c r="O32" s="816">
        <v>137</v>
      </c>
      <c r="P32" s="814">
        <v>30</v>
      </c>
      <c r="Q32" s="815">
        <v>66</v>
      </c>
      <c r="R32" s="816">
        <v>96</v>
      </c>
      <c r="S32" s="814">
        <v>43</v>
      </c>
      <c r="T32" s="815">
        <v>82</v>
      </c>
      <c r="U32" s="816">
        <v>125</v>
      </c>
      <c r="V32" s="814">
        <v>36</v>
      </c>
      <c r="W32" s="815">
        <v>79</v>
      </c>
      <c r="X32" s="816">
        <v>115</v>
      </c>
      <c r="Y32" s="814"/>
      <c r="Z32" s="815">
        <v>124</v>
      </c>
      <c r="AA32" s="816">
        <f t="shared" si="0"/>
        <v>124</v>
      </c>
      <c r="AB32" s="814"/>
      <c r="AC32" s="815">
        <v>84</v>
      </c>
      <c r="AD32" s="816">
        <f t="shared" si="1"/>
        <v>84</v>
      </c>
      <c r="AE32" s="814"/>
      <c r="AF32" s="815">
        <v>76</v>
      </c>
      <c r="AG32" s="816">
        <f t="shared" si="2"/>
        <v>76</v>
      </c>
      <c r="AH32" s="814"/>
      <c r="AI32" s="815">
        <v>112</v>
      </c>
      <c r="AJ32" s="816">
        <f t="shared" si="18"/>
        <v>112</v>
      </c>
      <c r="AK32" s="817"/>
      <c r="AL32" s="815">
        <v>112</v>
      </c>
      <c r="AM32" s="816">
        <f t="shared" si="19"/>
        <v>112</v>
      </c>
      <c r="AN32" s="817"/>
      <c r="AO32" s="815">
        <v>121</v>
      </c>
      <c r="AP32" s="816">
        <f t="shared" si="20"/>
        <v>121</v>
      </c>
    </row>
    <row r="33" spans="1:42" s="186" customFormat="1" ht="15" customHeight="1" x14ac:dyDescent="0.25">
      <c r="A33" s="5063"/>
      <c r="B33" s="5050"/>
      <c r="C33" s="813" t="s">
        <v>474</v>
      </c>
      <c r="D33" s="854">
        <v>6</v>
      </c>
      <c r="E33" s="855">
        <v>19</v>
      </c>
      <c r="F33" s="816">
        <v>25</v>
      </c>
      <c r="G33" s="854">
        <v>6</v>
      </c>
      <c r="H33" s="855">
        <v>14</v>
      </c>
      <c r="I33" s="816">
        <v>20</v>
      </c>
      <c r="J33" s="814">
        <v>8</v>
      </c>
      <c r="K33" s="815">
        <v>33</v>
      </c>
      <c r="L33" s="816">
        <v>41</v>
      </c>
      <c r="M33" s="814">
        <v>8</v>
      </c>
      <c r="N33" s="815">
        <v>18</v>
      </c>
      <c r="O33" s="816">
        <v>26</v>
      </c>
      <c r="P33" s="814">
        <v>17</v>
      </c>
      <c r="Q33" s="815">
        <v>22</v>
      </c>
      <c r="R33" s="816">
        <v>39</v>
      </c>
      <c r="S33" s="814">
        <v>18</v>
      </c>
      <c r="T33" s="815">
        <v>44</v>
      </c>
      <c r="U33" s="816">
        <v>62</v>
      </c>
      <c r="V33" s="814">
        <v>10</v>
      </c>
      <c r="W33" s="815">
        <v>39</v>
      </c>
      <c r="X33" s="816">
        <v>49</v>
      </c>
      <c r="Y33" s="814">
        <v>11</v>
      </c>
      <c r="Z33" s="815">
        <v>36</v>
      </c>
      <c r="AA33" s="816">
        <f t="shared" si="0"/>
        <v>47</v>
      </c>
      <c r="AB33" s="814">
        <v>46</v>
      </c>
      <c r="AC33" s="815">
        <v>44</v>
      </c>
      <c r="AD33" s="816">
        <f t="shared" si="1"/>
        <v>90</v>
      </c>
      <c r="AE33" s="814">
        <v>23</v>
      </c>
      <c r="AF33" s="815">
        <v>60</v>
      </c>
      <c r="AG33" s="816">
        <f t="shared" si="2"/>
        <v>83</v>
      </c>
      <c r="AH33" s="814">
        <v>30</v>
      </c>
      <c r="AI33" s="815">
        <v>75</v>
      </c>
      <c r="AJ33" s="816">
        <f t="shared" si="18"/>
        <v>105</v>
      </c>
      <c r="AK33" s="817">
        <v>29</v>
      </c>
      <c r="AL33" s="815">
        <v>59</v>
      </c>
      <c r="AM33" s="816">
        <f t="shared" si="19"/>
        <v>88</v>
      </c>
      <c r="AN33" s="817">
        <v>23</v>
      </c>
      <c r="AO33" s="815">
        <v>54</v>
      </c>
      <c r="AP33" s="816">
        <f t="shared" si="20"/>
        <v>77</v>
      </c>
    </row>
    <row r="34" spans="1:42" s="186" customFormat="1" ht="15" customHeight="1" x14ac:dyDescent="0.25">
      <c r="A34" s="5063"/>
      <c r="B34" s="5050"/>
      <c r="C34" s="822" t="s">
        <v>475</v>
      </c>
      <c r="D34" s="823">
        <v>100</v>
      </c>
      <c r="E34" s="859">
        <v>106</v>
      </c>
      <c r="F34" s="825">
        <v>206</v>
      </c>
      <c r="G34" s="860">
        <v>98</v>
      </c>
      <c r="H34" s="859">
        <v>115</v>
      </c>
      <c r="I34" s="825">
        <v>213</v>
      </c>
      <c r="J34" s="823">
        <v>94</v>
      </c>
      <c r="K34" s="824">
        <v>109</v>
      </c>
      <c r="L34" s="825">
        <v>203</v>
      </c>
      <c r="M34" s="823">
        <v>101</v>
      </c>
      <c r="N34" s="824">
        <v>119</v>
      </c>
      <c r="O34" s="825">
        <v>220</v>
      </c>
      <c r="P34" s="823">
        <v>81</v>
      </c>
      <c r="Q34" s="824">
        <v>106</v>
      </c>
      <c r="R34" s="825">
        <v>187</v>
      </c>
      <c r="S34" s="823">
        <v>89</v>
      </c>
      <c r="T34" s="824">
        <v>105</v>
      </c>
      <c r="U34" s="825">
        <v>194</v>
      </c>
      <c r="V34" s="823">
        <v>61</v>
      </c>
      <c r="W34" s="824">
        <v>100</v>
      </c>
      <c r="X34" s="825">
        <v>161</v>
      </c>
      <c r="Y34" s="823"/>
      <c r="Z34" s="824">
        <v>189</v>
      </c>
      <c r="AA34" s="825">
        <f t="shared" si="0"/>
        <v>189</v>
      </c>
      <c r="AB34" s="826"/>
      <c r="AC34" s="824">
        <v>160</v>
      </c>
      <c r="AD34" s="825">
        <f t="shared" si="1"/>
        <v>160</v>
      </c>
      <c r="AE34" s="826"/>
      <c r="AF34" s="824">
        <v>159</v>
      </c>
      <c r="AG34" s="825">
        <f t="shared" si="2"/>
        <v>159</v>
      </c>
      <c r="AH34" s="826"/>
      <c r="AI34" s="824">
        <v>168</v>
      </c>
      <c r="AJ34" s="825">
        <f t="shared" si="18"/>
        <v>168</v>
      </c>
      <c r="AK34" s="817"/>
      <c r="AL34" s="824">
        <v>119</v>
      </c>
      <c r="AM34" s="825">
        <f t="shared" si="19"/>
        <v>119</v>
      </c>
      <c r="AN34" s="817"/>
      <c r="AO34" s="824">
        <v>92</v>
      </c>
      <c r="AP34" s="825">
        <f t="shared" si="20"/>
        <v>92</v>
      </c>
    </row>
    <row r="35" spans="1:42" s="186" customFormat="1" ht="15" customHeight="1" x14ac:dyDescent="0.25">
      <c r="A35" s="5063"/>
      <c r="B35" s="5050"/>
      <c r="C35" s="875" t="s">
        <v>160</v>
      </c>
      <c r="D35" s="876">
        <f>SUM(D26:D34)</f>
        <v>321</v>
      </c>
      <c r="E35" s="877">
        <f t="shared" ref="E35:AG35" si="21">SUM(E26:E34)</f>
        <v>514</v>
      </c>
      <c r="F35" s="586">
        <f t="shared" si="21"/>
        <v>835</v>
      </c>
      <c r="G35" s="876">
        <f t="shared" si="21"/>
        <v>293</v>
      </c>
      <c r="H35" s="877">
        <f t="shared" si="21"/>
        <v>558</v>
      </c>
      <c r="I35" s="586">
        <f t="shared" si="21"/>
        <v>851</v>
      </c>
      <c r="J35" s="876">
        <f t="shared" si="21"/>
        <v>318</v>
      </c>
      <c r="K35" s="877">
        <f t="shared" si="21"/>
        <v>630</v>
      </c>
      <c r="L35" s="586">
        <f t="shared" si="21"/>
        <v>948</v>
      </c>
      <c r="M35" s="876">
        <f t="shared" si="21"/>
        <v>397</v>
      </c>
      <c r="N35" s="877">
        <f t="shared" si="21"/>
        <v>605</v>
      </c>
      <c r="O35" s="586">
        <f t="shared" si="21"/>
        <v>1002</v>
      </c>
      <c r="P35" s="876">
        <f t="shared" si="21"/>
        <v>296</v>
      </c>
      <c r="Q35" s="877">
        <f t="shared" si="21"/>
        <v>566</v>
      </c>
      <c r="R35" s="586">
        <f t="shared" si="21"/>
        <v>862</v>
      </c>
      <c r="S35" s="876">
        <f t="shared" si="21"/>
        <v>306</v>
      </c>
      <c r="T35" s="877">
        <f t="shared" si="21"/>
        <v>608</v>
      </c>
      <c r="U35" s="586">
        <f t="shared" si="21"/>
        <v>914</v>
      </c>
      <c r="V35" s="876">
        <f t="shared" si="21"/>
        <v>261</v>
      </c>
      <c r="W35" s="877">
        <f t="shared" si="21"/>
        <v>625</v>
      </c>
      <c r="X35" s="586">
        <f t="shared" si="21"/>
        <v>886</v>
      </c>
      <c r="Y35" s="876">
        <f t="shared" si="21"/>
        <v>137</v>
      </c>
      <c r="Z35" s="877">
        <f t="shared" si="21"/>
        <v>895</v>
      </c>
      <c r="AA35" s="586">
        <f t="shared" si="21"/>
        <v>1032</v>
      </c>
      <c r="AB35" s="876">
        <f t="shared" si="21"/>
        <v>218</v>
      </c>
      <c r="AC35" s="877">
        <f t="shared" si="21"/>
        <v>880</v>
      </c>
      <c r="AD35" s="586">
        <f t="shared" si="21"/>
        <v>1098</v>
      </c>
      <c r="AE35" s="876">
        <f t="shared" si="21"/>
        <v>216</v>
      </c>
      <c r="AF35" s="877">
        <f t="shared" si="21"/>
        <v>903</v>
      </c>
      <c r="AG35" s="586">
        <f t="shared" si="21"/>
        <v>1119</v>
      </c>
      <c r="AH35" s="876">
        <f t="shared" ref="AH35:AM35" si="22">SUM(AH26:AH34)</f>
        <v>269</v>
      </c>
      <c r="AI35" s="1522">
        <f t="shared" si="22"/>
        <v>1021</v>
      </c>
      <c r="AJ35" s="586">
        <f t="shared" si="22"/>
        <v>1290</v>
      </c>
      <c r="AK35" s="2328">
        <f>SUM(AK26:AK34)</f>
        <v>214</v>
      </c>
      <c r="AL35" s="2332">
        <f>SUM(AL26:AL34)</f>
        <v>838</v>
      </c>
      <c r="AM35" s="586">
        <f t="shared" si="22"/>
        <v>1052</v>
      </c>
      <c r="AN35" s="2328">
        <f>SUM(AN26:AN34)</f>
        <v>197</v>
      </c>
      <c r="AO35" s="2332">
        <f>SUM(AO26:AO34)</f>
        <v>781</v>
      </c>
      <c r="AP35" s="586">
        <f t="shared" ref="AP35" si="23">SUM(AP26:AP34)</f>
        <v>978</v>
      </c>
    </row>
    <row r="36" spans="1:42" s="186" customFormat="1" ht="15" customHeight="1" x14ac:dyDescent="0.25">
      <c r="A36" s="5063"/>
      <c r="B36" s="5050" t="s">
        <v>6</v>
      </c>
      <c r="C36" s="813" t="s">
        <v>462</v>
      </c>
      <c r="D36" s="854">
        <v>113</v>
      </c>
      <c r="E36" s="855">
        <v>134</v>
      </c>
      <c r="F36" s="816">
        <v>247</v>
      </c>
      <c r="G36" s="854">
        <v>135</v>
      </c>
      <c r="H36" s="855">
        <v>141</v>
      </c>
      <c r="I36" s="816">
        <v>276</v>
      </c>
      <c r="J36" s="814">
        <v>115</v>
      </c>
      <c r="K36" s="815">
        <v>159</v>
      </c>
      <c r="L36" s="816">
        <v>274</v>
      </c>
      <c r="M36" s="814">
        <v>134</v>
      </c>
      <c r="N36" s="815">
        <v>163</v>
      </c>
      <c r="O36" s="816">
        <v>297</v>
      </c>
      <c r="P36" s="814">
        <v>156</v>
      </c>
      <c r="Q36" s="815">
        <v>177</v>
      </c>
      <c r="R36" s="816">
        <v>333</v>
      </c>
      <c r="S36" s="814">
        <v>126</v>
      </c>
      <c r="T36" s="815">
        <v>152</v>
      </c>
      <c r="U36" s="816">
        <v>278</v>
      </c>
      <c r="V36" s="814">
        <v>127</v>
      </c>
      <c r="W36" s="815">
        <v>155</v>
      </c>
      <c r="X36" s="816">
        <v>282</v>
      </c>
      <c r="Y36" s="814">
        <v>115</v>
      </c>
      <c r="Z36" s="815">
        <v>152</v>
      </c>
      <c r="AA36" s="816">
        <f t="shared" si="0"/>
        <v>267</v>
      </c>
      <c r="AB36" s="814">
        <v>116</v>
      </c>
      <c r="AC36" s="815">
        <v>157</v>
      </c>
      <c r="AD36" s="816">
        <f t="shared" si="1"/>
        <v>273</v>
      </c>
      <c r="AE36" s="814">
        <v>118</v>
      </c>
      <c r="AF36" s="815">
        <v>161</v>
      </c>
      <c r="AG36" s="816">
        <f t="shared" si="2"/>
        <v>279</v>
      </c>
      <c r="AH36" s="814">
        <v>95</v>
      </c>
      <c r="AI36" s="815">
        <v>151</v>
      </c>
      <c r="AJ36" s="816">
        <f t="shared" ref="AJ36:AJ46" si="24">SUM(AH36:AI36)</f>
        <v>246</v>
      </c>
      <c r="AK36" s="831">
        <v>90</v>
      </c>
      <c r="AL36" s="815">
        <v>151</v>
      </c>
      <c r="AM36" s="816">
        <f t="shared" ref="AM36:AM46" si="25">SUM(AK36:AL36)</f>
        <v>241</v>
      </c>
      <c r="AN36" s="831">
        <v>83</v>
      </c>
      <c r="AO36" s="815">
        <v>137</v>
      </c>
      <c r="AP36" s="816">
        <f t="shared" ref="AP36:AP46" si="26">SUM(AN36:AO36)</f>
        <v>220</v>
      </c>
    </row>
    <row r="37" spans="1:42" s="186" customFormat="1" ht="15" customHeight="1" x14ac:dyDescent="0.25">
      <c r="A37" s="5063"/>
      <c r="B37" s="5050"/>
      <c r="C37" s="813" t="s">
        <v>476</v>
      </c>
      <c r="D37" s="814"/>
      <c r="E37" s="855">
        <v>67</v>
      </c>
      <c r="F37" s="816">
        <v>67</v>
      </c>
      <c r="G37" s="856"/>
      <c r="H37" s="855">
        <v>70</v>
      </c>
      <c r="I37" s="816">
        <v>70</v>
      </c>
      <c r="J37" s="814"/>
      <c r="K37" s="815">
        <v>81</v>
      </c>
      <c r="L37" s="816">
        <v>81</v>
      </c>
      <c r="M37" s="814"/>
      <c r="N37" s="815">
        <v>68</v>
      </c>
      <c r="O37" s="816">
        <v>68</v>
      </c>
      <c r="P37" s="814"/>
      <c r="Q37" s="815">
        <v>86</v>
      </c>
      <c r="R37" s="816">
        <v>86</v>
      </c>
      <c r="S37" s="814"/>
      <c r="T37" s="815">
        <v>66</v>
      </c>
      <c r="U37" s="816">
        <v>66</v>
      </c>
      <c r="V37" s="814"/>
      <c r="W37" s="815">
        <v>74</v>
      </c>
      <c r="X37" s="816">
        <v>74</v>
      </c>
      <c r="Y37" s="814"/>
      <c r="Z37" s="815">
        <v>79</v>
      </c>
      <c r="AA37" s="816">
        <f t="shared" si="0"/>
        <v>79</v>
      </c>
      <c r="AB37" s="814"/>
      <c r="AC37" s="815">
        <v>83</v>
      </c>
      <c r="AD37" s="816">
        <f t="shared" si="1"/>
        <v>83</v>
      </c>
      <c r="AE37" s="814"/>
      <c r="AF37" s="815">
        <v>80</v>
      </c>
      <c r="AG37" s="816">
        <f t="shared" si="2"/>
        <v>80</v>
      </c>
      <c r="AH37" s="814"/>
      <c r="AI37" s="815">
        <v>74</v>
      </c>
      <c r="AJ37" s="816">
        <f t="shared" si="24"/>
        <v>74</v>
      </c>
      <c r="AK37" s="817"/>
      <c r="AL37" s="815">
        <v>74</v>
      </c>
      <c r="AM37" s="816">
        <f t="shared" si="25"/>
        <v>74</v>
      </c>
      <c r="AN37" s="817"/>
      <c r="AO37" s="815">
        <v>81</v>
      </c>
      <c r="AP37" s="816">
        <f t="shared" si="26"/>
        <v>81</v>
      </c>
    </row>
    <row r="38" spans="1:42" s="186" customFormat="1" ht="15" customHeight="1" x14ac:dyDescent="0.25">
      <c r="A38" s="5063"/>
      <c r="B38" s="5050"/>
      <c r="C38" s="813" t="s">
        <v>477</v>
      </c>
      <c r="D38" s="819"/>
      <c r="E38" s="855">
        <v>64</v>
      </c>
      <c r="F38" s="816">
        <v>64</v>
      </c>
      <c r="G38" s="856"/>
      <c r="H38" s="855">
        <v>72</v>
      </c>
      <c r="I38" s="816">
        <v>72</v>
      </c>
      <c r="J38" s="819"/>
      <c r="K38" s="815">
        <v>82</v>
      </c>
      <c r="L38" s="816">
        <v>82</v>
      </c>
      <c r="M38" s="819"/>
      <c r="N38" s="815">
        <v>77</v>
      </c>
      <c r="O38" s="816">
        <v>77</v>
      </c>
      <c r="P38" s="814"/>
      <c r="Q38" s="815">
        <v>90</v>
      </c>
      <c r="R38" s="816">
        <v>90</v>
      </c>
      <c r="S38" s="814"/>
      <c r="T38" s="815">
        <v>72</v>
      </c>
      <c r="U38" s="816">
        <v>72</v>
      </c>
      <c r="V38" s="814"/>
      <c r="W38" s="815">
        <v>89</v>
      </c>
      <c r="X38" s="816">
        <v>89</v>
      </c>
      <c r="Y38" s="814"/>
      <c r="Z38" s="815">
        <v>94</v>
      </c>
      <c r="AA38" s="816">
        <f t="shared" si="0"/>
        <v>94</v>
      </c>
      <c r="AB38" s="814"/>
      <c r="AC38" s="815">
        <v>80</v>
      </c>
      <c r="AD38" s="816">
        <f t="shared" si="1"/>
        <v>80</v>
      </c>
      <c r="AE38" s="814"/>
      <c r="AF38" s="815">
        <v>86</v>
      </c>
      <c r="AG38" s="816">
        <f t="shared" si="2"/>
        <v>86</v>
      </c>
      <c r="AH38" s="814"/>
      <c r="AI38" s="815">
        <v>83</v>
      </c>
      <c r="AJ38" s="816">
        <f t="shared" si="24"/>
        <v>83</v>
      </c>
      <c r="AK38" s="817"/>
      <c r="AL38" s="815">
        <v>74</v>
      </c>
      <c r="AM38" s="816">
        <f t="shared" si="25"/>
        <v>74</v>
      </c>
      <c r="AN38" s="817"/>
      <c r="AO38" s="815">
        <v>84</v>
      </c>
      <c r="AP38" s="816">
        <f t="shared" si="26"/>
        <v>84</v>
      </c>
    </row>
    <row r="39" spans="1:42" s="186" customFormat="1" ht="15" customHeight="1" x14ac:dyDescent="0.25">
      <c r="A39" s="5063"/>
      <c r="B39" s="5050"/>
      <c r="C39" s="813" t="s">
        <v>478</v>
      </c>
      <c r="D39" s="819"/>
      <c r="E39" s="855">
        <v>56</v>
      </c>
      <c r="F39" s="816">
        <v>56</v>
      </c>
      <c r="G39" s="856"/>
      <c r="H39" s="855">
        <v>85</v>
      </c>
      <c r="I39" s="816">
        <v>85</v>
      </c>
      <c r="J39" s="819"/>
      <c r="K39" s="815">
        <v>88</v>
      </c>
      <c r="L39" s="816">
        <v>88</v>
      </c>
      <c r="M39" s="819"/>
      <c r="N39" s="815">
        <v>94</v>
      </c>
      <c r="O39" s="816">
        <v>94</v>
      </c>
      <c r="P39" s="814"/>
      <c r="Q39" s="815">
        <v>89</v>
      </c>
      <c r="R39" s="816">
        <v>89</v>
      </c>
      <c r="S39" s="814"/>
      <c r="T39" s="815">
        <v>87</v>
      </c>
      <c r="U39" s="816">
        <v>87</v>
      </c>
      <c r="V39" s="814"/>
      <c r="W39" s="815">
        <v>92</v>
      </c>
      <c r="X39" s="816">
        <v>92</v>
      </c>
      <c r="Y39" s="814"/>
      <c r="Z39" s="815">
        <v>100</v>
      </c>
      <c r="AA39" s="816">
        <f t="shared" si="0"/>
        <v>100</v>
      </c>
      <c r="AB39" s="814"/>
      <c r="AC39" s="815">
        <v>93</v>
      </c>
      <c r="AD39" s="816">
        <f t="shared" si="1"/>
        <v>93</v>
      </c>
      <c r="AE39" s="814"/>
      <c r="AF39" s="815">
        <v>106</v>
      </c>
      <c r="AG39" s="816">
        <f t="shared" si="2"/>
        <v>106</v>
      </c>
      <c r="AH39" s="814"/>
      <c r="AI39" s="815">
        <v>90</v>
      </c>
      <c r="AJ39" s="816">
        <f t="shared" si="24"/>
        <v>90</v>
      </c>
      <c r="AK39" s="817"/>
      <c r="AL39" s="815">
        <v>94</v>
      </c>
      <c r="AM39" s="816">
        <f t="shared" si="25"/>
        <v>94</v>
      </c>
      <c r="AN39" s="817"/>
      <c r="AO39" s="815">
        <v>94</v>
      </c>
      <c r="AP39" s="816">
        <f t="shared" si="26"/>
        <v>94</v>
      </c>
    </row>
    <row r="40" spans="1:42" s="186" customFormat="1" ht="15" customHeight="1" x14ac:dyDescent="0.25">
      <c r="A40" s="5063"/>
      <c r="B40" s="5050"/>
      <c r="C40" s="813" t="s">
        <v>464</v>
      </c>
      <c r="D40" s="814"/>
      <c r="E40" s="855">
        <v>87</v>
      </c>
      <c r="F40" s="816">
        <v>87</v>
      </c>
      <c r="G40" s="856"/>
      <c r="H40" s="855">
        <v>89</v>
      </c>
      <c r="I40" s="816">
        <v>89</v>
      </c>
      <c r="J40" s="814"/>
      <c r="K40" s="815">
        <v>135</v>
      </c>
      <c r="L40" s="816">
        <v>135</v>
      </c>
      <c r="M40" s="814"/>
      <c r="N40" s="815">
        <v>115</v>
      </c>
      <c r="O40" s="816">
        <v>115</v>
      </c>
      <c r="P40" s="814"/>
      <c r="Q40" s="815">
        <v>131</v>
      </c>
      <c r="R40" s="816">
        <v>131</v>
      </c>
      <c r="S40" s="814"/>
      <c r="T40" s="815">
        <v>142</v>
      </c>
      <c r="U40" s="816">
        <v>142</v>
      </c>
      <c r="V40" s="814"/>
      <c r="W40" s="815">
        <v>159</v>
      </c>
      <c r="X40" s="816">
        <v>159</v>
      </c>
      <c r="Y40" s="814"/>
      <c r="Z40" s="815">
        <v>156</v>
      </c>
      <c r="AA40" s="816">
        <f t="shared" si="0"/>
        <v>156</v>
      </c>
      <c r="AB40" s="814"/>
      <c r="AC40" s="815">
        <v>156</v>
      </c>
      <c r="AD40" s="816">
        <f t="shared" si="1"/>
        <v>156</v>
      </c>
      <c r="AE40" s="814"/>
      <c r="AF40" s="815">
        <v>153</v>
      </c>
      <c r="AG40" s="816">
        <f t="shared" si="2"/>
        <v>153</v>
      </c>
      <c r="AH40" s="814"/>
      <c r="AI40" s="815">
        <v>145</v>
      </c>
      <c r="AJ40" s="816">
        <f t="shared" si="24"/>
        <v>145</v>
      </c>
      <c r="AK40" s="817"/>
      <c r="AL40" s="815">
        <v>155</v>
      </c>
      <c r="AM40" s="816">
        <f t="shared" si="25"/>
        <v>155</v>
      </c>
      <c r="AN40" s="817"/>
      <c r="AO40" s="815">
        <v>144</v>
      </c>
      <c r="AP40" s="816">
        <f t="shared" si="26"/>
        <v>144</v>
      </c>
    </row>
    <row r="41" spans="1:42" s="186" customFormat="1" ht="15" customHeight="1" x14ac:dyDescent="0.25">
      <c r="A41" s="5063"/>
      <c r="B41" s="5050"/>
      <c r="C41" s="813" t="s">
        <v>465</v>
      </c>
      <c r="D41" s="814"/>
      <c r="E41" s="855">
        <v>81</v>
      </c>
      <c r="F41" s="816">
        <v>81</v>
      </c>
      <c r="G41" s="856"/>
      <c r="H41" s="855">
        <v>92</v>
      </c>
      <c r="I41" s="816">
        <v>92</v>
      </c>
      <c r="J41" s="814"/>
      <c r="K41" s="815">
        <v>104</v>
      </c>
      <c r="L41" s="816">
        <v>104</v>
      </c>
      <c r="M41" s="814"/>
      <c r="N41" s="815">
        <v>101</v>
      </c>
      <c r="O41" s="816">
        <v>101</v>
      </c>
      <c r="P41" s="814"/>
      <c r="Q41" s="815">
        <v>94</v>
      </c>
      <c r="R41" s="816">
        <v>94</v>
      </c>
      <c r="S41" s="814"/>
      <c r="T41" s="815">
        <v>115</v>
      </c>
      <c r="U41" s="816">
        <v>115</v>
      </c>
      <c r="V41" s="814"/>
      <c r="W41" s="815">
        <v>116</v>
      </c>
      <c r="X41" s="816">
        <v>116</v>
      </c>
      <c r="Y41" s="814"/>
      <c r="Z41" s="815">
        <v>119</v>
      </c>
      <c r="AA41" s="816">
        <f t="shared" si="0"/>
        <v>119</v>
      </c>
      <c r="AB41" s="814"/>
      <c r="AC41" s="815">
        <v>114</v>
      </c>
      <c r="AD41" s="816">
        <f t="shared" si="1"/>
        <v>114</v>
      </c>
      <c r="AE41" s="814"/>
      <c r="AF41" s="815">
        <v>115</v>
      </c>
      <c r="AG41" s="816">
        <f t="shared" si="2"/>
        <v>115</v>
      </c>
      <c r="AH41" s="814"/>
      <c r="AI41" s="815">
        <v>114</v>
      </c>
      <c r="AJ41" s="816">
        <f t="shared" si="24"/>
        <v>114</v>
      </c>
      <c r="AK41" s="817"/>
      <c r="AL41" s="815">
        <v>113</v>
      </c>
      <c r="AM41" s="816">
        <f t="shared" si="25"/>
        <v>113</v>
      </c>
      <c r="AN41" s="817"/>
      <c r="AO41" s="815">
        <v>114</v>
      </c>
      <c r="AP41" s="816">
        <f t="shared" si="26"/>
        <v>114</v>
      </c>
    </row>
    <row r="42" spans="1:42" s="186" customFormat="1" ht="15" customHeight="1" x14ac:dyDescent="0.25">
      <c r="A42" s="5063"/>
      <c r="B42" s="5050"/>
      <c r="C42" s="813" t="s">
        <v>479</v>
      </c>
      <c r="D42" s="814"/>
      <c r="E42" s="855">
        <v>86</v>
      </c>
      <c r="F42" s="816">
        <v>86</v>
      </c>
      <c r="G42" s="856"/>
      <c r="H42" s="855">
        <v>94</v>
      </c>
      <c r="I42" s="816">
        <v>94</v>
      </c>
      <c r="J42" s="814"/>
      <c r="K42" s="815">
        <v>105</v>
      </c>
      <c r="L42" s="816">
        <v>105</v>
      </c>
      <c r="M42" s="814"/>
      <c r="N42" s="815">
        <v>104</v>
      </c>
      <c r="O42" s="816">
        <v>104</v>
      </c>
      <c r="P42" s="814"/>
      <c r="Q42" s="815">
        <v>106</v>
      </c>
      <c r="R42" s="816">
        <v>106</v>
      </c>
      <c r="S42" s="814"/>
      <c r="T42" s="815">
        <v>97</v>
      </c>
      <c r="U42" s="816">
        <v>97</v>
      </c>
      <c r="V42" s="814"/>
      <c r="W42" s="815">
        <v>97</v>
      </c>
      <c r="X42" s="816">
        <v>97</v>
      </c>
      <c r="Y42" s="814"/>
      <c r="Z42" s="815">
        <v>114</v>
      </c>
      <c r="AA42" s="816">
        <f t="shared" si="0"/>
        <v>114</v>
      </c>
      <c r="AB42" s="814"/>
      <c r="AC42" s="815">
        <v>106</v>
      </c>
      <c r="AD42" s="816">
        <f t="shared" si="1"/>
        <v>106</v>
      </c>
      <c r="AE42" s="814"/>
      <c r="AF42" s="815">
        <v>112</v>
      </c>
      <c r="AG42" s="816">
        <f t="shared" si="2"/>
        <v>112</v>
      </c>
      <c r="AH42" s="814"/>
      <c r="AI42" s="815">
        <v>111</v>
      </c>
      <c r="AJ42" s="816">
        <f t="shared" si="24"/>
        <v>111</v>
      </c>
      <c r="AK42" s="817"/>
      <c r="AL42" s="815">
        <v>100</v>
      </c>
      <c r="AM42" s="816">
        <f t="shared" si="25"/>
        <v>100</v>
      </c>
      <c r="AN42" s="817"/>
      <c r="AO42" s="815">
        <v>109</v>
      </c>
      <c r="AP42" s="816">
        <f t="shared" si="26"/>
        <v>109</v>
      </c>
    </row>
    <row r="43" spans="1:42" s="186" customFormat="1" ht="15" customHeight="1" x14ac:dyDescent="0.25">
      <c r="A43" s="5063"/>
      <c r="B43" s="5050"/>
      <c r="C43" s="813" t="s">
        <v>480</v>
      </c>
      <c r="D43" s="814"/>
      <c r="E43" s="855">
        <v>50</v>
      </c>
      <c r="F43" s="816">
        <v>50</v>
      </c>
      <c r="G43" s="856"/>
      <c r="H43" s="855">
        <v>48</v>
      </c>
      <c r="I43" s="816">
        <v>48</v>
      </c>
      <c r="J43" s="814"/>
      <c r="K43" s="815">
        <v>47</v>
      </c>
      <c r="L43" s="816">
        <v>47</v>
      </c>
      <c r="M43" s="814"/>
      <c r="N43" s="815">
        <v>50</v>
      </c>
      <c r="O43" s="816">
        <v>50</v>
      </c>
      <c r="P43" s="814"/>
      <c r="Q43" s="815">
        <v>52</v>
      </c>
      <c r="R43" s="816">
        <v>52</v>
      </c>
      <c r="S43" s="814"/>
      <c r="T43" s="815">
        <v>56</v>
      </c>
      <c r="U43" s="816">
        <v>56</v>
      </c>
      <c r="V43" s="814"/>
      <c r="W43" s="815">
        <v>59</v>
      </c>
      <c r="X43" s="816">
        <v>59</v>
      </c>
      <c r="Y43" s="814"/>
      <c r="Z43" s="815">
        <v>68</v>
      </c>
      <c r="AA43" s="816">
        <f t="shared" si="0"/>
        <v>68</v>
      </c>
      <c r="AB43" s="814"/>
      <c r="AC43" s="815">
        <v>67</v>
      </c>
      <c r="AD43" s="816">
        <f t="shared" si="1"/>
        <v>67</v>
      </c>
      <c r="AE43" s="814"/>
      <c r="AF43" s="815">
        <v>57</v>
      </c>
      <c r="AG43" s="816">
        <f t="shared" si="2"/>
        <v>57</v>
      </c>
      <c r="AH43" s="814"/>
      <c r="AI43" s="815">
        <v>67</v>
      </c>
      <c r="AJ43" s="816">
        <f t="shared" si="24"/>
        <v>67</v>
      </c>
      <c r="AK43" s="817"/>
      <c r="AL43" s="815">
        <v>64</v>
      </c>
      <c r="AM43" s="816">
        <f t="shared" si="25"/>
        <v>64</v>
      </c>
      <c r="AN43" s="817"/>
      <c r="AO43" s="815">
        <v>74</v>
      </c>
      <c r="AP43" s="816">
        <f t="shared" si="26"/>
        <v>74</v>
      </c>
    </row>
    <row r="44" spans="1:42" s="186" customFormat="1" ht="15" customHeight="1" x14ac:dyDescent="0.25">
      <c r="A44" s="5063"/>
      <c r="B44" s="5050"/>
      <c r="C44" s="813" t="s">
        <v>481</v>
      </c>
      <c r="D44" s="814"/>
      <c r="E44" s="855">
        <v>113</v>
      </c>
      <c r="F44" s="816">
        <v>113</v>
      </c>
      <c r="G44" s="856"/>
      <c r="H44" s="855">
        <v>99</v>
      </c>
      <c r="I44" s="816">
        <v>99</v>
      </c>
      <c r="J44" s="814"/>
      <c r="K44" s="815">
        <v>104</v>
      </c>
      <c r="L44" s="816">
        <v>104</v>
      </c>
      <c r="M44" s="814"/>
      <c r="N44" s="815">
        <v>144</v>
      </c>
      <c r="O44" s="816">
        <v>144</v>
      </c>
      <c r="P44" s="814"/>
      <c r="Q44" s="815">
        <v>174</v>
      </c>
      <c r="R44" s="816">
        <v>174</v>
      </c>
      <c r="S44" s="814"/>
      <c r="T44" s="815">
        <v>112</v>
      </c>
      <c r="U44" s="816">
        <v>112</v>
      </c>
      <c r="V44" s="814"/>
      <c r="W44" s="815">
        <v>130</v>
      </c>
      <c r="X44" s="816">
        <v>130</v>
      </c>
      <c r="Y44" s="814"/>
      <c r="Z44" s="815">
        <v>129</v>
      </c>
      <c r="AA44" s="816">
        <f t="shared" si="0"/>
        <v>129</v>
      </c>
      <c r="AB44" s="814"/>
      <c r="AC44" s="815">
        <v>141</v>
      </c>
      <c r="AD44" s="816">
        <f t="shared" si="1"/>
        <v>141</v>
      </c>
      <c r="AE44" s="814"/>
      <c r="AF44" s="815">
        <v>134</v>
      </c>
      <c r="AG44" s="816">
        <f t="shared" si="2"/>
        <v>134</v>
      </c>
      <c r="AH44" s="814"/>
      <c r="AI44" s="815">
        <v>128</v>
      </c>
      <c r="AJ44" s="816">
        <f t="shared" si="24"/>
        <v>128</v>
      </c>
      <c r="AK44" s="817"/>
      <c r="AL44" s="815">
        <v>136</v>
      </c>
      <c r="AM44" s="816">
        <f t="shared" si="25"/>
        <v>136</v>
      </c>
      <c r="AN44" s="817"/>
      <c r="AO44" s="815">
        <v>126</v>
      </c>
      <c r="AP44" s="816">
        <f t="shared" si="26"/>
        <v>126</v>
      </c>
    </row>
    <row r="45" spans="1:42" s="186" customFormat="1" ht="15" customHeight="1" x14ac:dyDescent="0.25">
      <c r="A45" s="5063"/>
      <c r="B45" s="5050"/>
      <c r="C45" s="813" t="s">
        <v>482</v>
      </c>
      <c r="D45" s="854">
        <v>63</v>
      </c>
      <c r="E45" s="855">
        <v>124</v>
      </c>
      <c r="F45" s="816">
        <v>187</v>
      </c>
      <c r="G45" s="854">
        <v>81</v>
      </c>
      <c r="H45" s="855">
        <v>142</v>
      </c>
      <c r="I45" s="816">
        <v>223</v>
      </c>
      <c r="J45" s="814">
        <v>63</v>
      </c>
      <c r="K45" s="815">
        <v>165</v>
      </c>
      <c r="L45" s="816">
        <v>228</v>
      </c>
      <c r="M45" s="814">
        <v>72</v>
      </c>
      <c r="N45" s="815">
        <v>150</v>
      </c>
      <c r="O45" s="816">
        <v>222</v>
      </c>
      <c r="P45" s="814">
        <v>83</v>
      </c>
      <c r="Q45" s="815">
        <v>187</v>
      </c>
      <c r="R45" s="816">
        <v>270</v>
      </c>
      <c r="S45" s="814">
        <v>85</v>
      </c>
      <c r="T45" s="815">
        <v>132</v>
      </c>
      <c r="U45" s="816">
        <v>217</v>
      </c>
      <c r="V45" s="814">
        <v>69</v>
      </c>
      <c r="W45" s="815">
        <v>150</v>
      </c>
      <c r="X45" s="816">
        <v>219</v>
      </c>
      <c r="Y45" s="814">
        <v>67</v>
      </c>
      <c r="Z45" s="815">
        <v>144</v>
      </c>
      <c r="AA45" s="816">
        <f t="shared" si="0"/>
        <v>211</v>
      </c>
      <c r="AB45" s="814">
        <v>67</v>
      </c>
      <c r="AC45" s="815">
        <v>142</v>
      </c>
      <c r="AD45" s="816">
        <f t="shared" si="1"/>
        <v>209</v>
      </c>
      <c r="AE45" s="814">
        <v>74</v>
      </c>
      <c r="AF45" s="815">
        <v>137</v>
      </c>
      <c r="AG45" s="816">
        <f t="shared" si="2"/>
        <v>211</v>
      </c>
      <c r="AH45" s="814">
        <v>66</v>
      </c>
      <c r="AI45" s="815">
        <v>133</v>
      </c>
      <c r="AJ45" s="816">
        <f t="shared" si="24"/>
        <v>199</v>
      </c>
      <c r="AK45" s="817">
        <v>69</v>
      </c>
      <c r="AL45" s="815">
        <v>142</v>
      </c>
      <c r="AM45" s="816">
        <f t="shared" si="25"/>
        <v>211</v>
      </c>
      <c r="AN45" s="817">
        <v>68</v>
      </c>
      <c r="AO45" s="815">
        <v>132</v>
      </c>
      <c r="AP45" s="816">
        <f t="shared" si="26"/>
        <v>200</v>
      </c>
    </row>
    <row r="46" spans="1:42" s="186" customFormat="1" ht="15" customHeight="1" x14ac:dyDescent="0.25">
      <c r="A46" s="5063"/>
      <c r="B46" s="5050"/>
      <c r="C46" s="822" t="s">
        <v>483</v>
      </c>
      <c r="D46" s="823"/>
      <c r="E46" s="859">
        <v>42</v>
      </c>
      <c r="F46" s="825">
        <v>42</v>
      </c>
      <c r="G46" s="860"/>
      <c r="H46" s="859">
        <v>47</v>
      </c>
      <c r="I46" s="825">
        <v>47</v>
      </c>
      <c r="J46" s="823"/>
      <c r="K46" s="824">
        <v>51</v>
      </c>
      <c r="L46" s="825">
        <v>51</v>
      </c>
      <c r="M46" s="823"/>
      <c r="N46" s="824">
        <v>56</v>
      </c>
      <c r="O46" s="825">
        <v>56</v>
      </c>
      <c r="P46" s="823"/>
      <c r="Q46" s="824">
        <v>49</v>
      </c>
      <c r="R46" s="825">
        <v>49</v>
      </c>
      <c r="S46" s="823"/>
      <c r="T46" s="824">
        <v>49</v>
      </c>
      <c r="U46" s="825">
        <v>49</v>
      </c>
      <c r="V46" s="823"/>
      <c r="W46" s="824">
        <v>44</v>
      </c>
      <c r="X46" s="825">
        <v>44</v>
      </c>
      <c r="Y46" s="823"/>
      <c r="Z46" s="824">
        <v>55</v>
      </c>
      <c r="AA46" s="825">
        <f t="shared" si="0"/>
        <v>55</v>
      </c>
      <c r="AB46" s="826"/>
      <c r="AC46" s="824">
        <v>53</v>
      </c>
      <c r="AD46" s="825">
        <f t="shared" si="1"/>
        <v>53</v>
      </c>
      <c r="AE46" s="826"/>
      <c r="AF46" s="824">
        <v>52</v>
      </c>
      <c r="AG46" s="825">
        <f t="shared" si="2"/>
        <v>52</v>
      </c>
      <c r="AH46" s="826"/>
      <c r="AI46" s="824">
        <v>55</v>
      </c>
      <c r="AJ46" s="825">
        <f t="shared" si="24"/>
        <v>55</v>
      </c>
      <c r="AK46" s="817"/>
      <c r="AL46" s="824">
        <v>53</v>
      </c>
      <c r="AM46" s="825">
        <f t="shared" si="25"/>
        <v>53</v>
      </c>
      <c r="AN46" s="817"/>
      <c r="AO46" s="824">
        <v>60</v>
      </c>
      <c r="AP46" s="825">
        <f t="shared" si="26"/>
        <v>60</v>
      </c>
    </row>
    <row r="47" spans="1:42" s="186" customFormat="1" ht="15" customHeight="1" x14ac:dyDescent="0.25">
      <c r="A47" s="5063"/>
      <c r="B47" s="5051"/>
      <c r="C47" s="875" t="s">
        <v>160</v>
      </c>
      <c r="D47" s="876">
        <f>SUM(D36:D46)</f>
        <v>176</v>
      </c>
      <c r="E47" s="877">
        <f t="shared" ref="E47:AG47" si="27">SUM(E36:E46)</f>
        <v>904</v>
      </c>
      <c r="F47" s="586">
        <f t="shared" si="27"/>
        <v>1080</v>
      </c>
      <c r="G47" s="876">
        <f t="shared" si="27"/>
        <v>216</v>
      </c>
      <c r="H47" s="877">
        <f t="shared" si="27"/>
        <v>979</v>
      </c>
      <c r="I47" s="586">
        <f t="shared" si="27"/>
        <v>1195</v>
      </c>
      <c r="J47" s="876">
        <f t="shared" si="27"/>
        <v>178</v>
      </c>
      <c r="K47" s="877">
        <f t="shared" si="27"/>
        <v>1121</v>
      </c>
      <c r="L47" s="586">
        <f t="shared" si="27"/>
        <v>1299</v>
      </c>
      <c r="M47" s="876">
        <f t="shared" si="27"/>
        <v>206</v>
      </c>
      <c r="N47" s="877">
        <f t="shared" si="27"/>
        <v>1122</v>
      </c>
      <c r="O47" s="586">
        <f t="shared" si="27"/>
        <v>1328</v>
      </c>
      <c r="P47" s="876">
        <f t="shared" si="27"/>
        <v>239</v>
      </c>
      <c r="Q47" s="877">
        <f t="shared" si="27"/>
        <v>1235</v>
      </c>
      <c r="R47" s="586">
        <f t="shared" si="27"/>
        <v>1474</v>
      </c>
      <c r="S47" s="876">
        <f t="shared" si="27"/>
        <v>211</v>
      </c>
      <c r="T47" s="877">
        <f t="shared" si="27"/>
        <v>1080</v>
      </c>
      <c r="U47" s="586">
        <f t="shared" si="27"/>
        <v>1291</v>
      </c>
      <c r="V47" s="876">
        <f t="shared" si="27"/>
        <v>196</v>
      </c>
      <c r="W47" s="877">
        <f t="shared" si="27"/>
        <v>1165</v>
      </c>
      <c r="X47" s="586">
        <f t="shared" si="27"/>
        <v>1361</v>
      </c>
      <c r="Y47" s="876">
        <f t="shared" si="27"/>
        <v>182</v>
      </c>
      <c r="Z47" s="877">
        <f t="shared" si="27"/>
        <v>1210</v>
      </c>
      <c r="AA47" s="586">
        <f t="shared" si="27"/>
        <v>1392</v>
      </c>
      <c r="AB47" s="876">
        <f t="shared" si="27"/>
        <v>183</v>
      </c>
      <c r="AC47" s="877">
        <f t="shared" si="27"/>
        <v>1192</v>
      </c>
      <c r="AD47" s="586">
        <f t="shared" si="27"/>
        <v>1375</v>
      </c>
      <c r="AE47" s="876">
        <f t="shared" si="27"/>
        <v>192</v>
      </c>
      <c r="AF47" s="877">
        <f t="shared" si="27"/>
        <v>1193</v>
      </c>
      <c r="AG47" s="586">
        <f t="shared" si="27"/>
        <v>1385</v>
      </c>
      <c r="AH47" s="876">
        <f t="shared" ref="AH47:AM47" si="28">SUM(AH36:AH46)</f>
        <v>161</v>
      </c>
      <c r="AI47" s="1522">
        <f t="shared" si="28"/>
        <v>1151</v>
      </c>
      <c r="AJ47" s="586">
        <f t="shared" si="28"/>
        <v>1312</v>
      </c>
      <c r="AK47" s="2328">
        <f>SUM(AK36:AK46)</f>
        <v>159</v>
      </c>
      <c r="AL47" s="2332">
        <f>SUM(AL36:AL46)</f>
        <v>1156</v>
      </c>
      <c r="AM47" s="586">
        <f t="shared" si="28"/>
        <v>1315</v>
      </c>
      <c r="AN47" s="2328">
        <f>SUM(AN36:AN46)</f>
        <v>151</v>
      </c>
      <c r="AO47" s="2332">
        <f>SUM(AO36:AO46)</f>
        <v>1155</v>
      </c>
      <c r="AP47" s="586">
        <f t="shared" ref="AP47" si="29">SUM(AP36:AP46)</f>
        <v>1306</v>
      </c>
    </row>
    <row r="48" spans="1:42" s="186" customFormat="1" ht="15" customHeight="1" x14ac:dyDescent="0.25">
      <c r="A48" s="5063"/>
      <c r="B48" s="5049" t="s">
        <v>11</v>
      </c>
      <c r="C48" s="813" t="s">
        <v>484</v>
      </c>
      <c r="D48" s="854">
        <v>30</v>
      </c>
      <c r="E48" s="855">
        <v>63</v>
      </c>
      <c r="F48" s="816">
        <v>93</v>
      </c>
      <c r="G48" s="854">
        <v>38</v>
      </c>
      <c r="H48" s="855">
        <v>77</v>
      </c>
      <c r="I48" s="816">
        <v>115</v>
      </c>
      <c r="J48" s="814">
        <v>58</v>
      </c>
      <c r="K48" s="815">
        <v>95</v>
      </c>
      <c r="L48" s="816">
        <v>153</v>
      </c>
      <c r="M48" s="814">
        <v>84</v>
      </c>
      <c r="N48" s="815">
        <v>89</v>
      </c>
      <c r="O48" s="816">
        <v>173</v>
      </c>
      <c r="P48" s="814">
        <v>66</v>
      </c>
      <c r="Q48" s="815">
        <v>112</v>
      </c>
      <c r="R48" s="816">
        <v>178</v>
      </c>
      <c r="S48" s="814">
        <v>83</v>
      </c>
      <c r="T48" s="815">
        <v>90</v>
      </c>
      <c r="U48" s="816">
        <v>173</v>
      </c>
      <c r="V48" s="814">
        <v>88</v>
      </c>
      <c r="W48" s="815">
        <v>97</v>
      </c>
      <c r="X48" s="816">
        <v>185</v>
      </c>
      <c r="Y48" s="814">
        <v>78</v>
      </c>
      <c r="Z48" s="815">
        <v>99</v>
      </c>
      <c r="AA48" s="816">
        <f t="shared" si="0"/>
        <v>177</v>
      </c>
      <c r="AB48" s="814">
        <v>81</v>
      </c>
      <c r="AC48" s="815">
        <v>84</v>
      </c>
      <c r="AD48" s="816">
        <f t="shared" si="1"/>
        <v>165</v>
      </c>
      <c r="AE48" s="814">
        <v>71</v>
      </c>
      <c r="AF48" s="815">
        <v>77</v>
      </c>
      <c r="AG48" s="816">
        <f t="shared" si="2"/>
        <v>148</v>
      </c>
      <c r="AH48" s="814">
        <v>71</v>
      </c>
      <c r="AI48" s="815">
        <v>79</v>
      </c>
      <c r="AJ48" s="816">
        <f t="shared" ref="AJ48:AJ53" si="30">SUM(AH48:AI48)</f>
        <v>150</v>
      </c>
      <c r="AK48" s="831">
        <v>75</v>
      </c>
      <c r="AL48" s="815">
        <v>84</v>
      </c>
      <c r="AM48" s="816">
        <f t="shared" ref="AM48:AM53" si="31">SUM(AK48:AL48)</f>
        <v>159</v>
      </c>
      <c r="AN48" s="831">
        <v>71</v>
      </c>
      <c r="AO48" s="815">
        <v>79</v>
      </c>
      <c r="AP48" s="816">
        <f t="shared" ref="AP48:AP53" si="32">SUM(AN48:AO48)</f>
        <v>150</v>
      </c>
    </row>
    <row r="49" spans="1:42" s="186" customFormat="1" ht="15" customHeight="1" x14ac:dyDescent="0.25">
      <c r="A49" s="5063"/>
      <c r="B49" s="5050"/>
      <c r="C49" s="813" t="s">
        <v>485</v>
      </c>
      <c r="D49" s="854">
        <v>44</v>
      </c>
      <c r="E49" s="855">
        <v>102</v>
      </c>
      <c r="F49" s="816">
        <v>146</v>
      </c>
      <c r="G49" s="854">
        <v>51</v>
      </c>
      <c r="H49" s="855">
        <v>69</v>
      </c>
      <c r="I49" s="816">
        <v>120</v>
      </c>
      <c r="J49" s="814">
        <v>39</v>
      </c>
      <c r="K49" s="815">
        <v>74</v>
      </c>
      <c r="L49" s="816">
        <v>113</v>
      </c>
      <c r="M49" s="814">
        <v>36</v>
      </c>
      <c r="N49" s="815">
        <v>60</v>
      </c>
      <c r="O49" s="816">
        <v>96</v>
      </c>
      <c r="P49" s="814">
        <v>43</v>
      </c>
      <c r="Q49" s="815">
        <v>79</v>
      </c>
      <c r="R49" s="816">
        <v>122</v>
      </c>
      <c r="S49" s="814">
        <v>50</v>
      </c>
      <c r="T49" s="815">
        <v>64</v>
      </c>
      <c r="U49" s="816">
        <v>114</v>
      </c>
      <c r="V49" s="814">
        <v>64</v>
      </c>
      <c r="W49" s="815">
        <v>68</v>
      </c>
      <c r="X49" s="816">
        <v>132</v>
      </c>
      <c r="Y49" s="814">
        <v>45</v>
      </c>
      <c r="Z49" s="815">
        <v>71</v>
      </c>
      <c r="AA49" s="816">
        <f t="shared" si="0"/>
        <v>116</v>
      </c>
      <c r="AB49" s="814">
        <v>55</v>
      </c>
      <c r="AC49" s="815">
        <v>80</v>
      </c>
      <c r="AD49" s="816">
        <f t="shared" si="1"/>
        <v>135</v>
      </c>
      <c r="AE49" s="814">
        <v>66</v>
      </c>
      <c r="AF49" s="815">
        <v>69</v>
      </c>
      <c r="AG49" s="816">
        <f t="shared" si="2"/>
        <v>135</v>
      </c>
      <c r="AH49" s="814">
        <v>70</v>
      </c>
      <c r="AI49" s="815">
        <v>76</v>
      </c>
      <c r="AJ49" s="816">
        <f t="shared" si="30"/>
        <v>146</v>
      </c>
      <c r="AK49" s="817">
        <v>60</v>
      </c>
      <c r="AL49" s="815">
        <v>78</v>
      </c>
      <c r="AM49" s="816">
        <f t="shared" si="31"/>
        <v>138</v>
      </c>
      <c r="AN49" s="817">
        <v>59</v>
      </c>
      <c r="AO49" s="815">
        <v>74</v>
      </c>
      <c r="AP49" s="816">
        <f t="shared" si="32"/>
        <v>133</v>
      </c>
    </row>
    <row r="50" spans="1:42" s="186" customFormat="1" ht="15" customHeight="1" x14ac:dyDescent="0.25">
      <c r="A50" s="5063"/>
      <c r="B50" s="5050"/>
      <c r="C50" s="813" t="s">
        <v>486</v>
      </c>
      <c r="D50" s="814"/>
      <c r="E50" s="855">
        <v>48</v>
      </c>
      <c r="F50" s="816">
        <v>48</v>
      </c>
      <c r="G50" s="856"/>
      <c r="H50" s="855">
        <v>38</v>
      </c>
      <c r="I50" s="816">
        <v>38</v>
      </c>
      <c r="J50" s="814"/>
      <c r="K50" s="815">
        <v>53</v>
      </c>
      <c r="L50" s="816">
        <v>53</v>
      </c>
      <c r="M50" s="814"/>
      <c r="N50" s="815">
        <v>61</v>
      </c>
      <c r="O50" s="816">
        <v>61</v>
      </c>
      <c r="P50" s="814"/>
      <c r="Q50" s="815">
        <v>51</v>
      </c>
      <c r="R50" s="816">
        <v>51</v>
      </c>
      <c r="S50" s="814"/>
      <c r="T50" s="815">
        <v>56</v>
      </c>
      <c r="U50" s="816">
        <v>56</v>
      </c>
      <c r="V50" s="814"/>
      <c r="W50" s="815">
        <v>85</v>
      </c>
      <c r="X50" s="816">
        <v>85</v>
      </c>
      <c r="Y50" s="814">
        <v>56</v>
      </c>
      <c r="Z50" s="815">
        <v>63</v>
      </c>
      <c r="AA50" s="816">
        <f t="shared" si="0"/>
        <v>119</v>
      </c>
      <c r="AB50" s="814">
        <v>56</v>
      </c>
      <c r="AC50" s="815">
        <v>67</v>
      </c>
      <c r="AD50" s="816">
        <f t="shared" si="1"/>
        <v>123</v>
      </c>
      <c r="AE50" s="814">
        <v>59</v>
      </c>
      <c r="AF50" s="815">
        <v>58</v>
      </c>
      <c r="AG50" s="816">
        <f t="shared" si="2"/>
        <v>117</v>
      </c>
      <c r="AH50" s="814">
        <v>56</v>
      </c>
      <c r="AI50" s="815">
        <v>65</v>
      </c>
      <c r="AJ50" s="816">
        <f t="shared" si="30"/>
        <v>121</v>
      </c>
      <c r="AK50" s="817">
        <v>45</v>
      </c>
      <c r="AL50" s="815">
        <v>56</v>
      </c>
      <c r="AM50" s="816">
        <f t="shared" si="31"/>
        <v>101</v>
      </c>
      <c r="AN50" s="817">
        <v>43</v>
      </c>
      <c r="AO50" s="815">
        <v>53</v>
      </c>
      <c r="AP50" s="816">
        <f t="shared" si="32"/>
        <v>96</v>
      </c>
    </row>
    <row r="51" spans="1:42" s="186" customFormat="1" ht="15" customHeight="1" x14ac:dyDescent="0.25">
      <c r="A51" s="5063"/>
      <c r="B51" s="5050"/>
      <c r="C51" s="813" t="s">
        <v>487</v>
      </c>
      <c r="D51" s="814"/>
      <c r="E51" s="855">
        <v>17</v>
      </c>
      <c r="F51" s="816">
        <v>17</v>
      </c>
      <c r="G51" s="856"/>
      <c r="H51" s="855">
        <v>20</v>
      </c>
      <c r="I51" s="816">
        <v>20</v>
      </c>
      <c r="J51" s="814"/>
      <c r="K51" s="815">
        <v>22</v>
      </c>
      <c r="L51" s="816">
        <v>22</v>
      </c>
      <c r="M51" s="814"/>
      <c r="N51" s="815">
        <v>18</v>
      </c>
      <c r="O51" s="816">
        <v>18</v>
      </c>
      <c r="P51" s="814"/>
      <c r="Q51" s="815">
        <v>35</v>
      </c>
      <c r="R51" s="816">
        <v>35</v>
      </c>
      <c r="S51" s="814"/>
      <c r="T51" s="815">
        <v>34</v>
      </c>
      <c r="U51" s="816">
        <v>34</v>
      </c>
      <c r="V51" s="814"/>
      <c r="W51" s="815">
        <v>45</v>
      </c>
      <c r="X51" s="816">
        <v>45</v>
      </c>
      <c r="Y51" s="814">
        <v>39</v>
      </c>
      <c r="Z51" s="815">
        <v>54</v>
      </c>
      <c r="AA51" s="816">
        <f t="shared" si="0"/>
        <v>93</v>
      </c>
      <c r="AB51" s="814">
        <v>54</v>
      </c>
      <c r="AC51" s="815">
        <v>38</v>
      </c>
      <c r="AD51" s="816">
        <f t="shared" si="1"/>
        <v>92</v>
      </c>
      <c r="AE51" s="814">
        <v>41</v>
      </c>
      <c r="AF51" s="815">
        <v>59</v>
      </c>
      <c r="AG51" s="816">
        <f t="shared" si="2"/>
        <v>100</v>
      </c>
      <c r="AH51" s="814">
        <v>41</v>
      </c>
      <c r="AI51" s="815">
        <v>56</v>
      </c>
      <c r="AJ51" s="816">
        <f t="shared" si="30"/>
        <v>97</v>
      </c>
      <c r="AK51" s="817">
        <v>35</v>
      </c>
      <c r="AL51" s="815">
        <v>41</v>
      </c>
      <c r="AM51" s="816">
        <f t="shared" si="31"/>
        <v>76</v>
      </c>
      <c r="AN51" s="817">
        <v>31</v>
      </c>
      <c r="AO51" s="815">
        <v>27</v>
      </c>
      <c r="AP51" s="816">
        <f t="shared" si="32"/>
        <v>58</v>
      </c>
    </row>
    <row r="52" spans="1:42" s="186" customFormat="1" ht="15" customHeight="1" x14ac:dyDescent="0.25">
      <c r="A52" s="5063"/>
      <c r="B52" s="5050"/>
      <c r="C52" s="813" t="s">
        <v>488</v>
      </c>
      <c r="D52" s="854">
        <v>52</v>
      </c>
      <c r="E52" s="855">
        <v>77</v>
      </c>
      <c r="F52" s="816">
        <v>129</v>
      </c>
      <c r="G52" s="854">
        <v>39</v>
      </c>
      <c r="H52" s="855">
        <v>105</v>
      </c>
      <c r="I52" s="816">
        <v>144</v>
      </c>
      <c r="J52" s="814">
        <v>51</v>
      </c>
      <c r="K52" s="815">
        <v>89</v>
      </c>
      <c r="L52" s="816">
        <v>140</v>
      </c>
      <c r="M52" s="814">
        <v>51</v>
      </c>
      <c r="N52" s="815">
        <v>114</v>
      </c>
      <c r="O52" s="816">
        <v>165</v>
      </c>
      <c r="P52" s="814">
        <v>43</v>
      </c>
      <c r="Q52" s="815">
        <v>119</v>
      </c>
      <c r="R52" s="816">
        <v>162</v>
      </c>
      <c r="S52" s="814">
        <v>60</v>
      </c>
      <c r="T52" s="815">
        <v>113</v>
      </c>
      <c r="U52" s="816">
        <v>173</v>
      </c>
      <c r="V52" s="814">
        <v>107</v>
      </c>
      <c r="W52" s="815">
        <v>128</v>
      </c>
      <c r="X52" s="816">
        <v>235</v>
      </c>
      <c r="Y52" s="814">
        <v>87</v>
      </c>
      <c r="Z52" s="815">
        <v>134</v>
      </c>
      <c r="AA52" s="816">
        <f t="shared" si="0"/>
        <v>221</v>
      </c>
      <c r="AB52" s="814">
        <v>93</v>
      </c>
      <c r="AC52" s="815">
        <v>150</v>
      </c>
      <c r="AD52" s="816">
        <f t="shared" si="1"/>
        <v>243</v>
      </c>
      <c r="AE52" s="814">
        <v>116</v>
      </c>
      <c r="AF52" s="815">
        <v>139</v>
      </c>
      <c r="AG52" s="816">
        <f t="shared" si="2"/>
        <v>255</v>
      </c>
      <c r="AH52" s="814">
        <v>94</v>
      </c>
      <c r="AI52" s="815">
        <v>125</v>
      </c>
      <c r="AJ52" s="816">
        <f t="shared" si="30"/>
        <v>219</v>
      </c>
      <c r="AK52" s="817">
        <v>76</v>
      </c>
      <c r="AL52" s="815">
        <v>124</v>
      </c>
      <c r="AM52" s="816">
        <f t="shared" si="31"/>
        <v>200</v>
      </c>
      <c r="AN52" s="817">
        <v>69</v>
      </c>
      <c r="AO52" s="815">
        <v>121</v>
      </c>
      <c r="AP52" s="816">
        <f t="shared" si="32"/>
        <v>190</v>
      </c>
    </row>
    <row r="53" spans="1:42" s="186" customFormat="1" ht="15" customHeight="1" x14ac:dyDescent="0.25">
      <c r="A53" s="5063"/>
      <c r="B53" s="5050"/>
      <c r="C53" s="822" t="s">
        <v>489</v>
      </c>
      <c r="D53" s="823">
        <v>49</v>
      </c>
      <c r="E53" s="859">
        <v>97</v>
      </c>
      <c r="F53" s="825">
        <v>146</v>
      </c>
      <c r="G53" s="860">
        <v>65</v>
      </c>
      <c r="H53" s="859">
        <v>124</v>
      </c>
      <c r="I53" s="825">
        <v>189</v>
      </c>
      <c r="J53" s="823">
        <v>65</v>
      </c>
      <c r="K53" s="824">
        <v>135</v>
      </c>
      <c r="L53" s="825">
        <v>200</v>
      </c>
      <c r="M53" s="823">
        <v>93</v>
      </c>
      <c r="N53" s="824">
        <v>147</v>
      </c>
      <c r="O53" s="825">
        <v>240</v>
      </c>
      <c r="P53" s="823">
        <v>80</v>
      </c>
      <c r="Q53" s="824">
        <v>129</v>
      </c>
      <c r="R53" s="825">
        <v>209</v>
      </c>
      <c r="S53" s="823">
        <v>87</v>
      </c>
      <c r="T53" s="824">
        <v>125</v>
      </c>
      <c r="U53" s="825">
        <v>212</v>
      </c>
      <c r="V53" s="823">
        <v>109</v>
      </c>
      <c r="W53" s="824">
        <v>128</v>
      </c>
      <c r="X53" s="825">
        <v>237</v>
      </c>
      <c r="Y53" s="823">
        <v>107</v>
      </c>
      <c r="Z53" s="824">
        <v>125</v>
      </c>
      <c r="AA53" s="825">
        <f t="shared" si="0"/>
        <v>232</v>
      </c>
      <c r="AB53" s="826">
        <v>114</v>
      </c>
      <c r="AC53" s="824">
        <v>134</v>
      </c>
      <c r="AD53" s="825">
        <f t="shared" si="1"/>
        <v>248</v>
      </c>
      <c r="AE53" s="826">
        <v>114</v>
      </c>
      <c r="AF53" s="824">
        <v>137</v>
      </c>
      <c r="AG53" s="825">
        <f t="shared" si="2"/>
        <v>251</v>
      </c>
      <c r="AH53" s="826">
        <v>110</v>
      </c>
      <c r="AI53" s="824">
        <v>125</v>
      </c>
      <c r="AJ53" s="825">
        <f t="shared" si="30"/>
        <v>235</v>
      </c>
      <c r="AK53" s="817">
        <v>74</v>
      </c>
      <c r="AL53" s="824">
        <v>113</v>
      </c>
      <c r="AM53" s="825">
        <f t="shared" si="31"/>
        <v>187</v>
      </c>
      <c r="AN53" s="817">
        <v>64</v>
      </c>
      <c r="AO53" s="824">
        <v>114</v>
      </c>
      <c r="AP53" s="825">
        <f t="shared" si="32"/>
        <v>178</v>
      </c>
    </row>
    <row r="54" spans="1:42" s="186" customFormat="1" ht="15" customHeight="1" x14ac:dyDescent="0.25">
      <c r="A54" s="5063"/>
      <c r="B54" s="5050"/>
      <c r="C54" s="875" t="s">
        <v>160</v>
      </c>
      <c r="D54" s="876">
        <f>SUM(D48:D53)</f>
        <v>175</v>
      </c>
      <c r="E54" s="877">
        <f t="shared" ref="E54:AG54" si="33">SUM(E48:E53)</f>
        <v>404</v>
      </c>
      <c r="F54" s="586">
        <f t="shared" si="33"/>
        <v>579</v>
      </c>
      <c r="G54" s="876">
        <f t="shared" si="33"/>
        <v>193</v>
      </c>
      <c r="H54" s="877">
        <f t="shared" si="33"/>
        <v>433</v>
      </c>
      <c r="I54" s="586">
        <f t="shared" si="33"/>
        <v>626</v>
      </c>
      <c r="J54" s="876">
        <f t="shared" si="33"/>
        <v>213</v>
      </c>
      <c r="K54" s="877">
        <f t="shared" si="33"/>
        <v>468</v>
      </c>
      <c r="L54" s="586">
        <f t="shared" si="33"/>
        <v>681</v>
      </c>
      <c r="M54" s="876">
        <f t="shared" si="33"/>
        <v>264</v>
      </c>
      <c r="N54" s="877">
        <f t="shared" si="33"/>
        <v>489</v>
      </c>
      <c r="O54" s="586">
        <f t="shared" si="33"/>
        <v>753</v>
      </c>
      <c r="P54" s="876">
        <f t="shared" si="33"/>
        <v>232</v>
      </c>
      <c r="Q54" s="877">
        <f t="shared" si="33"/>
        <v>525</v>
      </c>
      <c r="R54" s="586">
        <f t="shared" si="33"/>
        <v>757</v>
      </c>
      <c r="S54" s="876">
        <f t="shared" si="33"/>
        <v>280</v>
      </c>
      <c r="T54" s="877">
        <f t="shared" si="33"/>
        <v>482</v>
      </c>
      <c r="U54" s="586">
        <f t="shared" si="33"/>
        <v>762</v>
      </c>
      <c r="V54" s="876">
        <f t="shared" si="33"/>
        <v>368</v>
      </c>
      <c r="W54" s="877">
        <f t="shared" si="33"/>
        <v>551</v>
      </c>
      <c r="X54" s="586">
        <f t="shared" si="33"/>
        <v>919</v>
      </c>
      <c r="Y54" s="876">
        <f t="shared" si="33"/>
        <v>412</v>
      </c>
      <c r="Z54" s="877">
        <f t="shared" si="33"/>
        <v>546</v>
      </c>
      <c r="AA54" s="586">
        <f t="shared" si="33"/>
        <v>958</v>
      </c>
      <c r="AB54" s="876">
        <f t="shared" si="33"/>
        <v>453</v>
      </c>
      <c r="AC54" s="877">
        <f t="shared" si="33"/>
        <v>553</v>
      </c>
      <c r="AD54" s="586">
        <f t="shared" si="33"/>
        <v>1006</v>
      </c>
      <c r="AE54" s="876">
        <f t="shared" si="33"/>
        <v>467</v>
      </c>
      <c r="AF54" s="877">
        <f t="shared" si="33"/>
        <v>539</v>
      </c>
      <c r="AG54" s="586">
        <f t="shared" si="33"/>
        <v>1006</v>
      </c>
      <c r="AH54" s="876">
        <f t="shared" ref="AH54:AM54" si="34">SUM(AH48:AH53)</f>
        <v>442</v>
      </c>
      <c r="AI54" s="1522">
        <f t="shared" si="34"/>
        <v>526</v>
      </c>
      <c r="AJ54" s="586">
        <f t="shared" si="34"/>
        <v>968</v>
      </c>
      <c r="AK54" s="2329">
        <f>SUM(AK48:AK53)</f>
        <v>365</v>
      </c>
      <c r="AL54" s="2336">
        <f>SUM(AL48:AL53)</f>
        <v>496</v>
      </c>
      <c r="AM54" s="586">
        <f t="shared" si="34"/>
        <v>861</v>
      </c>
      <c r="AN54" s="2329">
        <f>SUM(AN48:AN53)</f>
        <v>337</v>
      </c>
      <c r="AO54" s="2336">
        <f>SUM(AO48:AO53)</f>
        <v>468</v>
      </c>
      <c r="AP54" s="586">
        <f t="shared" ref="AP54" si="35">SUM(AP48:AP53)</f>
        <v>805</v>
      </c>
    </row>
    <row r="55" spans="1:42" s="186" customFormat="1" ht="15" customHeight="1" x14ac:dyDescent="0.25">
      <c r="A55" s="5098"/>
      <c r="B55" s="3981"/>
      <c r="C55" s="2440" t="s">
        <v>450</v>
      </c>
      <c r="D55" s="2441">
        <f>SUM(D35,D47,D54)</f>
        <v>672</v>
      </c>
      <c r="E55" s="2442">
        <f t="shared" ref="E55:AG55" si="36">SUM(E35,E47,E54)</f>
        <v>1822</v>
      </c>
      <c r="F55" s="2443">
        <f t="shared" si="36"/>
        <v>2494</v>
      </c>
      <c r="G55" s="2441">
        <f t="shared" si="36"/>
        <v>702</v>
      </c>
      <c r="H55" s="2442">
        <f t="shared" si="36"/>
        <v>1970</v>
      </c>
      <c r="I55" s="2443">
        <f t="shared" si="36"/>
        <v>2672</v>
      </c>
      <c r="J55" s="2441">
        <f t="shared" si="36"/>
        <v>709</v>
      </c>
      <c r="K55" s="2442">
        <f t="shared" si="36"/>
        <v>2219</v>
      </c>
      <c r="L55" s="2443">
        <f t="shared" si="36"/>
        <v>2928</v>
      </c>
      <c r="M55" s="2441">
        <f t="shared" si="36"/>
        <v>867</v>
      </c>
      <c r="N55" s="2442">
        <f t="shared" si="36"/>
        <v>2216</v>
      </c>
      <c r="O55" s="2443">
        <f t="shared" si="36"/>
        <v>3083</v>
      </c>
      <c r="P55" s="2441">
        <f t="shared" si="36"/>
        <v>767</v>
      </c>
      <c r="Q55" s="2442">
        <f t="shared" si="36"/>
        <v>2326</v>
      </c>
      <c r="R55" s="2443">
        <f t="shared" si="36"/>
        <v>3093</v>
      </c>
      <c r="S55" s="2441">
        <f t="shared" si="36"/>
        <v>797</v>
      </c>
      <c r="T55" s="2442">
        <f t="shared" si="36"/>
        <v>2170</v>
      </c>
      <c r="U55" s="2443">
        <f t="shared" si="36"/>
        <v>2967</v>
      </c>
      <c r="V55" s="2441">
        <f t="shared" si="36"/>
        <v>825</v>
      </c>
      <c r="W55" s="2442">
        <f t="shared" si="36"/>
        <v>2341</v>
      </c>
      <c r="X55" s="2443">
        <f t="shared" si="36"/>
        <v>3166</v>
      </c>
      <c r="Y55" s="2441">
        <f t="shared" si="36"/>
        <v>731</v>
      </c>
      <c r="Z55" s="2442">
        <f t="shared" si="36"/>
        <v>2651</v>
      </c>
      <c r="AA55" s="2443">
        <f t="shared" si="36"/>
        <v>3382</v>
      </c>
      <c r="AB55" s="2441">
        <f t="shared" si="36"/>
        <v>854</v>
      </c>
      <c r="AC55" s="2442">
        <f t="shared" si="36"/>
        <v>2625</v>
      </c>
      <c r="AD55" s="2443">
        <f t="shared" si="36"/>
        <v>3479</v>
      </c>
      <c r="AE55" s="2441">
        <f t="shared" si="36"/>
        <v>875</v>
      </c>
      <c r="AF55" s="2442">
        <f t="shared" si="36"/>
        <v>2635</v>
      </c>
      <c r="AG55" s="2443">
        <f t="shared" si="36"/>
        <v>3510</v>
      </c>
      <c r="AH55" s="2441">
        <f t="shared" ref="AH55:AM55" si="37">SUM(AH35,AH47,AH54)</f>
        <v>872</v>
      </c>
      <c r="AI55" s="2442">
        <f t="shared" si="37"/>
        <v>2698</v>
      </c>
      <c r="AJ55" s="2443">
        <f t="shared" si="37"/>
        <v>3570</v>
      </c>
      <c r="AK55" s="2441">
        <f t="shared" si="37"/>
        <v>738</v>
      </c>
      <c r="AL55" s="2442">
        <f t="shared" si="37"/>
        <v>2490</v>
      </c>
      <c r="AM55" s="2443">
        <f t="shared" si="37"/>
        <v>3228</v>
      </c>
      <c r="AN55" s="2441">
        <f t="shared" ref="AN55:AP55" si="38">SUM(AN35,AN47,AN54)</f>
        <v>685</v>
      </c>
      <c r="AO55" s="2442">
        <f t="shared" si="38"/>
        <v>2404</v>
      </c>
      <c r="AP55" s="2443">
        <f t="shared" si="38"/>
        <v>3089</v>
      </c>
    </row>
    <row r="56" spans="1:42" s="186" customFormat="1" ht="15" customHeight="1" x14ac:dyDescent="0.25">
      <c r="A56" s="5072" t="s">
        <v>448</v>
      </c>
      <c r="B56" s="5052" t="s">
        <v>6</v>
      </c>
      <c r="C56" s="813" t="s">
        <v>462</v>
      </c>
      <c r="D56" s="854">
        <v>99</v>
      </c>
      <c r="E56" s="855">
        <v>130</v>
      </c>
      <c r="F56" s="816">
        <v>229</v>
      </c>
      <c r="G56" s="854">
        <v>124</v>
      </c>
      <c r="H56" s="855">
        <v>117</v>
      </c>
      <c r="I56" s="816">
        <v>241</v>
      </c>
      <c r="J56" s="814">
        <v>136</v>
      </c>
      <c r="K56" s="815">
        <v>138</v>
      </c>
      <c r="L56" s="816">
        <v>274</v>
      </c>
      <c r="M56" s="814">
        <v>97</v>
      </c>
      <c r="N56" s="815">
        <v>148</v>
      </c>
      <c r="O56" s="816">
        <v>245</v>
      </c>
      <c r="P56" s="814">
        <v>154</v>
      </c>
      <c r="Q56" s="815">
        <v>143</v>
      </c>
      <c r="R56" s="816">
        <v>297</v>
      </c>
      <c r="S56" s="814">
        <v>120</v>
      </c>
      <c r="T56" s="815">
        <v>129</v>
      </c>
      <c r="U56" s="816">
        <v>249</v>
      </c>
      <c r="V56" s="814">
        <v>112</v>
      </c>
      <c r="W56" s="815">
        <v>152</v>
      </c>
      <c r="X56" s="816">
        <v>264</v>
      </c>
      <c r="Y56" s="814">
        <v>113</v>
      </c>
      <c r="Z56" s="815">
        <v>161</v>
      </c>
      <c r="AA56" s="816">
        <f t="shared" si="0"/>
        <v>274</v>
      </c>
      <c r="AB56" s="814">
        <v>129</v>
      </c>
      <c r="AC56" s="815">
        <v>161</v>
      </c>
      <c r="AD56" s="816">
        <f t="shared" si="1"/>
        <v>290</v>
      </c>
      <c r="AE56" s="814">
        <v>136</v>
      </c>
      <c r="AF56" s="815">
        <v>169</v>
      </c>
      <c r="AG56" s="816">
        <f t="shared" si="2"/>
        <v>305</v>
      </c>
      <c r="AH56" s="814">
        <v>125</v>
      </c>
      <c r="AI56" s="815">
        <v>160</v>
      </c>
      <c r="AJ56" s="816">
        <f t="shared" ref="AJ56:AJ61" si="39">SUM(AH56:AI56)</f>
        <v>285</v>
      </c>
      <c r="AK56" s="814">
        <v>130</v>
      </c>
      <c r="AL56" s="815">
        <v>153</v>
      </c>
      <c r="AM56" s="816">
        <f t="shared" ref="AM56:AM61" si="40">SUM(AK56:AL56)</f>
        <v>283</v>
      </c>
      <c r="AN56" s="814">
        <v>130</v>
      </c>
      <c r="AO56" s="815">
        <v>140</v>
      </c>
      <c r="AP56" s="816">
        <f t="shared" ref="AP56:AP61" si="41">SUM(AN56:AO56)</f>
        <v>270</v>
      </c>
    </row>
    <row r="57" spans="1:42" s="186" customFormat="1" ht="15" customHeight="1" x14ac:dyDescent="0.25">
      <c r="A57" s="5073"/>
      <c r="B57" s="5053"/>
      <c r="C57" s="813" t="s">
        <v>490</v>
      </c>
      <c r="D57" s="854">
        <v>120</v>
      </c>
      <c r="E57" s="855">
        <v>141</v>
      </c>
      <c r="F57" s="816">
        <v>261</v>
      </c>
      <c r="G57" s="854">
        <v>162</v>
      </c>
      <c r="H57" s="855">
        <v>140</v>
      </c>
      <c r="I57" s="816">
        <v>302</v>
      </c>
      <c r="J57" s="814">
        <v>148</v>
      </c>
      <c r="K57" s="815">
        <v>172</v>
      </c>
      <c r="L57" s="816">
        <v>320</v>
      </c>
      <c r="M57" s="814">
        <v>116</v>
      </c>
      <c r="N57" s="815">
        <v>159</v>
      </c>
      <c r="O57" s="816">
        <v>275</v>
      </c>
      <c r="P57" s="814">
        <v>130</v>
      </c>
      <c r="Q57" s="815">
        <v>158</v>
      </c>
      <c r="R57" s="816">
        <v>288</v>
      </c>
      <c r="S57" s="814">
        <v>123</v>
      </c>
      <c r="T57" s="815">
        <v>130</v>
      </c>
      <c r="U57" s="816">
        <v>253</v>
      </c>
      <c r="V57" s="814">
        <v>122</v>
      </c>
      <c r="W57" s="815">
        <v>128</v>
      </c>
      <c r="X57" s="816">
        <v>250</v>
      </c>
      <c r="Y57" s="814">
        <v>128</v>
      </c>
      <c r="Z57" s="815">
        <v>146</v>
      </c>
      <c r="AA57" s="816">
        <f t="shared" si="0"/>
        <v>274</v>
      </c>
      <c r="AB57" s="814">
        <v>123</v>
      </c>
      <c r="AC57" s="815">
        <v>134</v>
      </c>
      <c r="AD57" s="816">
        <f t="shared" si="1"/>
        <v>257</v>
      </c>
      <c r="AE57" s="814">
        <v>130</v>
      </c>
      <c r="AF57" s="815">
        <v>139</v>
      </c>
      <c r="AG57" s="816">
        <f t="shared" si="2"/>
        <v>269</v>
      </c>
      <c r="AH57" s="814">
        <v>121</v>
      </c>
      <c r="AI57" s="815">
        <v>134</v>
      </c>
      <c r="AJ57" s="816">
        <f t="shared" si="39"/>
        <v>255</v>
      </c>
      <c r="AK57" s="814">
        <v>124</v>
      </c>
      <c r="AL57" s="815">
        <v>132</v>
      </c>
      <c r="AM57" s="816">
        <f t="shared" si="40"/>
        <v>256</v>
      </c>
      <c r="AN57" s="814">
        <v>126</v>
      </c>
      <c r="AO57" s="815">
        <v>139</v>
      </c>
      <c r="AP57" s="816">
        <f t="shared" si="41"/>
        <v>265</v>
      </c>
    </row>
    <row r="58" spans="1:42" s="186" customFormat="1" ht="15" customHeight="1" x14ac:dyDescent="0.25">
      <c r="A58" s="5073"/>
      <c r="B58" s="5053"/>
      <c r="C58" s="813" t="s">
        <v>464</v>
      </c>
      <c r="D58" s="854">
        <v>97</v>
      </c>
      <c r="E58" s="855">
        <v>119</v>
      </c>
      <c r="F58" s="816">
        <v>216</v>
      </c>
      <c r="G58" s="854">
        <v>125</v>
      </c>
      <c r="H58" s="855">
        <v>119</v>
      </c>
      <c r="I58" s="816">
        <v>244</v>
      </c>
      <c r="J58" s="814">
        <v>121</v>
      </c>
      <c r="K58" s="815">
        <v>148</v>
      </c>
      <c r="L58" s="816">
        <v>269</v>
      </c>
      <c r="M58" s="814">
        <v>105</v>
      </c>
      <c r="N58" s="815">
        <v>157</v>
      </c>
      <c r="O58" s="816">
        <v>262</v>
      </c>
      <c r="P58" s="814">
        <v>118</v>
      </c>
      <c r="Q58" s="815">
        <v>156</v>
      </c>
      <c r="R58" s="816">
        <v>274</v>
      </c>
      <c r="S58" s="814">
        <v>116</v>
      </c>
      <c r="T58" s="815">
        <v>127</v>
      </c>
      <c r="U58" s="816">
        <v>243</v>
      </c>
      <c r="V58" s="814">
        <v>108</v>
      </c>
      <c r="W58" s="815">
        <v>135</v>
      </c>
      <c r="X58" s="816">
        <v>243</v>
      </c>
      <c r="Y58" s="814">
        <v>117</v>
      </c>
      <c r="Z58" s="815">
        <v>151</v>
      </c>
      <c r="AA58" s="816">
        <f t="shared" si="0"/>
        <v>268</v>
      </c>
      <c r="AB58" s="814">
        <v>121</v>
      </c>
      <c r="AC58" s="815">
        <v>147</v>
      </c>
      <c r="AD58" s="816">
        <f t="shared" si="1"/>
        <v>268</v>
      </c>
      <c r="AE58" s="814">
        <v>127</v>
      </c>
      <c r="AF58" s="815">
        <v>151</v>
      </c>
      <c r="AG58" s="816">
        <f t="shared" si="2"/>
        <v>278</v>
      </c>
      <c r="AH58" s="814">
        <v>115</v>
      </c>
      <c r="AI58" s="815">
        <v>154</v>
      </c>
      <c r="AJ58" s="816">
        <f t="shared" si="39"/>
        <v>269</v>
      </c>
      <c r="AK58" s="814">
        <v>118</v>
      </c>
      <c r="AL58" s="815">
        <v>137</v>
      </c>
      <c r="AM58" s="816">
        <f t="shared" si="40"/>
        <v>255</v>
      </c>
      <c r="AN58" s="814">
        <v>132</v>
      </c>
      <c r="AO58" s="815">
        <v>159</v>
      </c>
      <c r="AP58" s="816">
        <f t="shared" si="41"/>
        <v>291</v>
      </c>
    </row>
    <row r="59" spans="1:42" s="186" customFormat="1" ht="15" customHeight="1" x14ac:dyDescent="0.25">
      <c r="A59" s="5073"/>
      <c r="B59" s="5053"/>
      <c r="C59" s="813" t="s">
        <v>491</v>
      </c>
      <c r="D59" s="854">
        <v>220</v>
      </c>
      <c r="E59" s="855">
        <v>240</v>
      </c>
      <c r="F59" s="816">
        <v>460</v>
      </c>
      <c r="G59" s="854">
        <v>279</v>
      </c>
      <c r="H59" s="855">
        <v>266</v>
      </c>
      <c r="I59" s="816">
        <v>545</v>
      </c>
      <c r="J59" s="814">
        <v>291</v>
      </c>
      <c r="K59" s="815">
        <v>323</v>
      </c>
      <c r="L59" s="816">
        <v>614</v>
      </c>
      <c r="M59" s="814">
        <v>210</v>
      </c>
      <c r="N59" s="815">
        <v>251</v>
      </c>
      <c r="O59" s="816">
        <v>461</v>
      </c>
      <c r="P59" s="814">
        <v>214</v>
      </c>
      <c r="Q59" s="815">
        <v>268</v>
      </c>
      <c r="R59" s="816">
        <v>482</v>
      </c>
      <c r="S59" s="814">
        <v>219</v>
      </c>
      <c r="T59" s="815">
        <v>237</v>
      </c>
      <c r="U59" s="816">
        <v>456</v>
      </c>
      <c r="V59" s="814">
        <v>218</v>
      </c>
      <c r="W59" s="815">
        <v>261</v>
      </c>
      <c r="X59" s="816">
        <v>479</v>
      </c>
      <c r="Y59" s="814">
        <v>220</v>
      </c>
      <c r="Z59" s="815">
        <v>247</v>
      </c>
      <c r="AA59" s="816">
        <f t="shared" si="0"/>
        <v>467</v>
      </c>
      <c r="AB59" s="814">
        <v>223</v>
      </c>
      <c r="AC59" s="815">
        <v>236</v>
      </c>
      <c r="AD59" s="816">
        <f t="shared" si="1"/>
        <v>459</v>
      </c>
      <c r="AE59" s="814">
        <v>223</v>
      </c>
      <c r="AF59" s="815">
        <v>240</v>
      </c>
      <c r="AG59" s="816">
        <f t="shared" si="2"/>
        <v>463</v>
      </c>
      <c r="AH59" s="814">
        <v>193</v>
      </c>
      <c r="AI59" s="815">
        <v>215</v>
      </c>
      <c r="AJ59" s="816">
        <f t="shared" si="39"/>
        <v>408</v>
      </c>
      <c r="AK59" s="814">
        <v>187</v>
      </c>
      <c r="AL59" s="815">
        <v>224</v>
      </c>
      <c r="AM59" s="816">
        <f t="shared" si="40"/>
        <v>411</v>
      </c>
      <c r="AN59" s="814">
        <v>202</v>
      </c>
      <c r="AO59" s="815">
        <v>193</v>
      </c>
      <c r="AP59" s="816">
        <f t="shared" si="41"/>
        <v>395</v>
      </c>
    </row>
    <row r="60" spans="1:42" s="186" customFormat="1" ht="15" customHeight="1" x14ac:dyDescent="0.25">
      <c r="A60" s="5073"/>
      <c r="B60" s="5053"/>
      <c r="C60" s="813" t="s">
        <v>465</v>
      </c>
      <c r="D60" s="854">
        <v>117</v>
      </c>
      <c r="E60" s="855">
        <v>161</v>
      </c>
      <c r="F60" s="816">
        <v>278</v>
      </c>
      <c r="G60" s="854">
        <v>144</v>
      </c>
      <c r="H60" s="855">
        <v>135</v>
      </c>
      <c r="I60" s="816">
        <v>279</v>
      </c>
      <c r="J60" s="814">
        <v>112</v>
      </c>
      <c r="K60" s="815">
        <v>133</v>
      </c>
      <c r="L60" s="816">
        <v>245</v>
      </c>
      <c r="M60" s="814">
        <v>119</v>
      </c>
      <c r="N60" s="815">
        <v>144</v>
      </c>
      <c r="O60" s="816">
        <v>263</v>
      </c>
      <c r="P60" s="814">
        <v>122</v>
      </c>
      <c r="Q60" s="815">
        <v>138</v>
      </c>
      <c r="R60" s="816">
        <v>260</v>
      </c>
      <c r="S60" s="814">
        <v>116</v>
      </c>
      <c r="T60" s="815">
        <v>116</v>
      </c>
      <c r="U60" s="816">
        <v>232</v>
      </c>
      <c r="V60" s="814">
        <v>109</v>
      </c>
      <c r="W60" s="815">
        <v>118</v>
      </c>
      <c r="X60" s="816">
        <v>227</v>
      </c>
      <c r="Y60" s="814">
        <v>110</v>
      </c>
      <c r="Z60" s="815">
        <v>130</v>
      </c>
      <c r="AA60" s="816">
        <f t="shared" si="0"/>
        <v>240</v>
      </c>
      <c r="AB60" s="814">
        <v>111</v>
      </c>
      <c r="AC60" s="815">
        <v>131</v>
      </c>
      <c r="AD60" s="816">
        <f t="shared" si="1"/>
        <v>242</v>
      </c>
      <c r="AE60" s="814">
        <v>119</v>
      </c>
      <c r="AF60" s="815">
        <v>131</v>
      </c>
      <c r="AG60" s="816">
        <f t="shared" si="2"/>
        <v>250</v>
      </c>
      <c r="AH60" s="814">
        <v>106</v>
      </c>
      <c r="AI60" s="815">
        <v>132</v>
      </c>
      <c r="AJ60" s="816">
        <f t="shared" si="39"/>
        <v>238</v>
      </c>
      <c r="AK60" s="814">
        <v>112</v>
      </c>
      <c r="AL60" s="815">
        <v>117</v>
      </c>
      <c r="AM60" s="816">
        <f t="shared" si="40"/>
        <v>229</v>
      </c>
      <c r="AN60" s="814">
        <v>117</v>
      </c>
      <c r="AO60" s="815">
        <v>126</v>
      </c>
      <c r="AP60" s="816">
        <f t="shared" si="41"/>
        <v>243</v>
      </c>
    </row>
    <row r="61" spans="1:42" s="186" customFormat="1" ht="15" customHeight="1" x14ac:dyDescent="0.25">
      <c r="A61" s="5073"/>
      <c r="B61" s="5053"/>
      <c r="C61" s="822" t="s">
        <v>492</v>
      </c>
      <c r="D61" s="823">
        <v>36</v>
      </c>
      <c r="E61" s="859">
        <v>53</v>
      </c>
      <c r="F61" s="825">
        <v>89</v>
      </c>
      <c r="G61" s="860">
        <v>54</v>
      </c>
      <c r="H61" s="859">
        <v>46</v>
      </c>
      <c r="I61" s="825">
        <v>100</v>
      </c>
      <c r="J61" s="823">
        <v>49</v>
      </c>
      <c r="K61" s="824">
        <v>46</v>
      </c>
      <c r="L61" s="825">
        <v>95</v>
      </c>
      <c r="M61" s="823">
        <v>38</v>
      </c>
      <c r="N61" s="824">
        <v>67</v>
      </c>
      <c r="O61" s="825">
        <v>105</v>
      </c>
      <c r="P61" s="823">
        <v>47</v>
      </c>
      <c r="Q61" s="824">
        <v>68</v>
      </c>
      <c r="R61" s="825">
        <v>115</v>
      </c>
      <c r="S61" s="823">
        <v>43</v>
      </c>
      <c r="T61" s="824">
        <v>48</v>
      </c>
      <c r="U61" s="825">
        <v>91</v>
      </c>
      <c r="V61" s="823">
        <v>39</v>
      </c>
      <c r="W61" s="824">
        <v>44</v>
      </c>
      <c r="X61" s="825">
        <v>83</v>
      </c>
      <c r="Y61" s="823">
        <v>41</v>
      </c>
      <c r="Z61" s="824">
        <v>52</v>
      </c>
      <c r="AA61" s="825">
        <f t="shared" si="0"/>
        <v>93</v>
      </c>
      <c r="AB61" s="826">
        <v>42</v>
      </c>
      <c r="AC61" s="824">
        <v>53</v>
      </c>
      <c r="AD61" s="825">
        <f t="shared" si="1"/>
        <v>95</v>
      </c>
      <c r="AE61" s="826">
        <v>40</v>
      </c>
      <c r="AF61" s="824">
        <v>58</v>
      </c>
      <c r="AG61" s="825">
        <f t="shared" si="2"/>
        <v>98</v>
      </c>
      <c r="AH61" s="826">
        <v>40</v>
      </c>
      <c r="AI61" s="824">
        <v>52</v>
      </c>
      <c r="AJ61" s="825">
        <f t="shared" si="39"/>
        <v>92</v>
      </c>
      <c r="AK61" s="826">
        <v>63</v>
      </c>
      <c r="AL61" s="824">
        <v>75</v>
      </c>
      <c r="AM61" s="825">
        <f t="shared" si="40"/>
        <v>138</v>
      </c>
      <c r="AN61" s="826">
        <v>67</v>
      </c>
      <c r="AO61" s="824">
        <v>75</v>
      </c>
      <c r="AP61" s="825">
        <f t="shared" si="41"/>
        <v>142</v>
      </c>
    </row>
    <row r="62" spans="1:42" s="186" customFormat="1" ht="15" customHeight="1" x14ac:dyDescent="0.25">
      <c r="A62" s="5073"/>
      <c r="B62" s="5054"/>
      <c r="C62" s="875" t="s">
        <v>160</v>
      </c>
      <c r="D62" s="876">
        <f>SUM(D56:D61)</f>
        <v>689</v>
      </c>
      <c r="E62" s="877">
        <f t="shared" ref="E62:AG62" si="42">SUM(E56:E61)</f>
        <v>844</v>
      </c>
      <c r="F62" s="586">
        <f t="shared" si="42"/>
        <v>1533</v>
      </c>
      <c r="G62" s="876">
        <f t="shared" si="42"/>
        <v>888</v>
      </c>
      <c r="H62" s="877">
        <f t="shared" si="42"/>
        <v>823</v>
      </c>
      <c r="I62" s="586">
        <f t="shared" si="42"/>
        <v>1711</v>
      </c>
      <c r="J62" s="876">
        <f t="shared" si="42"/>
        <v>857</v>
      </c>
      <c r="K62" s="877">
        <f t="shared" si="42"/>
        <v>960</v>
      </c>
      <c r="L62" s="586">
        <f t="shared" si="42"/>
        <v>1817</v>
      </c>
      <c r="M62" s="876">
        <f t="shared" si="42"/>
        <v>685</v>
      </c>
      <c r="N62" s="877">
        <f t="shared" si="42"/>
        <v>926</v>
      </c>
      <c r="O62" s="586">
        <f t="shared" si="42"/>
        <v>1611</v>
      </c>
      <c r="P62" s="876">
        <f t="shared" si="42"/>
        <v>785</v>
      </c>
      <c r="Q62" s="877">
        <f t="shared" si="42"/>
        <v>931</v>
      </c>
      <c r="R62" s="586">
        <f t="shared" si="42"/>
        <v>1716</v>
      </c>
      <c r="S62" s="876">
        <f t="shared" si="42"/>
        <v>737</v>
      </c>
      <c r="T62" s="877">
        <f t="shared" si="42"/>
        <v>787</v>
      </c>
      <c r="U62" s="586">
        <f t="shared" si="42"/>
        <v>1524</v>
      </c>
      <c r="V62" s="876">
        <f t="shared" si="42"/>
        <v>708</v>
      </c>
      <c r="W62" s="877">
        <f t="shared" si="42"/>
        <v>838</v>
      </c>
      <c r="X62" s="586">
        <f t="shared" si="42"/>
        <v>1546</v>
      </c>
      <c r="Y62" s="876">
        <f t="shared" si="42"/>
        <v>729</v>
      </c>
      <c r="Z62" s="877">
        <f t="shared" si="42"/>
        <v>887</v>
      </c>
      <c r="AA62" s="586">
        <f t="shared" si="42"/>
        <v>1616</v>
      </c>
      <c r="AB62" s="876">
        <f t="shared" si="42"/>
        <v>749</v>
      </c>
      <c r="AC62" s="877">
        <f t="shared" si="42"/>
        <v>862</v>
      </c>
      <c r="AD62" s="586">
        <f t="shared" si="42"/>
        <v>1611</v>
      </c>
      <c r="AE62" s="876">
        <f t="shared" si="42"/>
        <v>775</v>
      </c>
      <c r="AF62" s="877">
        <f t="shared" si="42"/>
        <v>888</v>
      </c>
      <c r="AG62" s="586">
        <f t="shared" si="42"/>
        <v>1663</v>
      </c>
      <c r="AH62" s="876">
        <f t="shared" ref="AH62:AM62" si="43">SUM(AH56:AH61)</f>
        <v>700</v>
      </c>
      <c r="AI62" s="1522">
        <f t="shared" si="43"/>
        <v>847</v>
      </c>
      <c r="AJ62" s="586">
        <f t="shared" si="43"/>
        <v>1547</v>
      </c>
      <c r="AK62" s="2100">
        <f>SUM(AK56:AK61)</f>
        <v>734</v>
      </c>
      <c r="AL62" s="2115">
        <f>SUM(AL56:AL61)</f>
        <v>838</v>
      </c>
      <c r="AM62" s="586">
        <f t="shared" si="43"/>
        <v>1572</v>
      </c>
      <c r="AN62" s="2100">
        <f>SUM(AN56:AN61)</f>
        <v>774</v>
      </c>
      <c r="AO62" s="2115">
        <f>SUM(AO56:AO61)</f>
        <v>832</v>
      </c>
      <c r="AP62" s="586">
        <f t="shared" ref="AP62" si="44">SUM(AP56:AP61)</f>
        <v>1606</v>
      </c>
    </row>
    <row r="63" spans="1:42" s="186" customFormat="1" ht="15" customHeight="1" x14ac:dyDescent="0.25">
      <c r="A63" s="5073"/>
      <c r="B63" s="5052" t="s">
        <v>11</v>
      </c>
      <c r="C63" s="813" t="s">
        <v>484</v>
      </c>
      <c r="D63" s="854">
        <v>102</v>
      </c>
      <c r="E63" s="855">
        <v>137</v>
      </c>
      <c r="F63" s="816">
        <v>239</v>
      </c>
      <c r="G63" s="854">
        <v>104</v>
      </c>
      <c r="H63" s="855">
        <v>149</v>
      </c>
      <c r="I63" s="816">
        <v>253</v>
      </c>
      <c r="J63" s="814">
        <v>141</v>
      </c>
      <c r="K63" s="815">
        <v>200</v>
      </c>
      <c r="L63" s="816">
        <v>341</v>
      </c>
      <c r="M63" s="814">
        <v>133</v>
      </c>
      <c r="N63" s="815">
        <v>181</v>
      </c>
      <c r="O63" s="816">
        <v>314</v>
      </c>
      <c r="P63" s="814">
        <v>129</v>
      </c>
      <c r="Q63" s="815">
        <v>153</v>
      </c>
      <c r="R63" s="816">
        <v>282</v>
      </c>
      <c r="S63" s="814">
        <v>122</v>
      </c>
      <c r="T63" s="815">
        <v>124</v>
      </c>
      <c r="U63" s="816">
        <v>246</v>
      </c>
      <c r="V63" s="814">
        <v>111</v>
      </c>
      <c r="W63" s="815">
        <v>138</v>
      </c>
      <c r="X63" s="816">
        <v>249</v>
      </c>
      <c r="Y63" s="814">
        <v>111</v>
      </c>
      <c r="Z63" s="815">
        <v>138</v>
      </c>
      <c r="AA63" s="816">
        <f t="shared" si="0"/>
        <v>249</v>
      </c>
      <c r="AB63" s="814">
        <v>115</v>
      </c>
      <c r="AC63" s="815">
        <v>132</v>
      </c>
      <c r="AD63" s="816">
        <f t="shared" si="1"/>
        <v>247</v>
      </c>
      <c r="AE63" s="814">
        <v>119</v>
      </c>
      <c r="AF63" s="815">
        <v>134</v>
      </c>
      <c r="AG63" s="816">
        <f t="shared" si="2"/>
        <v>253</v>
      </c>
      <c r="AH63" s="814">
        <v>113</v>
      </c>
      <c r="AI63" s="815">
        <v>144</v>
      </c>
      <c r="AJ63" s="816">
        <f t="shared" ref="AJ63:AJ70" si="45">SUM(AH63:AI63)</f>
        <v>257</v>
      </c>
      <c r="AK63" s="814">
        <v>110</v>
      </c>
      <c r="AL63" s="815">
        <v>127</v>
      </c>
      <c r="AM63" s="816">
        <f t="shared" ref="AM63:AM70" si="46">SUM(AK63:AL63)</f>
        <v>237</v>
      </c>
      <c r="AN63" s="814">
        <v>121</v>
      </c>
      <c r="AO63" s="815">
        <v>134</v>
      </c>
      <c r="AP63" s="816">
        <f t="shared" ref="AP63:AP70" si="47">SUM(AN63:AO63)</f>
        <v>255</v>
      </c>
    </row>
    <row r="64" spans="1:42" s="186" customFormat="1" ht="15" customHeight="1" x14ac:dyDescent="0.25">
      <c r="A64" s="5073"/>
      <c r="B64" s="5053"/>
      <c r="C64" s="813" t="s">
        <v>493</v>
      </c>
      <c r="D64" s="854">
        <v>76</v>
      </c>
      <c r="E64" s="855">
        <v>100</v>
      </c>
      <c r="F64" s="816">
        <v>176</v>
      </c>
      <c r="G64" s="854">
        <v>113</v>
      </c>
      <c r="H64" s="855">
        <v>96</v>
      </c>
      <c r="I64" s="816">
        <v>209</v>
      </c>
      <c r="J64" s="814">
        <v>109</v>
      </c>
      <c r="K64" s="815">
        <v>134</v>
      </c>
      <c r="L64" s="816">
        <v>243</v>
      </c>
      <c r="M64" s="814">
        <v>104</v>
      </c>
      <c r="N64" s="815">
        <v>120</v>
      </c>
      <c r="O64" s="816">
        <v>224</v>
      </c>
      <c r="P64" s="814">
        <v>88</v>
      </c>
      <c r="Q64" s="815">
        <v>100</v>
      </c>
      <c r="R64" s="816">
        <v>188</v>
      </c>
      <c r="S64" s="814">
        <v>89</v>
      </c>
      <c r="T64" s="815">
        <v>105</v>
      </c>
      <c r="U64" s="816">
        <v>194</v>
      </c>
      <c r="V64" s="814">
        <v>98</v>
      </c>
      <c r="W64" s="815">
        <v>104</v>
      </c>
      <c r="X64" s="816">
        <v>202</v>
      </c>
      <c r="Y64" s="814">
        <v>97</v>
      </c>
      <c r="Z64" s="815">
        <v>109</v>
      </c>
      <c r="AA64" s="816">
        <f t="shared" si="0"/>
        <v>206</v>
      </c>
      <c r="AB64" s="814">
        <v>91</v>
      </c>
      <c r="AC64" s="815">
        <v>113</v>
      </c>
      <c r="AD64" s="816">
        <f t="shared" si="1"/>
        <v>204</v>
      </c>
      <c r="AE64" s="814">
        <v>90</v>
      </c>
      <c r="AF64" s="815">
        <v>100</v>
      </c>
      <c r="AG64" s="816">
        <f t="shared" si="2"/>
        <v>190</v>
      </c>
      <c r="AH64" s="814">
        <v>78</v>
      </c>
      <c r="AI64" s="815">
        <v>104</v>
      </c>
      <c r="AJ64" s="816">
        <f t="shared" si="45"/>
        <v>182</v>
      </c>
      <c r="AK64" s="814">
        <v>77</v>
      </c>
      <c r="AL64" s="815">
        <v>78</v>
      </c>
      <c r="AM64" s="816">
        <f t="shared" si="46"/>
        <v>155</v>
      </c>
      <c r="AN64" s="814">
        <v>83</v>
      </c>
      <c r="AO64" s="815">
        <v>86</v>
      </c>
      <c r="AP64" s="816">
        <f t="shared" si="47"/>
        <v>169</v>
      </c>
    </row>
    <row r="65" spans="1:42" s="186" customFormat="1" ht="15" customHeight="1" x14ac:dyDescent="0.25">
      <c r="A65" s="5073"/>
      <c r="B65" s="5053"/>
      <c r="C65" s="813" t="s">
        <v>494</v>
      </c>
      <c r="D65" s="854">
        <v>107</v>
      </c>
      <c r="E65" s="855">
        <v>152</v>
      </c>
      <c r="F65" s="816">
        <v>259</v>
      </c>
      <c r="G65" s="854">
        <v>166</v>
      </c>
      <c r="H65" s="855">
        <v>157</v>
      </c>
      <c r="I65" s="816">
        <v>323</v>
      </c>
      <c r="J65" s="814">
        <v>162</v>
      </c>
      <c r="K65" s="815">
        <v>172</v>
      </c>
      <c r="L65" s="816">
        <v>334</v>
      </c>
      <c r="M65" s="814">
        <v>128</v>
      </c>
      <c r="N65" s="815">
        <v>156</v>
      </c>
      <c r="O65" s="816">
        <v>284</v>
      </c>
      <c r="P65" s="814">
        <v>100</v>
      </c>
      <c r="Q65" s="815">
        <v>132</v>
      </c>
      <c r="R65" s="816">
        <v>232</v>
      </c>
      <c r="S65" s="814">
        <v>97</v>
      </c>
      <c r="T65" s="815">
        <v>104</v>
      </c>
      <c r="U65" s="816">
        <v>201</v>
      </c>
      <c r="V65" s="814">
        <v>99</v>
      </c>
      <c r="W65" s="815">
        <v>114</v>
      </c>
      <c r="X65" s="816">
        <v>213</v>
      </c>
      <c r="Y65" s="814">
        <v>113</v>
      </c>
      <c r="Z65" s="815">
        <v>128</v>
      </c>
      <c r="AA65" s="816">
        <f t="shared" si="0"/>
        <v>241</v>
      </c>
      <c r="AB65" s="814">
        <v>102</v>
      </c>
      <c r="AC65" s="815">
        <v>113</v>
      </c>
      <c r="AD65" s="816">
        <f t="shared" si="1"/>
        <v>215</v>
      </c>
      <c r="AE65" s="814">
        <v>110</v>
      </c>
      <c r="AF65" s="815">
        <v>129</v>
      </c>
      <c r="AG65" s="816">
        <f t="shared" si="2"/>
        <v>239</v>
      </c>
      <c r="AH65" s="814">
        <v>100</v>
      </c>
      <c r="AI65" s="815">
        <v>123</v>
      </c>
      <c r="AJ65" s="816">
        <f t="shared" si="45"/>
        <v>223</v>
      </c>
      <c r="AK65" s="814">
        <v>102</v>
      </c>
      <c r="AL65" s="815">
        <v>120</v>
      </c>
      <c r="AM65" s="816">
        <f t="shared" si="46"/>
        <v>222</v>
      </c>
      <c r="AN65" s="814">
        <v>118</v>
      </c>
      <c r="AO65" s="815">
        <v>127</v>
      </c>
      <c r="AP65" s="816">
        <f t="shared" si="47"/>
        <v>245</v>
      </c>
    </row>
    <row r="66" spans="1:42" s="186" customFormat="1" ht="15" customHeight="1" x14ac:dyDescent="0.25">
      <c r="A66" s="5073"/>
      <c r="B66" s="5053"/>
      <c r="C66" s="813" t="s">
        <v>495</v>
      </c>
      <c r="D66" s="854">
        <v>141</v>
      </c>
      <c r="E66" s="855">
        <v>184</v>
      </c>
      <c r="F66" s="816">
        <v>325</v>
      </c>
      <c r="G66" s="854">
        <v>203</v>
      </c>
      <c r="H66" s="855">
        <v>184</v>
      </c>
      <c r="I66" s="816">
        <v>387</v>
      </c>
      <c r="J66" s="814">
        <v>192</v>
      </c>
      <c r="K66" s="815">
        <v>210</v>
      </c>
      <c r="L66" s="816">
        <v>402</v>
      </c>
      <c r="M66" s="814">
        <v>160</v>
      </c>
      <c r="N66" s="815">
        <v>203</v>
      </c>
      <c r="O66" s="816">
        <v>363</v>
      </c>
      <c r="P66" s="814">
        <v>153</v>
      </c>
      <c r="Q66" s="815">
        <v>188</v>
      </c>
      <c r="R66" s="816">
        <v>341</v>
      </c>
      <c r="S66" s="814">
        <v>141</v>
      </c>
      <c r="T66" s="815">
        <v>159</v>
      </c>
      <c r="U66" s="816">
        <v>300</v>
      </c>
      <c r="V66" s="814">
        <v>138</v>
      </c>
      <c r="W66" s="815">
        <v>168</v>
      </c>
      <c r="X66" s="816">
        <v>306</v>
      </c>
      <c r="Y66" s="814">
        <v>147</v>
      </c>
      <c r="Z66" s="815">
        <v>199</v>
      </c>
      <c r="AA66" s="816">
        <f t="shared" si="0"/>
        <v>346</v>
      </c>
      <c r="AB66" s="814">
        <v>145</v>
      </c>
      <c r="AC66" s="815">
        <v>185</v>
      </c>
      <c r="AD66" s="816">
        <f t="shared" si="1"/>
        <v>330</v>
      </c>
      <c r="AE66" s="814">
        <v>153</v>
      </c>
      <c r="AF66" s="815">
        <v>177</v>
      </c>
      <c r="AG66" s="816">
        <f t="shared" si="2"/>
        <v>330</v>
      </c>
      <c r="AH66" s="814">
        <v>163</v>
      </c>
      <c r="AI66" s="815">
        <v>205</v>
      </c>
      <c r="AJ66" s="816">
        <f t="shared" si="45"/>
        <v>368</v>
      </c>
      <c r="AK66" s="814">
        <v>162</v>
      </c>
      <c r="AL66" s="815">
        <v>182</v>
      </c>
      <c r="AM66" s="816">
        <f t="shared" si="46"/>
        <v>344</v>
      </c>
      <c r="AN66" s="814">
        <v>176</v>
      </c>
      <c r="AO66" s="815">
        <v>180</v>
      </c>
      <c r="AP66" s="816">
        <f t="shared" si="47"/>
        <v>356</v>
      </c>
    </row>
    <row r="67" spans="1:42" s="186" customFormat="1" ht="15" customHeight="1" x14ac:dyDescent="0.25">
      <c r="A67" s="5073"/>
      <c r="B67" s="5053"/>
      <c r="C67" s="813" t="s">
        <v>496</v>
      </c>
      <c r="D67" s="854">
        <v>164</v>
      </c>
      <c r="E67" s="855">
        <v>203</v>
      </c>
      <c r="F67" s="816">
        <v>367</v>
      </c>
      <c r="G67" s="854">
        <v>202</v>
      </c>
      <c r="H67" s="855">
        <v>213</v>
      </c>
      <c r="I67" s="816">
        <v>415</v>
      </c>
      <c r="J67" s="814">
        <v>176</v>
      </c>
      <c r="K67" s="815">
        <v>238</v>
      </c>
      <c r="L67" s="816">
        <v>414</v>
      </c>
      <c r="M67" s="814">
        <v>177</v>
      </c>
      <c r="N67" s="815">
        <v>229</v>
      </c>
      <c r="O67" s="816">
        <v>406</v>
      </c>
      <c r="P67" s="814">
        <v>174</v>
      </c>
      <c r="Q67" s="815">
        <v>205</v>
      </c>
      <c r="R67" s="816">
        <v>379</v>
      </c>
      <c r="S67" s="814">
        <v>136</v>
      </c>
      <c r="T67" s="815">
        <v>160</v>
      </c>
      <c r="U67" s="816">
        <v>296</v>
      </c>
      <c r="V67" s="814">
        <v>155</v>
      </c>
      <c r="W67" s="815">
        <v>145</v>
      </c>
      <c r="X67" s="816">
        <v>300</v>
      </c>
      <c r="Y67" s="814">
        <v>134</v>
      </c>
      <c r="Z67" s="815">
        <v>182</v>
      </c>
      <c r="AA67" s="816">
        <f t="shared" si="0"/>
        <v>316</v>
      </c>
      <c r="AB67" s="814">
        <v>153</v>
      </c>
      <c r="AC67" s="815">
        <v>162</v>
      </c>
      <c r="AD67" s="816">
        <f t="shared" si="1"/>
        <v>315</v>
      </c>
      <c r="AE67" s="814">
        <v>147</v>
      </c>
      <c r="AF67" s="815">
        <v>172</v>
      </c>
      <c r="AG67" s="816">
        <f t="shared" si="2"/>
        <v>319</v>
      </c>
      <c r="AH67" s="814">
        <v>155</v>
      </c>
      <c r="AI67" s="815">
        <v>184</v>
      </c>
      <c r="AJ67" s="816">
        <f t="shared" si="45"/>
        <v>339</v>
      </c>
      <c r="AK67" s="814">
        <v>144</v>
      </c>
      <c r="AL67" s="815">
        <v>164</v>
      </c>
      <c r="AM67" s="816">
        <f t="shared" si="46"/>
        <v>308</v>
      </c>
      <c r="AN67" s="814">
        <v>148</v>
      </c>
      <c r="AO67" s="815">
        <v>163</v>
      </c>
      <c r="AP67" s="816">
        <f t="shared" si="47"/>
        <v>311</v>
      </c>
    </row>
    <row r="68" spans="1:42" s="186" customFormat="1" ht="15" customHeight="1" x14ac:dyDescent="0.25">
      <c r="A68" s="5073"/>
      <c r="B68" s="5053"/>
      <c r="C68" s="813" t="s">
        <v>497</v>
      </c>
      <c r="D68" s="854">
        <v>92</v>
      </c>
      <c r="E68" s="855">
        <v>143</v>
      </c>
      <c r="F68" s="816">
        <v>235</v>
      </c>
      <c r="G68" s="854">
        <v>102</v>
      </c>
      <c r="H68" s="855">
        <v>125</v>
      </c>
      <c r="I68" s="816">
        <v>227</v>
      </c>
      <c r="J68" s="814">
        <v>64</v>
      </c>
      <c r="K68" s="815">
        <v>98</v>
      </c>
      <c r="L68" s="816">
        <v>162</v>
      </c>
      <c r="M68" s="814">
        <v>109</v>
      </c>
      <c r="N68" s="815">
        <v>93</v>
      </c>
      <c r="O68" s="816">
        <v>202</v>
      </c>
      <c r="P68" s="814">
        <v>105</v>
      </c>
      <c r="Q68" s="815">
        <v>132</v>
      </c>
      <c r="R68" s="816">
        <v>237</v>
      </c>
      <c r="S68" s="814">
        <v>109</v>
      </c>
      <c r="T68" s="815">
        <v>114</v>
      </c>
      <c r="U68" s="816">
        <v>223</v>
      </c>
      <c r="V68" s="814">
        <v>97</v>
      </c>
      <c r="W68" s="815">
        <v>131</v>
      </c>
      <c r="X68" s="816">
        <v>228</v>
      </c>
      <c r="Y68" s="814">
        <v>136</v>
      </c>
      <c r="Z68" s="815">
        <v>166</v>
      </c>
      <c r="AA68" s="816">
        <f t="shared" ref="AA68:AA90" si="48">SUM(Y68:Z68)</f>
        <v>302</v>
      </c>
      <c r="AB68" s="814">
        <v>143</v>
      </c>
      <c r="AC68" s="815">
        <v>162</v>
      </c>
      <c r="AD68" s="816">
        <f t="shared" ref="AD68:AD97" si="49">SUM(AB68:AC68)</f>
        <v>305</v>
      </c>
      <c r="AE68" s="814">
        <v>127</v>
      </c>
      <c r="AF68" s="815">
        <v>147</v>
      </c>
      <c r="AG68" s="816">
        <f t="shared" si="2"/>
        <v>274</v>
      </c>
      <c r="AH68" s="814">
        <v>117</v>
      </c>
      <c r="AI68" s="815">
        <v>131</v>
      </c>
      <c r="AJ68" s="816">
        <f t="shared" si="45"/>
        <v>248</v>
      </c>
      <c r="AK68" s="814">
        <v>103</v>
      </c>
      <c r="AL68" s="815">
        <v>118</v>
      </c>
      <c r="AM68" s="816">
        <f t="shared" si="46"/>
        <v>221</v>
      </c>
      <c r="AN68" s="814">
        <v>109</v>
      </c>
      <c r="AO68" s="815">
        <v>118</v>
      </c>
      <c r="AP68" s="816">
        <f t="shared" si="47"/>
        <v>227</v>
      </c>
    </row>
    <row r="69" spans="1:42" s="186" customFormat="1" ht="15" customHeight="1" x14ac:dyDescent="0.25">
      <c r="A69" s="5073"/>
      <c r="B69" s="5053"/>
      <c r="C69" s="813" t="s">
        <v>498</v>
      </c>
      <c r="D69" s="854">
        <v>117</v>
      </c>
      <c r="E69" s="855">
        <v>148</v>
      </c>
      <c r="F69" s="816">
        <v>265</v>
      </c>
      <c r="G69" s="854">
        <v>160</v>
      </c>
      <c r="H69" s="855">
        <v>130</v>
      </c>
      <c r="I69" s="816">
        <v>290</v>
      </c>
      <c r="J69" s="814">
        <v>153</v>
      </c>
      <c r="K69" s="815">
        <v>177</v>
      </c>
      <c r="L69" s="816">
        <v>330</v>
      </c>
      <c r="M69" s="814">
        <v>147</v>
      </c>
      <c r="N69" s="815">
        <v>194</v>
      </c>
      <c r="O69" s="816">
        <v>341</v>
      </c>
      <c r="P69" s="814">
        <v>115</v>
      </c>
      <c r="Q69" s="815">
        <v>156</v>
      </c>
      <c r="R69" s="816">
        <v>271</v>
      </c>
      <c r="S69" s="814">
        <v>139</v>
      </c>
      <c r="T69" s="815">
        <v>160</v>
      </c>
      <c r="U69" s="816">
        <v>299</v>
      </c>
      <c r="V69" s="814">
        <v>134</v>
      </c>
      <c r="W69" s="815">
        <v>189</v>
      </c>
      <c r="X69" s="816">
        <v>323</v>
      </c>
      <c r="Y69" s="814">
        <v>138</v>
      </c>
      <c r="Z69" s="815">
        <v>190</v>
      </c>
      <c r="AA69" s="816">
        <f t="shared" si="48"/>
        <v>328</v>
      </c>
      <c r="AB69" s="814">
        <v>134</v>
      </c>
      <c r="AC69" s="815">
        <v>178</v>
      </c>
      <c r="AD69" s="816">
        <f t="shared" si="49"/>
        <v>312</v>
      </c>
      <c r="AE69" s="814">
        <v>137</v>
      </c>
      <c r="AF69" s="815">
        <v>166</v>
      </c>
      <c r="AG69" s="816">
        <f t="shared" si="2"/>
        <v>303</v>
      </c>
      <c r="AH69" s="814">
        <v>121</v>
      </c>
      <c r="AI69" s="815">
        <v>170</v>
      </c>
      <c r="AJ69" s="816">
        <f t="shared" si="45"/>
        <v>291</v>
      </c>
      <c r="AK69" s="814">
        <v>131</v>
      </c>
      <c r="AL69" s="815">
        <v>158</v>
      </c>
      <c r="AM69" s="816">
        <f t="shared" si="46"/>
        <v>289</v>
      </c>
      <c r="AN69" s="814">
        <v>138</v>
      </c>
      <c r="AO69" s="815">
        <v>148</v>
      </c>
      <c r="AP69" s="816">
        <f t="shared" si="47"/>
        <v>286</v>
      </c>
    </row>
    <row r="70" spans="1:42" s="186" customFormat="1" ht="15" customHeight="1" x14ac:dyDescent="0.25">
      <c r="A70" s="5073"/>
      <c r="B70" s="5053"/>
      <c r="C70" s="822" t="s">
        <v>499</v>
      </c>
      <c r="D70" s="823">
        <v>65</v>
      </c>
      <c r="E70" s="859">
        <v>70</v>
      </c>
      <c r="F70" s="825">
        <v>135</v>
      </c>
      <c r="G70" s="860">
        <v>79</v>
      </c>
      <c r="H70" s="859">
        <v>76</v>
      </c>
      <c r="I70" s="825">
        <v>155</v>
      </c>
      <c r="J70" s="823">
        <v>89</v>
      </c>
      <c r="K70" s="824">
        <v>90</v>
      </c>
      <c r="L70" s="825">
        <v>179</v>
      </c>
      <c r="M70" s="823">
        <v>72</v>
      </c>
      <c r="N70" s="824">
        <v>105</v>
      </c>
      <c r="O70" s="825">
        <v>177</v>
      </c>
      <c r="P70" s="823">
        <v>77</v>
      </c>
      <c r="Q70" s="824">
        <v>85</v>
      </c>
      <c r="R70" s="825">
        <v>162</v>
      </c>
      <c r="S70" s="823">
        <v>63</v>
      </c>
      <c r="T70" s="824">
        <v>72</v>
      </c>
      <c r="U70" s="825">
        <v>135</v>
      </c>
      <c r="V70" s="823">
        <v>60</v>
      </c>
      <c r="W70" s="824">
        <v>76</v>
      </c>
      <c r="X70" s="825">
        <v>136</v>
      </c>
      <c r="Y70" s="823">
        <v>69</v>
      </c>
      <c r="Z70" s="824">
        <v>93</v>
      </c>
      <c r="AA70" s="825">
        <f t="shared" si="48"/>
        <v>162</v>
      </c>
      <c r="AB70" s="826">
        <v>72</v>
      </c>
      <c r="AC70" s="824">
        <v>81</v>
      </c>
      <c r="AD70" s="825">
        <f t="shared" si="49"/>
        <v>153</v>
      </c>
      <c r="AE70" s="826">
        <v>73</v>
      </c>
      <c r="AF70" s="824">
        <v>86</v>
      </c>
      <c r="AG70" s="825">
        <f t="shared" si="2"/>
        <v>159</v>
      </c>
      <c r="AH70" s="826">
        <v>80</v>
      </c>
      <c r="AI70" s="824">
        <v>99</v>
      </c>
      <c r="AJ70" s="825">
        <f t="shared" si="45"/>
        <v>179</v>
      </c>
      <c r="AK70" s="826">
        <v>80</v>
      </c>
      <c r="AL70" s="824">
        <v>88</v>
      </c>
      <c r="AM70" s="825">
        <f t="shared" si="46"/>
        <v>168</v>
      </c>
      <c r="AN70" s="826">
        <v>80</v>
      </c>
      <c r="AO70" s="824">
        <v>89</v>
      </c>
      <c r="AP70" s="825">
        <f t="shared" si="47"/>
        <v>169</v>
      </c>
    </row>
    <row r="71" spans="1:42" s="186" customFormat="1" ht="15" customHeight="1" x14ac:dyDescent="0.25">
      <c r="A71" s="5073"/>
      <c r="B71" s="5054"/>
      <c r="C71" s="875" t="s">
        <v>160</v>
      </c>
      <c r="D71" s="876">
        <f>SUM(D63:D70)</f>
        <v>864</v>
      </c>
      <c r="E71" s="877">
        <f t="shared" ref="E71:AG71" si="50">SUM(E63:E70)</f>
        <v>1137</v>
      </c>
      <c r="F71" s="586">
        <f t="shared" si="50"/>
        <v>2001</v>
      </c>
      <c r="G71" s="876">
        <f t="shared" si="50"/>
        <v>1129</v>
      </c>
      <c r="H71" s="877">
        <f t="shared" si="50"/>
        <v>1130</v>
      </c>
      <c r="I71" s="586">
        <f t="shared" si="50"/>
        <v>2259</v>
      </c>
      <c r="J71" s="876">
        <f t="shared" si="50"/>
        <v>1086</v>
      </c>
      <c r="K71" s="877">
        <f t="shared" si="50"/>
        <v>1319</v>
      </c>
      <c r="L71" s="586">
        <f t="shared" si="50"/>
        <v>2405</v>
      </c>
      <c r="M71" s="876">
        <f t="shared" si="50"/>
        <v>1030</v>
      </c>
      <c r="N71" s="877">
        <f t="shared" si="50"/>
        <v>1281</v>
      </c>
      <c r="O71" s="586">
        <f t="shared" si="50"/>
        <v>2311</v>
      </c>
      <c r="P71" s="876">
        <f t="shared" si="50"/>
        <v>941</v>
      </c>
      <c r="Q71" s="877">
        <f t="shared" si="50"/>
        <v>1151</v>
      </c>
      <c r="R71" s="586">
        <f t="shared" si="50"/>
        <v>2092</v>
      </c>
      <c r="S71" s="876">
        <f t="shared" si="50"/>
        <v>896</v>
      </c>
      <c r="T71" s="877">
        <f t="shared" si="50"/>
        <v>998</v>
      </c>
      <c r="U71" s="586">
        <f t="shared" si="50"/>
        <v>1894</v>
      </c>
      <c r="V71" s="876">
        <f t="shared" si="50"/>
        <v>892</v>
      </c>
      <c r="W71" s="877">
        <f t="shared" si="50"/>
        <v>1065</v>
      </c>
      <c r="X71" s="586">
        <f t="shared" si="50"/>
        <v>1957</v>
      </c>
      <c r="Y71" s="876">
        <f t="shared" si="50"/>
        <v>945</v>
      </c>
      <c r="Z71" s="877">
        <f t="shared" si="50"/>
        <v>1205</v>
      </c>
      <c r="AA71" s="586">
        <f t="shared" si="50"/>
        <v>2150</v>
      </c>
      <c r="AB71" s="876">
        <f t="shared" si="50"/>
        <v>955</v>
      </c>
      <c r="AC71" s="877">
        <f t="shared" si="50"/>
        <v>1126</v>
      </c>
      <c r="AD71" s="586">
        <f t="shared" si="50"/>
        <v>2081</v>
      </c>
      <c r="AE71" s="876">
        <f t="shared" si="50"/>
        <v>956</v>
      </c>
      <c r="AF71" s="877">
        <f t="shared" si="50"/>
        <v>1111</v>
      </c>
      <c r="AG71" s="586">
        <f t="shared" si="50"/>
        <v>2067</v>
      </c>
      <c r="AH71" s="876">
        <f t="shared" ref="AH71:AM71" si="51">SUM(AH63:AH70)</f>
        <v>927</v>
      </c>
      <c r="AI71" s="1522">
        <f t="shared" si="51"/>
        <v>1160</v>
      </c>
      <c r="AJ71" s="586">
        <f t="shared" si="51"/>
        <v>2087</v>
      </c>
      <c r="AK71" s="2100">
        <f>SUM(AK63:AK70)</f>
        <v>909</v>
      </c>
      <c r="AL71" s="2115">
        <f>SUM(AL63:AL70)</f>
        <v>1035</v>
      </c>
      <c r="AM71" s="586">
        <f t="shared" si="51"/>
        <v>1944</v>
      </c>
      <c r="AN71" s="2100">
        <f>SUM(AN63:AN70)</f>
        <v>973</v>
      </c>
      <c r="AO71" s="2115">
        <f>SUM(AO63:AO70)</f>
        <v>1045</v>
      </c>
      <c r="AP71" s="586">
        <f t="shared" ref="AP71" si="52">SUM(AP63:AP70)</f>
        <v>2018</v>
      </c>
    </row>
    <row r="72" spans="1:42" s="186" customFormat="1" ht="15" customHeight="1" x14ac:dyDescent="0.25">
      <c r="A72" s="5073"/>
      <c r="B72" s="5052" t="s">
        <v>7</v>
      </c>
      <c r="C72" s="813" t="s">
        <v>466</v>
      </c>
      <c r="D72" s="854">
        <v>162</v>
      </c>
      <c r="E72" s="855">
        <v>224</v>
      </c>
      <c r="F72" s="816">
        <v>386</v>
      </c>
      <c r="G72" s="854">
        <v>172</v>
      </c>
      <c r="H72" s="855">
        <v>194</v>
      </c>
      <c r="I72" s="816">
        <v>366</v>
      </c>
      <c r="J72" s="814">
        <v>177</v>
      </c>
      <c r="K72" s="815">
        <v>239</v>
      </c>
      <c r="L72" s="816">
        <v>416</v>
      </c>
      <c r="M72" s="814">
        <v>159</v>
      </c>
      <c r="N72" s="815">
        <v>221</v>
      </c>
      <c r="O72" s="816">
        <v>380</v>
      </c>
      <c r="P72" s="814">
        <v>175</v>
      </c>
      <c r="Q72" s="815">
        <v>244</v>
      </c>
      <c r="R72" s="816">
        <v>419</v>
      </c>
      <c r="S72" s="814">
        <v>174</v>
      </c>
      <c r="T72" s="815">
        <v>187</v>
      </c>
      <c r="U72" s="816">
        <v>361</v>
      </c>
      <c r="V72" s="814">
        <v>143</v>
      </c>
      <c r="W72" s="815">
        <v>196</v>
      </c>
      <c r="X72" s="816">
        <v>339</v>
      </c>
      <c r="Y72" s="814">
        <v>151</v>
      </c>
      <c r="Z72" s="815">
        <v>179</v>
      </c>
      <c r="AA72" s="816">
        <f t="shared" si="48"/>
        <v>330</v>
      </c>
      <c r="AB72" s="814">
        <v>150</v>
      </c>
      <c r="AC72" s="815">
        <v>176</v>
      </c>
      <c r="AD72" s="816">
        <f t="shared" si="49"/>
        <v>326</v>
      </c>
      <c r="AE72" s="814">
        <v>149</v>
      </c>
      <c r="AF72" s="815">
        <v>181</v>
      </c>
      <c r="AG72" s="816">
        <f t="shared" si="2"/>
        <v>330</v>
      </c>
      <c r="AH72" s="814">
        <v>147</v>
      </c>
      <c r="AI72" s="815">
        <v>169</v>
      </c>
      <c r="AJ72" s="816">
        <f>SUM(AH72:AI72)</f>
        <v>316</v>
      </c>
      <c r="AK72" s="814">
        <v>143</v>
      </c>
      <c r="AL72" s="815">
        <v>155</v>
      </c>
      <c r="AM72" s="816">
        <f>SUM(AK72:AL72)</f>
        <v>298</v>
      </c>
      <c r="AN72" s="814">
        <v>155</v>
      </c>
      <c r="AO72" s="815">
        <v>165</v>
      </c>
      <c r="AP72" s="816">
        <f>SUM(AN72:AO72)</f>
        <v>320</v>
      </c>
    </row>
    <row r="73" spans="1:42" s="186" customFormat="1" ht="15" customHeight="1" x14ac:dyDescent="0.25">
      <c r="A73" s="5073"/>
      <c r="B73" s="5053"/>
      <c r="C73" s="813" t="s">
        <v>467</v>
      </c>
      <c r="D73" s="854">
        <v>80</v>
      </c>
      <c r="E73" s="855">
        <v>99</v>
      </c>
      <c r="F73" s="816">
        <v>179</v>
      </c>
      <c r="G73" s="854">
        <v>76</v>
      </c>
      <c r="H73" s="855">
        <v>90</v>
      </c>
      <c r="I73" s="816">
        <v>166</v>
      </c>
      <c r="J73" s="814">
        <v>85</v>
      </c>
      <c r="K73" s="815">
        <v>113</v>
      </c>
      <c r="L73" s="816">
        <v>198</v>
      </c>
      <c r="M73" s="814">
        <v>66</v>
      </c>
      <c r="N73" s="815">
        <v>81</v>
      </c>
      <c r="O73" s="816">
        <v>147</v>
      </c>
      <c r="P73" s="814">
        <v>65</v>
      </c>
      <c r="Q73" s="815">
        <v>74</v>
      </c>
      <c r="R73" s="816">
        <v>139</v>
      </c>
      <c r="S73" s="814">
        <v>65</v>
      </c>
      <c r="T73" s="815">
        <v>74</v>
      </c>
      <c r="U73" s="816">
        <v>139</v>
      </c>
      <c r="V73" s="814">
        <v>59</v>
      </c>
      <c r="W73" s="815">
        <v>73</v>
      </c>
      <c r="X73" s="816">
        <v>132</v>
      </c>
      <c r="Y73" s="814">
        <v>63</v>
      </c>
      <c r="Z73" s="815">
        <v>70</v>
      </c>
      <c r="AA73" s="816">
        <f t="shared" si="48"/>
        <v>133</v>
      </c>
      <c r="AB73" s="814">
        <v>75</v>
      </c>
      <c r="AC73" s="815">
        <v>80</v>
      </c>
      <c r="AD73" s="816">
        <f t="shared" si="49"/>
        <v>155</v>
      </c>
      <c r="AE73" s="814">
        <v>65</v>
      </c>
      <c r="AF73" s="815">
        <v>76</v>
      </c>
      <c r="AG73" s="816">
        <f t="shared" si="2"/>
        <v>141</v>
      </c>
      <c r="AH73" s="814">
        <v>63</v>
      </c>
      <c r="AI73" s="815">
        <v>73</v>
      </c>
      <c r="AJ73" s="816">
        <f>SUM(AH73:AI73)</f>
        <v>136</v>
      </c>
      <c r="AK73" s="814">
        <v>64</v>
      </c>
      <c r="AL73" s="815">
        <v>69</v>
      </c>
      <c r="AM73" s="816">
        <f>SUM(AK73:AL73)</f>
        <v>133</v>
      </c>
      <c r="AN73" s="814">
        <v>69</v>
      </c>
      <c r="AO73" s="815">
        <v>74</v>
      </c>
      <c r="AP73" s="816">
        <f>SUM(AN73:AO73)</f>
        <v>143</v>
      </c>
    </row>
    <row r="74" spans="1:42" s="186" customFormat="1" ht="15" customHeight="1" x14ac:dyDescent="0.25">
      <c r="A74" s="5073"/>
      <c r="B74" s="5053"/>
      <c r="C74" s="813" t="s">
        <v>468</v>
      </c>
      <c r="D74" s="854">
        <v>75</v>
      </c>
      <c r="E74" s="855">
        <v>89</v>
      </c>
      <c r="F74" s="816">
        <v>164</v>
      </c>
      <c r="G74" s="854">
        <v>87</v>
      </c>
      <c r="H74" s="855">
        <v>86</v>
      </c>
      <c r="I74" s="816">
        <v>173</v>
      </c>
      <c r="J74" s="814">
        <v>84</v>
      </c>
      <c r="K74" s="815">
        <v>110</v>
      </c>
      <c r="L74" s="816">
        <v>194</v>
      </c>
      <c r="M74" s="814">
        <v>72</v>
      </c>
      <c r="N74" s="815">
        <v>99</v>
      </c>
      <c r="O74" s="816">
        <v>171</v>
      </c>
      <c r="P74" s="814">
        <v>71</v>
      </c>
      <c r="Q74" s="815">
        <v>78</v>
      </c>
      <c r="R74" s="816">
        <v>149</v>
      </c>
      <c r="S74" s="814">
        <v>73</v>
      </c>
      <c r="T74" s="815">
        <v>74</v>
      </c>
      <c r="U74" s="816">
        <v>147</v>
      </c>
      <c r="V74" s="814">
        <v>65</v>
      </c>
      <c r="W74" s="815">
        <v>73</v>
      </c>
      <c r="X74" s="816">
        <v>138</v>
      </c>
      <c r="Y74" s="814">
        <v>61</v>
      </c>
      <c r="Z74" s="815">
        <v>82</v>
      </c>
      <c r="AA74" s="816">
        <f t="shared" si="48"/>
        <v>143</v>
      </c>
      <c r="AB74" s="814">
        <v>69</v>
      </c>
      <c r="AC74" s="815">
        <v>81</v>
      </c>
      <c r="AD74" s="816">
        <f t="shared" si="49"/>
        <v>150</v>
      </c>
      <c r="AE74" s="814">
        <v>70</v>
      </c>
      <c r="AF74" s="815">
        <v>86</v>
      </c>
      <c r="AG74" s="816">
        <f t="shared" si="2"/>
        <v>156</v>
      </c>
      <c r="AH74" s="814">
        <v>62</v>
      </c>
      <c r="AI74" s="815">
        <v>70</v>
      </c>
      <c r="AJ74" s="816">
        <f>SUM(AH74:AI74)</f>
        <v>132</v>
      </c>
      <c r="AK74" s="814">
        <v>66</v>
      </c>
      <c r="AL74" s="815">
        <v>68</v>
      </c>
      <c r="AM74" s="816">
        <f>SUM(AK74:AL74)</f>
        <v>134</v>
      </c>
      <c r="AN74" s="814">
        <v>69</v>
      </c>
      <c r="AO74" s="815">
        <v>78</v>
      </c>
      <c r="AP74" s="816">
        <f>SUM(AN74:AO74)</f>
        <v>147</v>
      </c>
    </row>
    <row r="75" spans="1:42" s="186" customFormat="1" ht="15" customHeight="1" x14ac:dyDescent="0.25">
      <c r="A75" s="5073"/>
      <c r="B75" s="5053"/>
      <c r="C75" s="822" t="s">
        <v>500</v>
      </c>
      <c r="D75" s="823">
        <v>52</v>
      </c>
      <c r="E75" s="859">
        <v>78</v>
      </c>
      <c r="F75" s="825">
        <v>130</v>
      </c>
      <c r="G75" s="860">
        <v>53</v>
      </c>
      <c r="H75" s="859">
        <v>66</v>
      </c>
      <c r="I75" s="825">
        <v>119</v>
      </c>
      <c r="J75" s="823">
        <v>68</v>
      </c>
      <c r="K75" s="824">
        <v>71</v>
      </c>
      <c r="L75" s="825">
        <v>139</v>
      </c>
      <c r="M75" s="823">
        <v>64</v>
      </c>
      <c r="N75" s="824">
        <v>85</v>
      </c>
      <c r="O75" s="825">
        <v>149</v>
      </c>
      <c r="P75" s="823">
        <v>68</v>
      </c>
      <c r="Q75" s="824">
        <v>92</v>
      </c>
      <c r="R75" s="825">
        <v>160</v>
      </c>
      <c r="S75" s="823">
        <v>65</v>
      </c>
      <c r="T75" s="824">
        <v>71</v>
      </c>
      <c r="U75" s="825">
        <v>136</v>
      </c>
      <c r="V75" s="823">
        <v>63</v>
      </c>
      <c r="W75" s="824">
        <v>62</v>
      </c>
      <c r="X75" s="825">
        <v>125</v>
      </c>
      <c r="Y75" s="823">
        <v>67</v>
      </c>
      <c r="Z75" s="824">
        <v>71</v>
      </c>
      <c r="AA75" s="825">
        <f t="shared" si="48"/>
        <v>138</v>
      </c>
      <c r="AB75" s="826">
        <v>70</v>
      </c>
      <c r="AC75" s="824">
        <v>75</v>
      </c>
      <c r="AD75" s="825">
        <f t="shared" si="49"/>
        <v>145</v>
      </c>
      <c r="AE75" s="826">
        <v>66</v>
      </c>
      <c r="AF75" s="824">
        <v>78</v>
      </c>
      <c r="AG75" s="825">
        <f t="shared" si="2"/>
        <v>144</v>
      </c>
      <c r="AH75" s="826">
        <v>62</v>
      </c>
      <c r="AI75" s="824">
        <v>72</v>
      </c>
      <c r="AJ75" s="825">
        <f>SUM(AH75:AI75)</f>
        <v>134</v>
      </c>
      <c r="AK75" s="826">
        <v>63</v>
      </c>
      <c r="AL75" s="824">
        <v>68</v>
      </c>
      <c r="AM75" s="825">
        <f>SUM(AK75:AL75)</f>
        <v>131</v>
      </c>
      <c r="AN75" s="826">
        <v>66</v>
      </c>
      <c r="AO75" s="824">
        <v>74</v>
      </c>
      <c r="AP75" s="825">
        <f>SUM(AN75:AO75)</f>
        <v>140</v>
      </c>
    </row>
    <row r="76" spans="1:42" s="186" customFormat="1" ht="15" customHeight="1" x14ac:dyDescent="0.25">
      <c r="A76" s="5073"/>
      <c r="B76" s="5053"/>
      <c r="C76" s="875" t="s">
        <v>160</v>
      </c>
      <c r="D76" s="876">
        <f>SUM(D72:D75)</f>
        <v>369</v>
      </c>
      <c r="E76" s="877">
        <f t="shared" ref="E76:AG76" si="53">SUM(E72:E75)</f>
        <v>490</v>
      </c>
      <c r="F76" s="586">
        <f t="shared" si="53"/>
        <v>859</v>
      </c>
      <c r="G76" s="876">
        <f t="shared" si="53"/>
        <v>388</v>
      </c>
      <c r="H76" s="877">
        <f t="shared" si="53"/>
        <v>436</v>
      </c>
      <c r="I76" s="586">
        <f t="shared" si="53"/>
        <v>824</v>
      </c>
      <c r="J76" s="876">
        <f t="shared" si="53"/>
        <v>414</v>
      </c>
      <c r="K76" s="877">
        <f t="shared" si="53"/>
        <v>533</v>
      </c>
      <c r="L76" s="586">
        <f t="shared" si="53"/>
        <v>947</v>
      </c>
      <c r="M76" s="876">
        <f t="shared" si="53"/>
        <v>361</v>
      </c>
      <c r="N76" s="877">
        <f t="shared" si="53"/>
        <v>486</v>
      </c>
      <c r="O76" s="586">
        <f t="shared" si="53"/>
        <v>847</v>
      </c>
      <c r="P76" s="876">
        <f t="shared" si="53"/>
        <v>379</v>
      </c>
      <c r="Q76" s="877">
        <f t="shared" si="53"/>
        <v>488</v>
      </c>
      <c r="R76" s="586">
        <f t="shared" si="53"/>
        <v>867</v>
      </c>
      <c r="S76" s="876">
        <f t="shared" si="53"/>
        <v>377</v>
      </c>
      <c r="T76" s="877">
        <f t="shared" si="53"/>
        <v>406</v>
      </c>
      <c r="U76" s="586">
        <f t="shared" si="53"/>
        <v>783</v>
      </c>
      <c r="V76" s="876">
        <f t="shared" si="53"/>
        <v>330</v>
      </c>
      <c r="W76" s="877">
        <f t="shared" si="53"/>
        <v>404</v>
      </c>
      <c r="X76" s="586">
        <f t="shared" si="53"/>
        <v>734</v>
      </c>
      <c r="Y76" s="876">
        <f t="shared" si="53"/>
        <v>342</v>
      </c>
      <c r="Z76" s="877">
        <f t="shared" si="53"/>
        <v>402</v>
      </c>
      <c r="AA76" s="586">
        <f t="shared" si="53"/>
        <v>744</v>
      </c>
      <c r="AB76" s="876">
        <f t="shared" si="53"/>
        <v>364</v>
      </c>
      <c r="AC76" s="877">
        <f t="shared" si="53"/>
        <v>412</v>
      </c>
      <c r="AD76" s="586">
        <f t="shared" si="53"/>
        <v>776</v>
      </c>
      <c r="AE76" s="876">
        <f t="shared" si="53"/>
        <v>350</v>
      </c>
      <c r="AF76" s="877">
        <f t="shared" si="53"/>
        <v>421</v>
      </c>
      <c r="AG76" s="586">
        <f t="shared" si="53"/>
        <v>771</v>
      </c>
      <c r="AH76" s="876">
        <f t="shared" ref="AH76:AM76" si="54">SUM(AH72:AH75)</f>
        <v>334</v>
      </c>
      <c r="AI76" s="1522">
        <f t="shared" si="54"/>
        <v>384</v>
      </c>
      <c r="AJ76" s="586">
        <f t="shared" si="54"/>
        <v>718</v>
      </c>
      <c r="AK76" s="2100">
        <f>SUM(AK72:AK75)</f>
        <v>336</v>
      </c>
      <c r="AL76" s="2115">
        <f>SUM(AL72:AL75)</f>
        <v>360</v>
      </c>
      <c r="AM76" s="586">
        <f t="shared" si="54"/>
        <v>696</v>
      </c>
      <c r="AN76" s="2100">
        <f>SUM(AN72:AN75)</f>
        <v>359</v>
      </c>
      <c r="AO76" s="2115">
        <f>SUM(AO72:AO75)</f>
        <v>391</v>
      </c>
      <c r="AP76" s="586">
        <f t="shared" ref="AP76" si="55">SUM(AP72:AP75)</f>
        <v>750</v>
      </c>
    </row>
    <row r="77" spans="1:42" s="186" customFormat="1" ht="15" customHeight="1" x14ac:dyDescent="0.25">
      <c r="A77" s="5100"/>
      <c r="B77" s="3982"/>
      <c r="C77" s="2448" t="s">
        <v>450</v>
      </c>
      <c r="D77" s="2449">
        <f>SUM(D76,D71,D62)</f>
        <v>1922</v>
      </c>
      <c r="E77" s="2450">
        <f t="shared" ref="E77:AG77" si="56">SUM(E76,E71,E62)</f>
        <v>2471</v>
      </c>
      <c r="F77" s="2451">
        <f t="shared" si="56"/>
        <v>4393</v>
      </c>
      <c r="G77" s="2449">
        <f t="shared" si="56"/>
        <v>2405</v>
      </c>
      <c r="H77" s="2450">
        <f t="shared" si="56"/>
        <v>2389</v>
      </c>
      <c r="I77" s="2451">
        <f t="shared" si="56"/>
        <v>4794</v>
      </c>
      <c r="J77" s="2449">
        <f t="shared" si="56"/>
        <v>2357</v>
      </c>
      <c r="K77" s="2450">
        <f t="shared" si="56"/>
        <v>2812</v>
      </c>
      <c r="L77" s="2451">
        <f t="shared" si="56"/>
        <v>5169</v>
      </c>
      <c r="M77" s="2449">
        <f t="shared" si="56"/>
        <v>2076</v>
      </c>
      <c r="N77" s="2450">
        <f t="shared" si="56"/>
        <v>2693</v>
      </c>
      <c r="O77" s="2451">
        <f t="shared" si="56"/>
        <v>4769</v>
      </c>
      <c r="P77" s="2449">
        <f t="shared" si="56"/>
        <v>2105</v>
      </c>
      <c r="Q77" s="2450">
        <f t="shared" si="56"/>
        <v>2570</v>
      </c>
      <c r="R77" s="2451">
        <f t="shared" si="56"/>
        <v>4675</v>
      </c>
      <c r="S77" s="2449">
        <f t="shared" si="56"/>
        <v>2010</v>
      </c>
      <c r="T77" s="2450">
        <f t="shared" si="56"/>
        <v>2191</v>
      </c>
      <c r="U77" s="2451">
        <f t="shared" si="56"/>
        <v>4201</v>
      </c>
      <c r="V77" s="2449">
        <f t="shared" si="56"/>
        <v>1930</v>
      </c>
      <c r="W77" s="2450">
        <f t="shared" si="56"/>
        <v>2307</v>
      </c>
      <c r="X77" s="2451">
        <f t="shared" si="56"/>
        <v>4237</v>
      </c>
      <c r="Y77" s="2449">
        <f t="shared" si="56"/>
        <v>2016</v>
      </c>
      <c r="Z77" s="2450">
        <f t="shared" si="56"/>
        <v>2494</v>
      </c>
      <c r="AA77" s="2451">
        <f t="shared" si="56"/>
        <v>4510</v>
      </c>
      <c r="AB77" s="2449">
        <f t="shared" si="56"/>
        <v>2068</v>
      </c>
      <c r="AC77" s="2450">
        <f t="shared" si="56"/>
        <v>2400</v>
      </c>
      <c r="AD77" s="2451">
        <f t="shared" si="56"/>
        <v>4468</v>
      </c>
      <c r="AE77" s="2449">
        <f t="shared" si="56"/>
        <v>2081</v>
      </c>
      <c r="AF77" s="2450">
        <f t="shared" si="56"/>
        <v>2420</v>
      </c>
      <c r="AG77" s="2451">
        <f t="shared" si="56"/>
        <v>4501</v>
      </c>
      <c r="AH77" s="2449">
        <f t="shared" ref="AH77:AM77" si="57">SUM(AH76,AH71,AH62)</f>
        <v>1961</v>
      </c>
      <c r="AI77" s="2450">
        <f t="shared" si="57"/>
        <v>2391</v>
      </c>
      <c r="AJ77" s="2451">
        <f t="shared" si="57"/>
        <v>4352</v>
      </c>
      <c r="AK77" s="2449">
        <f t="shared" si="57"/>
        <v>1979</v>
      </c>
      <c r="AL77" s="2450">
        <f t="shared" si="57"/>
        <v>2233</v>
      </c>
      <c r="AM77" s="2451">
        <f t="shared" si="57"/>
        <v>4212</v>
      </c>
      <c r="AN77" s="2449">
        <f t="shared" ref="AN77:AP77" si="58">SUM(AN76,AN71,AN62)</f>
        <v>2106</v>
      </c>
      <c r="AO77" s="2450">
        <f t="shared" si="58"/>
        <v>2268</v>
      </c>
      <c r="AP77" s="2451">
        <f t="shared" si="58"/>
        <v>4374</v>
      </c>
    </row>
    <row r="78" spans="1:42" s="186" customFormat="1" ht="15" customHeight="1" x14ac:dyDescent="0.25">
      <c r="A78" s="5069" t="s">
        <v>436</v>
      </c>
      <c r="B78" s="5034" t="s">
        <v>6</v>
      </c>
      <c r="C78" s="813" t="s">
        <v>462</v>
      </c>
      <c r="D78" s="819"/>
      <c r="E78" s="820"/>
      <c r="F78" s="816"/>
      <c r="G78" s="856"/>
      <c r="H78" s="820"/>
      <c r="I78" s="816"/>
      <c r="J78" s="819"/>
      <c r="K78" s="821">
        <v>68</v>
      </c>
      <c r="L78" s="816">
        <f t="shared" ref="L78:L90" si="59">SUM(J78:K78)</f>
        <v>68</v>
      </c>
      <c r="M78" s="819"/>
      <c r="N78" s="857">
        <v>52</v>
      </c>
      <c r="O78" s="816">
        <f t="shared" ref="O78:O90" si="60">SUM(M78:N78)</f>
        <v>52</v>
      </c>
      <c r="P78" s="819"/>
      <c r="Q78" s="821">
        <v>71</v>
      </c>
      <c r="R78" s="816">
        <f t="shared" ref="R78:R90" si="61">SUM(P78:Q78)</f>
        <v>71</v>
      </c>
      <c r="S78" s="819"/>
      <c r="T78" s="821">
        <v>66</v>
      </c>
      <c r="U78" s="816">
        <f t="shared" ref="U78:U90" si="62">SUM(S78:T78)</f>
        <v>66</v>
      </c>
      <c r="V78" s="819"/>
      <c r="W78" s="821">
        <v>33</v>
      </c>
      <c r="X78" s="816">
        <f t="shared" ref="X78:X90" si="63">SUM(V78:W78)</f>
        <v>33</v>
      </c>
      <c r="Y78" s="819"/>
      <c r="Z78" s="821">
        <v>36</v>
      </c>
      <c r="AA78" s="816">
        <f t="shared" si="48"/>
        <v>36</v>
      </c>
      <c r="AB78" s="819"/>
      <c r="AC78" s="821">
        <v>37</v>
      </c>
      <c r="AD78" s="816">
        <f t="shared" si="49"/>
        <v>37</v>
      </c>
      <c r="AE78" s="819"/>
      <c r="AF78" s="821">
        <v>38</v>
      </c>
      <c r="AG78" s="816">
        <f t="shared" si="2"/>
        <v>38</v>
      </c>
      <c r="AH78" s="819"/>
      <c r="AI78" s="821">
        <v>44</v>
      </c>
      <c r="AJ78" s="816">
        <f>SUM(AH78:AI78)</f>
        <v>44</v>
      </c>
      <c r="AK78" s="2330">
        <v>31</v>
      </c>
      <c r="AL78" s="821">
        <v>45</v>
      </c>
      <c r="AM78" s="816">
        <f>SUM(AK78:AL78)</f>
        <v>76</v>
      </c>
      <c r="AN78" s="2330">
        <v>34</v>
      </c>
      <c r="AO78" s="821">
        <v>44</v>
      </c>
      <c r="AP78" s="816">
        <f>SUM(AN78:AO78)</f>
        <v>78</v>
      </c>
    </row>
    <row r="79" spans="1:42" s="186" customFormat="1" ht="15" customHeight="1" x14ac:dyDescent="0.25">
      <c r="A79" s="5070"/>
      <c r="B79" s="5035"/>
      <c r="C79" s="813" t="s">
        <v>463</v>
      </c>
      <c r="D79" s="819"/>
      <c r="E79" s="820"/>
      <c r="F79" s="816"/>
      <c r="G79" s="856"/>
      <c r="H79" s="820"/>
      <c r="I79" s="816"/>
      <c r="J79" s="819"/>
      <c r="K79" s="821">
        <v>66</v>
      </c>
      <c r="L79" s="816">
        <f t="shared" si="59"/>
        <v>66</v>
      </c>
      <c r="M79" s="819"/>
      <c r="N79" s="858"/>
      <c r="O79" s="816">
        <f t="shared" si="60"/>
        <v>0</v>
      </c>
      <c r="P79" s="819"/>
      <c r="Q79" s="821"/>
      <c r="R79" s="816">
        <f t="shared" si="61"/>
        <v>0</v>
      </c>
      <c r="S79" s="819"/>
      <c r="T79" s="821"/>
      <c r="U79" s="816">
        <f t="shared" si="62"/>
        <v>0</v>
      </c>
      <c r="V79" s="819"/>
      <c r="W79" s="821"/>
      <c r="X79" s="816">
        <f t="shared" si="63"/>
        <v>0</v>
      </c>
      <c r="Y79" s="819"/>
      <c r="Z79" s="821"/>
      <c r="AA79" s="816">
        <f t="shared" si="48"/>
        <v>0</v>
      </c>
      <c r="AB79" s="819"/>
      <c r="AC79" s="821"/>
      <c r="AD79" s="816">
        <f t="shared" si="49"/>
        <v>0</v>
      </c>
      <c r="AE79" s="819"/>
      <c r="AF79" s="821"/>
      <c r="AG79" s="816">
        <f t="shared" si="2"/>
        <v>0</v>
      </c>
      <c r="AH79" s="819"/>
      <c r="AI79" s="821"/>
      <c r="AJ79" s="816"/>
      <c r="AK79" s="2331"/>
      <c r="AL79" s="821"/>
      <c r="AM79" s="816"/>
      <c r="AN79" s="2331"/>
      <c r="AO79" s="821">
        <v>43</v>
      </c>
      <c r="AP79" s="816">
        <f>SUM(AN79:AO79)</f>
        <v>43</v>
      </c>
    </row>
    <row r="80" spans="1:42" s="186" customFormat="1" ht="15" customHeight="1" x14ac:dyDescent="0.2">
      <c r="A80" s="5070"/>
      <c r="B80" s="5035"/>
      <c r="C80" s="813" t="s">
        <v>501</v>
      </c>
      <c r="D80" s="819"/>
      <c r="E80" s="820"/>
      <c r="F80" s="816"/>
      <c r="G80" s="856"/>
      <c r="H80" s="820"/>
      <c r="I80" s="816"/>
      <c r="J80" s="819"/>
      <c r="K80" s="821"/>
      <c r="L80" s="816">
        <f t="shared" si="59"/>
        <v>0</v>
      </c>
      <c r="M80" s="819"/>
      <c r="N80" s="821"/>
      <c r="O80" s="816">
        <f t="shared" si="60"/>
        <v>0</v>
      </c>
      <c r="P80" s="819"/>
      <c r="Q80" s="821">
        <v>30</v>
      </c>
      <c r="R80" s="816">
        <f t="shared" si="61"/>
        <v>30</v>
      </c>
      <c r="S80" s="819"/>
      <c r="T80" s="821">
        <v>22</v>
      </c>
      <c r="U80" s="816">
        <f t="shared" si="62"/>
        <v>22</v>
      </c>
      <c r="V80" s="819"/>
      <c r="W80" s="821">
        <v>25</v>
      </c>
      <c r="X80" s="816">
        <f t="shared" si="63"/>
        <v>25</v>
      </c>
      <c r="Y80" s="819"/>
      <c r="Z80" s="821">
        <v>44</v>
      </c>
      <c r="AA80" s="816">
        <f t="shared" si="48"/>
        <v>44</v>
      </c>
      <c r="AB80" s="819"/>
      <c r="AC80" s="821">
        <v>29</v>
      </c>
      <c r="AD80" s="816">
        <f t="shared" si="49"/>
        <v>29</v>
      </c>
      <c r="AE80" s="819"/>
      <c r="AF80" s="821">
        <v>32</v>
      </c>
      <c r="AG80" s="816">
        <f t="shared" si="2"/>
        <v>32</v>
      </c>
      <c r="AH80" s="819"/>
      <c r="AI80" s="821">
        <v>40</v>
      </c>
      <c r="AJ80" s="816">
        <f>SUM(AH80:AI80)</f>
        <v>40</v>
      </c>
      <c r="AK80" s="2331">
        <v>36</v>
      </c>
      <c r="AL80" s="821">
        <v>40</v>
      </c>
      <c r="AM80" s="816">
        <f>SUM(AK80:AL80)</f>
        <v>76</v>
      </c>
      <c r="AN80" s="2331">
        <v>36</v>
      </c>
      <c r="AO80" s="821">
        <v>43</v>
      </c>
      <c r="AP80" s="816">
        <f>SUM(AN80:AO80)</f>
        <v>79</v>
      </c>
    </row>
    <row r="81" spans="1:42" s="186" customFormat="1" ht="15" customHeight="1" x14ac:dyDescent="0.25">
      <c r="A81" s="5070"/>
      <c r="B81" s="5035"/>
      <c r="C81" s="822" t="s">
        <v>502</v>
      </c>
      <c r="D81" s="823"/>
      <c r="E81" s="859"/>
      <c r="F81" s="825"/>
      <c r="G81" s="860"/>
      <c r="H81" s="859"/>
      <c r="I81" s="825"/>
      <c r="J81" s="823"/>
      <c r="K81" s="824"/>
      <c r="L81" s="825">
        <f t="shared" si="59"/>
        <v>0</v>
      </c>
      <c r="M81" s="823"/>
      <c r="N81" s="824"/>
      <c r="O81" s="825">
        <f t="shared" si="60"/>
        <v>0</v>
      </c>
      <c r="P81" s="823"/>
      <c r="Q81" s="824">
        <v>36</v>
      </c>
      <c r="R81" s="825">
        <f t="shared" si="61"/>
        <v>36</v>
      </c>
      <c r="S81" s="823"/>
      <c r="T81" s="824">
        <v>34</v>
      </c>
      <c r="U81" s="825">
        <f t="shared" si="62"/>
        <v>34</v>
      </c>
      <c r="V81" s="823"/>
      <c r="W81" s="824">
        <v>32</v>
      </c>
      <c r="X81" s="825">
        <f t="shared" si="63"/>
        <v>32</v>
      </c>
      <c r="Y81" s="823"/>
      <c r="Z81" s="824">
        <v>36</v>
      </c>
      <c r="AA81" s="825">
        <f t="shared" si="48"/>
        <v>36</v>
      </c>
      <c r="AB81" s="826"/>
      <c r="AC81" s="824">
        <v>39</v>
      </c>
      <c r="AD81" s="825">
        <f t="shared" si="49"/>
        <v>39</v>
      </c>
      <c r="AE81" s="826"/>
      <c r="AF81" s="824">
        <v>36</v>
      </c>
      <c r="AG81" s="825">
        <f t="shared" si="2"/>
        <v>36</v>
      </c>
      <c r="AH81" s="826"/>
      <c r="AI81" s="824">
        <v>39</v>
      </c>
      <c r="AJ81" s="825">
        <f>SUM(AH81:AI81)</f>
        <v>39</v>
      </c>
      <c r="AK81" s="826">
        <v>38</v>
      </c>
      <c r="AL81" s="824">
        <v>37</v>
      </c>
      <c r="AM81" s="825">
        <f>SUM(AK81:AL81)</f>
        <v>75</v>
      </c>
      <c r="AN81" s="826">
        <v>34</v>
      </c>
      <c r="AO81" s="824">
        <v>41</v>
      </c>
      <c r="AP81" s="825">
        <f>SUM(AN81:AO81)</f>
        <v>75</v>
      </c>
    </row>
    <row r="82" spans="1:42" s="186" customFormat="1" ht="15" customHeight="1" x14ac:dyDescent="0.25">
      <c r="A82" s="5070"/>
      <c r="B82" s="5036"/>
      <c r="C82" s="875" t="s">
        <v>160</v>
      </c>
      <c r="D82" s="876"/>
      <c r="E82" s="877"/>
      <c r="F82" s="586"/>
      <c r="G82" s="876"/>
      <c r="H82" s="877"/>
      <c r="I82" s="586"/>
      <c r="J82" s="876">
        <f t="shared" ref="J82:AG82" si="64">SUM(J78:J81)</f>
        <v>0</v>
      </c>
      <c r="K82" s="877">
        <f t="shared" si="64"/>
        <v>134</v>
      </c>
      <c r="L82" s="586">
        <f t="shared" si="64"/>
        <v>134</v>
      </c>
      <c r="M82" s="876">
        <f t="shared" si="64"/>
        <v>0</v>
      </c>
      <c r="N82" s="877">
        <f t="shared" si="64"/>
        <v>52</v>
      </c>
      <c r="O82" s="586">
        <f t="shared" si="64"/>
        <v>52</v>
      </c>
      <c r="P82" s="876">
        <f t="shared" si="64"/>
        <v>0</v>
      </c>
      <c r="Q82" s="877">
        <f t="shared" si="64"/>
        <v>137</v>
      </c>
      <c r="R82" s="586">
        <f t="shared" si="64"/>
        <v>137</v>
      </c>
      <c r="S82" s="876">
        <f t="shared" si="64"/>
        <v>0</v>
      </c>
      <c r="T82" s="877">
        <f t="shared" si="64"/>
        <v>122</v>
      </c>
      <c r="U82" s="586">
        <f t="shared" si="64"/>
        <v>122</v>
      </c>
      <c r="V82" s="876">
        <f t="shared" si="64"/>
        <v>0</v>
      </c>
      <c r="W82" s="877">
        <f t="shared" si="64"/>
        <v>90</v>
      </c>
      <c r="X82" s="586">
        <f t="shared" si="64"/>
        <v>90</v>
      </c>
      <c r="Y82" s="876">
        <f t="shared" si="64"/>
        <v>0</v>
      </c>
      <c r="Z82" s="877">
        <f t="shared" si="64"/>
        <v>116</v>
      </c>
      <c r="AA82" s="586">
        <f t="shared" si="64"/>
        <v>116</v>
      </c>
      <c r="AB82" s="876">
        <f t="shared" si="64"/>
        <v>0</v>
      </c>
      <c r="AC82" s="877">
        <f t="shared" si="64"/>
        <v>105</v>
      </c>
      <c r="AD82" s="586">
        <f t="shared" si="64"/>
        <v>105</v>
      </c>
      <c r="AE82" s="876">
        <f t="shared" si="64"/>
        <v>0</v>
      </c>
      <c r="AF82" s="877">
        <f t="shared" si="64"/>
        <v>106</v>
      </c>
      <c r="AG82" s="586">
        <f t="shared" si="64"/>
        <v>106</v>
      </c>
      <c r="AH82" s="876">
        <f t="shared" ref="AH82:AM82" si="65">SUM(AH78:AH81)</f>
        <v>0</v>
      </c>
      <c r="AI82" s="1522">
        <f t="shared" si="65"/>
        <v>123</v>
      </c>
      <c r="AJ82" s="586">
        <f t="shared" si="65"/>
        <v>123</v>
      </c>
      <c r="AK82" s="2100">
        <f t="shared" si="65"/>
        <v>105</v>
      </c>
      <c r="AL82" s="2115">
        <f t="shared" si="65"/>
        <v>122</v>
      </c>
      <c r="AM82" s="586">
        <f t="shared" si="65"/>
        <v>227</v>
      </c>
      <c r="AN82" s="2100">
        <f t="shared" ref="AN82:AP82" si="66">SUM(AN78:AN81)</f>
        <v>104</v>
      </c>
      <c r="AO82" s="2115">
        <f>SUM(AO78:AO81)</f>
        <v>171</v>
      </c>
      <c r="AP82" s="586">
        <f t="shared" si="66"/>
        <v>275</v>
      </c>
    </row>
    <row r="83" spans="1:42" s="186" customFormat="1" ht="15" customHeight="1" x14ac:dyDescent="0.2">
      <c r="A83" s="5070"/>
      <c r="B83" s="5034" t="s">
        <v>9</v>
      </c>
      <c r="C83" s="813" t="s">
        <v>503</v>
      </c>
      <c r="D83" s="819"/>
      <c r="E83" s="820"/>
      <c r="F83" s="816"/>
      <c r="G83" s="856"/>
      <c r="H83" s="820"/>
      <c r="I83" s="816"/>
      <c r="J83" s="819"/>
      <c r="K83" s="821">
        <v>41</v>
      </c>
      <c r="L83" s="816">
        <f t="shared" si="59"/>
        <v>41</v>
      </c>
      <c r="M83" s="819"/>
      <c r="N83" s="821">
        <v>37</v>
      </c>
      <c r="O83" s="816">
        <f t="shared" si="60"/>
        <v>37</v>
      </c>
      <c r="P83" s="814"/>
      <c r="Q83" s="815">
        <v>67</v>
      </c>
      <c r="R83" s="816">
        <f t="shared" si="61"/>
        <v>67</v>
      </c>
      <c r="S83" s="814"/>
      <c r="T83" s="815">
        <v>59</v>
      </c>
      <c r="U83" s="816">
        <f t="shared" si="62"/>
        <v>59</v>
      </c>
      <c r="V83" s="814"/>
      <c r="W83" s="815">
        <v>30</v>
      </c>
      <c r="X83" s="816">
        <f t="shared" si="63"/>
        <v>30</v>
      </c>
      <c r="Y83" s="814"/>
      <c r="Z83" s="815">
        <v>46</v>
      </c>
      <c r="AA83" s="816">
        <f t="shared" si="48"/>
        <v>46</v>
      </c>
      <c r="AB83" s="814"/>
      <c r="AC83" s="815">
        <v>49</v>
      </c>
      <c r="AD83" s="816">
        <f t="shared" si="49"/>
        <v>49</v>
      </c>
      <c r="AE83" s="814"/>
      <c r="AF83" s="815">
        <v>48</v>
      </c>
      <c r="AG83" s="816">
        <f t="shared" ref="AG83:AG97" si="67">SUM(AE83:AF83)</f>
        <v>48</v>
      </c>
      <c r="AH83" s="814"/>
      <c r="AI83" s="815">
        <v>50</v>
      </c>
      <c r="AJ83" s="816">
        <f>SUM(AH83:AI83)</f>
        <v>50</v>
      </c>
      <c r="AK83" s="814"/>
      <c r="AL83" s="815">
        <v>64</v>
      </c>
      <c r="AM83" s="816">
        <f>SUM(AK83:AL83)</f>
        <v>64</v>
      </c>
      <c r="AN83" s="814"/>
      <c r="AO83" s="815">
        <v>71</v>
      </c>
      <c r="AP83" s="816">
        <f>SUM(AN83:AO83)</f>
        <v>71</v>
      </c>
    </row>
    <row r="84" spans="1:42" s="186" customFormat="1" ht="15" customHeight="1" x14ac:dyDescent="0.2">
      <c r="A84" s="5070"/>
      <c r="B84" s="5035"/>
      <c r="C84" s="813" t="s">
        <v>504</v>
      </c>
      <c r="D84" s="819"/>
      <c r="E84" s="820"/>
      <c r="F84" s="816"/>
      <c r="G84" s="856"/>
      <c r="H84" s="820"/>
      <c r="I84" s="816"/>
      <c r="J84" s="819"/>
      <c r="K84" s="821"/>
      <c r="L84" s="816">
        <f t="shared" si="59"/>
        <v>0</v>
      </c>
      <c r="M84" s="819"/>
      <c r="N84" s="821"/>
      <c r="O84" s="816">
        <f t="shared" si="60"/>
        <v>0</v>
      </c>
      <c r="P84" s="819"/>
      <c r="Q84" s="821">
        <v>30</v>
      </c>
      <c r="R84" s="816">
        <f t="shared" si="61"/>
        <v>30</v>
      </c>
      <c r="S84" s="819"/>
      <c r="T84" s="821">
        <v>28</v>
      </c>
      <c r="U84" s="816">
        <f t="shared" si="62"/>
        <v>28</v>
      </c>
      <c r="V84" s="819"/>
      <c r="W84" s="821">
        <v>49</v>
      </c>
      <c r="X84" s="816">
        <f t="shared" si="63"/>
        <v>49</v>
      </c>
      <c r="Y84" s="819"/>
      <c r="Z84" s="821">
        <v>45</v>
      </c>
      <c r="AA84" s="816">
        <f t="shared" si="48"/>
        <v>45</v>
      </c>
      <c r="AB84" s="819"/>
      <c r="AC84" s="821">
        <v>49</v>
      </c>
      <c r="AD84" s="816">
        <f t="shared" si="49"/>
        <v>49</v>
      </c>
      <c r="AE84" s="819"/>
      <c r="AF84" s="821">
        <v>44</v>
      </c>
      <c r="AG84" s="816">
        <f t="shared" si="67"/>
        <v>44</v>
      </c>
      <c r="AH84" s="819"/>
      <c r="AI84" s="821">
        <v>49</v>
      </c>
      <c r="AJ84" s="816">
        <f>SUM(AH84:AI84)</f>
        <v>49</v>
      </c>
      <c r="AK84" s="819"/>
      <c r="AL84" s="821">
        <v>48</v>
      </c>
      <c r="AM84" s="816">
        <f>SUM(AK84:AL84)</f>
        <v>48</v>
      </c>
      <c r="AN84" s="819"/>
      <c r="AO84" s="821">
        <v>61</v>
      </c>
      <c r="AP84" s="816">
        <f>SUM(AN84:AO84)</f>
        <v>61</v>
      </c>
    </row>
    <row r="85" spans="1:42" s="186" customFormat="1" ht="15" customHeight="1" x14ac:dyDescent="0.25">
      <c r="A85" s="5070"/>
      <c r="B85" s="5035"/>
      <c r="C85" s="822" t="s">
        <v>505</v>
      </c>
      <c r="D85" s="823"/>
      <c r="E85" s="859"/>
      <c r="F85" s="825"/>
      <c r="G85" s="860"/>
      <c r="H85" s="859"/>
      <c r="I85" s="825"/>
      <c r="J85" s="823"/>
      <c r="K85" s="824"/>
      <c r="L85" s="825">
        <f t="shared" si="59"/>
        <v>0</v>
      </c>
      <c r="M85" s="823"/>
      <c r="N85" s="824"/>
      <c r="O85" s="825">
        <f t="shared" si="60"/>
        <v>0</v>
      </c>
      <c r="P85" s="823"/>
      <c r="Q85" s="824">
        <v>66</v>
      </c>
      <c r="R85" s="825">
        <f t="shared" si="61"/>
        <v>66</v>
      </c>
      <c r="S85" s="823"/>
      <c r="T85" s="824">
        <v>57</v>
      </c>
      <c r="U85" s="825">
        <f t="shared" si="62"/>
        <v>57</v>
      </c>
      <c r="V85" s="823"/>
      <c r="W85" s="824">
        <v>43</v>
      </c>
      <c r="X85" s="825">
        <f t="shared" si="63"/>
        <v>43</v>
      </c>
      <c r="Y85" s="823"/>
      <c r="Z85" s="824">
        <v>46</v>
      </c>
      <c r="AA85" s="825">
        <f t="shared" si="48"/>
        <v>46</v>
      </c>
      <c r="AB85" s="826"/>
      <c r="AC85" s="824">
        <v>60</v>
      </c>
      <c r="AD85" s="825">
        <f t="shared" si="49"/>
        <v>60</v>
      </c>
      <c r="AE85" s="826"/>
      <c r="AF85" s="824">
        <v>61</v>
      </c>
      <c r="AG85" s="825">
        <f t="shared" si="67"/>
        <v>61</v>
      </c>
      <c r="AH85" s="826"/>
      <c r="AI85" s="824">
        <v>59</v>
      </c>
      <c r="AJ85" s="825">
        <f>SUM(AH85:AI85)</f>
        <v>59</v>
      </c>
      <c r="AK85" s="826"/>
      <c r="AL85" s="824">
        <v>77</v>
      </c>
      <c r="AM85" s="825">
        <f>SUM(AK85:AL85)</f>
        <v>77</v>
      </c>
      <c r="AN85" s="826"/>
      <c r="AO85" s="824">
        <v>102</v>
      </c>
      <c r="AP85" s="825">
        <f>SUM(AN85:AO85)</f>
        <v>102</v>
      </c>
    </row>
    <row r="86" spans="1:42" s="186" customFormat="1" ht="15" customHeight="1" x14ac:dyDescent="0.25">
      <c r="A86" s="5070"/>
      <c r="B86" s="5036"/>
      <c r="C86" s="875" t="s">
        <v>160</v>
      </c>
      <c r="D86" s="876"/>
      <c r="E86" s="877"/>
      <c r="F86" s="586"/>
      <c r="G86" s="876"/>
      <c r="H86" s="877"/>
      <c r="I86" s="586"/>
      <c r="J86" s="876">
        <f t="shared" ref="J86:AG86" si="68">SUM(J83:J85)</f>
        <v>0</v>
      </c>
      <c r="K86" s="877">
        <f t="shared" si="68"/>
        <v>41</v>
      </c>
      <c r="L86" s="586">
        <f t="shared" si="68"/>
        <v>41</v>
      </c>
      <c r="M86" s="876">
        <f t="shared" si="68"/>
        <v>0</v>
      </c>
      <c r="N86" s="877">
        <f t="shared" si="68"/>
        <v>37</v>
      </c>
      <c r="O86" s="586">
        <f t="shared" si="68"/>
        <v>37</v>
      </c>
      <c r="P86" s="876">
        <f t="shared" si="68"/>
        <v>0</v>
      </c>
      <c r="Q86" s="877">
        <f t="shared" si="68"/>
        <v>163</v>
      </c>
      <c r="R86" s="586">
        <f t="shared" si="68"/>
        <v>163</v>
      </c>
      <c r="S86" s="876">
        <f t="shared" si="68"/>
        <v>0</v>
      </c>
      <c r="T86" s="877">
        <f t="shared" si="68"/>
        <v>144</v>
      </c>
      <c r="U86" s="586">
        <f t="shared" si="68"/>
        <v>144</v>
      </c>
      <c r="V86" s="876">
        <f t="shared" si="68"/>
        <v>0</v>
      </c>
      <c r="W86" s="877">
        <f t="shared" si="68"/>
        <v>122</v>
      </c>
      <c r="X86" s="586">
        <f t="shared" si="68"/>
        <v>122</v>
      </c>
      <c r="Y86" s="876">
        <f t="shared" si="68"/>
        <v>0</v>
      </c>
      <c r="Z86" s="877">
        <f t="shared" si="68"/>
        <v>137</v>
      </c>
      <c r="AA86" s="586">
        <f t="shared" si="68"/>
        <v>137</v>
      </c>
      <c r="AB86" s="876">
        <f t="shared" si="68"/>
        <v>0</v>
      </c>
      <c r="AC86" s="877">
        <f t="shared" si="68"/>
        <v>158</v>
      </c>
      <c r="AD86" s="586">
        <f t="shared" si="68"/>
        <v>158</v>
      </c>
      <c r="AE86" s="876">
        <f t="shared" si="68"/>
        <v>0</v>
      </c>
      <c r="AF86" s="877">
        <f t="shared" si="68"/>
        <v>153</v>
      </c>
      <c r="AG86" s="586">
        <f t="shared" si="68"/>
        <v>153</v>
      </c>
      <c r="AH86" s="876">
        <f t="shared" ref="AH86:AM86" si="69">SUM(AH83:AH85)</f>
        <v>0</v>
      </c>
      <c r="AI86" s="1522">
        <f t="shared" si="69"/>
        <v>158</v>
      </c>
      <c r="AJ86" s="586">
        <f t="shared" si="69"/>
        <v>158</v>
      </c>
      <c r="AK86" s="2100">
        <f t="shared" si="69"/>
        <v>0</v>
      </c>
      <c r="AL86" s="2115">
        <f t="shared" si="69"/>
        <v>189</v>
      </c>
      <c r="AM86" s="586">
        <f t="shared" si="69"/>
        <v>189</v>
      </c>
      <c r="AN86" s="2100">
        <f t="shared" ref="AN86:AP86" si="70">SUM(AN83:AN85)</f>
        <v>0</v>
      </c>
      <c r="AO86" s="2115">
        <f>SUM(AO83:AO85)</f>
        <v>234</v>
      </c>
      <c r="AP86" s="586">
        <f t="shared" si="70"/>
        <v>234</v>
      </c>
    </row>
    <row r="87" spans="1:42" s="186" customFormat="1" ht="15" customHeight="1" x14ac:dyDescent="0.25">
      <c r="A87" s="5070"/>
      <c r="B87" s="5034" t="s">
        <v>74</v>
      </c>
      <c r="C87" s="813" t="s">
        <v>461</v>
      </c>
      <c r="D87" s="819"/>
      <c r="E87" s="820"/>
      <c r="F87" s="816"/>
      <c r="G87" s="856"/>
      <c r="H87" s="820"/>
      <c r="I87" s="816"/>
      <c r="J87" s="819"/>
      <c r="K87" s="821">
        <v>62</v>
      </c>
      <c r="L87" s="816">
        <f t="shared" si="59"/>
        <v>62</v>
      </c>
      <c r="M87" s="819"/>
      <c r="N87" s="857">
        <v>26</v>
      </c>
      <c r="O87" s="816">
        <f t="shared" si="60"/>
        <v>26</v>
      </c>
      <c r="P87" s="819"/>
      <c r="Q87" s="821">
        <v>53</v>
      </c>
      <c r="R87" s="816">
        <f t="shared" si="61"/>
        <v>53</v>
      </c>
      <c r="S87" s="819"/>
      <c r="T87" s="821">
        <v>78</v>
      </c>
      <c r="U87" s="816">
        <f t="shared" si="62"/>
        <v>78</v>
      </c>
      <c r="V87" s="819"/>
      <c r="W87" s="821">
        <v>41</v>
      </c>
      <c r="X87" s="816">
        <f t="shared" si="63"/>
        <v>41</v>
      </c>
      <c r="Y87" s="819"/>
      <c r="Z87" s="821">
        <v>43</v>
      </c>
      <c r="AA87" s="816">
        <f t="shared" si="48"/>
        <v>43</v>
      </c>
      <c r="AB87" s="819"/>
      <c r="AC87" s="821">
        <v>50</v>
      </c>
      <c r="AD87" s="816">
        <f t="shared" si="49"/>
        <v>50</v>
      </c>
      <c r="AE87" s="819"/>
      <c r="AF87" s="821">
        <v>43</v>
      </c>
      <c r="AG87" s="816">
        <f t="shared" si="67"/>
        <v>43</v>
      </c>
      <c r="AH87" s="819"/>
      <c r="AI87" s="821">
        <v>67</v>
      </c>
      <c r="AJ87" s="816">
        <f>SUM(AH87:AI87)</f>
        <v>67</v>
      </c>
      <c r="AK87" s="819"/>
      <c r="AL87" s="821">
        <v>83</v>
      </c>
      <c r="AM87" s="816">
        <f>SUM(AK87:AL87)</f>
        <v>83</v>
      </c>
      <c r="AN87" s="819"/>
      <c r="AO87" s="821">
        <v>72</v>
      </c>
      <c r="AP87" s="816">
        <f>SUM(AN87:AO87)</f>
        <v>72</v>
      </c>
    </row>
    <row r="88" spans="1:42" s="186" customFormat="1" ht="15" customHeight="1" x14ac:dyDescent="0.25">
      <c r="A88" s="5070"/>
      <c r="B88" s="5035"/>
      <c r="C88" s="813" t="s">
        <v>506</v>
      </c>
      <c r="D88" s="819"/>
      <c r="E88" s="820"/>
      <c r="F88" s="816"/>
      <c r="G88" s="856"/>
      <c r="H88" s="820"/>
      <c r="I88" s="816"/>
      <c r="J88" s="819"/>
      <c r="K88" s="821">
        <v>15</v>
      </c>
      <c r="L88" s="816">
        <f t="shared" si="59"/>
        <v>15</v>
      </c>
      <c r="M88" s="819"/>
      <c r="N88" s="857">
        <v>8</v>
      </c>
      <c r="O88" s="816">
        <f t="shared" si="60"/>
        <v>8</v>
      </c>
      <c r="P88" s="819"/>
      <c r="Q88" s="821">
        <v>29</v>
      </c>
      <c r="R88" s="816">
        <f t="shared" si="61"/>
        <v>29</v>
      </c>
      <c r="S88" s="819"/>
      <c r="T88" s="821">
        <v>34</v>
      </c>
      <c r="U88" s="816">
        <f t="shared" si="62"/>
        <v>34</v>
      </c>
      <c r="V88" s="819"/>
      <c r="W88" s="821">
        <v>32</v>
      </c>
      <c r="X88" s="816">
        <f t="shared" si="63"/>
        <v>32</v>
      </c>
      <c r="Y88" s="819"/>
      <c r="Z88" s="821">
        <v>31</v>
      </c>
      <c r="AA88" s="816">
        <f t="shared" si="48"/>
        <v>31</v>
      </c>
      <c r="AB88" s="819"/>
      <c r="AC88" s="821">
        <v>42</v>
      </c>
      <c r="AD88" s="816">
        <f t="shared" si="49"/>
        <v>42</v>
      </c>
      <c r="AE88" s="819"/>
      <c r="AF88" s="821">
        <v>39</v>
      </c>
      <c r="AG88" s="816">
        <f t="shared" si="67"/>
        <v>39</v>
      </c>
      <c r="AH88" s="819"/>
      <c r="AI88" s="821">
        <v>43</v>
      </c>
      <c r="AJ88" s="816">
        <f>SUM(AH88:AI88)</f>
        <v>43</v>
      </c>
      <c r="AK88" s="819"/>
      <c r="AL88" s="821">
        <v>50</v>
      </c>
      <c r="AM88" s="816">
        <f>SUM(AK88:AL88)</f>
        <v>50</v>
      </c>
      <c r="AN88" s="819"/>
      <c r="AO88" s="821">
        <v>52</v>
      </c>
      <c r="AP88" s="816">
        <f>SUM(AN88:AO88)</f>
        <v>52</v>
      </c>
    </row>
    <row r="89" spans="1:42" s="186" customFormat="1" ht="15" customHeight="1" x14ac:dyDescent="0.25">
      <c r="A89" s="5070"/>
      <c r="B89" s="5035"/>
      <c r="C89" s="813" t="s">
        <v>507</v>
      </c>
      <c r="D89" s="819"/>
      <c r="E89" s="820"/>
      <c r="F89" s="816"/>
      <c r="G89" s="856"/>
      <c r="H89" s="820"/>
      <c r="I89" s="816"/>
      <c r="J89" s="819"/>
      <c r="K89" s="821"/>
      <c r="L89" s="816">
        <f t="shared" si="59"/>
        <v>0</v>
      </c>
      <c r="M89" s="819"/>
      <c r="N89" s="857"/>
      <c r="O89" s="816">
        <f t="shared" si="60"/>
        <v>0</v>
      </c>
      <c r="P89" s="819"/>
      <c r="Q89" s="821"/>
      <c r="R89" s="816">
        <f t="shared" si="61"/>
        <v>0</v>
      </c>
      <c r="S89" s="819"/>
      <c r="T89" s="821">
        <v>25</v>
      </c>
      <c r="U89" s="816">
        <f t="shared" si="62"/>
        <v>25</v>
      </c>
      <c r="V89" s="819"/>
      <c r="W89" s="821">
        <v>30</v>
      </c>
      <c r="X89" s="816">
        <f t="shared" si="63"/>
        <v>30</v>
      </c>
      <c r="Y89" s="819"/>
      <c r="Z89" s="821">
        <v>35</v>
      </c>
      <c r="AA89" s="816">
        <f t="shared" si="48"/>
        <v>35</v>
      </c>
      <c r="AB89" s="819"/>
      <c r="AC89" s="821">
        <v>20</v>
      </c>
      <c r="AD89" s="816">
        <f t="shared" si="49"/>
        <v>20</v>
      </c>
      <c r="AE89" s="819"/>
      <c r="AF89" s="821">
        <v>19</v>
      </c>
      <c r="AG89" s="816">
        <f t="shared" si="67"/>
        <v>19</v>
      </c>
      <c r="AH89" s="819"/>
      <c r="AI89" s="821">
        <v>40</v>
      </c>
      <c r="AJ89" s="816">
        <f>SUM(AH89:AI89)</f>
        <v>40</v>
      </c>
      <c r="AK89" s="819"/>
      <c r="AL89" s="821">
        <v>68</v>
      </c>
      <c r="AM89" s="816">
        <f>SUM(AK89:AL89)</f>
        <v>68</v>
      </c>
      <c r="AN89" s="819"/>
      <c r="AO89" s="821">
        <v>65</v>
      </c>
      <c r="AP89" s="816">
        <f>SUM(AN89:AO89)</f>
        <v>65</v>
      </c>
    </row>
    <row r="90" spans="1:42" s="186" customFormat="1" ht="15" customHeight="1" x14ac:dyDescent="0.25">
      <c r="A90" s="5070"/>
      <c r="B90" s="5035"/>
      <c r="C90" s="822" t="s">
        <v>508</v>
      </c>
      <c r="D90" s="823"/>
      <c r="E90" s="859"/>
      <c r="F90" s="825"/>
      <c r="G90" s="860"/>
      <c r="H90" s="859"/>
      <c r="I90" s="825"/>
      <c r="J90" s="823"/>
      <c r="K90" s="824"/>
      <c r="L90" s="825">
        <f t="shared" si="59"/>
        <v>0</v>
      </c>
      <c r="M90" s="823"/>
      <c r="N90" s="824"/>
      <c r="O90" s="825">
        <f t="shared" si="60"/>
        <v>0</v>
      </c>
      <c r="P90" s="823"/>
      <c r="Q90" s="824"/>
      <c r="R90" s="825">
        <f t="shared" si="61"/>
        <v>0</v>
      </c>
      <c r="S90" s="823"/>
      <c r="T90" s="824"/>
      <c r="U90" s="825">
        <f t="shared" si="62"/>
        <v>0</v>
      </c>
      <c r="V90" s="823"/>
      <c r="W90" s="824"/>
      <c r="X90" s="825">
        <f t="shared" si="63"/>
        <v>0</v>
      </c>
      <c r="Y90" s="823"/>
      <c r="Z90" s="824">
        <v>37</v>
      </c>
      <c r="AA90" s="825">
        <f t="shared" si="48"/>
        <v>37</v>
      </c>
      <c r="AB90" s="826"/>
      <c r="AC90" s="824">
        <v>54</v>
      </c>
      <c r="AD90" s="825">
        <f t="shared" si="49"/>
        <v>54</v>
      </c>
      <c r="AE90" s="826"/>
      <c r="AF90" s="824">
        <v>74</v>
      </c>
      <c r="AG90" s="825">
        <f t="shared" si="67"/>
        <v>74</v>
      </c>
      <c r="AH90" s="826"/>
      <c r="AI90" s="824">
        <v>72</v>
      </c>
      <c r="AJ90" s="825">
        <f>SUM(AH90:AI90)</f>
        <v>72</v>
      </c>
      <c r="AK90" s="826"/>
      <c r="AL90" s="824">
        <v>92</v>
      </c>
      <c r="AM90" s="825">
        <f>SUM(AK90:AL90)</f>
        <v>92</v>
      </c>
      <c r="AN90" s="826"/>
      <c r="AO90" s="824">
        <v>94</v>
      </c>
      <c r="AP90" s="825">
        <f>SUM(AN90:AO90)</f>
        <v>94</v>
      </c>
    </row>
    <row r="91" spans="1:42" s="186" customFormat="1" ht="15" customHeight="1" x14ac:dyDescent="0.25">
      <c r="A91" s="5070"/>
      <c r="B91" s="5036"/>
      <c r="C91" s="875"/>
      <c r="D91" s="876"/>
      <c r="E91" s="877"/>
      <c r="F91" s="586"/>
      <c r="G91" s="876"/>
      <c r="H91" s="877"/>
      <c r="I91" s="586"/>
      <c r="J91" s="876">
        <f t="shared" ref="J91:AG91" si="71">SUM(J87:J90)</f>
        <v>0</v>
      </c>
      <c r="K91" s="877">
        <f t="shared" si="71"/>
        <v>77</v>
      </c>
      <c r="L91" s="586">
        <f t="shared" si="71"/>
        <v>77</v>
      </c>
      <c r="M91" s="876">
        <f t="shared" si="71"/>
        <v>0</v>
      </c>
      <c r="N91" s="877">
        <f t="shared" si="71"/>
        <v>34</v>
      </c>
      <c r="O91" s="586">
        <f t="shared" si="71"/>
        <v>34</v>
      </c>
      <c r="P91" s="876">
        <f t="shared" si="71"/>
        <v>0</v>
      </c>
      <c r="Q91" s="877">
        <f t="shared" si="71"/>
        <v>82</v>
      </c>
      <c r="R91" s="586">
        <f t="shared" si="71"/>
        <v>82</v>
      </c>
      <c r="S91" s="876">
        <f t="shared" si="71"/>
        <v>0</v>
      </c>
      <c r="T91" s="877">
        <f t="shared" si="71"/>
        <v>137</v>
      </c>
      <c r="U91" s="586">
        <f t="shared" si="71"/>
        <v>137</v>
      </c>
      <c r="V91" s="876">
        <f t="shared" si="71"/>
        <v>0</v>
      </c>
      <c r="W91" s="877">
        <f t="shared" si="71"/>
        <v>103</v>
      </c>
      <c r="X91" s="586">
        <f t="shared" si="71"/>
        <v>103</v>
      </c>
      <c r="Y91" s="876">
        <f t="shared" si="71"/>
        <v>0</v>
      </c>
      <c r="Z91" s="877">
        <f t="shared" si="71"/>
        <v>146</v>
      </c>
      <c r="AA91" s="586">
        <f t="shared" si="71"/>
        <v>146</v>
      </c>
      <c r="AB91" s="876">
        <f t="shared" si="71"/>
        <v>0</v>
      </c>
      <c r="AC91" s="877">
        <f t="shared" si="71"/>
        <v>166</v>
      </c>
      <c r="AD91" s="586">
        <f t="shared" si="71"/>
        <v>166</v>
      </c>
      <c r="AE91" s="876">
        <f t="shared" si="71"/>
        <v>0</v>
      </c>
      <c r="AF91" s="877">
        <f t="shared" si="71"/>
        <v>175</v>
      </c>
      <c r="AG91" s="586">
        <f t="shared" si="71"/>
        <v>175</v>
      </c>
      <c r="AH91" s="876">
        <f t="shared" ref="AH91:AM91" si="72">SUM(AH87:AH90)</f>
        <v>0</v>
      </c>
      <c r="AI91" s="1522">
        <f t="shared" si="72"/>
        <v>222</v>
      </c>
      <c r="AJ91" s="586">
        <f t="shared" si="72"/>
        <v>222</v>
      </c>
      <c r="AK91" s="2100">
        <f t="shared" si="72"/>
        <v>0</v>
      </c>
      <c r="AL91" s="2115">
        <f t="shared" si="72"/>
        <v>293</v>
      </c>
      <c r="AM91" s="586">
        <f t="shared" si="72"/>
        <v>293</v>
      </c>
      <c r="AN91" s="2100">
        <f t="shared" ref="AN91:AP91" si="73">SUM(AN87:AN90)</f>
        <v>0</v>
      </c>
      <c r="AO91" s="2115">
        <f t="shared" si="73"/>
        <v>283</v>
      </c>
      <c r="AP91" s="586">
        <f t="shared" si="73"/>
        <v>283</v>
      </c>
    </row>
    <row r="92" spans="1:42" s="186" customFormat="1" ht="15" customHeight="1" x14ac:dyDescent="0.25">
      <c r="A92" s="5101"/>
      <c r="B92" s="3984"/>
      <c r="C92" s="2436" t="s">
        <v>450</v>
      </c>
      <c r="D92" s="2437"/>
      <c r="E92" s="2438"/>
      <c r="F92" s="2439"/>
      <c r="G92" s="2437"/>
      <c r="H92" s="2438"/>
      <c r="I92" s="2439"/>
      <c r="J92" s="2437">
        <f t="shared" ref="J92:AG92" si="74">SUM(J91,J86,J82)</f>
        <v>0</v>
      </c>
      <c r="K92" s="2438">
        <f t="shared" si="74"/>
        <v>252</v>
      </c>
      <c r="L92" s="2439">
        <f t="shared" si="74"/>
        <v>252</v>
      </c>
      <c r="M92" s="2437">
        <f t="shared" si="74"/>
        <v>0</v>
      </c>
      <c r="N92" s="2438">
        <f t="shared" si="74"/>
        <v>123</v>
      </c>
      <c r="O92" s="2439">
        <f t="shared" si="74"/>
        <v>123</v>
      </c>
      <c r="P92" s="2437">
        <f t="shared" si="74"/>
        <v>0</v>
      </c>
      <c r="Q92" s="2438">
        <f t="shared" si="74"/>
        <v>382</v>
      </c>
      <c r="R92" s="2439">
        <f t="shared" si="74"/>
        <v>382</v>
      </c>
      <c r="S92" s="2437">
        <f t="shared" si="74"/>
        <v>0</v>
      </c>
      <c r="T92" s="2438">
        <f t="shared" si="74"/>
        <v>403</v>
      </c>
      <c r="U92" s="2439">
        <f t="shared" si="74"/>
        <v>403</v>
      </c>
      <c r="V92" s="2437">
        <f t="shared" si="74"/>
        <v>0</v>
      </c>
      <c r="W92" s="2438">
        <f t="shared" si="74"/>
        <v>315</v>
      </c>
      <c r="X92" s="2439">
        <f t="shared" si="74"/>
        <v>315</v>
      </c>
      <c r="Y92" s="2437">
        <f t="shared" si="74"/>
        <v>0</v>
      </c>
      <c r="Z92" s="2438">
        <f t="shared" si="74"/>
        <v>399</v>
      </c>
      <c r="AA92" s="2439">
        <f t="shared" si="74"/>
        <v>399</v>
      </c>
      <c r="AB92" s="2437">
        <f t="shared" si="74"/>
        <v>0</v>
      </c>
      <c r="AC92" s="2438">
        <f t="shared" si="74"/>
        <v>429</v>
      </c>
      <c r="AD92" s="2439">
        <f t="shared" si="74"/>
        <v>429</v>
      </c>
      <c r="AE92" s="2437">
        <f t="shared" si="74"/>
        <v>0</v>
      </c>
      <c r="AF92" s="2438">
        <f t="shared" si="74"/>
        <v>434</v>
      </c>
      <c r="AG92" s="2439">
        <f t="shared" si="74"/>
        <v>434</v>
      </c>
      <c r="AH92" s="2437">
        <f t="shared" ref="AH92:AM92" si="75">SUM(AH91,AH86,AH82)</f>
        <v>0</v>
      </c>
      <c r="AI92" s="2438">
        <f t="shared" si="75"/>
        <v>503</v>
      </c>
      <c r="AJ92" s="2439">
        <f t="shared" si="75"/>
        <v>503</v>
      </c>
      <c r="AK92" s="2437">
        <f t="shared" si="75"/>
        <v>105</v>
      </c>
      <c r="AL92" s="2438">
        <f t="shared" si="75"/>
        <v>604</v>
      </c>
      <c r="AM92" s="2439">
        <f t="shared" si="75"/>
        <v>709</v>
      </c>
      <c r="AN92" s="2437">
        <f t="shared" ref="AN92:AP92" si="76">SUM(AN91,AN86,AN82)</f>
        <v>104</v>
      </c>
      <c r="AO92" s="2438">
        <f t="shared" si="76"/>
        <v>688</v>
      </c>
      <c r="AP92" s="2439">
        <f t="shared" si="76"/>
        <v>792</v>
      </c>
    </row>
    <row r="93" spans="1:42" s="186" customFormat="1" ht="15" customHeight="1" x14ac:dyDescent="0.2">
      <c r="A93" s="5102" t="s">
        <v>437</v>
      </c>
      <c r="B93" s="1469" t="s">
        <v>5</v>
      </c>
      <c r="C93" s="1531" t="s">
        <v>509</v>
      </c>
      <c r="D93" s="841"/>
      <c r="E93" s="842"/>
      <c r="F93" s="844"/>
      <c r="G93" s="842"/>
      <c r="H93" s="842"/>
      <c r="I93" s="843"/>
      <c r="J93" s="841"/>
      <c r="K93" s="842"/>
      <c r="L93" s="844"/>
      <c r="M93" s="842"/>
      <c r="N93" s="842"/>
      <c r="O93" s="843"/>
      <c r="P93" s="841"/>
      <c r="Q93" s="842"/>
      <c r="R93" s="844"/>
      <c r="S93" s="842"/>
      <c r="T93" s="842"/>
      <c r="U93" s="843"/>
      <c r="V93" s="841"/>
      <c r="W93" s="842"/>
      <c r="X93" s="844"/>
      <c r="Y93" s="842"/>
      <c r="Z93" s="842"/>
      <c r="AA93" s="844"/>
      <c r="AB93" s="841">
        <v>37</v>
      </c>
      <c r="AC93" s="842">
        <v>40</v>
      </c>
      <c r="AD93" s="844">
        <f t="shared" si="49"/>
        <v>77</v>
      </c>
      <c r="AE93" s="841"/>
      <c r="AF93" s="842">
        <v>32</v>
      </c>
      <c r="AG93" s="844">
        <f t="shared" si="67"/>
        <v>32</v>
      </c>
      <c r="AH93" s="841">
        <v>35</v>
      </c>
      <c r="AI93" s="842">
        <v>38</v>
      </c>
      <c r="AJ93" s="844">
        <f>SUM(AH93:AI93)</f>
        <v>73</v>
      </c>
      <c r="AK93" s="841">
        <v>21</v>
      </c>
      <c r="AL93" s="842">
        <v>35</v>
      </c>
      <c r="AM93" s="844">
        <f>SUM(AK93:AL93)</f>
        <v>56</v>
      </c>
      <c r="AN93" s="841">
        <v>23</v>
      </c>
      <c r="AO93" s="842">
        <v>56</v>
      </c>
      <c r="AP93" s="844">
        <f>SUM(AN93:AO93)</f>
        <v>79</v>
      </c>
    </row>
    <row r="94" spans="1:42" s="186" customFormat="1" ht="15" customHeight="1" x14ac:dyDescent="0.2">
      <c r="A94" s="5103"/>
      <c r="B94" s="5055" t="s">
        <v>6</v>
      </c>
      <c r="C94" s="1529" t="s">
        <v>510</v>
      </c>
      <c r="D94" s="828"/>
      <c r="E94" s="829"/>
      <c r="F94" s="830"/>
      <c r="G94" s="829"/>
      <c r="H94" s="829"/>
      <c r="I94" s="1530"/>
      <c r="J94" s="828"/>
      <c r="K94" s="829"/>
      <c r="L94" s="830"/>
      <c r="M94" s="829"/>
      <c r="N94" s="829"/>
      <c r="O94" s="1530"/>
      <c r="P94" s="828"/>
      <c r="Q94" s="829"/>
      <c r="R94" s="830"/>
      <c r="S94" s="829"/>
      <c r="T94" s="829"/>
      <c r="U94" s="1530"/>
      <c r="V94" s="828"/>
      <c r="W94" s="829"/>
      <c r="X94" s="830"/>
      <c r="Y94" s="829"/>
      <c r="Z94" s="829"/>
      <c r="AA94" s="830"/>
      <c r="AB94" s="828">
        <v>38</v>
      </c>
      <c r="AC94" s="829">
        <v>43</v>
      </c>
      <c r="AD94" s="830">
        <f t="shared" si="49"/>
        <v>81</v>
      </c>
      <c r="AE94" s="828"/>
      <c r="AF94" s="829">
        <v>37</v>
      </c>
      <c r="AG94" s="830">
        <f t="shared" si="67"/>
        <v>37</v>
      </c>
      <c r="AH94" s="828">
        <v>27</v>
      </c>
      <c r="AI94" s="829">
        <v>39</v>
      </c>
      <c r="AJ94" s="830">
        <f>SUM(AH94:AI94)</f>
        <v>66</v>
      </c>
      <c r="AK94" s="828"/>
      <c r="AL94" s="829">
        <v>40</v>
      </c>
      <c r="AM94" s="830">
        <f>SUM(AK94:AL94)</f>
        <v>40</v>
      </c>
      <c r="AN94" s="828"/>
      <c r="AO94" s="829">
        <v>50</v>
      </c>
      <c r="AP94" s="830">
        <f>SUM(AN94:AO94)</f>
        <v>50</v>
      </c>
    </row>
    <row r="95" spans="1:42" s="186" customFormat="1" ht="15" customHeight="1" x14ac:dyDescent="0.2">
      <c r="A95" s="5103"/>
      <c r="B95" s="5056"/>
      <c r="C95" s="822" t="s">
        <v>625</v>
      </c>
      <c r="D95" s="823"/>
      <c r="E95" s="824"/>
      <c r="F95" s="825"/>
      <c r="G95" s="824"/>
      <c r="H95" s="824"/>
      <c r="I95" s="1528"/>
      <c r="J95" s="823"/>
      <c r="K95" s="824"/>
      <c r="L95" s="825"/>
      <c r="M95" s="824"/>
      <c r="N95" s="824"/>
      <c r="O95" s="1528"/>
      <c r="P95" s="823"/>
      <c r="Q95" s="824"/>
      <c r="R95" s="825"/>
      <c r="S95" s="824"/>
      <c r="T95" s="824"/>
      <c r="U95" s="1528"/>
      <c r="V95" s="823"/>
      <c r="W95" s="824"/>
      <c r="X95" s="825"/>
      <c r="Y95" s="824"/>
      <c r="Z95" s="824"/>
      <c r="AA95" s="825"/>
      <c r="AB95" s="824"/>
      <c r="AC95" s="824"/>
      <c r="AD95" s="825"/>
      <c r="AE95" s="824"/>
      <c r="AF95" s="824"/>
      <c r="AG95" s="825"/>
      <c r="AH95" s="824"/>
      <c r="AI95" s="824">
        <v>22</v>
      </c>
      <c r="AJ95" s="816">
        <f>SUM(AH95:AI95)</f>
        <v>22</v>
      </c>
      <c r="AK95" s="824"/>
      <c r="AL95" s="824">
        <v>25</v>
      </c>
      <c r="AM95" s="816">
        <f>SUM(AK95:AL95)</f>
        <v>25</v>
      </c>
      <c r="AN95" s="824"/>
      <c r="AO95" s="824">
        <v>26</v>
      </c>
      <c r="AP95" s="816">
        <f>SUM(AN95:AO95)</f>
        <v>26</v>
      </c>
    </row>
    <row r="96" spans="1:42" s="186" customFormat="1" ht="15" customHeight="1" x14ac:dyDescent="0.25">
      <c r="A96" s="5103"/>
      <c r="B96" s="5057"/>
      <c r="C96" s="875" t="s">
        <v>160</v>
      </c>
      <c r="D96" s="876"/>
      <c r="E96" s="877"/>
      <c r="F96" s="586"/>
      <c r="G96" s="876"/>
      <c r="H96" s="877"/>
      <c r="I96" s="586"/>
      <c r="J96" s="876"/>
      <c r="K96" s="877"/>
      <c r="L96" s="586"/>
      <c r="M96" s="876"/>
      <c r="N96" s="877"/>
      <c r="O96" s="586"/>
      <c r="P96" s="876"/>
      <c r="Q96" s="877"/>
      <c r="R96" s="586"/>
      <c r="S96" s="876"/>
      <c r="T96" s="877"/>
      <c r="U96" s="586"/>
      <c r="V96" s="876"/>
      <c r="W96" s="877"/>
      <c r="X96" s="586"/>
      <c r="Y96" s="876"/>
      <c r="Z96" s="877"/>
      <c r="AA96" s="586"/>
      <c r="AB96" s="876"/>
      <c r="AC96" s="877"/>
      <c r="AD96" s="586"/>
      <c r="AE96" s="876"/>
      <c r="AF96" s="877"/>
      <c r="AG96" s="586"/>
      <c r="AH96" s="2100">
        <f>SUM(AH94:AH95)</f>
        <v>27</v>
      </c>
      <c r="AI96" s="2334">
        <f>SUM(AI94:AI95)</f>
        <v>61</v>
      </c>
      <c r="AJ96" s="586">
        <f>SUM(AH96:AI96)</f>
        <v>88</v>
      </c>
      <c r="AK96" s="2100">
        <f>SUM(AK94:AK95)</f>
        <v>0</v>
      </c>
      <c r="AL96" s="2334">
        <f>SUM(AL94:AL95)</f>
        <v>65</v>
      </c>
      <c r="AM96" s="586">
        <f>SUM(AK96:AL96)</f>
        <v>65</v>
      </c>
      <c r="AN96" s="2100">
        <f>SUM(AN94:AN95)</f>
        <v>0</v>
      </c>
      <c r="AO96" s="2334">
        <f>SUM(AO94:AO95)</f>
        <v>76</v>
      </c>
      <c r="AP96" s="586">
        <f>SUM(AN96:AO96)</f>
        <v>76</v>
      </c>
    </row>
    <row r="97" spans="1:42" s="186" customFormat="1" ht="15" customHeight="1" x14ac:dyDescent="0.2">
      <c r="A97" s="5103"/>
      <c r="B97" s="1469" t="s">
        <v>11</v>
      </c>
      <c r="C97" s="882" t="s">
        <v>511</v>
      </c>
      <c r="D97" s="883"/>
      <c r="E97" s="884"/>
      <c r="F97" s="886"/>
      <c r="G97" s="884"/>
      <c r="H97" s="884"/>
      <c r="I97" s="885"/>
      <c r="J97" s="883"/>
      <c r="K97" s="884"/>
      <c r="L97" s="886"/>
      <c r="M97" s="884"/>
      <c r="N97" s="884"/>
      <c r="O97" s="885"/>
      <c r="P97" s="883"/>
      <c r="Q97" s="884"/>
      <c r="R97" s="886"/>
      <c r="S97" s="884"/>
      <c r="T97" s="884"/>
      <c r="U97" s="885"/>
      <c r="V97" s="883"/>
      <c r="W97" s="884"/>
      <c r="X97" s="886"/>
      <c r="Y97" s="884"/>
      <c r="Z97" s="884"/>
      <c r="AA97" s="886"/>
      <c r="AB97" s="884">
        <v>39</v>
      </c>
      <c r="AC97" s="884">
        <v>41</v>
      </c>
      <c r="AD97" s="886">
        <f t="shared" si="49"/>
        <v>80</v>
      </c>
      <c r="AE97" s="884"/>
      <c r="AF97" s="884">
        <v>38</v>
      </c>
      <c r="AG97" s="886">
        <f t="shared" si="67"/>
        <v>38</v>
      </c>
      <c r="AH97" s="884">
        <v>25</v>
      </c>
      <c r="AI97" s="884">
        <v>48</v>
      </c>
      <c r="AJ97" s="886">
        <f>SUM(AH97:AI97)</f>
        <v>73</v>
      </c>
      <c r="AK97" s="884">
        <v>35</v>
      </c>
      <c r="AL97" s="884">
        <v>31</v>
      </c>
      <c r="AM97" s="886">
        <f>SUM(AK97:AL97)</f>
        <v>66</v>
      </c>
      <c r="AN97" s="884">
        <v>38</v>
      </c>
      <c r="AO97" s="884">
        <v>47</v>
      </c>
      <c r="AP97" s="886">
        <f>SUM(AN97:AO97)</f>
        <v>85</v>
      </c>
    </row>
    <row r="98" spans="1:42" s="186" customFormat="1" ht="15" customHeight="1" x14ac:dyDescent="0.25">
      <c r="A98" s="5104"/>
      <c r="B98" s="3983"/>
      <c r="C98" s="2444" t="s">
        <v>450</v>
      </c>
      <c r="D98" s="2445"/>
      <c r="E98" s="2446"/>
      <c r="F98" s="2447"/>
      <c r="G98" s="2445"/>
      <c r="H98" s="2446"/>
      <c r="I98" s="2447"/>
      <c r="J98" s="2445"/>
      <c r="K98" s="2446"/>
      <c r="L98" s="2447"/>
      <c r="M98" s="2445"/>
      <c r="N98" s="2446"/>
      <c r="O98" s="2447"/>
      <c r="P98" s="2445"/>
      <c r="Q98" s="2446"/>
      <c r="R98" s="2447"/>
      <c r="S98" s="2445"/>
      <c r="T98" s="2446"/>
      <c r="U98" s="2447"/>
      <c r="V98" s="2445"/>
      <c r="W98" s="2446"/>
      <c r="X98" s="2447"/>
      <c r="Y98" s="2445"/>
      <c r="Z98" s="2446"/>
      <c r="AA98" s="2447"/>
      <c r="AB98" s="2445">
        <f t="shared" ref="AB98:AG98" si="77">SUM(AB93:AB97)</f>
        <v>114</v>
      </c>
      <c r="AC98" s="2446">
        <f t="shared" si="77"/>
        <v>124</v>
      </c>
      <c r="AD98" s="2447">
        <f t="shared" si="77"/>
        <v>238</v>
      </c>
      <c r="AE98" s="2445">
        <f t="shared" si="77"/>
        <v>0</v>
      </c>
      <c r="AF98" s="2446">
        <f t="shared" si="77"/>
        <v>107</v>
      </c>
      <c r="AG98" s="2447">
        <f t="shared" si="77"/>
        <v>107</v>
      </c>
      <c r="AH98" s="2445">
        <f t="shared" ref="AH98:AM98" si="78">SUM(AH93,AH96,AH97)</f>
        <v>87</v>
      </c>
      <c r="AI98" s="2446">
        <f t="shared" si="78"/>
        <v>147</v>
      </c>
      <c r="AJ98" s="2447">
        <f t="shared" si="78"/>
        <v>234</v>
      </c>
      <c r="AK98" s="2445">
        <f t="shared" si="78"/>
        <v>56</v>
      </c>
      <c r="AL98" s="2446">
        <f t="shared" si="78"/>
        <v>131</v>
      </c>
      <c r="AM98" s="2447">
        <f t="shared" si="78"/>
        <v>187</v>
      </c>
      <c r="AN98" s="2445">
        <f t="shared" ref="AN98:AP98" si="79">SUM(AN93,AN96,AN97)</f>
        <v>61</v>
      </c>
      <c r="AO98" s="2446">
        <f t="shared" si="79"/>
        <v>179</v>
      </c>
      <c r="AP98" s="2447">
        <f t="shared" si="79"/>
        <v>240</v>
      </c>
    </row>
    <row r="99" spans="1:42" s="186" customFormat="1" ht="15" customHeight="1" x14ac:dyDescent="0.2"/>
    <row r="100" spans="1:42" s="197" customFormat="1" ht="15" x14ac:dyDescent="0.25">
      <c r="A100" s="5025" t="s">
        <v>76</v>
      </c>
      <c r="B100" s="5026"/>
      <c r="C100" s="5027"/>
      <c r="D100" s="887">
        <f>SUM(D25,D55,D77,D92,D98)</f>
        <v>3869</v>
      </c>
      <c r="E100" s="888">
        <f t="shared" ref="E100:AG100" si="80">SUM(E25,E55,E77,E92,E98)</f>
        <v>6460</v>
      </c>
      <c r="F100" s="889">
        <f t="shared" si="80"/>
        <v>10329</v>
      </c>
      <c r="G100" s="887">
        <f t="shared" si="80"/>
        <v>4715</v>
      </c>
      <c r="H100" s="888">
        <f t="shared" si="80"/>
        <v>6748</v>
      </c>
      <c r="I100" s="889">
        <f t="shared" si="80"/>
        <v>11463</v>
      </c>
      <c r="J100" s="887">
        <f t="shared" si="80"/>
        <v>4693</v>
      </c>
      <c r="K100" s="888">
        <f t="shared" si="80"/>
        <v>7671</v>
      </c>
      <c r="L100" s="889">
        <f t="shared" si="80"/>
        <v>12364</v>
      </c>
      <c r="M100" s="887">
        <f t="shared" si="80"/>
        <v>4471</v>
      </c>
      <c r="N100" s="888">
        <f t="shared" si="80"/>
        <v>7556</v>
      </c>
      <c r="O100" s="889">
        <f t="shared" si="80"/>
        <v>12027</v>
      </c>
      <c r="P100" s="887">
        <f t="shared" si="80"/>
        <v>4497</v>
      </c>
      <c r="Q100" s="888">
        <f t="shared" si="80"/>
        <v>7741</v>
      </c>
      <c r="R100" s="889">
        <f t="shared" si="80"/>
        <v>12238</v>
      </c>
      <c r="S100" s="887">
        <f t="shared" si="80"/>
        <v>4517</v>
      </c>
      <c r="T100" s="888">
        <f t="shared" si="80"/>
        <v>7187</v>
      </c>
      <c r="U100" s="889">
        <f t="shared" si="80"/>
        <v>11704</v>
      </c>
      <c r="V100" s="887">
        <f t="shared" si="80"/>
        <v>4454</v>
      </c>
      <c r="W100" s="888">
        <f t="shared" si="80"/>
        <v>7396</v>
      </c>
      <c r="X100" s="889">
        <f t="shared" si="80"/>
        <v>11850</v>
      </c>
      <c r="Y100" s="887">
        <f t="shared" si="80"/>
        <v>4582</v>
      </c>
      <c r="Z100" s="888">
        <f t="shared" si="80"/>
        <v>8065</v>
      </c>
      <c r="AA100" s="889">
        <f t="shared" si="80"/>
        <v>12647</v>
      </c>
      <c r="AB100" s="887">
        <f t="shared" si="80"/>
        <v>5043</v>
      </c>
      <c r="AC100" s="888">
        <f t="shared" si="80"/>
        <v>7670</v>
      </c>
      <c r="AD100" s="889">
        <f t="shared" si="80"/>
        <v>12713</v>
      </c>
      <c r="AE100" s="887">
        <f>SUM(AE25,AE55,AE77,AE92,AE98)</f>
        <v>4467</v>
      </c>
      <c r="AF100" s="888">
        <f t="shared" si="80"/>
        <v>7760</v>
      </c>
      <c r="AG100" s="889">
        <f t="shared" si="80"/>
        <v>12227</v>
      </c>
      <c r="AH100" s="887">
        <f t="shared" ref="AH100:AM100" si="81">SUM(AH25,AH55,AH77,AH92,AH98)</f>
        <v>4498</v>
      </c>
      <c r="AI100" s="888">
        <f t="shared" si="81"/>
        <v>7912</v>
      </c>
      <c r="AJ100" s="889">
        <f t="shared" si="81"/>
        <v>12410</v>
      </c>
      <c r="AK100" s="887">
        <f>SUM(AK25,AK55,AK77,AK92,AK98)</f>
        <v>4288</v>
      </c>
      <c r="AL100" s="888">
        <f t="shared" si="81"/>
        <v>7623</v>
      </c>
      <c r="AM100" s="889">
        <f t="shared" si="81"/>
        <v>11911</v>
      </c>
      <c r="AN100" s="887">
        <f>SUM(AN25,AN55,AN77,AN92,AN98)</f>
        <v>4392</v>
      </c>
      <c r="AO100" s="888">
        <f t="shared" ref="AO100:AP100" si="82">SUM(AO25,AO55,AO77,AO92,AO98)</f>
        <v>7693</v>
      </c>
      <c r="AP100" s="889">
        <f t="shared" si="82"/>
        <v>12085</v>
      </c>
    </row>
    <row r="101" spans="1:42" s="198" customFormat="1" ht="15" x14ac:dyDescent="0.25">
      <c r="B101" s="372" t="s">
        <v>1316</v>
      </c>
      <c r="C101" s="581"/>
      <c r="D101" s="582"/>
      <c r="E101" s="582"/>
      <c r="F101" s="582"/>
      <c r="G101" s="582"/>
      <c r="H101" s="582"/>
      <c r="I101" s="582"/>
      <c r="X101" s="406"/>
    </row>
    <row r="102" spans="1:42" x14ac:dyDescent="0.2">
      <c r="B102" s="587" t="s">
        <v>350</v>
      </c>
      <c r="C102" s="587"/>
      <c r="D102" s="587"/>
      <c r="E102" s="587"/>
      <c r="F102" s="587"/>
      <c r="G102" s="587"/>
      <c r="H102" s="587"/>
      <c r="I102" s="587"/>
    </row>
    <row r="103" spans="1:42" ht="13.5" x14ac:dyDescent="0.2">
      <c r="B103" s="5099"/>
      <c r="C103" s="5099"/>
      <c r="D103" s="5099"/>
      <c r="E103" s="5099"/>
    </row>
  </sheetData>
  <mergeCells count="37">
    <mergeCell ref="AN3:AP3"/>
    <mergeCell ref="AK3:AM3"/>
    <mergeCell ref="B94:B96"/>
    <mergeCell ref="A3:A4"/>
    <mergeCell ref="B3:B4"/>
    <mergeCell ref="C3:C4"/>
    <mergeCell ref="D3:F3"/>
    <mergeCell ref="B36:B47"/>
    <mergeCell ref="B48:B54"/>
    <mergeCell ref="B5:B15"/>
    <mergeCell ref="B16:B20"/>
    <mergeCell ref="G3:I3"/>
    <mergeCell ref="Y3:AA3"/>
    <mergeCell ref="AB3:AD3"/>
    <mergeCell ref="AE3:AG3"/>
    <mergeCell ref="S3:U3"/>
    <mergeCell ref="V3:X3"/>
    <mergeCell ref="AH3:AJ3"/>
    <mergeCell ref="B21:B24"/>
    <mergeCell ref="A5:A25"/>
    <mergeCell ref="B26:B35"/>
    <mergeCell ref="B103:E103"/>
    <mergeCell ref="A100:C100"/>
    <mergeCell ref="A56:A77"/>
    <mergeCell ref="B56:B62"/>
    <mergeCell ref="B63:B71"/>
    <mergeCell ref="B72:B76"/>
    <mergeCell ref="A78:A92"/>
    <mergeCell ref="A93:A98"/>
    <mergeCell ref="B78:B82"/>
    <mergeCell ref="B83:B86"/>
    <mergeCell ref="B87:B91"/>
    <mergeCell ref="A1:C1"/>
    <mergeCell ref="A26:A55"/>
    <mergeCell ref="J3:L3"/>
    <mergeCell ref="M3:O3"/>
    <mergeCell ref="P3:R3"/>
  </mergeCells>
  <printOptions horizontalCentered="1" verticalCentered="1"/>
  <pageMargins left="0.43307086614173229" right="0.27559055118110237" top="0.31496062992125984" bottom="0.19685039370078741" header="0" footer="0.31496062992125984"/>
  <pageSetup scale="60" pageOrder="overThenDown" orientation="landscape" horizontalDpi="1200" verticalDpi="1200" r:id="rId1"/>
  <headerFooter alignWithMargins="0"/>
  <rowBreaks count="1" manualBreakCount="1">
    <brk id="55" max="16383" man="1"/>
  </rowBreaks>
  <colBreaks count="2" manualBreakCount="2">
    <brk id="21" max="1048575" man="1"/>
    <brk id="39" max="101" man="1"/>
  </colBreaks>
  <ignoredErrors>
    <ignoredError sqref="AD87:AD90 AA87:AA90 AA5:AA14 AA21:AA23 AA26:AA34 AA48:AA53 AA56:AA61 AA72:AA75 AA78:AA81 AD78:AD81 AH96:AI96 AN96 AO87:AP96 AO86" formulaRange="1"/>
    <ignoredError sqref="AD83:AD85 AA83:AA85 AA63:AA70 AA36:AA46 AA16:AA19 AK96:AL96 AP86" formula="1" formulaRange="1"/>
    <ignoredError sqref="AA82:AH82 AA86:AH86 AB83:AC85 AE83:AH85 AA62:AH62 AA71:AH71 AB63:AH70 AA35:AH35 AA47:AH47 AB36:AH46 AA15:AH15 AA20:AH20 AB16:AH19 AJ15 AJ20 AJ16:AJ19 AJ82 AJ86 AJ83:AJ85 AJ35 AJ47 AJ36:AJ46 AJ62 AJ71 AJ63:AJ70 AM15:AM20 AM35:AM47 AM62:AM71 AM82:AM86 AJ96 AM96 AP82 AP62:AP71 AP35:AP47 AP15:AP20 AN86 L82:R86" formula="1"/>
  </ignoredError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A1:J264"/>
  <sheetViews>
    <sheetView showGridLines="0" zoomScaleNormal="100" workbookViewId="0">
      <selection activeCell="J10" sqref="J10"/>
    </sheetView>
  </sheetViews>
  <sheetFormatPr baseColWidth="10" defaultColWidth="5.7109375" defaultRowHeight="9" x14ac:dyDescent="0.15"/>
  <cols>
    <col min="1" max="1" width="12.42578125" style="3035" bestFit="1" customWidth="1"/>
    <col min="2" max="2" width="8.140625" style="3035" bestFit="1" customWidth="1"/>
    <col min="3" max="3" width="35.42578125" style="3035" bestFit="1" customWidth="1"/>
    <col min="4" max="7" width="10.7109375" style="3035" customWidth="1"/>
    <col min="8" max="8" width="5.7109375" style="3035"/>
    <col min="9" max="9" width="10.7109375" style="3036" customWidth="1"/>
    <col min="10" max="10" width="9.42578125" style="3035" bestFit="1" customWidth="1"/>
    <col min="11" max="16384" width="5.7109375" style="3035"/>
  </cols>
  <sheetData>
    <row r="1" spans="1:10" ht="24" customHeight="1" x14ac:dyDescent="0.15">
      <c r="A1" s="4138" t="s">
        <v>1271</v>
      </c>
      <c r="I1" s="4139"/>
      <c r="J1" s="4140"/>
    </row>
    <row r="2" spans="1:10" ht="12" customHeight="1" x14ac:dyDescent="0.15">
      <c r="I2" s="4139"/>
      <c r="J2" s="4140"/>
    </row>
    <row r="3" spans="1:10" ht="15" x14ac:dyDescent="0.15">
      <c r="A3" s="5915" t="s">
        <v>51</v>
      </c>
      <c r="B3" s="5915" t="s">
        <v>702</v>
      </c>
      <c r="C3" s="5915" t="s">
        <v>840</v>
      </c>
      <c r="D3" s="5909">
        <v>2014</v>
      </c>
      <c r="E3" s="5910"/>
      <c r="F3" s="5841">
        <v>2015</v>
      </c>
      <c r="G3" s="5842"/>
    </row>
    <row r="4" spans="1:10" ht="12.75" customHeight="1" x14ac:dyDescent="0.15">
      <c r="A4" s="5916"/>
      <c r="B4" s="5916"/>
      <c r="C4" s="5916"/>
      <c r="D4" s="4605" t="s">
        <v>646</v>
      </c>
      <c r="E4" s="4606" t="s">
        <v>647</v>
      </c>
      <c r="F4" s="1389" t="s">
        <v>646</v>
      </c>
      <c r="G4" s="1390" t="s">
        <v>647</v>
      </c>
    </row>
    <row r="5" spans="1:10" ht="15" customHeight="1" x14ac:dyDescent="0.25">
      <c r="A5" s="5900" t="s">
        <v>161</v>
      </c>
      <c r="B5" s="5892" t="s">
        <v>5</v>
      </c>
      <c r="C5" s="4607" t="s">
        <v>452</v>
      </c>
      <c r="D5" s="4608">
        <v>38</v>
      </c>
      <c r="E5" s="4608">
        <v>38</v>
      </c>
      <c r="F5" s="4725">
        <v>15</v>
      </c>
      <c r="G5" s="4728">
        <v>53</v>
      </c>
    </row>
    <row r="6" spans="1:10" ht="15" customHeight="1" x14ac:dyDescent="0.25">
      <c r="A6" s="5901"/>
      <c r="B6" s="5892"/>
      <c r="C6" s="3037" t="s">
        <v>453</v>
      </c>
      <c r="D6" s="1267">
        <v>30</v>
      </c>
      <c r="E6" s="1267">
        <v>29</v>
      </c>
      <c r="F6" s="4726">
        <v>9</v>
      </c>
      <c r="G6" s="4729">
        <v>39</v>
      </c>
    </row>
    <row r="7" spans="1:10" ht="15" customHeight="1" x14ac:dyDescent="0.25">
      <c r="A7" s="5901"/>
      <c r="B7" s="5892"/>
      <c r="C7" s="3037" t="s">
        <v>512</v>
      </c>
      <c r="D7" s="1267">
        <v>4</v>
      </c>
      <c r="E7" s="1267">
        <v>4</v>
      </c>
      <c r="F7" s="4726">
        <v>1</v>
      </c>
      <c r="G7" s="4729">
        <v>5</v>
      </c>
    </row>
    <row r="8" spans="1:10" ht="15" customHeight="1" x14ac:dyDescent="0.25">
      <c r="A8" s="5901"/>
      <c r="B8" s="5892"/>
      <c r="C8" s="3037" t="s">
        <v>454</v>
      </c>
      <c r="D8" s="1267">
        <v>14</v>
      </c>
      <c r="E8" s="1267">
        <v>14</v>
      </c>
      <c r="F8" s="4726">
        <v>6</v>
      </c>
      <c r="G8" s="4729">
        <v>20</v>
      </c>
    </row>
    <row r="9" spans="1:10" ht="15" customHeight="1" x14ac:dyDescent="0.25">
      <c r="A9" s="5901"/>
      <c r="B9" s="5892"/>
      <c r="C9" s="3037" t="s">
        <v>460</v>
      </c>
      <c r="D9" s="1267">
        <v>29</v>
      </c>
      <c r="E9" s="1267">
        <v>29</v>
      </c>
      <c r="F9" s="4726">
        <v>11</v>
      </c>
      <c r="G9" s="4729">
        <v>40</v>
      </c>
    </row>
    <row r="10" spans="1:10" ht="15" customHeight="1" x14ac:dyDescent="0.25">
      <c r="A10" s="5901"/>
      <c r="B10" s="5892"/>
      <c r="C10" s="3037" t="s">
        <v>455</v>
      </c>
      <c r="D10" s="1267">
        <v>10</v>
      </c>
      <c r="E10" s="1267">
        <v>10</v>
      </c>
      <c r="F10" s="4726">
        <v>8</v>
      </c>
      <c r="G10" s="4729">
        <v>18</v>
      </c>
    </row>
    <row r="11" spans="1:10" ht="15" customHeight="1" x14ac:dyDescent="0.25">
      <c r="A11" s="5901"/>
      <c r="B11" s="5892"/>
      <c r="C11" s="3037" t="s">
        <v>456</v>
      </c>
      <c r="D11" s="1267">
        <v>24</v>
      </c>
      <c r="E11" s="1267">
        <v>24</v>
      </c>
      <c r="F11" s="4726">
        <v>11</v>
      </c>
      <c r="G11" s="4729">
        <v>35</v>
      </c>
    </row>
    <row r="12" spans="1:10" ht="15" customHeight="1" x14ac:dyDescent="0.25">
      <c r="A12" s="5901"/>
      <c r="B12" s="5892"/>
      <c r="C12" s="3037" t="s">
        <v>457</v>
      </c>
      <c r="D12" s="1267">
        <v>14</v>
      </c>
      <c r="E12" s="1267">
        <v>14</v>
      </c>
      <c r="F12" s="4726">
        <v>7</v>
      </c>
      <c r="G12" s="4729">
        <v>21</v>
      </c>
    </row>
    <row r="13" spans="1:10" ht="15" customHeight="1" x14ac:dyDescent="0.25">
      <c r="A13" s="5901"/>
      <c r="B13" s="5892"/>
      <c r="C13" s="3037" t="s">
        <v>458</v>
      </c>
      <c r="D13" s="1267">
        <v>3</v>
      </c>
      <c r="E13" s="1267">
        <v>3</v>
      </c>
      <c r="F13" s="4726">
        <v>5</v>
      </c>
      <c r="G13" s="4729">
        <v>8</v>
      </c>
    </row>
    <row r="14" spans="1:10" ht="15" customHeight="1" x14ac:dyDescent="0.25">
      <c r="A14" s="5901"/>
      <c r="B14" s="5892"/>
      <c r="C14" s="3037" t="s">
        <v>459</v>
      </c>
      <c r="D14" s="1267">
        <v>20</v>
      </c>
      <c r="E14" s="1267">
        <v>18</v>
      </c>
      <c r="F14" s="4727">
        <v>10</v>
      </c>
      <c r="G14" s="4729">
        <v>30</v>
      </c>
    </row>
    <row r="15" spans="1:10" ht="15" customHeight="1" x14ac:dyDescent="0.15">
      <c r="A15" s="5901"/>
      <c r="B15" s="5892"/>
      <c r="C15" s="3038" t="s">
        <v>160</v>
      </c>
      <c r="D15" s="3039">
        <f>SUM(D5:D14)</f>
        <v>186</v>
      </c>
      <c r="E15" s="3039">
        <f>SUM(E5:E14)</f>
        <v>183</v>
      </c>
      <c r="F15" s="3039">
        <f>SUM(F5:F14)</f>
        <v>83</v>
      </c>
      <c r="G15" s="3039">
        <f>SUM(G5:G14)</f>
        <v>269</v>
      </c>
    </row>
    <row r="16" spans="1:10" ht="15" customHeight="1" x14ac:dyDescent="0.15">
      <c r="A16" s="5901"/>
      <c r="B16" s="5892" t="s">
        <v>6</v>
      </c>
      <c r="C16" s="3037" t="s">
        <v>462</v>
      </c>
      <c r="D16" s="1267">
        <v>106</v>
      </c>
      <c r="E16" s="1267">
        <v>104</v>
      </c>
      <c r="F16" s="1267">
        <v>62</v>
      </c>
      <c r="G16" s="1267">
        <v>166</v>
      </c>
    </row>
    <row r="17" spans="1:7" ht="15" customHeight="1" x14ac:dyDescent="0.15">
      <c r="A17" s="5901"/>
      <c r="B17" s="5892"/>
      <c r="C17" s="3037" t="s">
        <v>463</v>
      </c>
      <c r="D17" s="1267">
        <v>182</v>
      </c>
      <c r="E17" s="1267">
        <v>182</v>
      </c>
      <c r="F17" s="1267">
        <v>135</v>
      </c>
      <c r="G17" s="1267">
        <v>317</v>
      </c>
    </row>
    <row r="18" spans="1:7" ht="15" customHeight="1" x14ac:dyDescent="0.15">
      <c r="A18" s="5901"/>
      <c r="B18" s="5892"/>
      <c r="C18" s="3037" t="s">
        <v>464</v>
      </c>
      <c r="D18" s="1267">
        <v>37</v>
      </c>
      <c r="E18" s="1267">
        <v>37</v>
      </c>
      <c r="F18" s="1267">
        <v>18</v>
      </c>
      <c r="G18" s="1267">
        <v>55</v>
      </c>
    </row>
    <row r="19" spans="1:7" ht="15" customHeight="1" x14ac:dyDescent="0.15">
      <c r="A19" s="5901"/>
      <c r="B19" s="5892"/>
      <c r="C19" s="3037" t="s">
        <v>465</v>
      </c>
      <c r="D19" s="1267">
        <v>50</v>
      </c>
      <c r="E19" s="1267">
        <v>50</v>
      </c>
      <c r="F19" s="1267">
        <v>45</v>
      </c>
      <c r="G19" s="1267">
        <v>95</v>
      </c>
    </row>
    <row r="20" spans="1:7" ht="15" customHeight="1" x14ac:dyDescent="0.15">
      <c r="A20" s="5901"/>
      <c r="B20" s="5892"/>
      <c r="C20" s="3038" t="s">
        <v>160</v>
      </c>
      <c r="D20" s="3039">
        <f>SUM(D16:D19)</f>
        <v>375</v>
      </c>
      <c r="E20" s="3039">
        <f>SUM(E16:E19)</f>
        <v>373</v>
      </c>
      <c r="F20" s="3039">
        <f>SUM(F16:F19)</f>
        <v>260</v>
      </c>
      <c r="G20" s="3039">
        <f>SUM(G16:G19)</f>
        <v>633</v>
      </c>
    </row>
    <row r="21" spans="1:7" ht="15" customHeight="1" x14ac:dyDescent="0.15">
      <c r="A21" s="5901"/>
      <c r="B21" s="5892" t="s">
        <v>7</v>
      </c>
      <c r="C21" s="3037" t="s">
        <v>466</v>
      </c>
      <c r="D21" s="1267">
        <v>51</v>
      </c>
      <c r="E21" s="1267">
        <v>48</v>
      </c>
      <c r="F21" s="1267">
        <v>25</v>
      </c>
      <c r="G21" s="1267">
        <v>76</v>
      </c>
    </row>
    <row r="22" spans="1:7" ht="15" customHeight="1" x14ac:dyDescent="0.15">
      <c r="A22" s="5901"/>
      <c r="B22" s="5892"/>
      <c r="C22" s="3037" t="s">
        <v>583</v>
      </c>
      <c r="D22" s="1267">
        <v>96</v>
      </c>
      <c r="E22" s="1267">
        <v>92</v>
      </c>
      <c r="F22" s="1267">
        <v>47</v>
      </c>
      <c r="G22" s="1267">
        <v>143</v>
      </c>
    </row>
    <row r="23" spans="1:7" ht="15" customHeight="1" x14ac:dyDescent="0.15">
      <c r="A23" s="5901"/>
      <c r="B23" s="5892"/>
      <c r="C23" s="3037" t="s">
        <v>468</v>
      </c>
      <c r="D23" s="1267">
        <v>32</v>
      </c>
      <c r="E23" s="1267">
        <v>31</v>
      </c>
      <c r="F23" s="1267">
        <v>29</v>
      </c>
      <c r="G23" s="1267">
        <v>61</v>
      </c>
    </row>
    <row r="24" spans="1:7" ht="15" customHeight="1" x14ac:dyDescent="0.15">
      <c r="A24" s="5901"/>
      <c r="B24" s="5892"/>
      <c r="C24" s="3040" t="s">
        <v>160</v>
      </c>
      <c r="D24" s="3041">
        <f>SUM(D21:D23)</f>
        <v>179</v>
      </c>
      <c r="E24" s="3041">
        <f>SUM(E21:E23)</f>
        <v>171</v>
      </c>
      <c r="F24" s="3041">
        <f>SUM(F21:F23)</f>
        <v>101</v>
      </c>
      <c r="G24" s="3041">
        <f>SUM(G21:G23)</f>
        <v>280</v>
      </c>
    </row>
    <row r="25" spans="1:7" ht="15" customHeight="1" x14ac:dyDescent="0.15">
      <c r="A25" s="5902"/>
      <c r="B25" s="5911" t="s">
        <v>450</v>
      </c>
      <c r="C25" s="5912"/>
      <c r="D25" s="4609">
        <f>SUM(D24,D20,D15)</f>
        <v>740</v>
      </c>
      <c r="E25" s="4609">
        <f>SUM(E24,E20,E15)</f>
        <v>727</v>
      </c>
      <c r="F25" s="3044">
        <f>SUM(F24,F20,F15)</f>
        <v>444</v>
      </c>
      <c r="G25" s="4609">
        <f>SUM(G24,G20,G15)</f>
        <v>1182</v>
      </c>
    </row>
    <row r="26" spans="1:7" ht="15" customHeight="1" x14ac:dyDescent="0.15">
      <c r="A26" s="5889" t="s">
        <v>162</v>
      </c>
      <c r="B26" s="5888" t="s">
        <v>5</v>
      </c>
      <c r="C26" s="1354" t="s">
        <v>475</v>
      </c>
      <c r="D26" s="3045">
        <v>6</v>
      </c>
      <c r="E26" s="3045">
        <v>6</v>
      </c>
      <c r="F26" s="3045">
        <v>2</v>
      </c>
      <c r="G26" s="3045">
        <v>8</v>
      </c>
    </row>
    <row r="27" spans="1:7" ht="15" customHeight="1" x14ac:dyDescent="0.15">
      <c r="A27" s="5890"/>
      <c r="B27" s="5540"/>
      <c r="C27" s="3037" t="s">
        <v>472</v>
      </c>
      <c r="D27" s="1267">
        <v>5</v>
      </c>
      <c r="E27" s="1267">
        <v>5</v>
      </c>
      <c r="F27" s="1267">
        <v>7</v>
      </c>
      <c r="G27" s="1267">
        <v>12</v>
      </c>
    </row>
    <row r="28" spans="1:7" ht="15" customHeight="1" x14ac:dyDescent="0.15">
      <c r="A28" s="5890"/>
      <c r="B28" s="5540"/>
      <c r="C28" s="3037" t="s">
        <v>469</v>
      </c>
      <c r="D28" s="1267">
        <v>2</v>
      </c>
      <c r="E28" s="1267">
        <v>2</v>
      </c>
      <c r="F28" s="1267">
        <v>3</v>
      </c>
      <c r="G28" s="1267">
        <v>5</v>
      </c>
    </row>
    <row r="29" spans="1:7" ht="15" customHeight="1" x14ac:dyDescent="0.15">
      <c r="A29" s="5890"/>
      <c r="B29" s="5540"/>
      <c r="C29" s="3037" t="s">
        <v>460</v>
      </c>
      <c r="D29" s="1267">
        <v>11</v>
      </c>
      <c r="E29" s="1267">
        <v>11</v>
      </c>
      <c r="F29" s="1267">
        <v>2</v>
      </c>
      <c r="G29" s="1267">
        <v>13</v>
      </c>
    </row>
    <row r="30" spans="1:7" ht="15" customHeight="1" x14ac:dyDescent="0.15">
      <c r="A30" s="5890"/>
      <c r="B30" s="5540"/>
      <c r="C30" s="3037" t="s">
        <v>471</v>
      </c>
      <c r="D30" s="1267">
        <v>11</v>
      </c>
      <c r="E30" s="1267">
        <v>11</v>
      </c>
      <c r="F30" s="1267">
        <v>6</v>
      </c>
      <c r="G30" s="1267">
        <v>17</v>
      </c>
    </row>
    <row r="31" spans="1:7" ht="15" customHeight="1" x14ac:dyDescent="0.15">
      <c r="A31" s="5890"/>
      <c r="B31" s="5540"/>
      <c r="C31" s="3037" t="s">
        <v>470</v>
      </c>
      <c r="D31" s="1267">
        <v>1</v>
      </c>
      <c r="E31" s="1267">
        <v>1</v>
      </c>
      <c r="F31" s="1267">
        <v>2</v>
      </c>
      <c r="G31" s="1267">
        <v>3</v>
      </c>
    </row>
    <row r="32" spans="1:7" ht="15" customHeight="1" x14ac:dyDescent="0.15">
      <c r="A32" s="5890"/>
      <c r="B32" s="5540"/>
      <c r="C32" s="3037" t="s">
        <v>459</v>
      </c>
      <c r="D32" s="1267">
        <v>10</v>
      </c>
      <c r="E32" s="1267">
        <v>10</v>
      </c>
      <c r="F32" s="1267">
        <v>3</v>
      </c>
      <c r="G32" s="1267">
        <v>13</v>
      </c>
    </row>
    <row r="33" spans="1:7" ht="15" customHeight="1" x14ac:dyDescent="0.15">
      <c r="A33" s="5890"/>
      <c r="B33" s="5540"/>
      <c r="C33" s="3037" t="s">
        <v>473</v>
      </c>
      <c r="D33" s="1267">
        <v>3</v>
      </c>
      <c r="E33" s="1267">
        <v>3</v>
      </c>
      <c r="F33" s="1267">
        <v>1</v>
      </c>
      <c r="G33" s="1267">
        <v>4</v>
      </c>
    </row>
    <row r="34" spans="1:7" ht="15" customHeight="1" x14ac:dyDescent="0.15">
      <c r="A34" s="5890"/>
      <c r="B34" s="5540"/>
      <c r="C34" s="3037" t="s">
        <v>474</v>
      </c>
      <c r="D34" s="1267">
        <v>3</v>
      </c>
      <c r="E34" s="1267">
        <v>3</v>
      </c>
      <c r="F34" s="1267">
        <v>3</v>
      </c>
      <c r="G34" s="1267">
        <v>6</v>
      </c>
    </row>
    <row r="35" spans="1:7" ht="15" customHeight="1" x14ac:dyDescent="0.15">
      <c r="A35" s="5890"/>
      <c r="B35" s="5541"/>
      <c r="C35" s="3038" t="s">
        <v>160</v>
      </c>
      <c r="D35" s="3039">
        <f>SUM(D26:D34)</f>
        <v>52</v>
      </c>
      <c r="E35" s="3039">
        <f>SUM(E26:E34)</f>
        <v>52</v>
      </c>
      <c r="F35" s="3039">
        <f>SUM(F26:F34)</f>
        <v>29</v>
      </c>
      <c r="G35" s="3039">
        <f>SUM(G26:G34)</f>
        <v>81</v>
      </c>
    </row>
    <row r="36" spans="1:7" ht="15" customHeight="1" x14ac:dyDescent="0.15">
      <c r="A36" s="5890"/>
      <c r="B36" s="5892" t="s">
        <v>6</v>
      </c>
      <c r="C36" s="3037" t="s">
        <v>462</v>
      </c>
      <c r="D36" s="1267">
        <v>100</v>
      </c>
      <c r="E36" s="1267">
        <v>99</v>
      </c>
      <c r="F36" s="1267">
        <v>78</v>
      </c>
      <c r="G36" s="1267">
        <v>178</v>
      </c>
    </row>
    <row r="37" spans="1:7" ht="15" customHeight="1" x14ac:dyDescent="0.15">
      <c r="A37" s="5890"/>
      <c r="B37" s="5892"/>
      <c r="C37" s="3037" t="s">
        <v>476</v>
      </c>
      <c r="D37" s="1267">
        <v>13</v>
      </c>
      <c r="E37" s="1267">
        <v>13</v>
      </c>
      <c r="F37" s="1267">
        <v>15</v>
      </c>
      <c r="G37" s="1267">
        <v>28</v>
      </c>
    </row>
    <row r="38" spans="1:7" ht="15" customHeight="1" x14ac:dyDescent="0.15">
      <c r="A38" s="5890"/>
      <c r="B38" s="5892"/>
      <c r="C38" s="3037" t="s">
        <v>481</v>
      </c>
      <c r="D38" s="1267">
        <v>38</v>
      </c>
      <c r="E38" s="1267">
        <v>37</v>
      </c>
      <c r="F38" s="1267">
        <v>34</v>
      </c>
      <c r="G38" s="1267">
        <v>72</v>
      </c>
    </row>
    <row r="39" spans="1:7" ht="15" customHeight="1" x14ac:dyDescent="0.15">
      <c r="A39" s="5890"/>
      <c r="B39" s="5892"/>
      <c r="C39" s="3037" t="s">
        <v>464</v>
      </c>
      <c r="D39" s="1267">
        <v>21</v>
      </c>
      <c r="E39" s="1267">
        <v>21</v>
      </c>
      <c r="F39" s="1267">
        <v>9</v>
      </c>
      <c r="G39" s="1267">
        <v>30</v>
      </c>
    </row>
    <row r="40" spans="1:7" ht="15" customHeight="1" x14ac:dyDescent="0.15">
      <c r="A40" s="5890"/>
      <c r="B40" s="5892"/>
      <c r="C40" s="3037" t="s">
        <v>478</v>
      </c>
      <c r="D40" s="1267">
        <v>18</v>
      </c>
      <c r="E40" s="1267">
        <v>18</v>
      </c>
      <c r="F40" s="1267">
        <v>8</v>
      </c>
      <c r="G40" s="1267">
        <v>26</v>
      </c>
    </row>
    <row r="41" spans="1:7" ht="15" customHeight="1" x14ac:dyDescent="0.15">
      <c r="A41" s="5890"/>
      <c r="B41" s="5892"/>
      <c r="C41" s="3037" t="s">
        <v>483</v>
      </c>
      <c r="D41" s="1267">
        <v>6</v>
      </c>
      <c r="E41" s="1267">
        <v>6</v>
      </c>
      <c r="F41" s="1267">
        <v>4</v>
      </c>
      <c r="G41" s="1267">
        <v>10</v>
      </c>
    </row>
    <row r="42" spans="1:7" ht="15" customHeight="1" x14ac:dyDescent="0.15">
      <c r="A42" s="5890"/>
      <c r="B42" s="5892"/>
      <c r="C42" s="3037" t="s">
        <v>479</v>
      </c>
      <c r="D42" s="1267">
        <v>22</v>
      </c>
      <c r="E42" s="1267">
        <v>22</v>
      </c>
      <c r="F42" s="1267">
        <v>11</v>
      </c>
      <c r="G42" s="1267">
        <v>33</v>
      </c>
    </row>
    <row r="43" spans="1:7" ht="15" customHeight="1" x14ac:dyDescent="0.15">
      <c r="A43" s="5890"/>
      <c r="B43" s="5892"/>
      <c r="C43" s="3037" t="s">
        <v>477</v>
      </c>
      <c r="D43" s="1267">
        <v>12</v>
      </c>
      <c r="E43" s="1267">
        <v>12</v>
      </c>
      <c r="F43" s="1267">
        <v>4</v>
      </c>
      <c r="G43" s="1267">
        <v>16</v>
      </c>
    </row>
    <row r="44" spans="1:7" ht="15" customHeight="1" x14ac:dyDescent="0.15">
      <c r="A44" s="5890"/>
      <c r="B44" s="5892"/>
      <c r="C44" s="3037" t="s">
        <v>480</v>
      </c>
      <c r="D44" s="1267">
        <v>7</v>
      </c>
      <c r="E44" s="1267">
        <v>7</v>
      </c>
      <c r="F44" s="1267">
        <v>8</v>
      </c>
      <c r="G44" s="1267">
        <v>15</v>
      </c>
    </row>
    <row r="45" spans="1:7" ht="15" customHeight="1" x14ac:dyDescent="0.15">
      <c r="A45" s="5890"/>
      <c r="B45" s="5892"/>
      <c r="C45" s="3037" t="s">
        <v>482</v>
      </c>
      <c r="D45" s="1267">
        <v>39</v>
      </c>
      <c r="E45" s="1267">
        <v>39</v>
      </c>
      <c r="F45" s="1267">
        <v>32</v>
      </c>
      <c r="G45" s="1267">
        <v>71</v>
      </c>
    </row>
    <row r="46" spans="1:7" ht="15" customHeight="1" x14ac:dyDescent="0.15">
      <c r="A46" s="5890"/>
      <c r="B46" s="5892"/>
      <c r="C46" s="3037" t="s">
        <v>465</v>
      </c>
      <c r="D46" s="1267">
        <v>32</v>
      </c>
      <c r="E46" s="1267">
        <v>32</v>
      </c>
      <c r="F46" s="1267">
        <v>14</v>
      </c>
      <c r="G46" s="1267">
        <v>46</v>
      </c>
    </row>
    <row r="47" spans="1:7" ht="15" customHeight="1" x14ac:dyDescent="0.15">
      <c r="A47" s="5890"/>
      <c r="B47" s="5892"/>
      <c r="C47" s="3038" t="s">
        <v>160</v>
      </c>
      <c r="D47" s="3039">
        <f>SUM(D36:D46)</f>
        <v>308</v>
      </c>
      <c r="E47" s="3039">
        <f>SUM(E36:E46)</f>
        <v>306</v>
      </c>
      <c r="F47" s="3039">
        <f>SUM(F36:F46)</f>
        <v>217</v>
      </c>
      <c r="G47" s="3039">
        <f>SUM(G36:G46)</f>
        <v>525</v>
      </c>
    </row>
    <row r="48" spans="1:7" ht="15" customHeight="1" x14ac:dyDescent="0.15">
      <c r="A48" s="5890"/>
      <c r="B48" s="5892" t="s">
        <v>11</v>
      </c>
      <c r="C48" s="3037" t="s">
        <v>484</v>
      </c>
      <c r="D48" s="1267">
        <v>39</v>
      </c>
      <c r="E48" s="1267">
        <v>39</v>
      </c>
      <c r="F48" s="1267">
        <v>10</v>
      </c>
      <c r="G48" s="1267">
        <v>49</v>
      </c>
    </row>
    <row r="49" spans="1:7" ht="15" customHeight="1" x14ac:dyDescent="0.15">
      <c r="A49" s="5890"/>
      <c r="B49" s="5892"/>
      <c r="C49" s="3037" t="s">
        <v>485</v>
      </c>
      <c r="D49" s="1267">
        <v>18</v>
      </c>
      <c r="E49" s="1267">
        <v>18</v>
      </c>
      <c r="F49" s="1267">
        <v>18</v>
      </c>
      <c r="G49" s="1267">
        <v>36</v>
      </c>
    </row>
    <row r="50" spans="1:7" ht="15" customHeight="1" x14ac:dyDescent="0.15">
      <c r="A50" s="5890"/>
      <c r="B50" s="5892"/>
      <c r="C50" s="3037" t="s">
        <v>486</v>
      </c>
      <c r="D50" s="1267">
        <v>1</v>
      </c>
      <c r="E50" s="1267">
        <v>1</v>
      </c>
      <c r="F50" s="1267">
        <v>6</v>
      </c>
      <c r="G50" s="1267">
        <v>7</v>
      </c>
    </row>
    <row r="51" spans="1:7" ht="15" customHeight="1" x14ac:dyDescent="0.15">
      <c r="A51" s="5890"/>
      <c r="B51" s="5892"/>
      <c r="C51" s="3037" t="s">
        <v>488</v>
      </c>
      <c r="D51" s="1267">
        <v>36</v>
      </c>
      <c r="E51" s="1267">
        <v>35</v>
      </c>
      <c r="F51" s="1267">
        <v>10</v>
      </c>
      <c r="G51" s="1267">
        <v>46</v>
      </c>
    </row>
    <row r="52" spans="1:7" ht="15" customHeight="1" x14ac:dyDescent="0.15">
      <c r="A52" s="5890"/>
      <c r="B52" s="5892"/>
      <c r="C52" s="3037" t="s">
        <v>489</v>
      </c>
      <c r="D52" s="1267">
        <v>19</v>
      </c>
      <c r="E52" s="1267">
        <v>19</v>
      </c>
      <c r="F52" s="1267">
        <v>4</v>
      </c>
      <c r="G52" s="1267">
        <v>23</v>
      </c>
    </row>
    <row r="53" spans="1:7" ht="15" customHeight="1" x14ac:dyDescent="0.15">
      <c r="A53" s="5890"/>
      <c r="B53" s="5892"/>
      <c r="C53" s="3037" t="s">
        <v>487</v>
      </c>
      <c r="D53" s="1267">
        <v>3</v>
      </c>
      <c r="E53" s="1267">
        <v>3</v>
      </c>
      <c r="F53" s="1267">
        <v>9</v>
      </c>
      <c r="G53" s="1267">
        <v>12</v>
      </c>
    </row>
    <row r="54" spans="1:7" ht="15" customHeight="1" x14ac:dyDescent="0.15">
      <c r="A54" s="5890"/>
      <c r="B54" s="5888"/>
      <c r="C54" s="3040" t="s">
        <v>160</v>
      </c>
      <c r="D54" s="3041">
        <f>SUM(D48:D53)</f>
        <v>116</v>
      </c>
      <c r="E54" s="3041">
        <f>SUM(E48:E53)</f>
        <v>115</v>
      </c>
      <c r="F54" s="3041">
        <f>SUM(F48:F53)</f>
        <v>57</v>
      </c>
      <c r="G54" s="3041">
        <f>SUM(G48:G53)</f>
        <v>173</v>
      </c>
    </row>
    <row r="55" spans="1:7" ht="15" customHeight="1" x14ac:dyDescent="0.15">
      <c r="A55" s="5891"/>
      <c r="B55" s="5913" t="s">
        <v>450</v>
      </c>
      <c r="C55" s="5914"/>
      <c r="D55" s="4610">
        <f>SUM(D54,D47,D35)</f>
        <v>476</v>
      </c>
      <c r="E55" s="4610">
        <f>SUM(E54,E47,E35)</f>
        <v>473</v>
      </c>
      <c r="F55" s="4610">
        <f t="shared" ref="F55:G55" si="0">SUM(F54,F47,F35)</f>
        <v>303</v>
      </c>
      <c r="G55" s="4610">
        <f t="shared" si="0"/>
        <v>779</v>
      </c>
    </row>
    <row r="56" spans="1:7" ht="15" customHeight="1" x14ac:dyDescent="0.15">
      <c r="A56" s="5903" t="s">
        <v>163</v>
      </c>
      <c r="B56" s="5892" t="s">
        <v>6</v>
      </c>
      <c r="C56" s="1354" t="s">
        <v>462</v>
      </c>
      <c r="D56" s="3045">
        <v>40</v>
      </c>
      <c r="E56" s="3045">
        <v>40</v>
      </c>
      <c r="F56" s="3045">
        <v>24</v>
      </c>
      <c r="G56" s="3045">
        <v>64</v>
      </c>
    </row>
    <row r="57" spans="1:7" ht="15" customHeight="1" x14ac:dyDescent="0.15">
      <c r="A57" s="5904"/>
      <c r="B57" s="5892"/>
      <c r="C57" s="3037" t="s">
        <v>490</v>
      </c>
      <c r="D57" s="1267">
        <v>101</v>
      </c>
      <c r="E57" s="1267">
        <v>100</v>
      </c>
      <c r="F57" s="1267">
        <v>68</v>
      </c>
      <c r="G57" s="1267">
        <v>169</v>
      </c>
    </row>
    <row r="58" spans="1:7" ht="15" customHeight="1" x14ac:dyDescent="0.15">
      <c r="A58" s="5904"/>
      <c r="B58" s="5892"/>
      <c r="C58" s="3037" t="s">
        <v>464</v>
      </c>
      <c r="D58" s="1267">
        <v>17</v>
      </c>
      <c r="E58" s="1267">
        <v>17</v>
      </c>
      <c r="F58" s="1267">
        <v>14</v>
      </c>
      <c r="G58" s="1267">
        <v>31</v>
      </c>
    </row>
    <row r="59" spans="1:7" ht="15" customHeight="1" x14ac:dyDescent="0.15">
      <c r="A59" s="5904"/>
      <c r="B59" s="5892"/>
      <c r="C59" s="3037" t="s">
        <v>492</v>
      </c>
      <c r="D59" s="1267">
        <v>15</v>
      </c>
      <c r="E59" s="1267">
        <v>15</v>
      </c>
      <c r="F59" s="1267">
        <v>13</v>
      </c>
      <c r="G59" s="1267">
        <v>28</v>
      </c>
    </row>
    <row r="60" spans="1:7" ht="15" customHeight="1" x14ac:dyDescent="0.15">
      <c r="A60" s="5904"/>
      <c r="B60" s="5892"/>
      <c r="C60" s="3037" t="s">
        <v>581</v>
      </c>
      <c r="D60" s="1267">
        <v>186</v>
      </c>
      <c r="E60" s="1267">
        <v>186</v>
      </c>
      <c r="F60" s="1267">
        <v>107</v>
      </c>
      <c r="G60" s="1267">
        <v>293</v>
      </c>
    </row>
    <row r="61" spans="1:7" ht="15" customHeight="1" x14ac:dyDescent="0.15">
      <c r="A61" s="5904"/>
      <c r="B61" s="5892"/>
      <c r="C61" s="3037" t="s">
        <v>465</v>
      </c>
      <c r="D61" s="1267">
        <v>58</v>
      </c>
      <c r="E61" s="1267">
        <v>56</v>
      </c>
      <c r="F61" s="1267">
        <v>32</v>
      </c>
      <c r="G61" s="1267">
        <v>90</v>
      </c>
    </row>
    <row r="62" spans="1:7" ht="15" customHeight="1" x14ac:dyDescent="0.15">
      <c r="A62" s="5904"/>
      <c r="B62" s="5892"/>
      <c r="C62" s="3038" t="s">
        <v>160</v>
      </c>
      <c r="D62" s="3039">
        <f>SUM(D56:D61)</f>
        <v>417</v>
      </c>
      <c r="E62" s="3039">
        <f>SUM(E56:E61)</f>
        <v>414</v>
      </c>
      <c r="F62" s="3039">
        <f>SUM(F56:F61)</f>
        <v>258</v>
      </c>
      <c r="G62" s="3039">
        <f>SUM(G56:G61)</f>
        <v>675</v>
      </c>
    </row>
    <row r="63" spans="1:7" ht="15" customHeight="1" x14ac:dyDescent="0.15">
      <c r="A63" s="5904"/>
      <c r="B63" s="5892" t="s">
        <v>11</v>
      </c>
      <c r="C63" s="3037" t="s">
        <v>497</v>
      </c>
      <c r="D63" s="1267">
        <v>28</v>
      </c>
      <c r="E63" s="1267">
        <v>27</v>
      </c>
      <c r="F63" s="1267">
        <v>26</v>
      </c>
      <c r="G63" s="1267">
        <v>54</v>
      </c>
    </row>
    <row r="64" spans="1:7" ht="15" customHeight="1" x14ac:dyDescent="0.15">
      <c r="A64" s="5904"/>
      <c r="B64" s="5892"/>
      <c r="C64" s="3037" t="s">
        <v>484</v>
      </c>
      <c r="D64" s="1267">
        <v>60</v>
      </c>
      <c r="E64" s="1267">
        <v>59</v>
      </c>
      <c r="F64" s="1267">
        <v>31</v>
      </c>
      <c r="G64" s="1267">
        <v>91</v>
      </c>
    </row>
    <row r="65" spans="1:7" ht="15" customHeight="1" x14ac:dyDescent="0.15">
      <c r="A65" s="5904"/>
      <c r="B65" s="5892"/>
      <c r="C65" s="3037" t="s">
        <v>493</v>
      </c>
      <c r="D65" s="1267">
        <v>64</v>
      </c>
      <c r="E65" s="1267">
        <v>64</v>
      </c>
      <c r="F65" s="1267">
        <v>26</v>
      </c>
      <c r="G65" s="1267">
        <v>90</v>
      </c>
    </row>
    <row r="66" spans="1:7" ht="15" customHeight="1" x14ac:dyDescent="0.15">
      <c r="A66" s="5904"/>
      <c r="B66" s="5892"/>
      <c r="C66" s="3037" t="s">
        <v>494</v>
      </c>
      <c r="D66" s="1267">
        <v>47</v>
      </c>
      <c r="E66" s="1267">
        <v>47</v>
      </c>
      <c r="F66" s="1267">
        <v>52</v>
      </c>
      <c r="G66" s="1267">
        <v>99</v>
      </c>
    </row>
    <row r="67" spans="1:7" ht="15" customHeight="1" x14ac:dyDescent="0.15">
      <c r="A67" s="5904"/>
      <c r="B67" s="5892"/>
      <c r="C67" s="3037" t="s">
        <v>496</v>
      </c>
      <c r="D67" s="1267">
        <v>57</v>
      </c>
      <c r="E67" s="1267">
        <v>54</v>
      </c>
      <c r="F67" s="1267">
        <v>51</v>
      </c>
      <c r="G67" s="1267">
        <v>107</v>
      </c>
    </row>
    <row r="68" spans="1:7" ht="15" customHeight="1" x14ac:dyDescent="0.15">
      <c r="A68" s="5904"/>
      <c r="B68" s="5892"/>
      <c r="C68" s="3037" t="s">
        <v>498</v>
      </c>
      <c r="D68" s="1267">
        <v>26</v>
      </c>
      <c r="E68" s="1267">
        <v>26</v>
      </c>
      <c r="F68" s="1267">
        <v>18</v>
      </c>
      <c r="G68" s="1267">
        <v>44</v>
      </c>
    </row>
    <row r="69" spans="1:7" ht="15" customHeight="1" x14ac:dyDescent="0.15">
      <c r="A69" s="5904"/>
      <c r="B69" s="5892"/>
      <c r="C69" s="3037" t="s">
        <v>499</v>
      </c>
      <c r="D69" s="1267">
        <v>58</v>
      </c>
      <c r="E69" s="1267">
        <v>58</v>
      </c>
      <c r="F69" s="1267">
        <v>24</v>
      </c>
      <c r="G69" s="1267">
        <v>82</v>
      </c>
    </row>
    <row r="70" spans="1:7" ht="15" customHeight="1" x14ac:dyDescent="0.15">
      <c r="A70" s="5904"/>
      <c r="B70" s="5892"/>
      <c r="C70" s="3037" t="s">
        <v>495</v>
      </c>
      <c r="D70" s="1267">
        <v>52</v>
      </c>
      <c r="E70" s="1267">
        <v>52</v>
      </c>
      <c r="F70" s="1267">
        <v>22</v>
      </c>
      <c r="G70" s="1267">
        <v>74</v>
      </c>
    </row>
    <row r="71" spans="1:7" ht="15" customHeight="1" x14ac:dyDescent="0.15">
      <c r="A71" s="5904"/>
      <c r="B71" s="5892"/>
      <c r="C71" s="3038" t="s">
        <v>160</v>
      </c>
      <c r="D71" s="3039">
        <f>SUM(D63:D70)</f>
        <v>392</v>
      </c>
      <c r="E71" s="3039">
        <f>SUM(E63:E70)</f>
        <v>387</v>
      </c>
      <c r="F71" s="3039">
        <f>SUM(F63:F70)</f>
        <v>250</v>
      </c>
      <c r="G71" s="3039">
        <f>SUM(G63:G70)</f>
        <v>641</v>
      </c>
    </row>
    <row r="72" spans="1:7" ht="15" customHeight="1" x14ac:dyDescent="0.15">
      <c r="A72" s="5904"/>
      <c r="B72" s="5892" t="s">
        <v>7</v>
      </c>
      <c r="C72" s="3037" t="s">
        <v>466</v>
      </c>
      <c r="D72" s="1267">
        <v>97</v>
      </c>
      <c r="E72" s="1267">
        <v>95</v>
      </c>
      <c r="F72" s="1267">
        <v>32</v>
      </c>
      <c r="G72" s="1267">
        <v>129</v>
      </c>
    </row>
    <row r="73" spans="1:7" ht="15" customHeight="1" x14ac:dyDescent="0.15">
      <c r="A73" s="5904"/>
      <c r="B73" s="5892"/>
      <c r="C73" s="3037" t="s">
        <v>583</v>
      </c>
      <c r="D73" s="1267">
        <v>58</v>
      </c>
      <c r="E73" s="1267">
        <v>56</v>
      </c>
      <c r="F73" s="1267">
        <v>45</v>
      </c>
      <c r="G73" s="1267">
        <v>103</v>
      </c>
    </row>
    <row r="74" spans="1:7" ht="15" customHeight="1" x14ac:dyDescent="0.15">
      <c r="A74" s="5904"/>
      <c r="B74" s="5892"/>
      <c r="C74" s="3037" t="s">
        <v>468</v>
      </c>
      <c r="D74" s="1267">
        <v>28</v>
      </c>
      <c r="E74" s="1267">
        <v>28</v>
      </c>
      <c r="F74" s="1267">
        <v>18</v>
      </c>
      <c r="G74" s="1267">
        <v>46</v>
      </c>
    </row>
    <row r="75" spans="1:7" ht="15" customHeight="1" x14ac:dyDescent="0.15">
      <c r="A75" s="5904"/>
      <c r="B75" s="5892"/>
      <c r="C75" s="3037" t="s">
        <v>500</v>
      </c>
      <c r="D75" s="1267">
        <v>36</v>
      </c>
      <c r="E75" s="1267">
        <v>36</v>
      </c>
      <c r="F75" s="1267">
        <v>15</v>
      </c>
      <c r="G75" s="1267">
        <v>51</v>
      </c>
    </row>
    <row r="76" spans="1:7" ht="15" customHeight="1" x14ac:dyDescent="0.15">
      <c r="A76" s="5904"/>
      <c r="B76" s="5888"/>
      <c r="C76" s="3040" t="s">
        <v>7</v>
      </c>
      <c r="D76" s="3041">
        <f>SUM(D72:D75)</f>
        <v>219</v>
      </c>
      <c r="E76" s="3041">
        <f>SUM(E72:E75)</f>
        <v>215</v>
      </c>
      <c r="F76" s="3041">
        <f>SUM(F72:F75)</f>
        <v>110</v>
      </c>
      <c r="G76" s="3041">
        <f>SUM(G72:G75)</f>
        <v>329</v>
      </c>
    </row>
    <row r="77" spans="1:7" ht="15" customHeight="1" x14ac:dyDescent="0.15">
      <c r="A77" s="5905"/>
      <c r="B77" s="5898" t="s">
        <v>450</v>
      </c>
      <c r="C77" s="5899"/>
      <c r="D77" s="4611">
        <f>SUM(D76,D71,D62)</f>
        <v>1028</v>
      </c>
      <c r="E77" s="4611">
        <f>SUM(E76,E71,E62)</f>
        <v>1016</v>
      </c>
      <c r="F77" s="3048">
        <f>SUM(F76,F71,F62)</f>
        <v>618</v>
      </c>
      <c r="G77" s="4611">
        <f>SUM(G76,G71,G62)</f>
        <v>1645</v>
      </c>
    </row>
    <row r="78" spans="1:7" ht="15" customHeight="1" x14ac:dyDescent="0.15">
      <c r="A78" s="5906" t="s">
        <v>410</v>
      </c>
      <c r="B78" s="5893" t="s">
        <v>6</v>
      </c>
      <c r="C78" s="3049" t="s">
        <v>462</v>
      </c>
      <c r="D78" s="1267">
        <v>18</v>
      </c>
      <c r="E78" s="1267">
        <v>18</v>
      </c>
      <c r="F78" s="1267">
        <v>3</v>
      </c>
      <c r="G78" s="1267">
        <v>21</v>
      </c>
    </row>
    <row r="79" spans="1:7" ht="15" customHeight="1" x14ac:dyDescent="0.15">
      <c r="A79" s="5907"/>
      <c r="B79" s="5893"/>
      <c r="C79" s="3049" t="s">
        <v>502</v>
      </c>
      <c r="D79" s="1267">
        <v>1</v>
      </c>
      <c r="E79" s="1267">
        <v>1</v>
      </c>
      <c r="F79" s="1267">
        <v>4</v>
      </c>
      <c r="G79" s="1267">
        <v>5</v>
      </c>
    </row>
    <row r="80" spans="1:7" ht="15" customHeight="1" x14ac:dyDescent="0.15">
      <c r="A80" s="5907"/>
      <c r="B80" s="5893"/>
      <c r="C80" s="3049" t="s">
        <v>501</v>
      </c>
      <c r="D80" s="1267">
        <v>8</v>
      </c>
      <c r="E80" s="1267">
        <v>8</v>
      </c>
      <c r="F80" s="1267">
        <v>1</v>
      </c>
      <c r="G80" s="1267">
        <v>9</v>
      </c>
    </row>
    <row r="81" spans="1:7" ht="15" customHeight="1" x14ac:dyDescent="0.15">
      <c r="A81" s="5907"/>
      <c r="B81" s="5893"/>
      <c r="C81" s="3040" t="s">
        <v>160</v>
      </c>
      <c r="D81" s="3041">
        <f>SUM(D78:D80)</f>
        <v>27</v>
      </c>
      <c r="E81" s="3041">
        <f>SUM(E78:E80)</f>
        <v>27</v>
      </c>
      <c r="F81" s="3041">
        <f>SUM(F78:F80)</f>
        <v>8</v>
      </c>
      <c r="G81" s="3041">
        <f>SUM(G78:G80)</f>
        <v>35</v>
      </c>
    </row>
    <row r="82" spans="1:7" ht="15" customHeight="1" x14ac:dyDescent="0.15">
      <c r="A82" s="5907"/>
      <c r="B82" s="5892" t="s">
        <v>9</v>
      </c>
      <c r="C82" s="3050" t="s">
        <v>582</v>
      </c>
      <c r="D82" s="3045">
        <v>24</v>
      </c>
      <c r="E82" s="3045">
        <v>23</v>
      </c>
      <c r="F82" s="3045">
        <v>13</v>
      </c>
      <c r="G82" s="3045">
        <v>37</v>
      </c>
    </row>
    <row r="83" spans="1:7" ht="15" customHeight="1" x14ac:dyDescent="0.15">
      <c r="A83" s="5907"/>
      <c r="B83" s="5892"/>
      <c r="C83" s="3049" t="s">
        <v>505</v>
      </c>
      <c r="D83" s="1267">
        <v>12</v>
      </c>
      <c r="E83" s="1267">
        <v>12</v>
      </c>
      <c r="F83" s="1267">
        <v>9</v>
      </c>
      <c r="G83" s="1267">
        <v>21</v>
      </c>
    </row>
    <row r="84" spans="1:7" ht="15" customHeight="1" x14ac:dyDescent="0.15">
      <c r="A84" s="5907"/>
      <c r="B84" s="5892"/>
      <c r="C84" s="3049" t="s">
        <v>504</v>
      </c>
      <c r="D84" s="1267">
        <v>2</v>
      </c>
      <c r="E84" s="1267">
        <v>2</v>
      </c>
      <c r="F84" s="1267">
        <v>0</v>
      </c>
      <c r="G84" s="1267">
        <v>2</v>
      </c>
    </row>
    <row r="85" spans="1:7" ht="15" customHeight="1" x14ac:dyDescent="0.15">
      <c r="A85" s="5907"/>
      <c r="B85" s="5892"/>
      <c r="C85" s="3040" t="s">
        <v>160</v>
      </c>
      <c r="D85" s="3041">
        <f>SUM(D82:D84)</f>
        <v>38</v>
      </c>
      <c r="E85" s="3041">
        <f>SUM(E82:E84)</f>
        <v>37</v>
      </c>
      <c r="F85" s="3041">
        <f>SUM(F82:F84)</f>
        <v>22</v>
      </c>
      <c r="G85" s="3041">
        <f>SUM(G82:G84)</f>
        <v>60</v>
      </c>
    </row>
    <row r="86" spans="1:7" ht="15" customHeight="1" x14ac:dyDescent="0.15">
      <c r="A86" s="5907"/>
      <c r="B86" s="5892" t="s">
        <v>74</v>
      </c>
      <c r="C86" s="3049" t="s">
        <v>461</v>
      </c>
      <c r="D86" s="1267"/>
      <c r="E86" s="1267"/>
      <c r="F86" s="1267">
        <v>1</v>
      </c>
      <c r="G86" s="1267">
        <v>1</v>
      </c>
    </row>
    <row r="87" spans="1:7" ht="15" customHeight="1" x14ac:dyDescent="0.15">
      <c r="A87" s="5907"/>
      <c r="B87" s="5892"/>
      <c r="C87" s="3049" t="s">
        <v>507</v>
      </c>
      <c r="D87" s="1267">
        <v>6</v>
      </c>
      <c r="E87" s="1267">
        <v>6</v>
      </c>
      <c r="F87" s="1267">
        <v>4</v>
      </c>
      <c r="G87" s="1267">
        <v>10</v>
      </c>
    </row>
    <row r="88" spans="1:7" ht="15" customHeight="1" x14ac:dyDescent="0.15">
      <c r="A88" s="5907"/>
      <c r="B88" s="5892"/>
      <c r="C88" s="3049" t="s">
        <v>506</v>
      </c>
      <c r="D88" s="1267"/>
      <c r="E88" s="1267"/>
      <c r="F88" s="1267">
        <v>2</v>
      </c>
      <c r="G88" s="1267">
        <v>2</v>
      </c>
    </row>
    <row r="89" spans="1:7" ht="15" customHeight="1" x14ac:dyDescent="0.15">
      <c r="A89" s="5907"/>
      <c r="B89" s="5892"/>
      <c r="C89" s="3049" t="s">
        <v>584</v>
      </c>
      <c r="D89" s="1267">
        <v>3</v>
      </c>
      <c r="E89" s="1267">
        <v>3</v>
      </c>
      <c r="F89" s="1267">
        <v>0</v>
      </c>
      <c r="G89" s="1267">
        <v>3</v>
      </c>
    </row>
    <row r="90" spans="1:7" ht="15" customHeight="1" x14ac:dyDescent="0.15">
      <c r="A90" s="5907"/>
      <c r="B90" s="5888"/>
      <c r="C90" s="3040" t="s">
        <v>74</v>
      </c>
      <c r="D90" s="3041">
        <f>SUM(D86:D89)</f>
        <v>9</v>
      </c>
      <c r="E90" s="3041">
        <f>SUM(E86:E89)</f>
        <v>9</v>
      </c>
      <c r="F90" s="3041">
        <f>SUM(F86:F89)</f>
        <v>7</v>
      </c>
      <c r="G90" s="3041">
        <f>SUM(G86:G89)</f>
        <v>16</v>
      </c>
    </row>
    <row r="91" spans="1:7" ht="15" customHeight="1" x14ac:dyDescent="0.15">
      <c r="A91" s="5101"/>
      <c r="B91" s="5896" t="s">
        <v>450</v>
      </c>
      <c r="C91" s="5897"/>
      <c r="D91" s="4612">
        <f>SUM(D90,D85,D81)</f>
        <v>74</v>
      </c>
      <c r="E91" s="4612">
        <f>SUM(E90,E85,E81)</f>
        <v>73</v>
      </c>
      <c r="F91" s="3053">
        <f>SUM(F90,F85,F81)</f>
        <v>37</v>
      </c>
      <c r="G91" s="4612">
        <f>SUM(G90,G85,G81)</f>
        <v>111</v>
      </c>
    </row>
    <row r="92" spans="1:7" ht="15" customHeight="1" x14ac:dyDescent="0.15">
      <c r="A92" s="5908" t="s">
        <v>411</v>
      </c>
      <c r="B92" s="5892" t="s">
        <v>5</v>
      </c>
      <c r="C92" s="3050" t="s">
        <v>509</v>
      </c>
      <c r="D92" s="3045">
        <v>17</v>
      </c>
      <c r="E92" s="3045">
        <v>17</v>
      </c>
      <c r="F92" s="3045">
        <v>5</v>
      </c>
      <c r="G92" s="3045">
        <v>22</v>
      </c>
    </row>
    <row r="93" spans="1:7" ht="15" customHeight="1" x14ac:dyDescent="0.15">
      <c r="A93" s="5213"/>
      <c r="B93" s="5892"/>
      <c r="C93" s="3040" t="s">
        <v>160</v>
      </c>
      <c r="D93" s="3041">
        <f>SUM(D92)</f>
        <v>17</v>
      </c>
      <c r="E93" s="3041">
        <f>SUM(E92)</f>
        <v>17</v>
      </c>
      <c r="F93" s="3041">
        <f>SUM(F92)</f>
        <v>5</v>
      </c>
      <c r="G93" s="3041">
        <f>SUM(G92)</f>
        <v>22</v>
      </c>
    </row>
    <row r="94" spans="1:7" ht="15" customHeight="1" x14ac:dyDescent="0.15">
      <c r="A94" s="5213"/>
      <c r="B94" s="5893" t="s">
        <v>6</v>
      </c>
      <c r="C94" s="3049" t="s">
        <v>510</v>
      </c>
      <c r="D94" s="1267">
        <v>30</v>
      </c>
      <c r="E94" s="1267">
        <v>30</v>
      </c>
      <c r="F94" s="1267">
        <v>6</v>
      </c>
      <c r="G94" s="1267">
        <v>36</v>
      </c>
    </row>
    <row r="95" spans="1:7" ht="15" customHeight="1" x14ac:dyDescent="0.15">
      <c r="A95" s="5213"/>
      <c r="B95" s="5893"/>
      <c r="C95" s="3049" t="s">
        <v>645</v>
      </c>
      <c r="D95" s="1267"/>
      <c r="E95" s="1267"/>
      <c r="F95" s="1267"/>
      <c r="G95" s="1267"/>
    </row>
    <row r="96" spans="1:7" ht="15" customHeight="1" x14ac:dyDescent="0.15">
      <c r="A96" s="5213"/>
      <c r="B96" s="5893"/>
      <c r="C96" s="3040" t="s">
        <v>160</v>
      </c>
      <c r="D96" s="3041">
        <f>SUM(D94:D95)</f>
        <v>30</v>
      </c>
      <c r="E96" s="3041">
        <f>SUM(E94:E95)</f>
        <v>30</v>
      </c>
      <c r="F96" s="3041">
        <f>SUM(F94:F95)</f>
        <v>6</v>
      </c>
      <c r="G96" s="3041">
        <f>SUM(G94:G95)</f>
        <v>36</v>
      </c>
    </row>
    <row r="97" spans="1:9" ht="15" customHeight="1" x14ac:dyDescent="0.15">
      <c r="A97" s="5213"/>
      <c r="B97" s="5892" t="s">
        <v>11</v>
      </c>
      <c r="C97" s="3049" t="s">
        <v>511</v>
      </c>
      <c r="D97" s="1267">
        <v>6</v>
      </c>
      <c r="E97" s="1267">
        <v>5</v>
      </c>
      <c r="F97" s="1267">
        <v>2</v>
      </c>
      <c r="G97" s="1267">
        <v>8</v>
      </c>
    </row>
    <row r="98" spans="1:9" ht="15" x14ac:dyDescent="0.15">
      <c r="A98" s="5213"/>
      <c r="B98" s="5888"/>
      <c r="C98" s="3040" t="s">
        <v>160</v>
      </c>
      <c r="D98" s="3041">
        <f>SUM(D97)</f>
        <v>6</v>
      </c>
      <c r="E98" s="3041">
        <f>SUM(E97)</f>
        <v>5</v>
      </c>
      <c r="F98" s="3041">
        <f>SUM(F97)</f>
        <v>2</v>
      </c>
      <c r="G98" s="3041">
        <f>SUM(G97)</f>
        <v>8</v>
      </c>
      <c r="I98" s="3035"/>
    </row>
    <row r="99" spans="1:9" ht="15" customHeight="1" x14ac:dyDescent="0.15">
      <c r="A99" s="5104"/>
      <c r="B99" s="5894" t="s">
        <v>450</v>
      </c>
      <c r="C99" s="5895"/>
      <c r="D99" s="4613">
        <f>SUM(D98,D96,D93)</f>
        <v>53</v>
      </c>
      <c r="E99" s="4613">
        <f>SUM(E98,E96,E93)</f>
        <v>52</v>
      </c>
      <c r="F99" s="3054">
        <f>SUM(F98,F96,F93)</f>
        <v>13</v>
      </c>
      <c r="G99" s="4613">
        <f>SUM(G98,G96,G93)</f>
        <v>66</v>
      </c>
      <c r="I99" s="3035"/>
    </row>
    <row r="100" spans="1:9" ht="15" customHeight="1" x14ac:dyDescent="0.15">
      <c r="A100" s="5885" t="s">
        <v>586</v>
      </c>
      <c r="B100" s="5886"/>
      <c r="C100" s="5887"/>
      <c r="D100" s="4614">
        <f>SUM(D99,D91,D77,D55,D25)</f>
        <v>2371</v>
      </c>
      <c r="E100" s="4614">
        <f>SUM(E99,E91,E77,E55,E25)</f>
        <v>2341</v>
      </c>
      <c r="F100" s="4614">
        <f>SUM(F99,F91,F77,F55,F25)</f>
        <v>1415</v>
      </c>
      <c r="G100" s="4614">
        <f>SUM(G99,G91,G77,G55,G25)</f>
        <v>3783</v>
      </c>
      <c r="I100" s="3035"/>
    </row>
    <row r="101" spans="1:9" ht="15" customHeight="1" x14ac:dyDescent="0.15">
      <c r="I101" s="3035"/>
    </row>
    <row r="102" spans="1:9" ht="15" customHeight="1" x14ac:dyDescent="0.15">
      <c r="I102" s="3035"/>
    </row>
    <row r="103" spans="1:9" ht="15" customHeight="1" x14ac:dyDescent="0.15">
      <c r="I103" s="3035"/>
    </row>
    <row r="104" spans="1:9" ht="15" customHeight="1" x14ac:dyDescent="0.15">
      <c r="I104" s="3035"/>
    </row>
    <row r="105" spans="1:9" ht="15" customHeight="1" x14ac:dyDescent="0.15">
      <c r="I105" s="3035"/>
    </row>
    <row r="106" spans="1:9" ht="15" customHeight="1" x14ac:dyDescent="0.15">
      <c r="I106" s="3035"/>
    </row>
    <row r="107" spans="1:9" ht="15" customHeight="1" x14ac:dyDescent="0.15">
      <c r="I107" s="3035"/>
    </row>
    <row r="108" spans="1:9" ht="15" customHeight="1" x14ac:dyDescent="0.15">
      <c r="I108" s="3035"/>
    </row>
    <row r="109" spans="1:9" ht="15" customHeight="1" x14ac:dyDescent="0.15">
      <c r="I109" s="3035"/>
    </row>
    <row r="110" spans="1:9" ht="15" customHeight="1" x14ac:dyDescent="0.15"/>
    <row r="111" spans="1:9" ht="15" customHeight="1" x14ac:dyDescent="0.15"/>
    <row r="112" spans="1:9" ht="15" customHeight="1" x14ac:dyDescent="0.15"/>
    <row r="113" ht="15" customHeight="1" x14ac:dyDescent="0.15"/>
    <row r="114" ht="15" customHeight="1" x14ac:dyDescent="0.15"/>
    <row r="115" ht="15" customHeight="1" x14ac:dyDescent="0.15"/>
    <row r="116" ht="15" customHeight="1" x14ac:dyDescent="0.15"/>
    <row r="117" ht="15" customHeight="1" x14ac:dyDescent="0.15"/>
    <row r="118" ht="15" customHeight="1" x14ac:dyDescent="0.15"/>
    <row r="119" ht="15" customHeight="1" x14ac:dyDescent="0.15"/>
    <row r="120" ht="15" customHeight="1" x14ac:dyDescent="0.15"/>
    <row r="121" ht="15" customHeight="1" x14ac:dyDescent="0.15"/>
    <row r="122" ht="15" customHeight="1" x14ac:dyDescent="0.15"/>
    <row r="123" ht="15" customHeight="1" x14ac:dyDescent="0.15"/>
    <row r="124" ht="15" customHeight="1" x14ac:dyDescent="0.15"/>
    <row r="125" ht="15" customHeight="1" x14ac:dyDescent="0.15"/>
    <row r="126" ht="15" customHeight="1" x14ac:dyDescent="0.15"/>
    <row r="127" ht="15" customHeight="1" x14ac:dyDescent="0.15"/>
    <row r="128" ht="15" customHeight="1" x14ac:dyDescent="0.15"/>
    <row r="129" ht="15" customHeight="1" x14ac:dyDescent="0.15"/>
    <row r="130" ht="15" customHeight="1" x14ac:dyDescent="0.15"/>
    <row r="131" ht="15" customHeight="1" x14ac:dyDescent="0.15"/>
    <row r="132" ht="15" customHeight="1" x14ac:dyDescent="0.15"/>
    <row r="133" ht="15" customHeight="1" x14ac:dyDescent="0.15"/>
    <row r="134" ht="15" customHeight="1" x14ac:dyDescent="0.15"/>
    <row r="135" ht="15" customHeight="1" x14ac:dyDescent="0.15"/>
    <row r="136" ht="15" customHeight="1" x14ac:dyDescent="0.15"/>
    <row r="137" ht="15" customHeight="1" x14ac:dyDescent="0.15"/>
    <row r="138" ht="15" customHeight="1" x14ac:dyDescent="0.15"/>
    <row r="139" ht="15" customHeight="1" x14ac:dyDescent="0.15"/>
    <row r="140" ht="15" customHeight="1" x14ac:dyDescent="0.15"/>
    <row r="141" ht="15" customHeight="1" x14ac:dyDescent="0.15"/>
    <row r="142" ht="15" customHeight="1" x14ac:dyDescent="0.15"/>
    <row r="143" ht="15" customHeight="1" x14ac:dyDescent="0.15"/>
    <row r="144" ht="15" customHeight="1" x14ac:dyDescent="0.15"/>
    <row r="145" ht="15" customHeight="1" x14ac:dyDescent="0.15"/>
    <row r="146" ht="15" customHeight="1" x14ac:dyDescent="0.15"/>
    <row r="147" ht="15" customHeight="1" x14ac:dyDescent="0.15"/>
    <row r="148" ht="15" customHeight="1" x14ac:dyDescent="0.15"/>
    <row r="149" ht="15" customHeight="1" x14ac:dyDescent="0.15"/>
    <row r="150" ht="15" customHeight="1" x14ac:dyDescent="0.15"/>
    <row r="151" ht="15" customHeight="1" x14ac:dyDescent="0.15"/>
    <row r="152" ht="15" customHeight="1" x14ac:dyDescent="0.15"/>
    <row r="153" ht="15" customHeight="1" x14ac:dyDescent="0.15"/>
    <row r="154" ht="15" customHeight="1" x14ac:dyDescent="0.15"/>
    <row r="155" ht="15" customHeight="1" x14ac:dyDescent="0.15"/>
    <row r="156" ht="15" customHeight="1" x14ac:dyDescent="0.15"/>
    <row r="157" ht="15" customHeight="1" x14ac:dyDescent="0.15"/>
    <row r="158" ht="15" customHeight="1" x14ac:dyDescent="0.15"/>
    <row r="159" ht="15" customHeight="1" x14ac:dyDescent="0.15"/>
    <row r="160" ht="15" customHeight="1" x14ac:dyDescent="0.15"/>
    <row r="161" ht="15" customHeight="1" x14ac:dyDescent="0.15"/>
    <row r="162" ht="15" customHeight="1" x14ac:dyDescent="0.15"/>
    <row r="163" ht="15" customHeight="1" x14ac:dyDescent="0.15"/>
    <row r="164" ht="15" customHeight="1" x14ac:dyDescent="0.15"/>
    <row r="165" ht="15" customHeight="1" x14ac:dyDescent="0.15"/>
    <row r="166" ht="15" customHeight="1" x14ac:dyDescent="0.15"/>
    <row r="167" ht="15" customHeight="1" x14ac:dyDescent="0.15"/>
    <row r="168" ht="15" customHeight="1" x14ac:dyDescent="0.15"/>
    <row r="169" ht="15" customHeight="1" x14ac:dyDescent="0.15"/>
    <row r="170" ht="15" customHeight="1" x14ac:dyDescent="0.15"/>
    <row r="171" ht="15" customHeight="1" x14ac:dyDescent="0.15"/>
    <row r="172" ht="15" customHeight="1" x14ac:dyDescent="0.15"/>
    <row r="173" ht="15" customHeight="1" x14ac:dyDescent="0.15"/>
    <row r="174" ht="15" customHeight="1" x14ac:dyDescent="0.15"/>
    <row r="175" ht="15" customHeight="1" x14ac:dyDescent="0.15"/>
    <row r="176" ht="15" customHeight="1" x14ac:dyDescent="0.15"/>
    <row r="177" ht="15" customHeight="1" x14ac:dyDescent="0.15"/>
    <row r="178" ht="15" customHeight="1" x14ac:dyDescent="0.15"/>
    <row r="179" ht="15" customHeight="1" x14ac:dyDescent="0.15"/>
    <row r="180" ht="15" customHeight="1" x14ac:dyDescent="0.15"/>
    <row r="181" ht="15" customHeight="1" x14ac:dyDescent="0.15"/>
    <row r="182" ht="15" customHeight="1" x14ac:dyDescent="0.15"/>
    <row r="183" ht="15" customHeight="1" x14ac:dyDescent="0.15"/>
    <row r="184" ht="15" customHeight="1" x14ac:dyDescent="0.15"/>
    <row r="185" ht="15" customHeight="1" x14ac:dyDescent="0.15"/>
    <row r="186" ht="15" customHeight="1" x14ac:dyDescent="0.15"/>
    <row r="187" ht="15" customHeight="1" x14ac:dyDescent="0.15"/>
    <row r="188" ht="15" customHeight="1" x14ac:dyDescent="0.15"/>
    <row r="189" ht="15" customHeight="1" x14ac:dyDescent="0.15"/>
    <row r="190" ht="15" customHeight="1" x14ac:dyDescent="0.15"/>
    <row r="191" ht="15" customHeight="1" x14ac:dyDescent="0.15"/>
    <row r="192" ht="15" customHeight="1" x14ac:dyDescent="0.15"/>
    <row r="193" ht="15" customHeight="1" x14ac:dyDescent="0.15"/>
    <row r="194" ht="15" customHeight="1" x14ac:dyDescent="0.15"/>
    <row r="195" ht="15" customHeight="1" x14ac:dyDescent="0.15"/>
    <row r="196" ht="15" customHeight="1" x14ac:dyDescent="0.15"/>
    <row r="197" ht="15" customHeight="1" x14ac:dyDescent="0.15"/>
    <row r="198" ht="15" customHeight="1" x14ac:dyDescent="0.15"/>
    <row r="199" ht="15" customHeight="1" x14ac:dyDescent="0.15"/>
    <row r="200" ht="15" customHeight="1" x14ac:dyDescent="0.15"/>
    <row r="201" ht="15" customHeight="1" x14ac:dyDescent="0.15"/>
    <row r="202" ht="15" customHeight="1" x14ac:dyDescent="0.15"/>
    <row r="203" ht="15" customHeight="1" x14ac:dyDescent="0.15"/>
    <row r="204" ht="15" customHeight="1" x14ac:dyDescent="0.15"/>
    <row r="205" ht="15" customHeight="1" x14ac:dyDescent="0.15"/>
    <row r="206" ht="15" customHeight="1" x14ac:dyDescent="0.15"/>
    <row r="207" ht="15" customHeight="1" x14ac:dyDescent="0.15"/>
    <row r="208" ht="15" customHeight="1" x14ac:dyDescent="0.15"/>
    <row r="209" ht="15" customHeight="1" x14ac:dyDescent="0.15"/>
    <row r="210" ht="15" customHeight="1" x14ac:dyDescent="0.15"/>
    <row r="211" ht="15" customHeight="1" x14ac:dyDescent="0.15"/>
    <row r="212" ht="15" customHeight="1" x14ac:dyDescent="0.15"/>
    <row r="213" ht="15" customHeight="1" x14ac:dyDescent="0.15"/>
    <row r="214" ht="15" customHeight="1" x14ac:dyDescent="0.15"/>
    <row r="215" ht="15" customHeight="1" x14ac:dyDescent="0.15"/>
    <row r="216" ht="15" customHeight="1" x14ac:dyDescent="0.15"/>
    <row r="217" ht="15" customHeight="1" x14ac:dyDescent="0.15"/>
    <row r="218" ht="15" customHeight="1" x14ac:dyDescent="0.15"/>
    <row r="219" ht="15" customHeight="1" x14ac:dyDescent="0.15"/>
    <row r="220" ht="15" customHeight="1" x14ac:dyDescent="0.15"/>
    <row r="221" ht="15" customHeight="1" x14ac:dyDescent="0.15"/>
    <row r="222" ht="15" customHeight="1" x14ac:dyDescent="0.15"/>
    <row r="223" ht="15" customHeight="1" x14ac:dyDescent="0.15"/>
    <row r="224" ht="15" customHeight="1" x14ac:dyDescent="0.15"/>
    <row r="225" ht="15" customHeight="1" x14ac:dyDescent="0.15"/>
    <row r="226" ht="15" customHeight="1" x14ac:dyDescent="0.15"/>
    <row r="227" ht="15" customHeight="1" x14ac:dyDescent="0.15"/>
    <row r="228" ht="15" customHeight="1" x14ac:dyDescent="0.15"/>
    <row r="229" ht="15" customHeight="1" x14ac:dyDescent="0.15"/>
    <row r="230" ht="15" customHeight="1" x14ac:dyDescent="0.15"/>
    <row r="231" ht="15" customHeight="1" x14ac:dyDescent="0.15"/>
    <row r="232" ht="15" customHeight="1" x14ac:dyDescent="0.15"/>
    <row r="233" ht="15" customHeight="1" x14ac:dyDescent="0.15"/>
    <row r="234" ht="15" customHeight="1" x14ac:dyDescent="0.15"/>
    <row r="235" ht="15" customHeight="1" x14ac:dyDescent="0.15"/>
    <row r="236" ht="15" customHeight="1" x14ac:dyDescent="0.15"/>
    <row r="237" ht="15" customHeight="1" x14ac:dyDescent="0.15"/>
    <row r="238" ht="15" customHeight="1" x14ac:dyDescent="0.15"/>
    <row r="239" ht="15" customHeight="1" x14ac:dyDescent="0.15"/>
    <row r="240" ht="15" customHeight="1" x14ac:dyDescent="0.15"/>
    <row r="241" ht="15" customHeight="1" x14ac:dyDescent="0.15"/>
    <row r="242" ht="15" customHeight="1" x14ac:dyDescent="0.15"/>
    <row r="243" ht="15" customHeight="1" x14ac:dyDescent="0.15"/>
    <row r="244" ht="15" customHeight="1" x14ac:dyDescent="0.15"/>
    <row r="245" ht="15" customHeight="1" x14ac:dyDescent="0.15"/>
    <row r="246" ht="15" customHeight="1" x14ac:dyDescent="0.15"/>
    <row r="247" ht="15" customHeight="1" x14ac:dyDescent="0.15"/>
    <row r="248" ht="15" customHeight="1" x14ac:dyDescent="0.15"/>
    <row r="249" ht="15" customHeight="1" x14ac:dyDescent="0.15"/>
    <row r="250" ht="15" customHeight="1" x14ac:dyDescent="0.15"/>
    <row r="251" ht="15" customHeight="1" x14ac:dyDescent="0.15"/>
    <row r="252" ht="15" customHeight="1" x14ac:dyDescent="0.15"/>
    <row r="253" ht="15" customHeight="1" x14ac:dyDescent="0.15"/>
    <row r="254" ht="15" customHeight="1" x14ac:dyDescent="0.15"/>
    <row r="255" ht="15" customHeight="1" x14ac:dyDescent="0.15"/>
    <row r="256" ht="15" customHeight="1" x14ac:dyDescent="0.15"/>
    <row r="257" ht="15" customHeight="1" x14ac:dyDescent="0.15"/>
    <row r="258" ht="15" customHeight="1" x14ac:dyDescent="0.15"/>
    <row r="259" ht="15" customHeight="1" x14ac:dyDescent="0.15"/>
    <row r="260" ht="15" customHeight="1" x14ac:dyDescent="0.15"/>
    <row r="261" ht="15" customHeight="1" x14ac:dyDescent="0.15"/>
    <row r="262" ht="15" customHeight="1" x14ac:dyDescent="0.15"/>
    <row r="263" ht="15" customHeight="1" x14ac:dyDescent="0.15"/>
    <row r="264" ht="15" customHeight="1" x14ac:dyDescent="0.15"/>
  </sheetData>
  <mergeCells count="31">
    <mergeCell ref="F3:G3"/>
    <mergeCell ref="A5:A25"/>
    <mergeCell ref="A56:A77"/>
    <mergeCell ref="A78:A91"/>
    <mergeCell ref="A92:A99"/>
    <mergeCell ref="D3:E3"/>
    <mergeCell ref="B5:B15"/>
    <mergeCell ref="B16:B20"/>
    <mergeCell ref="B21:B24"/>
    <mergeCell ref="B25:C25"/>
    <mergeCell ref="B48:B54"/>
    <mergeCell ref="B55:C55"/>
    <mergeCell ref="A3:A4"/>
    <mergeCell ref="B3:B4"/>
    <mergeCell ref="C3:C4"/>
    <mergeCell ref="A100:C100"/>
    <mergeCell ref="B26:B35"/>
    <mergeCell ref="A26:A55"/>
    <mergeCell ref="B92:B93"/>
    <mergeCell ref="B94:B96"/>
    <mergeCell ref="B97:B98"/>
    <mergeCell ref="B99:C99"/>
    <mergeCell ref="B78:B81"/>
    <mergeCell ref="B82:B85"/>
    <mergeCell ref="B86:B90"/>
    <mergeCell ref="B91:C91"/>
    <mergeCell ref="B56:B62"/>
    <mergeCell ref="B63:B71"/>
    <mergeCell ref="B72:B76"/>
    <mergeCell ref="B77:C77"/>
    <mergeCell ref="B36:B47"/>
  </mergeCells>
  <printOptions horizontalCentered="1" verticalCentered="1"/>
  <pageMargins left="0.74803149606299213" right="0.74803149606299213" top="0.39370078740157483" bottom="0.39370078740157483" header="0" footer="0"/>
  <pageSetup scale="69" orientation="landscape" r:id="rId1"/>
  <headerFooter alignWithMargins="0"/>
  <rowBreaks count="1" manualBreakCount="1">
    <brk id="53" max="16383" man="1"/>
  </row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A1:F37"/>
  <sheetViews>
    <sheetView showGridLines="0" zoomScaleNormal="100" workbookViewId="0">
      <selection activeCell="I10" sqref="I10"/>
    </sheetView>
  </sheetViews>
  <sheetFormatPr baseColWidth="10" defaultRowHeight="12.75" x14ac:dyDescent="0.2"/>
  <cols>
    <col min="1" max="1" width="13.7109375" bestFit="1" customWidth="1"/>
    <col min="2" max="2" width="9.140625" bestFit="1" customWidth="1"/>
    <col min="3" max="4" width="10.7109375" customWidth="1"/>
  </cols>
  <sheetData>
    <row r="1" spans="1:6" ht="15.75" x14ac:dyDescent="0.25">
      <c r="A1" s="139" t="s">
        <v>1271</v>
      </c>
    </row>
    <row r="3" spans="1:6" ht="15" x14ac:dyDescent="0.2">
      <c r="A3" s="5020" t="s">
        <v>16</v>
      </c>
      <c r="B3" s="5020" t="s">
        <v>4</v>
      </c>
      <c r="C3" s="5841">
        <v>2014</v>
      </c>
      <c r="D3" s="5842"/>
      <c r="E3" s="5841">
        <v>2015</v>
      </c>
      <c r="F3" s="5842"/>
    </row>
    <row r="4" spans="1:6" x14ac:dyDescent="0.2">
      <c r="A4" s="5021"/>
      <c r="B4" s="5021"/>
      <c r="C4" s="1389" t="s">
        <v>646</v>
      </c>
      <c r="D4" s="1390" t="s">
        <v>647</v>
      </c>
      <c r="E4" s="1389" t="s">
        <v>646</v>
      </c>
      <c r="F4" s="1390" t="s">
        <v>647</v>
      </c>
    </row>
    <row r="5" spans="1:6" ht="15" x14ac:dyDescent="0.2">
      <c r="A5" s="263"/>
      <c r="B5" s="263"/>
      <c r="C5" s="263"/>
      <c r="D5" s="263"/>
      <c r="E5" s="263"/>
      <c r="F5" s="263"/>
    </row>
    <row r="6" spans="1:6" ht="15" x14ac:dyDescent="0.2">
      <c r="A6" s="5037" t="s">
        <v>161</v>
      </c>
      <c r="B6" s="264" t="s">
        <v>5</v>
      </c>
      <c r="C6" s="265">
        <f>SUM('2 Excelencia_plan'!D15)</f>
        <v>186</v>
      </c>
      <c r="D6" s="267">
        <f>SUM('2 Excelencia_plan'!E15)</f>
        <v>183</v>
      </c>
      <c r="E6" s="265">
        <f>SUM('2 Excelencia_plan'!F15)</f>
        <v>83</v>
      </c>
      <c r="F6" s="267">
        <f>SUM('2 Excelencia_plan'!G15)</f>
        <v>269</v>
      </c>
    </row>
    <row r="7" spans="1:6" ht="15" x14ac:dyDescent="0.2">
      <c r="A7" s="5038"/>
      <c r="B7" s="268" t="s">
        <v>6</v>
      </c>
      <c r="C7" s="269">
        <f>SUM('2 Excelencia_plan'!D20)</f>
        <v>375</v>
      </c>
      <c r="D7" s="271">
        <f>SUM('2 Excelencia_plan'!E20)</f>
        <v>373</v>
      </c>
      <c r="E7" s="269">
        <f>SUM('2 Excelencia_plan'!F20)</f>
        <v>260</v>
      </c>
      <c r="F7" s="271">
        <f>SUM('2 Excelencia_plan'!G20)</f>
        <v>633</v>
      </c>
    </row>
    <row r="8" spans="1:6" ht="15" x14ac:dyDescent="0.2">
      <c r="A8" s="5038"/>
      <c r="B8" s="268" t="s">
        <v>7</v>
      </c>
      <c r="C8" s="3087">
        <f>SUM('2 Excelencia_plan'!D24)</f>
        <v>179</v>
      </c>
      <c r="D8" s="3089">
        <f>SUM('2 Excelencia_plan'!E24)</f>
        <v>171</v>
      </c>
      <c r="E8" s="3087">
        <f>SUM('2 Excelencia_plan'!F24)</f>
        <v>101</v>
      </c>
      <c r="F8" s="3089">
        <f>SUM('2 Excelencia_plan'!G24)</f>
        <v>280</v>
      </c>
    </row>
    <row r="9" spans="1:6" ht="15" x14ac:dyDescent="0.2">
      <c r="A9" s="5108"/>
      <c r="B9" s="2405" t="s">
        <v>160</v>
      </c>
      <c r="C9" s="2460">
        <f>SUM(C6:C8)</f>
        <v>740</v>
      </c>
      <c r="D9" s="2462">
        <f>SUM(D6:D8)</f>
        <v>727</v>
      </c>
      <c r="E9" s="2460">
        <f>SUM(E6:E8)</f>
        <v>444</v>
      </c>
      <c r="F9" s="2462">
        <f>SUM(F6:F8)</f>
        <v>1182</v>
      </c>
    </row>
    <row r="10" spans="1:6" ht="15.75" x14ac:dyDescent="0.25">
      <c r="A10" s="1923"/>
      <c r="B10" s="209"/>
      <c r="C10" s="216"/>
      <c r="D10" s="216"/>
      <c r="E10" s="216"/>
      <c r="F10" s="216"/>
    </row>
    <row r="11" spans="1:6" ht="15" x14ac:dyDescent="0.2">
      <c r="A11" s="5028" t="s">
        <v>410</v>
      </c>
      <c r="B11" s="264" t="s">
        <v>6</v>
      </c>
      <c r="C11" s="265">
        <f>SUM('2 Excelencia_plan'!D81)</f>
        <v>27</v>
      </c>
      <c r="D11" s="267">
        <f>SUM('2 Excelencia_plan'!E81)</f>
        <v>27</v>
      </c>
      <c r="E11" s="265">
        <f>SUM('2 Excelencia_plan'!F81)</f>
        <v>8</v>
      </c>
      <c r="F11" s="267">
        <f>SUM('2 Excelencia_plan'!G81)</f>
        <v>35</v>
      </c>
    </row>
    <row r="12" spans="1:6" ht="15" x14ac:dyDescent="0.2">
      <c r="A12" s="5029"/>
      <c r="B12" s="268" t="s">
        <v>9</v>
      </c>
      <c r="C12" s="269">
        <f>SUM('2 Excelencia_plan'!D85)</f>
        <v>38</v>
      </c>
      <c r="D12" s="271">
        <f>SUM('2 Excelencia_plan'!E85)</f>
        <v>37</v>
      </c>
      <c r="E12" s="269">
        <f>SUM('2 Excelencia_plan'!F85)</f>
        <v>22</v>
      </c>
      <c r="F12" s="271">
        <f>SUM('2 Excelencia_plan'!G85)</f>
        <v>60</v>
      </c>
    </row>
    <row r="13" spans="1:6" ht="15" x14ac:dyDescent="0.2">
      <c r="A13" s="5029"/>
      <c r="B13" s="268" t="s">
        <v>74</v>
      </c>
      <c r="C13" s="3087">
        <f>SUM('2 Excelencia_plan'!D90)</f>
        <v>9</v>
      </c>
      <c r="D13" s="3089">
        <f>SUM('2 Excelencia_plan'!E90)</f>
        <v>9</v>
      </c>
      <c r="E13" s="3087">
        <f>SUM('2 Excelencia_plan'!F90)</f>
        <v>7</v>
      </c>
      <c r="F13" s="3089">
        <f>SUM('2 Excelencia_plan'!G90)</f>
        <v>16</v>
      </c>
    </row>
    <row r="14" spans="1:6" ht="15" x14ac:dyDescent="0.2">
      <c r="A14" s="5030"/>
      <c r="B14" s="2402" t="s">
        <v>160</v>
      </c>
      <c r="C14" s="2453">
        <f>SUM(C11:C13)</f>
        <v>74</v>
      </c>
      <c r="D14" s="2455">
        <f>SUM(D11:D13)</f>
        <v>73</v>
      </c>
      <c r="E14" s="2453">
        <f>SUM(E11:E13)</f>
        <v>37</v>
      </c>
      <c r="F14" s="2455">
        <f>SUM(F11:F13)</f>
        <v>111</v>
      </c>
    </row>
    <row r="15" spans="1:6" ht="15.75" x14ac:dyDescent="0.25">
      <c r="A15" s="1923"/>
      <c r="B15" s="700"/>
      <c r="C15" s="700"/>
      <c r="D15" s="700"/>
      <c r="E15" s="700"/>
      <c r="F15" s="700"/>
    </row>
    <row r="16" spans="1:6" ht="15" x14ac:dyDescent="0.2">
      <c r="A16" s="5040" t="s">
        <v>162</v>
      </c>
      <c r="B16" s="264" t="s">
        <v>5</v>
      </c>
      <c r="C16" s="265">
        <f>SUM('2 Excelencia_plan'!D35)</f>
        <v>52</v>
      </c>
      <c r="D16" s="267">
        <f>SUM('2 Excelencia_plan'!E35)</f>
        <v>52</v>
      </c>
      <c r="E16" s="265">
        <f>SUM('2 Excelencia_plan'!F35)</f>
        <v>29</v>
      </c>
      <c r="F16" s="267">
        <f>SUM('2 Excelencia_plan'!G35)</f>
        <v>81</v>
      </c>
    </row>
    <row r="17" spans="1:6" ht="15" x14ac:dyDescent="0.2">
      <c r="A17" s="5041"/>
      <c r="B17" s="268" t="s">
        <v>6</v>
      </c>
      <c r="C17" s="269">
        <f>SUM('2 Excelencia_plan'!D47)</f>
        <v>308</v>
      </c>
      <c r="D17" s="271">
        <f>SUM('2 Excelencia_plan'!E47)</f>
        <v>306</v>
      </c>
      <c r="E17" s="269">
        <f>SUM('2 Excelencia_plan'!F47)</f>
        <v>217</v>
      </c>
      <c r="F17" s="271">
        <f>SUM('2 Excelencia_plan'!G47)</f>
        <v>525</v>
      </c>
    </row>
    <row r="18" spans="1:6" ht="15" x14ac:dyDescent="0.2">
      <c r="A18" s="5041"/>
      <c r="B18" s="268" t="s">
        <v>11</v>
      </c>
      <c r="C18" s="3087">
        <f>+'2 Excelencia_plan'!D54</f>
        <v>116</v>
      </c>
      <c r="D18" s="3089">
        <f>+'2 Excelencia_plan'!E54</f>
        <v>115</v>
      </c>
      <c r="E18" s="3087">
        <f>+'2 Excelencia_plan'!F54</f>
        <v>57</v>
      </c>
      <c r="F18" s="3089">
        <f>+'2 Excelencia_plan'!G54</f>
        <v>173</v>
      </c>
    </row>
    <row r="19" spans="1:6" ht="15" x14ac:dyDescent="0.2">
      <c r="A19" s="5109"/>
      <c r="B19" s="2399" t="s">
        <v>160</v>
      </c>
      <c r="C19" s="2400">
        <f>SUM(C16:C18)</f>
        <v>476</v>
      </c>
      <c r="D19" s="2489">
        <f>SUM(D16:D18)</f>
        <v>473</v>
      </c>
      <c r="E19" s="2400">
        <f>SUM(E16:E18)</f>
        <v>303</v>
      </c>
      <c r="F19" s="2489">
        <f>SUM(F16:F18)</f>
        <v>779</v>
      </c>
    </row>
    <row r="20" spans="1:6" ht="15" x14ac:dyDescent="0.2">
      <c r="A20" s="195"/>
      <c r="B20" s="700"/>
      <c r="C20" s="700"/>
      <c r="D20" s="700"/>
      <c r="E20" s="700"/>
      <c r="F20" s="700"/>
    </row>
    <row r="21" spans="1:6" ht="15" x14ac:dyDescent="0.2">
      <c r="A21" s="5031" t="s">
        <v>411</v>
      </c>
      <c r="B21" s="264" t="s">
        <v>5</v>
      </c>
      <c r="C21" s="265">
        <f>SUM('2 Excelencia_plan'!D93)</f>
        <v>17</v>
      </c>
      <c r="D21" s="267">
        <f>SUM('2 Excelencia_plan'!E93)</f>
        <v>17</v>
      </c>
      <c r="E21" s="265">
        <f>SUM('2 Excelencia_plan'!F93)</f>
        <v>5</v>
      </c>
      <c r="F21" s="267">
        <f>SUM('2 Excelencia_plan'!G93)</f>
        <v>22</v>
      </c>
    </row>
    <row r="22" spans="1:6" ht="15" x14ac:dyDescent="0.2">
      <c r="A22" s="5032"/>
      <c r="B22" s="268" t="s">
        <v>6</v>
      </c>
      <c r="C22" s="269">
        <f>SUM('2 Excelencia_plan'!D96)</f>
        <v>30</v>
      </c>
      <c r="D22" s="271">
        <f>SUM('2 Excelencia_plan'!E96)</f>
        <v>30</v>
      </c>
      <c r="E22" s="269">
        <f>SUM('2 Excelencia_plan'!F96)</f>
        <v>6</v>
      </c>
      <c r="F22" s="271">
        <f>SUM('2 Excelencia_plan'!G96)</f>
        <v>36</v>
      </c>
    </row>
    <row r="23" spans="1:6" ht="15" x14ac:dyDescent="0.2">
      <c r="A23" s="5032"/>
      <c r="B23" s="268" t="s">
        <v>11</v>
      </c>
      <c r="C23" s="3087">
        <f>SUM('2 Excelencia_plan'!D98)</f>
        <v>6</v>
      </c>
      <c r="D23" s="3089">
        <f>SUM('2 Excelencia_plan'!E98)</f>
        <v>5</v>
      </c>
      <c r="E23" s="3087">
        <f>SUM('2 Excelencia_plan'!F98)</f>
        <v>2</v>
      </c>
      <c r="F23" s="3089">
        <f>SUM('2 Excelencia_plan'!G98)</f>
        <v>8</v>
      </c>
    </row>
    <row r="24" spans="1:6" ht="15" x14ac:dyDescent="0.2">
      <c r="A24" s="5113"/>
      <c r="B24" s="2397" t="s">
        <v>160</v>
      </c>
      <c r="C24" s="2398">
        <f>SUM(C21:C23)</f>
        <v>53</v>
      </c>
      <c r="D24" s="2408">
        <f>SUM(D21:D23)</f>
        <v>52</v>
      </c>
      <c r="E24" s="2398">
        <f>SUM(E21:E23)</f>
        <v>13</v>
      </c>
      <c r="F24" s="2408">
        <f>SUM(F21:F23)</f>
        <v>66</v>
      </c>
    </row>
    <row r="25" spans="1:6" ht="15.75" x14ac:dyDescent="0.25">
      <c r="A25" s="1923"/>
      <c r="B25" s="209"/>
      <c r="C25" s="216"/>
      <c r="D25" s="216"/>
      <c r="E25" s="216"/>
      <c r="F25" s="216"/>
    </row>
    <row r="26" spans="1:6" ht="15" x14ac:dyDescent="0.2">
      <c r="A26" s="5043" t="s">
        <v>163</v>
      </c>
      <c r="B26" s="264" t="s">
        <v>6</v>
      </c>
      <c r="C26" s="265">
        <f>SUM('2 Excelencia_plan'!D62)</f>
        <v>417</v>
      </c>
      <c r="D26" s="267">
        <f>SUM('2 Excelencia_plan'!E62)</f>
        <v>414</v>
      </c>
      <c r="E26" s="265">
        <f>SUM('2 Excelencia_plan'!F62)</f>
        <v>258</v>
      </c>
      <c r="F26" s="267">
        <f>SUM('2 Excelencia_plan'!G62)</f>
        <v>675</v>
      </c>
    </row>
    <row r="27" spans="1:6" ht="15" x14ac:dyDescent="0.2">
      <c r="A27" s="5044"/>
      <c r="B27" s="268" t="s">
        <v>11</v>
      </c>
      <c r="C27" s="269">
        <f>SUM('2 Excelencia_plan'!D71)</f>
        <v>392</v>
      </c>
      <c r="D27" s="271">
        <f>SUM('2 Excelencia_plan'!E71)</f>
        <v>387</v>
      </c>
      <c r="E27" s="269">
        <f>SUM('2 Excelencia_plan'!F71)</f>
        <v>250</v>
      </c>
      <c r="F27" s="271">
        <f>SUM('2 Excelencia_plan'!G71)</f>
        <v>641</v>
      </c>
    </row>
    <row r="28" spans="1:6" ht="15" x14ac:dyDescent="0.2">
      <c r="A28" s="5044"/>
      <c r="B28" s="268" t="s">
        <v>7</v>
      </c>
      <c r="C28" s="3087">
        <f>SUM('2 Excelencia_plan'!D76)</f>
        <v>219</v>
      </c>
      <c r="D28" s="3089">
        <f>SUM('2 Excelencia_plan'!E76)</f>
        <v>215</v>
      </c>
      <c r="E28" s="3087">
        <f>SUM('2 Excelencia_plan'!F76)</f>
        <v>110</v>
      </c>
      <c r="F28" s="3089">
        <f>SUM('2 Excelencia_plan'!G76)</f>
        <v>329</v>
      </c>
    </row>
    <row r="29" spans="1:6" ht="15" x14ac:dyDescent="0.2">
      <c r="A29" s="5110"/>
      <c r="B29" s="2409" t="s">
        <v>160</v>
      </c>
      <c r="C29" s="2410">
        <f>SUM(C26:C28)</f>
        <v>1028</v>
      </c>
      <c r="D29" s="2487">
        <f>SUM(D26:D28)</f>
        <v>1016</v>
      </c>
      <c r="E29" s="2410">
        <f>SUM(E26:E28)</f>
        <v>618</v>
      </c>
      <c r="F29" s="2487">
        <f>SUM(F26:F28)</f>
        <v>1645</v>
      </c>
    </row>
    <row r="30" spans="1:6" x14ac:dyDescent="0.2">
      <c r="A30" s="209"/>
      <c r="B30" s="209"/>
      <c r="C30" s="216"/>
      <c r="D30" s="216"/>
      <c r="E30" s="216"/>
      <c r="F30" s="216"/>
    </row>
    <row r="31" spans="1:6" ht="15" x14ac:dyDescent="0.2">
      <c r="A31" s="5059" t="s">
        <v>60</v>
      </c>
      <c r="B31" s="264" t="s">
        <v>5</v>
      </c>
      <c r="C31" s="265">
        <f>SUM(C6,C16,C21)</f>
        <v>255</v>
      </c>
      <c r="D31" s="267">
        <f>SUM(D6,D16,D21)</f>
        <v>252</v>
      </c>
      <c r="E31" s="265">
        <f>SUM(E6,E16,E21)</f>
        <v>117</v>
      </c>
      <c r="F31" s="267">
        <f>SUM(F6,F16,F21)</f>
        <v>372</v>
      </c>
    </row>
    <row r="32" spans="1:6" ht="15" x14ac:dyDescent="0.2">
      <c r="A32" s="5060"/>
      <c r="B32" s="268" t="s">
        <v>6</v>
      </c>
      <c r="C32" s="269">
        <f>SUM(C7,C11,C17,C26,C22)</f>
        <v>1157</v>
      </c>
      <c r="D32" s="271">
        <f>SUM(D7,D11,D17,D26,D22)</f>
        <v>1150</v>
      </c>
      <c r="E32" s="269">
        <f>SUM(E7,E11,E17,E26,E22)</f>
        <v>749</v>
      </c>
      <c r="F32" s="271">
        <f>SUM(F7,F11,F17,F26,F22)</f>
        <v>1904</v>
      </c>
    </row>
    <row r="33" spans="1:6" ht="15" x14ac:dyDescent="0.2">
      <c r="A33" s="5060"/>
      <c r="B33" s="268" t="s">
        <v>11</v>
      </c>
      <c r="C33" s="269">
        <f>SUM(C18,C27,C23)</f>
        <v>514</v>
      </c>
      <c r="D33" s="271">
        <f>SUM(D18,D27,D23)</f>
        <v>507</v>
      </c>
      <c r="E33" s="269">
        <f>SUM(E18,E27,E23)</f>
        <v>309</v>
      </c>
      <c r="F33" s="271">
        <f>SUM(F18,F27,F23)</f>
        <v>822</v>
      </c>
    </row>
    <row r="34" spans="1:6" ht="15" x14ac:dyDescent="0.2">
      <c r="A34" s="5060"/>
      <c r="B34" s="268" t="s">
        <v>7</v>
      </c>
      <c r="C34" s="269">
        <f>SUM(C8,C28)</f>
        <v>398</v>
      </c>
      <c r="D34" s="271">
        <f>SUM(D8,D28)</f>
        <v>386</v>
      </c>
      <c r="E34" s="269">
        <f>SUM(E8,E28)</f>
        <v>211</v>
      </c>
      <c r="F34" s="271">
        <f>SUM(F8,F28)</f>
        <v>609</v>
      </c>
    </row>
    <row r="35" spans="1:6" ht="15" x14ac:dyDescent="0.2">
      <c r="A35" s="5060"/>
      <c r="B35" s="268" t="s">
        <v>9</v>
      </c>
      <c r="C35" s="269">
        <f t="shared" ref="C35:D35" si="0">SUM(C12)</f>
        <v>38</v>
      </c>
      <c r="D35" s="271">
        <f t="shared" si="0"/>
        <v>37</v>
      </c>
      <c r="E35" s="269">
        <f t="shared" ref="E35:F36" si="1">SUM(E12)</f>
        <v>22</v>
      </c>
      <c r="F35" s="271">
        <f t="shared" si="1"/>
        <v>60</v>
      </c>
    </row>
    <row r="36" spans="1:6" ht="15" x14ac:dyDescent="0.2">
      <c r="A36" s="5060"/>
      <c r="B36" s="278" t="s">
        <v>74</v>
      </c>
      <c r="C36" s="3087">
        <f t="shared" ref="C36:D36" si="2">SUM(C13)</f>
        <v>9</v>
      </c>
      <c r="D36" s="3089">
        <f t="shared" si="2"/>
        <v>9</v>
      </c>
      <c r="E36" s="3087">
        <f t="shared" si="1"/>
        <v>7</v>
      </c>
      <c r="F36" s="3089">
        <f t="shared" si="1"/>
        <v>16</v>
      </c>
    </row>
    <row r="37" spans="1:6" ht="15" x14ac:dyDescent="0.2">
      <c r="A37" s="5061"/>
      <c r="B37" s="577" t="s">
        <v>160</v>
      </c>
      <c r="C37" s="574">
        <f>SUM(C31:C36)</f>
        <v>2371</v>
      </c>
      <c r="D37" s="576">
        <f>SUM(D31:D36)</f>
        <v>2341</v>
      </c>
      <c r="E37" s="574">
        <f>SUM(E31:E36)</f>
        <v>1415</v>
      </c>
      <c r="F37" s="576">
        <f>SUM(F31:F36)</f>
        <v>3783</v>
      </c>
    </row>
  </sheetData>
  <mergeCells count="10">
    <mergeCell ref="A26:A29"/>
    <mergeCell ref="A31:A37"/>
    <mergeCell ref="E3:F3"/>
    <mergeCell ref="A3:A4"/>
    <mergeCell ref="B3:B4"/>
    <mergeCell ref="A6:A9"/>
    <mergeCell ref="A11:A14"/>
    <mergeCell ref="A16:A19"/>
    <mergeCell ref="A21:A24"/>
    <mergeCell ref="C3:D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4" orientation="landscape" r:id="rId1"/>
  <ignoredErrors>
    <ignoredError sqref="C37:F37" evalError="1"/>
  </ignoredError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A1:I66"/>
  <sheetViews>
    <sheetView showGridLines="0" zoomScaleNormal="100" workbookViewId="0">
      <selection activeCell="K5" sqref="K5"/>
    </sheetView>
  </sheetViews>
  <sheetFormatPr baseColWidth="10" defaultRowHeight="12.75" x14ac:dyDescent="0.2"/>
  <cols>
    <col min="1" max="1" width="12.42578125" style="184" bestFit="1" customWidth="1"/>
    <col min="2" max="2" width="8.140625" style="184" bestFit="1" customWidth="1"/>
    <col min="3" max="3" width="36.85546875" style="184" bestFit="1" customWidth="1"/>
    <col min="4" max="4" width="10" style="184" bestFit="1" customWidth="1"/>
    <col min="5" max="5" width="10.140625" style="184" bestFit="1" customWidth="1"/>
    <col min="6" max="6" width="7.7109375" style="184" customWidth="1"/>
    <col min="7" max="7" width="10" style="184" bestFit="1" customWidth="1"/>
    <col min="8" max="8" width="10.140625" style="184" bestFit="1" customWidth="1"/>
    <col min="9" max="9" width="7.7109375" style="184" customWidth="1"/>
    <col min="10" max="16384" width="11.42578125" style="184"/>
  </cols>
  <sheetData>
    <row r="1" spans="1:9" ht="18.75" x14ac:dyDescent="0.2">
      <c r="A1" s="4138" t="s">
        <v>874</v>
      </c>
    </row>
    <row r="2" spans="1:9" ht="18.75" x14ac:dyDescent="0.2">
      <c r="A2" s="4138"/>
    </row>
    <row r="3" spans="1:9" ht="13.5" customHeight="1" x14ac:dyDescent="0.2">
      <c r="A3" s="5915" t="s">
        <v>51</v>
      </c>
      <c r="B3" s="5915" t="s">
        <v>702</v>
      </c>
      <c r="C3" s="5915" t="s">
        <v>840</v>
      </c>
      <c r="D3" s="5917">
        <v>2014</v>
      </c>
      <c r="E3" s="5918"/>
      <c r="F3" s="5919"/>
      <c r="G3" s="5917">
        <v>2015</v>
      </c>
      <c r="H3" s="5918"/>
      <c r="I3" s="5919"/>
    </row>
    <row r="4" spans="1:9" ht="15" x14ac:dyDescent="0.2">
      <c r="A4" s="5916"/>
      <c r="B4" s="5916"/>
      <c r="C4" s="5916"/>
      <c r="D4" s="4615" t="s">
        <v>675</v>
      </c>
      <c r="E4" s="4615" t="s">
        <v>676</v>
      </c>
      <c r="F4" s="4688" t="s">
        <v>160</v>
      </c>
      <c r="G4" s="4649" t="s">
        <v>675</v>
      </c>
      <c r="H4" s="4650" t="s">
        <v>676</v>
      </c>
      <c r="I4" s="4688" t="s">
        <v>160</v>
      </c>
    </row>
    <row r="5" spans="1:9" ht="15" customHeight="1" x14ac:dyDescent="0.2">
      <c r="A5" s="5900" t="s">
        <v>161</v>
      </c>
      <c r="B5" s="5888" t="s">
        <v>5</v>
      </c>
      <c r="C5" s="4616" t="s">
        <v>1461</v>
      </c>
      <c r="D5" s="4622">
        <v>2</v>
      </c>
      <c r="E5" s="4623">
        <v>1</v>
      </c>
      <c r="F5" s="3055">
        <f>SUM(D5:E5)</f>
        <v>3</v>
      </c>
      <c r="G5" s="4622">
        <v>2</v>
      </c>
      <c r="H5" s="4623">
        <v>1</v>
      </c>
      <c r="I5" s="3055">
        <f>SUM(G5:H5)</f>
        <v>3</v>
      </c>
    </row>
    <row r="6" spans="1:9" ht="15" customHeight="1" x14ac:dyDescent="0.25">
      <c r="A6" s="5901"/>
      <c r="B6" s="5540"/>
      <c r="C6" s="4591" t="s">
        <v>841</v>
      </c>
      <c r="D6" s="4624"/>
      <c r="E6" s="4625"/>
      <c r="F6" s="3057">
        <f t="shared" ref="F6:F53" si="0">SUM(D6:E6)</f>
        <v>0</v>
      </c>
      <c r="G6" s="4624"/>
      <c r="H6" s="4625">
        <v>1</v>
      </c>
      <c r="I6" s="3057">
        <f t="shared" ref="I6:I60" si="1">SUM(G6:H6)</f>
        <v>1</v>
      </c>
    </row>
    <row r="7" spans="1:9" ht="15" customHeight="1" x14ac:dyDescent="0.2">
      <c r="A7" s="5901"/>
      <c r="B7" s="5540"/>
      <c r="C7" s="3056" t="s">
        <v>1463</v>
      </c>
      <c r="D7" s="4626"/>
      <c r="E7" s="4627">
        <v>1</v>
      </c>
      <c r="F7" s="3057">
        <f t="shared" si="0"/>
        <v>1</v>
      </c>
      <c r="G7" s="4626"/>
      <c r="H7" s="4627">
        <v>1</v>
      </c>
      <c r="I7" s="3057">
        <f t="shared" si="1"/>
        <v>1</v>
      </c>
    </row>
    <row r="8" spans="1:9" ht="15" customHeight="1" x14ac:dyDescent="0.2">
      <c r="A8" s="5901"/>
      <c r="B8" s="5540"/>
      <c r="C8" s="3056" t="s">
        <v>1470</v>
      </c>
      <c r="D8" s="4626"/>
      <c r="E8" s="4627">
        <v>2</v>
      </c>
      <c r="F8" s="3057">
        <f t="shared" si="0"/>
        <v>2</v>
      </c>
      <c r="G8" s="4626"/>
      <c r="H8" s="4627">
        <v>1</v>
      </c>
      <c r="I8" s="3057">
        <f t="shared" si="1"/>
        <v>1</v>
      </c>
    </row>
    <row r="9" spans="1:9" ht="15" customHeight="1" x14ac:dyDescent="0.2">
      <c r="A9" s="5901"/>
      <c r="B9" s="5540"/>
      <c r="C9" s="3056" t="s">
        <v>1464</v>
      </c>
      <c r="D9" s="4626">
        <v>1</v>
      </c>
      <c r="E9" s="4627"/>
      <c r="F9" s="3057">
        <f t="shared" si="0"/>
        <v>1</v>
      </c>
      <c r="G9" s="4626"/>
      <c r="H9" s="4627"/>
      <c r="I9" s="3057">
        <f t="shared" si="1"/>
        <v>0</v>
      </c>
    </row>
    <row r="10" spans="1:9" ht="15" customHeight="1" x14ac:dyDescent="0.2">
      <c r="A10" s="5901"/>
      <c r="B10" s="5540"/>
      <c r="C10" s="3056" t="s">
        <v>1465</v>
      </c>
      <c r="D10" s="4626">
        <v>1</v>
      </c>
      <c r="E10" s="4627">
        <v>1</v>
      </c>
      <c r="F10" s="3057">
        <f t="shared" si="0"/>
        <v>2</v>
      </c>
      <c r="G10" s="4626">
        <v>1</v>
      </c>
      <c r="H10" s="4627">
        <v>1</v>
      </c>
      <c r="I10" s="3057">
        <f t="shared" si="1"/>
        <v>2</v>
      </c>
    </row>
    <row r="11" spans="1:9" ht="15" customHeight="1" x14ac:dyDescent="0.2">
      <c r="A11" s="5901"/>
      <c r="B11" s="5541"/>
      <c r="C11" s="3058" t="s">
        <v>5</v>
      </c>
      <c r="D11" s="4628">
        <f t="shared" ref="D11:F11" si="2">SUM(D5:D10)</f>
        <v>4</v>
      </c>
      <c r="E11" s="4629">
        <f t="shared" si="2"/>
        <v>5</v>
      </c>
      <c r="F11" s="3059">
        <f t="shared" si="2"/>
        <v>9</v>
      </c>
      <c r="G11" s="4628">
        <f>SUM(G5:G10)</f>
        <v>3</v>
      </c>
      <c r="H11" s="4629">
        <f t="shared" ref="H11" si="3">SUM(H5:H10)</f>
        <v>5</v>
      </c>
      <c r="I11" s="3059">
        <f>SUM(I5:I10)</f>
        <v>8</v>
      </c>
    </row>
    <row r="12" spans="1:9" ht="15" customHeight="1" x14ac:dyDescent="0.2">
      <c r="A12" s="5901"/>
      <c r="B12" s="5888" t="s">
        <v>6</v>
      </c>
      <c r="C12" s="3056" t="s">
        <v>181</v>
      </c>
      <c r="D12" s="4626">
        <v>1</v>
      </c>
      <c r="E12" s="4627">
        <v>1</v>
      </c>
      <c r="F12" s="3057">
        <f t="shared" si="0"/>
        <v>2</v>
      </c>
      <c r="G12" s="4626">
        <v>1</v>
      </c>
      <c r="H12" s="4627">
        <v>1</v>
      </c>
      <c r="I12" s="3057">
        <f t="shared" si="1"/>
        <v>2</v>
      </c>
    </row>
    <row r="13" spans="1:9" ht="15" customHeight="1" x14ac:dyDescent="0.2">
      <c r="A13" s="5901"/>
      <c r="B13" s="5540"/>
      <c r="C13" s="3056" t="s">
        <v>182</v>
      </c>
      <c r="D13" s="4626">
        <v>6</v>
      </c>
      <c r="E13" s="4627">
        <v>1</v>
      </c>
      <c r="F13" s="3057">
        <f t="shared" si="0"/>
        <v>7</v>
      </c>
      <c r="G13" s="4626">
        <v>5</v>
      </c>
      <c r="H13" s="4627">
        <v>2</v>
      </c>
      <c r="I13" s="3057">
        <f t="shared" si="1"/>
        <v>7</v>
      </c>
    </row>
    <row r="14" spans="1:9" ht="15" customHeight="1" x14ac:dyDescent="0.2">
      <c r="A14" s="5901"/>
      <c r="B14" s="5540"/>
      <c r="C14" s="3056" t="s">
        <v>183</v>
      </c>
      <c r="D14" s="4626">
        <v>1</v>
      </c>
      <c r="E14" s="4627"/>
      <c r="F14" s="3057">
        <f t="shared" si="0"/>
        <v>1</v>
      </c>
      <c r="G14" s="4626"/>
      <c r="H14" s="4627"/>
      <c r="I14" s="3057">
        <f t="shared" si="1"/>
        <v>0</v>
      </c>
    </row>
    <row r="15" spans="1:9" ht="15" customHeight="1" x14ac:dyDescent="0.2">
      <c r="A15" s="5901"/>
      <c r="B15" s="5540"/>
      <c r="C15" s="3056" t="s">
        <v>842</v>
      </c>
      <c r="D15" s="4626">
        <v>1</v>
      </c>
      <c r="E15" s="4627">
        <v>1</v>
      </c>
      <c r="F15" s="3057">
        <f t="shared" si="0"/>
        <v>2</v>
      </c>
      <c r="G15" s="4626">
        <v>1</v>
      </c>
      <c r="H15" s="4627">
        <v>1</v>
      </c>
      <c r="I15" s="3057">
        <f t="shared" si="1"/>
        <v>2</v>
      </c>
    </row>
    <row r="16" spans="1:9" ht="15" customHeight="1" x14ac:dyDescent="0.2">
      <c r="A16" s="5901"/>
      <c r="B16" s="5540"/>
      <c r="C16" s="3060" t="s">
        <v>6</v>
      </c>
      <c r="D16" s="4630">
        <f t="shared" ref="D16:F16" si="4">SUM(D12:D15)</f>
        <v>9</v>
      </c>
      <c r="E16" s="4631">
        <f t="shared" si="4"/>
        <v>3</v>
      </c>
      <c r="F16" s="3061">
        <f t="shared" si="4"/>
        <v>12</v>
      </c>
      <c r="G16" s="4630">
        <f>SUM(G12:G15)</f>
        <v>7</v>
      </c>
      <c r="H16" s="4631">
        <f t="shared" ref="H16:I16" si="5">SUM(H12:H15)</f>
        <v>4</v>
      </c>
      <c r="I16" s="3061">
        <f t="shared" si="5"/>
        <v>11</v>
      </c>
    </row>
    <row r="17" spans="1:9" ht="15" customHeight="1" x14ac:dyDescent="0.2">
      <c r="A17" s="5902"/>
      <c r="B17" s="5911" t="s">
        <v>450</v>
      </c>
      <c r="C17" s="5912"/>
      <c r="D17" s="4632">
        <f>SUM(D16,D11)</f>
        <v>13</v>
      </c>
      <c r="E17" s="4633">
        <f t="shared" ref="E17:I17" si="6">SUM(E16,E11)</f>
        <v>8</v>
      </c>
      <c r="F17" s="4617">
        <f t="shared" si="6"/>
        <v>21</v>
      </c>
      <c r="G17" s="4632">
        <f t="shared" si="6"/>
        <v>10</v>
      </c>
      <c r="H17" s="4633">
        <f t="shared" si="6"/>
        <v>9</v>
      </c>
      <c r="I17" s="4617">
        <f t="shared" si="6"/>
        <v>19</v>
      </c>
    </row>
    <row r="18" spans="1:9" ht="15" customHeight="1" x14ac:dyDescent="0.2">
      <c r="A18" s="5889" t="s">
        <v>162</v>
      </c>
      <c r="B18" s="5888" t="s">
        <v>5</v>
      </c>
      <c r="C18" s="1353" t="s">
        <v>201</v>
      </c>
      <c r="D18" s="4634">
        <v>1</v>
      </c>
      <c r="E18" s="4635"/>
      <c r="F18" s="3063">
        <f t="shared" si="0"/>
        <v>1</v>
      </c>
      <c r="G18" s="4634"/>
      <c r="H18" s="4635"/>
      <c r="I18" s="3063">
        <f t="shared" si="1"/>
        <v>0</v>
      </c>
    </row>
    <row r="19" spans="1:9" ht="15" customHeight="1" x14ac:dyDescent="0.2">
      <c r="A19" s="5890"/>
      <c r="B19" s="5540"/>
      <c r="C19" s="3056" t="s">
        <v>1462</v>
      </c>
      <c r="D19" s="4636"/>
      <c r="E19" s="4637">
        <v>1</v>
      </c>
      <c r="F19" s="3064">
        <f t="shared" si="0"/>
        <v>1</v>
      </c>
      <c r="G19" s="4636"/>
      <c r="H19" s="4637">
        <v>1</v>
      </c>
      <c r="I19" s="3064">
        <f t="shared" si="1"/>
        <v>1</v>
      </c>
    </row>
    <row r="20" spans="1:9" ht="15" customHeight="1" x14ac:dyDescent="0.2">
      <c r="A20" s="5890"/>
      <c r="B20" s="5540"/>
      <c r="C20" s="3056" t="s">
        <v>1466</v>
      </c>
      <c r="D20" s="4636"/>
      <c r="E20" s="4637">
        <v>2</v>
      </c>
      <c r="F20" s="3064">
        <f t="shared" si="0"/>
        <v>2</v>
      </c>
      <c r="G20" s="4636"/>
      <c r="H20" s="4637"/>
      <c r="I20" s="3064">
        <f t="shared" si="1"/>
        <v>0</v>
      </c>
    </row>
    <row r="21" spans="1:9" ht="15" customHeight="1" x14ac:dyDescent="0.2">
      <c r="A21" s="5890"/>
      <c r="B21" s="5540"/>
      <c r="C21" s="3056" t="s">
        <v>1465</v>
      </c>
      <c r="D21" s="4636"/>
      <c r="E21" s="4637">
        <v>1</v>
      </c>
      <c r="F21" s="3064">
        <f t="shared" si="0"/>
        <v>1</v>
      </c>
      <c r="G21" s="4636"/>
      <c r="H21" s="4637">
        <v>1</v>
      </c>
      <c r="I21" s="3064">
        <f t="shared" si="1"/>
        <v>1</v>
      </c>
    </row>
    <row r="22" spans="1:9" ht="15" customHeight="1" x14ac:dyDescent="0.2">
      <c r="A22" s="5890"/>
      <c r="B22" s="5540"/>
      <c r="C22" s="3056" t="s">
        <v>199</v>
      </c>
      <c r="D22" s="4636">
        <v>1</v>
      </c>
      <c r="E22" s="4637">
        <v>1</v>
      </c>
      <c r="F22" s="3064">
        <f t="shared" si="0"/>
        <v>2</v>
      </c>
      <c r="G22" s="4636">
        <v>1</v>
      </c>
      <c r="H22" s="4637"/>
      <c r="I22" s="3064">
        <f t="shared" si="1"/>
        <v>1</v>
      </c>
    </row>
    <row r="23" spans="1:9" ht="15" customHeight="1" x14ac:dyDescent="0.2">
      <c r="A23" s="5890"/>
      <c r="B23" s="5541"/>
      <c r="C23" s="3058" t="s">
        <v>5</v>
      </c>
      <c r="D23" s="4628">
        <f>SUM(D18:D22)</f>
        <v>2</v>
      </c>
      <c r="E23" s="4629">
        <f t="shared" ref="E23:I23" si="7">SUM(E18:E22)</f>
        <v>5</v>
      </c>
      <c r="F23" s="3059">
        <f t="shared" si="7"/>
        <v>7</v>
      </c>
      <c r="G23" s="4628">
        <f t="shared" si="7"/>
        <v>1</v>
      </c>
      <c r="H23" s="4629">
        <f t="shared" si="7"/>
        <v>2</v>
      </c>
      <c r="I23" s="3059">
        <f t="shared" si="7"/>
        <v>3</v>
      </c>
    </row>
    <row r="24" spans="1:9" ht="15" customHeight="1" x14ac:dyDescent="0.2">
      <c r="A24" s="5890"/>
      <c r="B24" s="5888" t="s">
        <v>6</v>
      </c>
      <c r="C24" s="3056" t="s">
        <v>181</v>
      </c>
      <c r="D24" s="4636">
        <v>1</v>
      </c>
      <c r="E24" s="4637"/>
      <c r="F24" s="3064">
        <f t="shared" ref="F24:F29" si="8">SUM(D24:E24)</f>
        <v>1</v>
      </c>
      <c r="G24" s="4636">
        <v>2</v>
      </c>
      <c r="H24" s="4637"/>
      <c r="I24" s="3064">
        <f t="shared" si="1"/>
        <v>2</v>
      </c>
    </row>
    <row r="25" spans="1:9" ht="15" customHeight="1" x14ac:dyDescent="0.2">
      <c r="A25" s="5890"/>
      <c r="B25" s="5540"/>
      <c r="C25" s="3056" t="s">
        <v>1457</v>
      </c>
      <c r="D25" s="4636"/>
      <c r="E25" s="4637"/>
      <c r="F25" s="3064">
        <f t="shared" si="8"/>
        <v>0</v>
      </c>
      <c r="G25" s="4636">
        <v>1</v>
      </c>
      <c r="H25" s="4637"/>
      <c r="I25" s="3064">
        <f t="shared" si="1"/>
        <v>1</v>
      </c>
    </row>
    <row r="26" spans="1:9" ht="15" customHeight="1" x14ac:dyDescent="0.2">
      <c r="A26" s="5890"/>
      <c r="B26" s="5540"/>
      <c r="C26" s="3056" t="s">
        <v>183</v>
      </c>
      <c r="D26" s="4636">
        <v>1</v>
      </c>
      <c r="E26" s="4637"/>
      <c r="F26" s="3064">
        <f t="shared" si="8"/>
        <v>1</v>
      </c>
      <c r="G26" s="4636">
        <v>1</v>
      </c>
      <c r="H26" s="4637"/>
      <c r="I26" s="3064">
        <f t="shared" si="1"/>
        <v>1</v>
      </c>
    </row>
    <row r="27" spans="1:9" ht="15" customHeight="1" x14ac:dyDescent="0.2">
      <c r="A27" s="5890"/>
      <c r="B27" s="5540"/>
      <c r="C27" s="3056" t="s">
        <v>211</v>
      </c>
      <c r="D27" s="4636"/>
      <c r="E27" s="4637">
        <v>1</v>
      </c>
      <c r="F27" s="3064">
        <f t="shared" si="8"/>
        <v>1</v>
      </c>
      <c r="G27" s="4636"/>
      <c r="H27" s="4637">
        <v>1</v>
      </c>
      <c r="I27" s="3064">
        <f t="shared" si="1"/>
        <v>1</v>
      </c>
    </row>
    <row r="28" spans="1:9" ht="15" customHeight="1" x14ac:dyDescent="0.2">
      <c r="A28" s="5890"/>
      <c r="B28" s="5540"/>
      <c r="C28" s="3056" t="s">
        <v>845</v>
      </c>
      <c r="D28" s="4636">
        <v>1</v>
      </c>
      <c r="E28" s="4637"/>
      <c r="F28" s="3064">
        <f t="shared" si="8"/>
        <v>1</v>
      </c>
      <c r="G28" s="4636">
        <v>1</v>
      </c>
      <c r="H28" s="4637"/>
      <c r="I28" s="3064">
        <f t="shared" si="1"/>
        <v>1</v>
      </c>
    </row>
    <row r="29" spans="1:9" ht="15" customHeight="1" x14ac:dyDescent="0.2">
      <c r="A29" s="5890"/>
      <c r="B29" s="5540"/>
      <c r="C29" s="3056" t="s">
        <v>214</v>
      </c>
      <c r="D29" s="4636"/>
      <c r="E29" s="4637">
        <v>1</v>
      </c>
      <c r="F29" s="3064">
        <f t="shared" si="8"/>
        <v>1</v>
      </c>
      <c r="G29" s="4636"/>
      <c r="H29" s="4637">
        <v>1</v>
      </c>
      <c r="I29" s="3064">
        <f t="shared" si="1"/>
        <v>1</v>
      </c>
    </row>
    <row r="30" spans="1:9" ht="15" customHeight="1" x14ac:dyDescent="0.2">
      <c r="A30" s="5890"/>
      <c r="B30" s="5541"/>
      <c r="C30" s="3058" t="s">
        <v>6</v>
      </c>
      <c r="D30" s="4628">
        <f>SUM(D24:D29)</f>
        <v>3</v>
      </c>
      <c r="E30" s="4629">
        <f t="shared" ref="E30:I30" si="9">SUM(E24:E29)</f>
        <v>2</v>
      </c>
      <c r="F30" s="3059">
        <f t="shared" si="9"/>
        <v>5</v>
      </c>
      <c r="G30" s="4628">
        <f t="shared" si="9"/>
        <v>5</v>
      </c>
      <c r="H30" s="4629">
        <f t="shared" si="9"/>
        <v>2</v>
      </c>
      <c r="I30" s="3059">
        <f t="shared" si="9"/>
        <v>7</v>
      </c>
    </row>
    <row r="31" spans="1:9" ht="15" customHeight="1" x14ac:dyDescent="0.2">
      <c r="A31" s="5890"/>
      <c r="B31" s="5888" t="s">
        <v>11</v>
      </c>
      <c r="C31" s="3056" t="s">
        <v>202</v>
      </c>
      <c r="D31" s="4636">
        <v>1</v>
      </c>
      <c r="E31" s="4637"/>
      <c r="F31" s="3064">
        <f t="shared" si="0"/>
        <v>1</v>
      </c>
      <c r="G31" s="4636">
        <v>1</v>
      </c>
      <c r="H31" s="4637"/>
      <c r="I31" s="3064">
        <f t="shared" si="1"/>
        <v>1</v>
      </c>
    </row>
    <row r="32" spans="1:9" ht="15" customHeight="1" x14ac:dyDescent="0.2">
      <c r="A32" s="5890"/>
      <c r="B32" s="5540"/>
      <c r="C32" s="3056" t="s">
        <v>204</v>
      </c>
      <c r="D32" s="4636">
        <v>2</v>
      </c>
      <c r="E32" s="4637"/>
      <c r="F32" s="3064">
        <f t="shared" si="0"/>
        <v>2</v>
      </c>
      <c r="G32" s="4636">
        <v>2</v>
      </c>
      <c r="H32" s="4637"/>
      <c r="I32" s="3064">
        <f t="shared" si="1"/>
        <v>2</v>
      </c>
    </row>
    <row r="33" spans="1:9" ht="15" customHeight="1" x14ac:dyDescent="0.2">
      <c r="A33" s="5890"/>
      <c r="B33" s="5540"/>
      <c r="C33" s="3056" t="s">
        <v>1467</v>
      </c>
      <c r="D33" s="4636">
        <v>1</v>
      </c>
      <c r="E33" s="4637"/>
      <c r="F33" s="3064">
        <f t="shared" si="0"/>
        <v>1</v>
      </c>
      <c r="G33" s="4636">
        <v>1</v>
      </c>
      <c r="H33" s="4637"/>
      <c r="I33" s="3064">
        <f t="shared" si="1"/>
        <v>1</v>
      </c>
    </row>
    <row r="34" spans="1:9" ht="15" customHeight="1" x14ac:dyDescent="0.2">
      <c r="A34" s="5890"/>
      <c r="B34" s="5540"/>
      <c r="C34" s="3056" t="s">
        <v>205</v>
      </c>
      <c r="D34" s="4636">
        <v>1</v>
      </c>
      <c r="E34" s="4637"/>
      <c r="F34" s="3064">
        <f t="shared" si="0"/>
        <v>1</v>
      </c>
      <c r="G34" s="4636"/>
      <c r="H34" s="4637"/>
      <c r="I34" s="3064">
        <f t="shared" si="1"/>
        <v>0</v>
      </c>
    </row>
    <row r="35" spans="1:9" ht="15" customHeight="1" x14ac:dyDescent="0.2">
      <c r="A35" s="5890"/>
      <c r="B35" s="5541"/>
      <c r="C35" s="3058" t="s">
        <v>11</v>
      </c>
      <c r="D35" s="4628">
        <f t="shared" ref="D35:F35" si="10">SUM(D31:D34)</f>
        <v>5</v>
      </c>
      <c r="E35" s="4629">
        <f t="shared" si="10"/>
        <v>0</v>
      </c>
      <c r="F35" s="3059">
        <f t="shared" si="10"/>
        <v>5</v>
      </c>
      <c r="G35" s="4628">
        <f>SUM(G31:G34)</f>
        <v>4</v>
      </c>
      <c r="H35" s="4629">
        <f t="shared" ref="H35:I35" si="11">SUM(H31:H34)</f>
        <v>0</v>
      </c>
      <c r="I35" s="3059">
        <f t="shared" si="11"/>
        <v>4</v>
      </c>
    </row>
    <row r="36" spans="1:9" ht="15" customHeight="1" x14ac:dyDescent="0.2">
      <c r="A36" s="5891"/>
      <c r="B36" s="5913" t="s">
        <v>450</v>
      </c>
      <c r="C36" s="5914" t="s">
        <v>75</v>
      </c>
      <c r="D36" s="4638">
        <f>SUM(D35,D30,D23)</f>
        <v>10</v>
      </c>
      <c r="E36" s="4639">
        <f t="shared" ref="E36:I36" si="12">SUM(E35,E30,E23)</f>
        <v>7</v>
      </c>
      <c r="F36" s="4618">
        <f t="shared" si="12"/>
        <v>17</v>
      </c>
      <c r="G36" s="4638">
        <f t="shared" si="12"/>
        <v>10</v>
      </c>
      <c r="H36" s="4639">
        <f t="shared" si="12"/>
        <v>4</v>
      </c>
      <c r="I36" s="4618">
        <f t="shared" si="12"/>
        <v>14</v>
      </c>
    </row>
    <row r="37" spans="1:9" ht="15" customHeight="1" x14ac:dyDescent="0.2">
      <c r="A37" s="5903" t="s">
        <v>163</v>
      </c>
      <c r="B37" s="5888" t="s">
        <v>6</v>
      </c>
      <c r="C37" s="3056" t="s">
        <v>181</v>
      </c>
      <c r="D37" s="4626">
        <v>1</v>
      </c>
      <c r="E37" s="4627"/>
      <c r="F37" s="3057">
        <f t="shared" si="0"/>
        <v>1</v>
      </c>
      <c r="G37" s="4624">
        <v>1</v>
      </c>
      <c r="H37" s="4625"/>
      <c r="I37" s="3057">
        <f t="shared" si="1"/>
        <v>1</v>
      </c>
    </row>
    <row r="38" spans="1:9" ht="15" customHeight="1" x14ac:dyDescent="0.2">
      <c r="A38" s="5904"/>
      <c r="B38" s="5540"/>
      <c r="C38" s="3056" t="s">
        <v>183</v>
      </c>
      <c r="D38" s="4626">
        <v>1</v>
      </c>
      <c r="E38" s="4627">
        <v>1</v>
      </c>
      <c r="F38" s="3057">
        <f t="shared" si="0"/>
        <v>2</v>
      </c>
      <c r="G38" s="4626">
        <v>1</v>
      </c>
      <c r="H38" s="4627">
        <v>2</v>
      </c>
      <c r="I38" s="3057">
        <f t="shared" si="1"/>
        <v>3</v>
      </c>
    </row>
    <row r="39" spans="1:9" ht="15" customHeight="1" x14ac:dyDescent="0.2">
      <c r="A39" s="5904"/>
      <c r="B39" s="5540"/>
      <c r="C39" s="3056" t="s">
        <v>1468</v>
      </c>
      <c r="D39" s="4626">
        <v>1</v>
      </c>
      <c r="E39" s="4627"/>
      <c r="F39" s="3057">
        <f t="shared" si="0"/>
        <v>1</v>
      </c>
      <c r="G39" s="4626">
        <v>1</v>
      </c>
      <c r="H39" s="4627"/>
      <c r="I39" s="3057">
        <f t="shared" si="1"/>
        <v>1</v>
      </c>
    </row>
    <row r="40" spans="1:9" ht="15" customHeight="1" x14ac:dyDescent="0.2">
      <c r="A40" s="5904"/>
      <c r="B40" s="5540"/>
      <c r="C40" s="3056" t="s">
        <v>846</v>
      </c>
      <c r="D40" s="4626">
        <v>3</v>
      </c>
      <c r="E40" s="4627"/>
      <c r="F40" s="3057">
        <f t="shared" si="0"/>
        <v>3</v>
      </c>
      <c r="G40" s="4626">
        <v>3</v>
      </c>
      <c r="H40" s="4627"/>
      <c r="I40" s="3057">
        <f t="shared" si="1"/>
        <v>3</v>
      </c>
    </row>
    <row r="41" spans="1:9" ht="15" customHeight="1" x14ac:dyDescent="0.2">
      <c r="A41" s="5904"/>
      <c r="B41" s="5541"/>
      <c r="C41" s="3058" t="s">
        <v>6</v>
      </c>
      <c r="D41" s="4628">
        <f>SUM(D37:D40)</f>
        <v>6</v>
      </c>
      <c r="E41" s="4629">
        <f t="shared" ref="E41:I41" si="13">SUM(E37:E40)</f>
        <v>1</v>
      </c>
      <c r="F41" s="3059">
        <f t="shared" si="13"/>
        <v>7</v>
      </c>
      <c r="G41" s="4628">
        <f t="shared" si="13"/>
        <v>6</v>
      </c>
      <c r="H41" s="4629">
        <f t="shared" si="13"/>
        <v>2</v>
      </c>
      <c r="I41" s="3059">
        <f t="shared" si="13"/>
        <v>8</v>
      </c>
    </row>
    <row r="42" spans="1:9" ht="15" customHeight="1" x14ac:dyDescent="0.2">
      <c r="A42" s="5904"/>
      <c r="B42" s="5888" t="s">
        <v>11</v>
      </c>
      <c r="C42" s="3056" t="s">
        <v>221</v>
      </c>
      <c r="D42" s="4626">
        <v>4</v>
      </c>
      <c r="E42" s="4627">
        <v>1</v>
      </c>
      <c r="F42" s="3057">
        <f t="shared" si="0"/>
        <v>5</v>
      </c>
      <c r="G42" s="4626">
        <v>3</v>
      </c>
      <c r="H42" s="4627">
        <v>1</v>
      </c>
      <c r="I42" s="3057">
        <f t="shared" si="1"/>
        <v>4</v>
      </c>
    </row>
    <row r="43" spans="1:9" ht="15" customHeight="1" x14ac:dyDescent="0.2">
      <c r="A43" s="5904"/>
      <c r="B43" s="5540"/>
      <c r="C43" s="3056" t="s">
        <v>202</v>
      </c>
      <c r="D43" s="4626"/>
      <c r="E43" s="4627"/>
      <c r="F43" s="3057">
        <f t="shared" si="0"/>
        <v>0</v>
      </c>
      <c r="G43" s="4626"/>
      <c r="H43" s="4627">
        <v>1</v>
      </c>
      <c r="I43" s="3057">
        <f t="shared" si="1"/>
        <v>1</v>
      </c>
    </row>
    <row r="44" spans="1:9" ht="15" customHeight="1" x14ac:dyDescent="0.2">
      <c r="A44" s="5904"/>
      <c r="B44" s="5540"/>
      <c r="C44" s="3056" t="s">
        <v>217</v>
      </c>
      <c r="D44" s="4626">
        <v>1</v>
      </c>
      <c r="E44" s="4627"/>
      <c r="F44" s="3057">
        <f t="shared" si="0"/>
        <v>1</v>
      </c>
      <c r="G44" s="4626">
        <v>1</v>
      </c>
      <c r="H44" s="4627"/>
      <c r="I44" s="3057">
        <f t="shared" si="1"/>
        <v>1</v>
      </c>
    </row>
    <row r="45" spans="1:9" ht="15" customHeight="1" x14ac:dyDescent="0.2">
      <c r="A45" s="5904"/>
      <c r="B45" s="5540"/>
      <c r="C45" s="3056" t="s">
        <v>218</v>
      </c>
      <c r="D45" s="4626">
        <v>1</v>
      </c>
      <c r="E45" s="4627"/>
      <c r="F45" s="3057">
        <f t="shared" si="0"/>
        <v>1</v>
      </c>
      <c r="G45" s="4626">
        <v>1</v>
      </c>
      <c r="H45" s="4627">
        <v>1</v>
      </c>
      <c r="I45" s="3057">
        <f t="shared" si="1"/>
        <v>2</v>
      </c>
    </row>
    <row r="46" spans="1:9" ht="15" customHeight="1" x14ac:dyDescent="0.2">
      <c r="A46" s="5904"/>
      <c r="B46" s="5540"/>
      <c r="C46" s="3056" t="s">
        <v>222</v>
      </c>
      <c r="D46" s="4626"/>
      <c r="E46" s="4627">
        <v>1</v>
      </c>
      <c r="F46" s="3057">
        <f t="shared" si="0"/>
        <v>1</v>
      </c>
      <c r="G46" s="4626"/>
      <c r="H46" s="4627">
        <v>1</v>
      </c>
      <c r="I46" s="3057">
        <f t="shared" si="1"/>
        <v>1</v>
      </c>
    </row>
    <row r="47" spans="1:9" ht="15" customHeight="1" x14ac:dyDescent="0.2">
      <c r="A47" s="5904"/>
      <c r="B47" s="5540"/>
      <c r="C47" s="3056" t="s">
        <v>848</v>
      </c>
      <c r="D47" s="4626"/>
      <c r="E47" s="4627"/>
      <c r="F47" s="3057">
        <f t="shared" si="0"/>
        <v>0</v>
      </c>
      <c r="G47" s="4626">
        <v>1</v>
      </c>
      <c r="H47" s="4627"/>
      <c r="I47" s="3057">
        <f t="shared" si="1"/>
        <v>1</v>
      </c>
    </row>
    <row r="48" spans="1:9" ht="15" customHeight="1" x14ac:dyDescent="0.2">
      <c r="A48" s="5904"/>
      <c r="B48" s="5540"/>
      <c r="C48" s="3056" t="s">
        <v>1460</v>
      </c>
      <c r="D48" s="4626"/>
      <c r="E48" s="4627"/>
      <c r="F48" s="3057">
        <f t="shared" si="0"/>
        <v>0</v>
      </c>
      <c r="G48" s="4626">
        <v>1</v>
      </c>
      <c r="H48" s="4627"/>
      <c r="I48" s="3057">
        <f t="shared" si="1"/>
        <v>1</v>
      </c>
    </row>
    <row r="49" spans="1:9" ht="15" customHeight="1" x14ac:dyDescent="0.2">
      <c r="A49" s="5904"/>
      <c r="B49" s="5541"/>
      <c r="C49" s="3058" t="s">
        <v>11</v>
      </c>
      <c r="D49" s="4628">
        <f>SUM(D42:D48)</f>
        <v>6</v>
      </c>
      <c r="E49" s="4629">
        <f t="shared" ref="E49:I49" si="14">SUM(E42:E48)</f>
        <v>2</v>
      </c>
      <c r="F49" s="3059">
        <f t="shared" si="14"/>
        <v>8</v>
      </c>
      <c r="G49" s="4628">
        <f t="shared" si="14"/>
        <v>7</v>
      </c>
      <c r="H49" s="4629">
        <f t="shared" si="14"/>
        <v>4</v>
      </c>
      <c r="I49" s="3059">
        <f t="shared" si="14"/>
        <v>11</v>
      </c>
    </row>
    <row r="50" spans="1:9" ht="15" customHeight="1" x14ac:dyDescent="0.2">
      <c r="A50" s="5904"/>
      <c r="B50" s="5888" t="s">
        <v>7</v>
      </c>
      <c r="C50" s="3056" t="s">
        <v>168</v>
      </c>
      <c r="D50" s="4636"/>
      <c r="E50" s="4637">
        <v>1</v>
      </c>
      <c r="F50" s="3064">
        <f t="shared" si="0"/>
        <v>1</v>
      </c>
      <c r="G50" s="4636"/>
      <c r="H50" s="4637">
        <v>1</v>
      </c>
      <c r="I50" s="3064">
        <f t="shared" si="1"/>
        <v>1</v>
      </c>
    </row>
    <row r="51" spans="1:9" ht="15" customHeight="1" x14ac:dyDescent="0.2">
      <c r="A51" s="5904"/>
      <c r="B51" s="5540"/>
      <c r="C51" s="3056" t="s">
        <v>843</v>
      </c>
      <c r="D51" s="4636">
        <v>1</v>
      </c>
      <c r="E51" s="4637"/>
      <c r="F51" s="3064">
        <f t="shared" si="0"/>
        <v>1</v>
      </c>
      <c r="G51" s="4636">
        <v>2</v>
      </c>
      <c r="H51" s="4637"/>
      <c r="I51" s="3064">
        <f t="shared" si="1"/>
        <v>2</v>
      </c>
    </row>
    <row r="52" spans="1:9" ht="15" customHeight="1" x14ac:dyDescent="0.2">
      <c r="A52" s="5904"/>
      <c r="B52" s="5540"/>
      <c r="C52" s="3056" t="s">
        <v>170</v>
      </c>
      <c r="D52" s="4636">
        <v>1</v>
      </c>
      <c r="E52" s="4637"/>
      <c r="F52" s="3064">
        <f t="shared" si="0"/>
        <v>1</v>
      </c>
      <c r="G52" s="4636">
        <v>1</v>
      </c>
      <c r="H52" s="4637"/>
      <c r="I52" s="3064">
        <f t="shared" si="1"/>
        <v>1</v>
      </c>
    </row>
    <row r="53" spans="1:9" ht="15" customHeight="1" x14ac:dyDescent="0.2">
      <c r="A53" s="5904"/>
      <c r="B53" s="5540"/>
      <c r="C53" s="3056" t="s">
        <v>1459</v>
      </c>
      <c r="D53" s="4640"/>
      <c r="E53" s="4637"/>
      <c r="F53" s="3064">
        <f t="shared" si="0"/>
        <v>0</v>
      </c>
      <c r="G53" s="4640"/>
      <c r="H53" s="4651">
        <v>1</v>
      </c>
      <c r="I53" s="3064">
        <f t="shared" si="1"/>
        <v>1</v>
      </c>
    </row>
    <row r="54" spans="1:9" ht="15" customHeight="1" x14ac:dyDescent="0.2">
      <c r="A54" s="5904"/>
      <c r="B54" s="5541"/>
      <c r="C54" s="3060" t="s">
        <v>7</v>
      </c>
      <c r="D54" s="4630">
        <f>SUM(D50:D53)</f>
        <v>2</v>
      </c>
      <c r="E54" s="4631">
        <f t="shared" ref="E54:I54" si="15">SUM(E50:E53)</f>
        <v>1</v>
      </c>
      <c r="F54" s="3061">
        <f t="shared" si="15"/>
        <v>3</v>
      </c>
      <c r="G54" s="4630">
        <f t="shared" si="15"/>
        <v>3</v>
      </c>
      <c r="H54" s="4631">
        <f t="shared" si="15"/>
        <v>2</v>
      </c>
      <c r="I54" s="3061">
        <f t="shared" si="15"/>
        <v>5</v>
      </c>
    </row>
    <row r="55" spans="1:9" ht="15" customHeight="1" x14ac:dyDescent="0.2">
      <c r="A55" s="5905"/>
      <c r="B55" s="5898" t="s">
        <v>450</v>
      </c>
      <c r="C55" s="5899"/>
      <c r="D55" s="4641">
        <f>SUM(D54,D49,D41)</f>
        <v>14</v>
      </c>
      <c r="E55" s="4642">
        <f t="shared" ref="E55:I55" si="16">SUM(E54,E49,E41)</f>
        <v>4</v>
      </c>
      <c r="F55" s="4619">
        <f t="shared" si="16"/>
        <v>18</v>
      </c>
      <c r="G55" s="4641">
        <f t="shared" si="16"/>
        <v>16</v>
      </c>
      <c r="H55" s="4642">
        <f t="shared" si="16"/>
        <v>8</v>
      </c>
      <c r="I55" s="4619">
        <f t="shared" si="16"/>
        <v>24</v>
      </c>
    </row>
    <row r="56" spans="1:9" ht="15" customHeight="1" x14ac:dyDescent="0.2">
      <c r="A56" s="5924" t="s">
        <v>410</v>
      </c>
      <c r="B56" s="5926" t="s">
        <v>6</v>
      </c>
      <c r="C56" s="3065" t="s">
        <v>850</v>
      </c>
      <c r="D56" s="4626">
        <v>0</v>
      </c>
      <c r="E56" s="4627">
        <v>1</v>
      </c>
      <c r="F56" s="3057">
        <f>SUM(D56:E56)</f>
        <v>1</v>
      </c>
      <c r="G56" s="4626"/>
      <c r="H56" s="4627"/>
      <c r="I56" s="3057">
        <f t="shared" si="1"/>
        <v>0</v>
      </c>
    </row>
    <row r="57" spans="1:9" ht="15" customHeight="1" x14ac:dyDescent="0.2">
      <c r="A57" s="5537"/>
      <c r="B57" s="5927"/>
      <c r="C57" s="3065" t="s">
        <v>191</v>
      </c>
      <c r="D57" s="4626">
        <v>1</v>
      </c>
      <c r="E57" s="4627">
        <v>0</v>
      </c>
      <c r="F57" s="3057">
        <f>SUM(D57:E57)</f>
        <v>1</v>
      </c>
      <c r="G57" s="4626">
        <v>1</v>
      </c>
      <c r="H57" s="4627"/>
      <c r="I57" s="3057">
        <f t="shared" si="1"/>
        <v>1</v>
      </c>
    </row>
    <row r="58" spans="1:9" ht="15" customHeight="1" x14ac:dyDescent="0.2">
      <c r="A58" s="5537"/>
      <c r="B58" s="5927"/>
      <c r="C58" s="3060" t="s">
        <v>6</v>
      </c>
      <c r="D58" s="4630">
        <f>SUM(D56:D57)</f>
        <v>1</v>
      </c>
      <c r="E58" s="4631">
        <f t="shared" ref="E58:I58" si="17">SUM(E56:E57)</f>
        <v>1</v>
      </c>
      <c r="F58" s="3061">
        <f t="shared" si="17"/>
        <v>2</v>
      </c>
      <c r="G58" s="4630">
        <f t="shared" si="17"/>
        <v>1</v>
      </c>
      <c r="H58" s="4631">
        <f t="shared" si="17"/>
        <v>0</v>
      </c>
      <c r="I58" s="3061">
        <f t="shared" si="17"/>
        <v>1</v>
      </c>
    </row>
    <row r="59" spans="1:9" ht="15" customHeight="1" x14ac:dyDescent="0.2">
      <c r="A59" s="5537"/>
      <c r="B59" s="5888" t="s">
        <v>74</v>
      </c>
      <c r="C59" s="3066" t="s">
        <v>1471</v>
      </c>
      <c r="D59" s="4624">
        <v>1</v>
      </c>
      <c r="E59" s="4625">
        <v>2</v>
      </c>
      <c r="F59" s="3067">
        <f>SUM(D59:E59)</f>
        <v>3</v>
      </c>
      <c r="G59" s="4624">
        <v>2</v>
      </c>
      <c r="H59" s="4625">
        <v>2</v>
      </c>
      <c r="I59" s="3067">
        <f t="shared" si="1"/>
        <v>4</v>
      </c>
    </row>
    <row r="60" spans="1:9" ht="15" customHeight="1" x14ac:dyDescent="0.2">
      <c r="A60" s="5537"/>
      <c r="B60" s="5540"/>
      <c r="C60" s="3065" t="s">
        <v>854</v>
      </c>
      <c r="D60" s="4626">
        <v>1</v>
      </c>
      <c r="E60" s="4627">
        <v>0</v>
      </c>
      <c r="F60" s="3057">
        <f>SUM(D60:E60)</f>
        <v>1</v>
      </c>
      <c r="G60" s="4626">
        <v>1</v>
      </c>
      <c r="H60" s="4627"/>
      <c r="I60" s="3057">
        <f t="shared" si="1"/>
        <v>1</v>
      </c>
    </row>
    <row r="61" spans="1:9" ht="24" customHeight="1" x14ac:dyDescent="0.2">
      <c r="A61" s="5537"/>
      <c r="B61" s="5540"/>
      <c r="C61" s="3060" t="s">
        <v>74</v>
      </c>
      <c r="D61" s="4630">
        <f>SUM(D59:D60)</f>
        <v>2</v>
      </c>
      <c r="E61" s="4631">
        <f t="shared" ref="E61:I61" si="18">SUM(E59:E60)</f>
        <v>2</v>
      </c>
      <c r="F61" s="3061">
        <f t="shared" si="18"/>
        <v>4</v>
      </c>
      <c r="G61" s="4630">
        <f t="shared" si="18"/>
        <v>3</v>
      </c>
      <c r="H61" s="4631">
        <f t="shared" si="18"/>
        <v>2</v>
      </c>
      <c r="I61" s="3061">
        <f t="shared" si="18"/>
        <v>5</v>
      </c>
    </row>
    <row r="62" spans="1:9" ht="15" x14ac:dyDescent="0.2">
      <c r="A62" s="5925"/>
      <c r="B62" s="5896" t="s">
        <v>450</v>
      </c>
      <c r="C62" s="5897"/>
      <c r="D62" s="4643">
        <f>SUM(D61,D58)</f>
        <v>3</v>
      </c>
      <c r="E62" s="4644">
        <f t="shared" ref="E62:I62" si="19">SUM(E61,E58)</f>
        <v>3</v>
      </c>
      <c r="F62" s="4620">
        <f t="shared" si="19"/>
        <v>6</v>
      </c>
      <c r="G62" s="4643">
        <f t="shared" si="19"/>
        <v>4</v>
      </c>
      <c r="H62" s="4644">
        <f t="shared" si="19"/>
        <v>2</v>
      </c>
      <c r="I62" s="4620">
        <f t="shared" si="19"/>
        <v>6</v>
      </c>
    </row>
    <row r="63" spans="1:9" ht="15" x14ac:dyDescent="0.2">
      <c r="A63" s="5920" t="s">
        <v>411</v>
      </c>
      <c r="B63" s="5490" t="s">
        <v>11</v>
      </c>
      <c r="C63" s="3056" t="s">
        <v>1458</v>
      </c>
      <c r="D63" s="4636"/>
      <c r="E63" s="4637"/>
      <c r="F63" s="3064"/>
      <c r="G63" s="4636"/>
      <c r="H63" s="4637">
        <v>1</v>
      </c>
      <c r="I63" s="3064">
        <f>SUM(G63:H63)</f>
        <v>1</v>
      </c>
    </row>
    <row r="64" spans="1:9" ht="15" x14ac:dyDescent="0.2">
      <c r="A64" s="5921"/>
      <c r="B64" s="5923"/>
      <c r="C64" s="3058" t="s">
        <v>11</v>
      </c>
      <c r="D64" s="4628"/>
      <c r="E64" s="4629"/>
      <c r="F64" s="3059"/>
      <c r="G64" s="4628">
        <f>SUM(G63)</f>
        <v>0</v>
      </c>
      <c r="H64" s="4629">
        <f t="shared" ref="H64:I64" si="20">SUM(H63)</f>
        <v>1</v>
      </c>
      <c r="I64" s="3059">
        <f t="shared" si="20"/>
        <v>1</v>
      </c>
    </row>
    <row r="65" spans="1:9" ht="15" x14ac:dyDescent="0.2">
      <c r="A65" s="5922"/>
      <c r="B65" s="4599"/>
      <c r="C65" s="4592" t="s">
        <v>450</v>
      </c>
      <c r="D65" s="4645"/>
      <c r="E65" s="4646"/>
      <c r="F65" s="4593"/>
      <c r="G65" s="4652">
        <f>SUM(G64)</f>
        <v>0</v>
      </c>
      <c r="H65" s="4646">
        <f t="shared" ref="H65:I65" si="21">SUM(H64)</f>
        <v>1</v>
      </c>
      <c r="I65" s="4593">
        <f t="shared" si="21"/>
        <v>1</v>
      </c>
    </row>
    <row r="66" spans="1:9" ht="15" x14ac:dyDescent="0.2">
      <c r="A66" s="5885" t="s">
        <v>586</v>
      </c>
      <c r="B66" s="5886"/>
      <c r="C66" s="5887"/>
      <c r="D66" s="4647">
        <f t="shared" ref="D66:G66" si="22">SUM(D65,D62,D55,D36,D17)</f>
        <v>40</v>
      </c>
      <c r="E66" s="4648">
        <f t="shared" si="22"/>
        <v>22</v>
      </c>
      <c r="F66" s="4621">
        <f t="shared" si="22"/>
        <v>62</v>
      </c>
      <c r="G66" s="4647">
        <f t="shared" si="22"/>
        <v>40</v>
      </c>
      <c r="H66" s="4648">
        <f>SUM(H65,H62,H55,H36,H17)</f>
        <v>24</v>
      </c>
      <c r="I66" s="4621">
        <f>SUM(I65,I62,I55,I36,I17)</f>
        <v>64</v>
      </c>
    </row>
  </sheetData>
  <mergeCells count="26">
    <mergeCell ref="A66:C66"/>
    <mergeCell ref="A63:A65"/>
    <mergeCell ref="B63:B64"/>
    <mergeCell ref="B37:B41"/>
    <mergeCell ref="B55:C55"/>
    <mergeCell ref="B42:B49"/>
    <mergeCell ref="A37:A55"/>
    <mergeCell ref="B50:B54"/>
    <mergeCell ref="A56:A62"/>
    <mergeCell ref="B56:B58"/>
    <mergeCell ref="B59:B61"/>
    <mergeCell ref="B62:C62"/>
    <mergeCell ref="G3:I3"/>
    <mergeCell ref="A5:A17"/>
    <mergeCell ref="B5:B11"/>
    <mergeCell ref="A3:A4"/>
    <mergeCell ref="A18:A36"/>
    <mergeCell ref="B24:B30"/>
    <mergeCell ref="B3:B4"/>
    <mergeCell ref="C3:C4"/>
    <mergeCell ref="D3:F3"/>
    <mergeCell ref="B12:B16"/>
    <mergeCell ref="B17:C17"/>
    <mergeCell ref="B18:B23"/>
    <mergeCell ref="B31:B35"/>
    <mergeCell ref="B36:C36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scale="66" orientation="landscape" r:id="rId1"/>
  <ignoredErrors>
    <ignoredError sqref="F11 I11 I23 F23:F30 I30 F41:I49 F58:I58" formula="1"/>
  </ignoredErrors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A1:H42"/>
  <sheetViews>
    <sheetView showGridLines="0" zoomScaleNormal="100" workbookViewId="0">
      <selection activeCell="K11" sqref="K11"/>
    </sheetView>
  </sheetViews>
  <sheetFormatPr baseColWidth="10" defaultRowHeight="12.75" x14ac:dyDescent="0.2"/>
  <cols>
    <col min="1" max="1" width="13.7109375" bestFit="1" customWidth="1"/>
    <col min="2" max="2" width="9.140625" bestFit="1" customWidth="1"/>
    <col min="3" max="8" width="9.42578125" customWidth="1"/>
  </cols>
  <sheetData>
    <row r="1" spans="1:8" ht="15.75" x14ac:dyDescent="0.25">
      <c r="A1" s="139" t="s">
        <v>874</v>
      </c>
    </row>
    <row r="3" spans="1:8" ht="15" x14ac:dyDescent="0.2">
      <c r="A3" s="5020" t="s">
        <v>16</v>
      </c>
      <c r="B3" s="5020" t="s">
        <v>4</v>
      </c>
      <c r="C3" s="5872">
        <v>2014</v>
      </c>
      <c r="D3" s="5872"/>
      <c r="E3" s="5928"/>
      <c r="F3" s="5872">
        <v>2015</v>
      </c>
      <c r="G3" s="5872"/>
      <c r="H3" s="5928"/>
    </row>
    <row r="4" spans="1:8" x14ac:dyDescent="0.2">
      <c r="A4" s="5021"/>
      <c r="B4" s="5021"/>
      <c r="C4" s="1389" t="s">
        <v>675</v>
      </c>
      <c r="D4" s="1390" t="s">
        <v>676</v>
      </c>
      <c r="E4" s="4689" t="s">
        <v>160</v>
      </c>
      <c r="F4" s="1389" t="s">
        <v>675</v>
      </c>
      <c r="G4" s="1390" t="s">
        <v>676</v>
      </c>
      <c r="H4" s="4689" t="s">
        <v>160</v>
      </c>
    </row>
    <row r="5" spans="1:8" ht="15" x14ac:dyDescent="0.2">
      <c r="A5" s="263"/>
      <c r="B5" s="263"/>
      <c r="C5" s="263"/>
      <c r="D5" s="263"/>
      <c r="F5" s="263"/>
      <c r="G5" s="263"/>
    </row>
    <row r="6" spans="1:8" ht="15" x14ac:dyDescent="0.2">
      <c r="A6" s="5037" t="s">
        <v>161</v>
      </c>
      <c r="B6" s="264" t="s">
        <v>5</v>
      </c>
      <c r="C6" s="265">
        <f>+'3 Gpos Vuln_plan'!D11</f>
        <v>4</v>
      </c>
      <c r="D6" s="266">
        <f>+'3 Gpos Vuln_plan'!E11</f>
        <v>5</v>
      </c>
      <c r="E6" s="267">
        <f>+'3 Gpos Vuln_plan'!F11</f>
        <v>9</v>
      </c>
      <c r="F6" s="265">
        <f>+'3 Gpos Vuln_plan'!G11</f>
        <v>3</v>
      </c>
      <c r="G6" s="266">
        <f>+'3 Gpos Vuln_plan'!H11</f>
        <v>5</v>
      </c>
      <c r="H6" s="267">
        <f>+'3 Gpos Vuln_plan'!I11</f>
        <v>8</v>
      </c>
    </row>
    <row r="7" spans="1:8" ht="15" x14ac:dyDescent="0.2">
      <c r="A7" s="5038"/>
      <c r="B7" s="268" t="s">
        <v>6</v>
      </c>
      <c r="C7" s="269">
        <f>+'3 Gpos Vuln_plan'!D16</f>
        <v>9</v>
      </c>
      <c r="D7" s="270">
        <f>+'3 Gpos Vuln_plan'!E16</f>
        <v>3</v>
      </c>
      <c r="E7" s="271">
        <f>+'3 Gpos Vuln_plan'!F16</f>
        <v>12</v>
      </c>
      <c r="F7" s="269">
        <f>+'3 Gpos Vuln_plan'!G16</f>
        <v>7</v>
      </c>
      <c r="G7" s="270">
        <f>+'3 Gpos Vuln_plan'!H16</f>
        <v>4</v>
      </c>
      <c r="H7" s="271">
        <f>+'3 Gpos Vuln_plan'!I16</f>
        <v>11</v>
      </c>
    </row>
    <row r="8" spans="1:8" ht="15" x14ac:dyDescent="0.2">
      <c r="A8" s="5038"/>
      <c r="B8" s="268" t="s">
        <v>7</v>
      </c>
      <c r="C8" s="3087"/>
      <c r="D8" s="3088"/>
      <c r="E8" s="3089">
        <f t="shared" ref="E8" si="0">SUM(C8:D8)</f>
        <v>0</v>
      </c>
      <c r="F8" s="3087"/>
      <c r="G8" s="3088"/>
      <c r="H8" s="3089">
        <f t="shared" ref="H8" si="1">SUM(F8:G8)</f>
        <v>0</v>
      </c>
    </row>
    <row r="9" spans="1:8" ht="15" x14ac:dyDescent="0.2">
      <c r="A9" s="5108"/>
      <c r="B9" s="2405" t="s">
        <v>160</v>
      </c>
      <c r="C9" s="2460">
        <f t="shared" ref="C9:H9" si="2">SUM(C6:C8)</f>
        <v>13</v>
      </c>
      <c r="D9" s="2461">
        <f t="shared" si="2"/>
        <v>8</v>
      </c>
      <c r="E9" s="2462">
        <f t="shared" si="2"/>
        <v>21</v>
      </c>
      <c r="F9" s="2460">
        <f t="shared" si="2"/>
        <v>10</v>
      </c>
      <c r="G9" s="2461">
        <f t="shared" si="2"/>
        <v>9</v>
      </c>
      <c r="H9" s="2462">
        <f t="shared" si="2"/>
        <v>19</v>
      </c>
    </row>
    <row r="10" spans="1:8" ht="15.75" x14ac:dyDescent="0.25">
      <c r="A10" s="1923"/>
      <c r="B10" s="209"/>
      <c r="C10" s="216"/>
      <c r="D10" s="216"/>
      <c r="E10" s="216"/>
      <c r="F10" s="216"/>
      <c r="G10" s="216"/>
      <c r="H10" s="216"/>
    </row>
    <row r="11" spans="1:8" ht="15" x14ac:dyDescent="0.2">
      <c r="A11" s="5028" t="s">
        <v>410</v>
      </c>
      <c r="B11" s="264" t="s">
        <v>6</v>
      </c>
      <c r="C11" s="265">
        <f>+'3 Gpos Vuln_plan'!D58</f>
        <v>1</v>
      </c>
      <c r="D11" s="266">
        <f>+'3 Gpos Vuln_plan'!E58</f>
        <v>1</v>
      </c>
      <c r="E11" s="267">
        <f>+'3 Gpos Vuln_plan'!F58</f>
        <v>2</v>
      </c>
      <c r="F11" s="265">
        <f>+'3 Gpos Vuln_plan'!G58</f>
        <v>1</v>
      </c>
      <c r="G11" s="266">
        <f>+'3 Gpos Vuln_plan'!H58</f>
        <v>0</v>
      </c>
      <c r="H11" s="267">
        <f>+'3 Gpos Vuln_plan'!I58</f>
        <v>1</v>
      </c>
    </row>
    <row r="12" spans="1:8" ht="15" x14ac:dyDescent="0.2">
      <c r="A12" s="5029"/>
      <c r="B12" s="268" t="s">
        <v>9</v>
      </c>
      <c r="C12" s="269"/>
      <c r="D12" s="270"/>
      <c r="E12" s="271">
        <f t="shared" ref="E12" si="3">SUM(C12:D12)</f>
        <v>0</v>
      </c>
      <c r="F12" s="269"/>
      <c r="G12" s="270"/>
      <c r="H12" s="271">
        <f t="shared" ref="H12" si="4">SUM(F12:G12)</f>
        <v>0</v>
      </c>
    </row>
    <row r="13" spans="1:8" ht="15" x14ac:dyDescent="0.2">
      <c r="A13" s="5029"/>
      <c r="B13" s="268" t="s">
        <v>74</v>
      </c>
      <c r="C13" s="3087">
        <f>+'3 Gpos Vuln_plan'!D61</f>
        <v>2</v>
      </c>
      <c r="D13" s="3088">
        <f>+'3 Gpos Vuln_plan'!E61</f>
        <v>2</v>
      </c>
      <c r="E13" s="3089">
        <f>+'3 Gpos Vuln_plan'!F61</f>
        <v>4</v>
      </c>
      <c r="F13" s="3087">
        <f>+'3 Gpos Vuln_plan'!G61</f>
        <v>3</v>
      </c>
      <c r="G13" s="3088">
        <f>+'3 Gpos Vuln_plan'!H61</f>
        <v>2</v>
      </c>
      <c r="H13" s="3089">
        <f>+'3 Gpos Vuln_plan'!I61</f>
        <v>5</v>
      </c>
    </row>
    <row r="14" spans="1:8" ht="15" x14ac:dyDescent="0.2">
      <c r="A14" s="5030"/>
      <c r="B14" s="2402" t="s">
        <v>160</v>
      </c>
      <c r="C14" s="2453">
        <f t="shared" ref="C14:H14" si="5">SUM(C11:C13)</f>
        <v>3</v>
      </c>
      <c r="D14" s="2454">
        <f t="shared" si="5"/>
        <v>3</v>
      </c>
      <c r="E14" s="2455">
        <f t="shared" si="5"/>
        <v>6</v>
      </c>
      <c r="F14" s="2453">
        <f t="shared" si="5"/>
        <v>4</v>
      </c>
      <c r="G14" s="2454">
        <f t="shared" si="5"/>
        <v>2</v>
      </c>
      <c r="H14" s="2455">
        <f t="shared" si="5"/>
        <v>6</v>
      </c>
    </row>
    <row r="15" spans="1:8" ht="15.75" x14ac:dyDescent="0.25">
      <c r="A15" s="1923"/>
      <c r="B15" s="700"/>
      <c r="C15" s="700"/>
      <c r="D15" s="700"/>
      <c r="E15" s="700"/>
      <c r="F15" s="700"/>
      <c r="G15" s="700"/>
      <c r="H15" s="700"/>
    </row>
    <row r="16" spans="1:8" ht="15" x14ac:dyDescent="0.2">
      <c r="A16" s="5040" t="s">
        <v>162</v>
      </c>
      <c r="B16" s="264" t="s">
        <v>5</v>
      </c>
      <c r="C16" s="265">
        <f>+'3 Gpos Vuln_plan'!D23</f>
        <v>2</v>
      </c>
      <c r="D16" s="266">
        <f>+'3 Gpos Vuln_plan'!E23</f>
        <v>5</v>
      </c>
      <c r="E16" s="267">
        <f>+'3 Gpos Vuln_plan'!F23</f>
        <v>7</v>
      </c>
      <c r="F16" s="265">
        <f>+'3 Gpos Vuln_plan'!G23</f>
        <v>1</v>
      </c>
      <c r="G16" s="266">
        <f>+'3 Gpos Vuln_plan'!H23</f>
        <v>2</v>
      </c>
      <c r="H16" s="267">
        <f>+'3 Gpos Vuln_plan'!I23</f>
        <v>3</v>
      </c>
    </row>
    <row r="17" spans="1:8" ht="15" x14ac:dyDescent="0.2">
      <c r="A17" s="5041"/>
      <c r="B17" s="268" t="s">
        <v>6</v>
      </c>
      <c r="C17" s="269">
        <f>+'3 Gpos Vuln_plan'!D30</f>
        <v>3</v>
      </c>
      <c r="D17" s="270">
        <f>+'3 Gpos Vuln_plan'!E30</f>
        <v>2</v>
      </c>
      <c r="E17" s="271">
        <f>+'3 Gpos Vuln_plan'!F30</f>
        <v>5</v>
      </c>
      <c r="F17" s="269">
        <f>+'3 Gpos Vuln_plan'!G30</f>
        <v>5</v>
      </c>
      <c r="G17" s="270">
        <f>+'3 Gpos Vuln_plan'!H30</f>
        <v>2</v>
      </c>
      <c r="H17" s="271">
        <f>+'3 Gpos Vuln_plan'!I30</f>
        <v>7</v>
      </c>
    </row>
    <row r="18" spans="1:8" ht="15" x14ac:dyDescent="0.2">
      <c r="A18" s="5041"/>
      <c r="B18" s="268" t="s">
        <v>11</v>
      </c>
      <c r="C18" s="3087">
        <f>+'3 Gpos Vuln_plan'!D35</f>
        <v>5</v>
      </c>
      <c r="D18" s="3088">
        <f>+'3 Gpos Vuln_plan'!E35</f>
        <v>0</v>
      </c>
      <c r="E18" s="3089">
        <f>+'3 Gpos Vuln_plan'!F35</f>
        <v>5</v>
      </c>
      <c r="F18" s="3087">
        <f>+'3 Gpos Vuln_plan'!G35</f>
        <v>4</v>
      </c>
      <c r="G18" s="3088">
        <f>+'3 Gpos Vuln_plan'!H35</f>
        <v>0</v>
      </c>
      <c r="H18" s="3089">
        <f>+'3 Gpos Vuln_plan'!I35</f>
        <v>4</v>
      </c>
    </row>
    <row r="19" spans="1:8" ht="15" x14ac:dyDescent="0.2">
      <c r="A19" s="5109"/>
      <c r="B19" s="2399" t="s">
        <v>160</v>
      </c>
      <c r="C19" s="2400">
        <f t="shared" ref="C19:H19" si="6">SUM(C16:C18)</f>
        <v>10</v>
      </c>
      <c r="D19" s="2488">
        <f t="shared" si="6"/>
        <v>7</v>
      </c>
      <c r="E19" s="2489">
        <f t="shared" si="6"/>
        <v>17</v>
      </c>
      <c r="F19" s="2400">
        <f t="shared" si="6"/>
        <v>10</v>
      </c>
      <c r="G19" s="2488">
        <f t="shared" si="6"/>
        <v>4</v>
      </c>
      <c r="H19" s="2489">
        <f t="shared" si="6"/>
        <v>14</v>
      </c>
    </row>
    <row r="20" spans="1:8" ht="15" hidden="1" x14ac:dyDescent="0.2">
      <c r="A20" s="195"/>
      <c r="B20" s="700"/>
      <c r="C20" s="700"/>
      <c r="D20" s="700"/>
      <c r="E20" s="700"/>
      <c r="F20" s="700"/>
      <c r="G20" s="700"/>
      <c r="H20" s="700"/>
    </row>
    <row r="21" spans="1:8" ht="15" hidden="1" x14ac:dyDescent="0.2">
      <c r="A21" s="5031" t="s">
        <v>411</v>
      </c>
      <c r="B21" s="264" t="s">
        <v>5</v>
      </c>
      <c r="C21" s="265"/>
      <c r="D21" s="266"/>
      <c r="E21" s="267">
        <f>SUM(C21:D21)</f>
        <v>0</v>
      </c>
      <c r="F21" s="265"/>
      <c r="G21" s="266"/>
      <c r="H21" s="267">
        <f>SUM(F21:G21)</f>
        <v>0</v>
      </c>
    </row>
    <row r="22" spans="1:8" ht="15" hidden="1" x14ac:dyDescent="0.2">
      <c r="A22" s="5032"/>
      <c r="B22" s="268" t="s">
        <v>6</v>
      </c>
      <c r="C22" s="269"/>
      <c r="D22" s="270"/>
      <c r="E22" s="271">
        <f>SUM(C22:D22)</f>
        <v>0</v>
      </c>
      <c r="F22" s="269"/>
      <c r="G22" s="270"/>
      <c r="H22" s="271">
        <f>SUM(F22:G22)</f>
        <v>0</v>
      </c>
    </row>
    <row r="23" spans="1:8" ht="15" hidden="1" x14ac:dyDescent="0.2">
      <c r="A23" s="5032"/>
      <c r="B23" s="268" t="s">
        <v>11</v>
      </c>
      <c r="C23" s="3087"/>
      <c r="D23" s="3088"/>
      <c r="E23" s="3089">
        <f>SUM(C23:D23)</f>
        <v>0</v>
      </c>
      <c r="F23" s="3087"/>
      <c r="G23" s="3088"/>
      <c r="H23" s="3089">
        <f>SUM(F23:G23)</f>
        <v>0</v>
      </c>
    </row>
    <row r="24" spans="1:8" ht="15" hidden="1" x14ac:dyDescent="0.2">
      <c r="A24" s="5113"/>
      <c r="B24" s="2397" t="s">
        <v>12</v>
      </c>
      <c r="C24" s="2398">
        <f t="shared" ref="C24:H24" si="7">SUM(C21:C23)</f>
        <v>0</v>
      </c>
      <c r="D24" s="2494">
        <f t="shared" si="7"/>
        <v>0</v>
      </c>
      <c r="E24" s="2408">
        <f t="shared" si="7"/>
        <v>0</v>
      </c>
      <c r="F24" s="2398">
        <f t="shared" si="7"/>
        <v>0</v>
      </c>
      <c r="G24" s="2494">
        <f t="shared" si="7"/>
        <v>0</v>
      </c>
      <c r="H24" s="2408">
        <f t="shared" si="7"/>
        <v>0</v>
      </c>
    </row>
    <row r="26" spans="1:8" ht="15" x14ac:dyDescent="0.2">
      <c r="A26" s="5031" t="s">
        <v>411</v>
      </c>
      <c r="B26" s="264" t="s">
        <v>5</v>
      </c>
      <c r="C26" s="265"/>
      <c r="D26" s="266"/>
      <c r="E26" s="267">
        <f>SUM(C26:D26)</f>
        <v>0</v>
      </c>
      <c r="F26" s="265"/>
      <c r="G26" s="266"/>
      <c r="H26" s="267">
        <f>SUM(F26:G26)</f>
        <v>0</v>
      </c>
    </row>
    <row r="27" spans="1:8" ht="15" x14ac:dyDescent="0.2">
      <c r="A27" s="5032"/>
      <c r="B27" s="268" t="s">
        <v>6</v>
      </c>
      <c r="C27" s="269"/>
      <c r="D27" s="270"/>
      <c r="E27" s="271">
        <f>SUM(C27:D27)</f>
        <v>0</v>
      </c>
      <c r="F27" s="269"/>
      <c r="G27" s="270"/>
      <c r="H27" s="271">
        <f>SUM(F27:G27)</f>
        <v>0</v>
      </c>
    </row>
    <row r="28" spans="1:8" ht="15" x14ac:dyDescent="0.2">
      <c r="A28" s="5032"/>
      <c r="B28" s="268" t="s">
        <v>11</v>
      </c>
      <c r="C28" s="3087">
        <f>+'3 Gpos Vuln_plan'!D64</f>
        <v>0</v>
      </c>
      <c r="D28" s="3088">
        <f>+'3 Gpos Vuln_plan'!E64</f>
        <v>0</v>
      </c>
      <c r="E28" s="3089">
        <f>+'3 Gpos Vuln_plan'!F64</f>
        <v>0</v>
      </c>
      <c r="F28" s="3087">
        <f>+'3 Gpos Vuln_plan'!G64</f>
        <v>0</v>
      </c>
      <c r="G28" s="3088">
        <f>+'3 Gpos Vuln_plan'!H64</f>
        <v>1</v>
      </c>
      <c r="H28" s="3089">
        <f>+'3 Gpos Vuln_plan'!I64</f>
        <v>1</v>
      </c>
    </row>
    <row r="29" spans="1:8" ht="15" x14ac:dyDescent="0.2">
      <c r="A29" s="5113"/>
      <c r="B29" s="2397" t="s">
        <v>160</v>
      </c>
      <c r="C29" s="2398">
        <f t="shared" ref="C29:H29" si="8">SUM(C26:C28)</f>
        <v>0</v>
      </c>
      <c r="D29" s="2494">
        <f t="shared" si="8"/>
        <v>0</v>
      </c>
      <c r="E29" s="2408">
        <f t="shared" si="8"/>
        <v>0</v>
      </c>
      <c r="F29" s="2398">
        <f t="shared" si="8"/>
        <v>0</v>
      </c>
      <c r="G29" s="2494">
        <f t="shared" si="8"/>
        <v>1</v>
      </c>
      <c r="H29" s="2408">
        <f t="shared" si="8"/>
        <v>1</v>
      </c>
    </row>
    <row r="30" spans="1:8" ht="15.75" x14ac:dyDescent="0.25">
      <c r="A30" s="1923"/>
      <c r="B30" s="209"/>
      <c r="C30" s="216"/>
      <c r="D30" s="216"/>
      <c r="E30" s="216"/>
      <c r="F30" s="216"/>
      <c r="G30" s="216"/>
      <c r="H30" s="216"/>
    </row>
    <row r="31" spans="1:8" ht="15" x14ac:dyDescent="0.2">
      <c r="A31" s="5043" t="s">
        <v>163</v>
      </c>
      <c r="B31" s="264" t="s">
        <v>6</v>
      </c>
      <c r="C31" s="265">
        <f>+'3 Gpos Vuln_plan'!D41</f>
        <v>6</v>
      </c>
      <c r="D31" s="266">
        <f>+'3 Gpos Vuln_plan'!E41</f>
        <v>1</v>
      </c>
      <c r="E31" s="267">
        <f>+'3 Gpos Vuln_plan'!F41</f>
        <v>7</v>
      </c>
      <c r="F31" s="265">
        <f>+'3 Gpos Vuln_plan'!G41</f>
        <v>6</v>
      </c>
      <c r="G31" s="266">
        <f>+'3 Gpos Vuln_plan'!H41</f>
        <v>2</v>
      </c>
      <c r="H31" s="267">
        <f>+'3 Gpos Vuln_plan'!I41</f>
        <v>8</v>
      </c>
    </row>
    <row r="32" spans="1:8" ht="15" x14ac:dyDescent="0.2">
      <c r="A32" s="5044"/>
      <c r="B32" s="268" t="s">
        <v>11</v>
      </c>
      <c r="C32" s="269">
        <f>+'3 Gpos Vuln_plan'!D49</f>
        <v>6</v>
      </c>
      <c r="D32" s="270">
        <f>+'3 Gpos Vuln_plan'!E49</f>
        <v>2</v>
      </c>
      <c r="E32" s="271">
        <f>+'3 Gpos Vuln_plan'!F49</f>
        <v>8</v>
      </c>
      <c r="F32" s="269">
        <f>+'3 Gpos Vuln_plan'!G49</f>
        <v>7</v>
      </c>
      <c r="G32" s="270">
        <f>+'3 Gpos Vuln_plan'!H49</f>
        <v>4</v>
      </c>
      <c r="H32" s="271">
        <f>+'3 Gpos Vuln_plan'!I49</f>
        <v>11</v>
      </c>
    </row>
    <row r="33" spans="1:8" ht="15" x14ac:dyDescent="0.2">
      <c r="A33" s="5044"/>
      <c r="B33" s="268" t="s">
        <v>7</v>
      </c>
      <c r="C33" s="3087">
        <f>+'3 Gpos Vuln_plan'!D54</f>
        <v>2</v>
      </c>
      <c r="D33" s="3088">
        <f>+'3 Gpos Vuln_plan'!E54</f>
        <v>1</v>
      </c>
      <c r="E33" s="3089">
        <f>+'3 Gpos Vuln_plan'!F54</f>
        <v>3</v>
      </c>
      <c r="F33" s="3087">
        <f>+'3 Gpos Vuln_plan'!G54</f>
        <v>3</v>
      </c>
      <c r="G33" s="3088">
        <f>+'3 Gpos Vuln_plan'!H54</f>
        <v>2</v>
      </c>
      <c r="H33" s="3089">
        <f>+'3 Gpos Vuln_plan'!I54</f>
        <v>5</v>
      </c>
    </row>
    <row r="34" spans="1:8" ht="15" x14ac:dyDescent="0.2">
      <c r="A34" s="5110"/>
      <c r="B34" s="2409" t="s">
        <v>160</v>
      </c>
      <c r="C34" s="2410">
        <f t="shared" ref="C34:H34" si="9">SUM(C31:C33)</f>
        <v>14</v>
      </c>
      <c r="D34" s="2486">
        <f t="shared" si="9"/>
        <v>4</v>
      </c>
      <c r="E34" s="2487">
        <f t="shared" si="9"/>
        <v>18</v>
      </c>
      <c r="F34" s="2410">
        <f t="shared" si="9"/>
        <v>16</v>
      </c>
      <c r="G34" s="2486">
        <f t="shared" si="9"/>
        <v>8</v>
      </c>
      <c r="H34" s="2487">
        <f t="shared" si="9"/>
        <v>24</v>
      </c>
    </row>
    <row r="35" spans="1:8" x14ac:dyDescent="0.2">
      <c r="A35" s="209"/>
      <c r="B35" s="209"/>
      <c r="C35" s="216"/>
      <c r="D35" s="216"/>
      <c r="E35" s="216"/>
      <c r="F35" s="216"/>
      <c r="G35" s="216"/>
      <c r="H35" s="216"/>
    </row>
    <row r="36" spans="1:8" ht="15" x14ac:dyDescent="0.2">
      <c r="A36" s="5059" t="s">
        <v>60</v>
      </c>
      <c r="B36" s="264" t="s">
        <v>5</v>
      </c>
      <c r="C36" s="265">
        <f>SUM(C6,C16,C26)</f>
        <v>6</v>
      </c>
      <c r="D36" s="266">
        <f>SUM(D6,D16,D26)</f>
        <v>10</v>
      </c>
      <c r="E36" s="267">
        <f>SUM(C36:D36)</f>
        <v>16</v>
      </c>
      <c r="F36" s="265">
        <f>SUM(F6,F16,F26)</f>
        <v>4</v>
      </c>
      <c r="G36" s="266">
        <f>SUM(G6,G16,G26)</f>
        <v>7</v>
      </c>
      <c r="H36" s="267">
        <f>SUM(F36:G36)</f>
        <v>11</v>
      </c>
    </row>
    <row r="37" spans="1:8" ht="15" x14ac:dyDescent="0.2">
      <c r="A37" s="5060"/>
      <c r="B37" s="268" t="s">
        <v>6</v>
      </c>
      <c r="C37" s="269">
        <f>SUM(C7,C11,C17,C27,C31)</f>
        <v>19</v>
      </c>
      <c r="D37" s="270">
        <f>SUM(D7,D11,D17,D27,D31)</f>
        <v>7</v>
      </c>
      <c r="E37" s="271">
        <f>SUM(C37:D37)</f>
        <v>26</v>
      </c>
      <c r="F37" s="269">
        <f>SUM(F7,F11,F17,F27,F31)</f>
        <v>19</v>
      </c>
      <c r="G37" s="270">
        <f>SUM(G7,G11,G17,G27,G31)</f>
        <v>8</v>
      </c>
      <c r="H37" s="271">
        <f>SUM(F37:G37)</f>
        <v>27</v>
      </c>
    </row>
    <row r="38" spans="1:8" ht="15" x14ac:dyDescent="0.2">
      <c r="A38" s="5060"/>
      <c r="B38" s="268" t="s">
        <v>11</v>
      </c>
      <c r="C38" s="269">
        <f>SUM(C18,C28,C32)</f>
        <v>11</v>
      </c>
      <c r="D38" s="270">
        <f>SUM(D18,D28,D32)</f>
        <v>2</v>
      </c>
      <c r="E38" s="271">
        <f t="shared" ref="E38:E41" si="10">SUM(C38:D38)</f>
        <v>13</v>
      </c>
      <c r="F38" s="269">
        <f>SUM(F18,F28,F32)</f>
        <v>11</v>
      </c>
      <c r="G38" s="270">
        <f>SUM(G18,G28,G32)</f>
        <v>5</v>
      </c>
      <c r="H38" s="271">
        <f t="shared" ref="H38:H41" si="11">SUM(F38:G38)</f>
        <v>16</v>
      </c>
    </row>
    <row r="39" spans="1:8" ht="15" x14ac:dyDescent="0.2">
      <c r="A39" s="5060"/>
      <c r="B39" s="268" t="s">
        <v>7</v>
      </c>
      <c r="C39" s="269">
        <f>SUM(C8,C33)</f>
        <v>2</v>
      </c>
      <c r="D39" s="270">
        <f>SUM(D8,D33)</f>
        <v>1</v>
      </c>
      <c r="E39" s="271">
        <f t="shared" si="10"/>
        <v>3</v>
      </c>
      <c r="F39" s="269">
        <f>SUM(F8,F33)</f>
        <v>3</v>
      </c>
      <c r="G39" s="270">
        <f>SUM(G8,G33)</f>
        <v>2</v>
      </c>
      <c r="H39" s="271">
        <f t="shared" si="11"/>
        <v>5</v>
      </c>
    </row>
    <row r="40" spans="1:8" ht="15" x14ac:dyDescent="0.2">
      <c r="A40" s="5060"/>
      <c r="B40" s="268" t="s">
        <v>9</v>
      </c>
      <c r="C40" s="269">
        <f t="shared" ref="C40:D41" si="12">SUM(C12)</f>
        <v>0</v>
      </c>
      <c r="D40" s="270">
        <f t="shared" si="12"/>
        <v>0</v>
      </c>
      <c r="E40" s="271">
        <f t="shared" si="10"/>
        <v>0</v>
      </c>
      <c r="F40" s="269">
        <f t="shared" ref="F40:G40" si="13">SUM(F12)</f>
        <v>0</v>
      </c>
      <c r="G40" s="270">
        <f t="shared" si="13"/>
        <v>0</v>
      </c>
      <c r="H40" s="271">
        <f t="shared" si="11"/>
        <v>0</v>
      </c>
    </row>
    <row r="41" spans="1:8" ht="15" x14ac:dyDescent="0.2">
      <c r="A41" s="5060"/>
      <c r="B41" s="4594" t="s">
        <v>74</v>
      </c>
      <c r="C41" s="3087">
        <f t="shared" si="12"/>
        <v>2</v>
      </c>
      <c r="D41" s="3088">
        <f t="shared" si="12"/>
        <v>2</v>
      </c>
      <c r="E41" s="3089">
        <f t="shared" si="10"/>
        <v>4</v>
      </c>
      <c r="F41" s="3087">
        <f t="shared" ref="F41:G41" si="14">SUM(F13)</f>
        <v>3</v>
      </c>
      <c r="G41" s="3088">
        <f t="shared" si="14"/>
        <v>2</v>
      </c>
      <c r="H41" s="3089">
        <f t="shared" si="11"/>
        <v>5</v>
      </c>
    </row>
    <row r="42" spans="1:8" ht="15" x14ac:dyDescent="0.2">
      <c r="A42" s="5061"/>
      <c r="B42" s="583" t="s">
        <v>160</v>
      </c>
      <c r="C42" s="578">
        <f t="shared" ref="C42:H42" si="15">SUM(C9,C14,C19,C29,C34)</f>
        <v>40</v>
      </c>
      <c r="D42" s="579">
        <f t="shared" si="15"/>
        <v>22</v>
      </c>
      <c r="E42" s="580">
        <f t="shared" si="15"/>
        <v>62</v>
      </c>
      <c r="F42" s="578">
        <f t="shared" si="15"/>
        <v>40</v>
      </c>
      <c r="G42" s="579">
        <f t="shared" si="15"/>
        <v>24</v>
      </c>
      <c r="H42" s="580">
        <f t="shared" si="15"/>
        <v>64</v>
      </c>
    </row>
  </sheetData>
  <mergeCells count="11">
    <mergeCell ref="F3:H3"/>
    <mergeCell ref="A31:A34"/>
    <mergeCell ref="A36:A42"/>
    <mergeCell ref="A3:A4"/>
    <mergeCell ref="B3:B4"/>
    <mergeCell ref="C3:E3"/>
    <mergeCell ref="A6:A9"/>
    <mergeCell ref="A11:A14"/>
    <mergeCell ref="A16:A19"/>
    <mergeCell ref="A21:A24"/>
    <mergeCell ref="A26:A2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4" orientation="landscape" r:id="rId1"/>
  <ignoredErrors>
    <ignoredError sqref="C42:H42 C41:D41 F41:H41" evalError="1"/>
    <ignoredError sqref="E41" evalError="1" formula="1"/>
    <ignoredError sqref="E36:E40" formula="1"/>
  </ignoredErrors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A1:I100"/>
  <sheetViews>
    <sheetView workbookViewId="0"/>
  </sheetViews>
  <sheetFormatPr baseColWidth="10" defaultRowHeight="15" x14ac:dyDescent="0.25"/>
  <cols>
    <col min="1" max="1" width="7" customWidth="1"/>
    <col min="2" max="2" width="8.140625" bestFit="1" customWidth="1"/>
    <col min="3" max="3" width="40.85546875" bestFit="1" customWidth="1"/>
    <col min="4" max="4" width="9.42578125" style="251" customWidth="1"/>
    <col min="5" max="5" width="9.42578125" style="251" bestFit="1" customWidth="1"/>
    <col min="6" max="6" width="8.7109375" style="251" customWidth="1"/>
    <col min="7" max="8" width="9.42578125" style="251" customWidth="1"/>
    <col min="9" max="9" width="8.7109375" customWidth="1"/>
  </cols>
  <sheetData>
    <row r="1" spans="1:9" ht="18.75" x14ac:dyDescent="0.25">
      <c r="A1" s="4699" t="s">
        <v>1483</v>
      </c>
    </row>
    <row r="2" spans="1:9" ht="18.75" x14ac:dyDescent="0.25">
      <c r="A2" s="4699"/>
    </row>
    <row r="3" spans="1:9" ht="15.75" customHeight="1" x14ac:dyDescent="0.2">
      <c r="A3" s="5915" t="s">
        <v>51</v>
      </c>
      <c r="B3" s="5915" t="s">
        <v>702</v>
      </c>
      <c r="C3" s="5915" t="s">
        <v>840</v>
      </c>
      <c r="D3" s="5929" t="s">
        <v>1500</v>
      </c>
      <c r="E3" s="5930"/>
      <c r="F3" s="5931"/>
      <c r="G3" s="5932" t="s">
        <v>1501</v>
      </c>
      <c r="H3" s="5933"/>
      <c r="I3" s="5931"/>
    </row>
    <row r="4" spans="1:9" ht="15.75" customHeight="1" x14ac:dyDescent="0.25">
      <c r="A4" s="5916"/>
      <c r="B4" s="5916"/>
      <c r="C4" s="5916"/>
      <c r="D4" s="4731" t="s">
        <v>675</v>
      </c>
      <c r="E4" s="4731" t="s">
        <v>676</v>
      </c>
      <c r="F4" s="4730" t="s">
        <v>160</v>
      </c>
      <c r="G4" s="4731" t="s">
        <v>675</v>
      </c>
      <c r="H4" s="4731" t="s">
        <v>676</v>
      </c>
      <c r="I4" s="4730" t="s">
        <v>160</v>
      </c>
    </row>
    <row r="5" spans="1:9" ht="12.75" customHeight="1" x14ac:dyDescent="0.2">
      <c r="A5" s="5900" t="s">
        <v>446</v>
      </c>
      <c r="B5" s="5892" t="s">
        <v>5</v>
      </c>
      <c r="C5" s="4607" t="s">
        <v>171</v>
      </c>
      <c r="D5" s="4608">
        <v>1</v>
      </c>
      <c r="E5" s="4608">
        <v>1</v>
      </c>
      <c r="F5" s="4608">
        <f>SUM(D5:E5)</f>
        <v>2</v>
      </c>
      <c r="G5" s="4608">
        <v>1</v>
      </c>
      <c r="H5" s="4608">
        <v>1</v>
      </c>
      <c r="I5" s="4608">
        <f>SUM(G5:H5)</f>
        <v>2</v>
      </c>
    </row>
    <row r="6" spans="1:9" hidden="1" x14ac:dyDescent="0.2">
      <c r="A6" s="5901" t="s">
        <v>446</v>
      </c>
      <c r="B6" s="5892" t="s">
        <v>5</v>
      </c>
      <c r="C6" s="3037" t="s">
        <v>172</v>
      </c>
      <c r="D6" s="1267"/>
      <c r="E6" s="1267"/>
      <c r="F6" s="1267">
        <f t="shared" ref="F6:F69" si="0">SUM(D6:E6)</f>
        <v>0</v>
      </c>
      <c r="G6" s="1267"/>
      <c r="H6" s="1267"/>
      <c r="I6" s="1267">
        <f t="shared" ref="I6:I69" si="1">SUM(G6:H6)</f>
        <v>0</v>
      </c>
    </row>
    <row r="7" spans="1:9" hidden="1" x14ac:dyDescent="0.2">
      <c r="A7" s="5901" t="s">
        <v>446</v>
      </c>
      <c r="B7" s="5892" t="s">
        <v>5</v>
      </c>
      <c r="C7" s="3037" t="s">
        <v>1502</v>
      </c>
      <c r="D7" s="1267"/>
      <c r="E7" s="1267"/>
      <c r="F7" s="1267">
        <f t="shared" si="0"/>
        <v>0</v>
      </c>
      <c r="G7" s="1267"/>
      <c r="H7" s="1267"/>
      <c r="I7" s="1267">
        <f t="shared" si="1"/>
        <v>0</v>
      </c>
    </row>
    <row r="8" spans="1:9" hidden="1" x14ac:dyDescent="0.2">
      <c r="A8" s="5901" t="s">
        <v>446</v>
      </c>
      <c r="B8" s="5892" t="s">
        <v>5</v>
      </c>
      <c r="C8" s="3037" t="s">
        <v>1503</v>
      </c>
      <c r="D8" s="1267"/>
      <c r="E8" s="1267"/>
      <c r="F8" s="1267">
        <f t="shared" si="0"/>
        <v>0</v>
      </c>
      <c r="G8" s="1267"/>
      <c r="H8" s="1267"/>
      <c r="I8" s="1267">
        <f t="shared" si="1"/>
        <v>0</v>
      </c>
    </row>
    <row r="9" spans="1:9" x14ac:dyDescent="0.2">
      <c r="A9" s="5901" t="s">
        <v>446</v>
      </c>
      <c r="B9" s="5892" t="s">
        <v>5</v>
      </c>
      <c r="C9" s="3037" t="s">
        <v>180</v>
      </c>
      <c r="D9" s="1267"/>
      <c r="E9" s="1267">
        <v>1</v>
      </c>
      <c r="F9" s="1267">
        <f t="shared" si="0"/>
        <v>1</v>
      </c>
      <c r="G9" s="1267"/>
      <c r="H9" s="1267">
        <v>1</v>
      </c>
      <c r="I9" s="1267">
        <f t="shared" si="1"/>
        <v>1</v>
      </c>
    </row>
    <row r="10" spans="1:9" hidden="1" x14ac:dyDescent="0.2">
      <c r="A10" s="5901" t="s">
        <v>446</v>
      </c>
      <c r="B10" s="5892" t="s">
        <v>5</v>
      </c>
      <c r="C10" s="3037" t="s">
        <v>174</v>
      </c>
      <c r="D10" s="1267"/>
      <c r="E10" s="1267"/>
      <c r="F10" s="1267">
        <f t="shared" si="0"/>
        <v>0</v>
      </c>
      <c r="G10" s="1267"/>
      <c r="H10" s="1267"/>
      <c r="I10" s="1267">
        <f t="shared" si="1"/>
        <v>0</v>
      </c>
    </row>
    <row r="11" spans="1:9" hidden="1" x14ac:dyDescent="0.2">
      <c r="A11" s="5901" t="s">
        <v>446</v>
      </c>
      <c r="B11" s="5892" t="s">
        <v>5</v>
      </c>
      <c r="C11" s="3037" t="s">
        <v>175</v>
      </c>
      <c r="D11" s="1267"/>
      <c r="E11" s="1267"/>
      <c r="F11" s="1267">
        <f t="shared" si="0"/>
        <v>0</v>
      </c>
      <c r="G11" s="1267"/>
      <c r="H11" s="1267"/>
      <c r="I11" s="1267">
        <f t="shared" si="1"/>
        <v>0</v>
      </c>
    </row>
    <row r="12" spans="1:9" x14ac:dyDescent="0.2">
      <c r="A12" s="5901" t="s">
        <v>446</v>
      </c>
      <c r="B12" s="5892" t="s">
        <v>5</v>
      </c>
      <c r="C12" s="3037" t="s">
        <v>1504</v>
      </c>
      <c r="D12" s="1267"/>
      <c r="E12" s="1267">
        <v>1</v>
      </c>
      <c r="F12" s="1267">
        <f t="shared" si="0"/>
        <v>1</v>
      </c>
      <c r="G12" s="1267"/>
      <c r="H12" s="1267">
        <v>1</v>
      </c>
      <c r="I12" s="1267">
        <f t="shared" si="1"/>
        <v>1</v>
      </c>
    </row>
    <row r="13" spans="1:9" hidden="1" x14ac:dyDescent="0.2">
      <c r="A13" s="5901" t="s">
        <v>446</v>
      </c>
      <c r="B13" s="5892" t="s">
        <v>5</v>
      </c>
      <c r="C13" s="3037" t="s">
        <v>1505</v>
      </c>
      <c r="D13" s="1267"/>
      <c r="E13" s="1267"/>
      <c r="F13" s="1267">
        <f t="shared" si="0"/>
        <v>0</v>
      </c>
      <c r="G13" s="1267"/>
      <c r="H13" s="1267"/>
      <c r="I13" s="1267">
        <f t="shared" si="1"/>
        <v>0</v>
      </c>
    </row>
    <row r="14" spans="1:9" x14ac:dyDescent="0.2">
      <c r="A14" s="5901" t="s">
        <v>446</v>
      </c>
      <c r="B14" s="5892" t="s">
        <v>5</v>
      </c>
      <c r="C14" s="3037" t="s">
        <v>1506</v>
      </c>
      <c r="D14" s="1267">
        <v>1</v>
      </c>
      <c r="E14" s="1267"/>
      <c r="F14" s="1267">
        <f t="shared" si="0"/>
        <v>1</v>
      </c>
      <c r="G14" s="1267">
        <v>1</v>
      </c>
      <c r="H14" s="1267"/>
      <c r="I14" s="1267">
        <f t="shared" si="1"/>
        <v>1</v>
      </c>
    </row>
    <row r="15" spans="1:9" x14ac:dyDescent="0.2">
      <c r="A15" s="5901"/>
      <c r="B15" s="5892"/>
      <c r="C15" s="3038" t="s">
        <v>5</v>
      </c>
      <c r="D15" s="3039">
        <f>SUM(D5:D14)</f>
        <v>2</v>
      </c>
      <c r="E15" s="3039">
        <f>SUM(E5:E14)</f>
        <v>3</v>
      </c>
      <c r="F15" s="3039">
        <f t="shared" si="0"/>
        <v>5</v>
      </c>
      <c r="G15" s="3039">
        <f>SUM(G5:G14)</f>
        <v>2</v>
      </c>
      <c r="H15" s="3039">
        <f>SUM(H5:H14)</f>
        <v>3</v>
      </c>
      <c r="I15" s="3039">
        <f t="shared" si="1"/>
        <v>5</v>
      </c>
    </row>
    <row r="16" spans="1:9" x14ac:dyDescent="0.2">
      <c r="A16" s="5901" t="s">
        <v>446</v>
      </c>
      <c r="B16" s="5892" t="s">
        <v>6</v>
      </c>
      <c r="C16" s="3037" t="s">
        <v>181</v>
      </c>
      <c r="D16" s="1267">
        <v>1</v>
      </c>
      <c r="E16" s="1267">
        <v>4</v>
      </c>
      <c r="F16" s="1267">
        <f t="shared" si="0"/>
        <v>5</v>
      </c>
      <c r="G16" s="1267">
        <v>1</v>
      </c>
      <c r="H16" s="1267">
        <v>4</v>
      </c>
      <c r="I16" s="1267">
        <f t="shared" si="1"/>
        <v>5</v>
      </c>
    </row>
    <row r="17" spans="1:9" x14ac:dyDescent="0.2">
      <c r="A17" s="5901" t="s">
        <v>446</v>
      </c>
      <c r="B17" s="5892" t="s">
        <v>6</v>
      </c>
      <c r="C17" s="3037" t="s">
        <v>182</v>
      </c>
      <c r="D17" s="1267">
        <v>6</v>
      </c>
      <c r="E17" s="1267">
        <v>5</v>
      </c>
      <c r="F17" s="1267">
        <f t="shared" si="0"/>
        <v>11</v>
      </c>
      <c r="G17" s="1267">
        <v>6</v>
      </c>
      <c r="H17" s="1267">
        <v>4</v>
      </c>
      <c r="I17" s="1267">
        <f t="shared" si="1"/>
        <v>10</v>
      </c>
    </row>
    <row r="18" spans="1:9" x14ac:dyDescent="0.2">
      <c r="A18" s="5901" t="s">
        <v>446</v>
      </c>
      <c r="B18" s="5892" t="s">
        <v>6</v>
      </c>
      <c r="C18" s="3037" t="s">
        <v>183</v>
      </c>
      <c r="D18" s="1267">
        <v>2</v>
      </c>
      <c r="E18" s="1267"/>
      <c r="F18" s="1267">
        <f t="shared" si="0"/>
        <v>2</v>
      </c>
      <c r="G18" s="1267">
        <v>2</v>
      </c>
      <c r="H18" s="1267"/>
      <c r="I18" s="1267">
        <f t="shared" si="1"/>
        <v>2</v>
      </c>
    </row>
    <row r="19" spans="1:9" x14ac:dyDescent="0.2">
      <c r="A19" s="5901" t="s">
        <v>446</v>
      </c>
      <c r="B19" s="5892" t="s">
        <v>6</v>
      </c>
      <c r="C19" s="3037" t="s">
        <v>842</v>
      </c>
      <c r="D19" s="1267">
        <v>2</v>
      </c>
      <c r="E19" s="1267"/>
      <c r="F19" s="1267">
        <f t="shared" si="0"/>
        <v>2</v>
      </c>
      <c r="G19" s="1267">
        <v>2</v>
      </c>
      <c r="H19" s="1267"/>
      <c r="I19" s="1267">
        <f t="shared" si="1"/>
        <v>2</v>
      </c>
    </row>
    <row r="20" spans="1:9" x14ac:dyDescent="0.2">
      <c r="A20" s="5901"/>
      <c r="B20" s="5892"/>
      <c r="C20" s="3038" t="s">
        <v>6</v>
      </c>
      <c r="D20" s="3039">
        <f>SUM(D16:D19)</f>
        <v>11</v>
      </c>
      <c r="E20" s="3039">
        <f>SUM(E16:E19)</f>
        <v>9</v>
      </c>
      <c r="F20" s="3039">
        <f t="shared" si="0"/>
        <v>20</v>
      </c>
      <c r="G20" s="3039">
        <f>SUM(G16:G19)</f>
        <v>11</v>
      </c>
      <c r="H20" s="3039">
        <f>SUM(H16:H19)</f>
        <v>8</v>
      </c>
      <c r="I20" s="3039">
        <f t="shared" si="1"/>
        <v>19</v>
      </c>
    </row>
    <row r="21" spans="1:9" x14ac:dyDescent="0.2">
      <c r="A21" s="5901" t="s">
        <v>446</v>
      </c>
      <c r="B21" s="5892" t="s">
        <v>7</v>
      </c>
      <c r="C21" s="3037" t="s">
        <v>168</v>
      </c>
      <c r="D21" s="1267">
        <v>1</v>
      </c>
      <c r="E21" s="1267"/>
      <c r="F21" s="1267">
        <f t="shared" si="0"/>
        <v>1</v>
      </c>
      <c r="G21" s="1267">
        <v>1</v>
      </c>
      <c r="H21" s="1267"/>
      <c r="I21" s="1267">
        <f t="shared" si="1"/>
        <v>1</v>
      </c>
    </row>
    <row r="22" spans="1:9" x14ac:dyDescent="0.2">
      <c r="A22" s="5901" t="s">
        <v>446</v>
      </c>
      <c r="B22" s="5892" t="s">
        <v>7</v>
      </c>
      <c r="C22" s="3037" t="s">
        <v>843</v>
      </c>
      <c r="D22" s="1267"/>
      <c r="E22" s="1267">
        <v>2</v>
      </c>
      <c r="F22" s="1267">
        <f t="shared" si="0"/>
        <v>2</v>
      </c>
      <c r="G22" s="1267"/>
      <c r="H22" s="1267">
        <v>1</v>
      </c>
      <c r="I22" s="1267">
        <f t="shared" si="1"/>
        <v>1</v>
      </c>
    </row>
    <row r="23" spans="1:9" x14ac:dyDescent="0.2">
      <c r="A23" s="5901" t="s">
        <v>446</v>
      </c>
      <c r="B23" s="5892" t="s">
        <v>7</v>
      </c>
      <c r="C23" s="3037" t="s">
        <v>170</v>
      </c>
      <c r="D23" s="1267">
        <v>1</v>
      </c>
      <c r="E23" s="1267"/>
      <c r="F23" s="1267">
        <f t="shared" si="0"/>
        <v>1</v>
      </c>
      <c r="G23" s="1267">
        <v>1</v>
      </c>
      <c r="H23" s="1267"/>
      <c r="I23" s="1267">
        <f t="shared" si="1"/>
        <v>1</v>
      </c>
    </row>
    <row r="24" spans="1:9" x14ac:dyDescent="0.2">
      <c r="A24" s="5901"/>
      <c r="B24" s="5892"/>
      <c r="C24" s="3040" t="s">
        <v>7</v>
      </c>
      <c r="D24" s="3041">
        <f>SUM(D21:D23)</f>
        <v>2</v>
      </c>
      <c r="E24" s="3041">
        <f>SUM(E21:E23)</f>
        <v>2</v>
      </c>
      <c r="F24" s="3041">
        <f t="shared" si="0"/>
        <v>4</v>
      </c>
      <c r="G24" s="3041">
        <f>SUM(G21:G23)</f>
        <v>2</v>
      </c>
      <c r="H24" s="3041">
        <f>SUM(H21:H23)</f>
        <v>1</v>
      </c>
      <c r="I24" s="3041">
        <f t="shared" si="1"/>
        <v>3</v>
      </c>
    </row>
    <row r="25" spans="1:9" x14ac:dyDescent="0.2">
      <c r="A25" s="5902"/>
      <c r="B25" s="5911" t="s">
        <v>450</v>
      </c>
      <c r="C25" s="5912"/>
      <c r="D25" s="4609">
        <f>SUM(D24,D20,D15)</f>
        <v>15</v>
      </c>
      <c r="E25" s="4609">
        <f>SUM(E24,E20,E15)</f>
        <v>14</v>
      </c>
      <c r="F25" s="4609">
        <f t="shared" si="0"/>
        <v>29</v>
      </c>
      <c r="G25" s="4609">
        <f>SUM(G24,G20,G15)</f>
        <v>15</v>
      </c>
      <c r="H25" s="4609">
        <f>SUM(H24,H20,H15)</f>
        <v>12</v>
      </c>
      <c r="I25" s="4609">
        <f t="shared" si="1"/>
        <v>27</v>
      </c>
    </row>
    <row r="26" spans="1:9" hidden="1" x14ac:dyDescent="0.2">
      <c r="A26" s="5889" t="s">
        <v>447</v>
      </c>
      <c r="B26" s="5888" t="s">
        <v>5</v>
      </c>
      <c r="C26" s="1354" t="s">
        <v>201</v>
      </c>
      <c r="D26" s="3045"/>
      <c r="E26" s="3045"/>
      <c r="F26" s="1267">
        <f t="shared" si="0"/>
        <v>0</v>
      </c>
      <c r="G26" s="3045"/>
      <c r="H26" s="3045"/>
      <c r="I26" s="1267">
        <f t="shared" si="1"/>
        <v>0</v>
      </c>
    </row>
    <row r="27" spans="1:9" x14ac:dyDescent="0.2">
      <c r="A27" s="5890" t="s">
        <v>447</v>
      </c>
      <c r="B27" s="5540" t="s">
        <v>5</v>
      </c>
      <c r="C27" s="3037" t="s">
        <v>197</v>
      </c>
      <c r="D27" s="1267">
        <v>1</v>
      </c>
      <c r="E27" s="1267"/>
      <c r="F27" s="1267">
        <f t="shared" si="0"/>
        <v>1</v>
      </c>
      <c r="G27" s="1267">
        <v>1</v>
      </c>
      <c r="H27" s="1267"/>
      <c r="I27" s="1267">
        <f t="shared" si="1"/>
        <v>1</v>
      </c>
    </row>
    <row r="28" spans="1:9" x14ac:dyDescent="0.2">
      <c r="A28" s="5890" t="s">
        <v>447</v>
      </c>
      <c r="B28" s="5540" t="s">
        <v>5</v>
      </c>
      <c r="C28" s="3037" t="s">
        <v>1507</v>
      </c>
      <c r="D28" s="1267"/>
      <c r="E28" s="1267">
        <v>1</v>
      </c>
      <c r="F28" s="1267">
        <f t="shared" si="0"/>
        <v>1</v>
      </c>
      <c r="G28" s="1267"/>
      <c r="H28" s="1267">
        <v>1</v>
      </c>
      <c r="I28" s="1267">
        <f t="shared" si="1"/>
        <v>1</v>
      </c>
    </row>
    <row r="29" spans="1:9" hidden="1" x14ac:dyDescent="0.2">
      <c r="A29" s="5890" t="s">
        <v>447</v>
      </c>
      <c r="B29" s="5540" t="s">
        <v>5</v>
      </c>
      <c r="C29" s="3037" t="s">
        <v>1503</v>
      </c>
      <c r="D29" s="1267"/>
      <c r="E29" s="1267"/>
      <c r="F29" s="1267">
        <f t="shared" si="0"/>
        <v>0</v>
      </c>
      <c r="G29" s="1267"/>
      <c r="H29" s="1267"/>
      <c r="I29" s="1267">
        <f t="shared" si="1"/>
        <v>0</v>
      </c>
    </row>
    <row r="30" spans="1:9" hidden="1" x14ac:dyDescent="0.2">
      <c r="A30" s="5890" t="s">
        <v>447</v>
      </c>
      <c r="B30" s="5540" t="s">
        <v>5</v>
      </c>
      <c r="C30" s="3037" t="s">
        <v>1508</v>
      </c>
      <c r="D30" s="1267"/>
      <c r="E30" s="1267"/>
      <c r="F30" s="1267">
        <f t="shared" si="0"/>
        <v>0</v>
      </c>
      <c r="G30" s="1267"/>
      <c r="H30" s="1267"/>
      <c r="I30" s="1267">
        <f t="shared" si="1"/>
        <v>0</v>
      </c>
    </row>
    <row r="31" spans="1:9" hidden="1" x14ac:dyDescent="0.2">
      <c r="A31" s="5890" t="s">
        <v>447</v>
      </c>
      <c r="B31" s="5540" t="s">
        <v>5</v>
      </c>
      <c r="C31" s="3037" t="s">
        <v>1509</v>
      </c>
      <c r="D31" s="1267"/>
      <c r="E31" s="1267"/>
      <c r="F31" s="1267">
        <f t="shared" si="0"/>
        <v>0</v>
      </c>
      <c r="G31" s="1267"/>
      <c r="H31" s="1267"/>
      <c r="I31" s="1267">
        <f t="shared" si="1"/>
        <v>0</v>
      </c>
    </row>
    <row r="32" spans="1:9" hidden="1" x14ac:dyDescent="0.2">
      <c r="A32" s="5890" t="s">
        <v>447</v>
      </c>
      <c r="B32" s="5540" t="s">
        <v>5</v>
      </c>
      <c r="C32" s="3037" t="s">
        <v>1506</v>
      </c>
      <c r="D32" s="1267"/>
      <c r="E32" s="1267"/>
      <c r="F32" s="1267">
        <f t="shared" si="0"/>
        <v>0</v>
      </c>
      <c r="G32" s="1267"/>
      <c r="H32" s="1267"/>
      <c r="I32" s="1267">
        <f t="shared" si="1"/>
        <v>0</v>
      </c>
    </row>
    <row r="33" spans="1:9" hidden="1" x14ac:dyDescent="0.2">
      <c r="A33" s="5890" t="s">
        <v>447</v>
      </c>
      <c r="B33" s="5540" t="s">
        <v>5</v>
      </c>
      <c r="C33" s="3037" t="s">
        <v>199</v>
      </c>
      <c r="D33" s="1267"/>
      <c r="E33" s="1267"/>
      <c r="F33" s="1267">
        <f t="shared" si="0"/>
        <v>0</v>
      </c>
      <c r="G33" s="1267"/>
      <c r="H33" s="1267"/>
      <c r="I33" s="1267">
        <f t="shared" si="1"/>
        <v>0</v>
      </c>
    </row>
    <row r="34" spans="1:9" hidden="1" x14ac:dyDescent="0.2">
      <c r="A34" s="5890" t="s">
        <v>447</v>
      </c>
      <c r="B34" s="5540" t="s">
        <v>5</v>
      </c>
      <c r="C34" s="3037" t="s">
        <v>200</v>
      </c>
      <c r="D34" s="1267"/>
      <c r="E34" s="1267"/>
      <c r="F34" s="1267">
        <f t="shared" si="0"/>
        <v>0</v>
      </c>
      <c r="G34" s="1267"/>
      <c r="H34" s="1267"/>
      <c r="I34" s="1267">
        <f t="shared" si="1"/>
        <v>0</v>
      </c>
    </row>
    <row r="35" spans="1:9" x14ac:dyDescent="0.2">
      <c r="A35" s="5890"/>
      <c r="B35" s="5541"/>
      <c r="C35" s="3038" t="s">
        <v>5</v>
      </c>
      <c r="D35" s="3039">
        <f>SUM(D26:D34)</f>
        <v>1</v>
      </c>
      <c r="E35" s="3039">
        <f>SUM(E26:E34)</f>
        <v>1</v>
      </c>
      <c r="F35" s="3039">
        <f t="shared" si="0"/>
        <v>2</v>
      </c>
      <c r="G35" s="3039">
        <f>SUM(G26:G34)</f>
        <v>1</v>
      </c>
      <c r="H35" s="3039">
        <f>SUM(H26:H34)</f>
        <v>1</v>
      </c>
      <c r="I35" s="3039">
        <f t="shared" si="1"/>
        <v>2</v>
      </c>
    </row>
    <row r="36" spans="1:9" x14ac:dyDescent="0.2">
      <c r="A36" s="5890" t="s">
        <v>447</v>
      </c>
      <c r="B36" s="5892" t="s">
        <v>6</v>
      </c>
      <c r="C36" s="3037" t="s">
        <v>181</v>
      </c>
      <c r="D36" s="1267">
        <v>1</v>
      </c>
      <c r="E36" s="1267"/>
      <c r="F36" s="1267">
        <f t="shared" si="0"/>
        <v>1</v>
      </c>
      <c r="G36" s="1267">
        <v>1</v>
      </c>
      <c r="H36" s="1267"/>
      <c r="I36" s="1267">
        <f t="shared" si="1"/>
        <v>1</v>
      </c>
    </row>
    <row r="37" spans="1:9" x14ac:dyDescent="0.2">
      <c r="A37" s="5890" t="s">
        <v>447</v>
      </c>
      <c r="B37" s="5892" t="s">
        <v>6</v>
      </c>
      <c r="C37" s="3037" t="s">
        <v>208</v>
      </c>
      <c r="D37" s="1267">
        <v>1</v>
      </c>
      <c r="E37" s="1267"/>
      <c r="F37" s="1267">
        <f t="shared" si="0"/>
        <v>1</v>
      </c>
      <c r="G37" s="1267">
        <v>1</v>
      </c>
      <c r="H37" s="1267"/>
      <c r="I37" s="1267">
        <f t="shared" si="1"/>
        <v>1</v>
      </c>
    </row>
    <row r="38" spans="1:9" x14ac:dyDescent="0.2">
      <c r="A38" s="5890" t="s">
        <v>447</v>
      </c>
      <c r="B38" s="5892" t="s">
        <v>6</v>
      </c>
      <c r="C38" s="3037" t="s">
        <v>844</v>
      </c>
      <c r="D38" s="1267"/>
      <c r="E38" s="1267">
        <v>1</v>
      </c>
      <c r="F38" s="1267">
        <f t="shared" si="0"/>
        <v>1</v>
      </c>
      <c r="G38" s="1267"/>
      <c r="H38" s="1267">
        <v>1</v>
      </c>
      <c r="I38" s="1267">
        <f t="shared" si="1"/>
        <v>1</v>
      </c>
    </row>
    <row r="39" spans="1:9" x14ac:dyDescent="0.2">
      <c r="A39" s="5890" t="s">
        <v>447</v>
      </c>
      <c r="B39" s="5892" t="s">
        <v>6</v>
      </c>
      <c r="C39" s="3037" t="s">
        <v>183</v>
      </c>
      <c r="D39" s="1267">
        <v>5</v>
      </c>
      <c r="E39" s="1267">
        <v>6</v>
      </c>
      <c r="F39" s="1267">
        <f t="shared" si="0"/>
        <v>11</v>
      </c>
      <c r="G39" s="1267">
        <v>5</v>
      </c>
      <c r="H39" s="1267">
        <v>6</v>
      </c>
      <c r="I39" s="1267">
        <f t="shared" si="1"/>
        <v>11</v>
      </c>
    </row>
    <row r="40" spans="1:9" x14ac:dyDescent="0.2">
      <c r="A40" s="5890" t="s">
        <v>447</v>
      </c>
      <c r="B40" s="5892" t="s">
        <v>6</v>
      </c>
      <c r="C40" s="3037" t="s">
        <v>210</v>
      </c>
      <c r="D40" s="1267">
        <v>1</v>
      </c>
      <c r="E40" s="1267"/>
      <c r="F40" s="1267">
        <f t="shared" si="0"/>
        <v>1</v>
      </c>
      <c r="G40" s="1267">
        <v>1</v>
      </c>
      <c r="H40" s="1267"/>
      <c r="I40" s="1267">
        <f t="shared" si="1"/>
        <v>1</v>
      </c>
    </row>
    <row r="41" spans="1:9" x14ac:dyDescent="0.2">
      <c r="A41" s="5890" t="s">
        <v>447</v>
      </c>
      <c r="B41" s="5892" t="s">
        <v>6</v>
      </c>
      <c r="C41" s="3037" t="s">
        <v>215</v>
      </c>
      <c r="D41" s="1267"/>
      <c r="E41" s="1267">
        <v>1</v>
      </c>
      <c r="F41" s="1267">
        <f t="shared" si="0"/>
        <v>1</v>
      </c>
      <c r="G41" s="1267"/>
      <c r="H41" s="1267">
        <v>1</v>
      </c>
      <c r="I41" s="1267">
        <f t="shared" si="1"/>
        <v>1</v>
      </c>
    </row>
    <row r="42" spans="1:9" hidden="1" x14ac:dyDescent="0.2">
      <c r="A42" s="5890" t="s">
        <v>447</v>
      </c>
      <c r="B42" s="5892" t="s">
        <v>6</v>
      </c>
      <c r="C42" s="3037" t="s">
        <v>211</v>
      </c>
      <c r="D42" s="1267"/>
      <c r="E42" s="1267"/>
      <c r="F42" s="1267">
        <f t="shared" si="0"/>
        <v>0</v>
      </c>
      <c r="G42" s="1267"/>
      <c r="H42" s="1267"/>
      <c r="I42" s="1267">
        <f t="shared" si="1"/>
        <v>0</v>
      </c>
    </row>
    <row r="43" spans="1:9" hidden="1" x14ac:dyDescent="0.2">
      <c r="A43" s="5890" t="s">
        <v>447</v>
      </c>
      <c r="B43" s="5892" t="s">
        <v>6</v>
      </c>
      <c r="C43" s="3037" t="s">
        <v>209</v>
      </c>
      <c r="D43" s="1267"/>
      <c r="E43" s="1267"/>
      <c r="F43" s="1267">
        <f t="shared" si="0"/>
        <v>0</v>
      </c>
      <c r="G43" s="1267"/>
      <c r="H43" s="1267"/>
      <c r="I43" s="1267">
        <f t="shared" si="1"/>
        <v>0</v>
      </c>
    </row>
    <row r="44" spans="1:9" hidden="1" x14ac:dyDescent="0.2">
      <c r="A44" s="5890" t="s">
        <v>447</v>
      </c>
      <c r="B44" s="5892" t="s">
        <v>6</v>
      </c>
      <c r="C44" s="3037" t="s">
        <v>845</v>
      </c>
      <c r="D44" s="1267"/>
      <c r="E44" s="1267"/>
      <c r="F44" s="1267">
        <f t="shared" si="0"/>
        <v>0</v>
      </c>
      <c r="G44" s="1267"/>
      <c r="H44" s="1267"/>
      <c r="I44" s="1267">
        <f t="shared" si="1"/>
        <v>0</v>
      </c>
    </row>
    <row r="45" spans="1:9" x14ac:dyDescent="0.2">
      <c r="A45" s="5890" t="s">
        <v>447</v>
      </c>
      <c r="B45" s="5892" t="s">
        <v>6</v>
      </c>
      <c r="C45" s="3037" t="s">
        <v>214</v>
      </c>
      <c r="D45" s="1267">
        <v>3</v>
      </c>
      <c r="E45" s="1267"/>
      <c r="F45" s="1267">
        <f t="shared" si="0"/>
        <v>3</v>
      </c>
      <c r="G45" s="1267">
        <v>3</v>
      </c>
      <c r="H45" s="1267"/>
      <c r="I45" s="1267">
        <f t="shared" si="1"/>
        <v>3</v>
      </c>
    </row>
    <row r="46" spans="1:9" x14ac:dyDescent="0.2">
      <c r="A46" s="5890" t="s">
        <v>447</v>
      </c>
      <c r="B46" s="5892" t="s">
        <v>6</v>
      </c>
      <c r="C46" s="3037" t="s">
        <v>184</v>
      </c>
      <c r="D46" s="1267">
        <v>1</v>
      </c>
      <c r="E46" s="1267">
        <v>1</v>
      </c>
      <c r="F46" s="1267">
        <f t="shared" si="0"/>
        <v>2</v>
      </c>
      <c r="G46" s="1267">
        <v>1</v>
      </c>
      <c r="H46" s="1267">
        <v>1</v>
      </c>
      <c r="I46" s="1267">
        <f t="shared" si="1"/>
        <v>2</v>
      </c>
    </row>
    <row r="47" spans="1:9" x14ac:dyDescent="0.2">
      <c r="A47" s="5890"/>
      <c r="B47" s="5892"/>
      <c r="C47" s="3038" t="s">
        <v>6</v>
      </c>
      <c r="D47" s="3039">
        <f>SUM(D36:D46)</f>
        <v>12</v>
      </c>
      <c r="E47" s="3039">
        <f>SUM(E36:E46)</f>
        <v>9</v>
      </c>
      <c r="F47" s="3039">
        <f t="shared" si="0"/>
        <v>21</v>
      </c>
      <c r="G47" s="3039">
        <f>SUM(G36:G46)</f>
        <v>12</v>
      </c>
      <c r="H47" s="3039">
        <f>SUM(H36:H46)</f>
        <v>9</v>
      </c>
      <c r="I47" s="3039">
        <f t="shared" si="1"/>
        <v>21</v>
      </c>
    </row>
    <row r="48" spans="1:9" x14ac:dyDescent="0.2">
      <c r="A48" s="5890" t="s">
        <v>447</v>
      </c>
      <c r="B48" s="5892" t="s">
        <v>11</v>
      </c>
      <c r="C48" s="3037" t="s">
        <v>202</v>
      </c>
      <c r="D48" s="1267">
        <v>4</v>
      </c>
      <c r="E48" s="1267"/>
      <c r="F48" s="1267">
        <f t="shared" si="0"/>
        <v>4</v>
      </c>
      <c r="G48" s="1267">
        <v>4</v>
      </c>
      <c r="H48" s="1267"/>
      <c r="I48" s="1267">
        <f t="shared" si="1"/>
        <v>4</v>
      </c>
    </row>
    <row r="49" spans="1:9" x14ac:dyDescent="0.2">
      <c r="A49" s="5890" t="s">
        <v>447</v>
      </c>
      <c r="B49" s="5892" t="s">
        <v>11</v>
      </c>
      <c r="C49" s="3037" t="s">
        <v>203</v>
      </c>
      <c r="D49" s="1267">
        <v>1</v>
      </c>
      <c r="E49" s="1267"/>
      <c r="F49" s="1267">
        <f t="shared" si="0"/>
        <v>1</v>
      </c>
      <c r="G49" s="1267">
        <v>1</v>
      </c>
      <c r="H49" s="1267"/>
      <c r="I49" s="1267">
        <f t="shared" si="1"/>
        <v>1</v>
      </c>
    </row>
    <row r="50" spans="1:9" x14ac:dyDescent="0.2">
      <c r="A50" s="5890" t="s">
        <v>447</v>
      </c>
      <c r="B50" s="5892" t="s">
        <v>11</v>
      </c>
      <c r="C50" s="3037" t="s">
        <v>204</v>
      </c>
      <c r="D50" s="1267">
        <v>1</v>
      </c>
      <c r="E50" s="1267"/>
      <c r="F50" s="1267">
        <f t="shared" si="0"/>
        <v>1</v>
      </c>
      <c r="G50" s="1267">
        <v>1</v>
      </c>
      <c r="H50" s="1267"/>
      <c r="I50" s="1267">
        <f t="shared" si="1"/>
        <v>1</v>
      </c>
    </row>
    <row r="51" spans="1:9" x14ac:dyDescent="0.2">
      <c r="A51" s="5890" t="s">
        <v>447</v>
      </c>
      <c r="B51" s="5892" t="s">
        <v>11</v>
      </c>
      <c r="C51" s="3037" t="s">
        <v>1510</v>
      </c>
      <c r="D51" s="1267">
        <v>3</v>
      </c>
      <c r="E51" s="1267">
        <v>1</v>
      </c>
      <c r="F51" s="1267">
        <f t="shared" si="0"/>
        <v>4</v>
      </c>
      <c r="G51" s="1267">
        <v>3</v>
      </c>
      <c r="H51" s="1267">
        <v>1</v>
      </c>
      <c r="I51" s="1267">
        <f t="shared" si="1"/>
        <v>4</v>
      </c>
    </row>
    <row r="52" spans="1:9" hidden="1" x14ac:dyDescent="0.2">
      <c r="A52" s="5890" t="s">
        <v>447</v>
      </c>
      <c r="B52" s="5892" t="s">
        <v>11</v>
      </c>
      <c r="C52" s="3037" t="s">
        <v>207</v>
      </c>
      <c r="D52" s="1267"/>
      <c r="E52" s="1267"/>
      <c r="F52" s="1267">
        <f t="shared" si="0"/>
        <v>0</v>
      </c>
      <c r="G52" s="1267"/>
      <c r="H52" s="1267"/>
      <c r="I52" s="1267">
        <f t="shared" si="1"/>
        <v>0</v>
      </c>
    </row>
    <row r="53" spans="1:9" hidden="1" x14ac:dyDescent="0.2">
      <c r="A53" s="5890" t="s">
        <v>447</v>
      </c>
      <c r="B53" s="5892" t="s">
        <v>11</v>
      </c>
      <c r="C53" s="3037" t="s">
        <v>205</v>
      </c>
      <c r="D53" s="1267"/>
      <c r="E53" s="1267"/>
      <c r="F53" s="1267">
        <f t="shared" si="0"/>
        <v>0</v>
      </c>
      <c r="G53" s="1267"/>
      <c r="H53" s="1267"/>
      <c r="I53" s="1267">
        <f t="shared" si="1"/>
        <v>0</v>
      </c>
    </row>
    <row r="54" spans="1:9" x14ac:dyDescent="0.2">
      <c r="A54" s="5890"/>
      <c r="B54" s="5888"/>
      <c r="C54" s="3040" t="s">
        <v>11</v>
      </c>
      <c r="D54" s="3041">
        <f>SUM(D48:D53)</f>
        <v>9</v>
      </c>
      <c r="E54" s="3041">
        <f>SUM(E48:E53)</f>
        <v>1</v>
      </c>
      <c r="F54" s="3041">
        <f t="shared" si="0"/>
        <v>10</v>
      </c>
      <c r="G54" s="3041">
        <f>SUM(G48:G53)</f>
        <v>9</v>
      </c>
      <c r="H54" s="3041">
        <f>SUM(H48:H53)</f>
        <v>1</v>
      </c>
      <c r="I54" s="3041">
        <f t="shared" si="1"/>
        <v>10</v>
      </c>
    </row>
    <row r="55" spans="1:9" x14ac:dyDescent="0.2">
      <c r="A55" s="5891"/>
      <c r="B55" s="5913" t="s">
        <v>450</v>
      </c>
      <c r="C55" s="5914"/>
      <c r="D55" s="4610">
        <f>D35+D47+D54</f>
        <v>22</v>
      </c>
      <c r="E55" s="4610">
        <f>E35+E47+E54</f>
        <v>11</v>
      </c>
      <c r="F55" s="4610">
        <f t="shared" si="0"/>
        <v>33</v>
      </c>
      <c r="G55" s="4610">
        <f>G35+G47+G54</f>
        <v>22</v>
      </c>
      <c r="H55" s="4610">
        <f>H35+H47+H54</f>
        <v>11</v>
      </c>
      <c r="I55" s="4610">
        <f t="shared" si="1"/>
        <v>33</v>
      </c>
    </row>
    <row r="56" spans="1:9" x14ac:dyDescent="0.2">
      <c r="A56" s="5903" t="s">
        <v>448</v>
      </c>
      <c r="B56" s="5892" t="s">
        <v>6</v>
      </c>
      <c r="C56" s="1354" t="s">
        <v>181</v>
      </c>
      <c r="D56" s="3045">
        <v>2</v>
      </c>
      <c r="E56" s="3045"/>
      <c r="F56" s="3045">
        <f t="shared" si="0"/>
        <v>2</v>
      </c>
      <c r="G56" s="3045">
        <v>2</v>
      </c>
      <c r="H56" s="3045"/>
      <c r="I56" s="3045">
        <f t="shared" si="1"/>
        <v>2</v>
      </c>
    </row>
    <row r="57" spans="1:9" x14ac:dyDescent="0.2">
      <c r="A57" s="5904" t="s">
        <v>448</v>
      </c>
      <c r="B57" s="5892" t="s">
        <v>6</v>
      </c>
      <c r="C57" s="3037" t="s">
        <v>224</v>
      </c>
      <c r="D57" s="1267">
        <v>6</v>
      </c>
      <c r="E57" s="1267">
        <v>2</v>
      </c>
      <c r="F57" s="1267">
        <f t="shared" si="0"/>
        <v>8</v>
      </c>
      <c r="G57" s="1267">
        <v>6</v>
      </c>
      <c r="H57" s="1267">
        <v>2</v>
      </c>
      <c r="I57" s="1267">
        <f t="shared" si="1"/>
        <v>8</v>
      </c>
    </row>
    <row r="58" spans="1:9" x14ac:dyDescent="0.2">
      <c r="A58" s="5904" t="s">
        <v>448</v>
      </c>
      <c r="B58" s="5892" t="s">
        <v>6</v>
      </c>
      <c r="C58" s="3037" t="s">
        <v>183</v>
      </c>
      <c r="D58" s="1267"/>
      <c r="E58" s="1267">
        <v>2</v>
      </c>
      <c r="F58" s="1267">
        <f t="shared" si="0"/>
        <v>2</v>
      </c>
      <c r="G58" s="1267"/>
      <c r="H58" s="1267">
        <v>2</v>
      </c>
      <c r="I58" s="1267">
        <f t="shared" si="1"/>
        <v>2</v>
      </c>
    </row>
    <row r="59" spans="1:9" x14ac:dyDescent="0.2">
      <c r="A59" s="5904" t="s">
        <v>448</v>
      </c>
      <c r="B59" s="5892" t="s">
        <v>6</v>
      </c>
      <c r="C59" s="3037" t="s">
        <v>1468</v>
      </c>
      <c r="D59" s="1267"/>
      <c r="E59" s="1267">
        <v>1</v>
      </c>
      <c r="F59" s="1267">
        <f t="shared" si="0"/>
        <v>1</v>
      </c>
      <c r="G59" s="1267"/>
      <c r="H59" s="1267">
        <v>1</v>
      </c>
      <c r="I59" s="1267">
        <f t="shared" si="1"/>
        <v>1</v>
      </c>
    </row>
    <row r="60" spans="1:9" x14ac:dyDescent="0.2">
      <c r="A60" s="5904" t="s">
        <v>448</v>
      </c>
      <c r="B60" s="5892" t="s">
        <v>6</v>
      </c>
      <c r="C60" s="3037" t="s">
        <v>846</v>
      </c>
      <c r="D60" s="1267">
        <v>2</v>
      </c>
      <c r="E60" s="1267">
        <v>7</v>
      </c>
      <c r="F60" s="1267">
        <f t="shared" si="0"/>
        <v>9</v>
      </c>
      <c r="G60" s="1267">
        <v>2</v>
      </c>
      <c r="H60" s="1267">
        <v>7</v>
      </c>
      <c r="I60" s="1267">
        <f t="shared" si="1"/>
        <v>9</v>
      </c>
    </row>
    <row r="61" spans="1:9" x14ac:dyDescent="0.2">
      <c r="A61" s="5904" t="s">
        <v>448</v>
      </c>
      <c r="B61" s="5892" t="s">
        <v>6</v>
      </c>
      <c r="C61" s="3037" t="s">
        <v>184</v>
      </c>
      <c r="D61" s="1267">
        <v>3</v>
      </c>
      <c r="E61" s="1267">
        <v>1</v>
      </c>
      <c r="F61" s="1267">
        <f t="shared" si="0"/>
        <v>4</v>
      </c>
      <c r="G61" s="1267">
        <v>3</v>
      </c>
      <c r="H61" s="1267">
        <v>1</v>
      </c>
      <c r="I61" s="1267">
        <f t="shared" si="1"/>
        <v>4</v>
      </c>
    </row>
    <row r="62" spans="1:9" x14ac:dyDescent="0.2">
      <c r="A62" s="5904"/>
      <c r="B62" s="5892"/>
      <c r="C62" s="3038" t="s">
        <v>6</v>
      </c>
      <c r="D62" s="3039">
        <f>SUM(D56:D61)</f>
        <v>13</v>
      </c>
      <c r="E62" s="3039">
        <f>SUM(E56:E61)</f>
        <v>13</v>
      </c>
      <c r="F62" s="3039">
        <f t="shared" si="0"/>
        <v>26</v>
      </c>
      <c r="G62" s="3039">
        <f>SUM(G56:G61)</f>
        <v>13</v>
      </c>
      <c r="H62" s="3039">
        <f>SUM(H56:H61)</f>
        <v>13</v>
      </c>
      <c r="I62" s="3039">
        <f t="shared" si="1"/>
        <v>26</v>
      </c>
    </row>
    <row r="63" spans="1:9" x14ac:dyDescent="0.2">
      <c r="A63" s="5904" t="s">
        <v>448</v>
      </c>
      <c r="B63" s="5892" t="s">
        <v>11</v>
      </c>
      <c r="C63" s="3037" t="s">
        <v>221</v>
      </c>
      <c r="D63" s="1267"/>
      <c r="E63" s="1267">
        <v>2</v>
      </c>
      <c r="F63" s="1267">
        <f t="shared" si="0"/>
        <v>2</v>
      </c>
      <c r="G63" s="1267"/>
      <c r="H63" s="1267">
        <v>2</v>
      </c>
      <c r="I63" s="1267">
        <f t="shared" si="1"/>
        <v>2</v>
      </c>
    </row>
    <row r="64" spans="1:9" x14ac:dyDescent="0.2">
      <c r="A64" s="5904" t="s">
        <v>448</v>
      </c>
      <c r="B64" s="5892" t="s">
        <v>11</v>
      </c>
      <c r="C64" s="3037" t="s">
        <v>202</v>
      </c>
      <c r="D64" s="1267">
        <v>8</v>
      </c>
      <c r="E64" s="1267">
        <v>2</v>
      </c>
      <c r="F64" s="1267">
        <f t="shared" si="0"/>
        <v>10</v>
      </c>
      <c r="G64" s="1267">
        <v>8</v>
      </c>
      <c r="H64" s="1267">
        <v>2</v>
      </c>
      <c r="I64" s="1267">
        <f t="shared" si="1"/>
        <v>10</v>
      </c>
    </row>
    <row r="65" spans="1:9" x14ac:dyDescent="0.2">
      <c r="A65" s="5904" t="s">
        <v>448</v>
      </c>
      <c r="B65" s="5892" t="s">
        <v>11</v>
      </c>
      <c r="C65" s="3037" t="s">
        <v>217</v>
      </c>
      <c r="D65" s="1267">
        <v>11</v>
      </c>
      <c r="E65" s="1267">
        <v>1</v>
      </c>
      <c r="F65" s="1267">
        <f t="shared" si="0"/>
        <v>12</v>
      </c>
      <c r="G65" s="1267">
        <v>11</v>
      </c>
      <c r="H65" s="1267">
        <v>1</v>
      </c>
      <c r="I65" s="1267">
        <f t="shared" si="1"/>
        <v>12</v>
      </c>
    </row>
    <row r="66" spans="1:9" x14ac:dyDescent="0.2">
      <c r="A66" s="5904" t="s">
        <v>448</v>
      </c>
      <c r="B66" s="5892" t="s">
        <v>11</v>
      </c>
      <c r="C66" s="3037" t="s">
        <v>218</v>
      </c>
      <c r="D66" s="1267">
        <v>6</v>
      </c>
      <c r="E66" s="1267">
        <v>3</v>
      </c>
      <c r="F66" s="1267">
        <f t="shared" si="0"/>
        <v>9</v>
      </c>
      <c r="G66" s="1267">
        <v>6</v>
      </c>
      <c r="H66" s="1267">
        <v>3</v>
      </c>
      <c r="I66" s="1267">
        <f t="shared" si="1"/>
        <v>9</v>
      </c>
    </row>
    <row r="67" spans="1:9" x14ac:dyDescent="0.2">
      <c r="A67" s="5904" t="s">
        <v>448</v>
      </c>
      <c r="B67" s="5892" t="s">
        <v>11</v>
      </c>
      <c r="C67" s="3037" t="s">
        <v>847</v>
      </c>
      <c r="D67" s="1267">
        <v>13</v>
      </c>
      <c r="E67" s="1267">
        <v>7</v>
      </c>
      <c r="F67" s="1267">
        <f t="shared" si="0"/>
        <v>20</v>
      </c>
      <c r="G67" s="1267">
        <v>13</v>
      </c>
      <c r="H67" s="1267">
        <v>7</v>
      </c>
      <c r="I67" s="1267">
        <f t="shared" si="1"/>
        <v>20</v>
      </c>
    </row>
    <row r="68" spans="1:9" x14ac:dyDescent="0.2">
      <c r="A68" s="5904" t="s">
        <v>448</v>
      </c>
      <c r="B68" s="5892" t="s">
        <v>11</v>
      </c>
      <c r="C68" s="3037" t="s">
        <v>848</v>
      </c>
      <c r="D68" s="1267">
        <v>4</v>
      </c>
      <c r="E68" s="1267">
        <v>3</v>
      </c>
      <c r="F68" s="1267">
        <f t="shared" si="0"/>
        <v>7</v>
      </c>
      <c r="G68" s="1267">
        <v>4</v>
      </c>
      <c r="H68" s="1267">
        <v>3</v>
      </c>
      <c r="I68" s="1267">
        <f t="shared" si="1"/>
        <v>7</v>
      </c>
    </row>
    <row r="69" spans="1:9" x14ac:dyDescent="0.2">
      <c r="A69" s="5904" t="s">
        <v>448</v>
      </c>
      <c r="B69" s="5892" t="s">
        <v>11</v>
      </c>
      <c r="C69" s="3037" t="s">
        <v>849</v>
      </c>
      <c r="D69" s="1267">
        <v>7</v>
      </c>
      <c r="E69" s="1267">
        <v>3</v>
      </c>
      <c r="F69" s="1267">
        <f t="shared" si="0"/>
        <v>10</v>
      </c>
      <c r="G69" s="1267">
        <v>7</v>
      </c>
      <c r="H69" s="1267">
        <v>3</v>
      </c>
      <c r="I69" s="1267">
        <f t="shared" si="1"/>
        <v>10</v>
      </c>
    </row>
    <row r="70" spans="1:9" x14ac:dyDescent="0.2">
      <c r="A70" s="5904" t="s">
        <v>448</v>
      </c>
      <c r="B70" s="5892" t="s">
        <v>11</v>
      </c>
      <c r="C70" s="3037" t="s">
        <v>1469</v>
      </c>
      <c r="D70" s="1267">
        <v>4</v>
      </c>
      <c r="E70" s="1267">
        <v>2</v>
      </c>
      <c r="F70" s="1267">
        <f t="shared" ref="F70:F100" si="2">SUM(D70:E70)</f>
        <v>6</v>
      </c>
      <c r="G70" s="1267">
        <v>3</v>
      </c>
      <c r="H70" s="1267">
        <v>2</v>
      </c>
      <c r="I70" s="1267">
        <f t="shared" ref="I70:I100" si="3">SUM(G70:H70)</f>
        <v>5</v>
      </c>
    </row>
    <row r="71" spans="1:9" x14ac:dyDescent="0.2">
      <c r="A71" s="5904"/>
      <c r="B71" s="5892"/>
      <c r="C71" s="3038" t="s">
        <v>11</v>
      </c>
      <c r="D71" s="3039">
        <f>SUM(D63:D70)</f>
        <v>53</v>
      </c>
      <c r="E71" s="3039">
        <f>SUM(E63:E70)</f>
        <v>23</v>
      </c>
      <c r="F71" s="3039">
        <f t="shared" si="2"/>
        <v>76</v>
      </c>
      <c r="G71" s="3039">
        <f>SUM(G63:G70)</f>
        <v>52</v>
      </c>
      <c r="H71" s="3039">
        <f>SUM(H63:H70)</f>
        <v>23</v>
      </c>
      <c r="I71" s="3039">
        <f t="shared" si="3"/>
        <v>75</v>
      </c>
    </row>
    <row r="72" spans="1:9" x14ac:dyDescent="0.2">
      <c r="A72" s="5904" t="s">
        <v>448</v>
      </c>
      <c r="B72" s="5892" t="s">
        <v>7</v>
      </c>
      <c r="C72" s="3037" t="s">
        <v>168</v>
      </c>
      <c r="D72" s="1267">
        <v>4</v>
      </c>
      <c r="E72" s="1267">
        <v>3</v>
      </c>
      <c r="F72" s="1267">
        <f t="shared" si="2"/>
        <v>7</v>
      </c>
      <c r="G72" s="1267">
        <v>4</v>
      </c>
      <c r="H72" s="1267">
        <v>3</v>
      </c>
      <c r="I72" s="1267">
        <f t="shared" si="3"/>
        <v>7</v>
      </c>
    </row>
    <row r="73" spans="1:9" x14ac:dyDescent="0.2">
      <c r="A73" s="5904" t="s">
        <v>448</v>
      </c>
      <c r="B73" s="5892" t="s">
        <v>7</v>
      </c>
      <c r="C73" s="3037" t="s">
        <v>843</v>
      </c>
      <c r="D73" s="1267">
        <v>6</v>
      </c>
      <c r="E73" s="1267">
        <v>1</v>
      </c>
      <c r="F73" s="1267">
        <f t="shared" si="2"/>
        <v>7</v>
      </c>
      <c r="G73" s="1267">
        <v>5</v>
      </c>
      <c r="H73" s="1267">
        <v>1</v>
      </c>
      <c r="I73" s="1267">
        <f t="shared" si="3"/>
        <v>6</v>
      </c>
    </row>
    <row r="74" spans="1:9" x14ac:dyDescent="0.2">
      <c r="A74" s="5904" t="s">
        <v>448</v>
      </c>
      <c r="B74" s="5892" t="s">
        <v>7</v>
      </c>
      <c r="C74" s="3037" t="s">
        <v>170</v>
      </c>
      <c r="D74" s="1267">
        <v>4</v>
      </c>
      <c r="E74" s="1267">
        <v>1</v>
      </c>
      <c r="F74" s="1267">
        <f t="shared" si="2"/>
        <v>5</v>
      </c>
      <c r="G74" s="1267">
        <v>4</v>
      </c>
      <c r="H74" s="1267">
        <v>1</v>
      </c>
      <c r="I74" s="1267">
        <f t="shared" si="3"/>
        <v>5</v>
      </c>
    </row>
    <row r="75" spans="1:9" x14ac:dyDescent="0.2">
      <c r="A75" s="5904" t="s">
        <v>448</v>
      </c>
      <c r="B75" s="5892" t="s">
        <v>7</v>
      </c>
      <c r="C75" s="3037" t="s">
        <v>216</v>
      </c>
      <c r="D75" s="1267">
        <v>11</v>
      </c>
      <c r="E75" s="1267">
        <v>4</v>
      </c>
      <c r="F75" s="1267">
        <f t="shared" si="2"/>
        <v>15</v>
      </c>
      <c r="G75" s="1267">
        <v>11</v>
      </c>
      <c r="H75" s="1267">
        <v>3</v>
      </c>
      <c r="I75" s="1267">
        <f t="shared" si="3"/>
        <v>14</v>
      </c>
    </row>
    <row r="76" spans="1:9" x14ac:dyDescent="0.2">
      <c r="A76" s="5904"/>
      <c r="B76" s="5888"/>
      <c r="C76" s="3040" t="s">
        <v>7</v>
      </c>
      <c r="D76" s="3041">
        <f>SUM(D72:D75)</f>
        <v>25</v>
      </c>
      <c r="E76" s="3041">
        <f>SUM(E72:E75)</f>
        <v>9</v>
      </c>
      <c r="F76" s="3041">
        <f t="shared" si="2"/>
        <v>34</v>
      </c>
      <c r="G76" s="3041">
        <f>SUM(G72:G75)</f>
        <v>24</v>
      </c>
      <c r="H76" s="3041">
        <f>SUM(H72:H75)</f>
        <v>8</v>
      </c>
      <c r="I76" s="3041">
        <f t="shared" si="3"/>
        <v>32</v>
      </c>
    </row>
    <row r="77" spans="1:9" x14ac:dyDescent="0.2">
      <c r="A77" s="5905"/>
      <c r="B77" s="5898" t="s">
        <v>450</v>
      </c>
      <c r="C77" s="5899"/>
      <c r="D77" s="4611">
        <f>+D62+D71+D76</f>
        <v>91</v>
      </c>
      <c r="E77" s="4611">
        <f>+E62+E71+E76</f>
        <v>45</v>
      </c>
      <c r="F77" s="4611">
        <f t="shared" si="2"/>
        <v>136</v>
      </c>
      <c r="G77" s="4611">
        <f>+G62+G71+G76</f>
        <v>89</v>
      </c>
      <c r="H77" s="4611">
        <f>+H62+H71+H76</f>
        <v>44</v>
      </c>
      <c r="I77" s="4611">
        <f t="shared" si="3"/>
        <v>133</v>
      </c>
    </row>
    <row r="78" spans="1:9" x14ac:dyDescent="0.2">
      <c r="A78" s="5906" t="s">
        <v>436</v>
      </c>
      <c r="B78" s="5893" t="s">
        <v>6</v>
      </c>
      <c r="C78" s="3049" t="s">
        <v>850</v>
      </c>
      <c r="D78" s="1267">
        <v>1</v>
      </c>
      <c r="E78" s="1267">
        <v>1</v>
      </c>
      <c r="F78" s="1267">
        <f t="shared" si="2"/>
        <v>2</v>
      </c>
      <c r="G78" s="1267">
        <v>1</v>
      </c>
      <c r="H78" s="1267">
        <v>1</v>
      </c>
      <c r="I78" s="1267">
        <f t="shared" si="3"/>
        <v>2</v>
      </c>
    </row>
    <row r="79" spans="1:9" x14ac:dyDescent="0.2">
      <c r="A79" s="5907" t="s">
        <v>436</v>
      </c>
      <c r="B79" s="5893" t="s">
        <v>6</v>
      </c>
      <c r="C79" s="3049" t="s">
        <v>851</v>
      </c>
      <c r="D79" s="1267">
        <v>2</v>
      </c>
      <c r="E79" s="1267">
        <v>1</v>
      </c>
      <c r="F79" s="1267">
        <f t="shared" si="2"/>
        <v>3</v>
      </c>
      <c r="G79" s="1267">
        <v>2</v>
      </c>
      <c r="H79" s="1267">
        <v>1</v>
      </c>
      <c r="I79" s="1267">
        <f t="shared" si="3"/>
        <v>3</v>
      </c>
    </row>
    <row r="80" spans="1:9" x14ac:dyDescent="0.2">
      <c r="A80" s="5907" t="s">
        <v>436</v>
      </c>
      <c r="B80" s="5893" t="s">
        <v>6</v>
      </c>
      <c r="C80" s="3049" t="s">
        <v>191</v>
      </c>
      <c r="D80" s="1267">
        <v>1</v>
      </c>
      <c r="E80" s="1267"/>
      <c r="F80" s="1267">
        <f t="shared" si="2"/>
        <v>1</v>
      </c>
      <c r="G80" s="1267">
        <v>1</v>
      </c>
      <c r="H80" s="1267"/>
      <c r="I80" s="1267">
        <f t="shared" si="3"/>
        <v>1</v>
      </c>
    </row>
    <row r="81" spans="1:9" x14ac:dyDescent="0.2">
      <c r="A81" s="5907"/>
      <c r="B81" s="5893"/>
      <c r="C81" s="3040" t="s">
        <v>6</v>
      </c>
      <c r="D81" s="3041">
        <f>SUM(D78:D80)</f>
        <v>4</v>
      </c>
      <c r="E81" s="3041">
        <f t="shared" ref="E81:I81" si="4">SUM(E78:E80)</f>
        <v>2</v>
      </c>
      <c r="F81" s="3041">
        <f t="shared" si="4"/>
        <v>6</v>
      </c>
      <c r="G81" s="3041">
        <f t="shared" si="4"/>
        <v>4</v>
      </c>
      <c r="H81" s="3041">
        <f t="shared" si="4"/>
        <v>2</v>
      </c>
      <c r="I81" s="3041">
        <f t="shared" si="4"/>
        <v>6</v>
      </c>
    </row>
    <row r="82" spans="1:9" x14ac:dyDescent="0.2">
      <c r="A82" s="5907" t="s">
        <v>436</v>
      </c>
      <c r="B82" s="5892" t="s">
        <v>9</v>
      </c>
      <c r="C82" s="3050" t="s">
        <v>187</v>
      </c>
      <c r="D82" s="3045">
        <v>5</v>
      </c>
      <c r="E82" s="3045">
        <v>2</v>
      </c>
      <c r="F82" s="3045">
        <f t="shared" si="2"/>
        <v>7</v>
      </c>
      <c r="G82" s="3045">
        <v>5</v>
      </c>
      <c r="H82" s="3045">
        <v>2</v>
      </c>
      <c r="I82" s="3045">
        <f t="shared" si="3"/>
        <v>7</v>
      </c>
    </row>
    <row r="83" spans="1:9" x14ac:dyDescent="0.2">
      <c r="A83" s="5907" t="s">
        <v>436</v>
      </c>
      <c r="B83" s="5892" t="s">
        <v>9</v>
      </c>
      <c r="C83" s="3049" t="s">
        <v>852</v>
      </c>
      <c r="D83" s="1267">
        <v>4</v>
      </c>
      <c r="E83" s="1267"/>
      <c r="F83" s="1267">
        <f t="shared" si="2"/>
        <v>4</v>
      </c>
      <c r="G83" s="1267">
        <v>4</v>
      </c>
      <c r="H83" s="1267"/>
      <c r="I83" s="1267">
        <f t="shared" si="3"/>
        <v>4</v>
      </c>
    </row>
    <row r="84" spans="1:9" x14ac:dyDescent="0.2">
      <c r="A84" s="5907" t="s">
        <v>436</v>
      </c>
      <c r="B84" s="5892" t="s">
        <v>9</v>
      </c>
      <c r="C84" s="3049" t="s">
        <v>853</v>
      </c>
      <c r="D84" s="1267">
        <v>1</v>
      </c>
      <c r="E84" s="1267">
        <v>2</v>
      </c>
      <c r="F84" s="1267">
        <f t="shared" si="2"/>
        <v>3</v>
      </c>
      <c r="G84" s="1267">
        <v>1</v>
      </c>
      <c r="H84" s="1267">
        <v>2</v>
      </c>
      <c r="I84" s="1267">
        <f t="shared" si="3"/>
        <v>3</v>
      </c>
    </row>
    <row r="85" spans="1:9" x14ac:dyDescent="0.2">
      <c r="A85" s="5907"/>
      <c r="B85" s="5892"/>
      <c r="C85" s="3040" t="s">
        <v>9</v>
      </c>
      <c r="D85" s="3041">
        <f>SUM(D82:D84)</f>
        <v>10</v>
      </c>
      <c r="E85" s="3041">
        <f t="shared" ref="E85:I85" si="5">SUM(E82:E84)</f>
        <v>4</v>
      </c>
      <c r="F85" s="3041">
        <f t="shared" si="5"/>
        <v>14</v>
      </c>
      <c r="G85" s="3041">
        <f t="shared" si="5"/>
        <v>10</v>
      </c>
      <c r="H85" s="3041">
        <f t="shared" si="5"/>
        <v>4</v>
      </c>
      <c r="I85" s="3041">
        <f t="shared" si="5"/>
        <v>14</v>
      </c>
    </row>
    <row r="86" spans="1:9" hidden="1" x14ac:dyDescent="0.2">
      <c r="A86" s="5907" t="s">
        <v>436</v>
      </c>
      <c r="B86" s="5892" t="s">
        <v>74</v>
      </c>
      <c r="C86" s="3049" t="s">
        <v>1511</v>
      </c>
      <c r="D86" s="1267"/>
      <c r="E86" s="1267"/>
      <c r="F86" s="1267"/>
      <c r="G86" s="1267"/>
      <c r="H86" s="1267"/>
      <c r="I86" s="1267"/>
    </row>
    <row r="87" spans="1:9" x14ac:dyDescent="0.2">
      <c r="A87" s="5907" t="s">
        <v>436</v>
      </c>
      <c r="B87" s="5892" t="s">
        <v>74</v>
      </c>
      <c r="C87" s="3049" t="s">
        <v>854</v>
      </c>
      <c r="D87" s="1267">
        <v>4</v>
      </c>
      <c r="E87" s="1267">
        <v>6</v>
      </c>
      <c r="F87" s="1267">
        <f t="shared" si="2"/>
        <v>10</v>
      </c>
      <c r="G87" s="1267">
        <v>4</v>
      </c>
      <c r="H87" s="1267">
        <v>6</v>
      </c>
      <c r="I87" s="1267">
        <f t="shared" si="3"/>
        <v>10</v>
      </c>
    </row>
    <row r="88" spans="1:9" x14ac:dyDescent="0.2">
      <c r="A88" s="5907" t="s">
        <v>436</v>
      </c>
      <c r="B88" s="5892" t="s">
        <v>74</v>
      </c>
      <c r="C88" s="3049" t="s">
        <v>1512</v>
      </c>
      <c r="D88" s="1267"/>
      <c r="E88" s="1267">
        <v>4</v>
      </c>
      <c r="F88" s="1267">
        <f t="shared" si="2"/>
        <v>4</v>
      </c>
      <c r="G88" s="1267"/>
      <c r="H88" s="1267">
        <v>4</v>
      </c>
      <c r="I88" s="1267">
        <f t="shared" si="3"/>
        <v>4</v>
      </c>
    </row>
    <row r="89" spans="1:9" hidden="1" x14ac:dyDescent="0.2">
      <c r="A89" s="5907" t="s">
        <v>436</v>
      </c>
      <c r="B89" s="5892" t="s">
        <v>74</v>
      </c>
      <c r="C89" s="3049" t="s">
        <v>855</v>
      </c>
      <c r="D89" s="1267"/>
      <c r="E89" s="1267"/>
      <c r="F89" s="1267"/>
      <c r="G89" s="1267"/>
      <c r="H89" s="1267"/>
      <c r="I89" s="1267"/>
    </row>
    <row r="90" spans="1:9" x14ac:dyDescent="0.2">
      <c r="A90" s="5907"/>
      <c r="B90" s="5888"/>
      <c r="C90" s="3040" t="s">
        <v>74</v>
      </c>
      <c r="D90" s="3041">
        <f>SUM(D86:D89)</f>
        <v>4</v>
      </c>
      <c r="E90" s="3041">
        <f t="shared" ref="E90:I90" si="6">SUM(E86:E89)</f>
        <v>10</v>
      </c>
      <c r="F90" s="3041">
        <f t="shared" si="6"/>
        <v>14</v>
      </c>
      <c r="G90" s="3041">
        <f t="shared" si="6"/>
        <v>4</v>
      </c>
      <c r="H90" s="3041">
        <f t="shared" si="6"/>
        <v>10</v>
      </c>
      <c r="I90" s="3041">
        <f t="shared" si="6"/>
        <v>14</v>
      </c>
    </row>
    <row r="91" spans="1:9" x14ac:dyDescent="0.2">
      <c r="A91" s="5101"/>
      <c r="B91" s="5896" t="s">
        <v>450</v>
      </c>
      <c r="C91" s="5897"/>
      <c r="D91" s="4612">
        <f>SUM(D90,D85,D81)</f>
        <v>18</v>
      </c>
      <c r="E91" s="4612">
        <f t="shared" ref="E91:I91" si="7">SUM(E90,E85,E81)</f>
        <v>16</v>
      </c>
      <c r="F91" s="4612">
        <f t="shared" si="7"/>
        <v>34</v>
      </c>
      <c r="G91" s="4612">
        <f t="shared" si="7"/>
        <v>18</v>
      </c>
      <c r="H91" s="4612">
        <f t="shared" si="7"/>
        <v>16</v>
      </c>
      <c r="I91" s="4612">
        <f t="shared" si="7"/>
        <v>34</v>
      </c>
    </row>
    <row r="92" spans="1:9" x14ac:dyDescent="0.2">
      <c r="A92" s="5908" t="s">
        <v>437</v>
      </c>
      <c r="B92" s="5892" t="s">
        <v>5</v>
      </c>
      <c r="C92" s="3050" t="s">
        <v>856</v>
      </c>
      <c r="D92" s="3045">
        <v>2</v>
      </c>
      <c r="E92" s="3045">
        <v>1</v>
      </c>
      <c r="F92" s="3045">
        <f t="shared" si="2"/>
        <v>3</v>
      </c>
      <c r="G92" s="3045">
        <v>2</v>
      </c>
      <c r="H92" s="3045">
        <v>1</v>
      </c>
      <c r="I92" s="3045">
        <f t="shared" si="3"/>
        <v>3</v>
      </c>
    </row>
    <row r="93" spans="1:9" x14ac:dyDescent="0.2">
      <c r="A93" s="5213"/>
      <c r="B93" s="5892"/>
      <c r="C93" s="3040" t="s">
        <v>5</v>
      </c>
      <c r="D93" s="3041">
        <f>SUM(D92)</f>
        <v>2</v>
      </c>
      <c r="E93" s="3041">
        <f t="shared" ref="E93:I93" si="8">SUM(E92)</f>
        <v>1</v>
      </c>
      <c r="F93" s="3041">
        <f t="shared" si="8"/>
        <v>3</v>
      </c>
      <c r="G93" s="3041">
        <f t="shared" si="8"/>
        <v>2</v>
      </c>
      <c r="H93" s="3041">
        <f t="shared" si="8"/>
        <v>1</v>
      </c>
      <c r="I93" s="3041">
        <f t="shared" si="8"/>
        <v>3</v>
      </c>
    </row>
    <row r="94" spans="1:9" hidden="1" x14ac:dyDescent="0.2">
      <c r="A94" s="5213" t="s">
        <v>437</v>
      </c>
      <c r="B94" s="5893" t="s">
        <v>6</v>
      </c>
      <c r="C94" s="3049" t="s">
        <v>858</v>
      </c>
      <c r="D94" s="1267"/>
      <c r="E94" s="1267"/>
      <c r="F94" s="1267"/>
      <c r="G94" s="1267"/>
      <c r="H94" s="1267"/>
      <c r="I94" s="1267"/>
    </row>
    <row r="95" spans="1:9" hidden="1" x14ac:dyDescent="0.2">
      <c r="A95" s="5213" t="s">
        <v>437</v>
      </c>
      <c r="B95" s="5893" t="s">
        <v>6</v>
      </c>
      <c r="C95" s="3049" t="s">
        <v>857</v>
      </c>
      <c r="D95" s="1267"/>
      <c r="E95" s="1267"/>
      <c r="F95" s="1267"/>
      <c r="G95" s="1267"/>
      <c r="H95" s="1267"/>
      <c r="I95" s="1267"/>
    </row>
    <row r="96" spans="1:9" hidden="1" x14ac:dyDescent="0.2">
      <c r="A96" s="5213"/>
      <c r="B96" s="5893"/>
      <c r="C96" s="3040" t="s">
        <v>6</v>
      </c>
      <c r="D96" s="3041">
        <f>SUM(D94:D95)</f>
        <v>0</v>
      </c>
      <c r="E96" s="3041">
        <f t="shared" ref="E96:I96" si="9">SUM(E94:E95)</f>
        <v>0</v>
      </c>
      <c r="F96" s="3041">
        <f t="shared" si="9"/>
        <v>0</v>
      </c>
      <c r="G96" s="3041">
        <f t="shared" si="9"/>
        <v>0</v>
      </c>
      <c r="H96" s="3041">
        <f t="shared" si="9"/>
        <v>0</v>
      </c>
      <c r="I96" s="3041">
        <f t="shared" si="9"/>
        <v>0</v>
      </c>
    </row>
    <row r="97" spans="1:9" x14ac:dyDescent="0.2">
      <c r="A97" s="5213" t="s">
        <v>437</v>
      </c>
      <c r="B97" s="5892" t="s">
        <v>11</v>
      </c>
      <c r="C97" s="3049" t="s">
        <v>859</v>
      </c>
      <c r="D97" s="1267">
        <v>3</v>
      </c>
      <c r="E97" s="1267">
        <v>1</v>
      </c>
      <c r="F97" s="1267">
        <f t="shared" si="2"/>
        <v>4</v>
      </c>
      <c r="G97" s="1267">
        <v>3</v>
      </c>
      <c r="H97" s="1267">
        <v>1</v>
      </c>
      <c r="I97" s="1267">
        <f t="shared" si="3"/>
        <v>4</v>
      </c>
    </row>
    <row r="98" spans="1:9" x14ac:dyDescent="0.2">
      <c r="A98" s="5213"/>
      <c r="B98" s="5888"/>
      <c r="C98" s="3040" t="s">
        <v>11</v>
      </c>
      <c r="D98" s="3041">
        <f>SUM(D97)</f>
        <v>3</v>
      </c>
      <c r="E98" s="3041">
        <f t="shared" ref="E98:I98" si="10">SUM(E97)</f>
        <v>1</v>
      </c>
      <c r="F98" s="3041">
        <f t="shared" si="10"/>
        <v>4</v>
      </c>
      <c r="G98" s="3041">
        <f t="shared" si="10"/>
        <v>3</v>
      </c>
      <c r="H98" s="3041">
        <f t="shared" si="10"/>
        <v>1</v>
      </c>
      <c r="I98" s="3041">
        <f t="shared" si="10"/>
        <v>4</v>
      </c>
    </row>
    <row r="99" spans="1:9" x14ac:dyDescent="0.2">
      <c r="A99" s="5104"/>
      <c r="B99" s="5894" t="s">
        <v>450</v>
      </c>
      <c r="C99" s="5895"/>
      <c r="D99" s="4613">
        <f>SUM(D98,D96,D93)</f>
        <v>5</v>
      </c>
      <c r="E99" s="4613">
        <f t="shared" ref="E99:I99" si="11">SUM(E98,E96,E93)</f>
        <v>2</v>
      </c>
      <c r="F99" s="4613">
        <f t="shared" si="11"/>
        <v>7</v>
      </c>
      <c r="G99" s="4613">
        <f t="shared" si="11"/>
        <v>5</v>
      </c>
      <c r="H99" s="4613">
        <f t="shared" si="11"/>
        <v>2</v>
      </c>
      <c r="I99" s="4613">
        <f t="shared" si="11"/>
        <v>7</v>
      </c>
    </row>
    <row r="100" spans="1:9" x14ac:dyDescent="0.2">
      <c r="A100" s="5885" t="s">
        <v>586</v>
      </c>
      <c r="B100" s="5886"/>
      <c r="C100" s="5887"/>
      <c r="D100" s="4614">
        <f>SUM(D99+D91+D77+D55+D25)</f>
        <v>151</v>
      </c>
      <c r="E100" s="4614">
        <f>SUM(E99+E91+E77+E55+E25)</f>
        <v>88</v>
      </c>
      <c r="F100" s="4614">
        <f t="shared" si="2"/>
        <v>239</v>
      </c>
      <c r="G100" s="4614">
        <f>SUM(G99+G91+G77+G55+G25)</f>
        <v>149</v>
      </c>
      <c r="H100" s="4614">
        <f>SUM(H99+H91+H77+H55+H25)</f>
        <v>85</v>
      </c>
      <c r="I100" s="4614">
        <f t="shared" si="3"/>
        <v>234</v>
      </c>
    </row>
  </sheetData>
  <mergeCells count="31">
    <mergeCell ref="A100:C100"/>
    <mergeCell ref="D3:F3"/>
    <mergeCell ref="G3:I3"/>
    <mergeCell ref="B78:B81"/>
    <mergeCell ref="B82:B85"/>
    <mergeCell ref="B86:B90"/>
    <mergeCell ref="B91:C91"/>
    <mergeCell ref="A92:A99"/>
    <mergeCell ref="B92:B93"/>
    <mergeCell ref="B94:B96"/>
    <mergeCell ref="B97:B98"/>
    <mergeCell ref="B99:C99"/>
    <mergeCell ref="B26:B35"/>
    <mergeCell ref="B36:B47"/>
    <mergeCell ref="B48:B54"/>
    <mergeCell ref="B55:C55"/>
    <mergeCell ref="A26:A55"/>
    <mergeCell ref="A78:A91"/>
    <mergeCell ref="A3:A4"/>
    <mergeCell ref="B3:B4"/>
    <mergeCell ref="C3:C4"/>
    <mergeCell ref="A5:A25"/>
    <mergeCell ref="B5:B15"/>
    <mergeCell ref="B16:B20"/>
    <mergeCell ref="B21:B24"/>
    <mergeCell ref="B25:C25"/>
    <mergeCell ref="A56:A77"/>
    <mergeCell ref="B56:B62"/>
    <mergeCell ref="B63:B71"/>
    <mergeCell ref="B72:B76"/>
    <mergeCell ref="B77:C77"/>
  </mergeCells>
  <pageMargins left="0.7" right="0.7" top="0.75" bottom="0.75" header="0.3" footer="0.3"/>
  <pageSetup orientation="portrait" r:id="rId1"/>
  <ignoredErrors>
    <ignoredError sqref="F15:F25 F35:F55 F62:F77 F92 F97 F100 F98:I98 F81:I81" formula="1"/>
  </ignoredError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A1:H39"/>
  <sheetViews>
    <sheetView showGridLines="0" workbookViewId="0">
      <selection activeCell="F6" sqref="F6:G8"/>
    </sheetView>
  </sheetViews>
  <sheetFormatPr baseColWidth="10" defaultRowHeight="12.75" x14ac:dyDescent="0.2"/>
  <cols>
    <col min="1" max="1" width="14.42578125" customWidth="1"/>
    <col min="3" max="4" width="9.42578125" customWidth="1"/>
    <col min="5" max="5" width="8.7109375" customWidth="1"/>
    <col min="6" max="7" width="9.42578125" customWidth="1"/>
    <col min="8" max="8" width="8.7109375" customWidth="1"/>
  </cols>
  <sheetData>
    <row r="1" spans="1:8" ht="18.75" x14ac:dyDescent="0.2">
      <c r="A1" s="4699" t="s">
        <v>1483</v>
      </c>
    </row>
    <row r="2" spans="1:8" ht="18.75" x14ac:dyDescent="0.2">
      <c r="A2" s="4699"/>
    </row>
    <row r="3" spans="1:8" ht="15" x14ac:dyDescent="0.2">
      <c r="A3" s="5020" t="s">
        <v>16</v>
      </c>
      <c r="B3" s="5020" t="s">
        <v>4</v>
      </c>
      <c r="C3" s="5929" t="s">
        <v>1500</v>
      </c>
      <c r="D3" s="5930"/>
      <c r="E3" s="5931"/>
      <c r="F3" s="5932" t="s">
        <v>1501</v>
      </c>
      <c r="G3" s="5933"/>
      <c r="H3" s="5931"/>
    </row>
    <row r="4" spans="1:8" ht="12.75" customHeight="1" x14ac:dyDescent="0.25">
      <c r="A4" s="5021"/>
      <c r="B4" s="5021"/>
      <c r="C4" s="4731" t="s">
        <v>675</v>
      </c>
      <c r="D4" s="4731" t="s">
        <v>676</v>
      </c>
      <c r="E4" s="4730" t="s">
        <v>160</v>
      </c>
      <c r="F4" s="4731" t="s">
        <v>675</v>
      </c>
      <c r="G4" s="4731" t="s">
        <v>676</v>
      </c>
      <c r="H4" s="4730" t="s">
        <v>160</v>
      </c>
    </row>
    <row r="5" spans="1:8" ht="15" x14ac:dyDescent="0.2">
      <c r="A5" s="263"/>
      <c r="B5" s="263"/>
      <c r="C5" s="263"/>
      <c r="D5" s="263"/>
      <c r="E5" s="263"/>
      <c r="F5" s="263"/>
    </row>
    <row r="6" spans="1:8" ht="15" customHeight="1" x14ac:dyDescent="0.2">
      <c r="A6" s="5037" t="s">
        <v>161</v>
      </c>
      <c r="B6" s="264" t="s">
        <v>5</v>
      </c>
      <c r="C6" s="265">
        <f>+'4 Serv Social plan'!D15</f>
        <v>2</v>
      </c>
      <c r="D6" s="267">
        <f>+'4 Serv Social plan'!E15</f>
        <v>3</v>
      </c>
      <c r="E6" s="546">
        <f>+'4 Serv Social plan'!F15</f>
        <v>5</v>
      </c>
      <c r="F6" s="265">
        <f>+'4 Serv Social plan'!G15</f>
        <v>2</v>
      </c>
      <c r="G6" s="267">
        <f>+'4 Serv Social plan'!H15</f>
        <v>3</v>
      </c>
      <c r="H6" s="546">
        <f>+'4 Serv Social plan'!I15</f>
        <v>5</v>
      </c>
    </row>
    <row r="7" spans="1:8" ht="15" customHeight="1" x14ac:dyDescent="0.2">
      <c r="A7" s="5038"/>
      <c r="B7" s="268" t="s">
        <v>6</v>
      </c>
      <c r="C7" s="269">
        <f>+'4 Serv Social plan'!D20</f>
        <v>11</v>
      </c>
      <c r="D7" s="271">
        <f>+'4 Serv Social plan'!E20</f>
        <v>9</v>
      </c>
      <c r="E7" s="547">
        <f>+'4 Serv Social plan'!F20</f>
        <v>20</v>
      </c>
      <c r="F7" s="269">
        <f>+'4 Serv Social plan'!G20</f>
        <v>11</v>
      </c>
      <c r="G7" s="271">
        <f>+'4 Serv Social plan'!H20</f>
        <v>8</v>
      </c>
      <c r="H7" s="547">
        <f>+'4 Serv Social plan'!I20</f>
        <v>19</v>
      </c>
    </row>
    <row r="8" spans="1:8" ht="15" customHeight="1" x14ac:dyDescent="0.2">
      <c r="A8" s="5038"/>
      <c r="B8" s="268" t="s">
        <v>7</v>
      </c>
      <c r="C8" s="3087">
        <f>+'4 Serv Social plan'!D24</f>
        <v>2</v>
      </c>
      <c r="D8" s="3089">
        <f>+'4 Serv Social plan'!E24</f>
        <v>2</v>
      </c>
      <c r="E8" s="4732">
        <f>+'4 Serv Social plan'!F24</f>
        <v>4</v>
      </c>
      <c r="F8" s="3087">
        <f>+'4 Serv Social plan'!G24</f>
        <v>2</v>
      </c>
      <c r="G8" s="3089">
        <f>+'4 Serv Social plan'!H24</f>
        <v>1</v>
      </c>
      <c r="H8" s="4732">
        <f>+'4 Serv Social plan'!I24</f>
        <v>3</v>
      </c>
    </row>
    <row r="9" spans="1:8" ht="15" customHeight="1" x14ac:dyDescent="0.2">
      <c r="A9" s="5108"/>
      <c r="B9" s="2405" t="s">
        <v>160</v>
      </c>
      <c r="C9" s="2460">
        <f>SUM(C6:C8)</f>
        <v>15</v>
      </c>
      <c r="D9" s="2462">
        <f t="shared" ref="D9:H9" si="0">SUM(D6:D8)</f>
        <v>14</v>
      </c>
      <c r="E9" s="4733">
        <f t="shared" si="0"/>
        <v>29</v>
      </c>
      <c r="F9" s="2460">
        <f t="shared" si="0"/>
        <v>15</v>
      </c>
      <c r="G9" s="2462">
        <f t="shared" si="0"/>
        <v>12</v>
      </c>
      <c r="H9" s="4733">
        <f t="shared" si="0"/>
        <v>27</v>
      </c>
    </row>
    <row r="10" spans="1:8" ht="15.75" x14ac:dyDescent="0.25">
      <c r="A10" s="1923"/>
      <c r="B10" s="209"/>
      <c r="C10" s="216"/>
      <c r="D10" s="216"/>
      <c r="E10" s="216"/>
      <c r="F10" s="216"/>
      <c r="G10" s="216"/>
      <c r="H10" s="216"/>
    </row>
    <row r="11" spans="1:8" ht="15" customHeight="1" x14ac:dyDescent="0.2">
      <c r="A11" s="5028" t="s">
        <v>410</v>
      </c>
      <c r="B11" s="264" t="s">
        <v>6</v>
      </c>
      <c r="C11" s="265">
        <f>+'4 Serv Social plan'!D81</f>
        <v>4</v>
      </c>
      <c r="D11" s="267">
        <f>+'4 Serv Social plan'!E81</f>
        <v>2</v>
      </c>
      <c r="E11" s="546">
        <f>+'4 Serv Social plan'!F81</f>
        <v>6</v>
      </c>
      <c r="F11" s="265">
        <f>+'4 Serv Social plan'!G81</f>
        <v>4</v>
      </c>
      <c r="G11" s="267">
        <f>+'4 Serv Social plan'!H81</f>
        <v>2</v>
      </c>
      <c r="H11" s="546">
        <f>+'4 Serv Social plan'!I81</f>
        <v>6</v>
      </c>
    </row>
    <row r="12" spans="1:8" ht="15" customHeight="1" x14ac:dyDescent="0.2">
      <c r="A12" s="5029"/>
      <c r="B12" s="268" t="s">
        <v>9</v>
      </c>
      <c r="C12" s="269">
        <f>+'4 Serv Social plan'!D85</f>
        <v>10</v>
      </c>
      <c r="D12" s="271">
        <f>+'4 Serv Social plan'!E85</f>
        <v>4</v>
      </c>
      <c r="E12" s="547">
        <f>+'4 Serv Social plan'!F85</f>
        <v>14</v>
      </c>
      <c r="F12" s="269">
        <f>+'4 Serv Social plan'!G85</f>
        <v>10</v>
      </c>
      <c r="G12" s="271">
        <f>+'4 Serv Social plan'!H85</f>
        <v>4</v>
      </c>
      <c r="H12" s="547">
        <f>+'4 Serv Social plan'!I85</f>
        <v>14</v>
      </c>
    </row>
    <row r="13" spans="1:8" ht="15" customHeight="1" x14ac:dyDescent="0.2">
      <c r="A13" s="5029"/>
      <c r="B13" s="268" t="s">
        <v>74</v>
      </c>
      <c r="C13" s="3087">
        <f>+'4 Serv Social plan'!D90</f>
        <v>4</v>
      </c>
      <c r="D13" s="3089">
        <f>+'4 Serv Social plan'!E90</f>
        <v>10</v>
      </c>
      <c r="E13" s="4732">
        <f>+'4 Serv Social plan'!F90</f>
        <v>14</v>
      </c>
      <c r="F13" s="3087">
        <f>+'4 Serv Social plan'!G90</f>
        <v>4</v>
      </c>
      <c r="G13" s="3089">
        <f>+'4 Serv Social plan'!H90</f>
        <v>10</v>
      </c>
      <c r="H13" s="4732">
        <f>+'4 Serv Social plan'!I90</f>
        <v>14</v>
      </c>
    </row>
    <row r="14" spans="1:8" ht="15" customHeight="1" x14ac:dyDescent="0.2">
      <c r="A14" s="5030"/>
      <c r="B14" s="2402" t="s">
        <v>160</v>
      </c>
      <c r="C14" s="2453">
        <f>SUM(C11:C13)</f>
        <v>18</v>
      </c>
      <c r="D14" s="2455">
        <f t="shared" ref="D14:H14" si="1">SUM(D11:D13)</f>
        <v>16</v>
      </c>
      <c r="E14" s="4734">
        <f t="shared" si="1"/>
        <v>34</v>
      </c>
      <c r="F14" s="2453">
        <f t="shared" si="1"/>
        <v>18</v>
      </c>
      <c r="G14" s="2455">
        <f t="shared" si="1"/>
        <v>16</v>
      </c>
      <c r="H14" s="4734">
        <f t="shared" si="1"/>
        <v>34</v>
      </c>
    </row>
    <row r="15" spans="1:8" ht="15.75" x14ac:dyDescent="0.25">
      <c r="A15" s="1923"/>
      <c r="B15" s="700"/>
      <c r="C15" s="700"/>
      <c r="D15" s="700"/>
      <c r="E15" s="700"/>
      <c r="F15" s="700"/>
      <c r="G15" s="700"/>
      <c r="H15" s="700"/>
    </row>
    <row r="16" spans="1:8" ht="15" customHeight="1" x14ac:dyDescent="0.2">
      <c r="A16" s="5040" t="s">
        <v>162</v>
      </c>
      <c r="B16" s="264" t="s">
        <v>5</v>
      </c>
      <c r="C16" s="265">
        <f>+'4 Serv Social plan'!D35</f>
        <v>1</v>
      </c>
      <c r="D16" s="267">
        <f>+'4 Serv Social plan'!E35</f>
        <v>1</v>
      </c>
      <c r="E16" s="546">
        <f>+'4 Serv Social plan'!F35</f>
        <v>2</v>
      </c>
      <c r="F16" s="265">
        <f>+'4 Serv Social plan'!G35</f>
        <v>1</v>
      </c>
      <c r="G16" s="267">
        <f>+'4 Serv Social plan'!H35</f>
        <v>1</v>
      </c>
      <c r="H16" s="546">
        <f>+'4 Serv Social plan'!I35</f>
        <v>2</v>
      </c>
    </row>
    <row r="17" spans="1:8" ht="15" customHeight="1" x14ac:dyDescent="0.2">
      <c r="A17" s="5041"/>
      <c r="B17" s="268" t="s">
        <v>6</v>
      </c>
      <c r="C17" s="269">
        <f>+'4 Serv Social plan'!D47</f>
        <v>12</v>
      </c>
      <c r="D17" s="271">
        <f>+'4 Serv Social plan'!E47</f>
        <v>9</v>
      </c>
      <c r="E17" s="547">
        <f>+'4 Serv Social plan'!F47</f>
        <v>21</v>
      </c>
      <c r="F17" s="269">
        <f>+'4 Serv Social plan'!G47</f>
        <v>12</v>
      </c>
      <c r="G17" s="271">
        <f>+'4 Serv Social plan'!H47</f>
        <v>9</v>
      </c>
      <c r="H17" s="547">
        <f>+'4 Serv Social plan'!I47</f>
        <v>21</v>
      </c>
    </row>
    <row r="18" spans="1:8" ht="15" customHeight="1" x14ac:dyDescent="0.2">
      <c r="A18" s="5041"/>
      <c r="B18" s="268" t="s">
        <v>11</v>
      </c>
      <c r="C18" s="3087">
        <f>+'4 Serv Social plan'!D54</f>
        <v>9</v>
      </c>
      <c r="D18" s="3089">
        <f>+'4 Serv Social plan'!E54</f>
        <v>1</v>
      </c>
      <c r="E18" s="4732">
        <f>+'4 Serv Social plan'!F54</f>
        <v>10</v>
      </c>
      <c r="F18" s="3087">
        <f>+'4 Serv Social plan'!G54</f>
        <v>9</v>
      </c>
      <c r="G18" s="3089">
        <f>+'4 Serv Social plan'!H54</f>
        <v>1</v>
      </c>
      <c r="H18" s="4732">
        <f>+'4 Serv Social plan'!I54</f>
        <v>10</v>
      </c>
    </row>
    <row r="19" spans="1:8" ht="15" customHeight="1" x14ac:dyDescent="0.2">
      <c r="A19" s="5109"/>
      <c r="B19" s="2399" t="s">
        <v>160</v>
      </c>
      <c r="C19" s="2467">
        <f t="shared" ref="C19:H19" si="2">SUM(C16:C18)</f>
        <v>22</v>
      </c>
      <c r="D19" s="2469">
        <f t="shared" si="2"/>
        <v>11</v>
      </c>
      <c r="E19" s="4736">
        <f t="shared" si="2"/>
        <v>33</v>
      </c>
      <c r="F19" s="2467">
        <f t="shared" si="2"/>
        <v>22</v>
      </c>
      <c r="G19" s="2469">
        <f t="shared" si="2"/>
        <v>11</v>
      </c>
      <c r="H19" s="4736">
        <f t="shared" si="2"/>
        <v>33</v>
      </c>
    </row>
    <row r="20" spans="1:8" ht="15" x14ac:dyDescent="0.2">
      <c r="A20" s="195"/>
      <c r="B20" s="700"/>
      <c r="C20" s="700"/>
      <c r="D20" s="700"/>
      <c r="E20" s="700"/>
      <c r="F20" s="700"/>
      <c r="G20" s="700"/>
      <c r="H20" s="700"/>
    </row>
    <row r="21" spans="1:8" ht="15" customHeight="1" x14ac:dyDescent="0.2">
      <c r="A21" s="5031" t="s">
        <v>411</v>
      </c>
      <c r="B21" s="264" t="s">
        <v>5</v>
      </c>
      <c r="C21" s="265">
        <f>+'4 Serv Social plan'!D93</f>
        <v>2</v>
      </c>
      <c r="D21" s="267">
        <f>+'4 Serv Social plan'!E93</f>
        <v>1</v>
      </c>
      <c r="E21" s="546">
        <f>+'4 Serv Social plan'!F93</f>
        <v>3</v>
      </c>
      <c r="F21" s="265">
        <f>+'4 Serv Social plan'!G93</f>
        <v>2</v>
      </c>
      <c r="G21" s="267">
        <f>+'4 Serv Social plan'!H93</f>
        <v>1</v>
      </c>
      <c r="H21" s="546">
        <f>+'4 Serv Social plan'!I93</f>
        <v>3</v>
      </c>
    </row>
    <row r="22" spans="1:8" ht="15" customHeight="1" x14ac:dyDescent="0.2">
      <c r="A22" s="5032"/>
      <c r="B22" s="268" t="s">
        <v>6</v>
      </c>
      <c r="C22" s="269">
        <f>+'4 Serv Social plan'!D96</f>
        <v>0</v>
      </c>
      <c r="D22" s="271">
        <f>+'4 Serv Social plan'!E96</f>
        <v>0</v>
      </c>
      <c r="E22" s="547">
        <f>+'4 Serv Social plan'!F96</f>
        <v>0</v>
      </c>
      <c r="F22" s="269">
        <f>+'4 Serv Social plan'!G96</f>
        <v>0</v>
      </c>
      <c r="G22" s="271">
        <f>+'4 Serv Social plan'!H96</f>
        <v>0</v>
      </c>
      <c r="H22" s="547">
        <f>+'4 Serv Social plan'!I96</f>
        <v>0</v>
      </c>
    </row>
    <row r="23" spans="1:8" ht="15" customHeight="1" x14ac:dyDescent="0.2">
      <c r="A23" s="5032"/>
      <c r="B23" s="268" t="s">
        <v>11</v>
      </c>
      <c r="C23" s="3087">
        <f>+'4 Serv Social plan'!D98</f>
        <v>3</v>
      </c>
      <c r="D23" s="3089">
        <f>+'4 Serv Social plan'!E98</f>
        <v>1</v>
      </c>
      <c r="E23" s="4732">
        <f>+'4 Serv Social plan'!F98</f>
        <v>4</v>
      </c>
      <c r="F23" s="3087">
        <f>+'4 Serv Social plan'!G98</f>
        <v>3</v>
      </c>
      <c r="G23" s="3089">
        <f>+'4 Serv Social plan'!H98</f>
        <v>1</v>
      </c>
      <c r="H23" s="4732">
        <f>+'4 Serv Social plan'!I98</f>
        <v>4</v>
      </c>
    </row>
    <row r="24" spans="1:8" ht="15" customHeight="1" x14ac:dyDescent="0.2">
      <c r="A24" s="5113"/>
      <c r="B24" s="2397" t="s">
        <v>160</v>
      </c>
      <c r="C24" s="2479">
        <f>SUM(C21:C23)</f>
        <v>5</v>
      </c>
      <c r="D24" s="2481">
        <f t="shared" ref="D24:H24" si="3">SUM(D21:D23)</f>
        <v>2</v>
      </c>
      <c r="E24" s="4738">
        <f t="shared" si="3"/>
        <v>7</v>
      </c>
      <c r="F24" s="2479">
        <f t="shared" si="3"/>
        <v>5</v>
      </c>
      <c r="G24" s="2481">
        <f t="shared" si="3"/>
        <v>2</v>
      </c>
      <c r="H24" s="4738">
        <f t="shared" si="3"/>
        <v>7</v>
      </c>
    </row>
    <row r="25" spans="1:8" ht="15.75" x14ac:dyDescent="0.25">
      <c r="A25" s="1923"/>
      <c r="B25" s="209"/>
      <c r="C25" s="216"/>
      <c r="D25" s="216"/>
      <c r="E25" s="216"/>
      <c r="F25" s="216"/>
      <c r="G25" s="216"/>
      <c r="H25" s="216"/>
    </row>
    <row r="26" spans="1:8" ht="15" customHeight="1" x14ac:dyDescent="0.2">
      <c r="A26" s="5043" t="s">
        <v>163</v>
      </c>
      <c r="B26" s="264" t="s">
        <v>6</v>
      </c>
      <c r="C26" s="265">
        <f>+'4 Serv Social plan'!D62</f>
        <v>13</v>
      </c>
      <c r="D26" s="267">
        <f>+'4 Serv Social plan'!E62</f>
        <v>13</v>
      </c>
      <c r="E26" s="546">
        <f>+'4 Serv Social plan'!F62</f>
        <v>26</v>
      </c>
      <c r="F26" s="265">
        <f>+'4 Serv Social plan'!G62</f>
        <v>13</v>
      </c>
      <c r="G26" s="267">
        <f>+'4 Serv Social plan'!H62</f>
        <v>13</v>
      </c>
      <c r="H26" s="546">
        <f>+'4 Serv Social plan'!I62</f>
        <v>26</v>
      </c>
    </row>
    <row r="27" spans="1:8" ht="15" customHeight="1" x14ac:dyDescent="0.2">
      <c r="A27" s="5044"/>
      <c r="B27" s="268" t="s">
        <v>11</v>
      </c>
      <c r="C27" s="269">
        <f>+'4 Serv Social plan'!D71</f>
        <v>53</v>
      </c>
      <c r="D27" s="271">
        <f>+'4 Serv Social plan'!E71</f>
        <v>23</v>
      </c>
      <c r="E27" s="547">
        <f>+'4 Serv Social plan'!F71</f>
        <v>76</v>
      </c>
      <c r="F27" s="269">
        <f>+'4 Serv Social plan'!G71</f>
        <v>52</v>
      </c>
      <c r="G27" s="271">
        <f>+'4 Serv Social plan'!H71</f>
        <v>23</v>
      </c>
      <c r="H27" s="547">
        <f>+'4 Serv Social plan'!I71</f>
        <v>75</v>
      </c>
    </row>
    <row r="28" spans="1:8" ht="15" customHeight="1" x14ac:dyDescent="0.2">
      <c r="A28" s="5044"/>
      <c r="B28" s="268" t="s">
        <v>7</v>
      </c>
      <c r="C28" s="3087">
        <f>+'4 Serv Social plan'!D76</f>
        <v>25</v>
      </c>
      <c r="D28" s="3089">
        <f>+'4 Serv Social plan'!E76</f>
        <v>9</v>
      </c>
      <c r="E28" s="4732">
        <f>+'4 Serv Social plan'!F76</f>
        <v>34</v>
      </c>
      <c r="F28" s="3087">
        <f>+'4 Serv Social plan'!G76</f>
        <v>24</v>
      </c>
      <c r="G28" s="3089">
        <f>+'4 Serv Social plan'!H76</f>
        <v>8</v>
      </c>
      <c r="H28" s="4732">
        <f>+'4 Serv Social plan'!I76</f>
        <v>32</v>
      </c>
    </row>
    <row r="29" spans="1:8" ht="15" customHeight="1" x14ac:dyDescent="0.2">
      <c r="A29" s="5110"/>
      <c r="B29" s="2409" t="s">
        <v>160</v>
      </c>
      <c r="C29" s="2473">
        <f>SUM(C26:C28)</f>
        <v>91</v>
      </c>
      <c r="D29" s="2475">
        <f t="shared" ref="D29:H29" si="4">SUM(D26:D28)</f>
        <v>45</v>
      </c>
      <c r="E29" s="4737">
        <f t="shared" si="4"/>
        <v>136</v>
      </c>
      <c r="F29" s="2473">
        <f t="shared" si="4"/>
        <v>89</v>
      </c>
      <c r="G29" s="2475">
        <f t="shared" si="4"/>
        <v>44</v>
      </c>
      <c r="H29" s="4737">
        <f t="shared" si="4"/>
        <v>133</v>
      </c>
    </row>
    <row r="30" spans="1:8" x14ac:dyDescent="0.2">
      <c r="A30" s="209"/>
      <c r="B30" s="209"/>
      <c r="C30" s="216"/>
      <c r="D30" s="216"/>
      <c r="E30" s="216"/>
      <c r="F30" s="216"/>
      <c r="G30" s="216"/>
      <c r="H30" s="216"/>
    </row>
    <row r="31" spans="1:8" ht="15" x14ac:dyDescent="0.2">
      <c r="A31" s="5059" t="s">
        <v>60</v>
      </c>
      <c r="B31" s="264" t="s">
        <v>5</v>
      </c>
      <c r="C31" s="265">
        <f>SUM(C6,C16,C21)</f>
        <v>5</v>
      </c>
      <c r="D31" s="267">
        <f t="shared" ref="D31:H31" si="5">SUM(D6,D16,D21)</f>
        <v>5</v>
      </c>
      <c r="E31" s="265">
        <f t="shared" si="5"/>
        <v>10</v>
      </c>
      <c r="F31" s="265">
        <f t="shared" si="5"/>
        <v>5</v>
      </c>
      <c r="G31" s="267">
        <f t="shared" si="5"/>
        <v>5</v>
      </c>
      <c r="H31" s="546">
        <f t="shared" si="5"/>
        <v>10</v>
      </c>
    </row>
    <row r="32" spans="1:8" ht="15" x14ac:dyDescent="0.2">
      <c r="A32" s="5060"/>
      <c r="B32" s="268" t="s">
        <v>6</v>
      </c>
      <c r="C32" s="269">
        <f>SUM(C7,C11,C17,C22,C26)</f>
        <v>40</v>
      </c>
      <c r="D32" s="271">
        <f t="shared" ref="D32:H32" si="6">SUM(D7,D11,D17,D22,D26)</f>
        <v>33</v>
      </c>
      <c r="E32" s="269">
        <f t="shared" si="6"/>
        <v>73</v>
      </c>
      <c r="F32" s="269">
        <f t="shared" si="6"/>
        <v>40</v>
      </c>
      <c r="G32" s="271">
        <f t="shared" si="6"/>
        <v>32</v>
      </c>
      <c r="H32" s="547">
        <f t="shared" si="6"/>
        <v>72</v>
      </c>
    </row>
    <row r="33" spans="1:8" ht="15" x14ac:dyDescent="0.2">
      <c r="A33" s="5060"/>
      <c r="B33" s="268" t="s">
        <v>11</v>
      </c>
      <c r="C33" s="269">
        <f>SUM(C18,C23,C27)</f>
        <v>65</v>
      </c>
      <c r="D33" s="271">
        <f t="shared" ref="D33:H33" si="7">SUM(D18,D23,D27)</f>
        <v>25</v>
      </c>
      <c r="E33" s="269">
        <f t="shared" si="7"/>
        <v>90</v>
      </c>
      <c r="F33" s="269">
        <f t="shared" si="7"/>
        <v>64</v>
      </c>
      <c r="G33" s="271">
        <f t="shared" si="7"/>
        <v>25</v>
      </c>
      <c r="H33" s="547">
        <f t="shared" si="7"/>
        <v>89</v>
      </c>
    </row>
    <row r="34" spans="1:8" ht="15" x14ac:dyDescent="0.2">
      <c r="A34" s="5060"/>
      <c r="B34" s="268" t="s">
        <v>7</v>
      </c>
      <c r="C34" s="269">
        <f>SUM(C8,C28)</f>
        <v>27</v>
      </c>
      <c r="D34" s="271">
        <f t="shared" ref="D34:H34" si="8">SUM(D8,D28)</f>
        <v>11</v>
      </c>
      <c r="E34" s="269">
        <f t="shared" si="8"/>
        <v>38</v>
      </c>
      <c r="F34" s="269">
        <f t="shared" si="8"/>
        <v>26</v>
      </c>
      <c r="G34" s="271">
        <f t="shared" si="8"/>
        <v>9</v>
      </c>
      <c r="H34" s="547">
        <f t="shared" si="8"/>
        <v>35</v>
      </c>
    </row>
    <row r="35" spans="1:8" ht="15" x14ac:dyDescent="0.2">
      <c r="A35" s="5060"/>
      <c r="B35" s="268" t="s">
        <v>9</v>
      </c>
      <c r="C35" s="269">
        <f>SUM(C12)</f>
        <v>10</v>
      </c>
      <c r="D35" s="271">
        <f t="shared" ref="D35:H35" si="9">SUM(D12)</f>
        <v>4</v>
      </c>
      <c r="E35" s="269">
        <f t="shared" si="9"/>
        <v>14</v>
      </c>
      <c r="F35" s="269">
        <f t="shared" si="9"/>
        <v>10</v>
      </c>
      <c r="G35" s="271">
        <f t="shared" si="9"/>
        <v>4</v>
      </c>
      <c r="H35" s="547">
        <f t="shared" si="9"/>
        <v>14</v>
      </c>
    </row>
    <row r="36" spans="1:8" ht="15" x14ac:dyDescent="0.2">
      <c r="A36" s="5060"/>
      <c r="B36" s="278" t="s">
        <v>74</v>
      </c>
      <c r="C36" s="3087">
        <f>SUM(C13)</f>
        <v>4</v>
      </c>
      <c r="D36" s="3089">
        <f t="shared" ref="D36:H36" si="10">SUM(D13)</f>
        <v>10</v>
      </c>
      <c r="E36" s="3087">
        <f t="shared" si="10"/>
        <v>14</v>
      </c>
      <c r="F36" s="3087">
        <f t="shared" si="10"/>
        <v>4</v>
      </c>
      <c r="G36" s="3089">
        <f t="shared" si="10"/>
        <v>10</v>
      </c>
      <c r="H36" s="4732">
        <f t="shared" si="10"/>
        <v>14</v>
      </c>
    </row>
    <row r="37" spans="1:8" ht="15" x14ac:dyDescent="0.2">
      <c r="A37" s="5061"/>
      <c r="B37" s="577" t="s">
        <v>160</v>
      </c>
      <c r="C37" s="4740">
        <f>SUM(C31:C36)</f>
        <v>151</v>
      </c>
      <c r="D37" s="4739">
        <f t="shared" ref="D37:H37" si="11">SUM(D31:D36)</f>
        <v>88</v>
      </c>
      <c r="E37" s="574">
        <f t="shared" si="11"/>
        <v>239</v>
      </c>
      <c r="F37" s="4740">
        <f t="shared" si="11"/>
        <v>149</v>
      </c>
      <c r="G37" s="4739">
        <f t="shared" si="11"/>
        <v>85</v>
      </c>
      <c r="H37" s="4735">
        <f t="shared" si="11"/>
        <v>234</v>
      </c>
    </row>
    <row r="38" spans="1:8" ht="15" x14ac:dyDescent="0.2">
      <c r="F38" s="263"/>
    </row>
    <row r="39" spans="1:8" ht="15" x14ac:dyDescent="0.2">
      <c r="F39" s="263"/>
    </row>
  </sheetData>
  <mergeCells count="10">
    <mergeCell ref="A16:A19"/>
    <mergeCell ref="A21:A24"/>
    <mergeCell ref="A26:A29"/>
    <mergeCell ref="A31:A37"/>
    <mergeCell ref="C3:E3"/>
    <mergeCell ref="F3:H3"/>
    <mergeCell ref="A3:A4"/>
    <mergeCell ref="B3:B4"/>
    <mergeCell ref="A6:A9"/>
    <mergeCell ref="A11:A14"/>
  </mergeCell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A1:I101"/>
  <sheetViews>
    <sheetView showGridLines="0" zoomScaleNormal="100" workbookViewId="0">
      <selection activeCell="L43" sqref="L43"/>
    </sheetView>
  </sheetViews>
  <sheetFormatPr baseColWidth="10" defaultRowHeight="15" x14ac:dyDescent="0.2"/>
  <cols>
    <col min="1" max="1" width="7.42578125" style="3917" bestFit="1" customWidth="1"/>
    <col min="2" max="2" width="8.140625" style="3917" bestFit="1" customWidth="1"/>
    <col min="3" max="3" width="35.42578125" style="3917" customWidth="1"/>
    <col min="4" max="5" width="10" style="3917" customWidth="1"/>
    <col min="6" max="6" width="7.7109375" style="3917" customWidth="1"/>
    <col min="7" max="8" width="10" style="3917" bestFit="1" customWidth="1"/>
    <col min="9" max="9" width="7.7109375" style="3917" customWidth="1"/>
    <col min="10" max="16384" width="11.42578125" style="3917"/>
  </cols>
  <sheetData>
    <row r="1" spans="1:9" ht="18.75" x14ac:dyDescent="0.2">
      <c r="A1" s="4143" t="s">
        <v>1324</v>
      </c>
    </row>
    <row r="3" spans="1:9" x14ac:dyDescent="0.2">
      <c r="A3" s="5934" t="s">
        <v>51</v>
      </c>
      <c r="B3" s="5934" t="s">
        <v>702</v>
      </c>
      <c r="C3" s="5934" t="s">
        <v>701</v>
      </c>
      <c r="D3" s="5938">
        <v>2014</v>
      </c>
      <c r="E3" s="5939"/>
      <c r="F3" s="5940"/>
      <c r="G3" s="5968">
        <v>2015</v>
      </c>
      <c r="H3" s="5969"/>
      <c r="I3" s="5970"/>
    </row>
    <row r="4" spans="1:9" x14ac:dyDescent="0.2">
      <c r="A4" s="5934"/>
      <c r="B4" s="5934"/>
      <c r="C4" s="5934"/>
      <c r="D4" s="4653" t="s">
        <v>675</v>
      </c>
      <c r="E4" s="4653" t="s">
        <v>676</v>
      </c>
      <c r="F4" s="3923" t="s">
        <v>160</v>
      </c>
      <c r="G4" s="3916" t="s">
        <v>675</v>
      </c>
      <c r="H4" s="3916" t="s">
        <v>676</v>
      </c>
      <c r="I4" s="3923" t="s">
        <v>160</v>
      </c>
    </row>
    <row r="5" spans="1:9" x14ac:dyDescent="0.2">
      <c r="A5" s="5941" t="s">
        <v>446</v>
      </c>
      <c r="B5" s="5944" t="s">
        <v>5</v>
      </c>
      <c r="C5" s="4654" t="s">
        <v>1326</v>
      </c>
      <c r="D5" s="4655">
        <v>4</v>
      </c>
      <c r="E5" s="4656">
        <v>3</v>
      </c>
      <c r="F5" s="3927">
        <f>SUM(D5:E5)</f>
        <v>7</v>
      </c>
      <c r="G5" s="3925">
        <v>11</v>
      </c>
      <c r="H5" s="3926">
        <v>5</v>
      </c>
      <c r="I5" s="3927">
        <f>SUM(G5:H5)</f>
        <v>16</v>
      </c>
    </row>
    <row r="6" spans="1:9" x14ac:dyDescent="0.2">
      <c r="A6" s="5942"/>
      <c r="B6" s="5945"/>
      <c r="C6" s="4657" t="s">
        <v>1327</v>
      </c>
      <c r="D6" s="4658"/>
      <c r="E6" s="4659">
        <v>3</v>
      </c>
      <c r="F6" s="3932">
        <f t="shared" ref="F6:F14" si="0">SUM(D6:E6)</f>
        <v>3</v>
      </c>
      <c r="G6" s="3930"/>
      <c r="H6" s="3931">
        <v>4</v>
      </c>
      <c r="I6" s="3932">
        <f t="shared" ref="I6:I14" si="1">SUM(G6:H6)</f>
        <v>4</v>
      </c>
    </row>
    <row r="7" spans="1:9" x14ac:dyDescent="0.2">
      <c r="A7" s="5942"/>
      <c r="B7" s="5945"/>
      <c r="C7" s="4657" t="s">
        <v>1328</v>
      </c>
      <c r="D7" s="4658"/>
      <c r="E7" s="4659"/>
      <c r="F7" s="3932">
        <f t="shared" si="0"/>
        <v>0</v>
      </c>
      <c r="G7" s="3930"/>
      <c r="H7" s="3931">
        <v>4</v>
      </c>
      <c r="I7" s="3932">
        <f t="shared" si="1"/>
        <v>4</v>
      </c>
    </row>
    <row r="8" spans="1:9" x14ac:dyDescent="0.2">
      <c r="A8" s="5942"/>
      <c r="B8" s="5945"/>
      <c r="C8" s="4657" t="s">
        <v>1329</v>
      </c>
      <c r="D8" s="4658"/>
      <c r="E8" s="4659">
        <v>2</v>
      </c>
      <c r="F8" s="3932">
        <f t="shared" si="0"/>
        <v>2</v>
      </c>
      <c r="G8" s="3930">
        <v>3</v>
      </c>
      <c r="H8" s="3931">
        <v>6</v>
      </c>
      <c r="I8" s="3932">
        <f>SUM(G8:H8)</f>
        <v>9</v>
      </c>
    </row>
    <row r="9" spans="1:9" x14ac:dyDescent="0.2">
      <c r="A9" s="5942"/>
      <c r="B9" s="5945"/>
      <c r="C9" s="4657" t="s">
        <v>518</v>
      </c>
      <c r="D9" s="4658">
        <v>2</v>
      </c>
      <c r="E9" s="4659">
        <v>3</v>
      </c>
      <c r="F9" s="3932">
        <f t="shared" si="0"/>
        <v>5</v>
      </c>
      <c r="G9" s="3930">
        <v>6</v>
      </c>
      <c r="H9" s="3931">
        <v>8</v>
      </c>
      <c r="I9" s="3932">
        <f t="shared" si="1"/>
        <v>14</v>
      </c>
    </row>
    <row r="10" spans="1:9" x14ac:dyDescent="0.2">
      <c r="A10" s="5942"/>
      <c r="B10" s="5945"/>
      <c r="C10" s="4657" t="s">
        <v>1330</v>
      </c>
      <c r="D10" s="4658"/>
      <c r="E10" s="4659">
        <v>1</v>
      </c>
      <c r="F10" s="3932">
        <f t="shared" si="0"/>
        <v>1</v>
      </c>
      <c r="G10" s="3930"/>
      <c r="H10" s="3931">
        <v>2</v>
      </c>
      <c r="I10" s="3932">
        <f t="shared" si="1"/>
        <v>2</v>
      </c>
    </row>
    <row r="11" spans="1:9" x14ac:dyDescent="0.2">
      <c r="A11" s="5942"/>
      <c r="B11" s="5945"/>
      <c r="C11" s="4657" t="s">
        <v>1331</v>
      </c>
      <c r="D11" s="4658">
        <v>1</v>
      </c>
      <c r="E11" s="4660"/>
      <c r="F11" s="3932">
        <f t="shared" si="0"/>
        <v>1</v>
      </c>
      <c r="G11" s="3930">
        <v>10</v>
      </c>
      <c r="H11" s="3933">
        <v>7</v>
      </c>
      <c r="I11" s="3932">
        <f t="shared" si="1"/>
        <v>17</v>
      </c>
    </row>
    <row r="12" spans="1:9" x14ac:dyDescent="0.2">
      <c r="A12" s="5942"/>
      <c r="B12" s="5945"/>
      <c r="C12" s="4657" t="s">
        <v>1332</v>
      </c>
      <c r="D12" s="4658"/>
      <c r="E12" s="4659">
        <v>2</v>
      </c>
      <c r="F12" s="3932">
        <f t="shared" si="0"/>
        <v>2</v>
      </c>
      <c r="G12" s="3930">
        <v>3</v>
      </c>
      <c r="H12" s="3931">
        <v>4</v>
      </c>
      <c r="I12" s="3932">
        <f t="shared" si="1"/>
        <v>7</v>
      </c>
    </row>
    <row r="13" spans="1:9" x14ac:dyDescent="0.2">
      <c r="A13" s="5942"/>
      <c r="B13" s="5945"/>
      <c r="C13" s="4657" t="s">
        <v>1333</v>
      </c>
      <c r="D13" s="4658"/>
      <c r="E13" s="4659">
        <v>1</v>
      </c>
      <c r="F13" s="3932">
        <f t="shared" si="0"/>
        <v>1</v>
      </c>
      <c r="G13" s="3930"/>
      <c r="H13" s="3931">
        <v>1</v>
      </c>
      <c r="I13" s="3932">
        <f t="shared" si="1"/>
        <v>1</v>
      </c>
    </row>
    <row r="14" spans="1:9" x14ac:dyDescent="0.2">
      <c r="A14" s="5942"/>
      <c r="B14" s="5945"/>
      <c r="C14" s="4657" t="s">
        <v>1334</v>
      </c>
      <c r="D14" s="4658"/>
      <c r="E14" s="4660"/>
      <c r="F14" s="3932">
        <f t="shared" si="0"/>
        <v>0</v>
      </c>
      <c r="G14" s="3930">
        <v>1</v>
      </c>
      <c r="H14" s="3933">
        <v>1</v>
      </c>
      <c r="I14" s="3932">
        <f t="shared" si="1"/>
        <v>2</v>
      </c>
    </row>
    <row r="15" spans="1:9" x14ac:dyDescent="0.2">
      <c r="A15" s="5942"/>
      <c r="B15" s="5945"/>
      <c r="C15" s="4661" t="s">
        <v>160</v>
      </c>
      <c r="D15" s="3938">
        <f t="shared" ref="D15:I15" si="2">SUM(D5:D14)</f>
        <v>7</v>
      </c>
      <c r="E15" s="3939">
        <f t="shared" si="2"/>
        <v>15</v>
      </c>
      <c r="F15" s="3936">
        <f t="shared" si="2"/>
        <v>22</v>
      </c>
      <c r="G15" s="3938">
        <f t="shared" si="2"/>
        <v>34</v>
      </c>
      <c r="H15" s="3939">
        <f t="shared" si="2"/>
        <v>42</v>
      </c>
      <c r="I15" s="3936">
        <f t="shared" si="2"/>
        <v>76</v>
      </c>
    </row>
    <row r="16" spans="1:9" x14ac:dyDescent="0.2">
      <c r="A16" s="5942"/>
      <c r="B16" s="5945" t="s">
        <v>6</v>
      </c>
      <c r="C16" s="4657" t="s">
        <v>462</v>
      </c>
      <c r="D16" s="4658">
        <v>24</v>
      </c>
      <c r="E16" s="4662">
        <v>9</v>
      </c>
      <c r="F16" s="3932">
        <f t="shared" ref="F16:F19" si="3">SUM(D16:E16)</f>
        <v>33</v>
      </c>
      <c r="G16" s="3930">
        <v>19</v>
      </c>
      <c r="H16" s="3934">
        <v>4</v>
      </c>
      <c r="I16" s="3932">
        <f t="shared" ref="I16:I19" si="4">SUM(G16:H16)</f>
        <v>23</v>
      </c>
    </row>
    <row r="17" spans="1:9" x14ac:dyDescent="0.2">
      <c r="A17" s="5942"/>
      <c r="B17" s="5945"/>
      <c r="C17" s="4657" t="s">
        <v>463</v>
      </c>
      <c r="D17" s="4658">
        <v>6</v>
      </c>
      <c r="E17" s="4662">
        <v>5</v>
      </c>
      <c r="F17" s="3932">
        <f t="shared" si="3"/>
        <v>11</v>
      </c>
      <c r="G17" s="3930">
        <v>12</v>
      </c>
      <c r="H17" s="3934">
        <v>10</v>
      </c>
      <c r="I17" s="3932">
        <f t="shared" si="4"/>
        <v>22</v>
      </c>
    </row>
    <row r="18" spans="1:9" x14ac:dyDescent="0.2">
      <c r="A18" s="5942"/>
      <c r="B18" s="5945"/>
      <c r="C18" s="4657" t="s">
        <v>464</v>
      </c>
      <c r="D18" s="4658">
        <v>3</v>
      </c>
      <c r="E18" s="4662">
        <v>5</v>
      </c>
      <c r="F18" s="3932">
        <f t="shared" si="3"/>
        <v>8</v>
      </c>
      <c r="G18" s="3930">
        <v>6</v>
      </c>
      <c r="H18" s="3934">
        <v>8</v>
      </c>
      <c r="I18" s="3932">
        <f t="shared" si="4"/>
        <v>14</v>
      </c>
    </row>
    <row r="19" spans="1:9" x14ac:dyDescent="0.2">
      <c r="A19" s="5942"/>
      <c r="B19" s="5945"/>
      <c r="C19" s="4657" t="s">
        <v>465</v>
      </c>
      <c r="D19" s="4658">
        <v>12</v>
      </c>
      <c r="E19" s="4662">
        <v>8</v>
      </c>
      <c r="F19" s="3932">
        <f t="shared" si="3"/>
        <v>20</v>
      </c>
      <c r="G19" s="3930">
        <v>11</v>
      </c>
      <c r="H19" s="3934">
        <v>4</v>
      </c>
      <c r="I19" s="3932">
        <f t="shared" si="4"/>
        <v>15</v>
      </c>
    </row>
    <row r="20" spans="1:9" s="3919" customFormat="1" x14ac:dyDescent="0.2">
      <c r="A20" s="5942"/>
      <c r="B20" s="5945"/>
      <c r="C20" s="4661" t="s">
        <v>160</v>
      </c>
      <c r="D20" s="3938">
        <f t="shared" ref="D20:I20" si="5">SUM(D16:D19)</f>
        <v>45</v>
      </c>
      <c r="E20" s="3939">
        <f t="shared" si="5"/>
        <v>27</v>
      </c>
      <c r="F20" s="3936">
        <f t="shared" si="5"/>
        <v>72</v>
      </c>
      <c r="G20" s="3938">
        <f t="shared" si="5"/>
        <v>48</v>
      </c>
      <c r="H20" s="3939">
        <f t="shared" si="5"/>
        <v>26</v>
      </c>
      <c r="I20" s="3936">
        <f t="shared" si="5"/>
        <v>74</v>
      </c>
    </row>
    <row r="21" spans="1:9" x14ac:dyDescent="0.2">
      <c r="A21" s="5942"/>
      <c r="B21" s="5945" t="s">
        <v>7</v>
      </c>
      <c r="C21" s="4657" t="s">
        <v>466</v>
      </c>
      <c r="D21" s="4658">
        <v>3</v>
      </c>
      <c r="E21" s="4662">
        <v>2</v>
      </c>
      <c r="F21" s="3932">
        <f t="shared" ref="F21:F23" si="6">SUM(D21:E21)</f>
        <v>5</v>
      </c>
      <c r="G21" s="3930">
        <v>11</v>
      </c>
      <c r="H21" s="3934">
        <v>7</v>
      </c>
      <c r="I21" s="3932">
        <f t="shared" ref="I21:I23" si="7">SUM(G21:H21)</f>
        <v>18</v>
      </c>
    </row>
    <row r="22" spans="1:9" x14ac:dyDescent="0.2">
      <c r="A22" s="5942"/>
      <c r="B22" s="5945"/>
      <c r="C22" s="4657" t="s">
        <v>467</v>
      </c>
      <c r="D22" s="4658">
        <v>3</v>
      </c>
      <c r="E22" s="4662">
        <v>1</v>
      </c>
      <c r="F22" s="3932">
        <f t="shared" si="6"/>
        <v>4</v>
      </c>
      <c r="G22" s="3930">
        <v>18</v>
      </c>
      <c r="H22" s="3934">
        <v>7</v>
      </c>
      <c r="I22" s="3932">
        <f t="shared" si="7"/>
        <v>25</v>
      </c>
    </row>
    <row r="23" spans="1:9" x14ac:dyDescent="0.2">
      <c r="A23" s="5942"/>
      <c r="B23" s="5945"/>
      <c r="C23" s="4657" t="s">
        <v>468</v>
      </c>
      <c r="D23" s="4658">
        <v>2</v>
      </c>
      <c r="E23" s="4662">
        <v>4</v>
      </c>
      <c r="F23" s="3932">
        <f t="shared" si="6"/>
        <v>6</v>
      </c>
      <c r="G23" s="3930">
        <v>16</v>
      </c>
      <c r="H23" s="3934">
        <v>8</v>
      </c>
      <c r="I23" s="3932">
        <f t="shared" si="7"/>
        <v>24</v>
      </c>
    </row>
    <row r="24" spans="1:9" s="3919" customFormat="1" x14ac:dyDescent="0.2">
      <c r="A24" s="5942"/>
      <c r="B24" s="5945"/>
      <c r="C24" s="4661" t="s">
        <v>160</v>
      </c>
      <c r="D24" s="3940">
        <f t="shared" ref="D24:I24" si="8">SUM(D21:D23)</f>
        <v>8</v>
      </c>
      <c r="E24" s="3941">
        <f t="shared" si="8"/>
        <v>7</v>
      </c>
      <c r="F24" s="3937">
        <f t="shared" si="8"/>
        <v>15</v>
      </c>
      <c r="G24" s="3940">
        <f t="shared" si="8"/>
        <v>45</v>
      </c>
      <c r="H24" s="3941">
        <f t="shared" si="8"/>
        <v>22</v>
      </c>
      <c r="I24" s="3937">
        <f t="shared" si="8"/>
        <v>67</v>
      </c>
    </row>
    <row r="25" spans="1:9" s="3919" customFormat="1" x14ac:dyDescent="0.2">
      <c r="A25" s="5943"/>
      <c r="B25" s="5946" t="s">
        <v>450</v>
      </c>
      <c r="C25" s="5947"/>
      <c r="D25" s="4663">
        <f t="shared" ref="D25:I25" si="9">D24+D20+D15</f>
        <v>60</v>
      </c>
      <c r="E25" s="4664">
        <f t="shared" si="9"/>
        <v>49</v>
      </c>
      <c r="F25" s="4665">
        <f t="shared" si="9"/>
        <v>109</v>
      </c>
      <c r="G25" s="3942">
        <f t="shared" si="9"/>
        <v>127</v>
      </c>
      <c r="H25" s="3943">
        <f t="shared" si="9"/>
        <v>90</v>
      </c>
      <c r="I25" s="3924">
        <f t="shared" si="9"/>
        <v>217</v>
      </c>
    </row>
    <row r="26" spans="1:9" x14ac:dyDescent="0.2">
      <c r="A26" s="5948" t="s">
        <v>436</v>
      </c>
      <c r="B26" s="5945" t="s">
        <v>9</v>
      </c>
      <c r="C26" s="4666" t="s">
        <v>505</v>
      </c>
      <c r="D26" s="4667">
        <v>13</v>
      </c>
      <c r="E26" s="4668">
        <v>5</v>
      </c>
      <c r="F26" s="3947">
        <f t="shared" ref="F26:F28" si="10">SUM(D26:E26)</f>
        <v>18</v>
      </c>
      <c r="G26" s="3946">
        <v>23</v>
      </c>
      <c r="H26" s="3948">
        <v>6</v>
      </c>
      <c r="I26" s="3947">
        <f t="shared" ref="I26:I28" si="11">SUM(G26:H26)</f>
        <v>29</v>
      </c>
    </row>
    <row r="27" spans="1:9" x14ac:dyDescent="0.2">
      <c r="A27" s="5948"/>
      <c r="B27" s="5945"/>
      <c r="C27" s="4657" t="s">
        <v>503</v>
      </c>
      <c r="D27" s="4658">
        <v>3</v>
      </c>
      <c r="E27" s="4662">
        <v>3</v>
      </c>
      <c r="F27" s="3932">
        <f t="shared" si="10"/>
        <v>6</v>
      </c>
      <c r="G27" s="3930">
        <v>4</v>
      </c>
      <c r="H27" s="3934">
        <v>4</v>
      </c>
      <c r="I27" s="3932">
        <f t="shared" si="11"/>
        <v>8</v>
      </c>
    </row>
    <row r="28" spans="1:9" x14ac:dyDescent="0.2">
      <c r="A28" s="5948"/>
      <c r="B28" s="5945"/>
      <c r="C28" s="4657" t="s">
        <v>504</v>
      </c>
      <c r="D28" s="4658">
        <v>1</v>
      </c>
      <c r="E28" s="4662">
        <v>4</v>
      </c>
      <c r="F28" s="3932">
        <f t="shared" si="10"/>
        <v>5</v>
      </c>
      <c r="G28" s="3930"/>
      <c r="H28" s="3934">
        <v>3</v>
      </c>
      <c r="I28" s="3932">
        <f t="shared" si="11"/>
        <v>3</v>
      </c>
    </row>
    <row r="29" spans="1:9" s="3919" customFormat="1" x14ac:dyDescent="0.2">
      <c r="A29" s="5948"/>
      <c r="B29" s="5945"/>
      <c r="C29" s="4661" t="s">
        <v>160</v>
      </c>
      <c r="D29" s="3938">
        <f t="shared" ref="D29:I29" si="12">SUM(D26:D28)</f>
        <v>17</v>
      </c>
      <c r="E29" s="3939">
        <f t="shared" si="12"/>
        <v>12</v>
      </c>
      <c r="F29" s="3936">
        <f t="shared" si="12"/>
        <v>29</v>
      </c>
      <c r="G29" s="3938">
        <f t="shared" si="12"/>
        <v>27</v>
      </c>
      <c r="H29" s="3939">
        <f t="shared" si="12"/>
        <v>13</v>
      </c>
      <c r="I29" s="3936">
        <f t="shared" si="12"/>
        <v>40</v>
      </c>
    </row>
    <row r="30" spans="1:9" x14ac:dyDescent="0.2">
      <c r="A30" s="5948"/>
      <c r="B30" s="5945" t="s">
        <v>74</v>
      </c>
      <c r="C30" s="3929" t="s">
        <v>507</v>
      </c>
      <c r="D30" s="4658">
        <v>1</v>
      </c>
      <c r="E30" s="4669">
        <v>0</v>
      </c>
      <c r="F30" s="3932">
        <f t="shared" ref="F30:F33" si="13">SUM(D30:E30)</f>
        <v>1</v>
      </c>
      <c r="G30" s="3930">
        <v>1</v>
      </c>
      <c r="H30" s="3934">
        <v>1</v>
      </c>
      <c r="I30" s="3932">
        <f>SUM(G30:H30)</f>
        <v>2</v>
      </c>
    </row>
    <row r="31" spans="1:9" x14ac:dyDescent="0.2">
      <c r="A31" s="5948"/>
      <c r="B31" s="5945"/>
      <c r="C31" s="4657" t="s">
        <v>508</v>
      </c>
      <c r="D31" s="4658">
        <v>3</v>
      </c>
      <c r="E31" s="4662">
        <v>4</v>
      </c>
      <c r="F31" s="3932">
        <f t="shared" si="13"/>
        <v>7</v>
      </c>
      <c r="G31" s="3930">
        <v>3</v>
      </c>
      <c r="H31" s="3935">
        <v>6</v>
      </c>
      <c r="I31" s="3932">
        <f t="shared" ref="I31:I33" si="14">SUM(G31:H31)</f>
        <v>9</v>
      </c>
    </row>
    <row r="32" spans="1:9" s="3919" customFormat="1" hidden="1" x14ac:dyDescent="0.2">
      <c r="A32" s="5948"/>
      <c r="B32" s="5945"/>
      <c r="C32" s="4657" t="s">
        <v>461</v>
      </c>
      <c r="D32" s="4658"/>
      <c r="E32" s="4662">
        <v>3</v>
      </c>
      <c r="F32" s="3932">
        <f t="shared" si="13"/>
        <v>3</v>
      </c>
      <c r="G32" s="3930"/>
      <c r="H32" s="3935"/>
      <c r="I32" s="3932">
        <f t="shared" si="14"/>
        <v>0</v>
      </c>
    </row>
    <row r="33" spans="1:9" hidden="1" x14ac:dyDescent="0.2">
      <c r="A33" s="5948"/>
      <c r="B33" s="5945"/>
      <c r="C33" s="4657" t="s">
        <v>506</v>
      </c>
      <c r="D33" s="4658">
        <v>2</v>
      </c>
      <c r="E33" s="4669"/>
      <c r="F33" s="3932">
        <f t="shared" si="13"/>
        <v>2</v>
      </c>
      <c r="G33" s="3930"/>
      <c r="H33" s="3935"/>
      <c r="I33" s="3932">
        <f t="shared" si="14"/>
        <v>0</v>
      </c>
    </row>
    <row r="34" spans="1:9" x14ac:dyDescent="0.2">
      <c r="A34" s="5948"/>
      <c r="B34" s="5945"/>
      <c r="C34" s="4661" t="s">
        <v>160</v>
      </c>
      <c r="D34" s="3938">
        <f>SUM(D30:D33)</f>
        <v>6</v>
      </c>
      <c r="E34" s="3939">
        <f>SUM(E30:E33)</f>
        <v>7</v>
      </c>
      <c r="F34" s="3936">
        <f>SUM(F30:F33)</f>
        <v>13</v>
      </c>
      <c r="G34" s="3938">
        <f>SUM(G30:G33)</f>
        <v>4</v>
      </c>
      <c r="H34" s="3939">
        <f t="shared" ref="H34:I34" si="15">SUM(H30:H33)</f>
        <v>7</v>
      </c>
      <c r="I34" s="3936">
        <f t="shared" si="15"/>
        <v>11</v>
      </c>
    </row>
    <row r="35" spans="1:9" x14ac:dyDescent="0.2">
      <c r="A35" s="5948"/>
      <c r="B35" s="5945" t="s">
        <v>6</v>
      </c>
      <c r="C35" s="4657" t="s">
        <v>462</v>
      </c>
      <c r="D35" s="4658">
        <v>3</v>
      </c>
      <c r="E35" s="4662">
        <v>3</v>
      </c>
      <c r="F35" s="3932">
        <f t="shared" ref="F35:F37" si="16">SUM(D35:E35)</f>
        <v>6</v>
      </c>
      <c r="G35" s="3930">
        <v>4</v>
      </c>
      <c r="H35" s="3934">
        <v>2</v>
      </c>
      <c r="I35" s="3932">
        <f t="shared" ref="I35:I37" si="17">SUM(G35:H35)</f>
        <v>6</v>
      </c>
    </row>
    <row r="36" spans="1:9" s="3919" customFormat="1" x14ac:dyDescent="0.2">
      <c r="A36" s="5948"/>
      <c r="B36" s="5945"/>
      <c r="C36" s="4657" t="s">
        <v>502</v>
      </c>
      <c r="D36" s="4658">
        <v>3</v>
      </c>
      <c r="E36" s="4662">
        <v>4</v>
      </c>
      <c r="F36" s="3932">
        <f t="shared" si="16"/>
        <v>7</v>
      </c>
      <c r="G36" s="3930"/>
      <c r="H36" s="3934">
        <v>2</v>
      </c>
      <c r="I36" s="3932">
        <f t="shared" si="17"/>
        <v>2</v>
      </c>
    </row>
    <row r="37" spans="1:9" s="3919" customFormat="1" x14ac:dyDescent="0.2">
      <c r="A37" s="5948"/>
      <c r="B37" s="5945"/>
      <c r="C37" s="4657" t="s">
        <v>501</v>
      </c>
      <c r="D37" s="4658">
        <v>3</v>
      </c>
      <c r="E37" s="4662">
        <v>1</v>
      </c>
      <c r="F37" s="3932">
        <f t="shared" si="16"/>
        <v>4</v>
      </c>
      <c r="G37" s="3930">
        <v>5</v>
      </c>
      <c r="H37" s="3934">
        <v>1</v>
      </c>
      <c r="I37" s="3932">
        <f t="shared" si="17"/>
        <v>6</v>
      </c>
    </row>
    <row r="38" spans="1:9" x14ac:dyDescent="0.2">
      <c r="A38" s="5948"/>
      <c r="B38" s="5950"/>
      <c r="C38" s="4661" t="s">
        <v>160</v>
      </c>
      <c r="D38" s="3940">
        <f t="shared" ref="D38:I38" si="18">SUM(D35:D37)</f>
        <v>9</v>
      </c>
      <c r="E38" s="3941">
        <f t="shared" si="18"/>
        <v>8</v>
      </c>
      <c r="F38" s="3937">
        <f t="shared" si="18"/>
        <v>17</v>
      </c>
      <c r="G38" s="3940">
        <f t="shared" si="18"/>
        <v>9</v>
      </c>
      <c r="H38" s="3941">
        <f t="shared" si="18"/>
        <v>5</v>
      </c>
      <c r="I38" s="3937">
        <f t="shared" si="18"/>
        <v>14</v>
      </c>
    </row>
    <row r="39" spans="1:9" x14ac:dyDescent="0.2">
      <c r="A39" s="5949"/>
      <c r="B39" s="5951" t="s">
        <v>450</v>
      </c>
      <c r="C39" s="5952"/>
      <c r="D39" s="4670">
        <f t="shared" ref="D39:I39" si="19">D38+D34+D29</f>
        <v>32</v>
      </c>
      <c r="E39" s="4671">
        <f t="shared" si="19"/>
        <v>27</v>
      </c>
      <c r="F39" s="4672">
        <f t="shared" si="19"/>
        <v>59</v>
      </c>
      <c r="G39" s="3949">
        <f t="shared" si="19"/>
        <v>40</v>
      </c>
      <c r="H39" s="3950">
        <f t="shared" si="19"/>
        <v>25</v>
      </c>
      <c r="I39" s="3945">
        <f t="shared" si="19"/>
        <v>65</v>
      </c>
    </row>
    <row r="40" spans="1:9" x14ac:dyDescent="0.2">
      <c r="A40" s="5953" t="s">
        <v>447</v>
      </c>
      <c r="B40" s="5950" t="s">
        <v>5</v>
      </c>
      <c r="C40" s="4666" t="s">
        <v>475</v>
      </c>
      <c r="D40" s="4667">
        <v>1</v>
      </c>
      <c r="E40" s="4668"/>
      <c r="F40" s="3947">
        <f t="shared" ref="F40:F48" si="20">SUM(D40:E40)</f>
        <v>1</v>
      </c>
      <c r="G40" s="3946">
        <v>2</v>
      </c>
      <c r="H40" s="3948">
        <v>3</v>
      </c>
      <c r="I40" s="3947">
        <f t="shared" ref="I40:I48" si="21">SUM(G40:H40)</f>
        <v>5</v>
      </c>
    </row>
    <row r="41" spans="1:9" x14ac:dyDescent="0.2">
      <c r="A41" s="5954"/>
      <c r="B41" s="5967"/>
      <c r="C41" s="4657" t="s">
        <v>472</v>
      </c>
      <c r="D41" s="4658"/>
      <c r="E41" s="4662">
        <v>1</v>
      </c>
      <c r="F41" s="3932">
        <f t="shared" si="20"/>
        <v>1</v>
      </c>
      <c r="G41" s="3930"/>
      <c r="H41" s="3934">
        <v>4</v>
      </c>
      <c r="I41" s="3932">
        <f t="shared" si="21"/>
        <v>4</v>
      </c>
    </row>
    <row r="42" spans="1:9" x14ac:dyDescent="0.2">
      <c r="A42" s="5954"/>
      <c r="B42" s="5967"/>
      <c r="C42" s="4657" t="s">
        <v>1338</v>
      </c>
      <c r="D42" s="4658"/>
      <c r="E42" s="4662"/>
      <c r="F42" s="3932">
        <f t="shared" si="20"/>
        <v>0</v>
      </c>
      <c r="G42" s="3930"/>
      <c r="H42" s="3934">
        <v>1</v>
      </c>
      <c r="I42" s="3932">
        <f t="shared" si="21"/>
        <v>1</v>
      </c>
    </row>
    <row r="43" spans="1:9" x14ac:dyDescent="0.2">
      <c r="A43" s="5954"/>
      <c r="B43" s="5967"/>
      <c r="C43" s="4657" t="s">
        <v>1329</v>
      </c>
      <c r="D43" s="4658"/>
      <c r="E43" s="4662">
        <v>1</v>
      </c>
      <c r="F43" s="3932">
        <f t="shared" si="20"/>
        <v>1</v>
      </c>
      <c r="G43" s="3930"/>
      <c r="H43" s="3934">
        <v>1</v>
      </c>
      <c r="I43" s="3932">
        <f t="shared" si="21"/>
        <v>1</v>
      </c>
    </row>
    <row r="44" spans="1:9" x14ac:dyDescent="0.2">
      <c r="A44" s="5954"/>
      <c r="B44" s="5967"/>
      <c r="C44" s="4657" t="s">
        <v>1339</v>
      </c>
      <c r="D44" s="4658"/>
      <c r="E44" s="4662">
        <v>3</v>
      </c>
      <c r="F44" s="3932">
        <f t="shared" si="20"/>
        <v>3</v>
      </c>
      <c r="G44" s="3930">
        <v>1</v>
      </c>
      <c r="H44" s="3934">
        <v>3</v>
      </c>
      <c r="I44" s="3932">
        <f t="shared" si="21"/>
        <v>4</v>
      </c>
    </row>
    <row r="45" spans="1:9" ht="15" hidden="1" customHeight="1" x14ac:dyDescent="0.2">
      <c r="A45" s="5954"/>
      <c r="B45" s="5967"/>
      <c r="C45" s="4657" t="s">
        <v>1340</v>
      </c>
      <c r="D45" s="4658"/>
      <c r="E45" s="4669"/>
      <c r="F45" s="3932">
        <f t="shared" si="20"/>
        <v>0</v>
      </c>
      <c r="G45" s="3930"/>
      <c r="H45" s="3934"/>
      <c r="I45" s="3932">
        <f t="shared" si="21"/>
        <v>0</v>
      </c>
    </row>
    <row r="46" spans="1:9" s="3919" customFormat="1" x14ac:dyDescent="0.2">
      <c r="A46" s="5954"/>
      <c r="B46" s="5967"/>
      <c r="C46" s="4657" t="s">
        <v>1334</v>
      </c>
      <c r="D46" s="4658">
        <v>3</v>
      </c>
      <c r="E46" s="4662">
        <v>2</v>
      </c>
      <c r="F46" s="3932">
        <f t="shared" si="20"/>
        <v>5</v>
      </c>
      <c r="G46" s="3930">
        <v>3</v>
      </c>
      <c r="H46" s="3935">
        <v>1</v>
      </c>
      <c r="I46" s="3932">
        <f t="shared" si="21"/>
        <v>4</v>
      </c>
    </row>
    <row r="47" spans="1:9" x14ac:dyDescent="0.2">
      <c r="A47" s="5954"/>
      <c r="B47" s="5967"/>
      <c r="C47" s="4657" t="s">
        <v>473</v>
      </c>
      <c r="D47" s="4658"/>
      <c r="E47" s="4669"/>
      <c r="F47" s="3932">
        <f t="shared" si="20"/>
        <v>0</v>
      </c>
      <c r="G47" s="3930">
        <v>1</v>
      </c>
      <c r="H47" s="3934">
        <v>2</v>
      </c>
      <c r="I47" s="3932">
        <f t="shared" si="21"/>
        <v>3</v>
      </c>
    </row>
    <row r="48" spans="1:9" x14ac:dyDescent="0.2">
      <c r="A48" s="5954"/>
      <c r="B48" s="5967"/>
      <c r="C48" s="4657" t="s">
        <v>474</v>
      </c>
      <c r="D48" s="4658"/>
      <c r="E48" s="4669"/>
      <c r="F48" s="3932">
        <f t="shared" si="20"/>
        <v>0</v>
      </c>
      <c r="G48" s="3930">
        <v>3</v>
      </c>
      <c r="H48" s="3935">
        <v>3</v>
      </c>
      <c r="I48" s="3932">
        <f t="shared" si="21"/>
        <v>6</v>
      </c>
    </row>
    <row r="49" spans="1:9" x14ac:dyDescent="0.2">
      <c r="A49" s="5954"/>
      <c r="B49" s="5944"/>
      <c r="C49" s="4661" t="s">
        <v>160</v>
      </c>
      <c r="D49" s="3938">
        <f t="shared" ref="D49:I49" si="22">SUM(D40:D48)</f>
        <v>4</v>
      </c>
      <c r="E49" s="3939">
        <f t="shared" si="22"/>
        <v>7</v>
      </c>
      <c r="F49" s="3936">
        <f t="shared" si="22"/>
        <v>11</v>
      </c>
      <c r="G49" s="3938">
        <f t="shared" si="22"/>
        <v>10</v>
      </c>
      <c r="H49" s="3939">
        <f t="shared" si="22"/>
        <v>18</v>
      </c>
      <c r="I49" s="3936">
        <f t="shared" si="22"/>
        <v>28</v>
      </c>
    </row>
    <row r="50" spans="1:9" x14ac:dyDescent="0.2">
      <c r="A50" s="5954"/>
      <c r="B50" s="5950" t="s">
        <v>6</v>
      </c>
      <c r="C50" s="4657" t="s">
        <v>462</v>
      </c>
      <c r="D50" s="4658">
        <v>3</v>
      </c>
      <c r="E50" s="4662">
        <v>1</v>
      </c>
      <c r="F50" s="3932">
        <f t="shared" ref="F50:F60" si="23">SUM(D50:E50)</f>
        <v>4</v>
      </c>
      <c r="G50" s="3930">
        <v>8</v>
      </c>
      <c r="H50" s="3934">
        <v>6</v>
      </c>
      <c r="I50" s="3932">
        <f t="shared" ref="I50:I60" si="24">SUM(G50:H50)</f>
        <v>14</v>
      </c>
    </row>
    <row r="51" spans="1:9" x14ac:dyDescent="0.2">
      <c r="A51" s="5954"/>
      <c r="B51" s="5967"/>
      <c r="C51" s="4657" t="s">
        <v>476</v>
      </c>
      <c r="D51" s="4658">
        <v>1</v>
      </c>
      <c r="E51" s="4662"/>
      <c r="F51" s="3932">
        <f t="shared" si="23"/>
        <v>1</v>
      </c>
      <c r="G51" s="3930">
        <v>5</v>
      </c>
      <c r="H51" s="3934">
        <v>2</v>
      </c>
      <c r="I51" s="3932">
        <f t="shared" si="24"/>
        <v>7</v>
      </c>
    </row>
    <row r="52" spans="1:9" x14ac:dyDescent="0.2">
      <c r="A52" s="5954"/>
      <c r="B52" s="5967"/>
      <c r="C52" s="4657" t="s">
        <v>481</v>
      </c>
      <c r="D52" s="4658">
        <v>1</v>
      </c>
      <c r="E52" s="4662">
        <v>1</v>
      </c>
      <c r="F52" s="3932">
        <f t="shared" si="23"/>
        <v>2</v>
      </c>
      <c r="G52" s="3930">
        <v>3</v>
      </c>
      <c r="H52" s="3934">
        <v>5</v>
      </c>
      <c r="I52" s="3932">
        <f t="shared" si="24"/>
        <v>8</v>
      </c>
    </row>
    <row r="53" spans="1:9" x14ac:dyDescent="0.2">
      <c r="A53" s="5954"/>
      <c r="B53" s="5967"/>
      <c r="C53" s="4657" t="s">
        <v>464</v>
      </c>
      <c r="D53" s="4658"/>
      <c r="E53" s="4662"/>
      <c r="F53" s="3932">
        <f t="shared" si="23"/>
        <v>0</v>
      </c>
      <c r="G53" s="3930">
        <v>4</v>
      </c>
      <c r="H53" s="3934">
        <v>3</v>
      </c>
      <c r="I53" s="3932">
        <f t="shared" si="24"/>
        <v>7</v>
      </c>
    </row>
    <row r="54" spans="1:9" x14ac:dyDescent="0.2">
      <c r="A54" s="5954"/>
      <c r="B54" s="5967"/>
      <c r="C54" s="4657" t="s">
        <v>478</v>
      </c>
      <c r="D54" s="4658">
        <v>3</v>
      </c>
      <c r="E54" s="4662">
        <v>4</v>
      </c>
      <c r="F54" s="3932">
        <f t="shared" si="23"/>
        <v>7</v>
      </c>
      <c r="G54" s="3930">
        <v>4</v>
      </c>
      <c r="H54" s="3934">
        <v>10</v>
      </c>
      <c r="I54" s="3932">
        <f t="shared" si="24"/>
        <v>14</v>
      </c>
    </row>
    <row r="55" spans="1:9" x14ac:dyDescent="0.2">
      <c r="A55" s="5954"/>
      <c r="B55" s="5967"/>
      <c r="C55" s="4657" t="s">
        <v>483</v>
      </c>
      <c r="D55" s="4658"/>
      <c r="E55" s="4669"/>
      <c r="F55" s="3932">
        <f t="shared" si="23"/>
        <v>0</v>
      </c>
      <c r="G55" s="3930">
        <v>2</v>
      </c>
      <c r="H55" s="3935">
        <v>2</v>
      </c>
      <c r="I55" s="3932">
        <f t="shared" si="24"/>
        <v>4</v>
      </c>
    </row>
    <row r="56" spans="1:9" x14ac:dyDescent="0.2">
      <c r="A56" s="5954"/>
      <c r="B56" s="5967"/>
      <c r="C56" s="4657" t="s">
        <v>479</v>
      </c>
      <c r="D56" s="4658"/>
      <c r="E56" s="4662"/>
      <c r="F56" s="3932">
        <f t="shared" si="23"/>
        <v>0</v>
      </c>
      <c r="G56" s="3930">
        <v>6</v>
      </c>
      <c r="H56" s="3934">
        <v>3</v>
      </c>
      <c r="I56" s="3932">
        <f t="shared" si="24"/>
        <v>9</v>
      </c>
    </row>
    <row r="57" spans="1:9" x14ac:dyDescent="0.2">
      <c r="A57" s="5954"/>
      <c r="B57" s="5967"/>
      <c r="C57" s="4657" t="s">
        <v>477</v>
      </c>
      <c r="D57" s="4658"/>
      <c r="E57" s="4662">
        <v>1</v>
      </c>
      <c r="F57" s="3932">
        <f t="shared" si="23"/>
        <v>1</v>
      </c>
      <c r="G57" s="3930">
        <v>6</v>
      </c>
      <c r="H57" s="3934">
        <v>1</v>
      </c>
      <c r="I57" s="3932">
        <f t="shared" si="24"/>
        <v>7</v>
      </c>
    </row>
    <row r="58" spans="1:9" s="3919" customFormat="1" x14ac:dyDescent="0.2">
      <c r="A58" s="5954"/>
      <c r="B58" s="5967"/>
      <c r="C58" s="4657" t="s">
        <v>480</v>
      </c>
      <c r="D58" s="4658">
        <v>1</v>
      </c>
      <c r="E58" s="4662"/>
      <c r="F58" s="3932">
        <f t="shared" si="23"/>
        <v>1</v>
      </c>
      <c r="G58" s="3930">
        <v>3</v>
      </c>
      <c r="H58" s="3934">
        <v>2</v>
      </c>
      <c r="I58" s="3932">
        <f t="shared" si="24"/>
        <v>5</v>
      </c>
    </row>
    <row r="59" spans="1:9" x14ac:dyDescent="0.2">
      <c r="A59" s="5954"/>
      <c r="B59" s="5967"/>
      <c r="C59" s="4657" t="s">
        <v>482</v>
      </c>
      <c r="D59" s="4658"/>
      <c r="E59" s="4662"/>
      <c r="F59" s="3932">
        <f t="shared" si="23"/>
        <v>0</v>
      </c>
      <c r="G59" s="3930">
        <v>3</v>
      </c>
      <c r="H59" s="3934">
        <v>2</v>
      </c>
      <c r="I59" s="3932">
        <f t="shared" si="24"/>
        <v>5</v>
      </c>
    </row>
    <row r="60" spans="1:9" x14ac:dyDescent="0.2">
      <c r="A60" s="5954"/>
      <c r="B60" s="5967"/>
      <c r="C60" s="4657" t="s">
        <v>465</v>
      </c>
      <c r="D60" s="4658">
        <v>1</v>
      </c>
      <c r="E60" s="4662">
        <v>1</v>
      </c>
      <c r="F60" s="3932">
        <f t="shared" si="23"/>
        <v>2</v>
      </c>
      <c r="G60" s="3930">
        <v>3</v>
      </c>
      <c r="H60" s="3934">
        <v>4</v>
      </c>
      <c r="I60" s="3932">
        <f t="shared" si="24"/>
        <v>7</v>
      </c>
    </row>
    <row r="61" spans="1:9" x14ac:dyDescent="0.2">
      <c r="A61" s="5954"/>
      <c r="B61" s="5944"/>
      <c r="C61" s="4661" t="s">
        <v>160</v>
      </c>
      <c r="D61" s="3938">
        <f t="shared" ref="D61:I61" si="25">SUM(D50:D60)</f>
        <v>10</v>
      </c>
      <c r="E61" s="3939">
        <f t="shared" si="25"/>
        <v>8</v>
      </c>
      <c r="F61" s="3936">
        <f t="shared" si="25"/>
        <v>18</v>
      </c>
      <c r="G61" s="3938">
        <f t="shared" si="25"/>
        <v>47</v>
      </c>
      <c r="H61" s="3939">
        <f t="shared" si="25"/>
        <v>40</v>
      </c>
      <c r="I61" s="3936">
        <f t="shared" si="25"/>
        <v>87</v>
      </c>
    </row>
    <row r="62" spans="1:9" x14ac:dyDescent="0.2">
      <c r="A62" s="5954"/>
      <c r="B62" s="5950" t="s">
        <v>11</v>
      </c>
      <c r="C62" s="4657" t="s">
        <v>484</v>
      </c>
      <c r="D62" s="4658">
        <v>1</v>
      </c>
      <c r="E62" s="4662"/>
      <c r="F62" s="3932">
        <f t="shared" ref="F62:F67" si="26">SUM(D62:E62)</f>
        <v>1</v>
      </c>
      <c r="G62" s="3930">
        <v>4</v>
      </c>
      <c r="H62" s="3934">
        <v>3</v>
      </c>
      <c r="I62" s="3932">
        <f t="shared" ref="I62:I67" si="27">SUM(G62:H62)</f>
        <v>7</v>
      </c>
    </row>
    <row r="63" spans="1:9" x14ac:dyDescent="0.2">
      <c r="A63" s="5954"/>
      <c r="B63" s="5967"/>
      <c r="C63" s="4657" t="s">
        <v>485</v>
      </c>
      <c r="D63" s="4658">
        <v>1</v>
      </c>
      <c r="E63" s="4662">
        <v>2</v>
      </c>
      <c r="F63" s="3932">
        <f t="shared" si="26"/>
        <v>3</v>
      </c>
      <c r="G63" s="3930">
        <v>6</v>
      </c>
      <c r="H63" s="3934">
        <v>1</v>
      </c>
      <c r="I63" s="3932">
        <f t="shared" si="27"/>
        <v>7</v>
      </c>
    </row>
    <row r="64" spans="1:9" x14ac:dyDescent="0.2">
      <c r="A64" s="5954"/>
      <c r="B64" s="5967"/>
      <c r="C64" s="4657" t="s">
        <v>486</v>
      </c>
      <c r="D64" s="4658"/>
      <c r="E64" s="4662"/>
      <c r="F64" s="3932">
        <f t="shared" si="26"/>
        <v>0</v>
      </c>
      <c r="G64" s="3930">
        <v>1</v>
      </c>
      <c r="H64" s="3934">
        <v>4</v>
      </c>
      <c r="I64" s="3932">
        <f t="shared" si="27"/>
        <v>5</v>
      </c>
    </row>
    <row r="65" spans="1:9" s="3919" customFormat="1" x14ac:dyDescent="0.2">
      <c r="A65" s="5954"/>
      <c r="B65" s="5967"/>
      <c r="C65" s="4657" t="s">
        <v>520</v>
      </c>
      <c r="D65" s="4658">
        <v>2</v>
      </c>
      <c r="E65" s="4662">
        <v>3</v>
      </c>
      <c r="F65" s="3932">
        <f t="shared" si="26"/>
        <v>5</v>
      </c>
      <c r="G65" s="3930">
        <v>7</v>
      </c>
      <c r="H65" s="3934">
        <v>5</v>
      </c>
      <c r="I65" s="3932">
        <f t="shared" si="27"/>
        <v>12</v>
      </c>
    </row>
    <row r="66" spans="1:9" s="3919" customFormat="1" x14ac:dyDescent="0.2">
      <c r="A66" s="5954"/>
      <c r="B66" s="5967"/>
      <c r="C66" s="4657" t="s">
        <v>1341</v>
      </c>
      <c r="D66" s="4658">
        <v>1</v>
      </c>
      <c r="E66" s="4662"/>
      <c r="F66" s="3932">
        <f t="shared" si="26"/>
        <v>1</v>
      </c>
      <c r="G66" s="3930">
        <v>3</v>
      </c>
      <c r="H66" s="3934">
        <v>2</v>
      </c>
      <c r="I66" s="3932">
        <f t="shared" si="27"/>
        <v>5</v>
      </c>
    </row>
    <row r="67" spans="1:9" x14ac:dyDescent="0.2">
      <c r="A67" s="5954"/>
      <c r="B67" s="5967"/>
      <c r="C67" s="4657" t="s">
        <v>487</v>
      </c>
      <c r="D67" s="4658"/>
      <c r="E67" s="4662"/>
      <c r="F67" s="3932">
        <f t="shared" si="26"/>
        <v>0</v>
      </c>
      <c r="G67" s="3930">
        <v>3</v>
      </c>
      <c r="H67" s="3934">
        <v>1</v>
      </c>
      <c r="I67" s="3932">
        <f t="shared" si="27"/>
        <v>4</v>
      </c>
    </row>
    <row r="68" spans="1:9" s="3919" customFormat="1" x14ac:dyDescent="0.2">
      <c r="A68" s="5954"/>
      <c r="B68" s="5944"/>
      <c r="C68" s="4673" t="s">
        <v>160</v>
      </c>
      <c r="D68" s="3940">
        <f t="shared" ref="D68:I68" si="28">SUM(D62:D67)</f>
        <v>5</v>
      </c>
      <c r="E68" s="3941">
        <f t="shared" si="28"/>
        <v>5</v>
      </c>
      <c r="F68" s="3937">
        <f t="shared" si="28"/>
        <v>10</v>
      </c>
      <c r="G68" s="3940">
        <f t="shared" si="28"/>
        <v>24</v>
      </c>
      <c r="H68" s="3941">
        <f t="shared" si="28"/>
        <v>16</v>
      </c>
      <c r="I68" s="3937">
        <f t="shared" si="28"/>
        <v>40</v>
      </c>
    </row>
    <row r="69" spans="1:9" x14ac:dyDescent="0.2">
      <c r="A69" s="5955"/>
      <c r="B69" s="5965" t="s">
        <v>450</v>
      </c>
      <c r="C69" s="5966"/>
      <c r="D69" s="4674">
        <f t="shared" ref="D69:I69" si="29">D68+D61+D49</f>
        <v>19</v>
      </c>
      <c r="E69" s="4675">
        <f t="shared" si="29"/>
        <v>20</v>
      </c>
      <c r="F69" s="4676">
        <f t="shared" si="29"/>
        <v>39</v>
      </c>
      <c r="G69" s="3953">
        <f t="shared" si="29"/>
        <v>81</v>
      </c>
      <c r="H69" s="3954">
        <f t="shared" si="29"/>
        <v>74</v>
      </c>
      <c r="I69" s="3944">
        <f t="shared" si="29"/>
        <v>155</v>
      </c>
    </row>
    <row r="70" spans="1:9" s="3919" customFormat="1" x14ac:dyDescent="0.2">
      <c r="A70" s="5956" t="s">
        <v>437</v>
      </c>
      <c r="B70" s="5945" t="s">
        <v>11</v>
      </c>
      <c r="C70" s="4666" t="s">
        <v>511</v>
      </c>
      <c r="D70" s="4667">
        <v>4</v>
      </c>
      <c r="E70" s="4668"/>
      <c r="F70" s="3947">
        <f>SUM(D70:E70)</f>
        <v>4</v>
      </c>
      <c r="G70" s="3946">
        <v>5</v>
      </c>
      <c r="H70" s="3948"/>
      <c r="I70" s="3947">
        <f>SUM(G70:H70)</f>
        <v>5</v>
      </c>
    </row>
    <row r="71" spans="1:9" x14ac:dyDescent="0.2">
      <c r="A71" s="5957"/>
      <c r="B71" s="5945"/>
      <c r="C71" s="4661" t="s">
        <v>160</v>
      </c>
      <c r="D71" s="3938">
        <f t="shared" ref="D71:I71" si="30">D70</f>
        <v>4</v>
      </c>
      <c r="E71" s="3939">
        <f t="shared" si="30"/>
        <v>0</v>
      </c>
      <c r="F71" s="3936">
        <f t="shared" si="30"/>
        <v>4</v>
      </c>
      <c r="G71" s="3938">
        <f t="shared" si="30"/>
        <v>5</v>
      </c>
      <c r="H71" s="3939">
        <f t="shared" si="30"/>
        <v>0</v>
      </c>
      <c r="I71" s="3936">
        <f t="shared" si="30"/>
        <v>5</v>
      </c>
    </row>
    <row r="72" spans="1:9" x14ac:dyDescent="0.2">
      <c r="A72" s="5957"/>
      <c r="B72" s="5945" t="s">
        <v>5</v>
      </c>
      <c r="C72" s="4657" t="s">
        <v>1342</v>
      </c>
      <c r="D72" s="4658">
        <v>1</v>
      </c>
      <c r="E72" s="4662">
        <v>1</v>
      </c>
      <c r="F72" s="3932">
        <f>SUM(D72:E72)</f>
        <v>2</v>
      </c>
      <c r="G72" s="3930">
        <v>2</v>
      </c>
      <c r="H72" s="3934"/>
      <c r="I72" s="3932">
        <f>SUM(G72:H72)</f>
        <v>2</v>
      </c>
    </row>
    <row r="73" spans="1:9" s="3919" customFormat="1" x14ac:dyDescent="0.2">
      <c r="A73" s="5957"/>
      <c r="B73" s="5945"/>
      <c r="C73" s="4661" t="s">
        <v>160</v>
      </c>
      <c r="D73" s="3938">
        <f t="shared" ref="D73:I73" si="31">D72</f>
        <v>1</v>
      </c>
      <c r="E73" s="3939">
        <f t="shared" si="31"/>
        <v>1</v>
      </c>
      <c r="F73" s="3936">
        <f t="shared" si="31"/>
        <v>2</v>
      </c>
      <c r="G73" s="3938">
        <f t="shared" si="31"/>
        <v>2</v>
      </c>
      <c r="H73" s="3939">
        <f t="shared" si="31"/>
        <v>0</v>
      </c>
      <c r="I73" s="3936">
        <f t="shared" si="31"/>
        <v>2</v>
      </c>
    </row>
    <row r="74" spans="1:9" s="3919" customFormat="1" x14ac:dyDescent="0.2">
      <c r="A74" s="5957"/>
      <c r="B74" s="5945" t="s">
        <v>6</v>
      </c>
      <c r="C74" s="4657" t="s">
        <v>510</v>
      </c>
      <c r="D74" s="4658"/>
      <c r="E74" s="4662">
        <v>1</v>
      </c>
      <c r="F74" s="3932">
        <f>SUM(D74:E74)</f>
        <v>1</v>
      </c>
      <c r="G74" s="3930">
        <v>5</v>
      </c>
      <c r="H74" s="3934">
        <v>2</v>
      </c>
      <c r="I74" s="3932">
        <f>SUM(G74:H74)</f>
        <v>7</v>
      </c>
    </row>
    <row r="75" spans="1:9" x14ac:dyDescent="0.2">
      <c r="A75" s="5957"/>
      <c r="B75" s="5945"/>
      <c r="C75" s="4657" t="s">
        <v>625</v>
      </c>
      <c r="D75" s="4658"/>
      <c r="E75" s="4662"/>
      <c r="F75" s="3932">
        <f>SUM(D75:E75)</f>
        <v>0</v>
      </c>
      <c r="G75" s="3930">
        <v>1</v>
      </c>
      <c r="H75" s="3934">
        <v>1</v>
      </c>
      <c r="I75" s="3932">
        <f>SUM(G75:H75)</f>
        <v>2</v>
      </c>
    </row>
    <row r="76" spans="1:9" x14ac:dyDescent="0.2">
      <c r="A76" s="5957"/>
      <c r="B76" s="5945"/>
      <c r="C76" s="4661" t="s">
        <v>160</v>
      </c>
      <c r="D76" s="3940">
        <f>SUM(D74:D75)</f>
        <v>0</v>
      </c>
      <c r="E76" s="3941">
        <f>SUM(E74:E75)</f>
        <v>1</v>
      </c>
      <c r="F76" s="3937">
        <f>SUM(F74:F75)</f>
        <v>1</v>
      </c>
      <c r="G76" s="3938">
        <f>SUM(G74:G75)</f>
        <v>6</v>
      </c>
      <c r="H76" s="3939">
        <f t="shared" ref="H76:I76" si="32">SUM(H74:H75)</f>
        <v>3</v>
      </c>
      <c r="I76" s="3936">
        <f t="shared" si="32"/>
        <v>9</v>
      </c>
    </row>
    <row r="77" spans="1:9" ht="15" customHeight="1" x14ac:dyDescent="0.2">
      <c r="A77" s="5958"/>
      <c r="B77" s="5959" t="s">
        <v>450</v>
      </c>
      <c r="C77" s="5960"/>
      <c r="D77" s="4677">
        <f t="shared" ref="D77:I77" si="33">D76+D73+D71</f>
        <v>5</v>
      </c>
      <c r="E77" s="4678">
        <f t="shared" si="33"/>
        <v>2</v>
      </c>
      <c r="F77" s="4679">
        <f t="shared" si="33"/>
        <v>7</v>
      </c>
      <c r="G77" s="3955">
        <f t="shared" si="33"/>
        <v>13</v>
      </c>
      <c r="H77" s="3956">
        <f t="shared" si="33"/>
        <v>3</v>
      </c>
      <c r="I77" s="3957">
        <f t="shared" si="33"/>
        <v>16</v>
      </c>
    </row>
    <row r="78" spans="1:9" x14ac:dyDescent="0.2">
      <c r="A78" s="5961" t="s">
        <v>448</v>
      </c>
      <c r="B78" s="5945" t="s">
        <v>6</v>
      </c>
      <c r="C78" s="4654" t="s">
        <v>462</v>
      </c>
      <c r="D78" s="4655"/>
      <c r="E78" s="4680">
        <v>1</v>
      </c>
      <c r="F78" s="3927">
        <f t="shared" ref="F78:F83" si="34">SUM(D78:E78)</f>
        <v>1</v>
      </c>
      <c r="G78" s="3925">
        <v>3</v>
      </c>
      <c r="H78" s="3928">
        <v>3</v>
      </c>
      <c r="I78" s="3927">
        <f t="shared" ref="I78:I83" si="35">SUM(G78:H78)</f>
        <v>6</v>
      </c>
    </row>
    <row r="79" spans="1:9" x14ac:dyDescent="0.2">
      <c r="A79" s="5961"/>
      <c r="B79" s="5945"/>
      <c r="C79" s="4657" t="s">
        <v>490</v>
      </c>
      <c r="D79" s="4658">
        <v>5</v>
      </c>
      <c r="E79" s="4662">
        <v>3</v>
      </c>
      <c r="F79" s="3932">
        <f t="shared" si="34"/>
        <v>8</v>
      </c>
      <c r="G79" s="3930">
        <v>23</v>
      </c>
      <c r="H79" s="3934">
        <v>11</v>
      </c>
      <c r="I79" s="3932">
        <f t="shared" si="35"/>
        <v>34</v>
      </c>
    </row>
    <row r="80" spans="1:9" x14ac:dyDescent="0.2">
      <c r="A80" s="5961"/>
      <c r="B80" s="5945"/>
      <c r="C80" s="4657" t="s">
        <v>464</v>
      </c>
      <c r="D80" s="4658"/>
      <c r="E80" s="4662"/>
      <c r="F80" s="3932">
        <f t="shared" si="34"/>
        <v>0</v>
      </c>
      <c r="G80" s="3930">
        <v>1</v>
      </c>
      <c r="H80" s="3934">
        <v>3</v>
      </c>
      <c r="I80" s="3932">
        <f t="shared" si="35"/>
        <v>4</v>
      </c>
    </row>
    <row r="81" spans="1:9" s="3919" customFormat="1" x14ac:dyDescent="0.2">
      <c r="A81" s="5961"/>
      <c r="B81" s="5945"/>
      <c r="C81" s="4657" t="s">
        <v>492</v>
      </c>
      <c r="D81" s="4658">
        <v>1</v>
      </c>
      <c r="E81" s="4662">
        <v>1</v>
      </c>
      <c r="F81" s="3932">
        <f t="shared" si="34"/>
        <v>2</v>
      </c>
      <c r="G81" s="3930">
        <v>3</v>
      </c>
      <c r="H81" s="3934">
        <v>1</v>
      </c>
      <c r="I81" s="3932">
        <f t="shared" si="35"/>
        <v>4</v>
      </c>
    </row>
    <row r="82" spans="1:9" x14ac:dyDescent="0.2">
      <c r="A82" s="5961"/>
      <c r="B82" s="5945"/>
      <c r="C82" s="4657" t="s">
        <v>491</v>
      </c>
      <c r="D82" s="4658">
        <v>4</v>
      </c>
      <c r="E82" s="4662">
        <v>3</v>
      </c>
      <c r="F82" s="3932">
        <f t="shared" si="34"/>
        <v>7</v>
      </c>
      <c r="G82" s="3930">
        <v>16</v>
      </c>
      <c r="H82" s="3934">
        <v>9</v>
      </c>
      <c r="I82" s="3932">
        <f t="shared" si="35"/>
        <v>25</v>
      </c>
    </row>
    <row r="83" spans="1:9" x14ac:dyDescent="0.2">
      <c r="A83" s="5961"/>
      <c r="B83" s="5945"/>
      <c r="C83" s="4657" t="s">
        <v>465</v>
      </c>
      <c r="D83" s="4658"/>
      <c r="E83" s="4662">
        <v>1</v>
      </c>
      <c r="F83" s="3932">
        <f t="shared" si="34"/>
        <v>1</v>
      </c>
      <c r="G83" s="3930">
        <v>8</v>
      </c>
      <c r="H83" s="3934">
        <v>5</v>
      </c>
      <c r="I83" s="3932">
        <f t="shared" si="35"/>
        <v>13</v>
      </c>
    </row>
    <row r="84" spans="1:9" ht="15" customHeight="1" x14ac:dyDescent="0.2">
      <c r="A84" s="5961"/>
      <c r="B84" s="5945"/>
      <c r="C84" s="4661" t="s">
        <v>160</v>
      </c>
      <c r="D84" s="3938">
        <f t="shared" ref="D84:I84" si="36">SUM(D78:D83)</f>
        <v>10</v>
      </c>
      <c r="E84" s="3939">
        <f t="shared" si="36"/>
        <v>9</v>
      </c>
      <c r="F84" s="3936">
        <f t="shared" si="36"/>
        <v>19</v>
      </c>
      <c r="G84" s="3938">
        <f t="shared" si="36"/>
        <v>54</v>
      </c>
      <c r="H84" s="3939">
        <f t="shared" si="36"/>
        <v>32</v>
      </c>
      <c r="I84" s="3936">
        <f t="shared" si="36"/>
        <v>86</v>
      </c>
    </row>
    <row r="85" spans="1:9" x14ac:dyDescent="0.2">
      <c r="A85" s="5961"/>
      <c r="B85" s="5945" t="s">
        <v>11</v>
      </c>
      <c r="C85" s="4657" t="s">
        <v>497</v>
      </c>
      <c r="D85" s="4658">
        <v>4</v>
      </c>
      <c r="E85" s="4662">
        <v>5</v>
      </c>
      <c r="F85" s="3932">
        <f t="shared" ref="F85:F92" si="37">SUM(D85:E85)</f>
        <v>9</v>
      </c>
      <c r="G85" s="3930">
        <v>1</v>
      </c>
      <c r="H85" s="3934"/>
      <c r="I85" s="3932">
        <f t="shared" ref="I85:I92" si="38">SUM(G85:H85)</f>
        <v>1</v>
      </c>
    </row>
    <row r="86" spans="1:9" x14ac:dyDescent="0.2">
      <c r="A86" s="5961"/>
      <c r="B86" s="5945"/>
      <c r="C86" s="4657" t="s">
        <v>484</v>
      </c>
      <c r="D86" s="4658">
        <v>3</v>
      </c>
      <c r="E86" s="4662">
        <v>2</v>
      </c>
      <c r="F86" s="3932">
        <f t="shared" si="37"/>
        <v>5</v>
      </c>
      <c r="G86" s="3930">
        <v>8</v>
      </c>
      <c r="H86" s="3934">
        <v>5</v>
      </c>
      <c r="I86" s="3932">
        <f t="shared" si="38"/>
        <v>13</v>
      </c>
    </row>
    <row r="87" spans="1:9" ht="15" hidden="1" customHeight="1" x14ac:dyDescent="0.2">
      <c r="A87" s="5961"/>
      <c r="B87" s="5945"/>
      <c r="C87" s="4657" t="s">
        <v>493</v>
      </c>
      <c r="D87" s="4658"/>
      <c r="E87" s="4669"/>
      <c r="F87" s="3932">
        <f t="shared" si="37"/>
        <v>0</v>
      </c>
      <c r="G87" s="3930">
        <v>3</v>
      </c>
      <c r="H87" s="3935"/>
      <c r="I87" s="3932">
        <f t="shared" si="38"/>
        <v>3</v>
      </c>
    </row>
    <row r="88" spans="1:9" x14ac:dyDescent="0.2">
      <c r="A88" s="5961"/>
      <c r="B88" s="5945"/>
      <c r="C88" s="4657" t="s">
        <v>494</v>
      </c>
      <c r="D88" s="4658">
        <v>1</v>
      </c>
      <c r="E88" s="4669"/>
      <c r="F88" s="3932">
        <f t="shared" si="37"/>
        <v>1</v>
      </c>
      <c r="G88" s="3930">
        <v>3</v>
      </c>
      <c r="H88" s="3935"/>
      <c r="I88" s="3932">
        <f t="shared" si="38"/>
        <v>3</v>
      </c>
    </row>
    <row r="89" spans="1:9" x14ac:dyDescent="0.2">
      <c r="A89" s="5961"/>
      <c r="B89" s="5945"/>
      <c r="C89" s="4657" t="s">
        <v>498</v>
      </c>
      <c r="D89" s="4658">
        <v>4</v>
      </c>
      <c r="E89" s="4662">
        <v>2</v>
      </c>
      <c r="F89" s="3932">
        <f t="shared" si="37"/>
        <v>6</v>
      </c>
      <c r="G89" s="3930">
        <v>17</v>
      </c>
      <c r="H89" s="3934">
        <v>12</v>
      </c>
      <c r="I89" s="3932">
        <f t="shared" si="38"/>
        <v>29</v>
      </c>
    </row>
    <row r="90" spans="1:9" s="3919" customFormat="1" x14ac:dyDescent="0.2">
      <c r="A90" s="5961"/>
      <c r="B90" s="5945"/>
      <c r="C90" s="4657" t="s">
        <v>496</v>
      </c>
      <c r="D90" s="4658"/>
      <c r="E90" s="4669"/>
      <c r="F90" s="3932">
        <f t="shared" si="37"/>
        <v>0</v>
      </c>
      <c r="G90" s="3930">
        <v>4</v>
      </c>
      <c r="H90" s="3935">
        <v>1</v>
      </c>
      <c r="I90" s="3932">
        <f t="shared" si="38"/>
        <v>5</v>
      </c>
    </row>
    <row r="91" spans="1:9" x14ac:dyDescent="0.2">
      <c r="A91" s="5961"/>
      <c r="B91" s="5945"/>
      <c r="C91" s="4657" t="s">
        <v>499</v>
      </c>
      <c r="D91" s="4658">
        <v>1</v>
      </c>
      <c r="E91" s="4662"/>
      <c r="F91" s="3932">
        <f t="shared" si="37"/>
        <v>1</v>
      </c>
      <c r="G91" s="3930">
        <v>13</v>
      </c>
      <c r="H91" s="3934">
        <v>1</v>
      </c>
      <c r="I91" s="3932">
        <f t="shared" si="38"/>
        <v>14</v>
      </c>
    </row>
    <row r="92" spans="1:9" x14ac:dyDescent="0.2">
      <c r="A92" s="5961"/>
      <c r="B92" s="5945"/>
      <c r="C92" s="4657" t="s">
        <v>495</v>
      </c>
      <c r="D92" s="4658">
        <v>1</v>
      </c>
      <c r="E92" s="4662"/>
      <c r="F92" s="3932">
        <f t="shared" si="37"/>
        <v>1</v>
      </c>
      <c r="G92" s="3930">
        <v>10</v>
      </c>
      <c r="H92" s="3934">
        <v>8</v>
      </c>
      <c r="I92" s="3932">
        <f t="shared" si="38"/>
        <v>18</v>
      </c>
    </row>
    <row r="93" spans="1:9" x14ac:dyDescent="0.2">
      <c r="A93" s="5961"/>
      <c r="B93" s="5945"/>
      <c r="C93" s="4661" t="s">
        <v>160</v>
      </c>
      <c r="D93" s="3938">
        <f t="shared" ref="D93:I93" si="39">SUM(D85:D92)</f>
        <v>14</v>
      </c>
      <c r="E93" s="3939">
        <f t="shared" si="39"/>
        <v>9</v>
      </c>
      <c r="F93" s="3936">
        <f t="shared" si="39"/>
        <v>23</v>
      </c>
      <c r="G93" s="3938">
        <f t="shared" si="39"/>
        <v>59</v>
      </c>
      <c r="H93" s="3939">
        <f t="shared" si="39"/>
        <v>27</v>
      </c>
      <c r="I93" s="3936">
        <f t="shared" si="39"/>
        <v>86</v>
      </c>
    </row>
    <row r="94" spans="1:9" ht="15" hidden="1" customHeight="1" x14ac:dyDescent="0.2">
      <c r="A94" s="5961"/>
      <c r="B94" s="5945" t="s">
        <v>7</v>
      </c>
      <c r="C94" s="4657" t="s">
        <v>466</v>
      </c>
      <c r="D94" s="4658"/>
      <c r="E94" s="4662">
        <v>2</v>
      </c>
      <c r="F94" s="3932">
        <f t="shared" ref="F94:F97" si="40">SUM(D94:E94)</f>
        <v>2</v>
      </c>
      <c r="G94" s="3930">
        <v>7</v>
      </c>
      <c r="H94" s="3934">
        <v>3</v>
      </c>
      <c r="I94" s="3932">
        <f t="shared" ref="I94:I97" si="41">SUM(G94:H94)</f>
        <v>10</v>
      </c>
    </row>
    <row r="95" spans="1:9" s="3919" customFormat="1" x14ac:dyDescent="0.2">
      <c r="A95" s="5961"/>
      <c r="B95" s="5945"/>
      <c r="C95" s="4657" t="s">
        <v>467</v>
      </c>
      <c r="D95" s="4658"/>
      <c r="E95" s="4662">
        <v>1</v>
      </c>
      <c r="F95" s="3932">
        <f t="shared" si="40"/>
        <v>1</v>
      </c>
      <c r="G95" s="3930">
        <v>7</v>
      </c>
      <c r="H95" s="3934">
        <v>7</v>
      </c>
      <c r="I95" s="3932">
        <f t="shared" si="41"/>
        <v>14</v>
      </c>
    </row>
    <row r="96" spans="1:9" s="3919" customFormat="1" x14ac:dyDescent="0.2">
      <c r="A96" s="5961"/>
      <c r="B96" s="5945"/>
      <c r="C96" s="4657" t="s">
        <v>468</v>
      </c>
      <c r="D96" s="4658">
        <v>2</v>
      </c>
      <c r="E96" s="4662">
        <v>1</v>
      </c>
      <c r="F96" s="3932">
        <f t="shared" si="40"/>
        <v>3</v>
      </c>
      <c r="G96" s="3930">
        <v>12</v>
      </c>
      <c r="H96" s="3934">
        <v>3</v>
      </c>
      <c r="I96" s="3932">
        <f t="shared" si="41"/>
        <v>15</v>
      </c>
    </row>
    <row r="97" spans="1:9" s="3919" customFormat="1" x14ac:dyDescent="0.2">
      <c r="A97" s="5961"/>
      <c r="B97" s="5945"/>
      <c r="C97" s="4657" t="s">
        <v>500</v>
      </c>
      <c r="D97" s="4658"/>
      <c r="E97" s="4669"/>
      <c r="F97" s="3932">
        <f t="shared" si="40"/>
        <v>0</v>
      </c>
      <c r="G97" s="3930"/>
      <c r="H97" s="3935">
        <v>3</v>
      </c>
      <c r="I97" s="3932">
        <f t="shared" si="41"/>
        <v>3</v>
      </c>
    </row>
    <row r="98" spans="1:9" x14ac:dyDescent="0.2">
      <c r="A98" s="5961"/>
      <c r="B98" s="5950"/>
      <c r="C98" s="4661" t="s">
        <v>160</v>
      </c>
      <c r="D98" s="3961">
        <f t="shared" ref="D98:I98" si="42">SUM(D94:D97)</f>
        <v>2</v>
      </c>
      <c r="E98" s="3962">
        <f t="shared" si="42"/>
        <v>4</v>
      </c>
      <c r="F98" s="3963">
        <f t="shared" si="42"/>
        <v>6</v>
      </c>
      <c r="G98" s="3961">
        <f t="shared" si="42"/>
        <v>26</v>
      </c>
      <c r="H98" s="3962">
        <f t="shared" si="42"/>
        <v>16</v>
      </c>
      <c r="I98" s="3963">
        <f t="shared" si="42"/>
        <v>42</v>
      </c>
    </row>
    <row r="99" spans="1:9" x14ac:dyDescent="0.2">
      <c r="A99" s="5962"/>
      <c r="B99" s="5963" t="s">
        <v>450</v>
      </c>
      <c r="C99" s="5964"/>
      <c r="D99" s="4681">
        <f t="shared" ref="D99:I99" si="43">D98+D93+D84</f>
        <v>26</v>
      </c>
      <c r="E99" s="4682">
        <f t="shared" si="43"/>
        <v>22</v>
      </c>
      <c r="F99" s="4683">
        <f t="shared" si="43"/>
        <v>48</v>
      </c>
      <c r="G99" s="3958">
        <f t="shared" si="43"/>
        <v>139</v>
      </c>
      <c r="H99" s="3959">
        <f t="shared" si="43"/>
        <v>75</v>
      </c>
      <c r="I99" s="3960">
        <f t="shared" si="43"/>
        <v>214</v>
      </c>
    </row>
    <row r="100" spans="1:9" x14ac:dyDescent="0.2">
      <c r="A100" s="3919"/>
      <c r="B100" s="3919"/>
      <c r="C100" s="3919"/>
      <c r="D100" s="3919"/>
      <c r="E100" s="3919"/>
      <c r="F100" s="3919"/>
      <c r="G100" s="3919"/>
      <c r="H100" s="3919"/>
      <c r="I100" s="3919"/>
    </row>
    <row r="101" spans="1:9" x14ac:dyDescent="0.2">
      <c r="A101" s="5935" t="s">
        <v>76</v>
      </c>
      <c r="B101" s="5936"/>
      <c r="C101" s="5937"/>
      <c r="D101" s="4684">
        <f t="shared" ref="D101:I101" si="44">D99+D77+D69+D39+D25</f>
        <v>142</v>
      </c>
      <c r="E101" s="4685">
        <f t="shared" si="44"/>
        <v>120</v>
      </c>
      <c r="F101" s="4686">
        <f t="shared" si="44"/>
        <v>262</v>
      </c>
      <c r="G101" s="3951">
        <f t="shared" si="44"/>
        <v>400</v>
      </c>
      <c r="H101" s="3952">
        <f t="shared" si="44"/>
        <v>267</v>
      </c>
      <c r="I101" s="3921">
        <f t="shared" si="44"/>
        <v>667</v>
      </c>
    </row>
  </sheetData>
  <mergeCells count="31">
    <mergeCell ref="B69:C69"/>
    <mergeCell ref="B40:B49"/>
    <mergeCell ref="B50:B61"/>
    <mergeCell ref="B62:B68"/>
    <mergeCell ref="G3:I3"/>
    <mergeCell ref="A78:A99"/>
    <mergeCell ref="B78:B84"/>
    <mergeCell ref="B85:B93"/>
    <mergeCell ref="B94:B98"/>
    <mergeCell ref="B99:C99"/>
    <mergeCell ref="A70:A77"/>
    <mergeCell ref="B70:B71"/>
    <mergeCell ref="B72:B73"/>
    <mergeCell ref="B74:B76"/>
    <mergeCell ref="B77:C77"/>
    <mergeCell ref="A3:A4"/>
    <mergeCell ref="B3:B4"/>
    <mergeCell ref="C3:C4"/>
    <mergeCell ref="A101:C101"/>
    <mergeCell ref="D3:F3"/>
    <mergeCell ref="A5:A25"/>
    <mergeCell ref="B5:B15"/>
    <mergeCell ref="B16:B20"/>
    <mergeCell ref="B21:B24"/>
    <mergeCell ref="B25:C25"/>
    <mergeCell ref="A26:A39"/>
    <mergeCell ref="B26:B29"/>
    <mergeCell ref="B30:B34"/>
    <mergeCell ref="B35:B38"/>
    <mergeCell ref="B39:C39"/>
    <mergeCell ref="A40:A69"/>
  </mergeCells>
  <printOptions horizontalCentered="1" verticalCentered="1"/>
  <pageMargins left="0.74803149606299213" right="0.74803149606299213" top="0.39370078740157483" bottom="0.39370078740157483" header="0.51181102362204722" footer="0.51181102362204722"/>
  <pageSetup scale="59" orientation="landscape" horizontalDpi="4294967292" verticalDpi="4294967292" r:id="rId1"/>
  <rowBreaks count="1" manualBreakCount="1">
    <brk id="37" max="16383" man="1"/>
  </rowBreaks>
  <ignoredErrors>
    <ignoredError sqref="I15:I20 I49:I61 I71:I73 I84:I93 I31 I29 F15:F20 F34 F61 F71:F73 I34" formula="1"/>
  </ignoredError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A1:H37"/>
  <sheetViews>
    <sheetView showGridLines="0" workbookViewId="0">
      <selection activeCell="L23" sqref="L23"/>
    </sheetView>
  </sheetViews>
  <sheetFormatPr baseColWidth="10" defaultRowHeight="15" x14ac:dyDescent="0.25"/>
  <cols>
    <col min="1" max="1" width="15" style="251" bestFit="1" customWidth="1"/>
    <col min="2" max="2" width="11.42578125" style="251"/>
    <col min="3" max="5" width="11.42578125" style="251" customWidth="1"/>
    <col min="6" max="16384" width="11.42578125" style="251"/>
  </cols>
  <sheetData>
    <row r="1" spans="1:8" ht="18.75" x14ac:dyDescent="0.3">
      <c r="A1" s="4144" t="s">
        <v>1324</v>
      </c>
    </row>
    <row r="3" spans="1:8" x14ac:dyDescent="0.25">
      <c r="A3" s="5992" t="s">
        <v>16</v>
      </c>
      <c r="B3" s="5992" t="s">
        <v>4</v>
      </c>
      <c r="C3" s="5971">
        <v>2014</v>
      </c>
      <c r="D3" s="5972"/>
      <c r="E3" s="5973"/>
      <c r="F3" s="5971">
        <v>2015</v>
      </c>
      <c r="G3" s="5972"/>
      <c r="H3" s="5973"/>
    </row>
    <row r="4" spans="1:8" x14ac:dyDescent="0.25">
      <c r="A4" s="5993"/>
      <c r="B4" s="5993"/>
      <c r="C4" s="3906" t="s">
        <v>1347</v>
      </c>
      <c r="D4" s="3906" t="s">
        <v>676</v>
      </c>
      <c r="E4" s="3909" t="s">
        <v>160</v>
      </c>
      <c r="F4" s="3906" t="s">
        <v>1347</v>
      </c>
      <c r="G4" s="3906" t="s">
        <v>676</v>
      </c>
      <c r="H4" s="3909" t="s">
        <v>160</v>
      </c>
    </row>
    <row r="5" spans="1:8" x14ac:dyDescent="0.25">
      <c r="A5" s="3895"/>
      <c r="B5" s="3895"/>
      <c r="C5" s="3895"/>
      <c r="D5" s="3895"/>
      <c r="E5" s="3895"/>
      <c r="F5" s="3895"/>
      <c r="G5" s="3895"/>
      <c r="H5" s="3895"/>
    </row>
    <row r="6" spans="1:8" x14ac:dyDescent="0.25">
      <c r="A6" s="5989" t="s">
        <v>3</v>
      </c>
      <c r="B6" s="3896" t="s">
        <v>5</v>
      </c>
      <c r="C6" s="3897">
        <f>+'5 Lenguas Ext plan'!D15</f>
        <v>7</v>
      </c>
      <c r="D6" s="3898">
        <f>+'5 Lenguas Ext plan'!E15</f>
        <v>15</v>
      </c>
      <c r="E6" s="3898">
        <f>+'5 Lenguas Ext plan'!F15</f>
        <v>22</v>
      </c>
      <c r="F6" s="3897">
        <f>+'5 Lenguas Ext plan'!G15</f>
        <v>34</v>
      </c>
      <c r="G6" s="3898">
        <f>+'5 Lenguas Ext plan'!H15</f>
        <v>42</v>
      </c>
      <c r="H6" s="3898">
        <f>+'5 Lenguas Ext plan'!I15</f>
        <v>76</v>
      </c>
    </row>
    <row r="7" spans="1:8" x14ac:dyDescent="0.25">
      <c r="A7" s="5990"/>
      <c r="B7" s="3899" t="s">
        <v>6</v>
      </c>
      <c r="C7" s="3900">
        <f>+'5 Lenguas Ext plan'!D20</f>
        <v>45</v>
      </c>
      <c r="D7" s="3901">
        <f>+'5 Lenguas Ext plan'!E20</f>
        <v>27</v>
      </c>
      <c r="E7" s="3901">
        <f>+'5 Lenguas Ext plan'!F20</f>
        <v>72</v>
      </c>
      <c r="F7" s="3900">
        <f>+'5 Lenguas Ext plan'!G20</f>
        <v>48</v>
      </c>
      <c r="G7" s="3901">
        <f>+'5 Lenguas Ext plan'!H20</f>
        <v>26</v>
      </c>
      <c r="H7" s="3901">
        <f>+'5 Lenguas Ext plan'!I20</f>
        <v>74</v>
      </c>
    </row>
    <row r="8" spans="1:8" x14ac:dyDescent="0.25">
      <c r="A8" s="5990"/>
      <c r="B8" s="3899" t="s">
        <v>7</v>
      </c>
      <c r="C8" s="3900">
        <f>+'5 Lenguas Ext plan'!D24</f>
        <v>8</v>
      </c>
      <c r="D8" s="3901">
        <f>+'5 Lenguas Ext plan'!E24</f>
        <v>7</v>
      </c>
      <c r="E8" s="3901">
        <f>+'5 Lenguas Ext plan'!F24</f>
        <v>15</v>
      </c>
      <c r="F8" s="3900">
        <f>+'5 Lenguas Ext plan'!G24</f>
        <v>45</v>
      </c>
      <c r="G8" s="3901">
        <f>+'5 Lenguas Ext plan'!H24</f>
        <v>22</v>
      </c>
      <c r="H8" s="3901">
        <f>+'5 Lenguas Ext plan'!I24</f>
        <v>67</v>
      </c>
    </row>
    <row r="9" spans="1:8" x14ac:dyDescent="0.25">
      <c r="A9" s="5991"/>
      <c r="B9" s="2749" t="s">
        <v>160</v>
      </c>
      <c r="C9" s="2750">
        <f t="shared" ref="C9:H9" si="0">SUM(C6:C8)</f>
        <v>60</v>
      </c>
      <c r="D9" s="2751">
        <f t="shared" si="0"/>
        <v>49</v>
      </c>
      <c r="E9" s="2751">
        <f t="shared" si="0"/>
        <v>109</v>
      </c>
      <c r="F9" s="2750">
        <f t="shared" si="0"/>
        <v>127</v>
      </c>
      <c r="G9" s="2751">
        <f t="shared" si="0"/>
        <v>90</v>
      </c>
      <c r="H9" s="2751">
        <f t="shared" si="0"/>
        <v>217</v>
      </c>
    </row>
    <row r="10" spans="1:8" x14ac:dyDescent="0.25">
      <c r="A10" s="3902"/>
      <c r="B10" s="3902"/>
      <c r="C10" s="3902"/>
      <c r="D10" s="3902"/>
      <c r="F10" s="3902"/>
      <c r="G10" s="3902"/>
    </row>
    <row r="11" spans="1:8" x14ac:dyDescent="0.25">
      <c r="A11" s="5974" t="s">
        <v>8</v>
      </c>
      <c r="B11" s="4595" t="s">
        <v>9</v>
      </c>
      <c r="C11" s="3897">
        <f>+'5 Lenguas Ext plan'!D29</f>
        <v>17</v>
      </c>
      <c r="D11" s="3898">
        <f>+'5 Lenguas Ext plan'!E29</f>
        <v>12</v>
      </c>
      <c r="E11" s="3898">
        <f>+'5 Lenguas Ext plan'!F29</f>
        <v>29</v>
      </c>
      <c r="F11" s="3897">
        <f>+'5 Lenguas Ext plan'!G29</f>
        <v>27</v>
      </c>
      <c r="G11" s="3898">
        <f>+'5 Lenguas Ext plan'!H29</f>
        <v>13</v>
      </c>
      <c r="H11" s="3898">
        <f>+'5 Lenguas Ext plan'!I29</f>
        <v>40</v>
      </c>
    </row>
    <row r="12" spans="1:8" x14ac:dyDescent="0.25">
      <c r="A12" s="5975"/>
      <c r="B12" s="4596" t="s">
        <v>74</v>
      </c>
      <c r="C12" s="3900">
        <f>+'5 Lenguas Ext plan'!D34</f>
        <v>6</v>
      </c>
      <c r="D12" s="3901">
        <f>+'5 Lenguas Ext plan'!E34</f>
        <v>7</v>
      </c>
      <c r="E12" s="3901">
        <f>+'5 Lenguas Ext plan'!F34</f>
        <v>13</v>
      </c>
      <c r="F12" s="3900">
        <f>+'5 Lenguas Ext plan'!G34</f>
        <v>4</v>
      </c>
      <c r="G12" s="3901">
        <f>+'5 Lenguas Ext plan'!H34</f>
        <v>7</v>
      </c>
      <c r="H12" s="3901">
        <f>+'5 Lenguas Ext plan'!I34</f>
        <v>11</v>
      </c>
    </row>
    <row r="13" spans="1:8" x14ac:dyDescent="0.25">
      <c r="A13" s="5975"/>
      <c r="B13" s="4596" t="s">
        <v>6</v>
      </c>
      <c r="C13" s="3900">
        <f>+'5 Lenguas Ext plan'!D38</f>
        <v>9</v>
      </c>
      <c r="D13" s="3901">
        <f>+'5 Lenguas Ext plan'!E38</f>
        <v>8</v>
      </c>
      <c r="E13" s="3901">
        <f>+'5 Lenguas Ext plan'!F38</f>
        <v>17</v>
      </c>
      <c r="F13" s="3900">
        <f>+'5 Lenguas Ext plan'!G38</f>
        <v>9</v>
      </c>
      <c r="G13" s="3901">
        <f>+'5 Lenguas Ext plan'!H38</f>
        <v>5</v>
      </c>
      <c r="H13" s="3901">
        <f>+'5 Lenguas Ext plan'!I38</f>
        <v>14</v>
      </c>
    </row>
    <row r="14" spans="1:8" x14ac:dyDescent="0.25">
      <c r="A14" s="5976"/>
      <c r="B14" s="2746" t="s">
        <v>160</v>
      </c>
      <c r="C14" s="2747">
        <f t="shared" ref="C14:H14" si="1">SUM(C11:C13)</f>
        <v>32</v>
      </c>
      <c r="D14" s="2748">
        <f t="shared" si="1"/>
        <v>27</v>
      </c>
      <c r="E14" s="2746">
        <f t="shared" si="1"/>
        <v>59</v>
      </c>
      <c r="F14" s="2747">
        <f t="shared" si="1"/>
        <v>40</v>
      </c>
      <c r="G14" s="2748">
        <f t="shared" si="1"/>
        <v>25</v>
      </c>
      <c r="H14" s="2746">
        <f t="shared" si="1"/>
        <v>65</v>
      </c>
    </row>
    <row r="15" spans="1:8" x14ac:dyDescent="0.25">
      <c r="A15" s="3895"/>
      <c r="B15" s="3895"/>
      <c r="C15" s="3903"/>
      <c r="D15" s="3903"/>
      <c r="F15" s="3903"/>
      <c r="G15" s="3903"/>
    </row>
    <row r="16" spans="1:8" x14ac:dyDescent="0.25">
      <c r="A16" s="5977" t="s">
        <v>75</v>
      </c>
      <c r="B16" s="3896" t="s">
        <v>5</v>
      </c>
      <c r="C16" s="3897">
        <f>+'5 Lenguas Ext plan'!D49</f>
        <v>4</v>
      </c>
      <c r="D16" s="3898">
        <f>+'5 Lenguas Ext plan'!E49</f>
        <v>7</v>
      </c>
      <c r="E16" s="3898">
        <f>+'5 Lenguas Ext plan'!F49</f>
        <v>11</v>
      </c>
      <c r="F16" s="3897">
        <f>+'5 Lenguas Ext plan'!G49</f>
        <v>10</v>
      </c>
      <c r="G16" s="3898">
        <f>+'5 Lenguas Ext plan'!H49</f>
        <v>18</v>
      </c>
      <c r="H16" s="3898">
        <f>+'5 Lenguas Ext plan'!I49</f>
        <v>28</v>
      </c>
    </row>
    <row r="17" spans="1:8" x14ac:dyDescent="0.25">
      <c r="A17" s="5978"/>
      <c r="B17" s="3899" t="s">
        <v>6</v>
      </c>
      <c r="C17" s="3900">
        <f>+'5 Lenguas Ext plan'!D61</f>
        <v>10</v>
      </c>
      <c r="D17" s="3901">
        <f>+'5 Lenguas Ext plan'!E61</f>
        <v>8</v>
      </c>
      <c r="E17" s="3901">
        <f>+'5 Lenguas Ext plan'!F61</f>
        <v>18</v>
      </c>
      <c r="F17" s="3900">
        <f>+'5 Lenguas Ext plan'!G61</f>
        <v>47</v>
      </c>
      <c r="G17" s="3901">
        <f>+'5 Lenguas Ext plan'!H61</f>
        <v>40</v>
      </c>
      <c r="H17" s="3901">
        <f>+'5 Lenguas Ext plan'!I61</f>
        <v>87</v>
      </c>
    </row>
    <row r="18" spans="1:8" x14ac:dyDescent="0.25">
      <c r="A18" s="5978"/>
      <c r="B18" s="3899" t="s">
        <v>11</v>
      </c>
      <c r="C18" s="3900">
        <f>+'5 Lenguas Ext plan'!D68</f>
        <v>5</v>
      </c>
      <c r="D18" s="3901">
        <f>+'5 Lenguas Ext plan'!E68</f>
        <v>5</v>
      </c>
      <c r="E18" s="3901">
        <f>+'5 Lenguas Ext plan'!F68</f>
        <v>10</v>
      </c>
      <c r="F18" s="3900">
        <f>+'5 Lenguas Ext plan'!G68</f>
        <v>24</v>
      </c>
      <c r="G18" s="3901">
        <f>+'5 Lenguas Ext plan'!H68</f>
        <v>16</v>
      </c>
      <c r="H18" s="3901">
        <f>+'5 Lenguas Ext plan'!I68</f>
        <v>40</v>
      </c>
    </row>
    <row r="19" spans="1:8" x14ac:dyDescent="0.25">
      <c r="A19" s="5979"/>
      <c r="B19" s="2743" t="s">
        <v>160</v>
      </c>
      <c r="C19" s="2744">
        <f t="shared" ref="C19:H19" si="2">SUM(C16:C18)</f>
        <v>19</v>
      </c>
      <c r="D19" s="2745">
        <f t="shared" si="2"/>
        <v>20</v>
      </c>
      <c r="E19" s="2745">
        <f t="shared" si="2"/>
        <v>39</v>
      </c>
      <c r="F19" s="2744">
        <f t="shared" si="2"/>
        <v>81</v>
      </c>
      <c r="G19" s="2745">
        <f t="shared" si="2"/>
        <v>74</v>
      </c>
      <c r="H19" s="2745">
        <f t="shared" si="2"/>
        <v>155</v>
      </c>
    </row>
    <row r="21" spans="1:8" x14ac:dyDescent="0.25">
      <c r="A21" s="5986" t="s">
        <v>326</v>
      </c>
      <c r="B21" s="4595" t="s">
        <v>11</v>
      </c>
      <c r="C21" s="3897">
        <f>+'5 Lenguas Ext plan'!D71</f>
        <v>4</v>
      </c>
      <c r="D21" s="3898">
        <f>+'5 Lenguas Ext plan'!E71</f>
        <v>0</v>
      </c>
      <c r="E21" s="3898">
        <f>+'5 Lenguas Ext plan'!F71</f>
        <v>4</v>
      </c>
      <c r="F21" s="3897">
        <f>+'5 Lenguas Ext plan'!G71</f>
        <v>5</v>
      </c>
      <c r="G21" s="3898">
        <f>+'5 Lenguas Ext plan'!H71</f>
        <v>0</v>
      </c>
      <c r="H21" s="3898">
        <f>+'5 Lenguas Ext plan'!I71</f>
        <v>5</v>
      </c>
    </row>
    <row r="22" spans="1:8" x14ac:dyDescent="0.25">
      <c r="A22" s="5987"/>
      <c r="B22" s="4596" t="s">
        <v>5</v>
      </c>
      <c r="C22" s="3900">
        <f>+'5 Lenguas Ext plan'!D73</f>
        <v>1</v>
      </c>
      <c r="D22" s="3901">
        <f>+'5 Lenguas Ext plan'!E73</f>
        <v>1</v>
      </c>
      <c r="E22" s="3901">
        <f>+'5 Lenguas Ext plan'!F73</f>
        <v>2</v>
      </c>
      <c r="F22" s="3900">
        <f>+'5 Lenguas Ext plan'!G73</f>
        <v>2</v>
      </c>
      <c r="G22" s="3901">
        <f>+'5 Lenguas Ext plan'!H73</f>
        <v>0</v>
      </c>
      <c r="H22" s="3901">
        <f>+'5 Lenguas Ext plan'!I73</f>
        <v>2</v>
      </c>
    </row>
    <row r="23" spans="1:8" x14ac:dyDescent="0.25">
      <c r="A23" s="5987"/>
      <c r="B23" s="4596" t="s">
        <v>6</v>
      </c>
      <c r="C23" s="3900">
        <f>+'5 Lenguas Ext plan'!D76</f>
        <v>0</v>
      </c>
      <c r="D23" s="3901">
        <f>+'5 Lenguas Ext plan'!E76</f>
        <v>1</v>
      </c>
      <c r="E23" s="3901">
        <f>+'5 Lenguas Ext plan'!F76</f>
        <v>1</v>
      </c>
      <c r="F23" s="3900">
        <f>+'5 Lenguas Ext plan'!G76</f>
        <v>6</v>
      </c>
      <c r="G23" s="3901">
        <f>+'5 Lenguas Ext plan'!H76</f>
        <v>3</v>
      </c>
      <c r="H23" s="3901">
        <f>+'5 Lenguas Ext plan'!I76</f>
        <v>9</v>
      </c>
    </row>
    <row r="24" spans="1:8" x14ac:dyDescent="0.25">
      <c r="A24" s="5988"/>
      <c r="B24" s="3911" t="s">
        <v>160</v>
      </c>
      <c r="C24" s="3912">
        <f t="shared" ref="C24:H24" si="3">SUM(C21:C23)</f>
        <v>5</v>
      </c>
      <c r="D24" s="3913">
        <f t="shared" si="3"/>
        <v>2</v>
      </c>
      <c r="E24" s="3913">
        <f t="shared" si="3"/>
        <v>7</v>
      </c>
      <c r="F24" s="3912">
        <f t="shared" si="3"/>
        <v>13</v>
      </c>
      <c r="G24" s="3913">
        <f t="shared" si="3"/>
        <v>3</v>
      </c>
      <c r="H24" s="3913">
        <f t="shared" si="3"/>
        <v>16</v>
      </c>
    </row>
    <row r="25" spans="1:8" x14ac:dyDescent="0.25">
      <c r="A25" s="1631"/>
      <c r="B25" s="3895"/>
      <c r="C25" s="3903"/>
      <c r="D25" s="3903"/>
      <c r="F25" s="3903"/>
      <c r="G25" s="3903"/>
    </row>
    <row r="26" spans="1:8" x14ac:dyDescent="0.25">
      <c r="A26" s="5980" t="s">
        <v>10</v>
      </c>
      <c r="B26" s="3896" t="s">
        <v>6</v>
      </c>
      <c r="C26" s="3897">
        <f>+'5 Lenguas Ext plan'!D84</f>
        <v>10</v>
      </c>
      <c r="D26" s="3898">
        <f>+'5 Lenguas Ext plan'!E84</f>
        <v>9</v>
      </c>
      <c r="E26" s="3898">
        <f>+'5 Lenguas Ext plan'!F84</f>
        <v>19</v>
      </c>
      <c r="F26" s="3897">
        <f>+'5 Lenguas Ext plan'!G84</f>
        <v>54</v>
      </c>
      <c r="G26" s="3898">
        <f>+'5 Lenguas Ext plan'!H84</f>
        <v>32</v>
      </c>
      <c r="H26" s="3898">
        <f>+'5 Lenguas Ext plan'!I84</f>
        <v>86</v>
      </c>
    </row>
    <row r="27" spans="1:8" x14ac:dyDescent="0.25">
      <c r="A27" s="5981"/>
      <c r="B27" s="3899" t="s">
        <v>11</v>
      </c>
      <c r="C27" s="3900">
        <f>+'5 Lenguas Ext plan'!D93</f>
        <v>14</v>
      </c>
      <c r="D27" s="3901">
        <f>+'5 Lenguas Ext plan'!E93</f>
        <v>9</v>
      </c>
      <c r="E27" s="3901">
        <f>+'5 Lenguas Ext plan'!F93</f>
        <v>23</v>
      </c>
      <c r="F27" s="3900">
        <f>+'5 Lenguas Ext plan'!G93</f>
        <v>59</v>
      </c>
      <c r="G27" s="3901">
        <f>+'5 Lenguas Ext plan'!H93</f>
        <v>27</v>
      </c>
      <c r="H27" s="3901">
        <f>+'5 Lenguas Ext plan'!I93</f>
        <v>86</v>
      </c>
    </row>
    <row r="28" spans="1:8" x14ac:dyDescent="0.25">
      <c r="A28" s="5981"/>
      <c r="B28" s="3899" t="s">
        <v>7</v>
      </c>
      <c r="C28" s="3900">
        <f>+'5 Lenguas Ext plan'!D98</f>
        <v>2</v>
      </c>
      <c r="D28" s="3901">
        <f>+'5 Lenguas Ext plan'!E98</f>
        <v>4</v>
      </c>
      <c r="E28" s="3901">
        <f>+'5 Lenguas Ext plan'!F98</f>
        <v>6</v>
      </c>
      <c r="F28" s="3900">
        <f>+'5 Lenguas Ext plan'!G98</f>
        <v>26</v>
      </c>
      <c r="G28" s="3901">
        <f>+'5 Lenguas Ext plan'!H98</f>
        <v>16</v>
      </c>
      <c r="H28" s="3901">
        <f>+'5 Lenguas Ext plan'!I98</f>
        <v>42</v>
      </c>
    </row>
    <row r="29" spans="1:8" x14ac:dyDescent="0.25">
      <c r="A29" s="5982"/>
      <c r="B29" s="2740" t="s">
        <v>160</v>
      </c>
      <c r="C29" s="2741">
        <f t="shared" ref="C29:H29" si="4">SUM(C26:C28)</f>
        <v>26</v>
      </c>
      <c r="D29" s="2742">
        <f t="shared" si="4"/>
        <v>22</v>
      </c>
      <c r="E29" s="2742">
        <f t="shared" si="4"/>
        <v>48</v>
      </c>
      <c r="F29" s="2741">
        <f t="shared" si="4"/>
        <v>139</v>
      </c>
      <c r="G29" s="2742">
        <f t="shared" si="4"/>
        <v>75</v>
      </c>
      <c r="H29" s="2742">
        <f t="shared" si="4"/>
        <v>214</v>
      </c>
    </row>
    <row r="30" spans="1:8" x14ac:dyDescent="0.25">
      <c r="A30" s="3895"/>
      <c r="B30" s="3895"/>
      <c r="C30" s="3903"/>
      <c r="D30" s="3903"/>
      <c r="E30" s="3903"/>
      <c r="F30" s="3903"/>
      <c r="G30" s="3903"/>
      <c r="H30" s="3903"/>
    </row>
    <row r="31" spans="1:8" x14ac:dyDescent="0.25">
      <c r="A31" s="5983" t="s">
        <v>60</v>
      </c>
      <c r="B31" s="3896" t="s">
        <v>5</v>
      </c>
      <c r="C31" s="3897">
        <f>SUM(C6,C16,C21)</f>
        <v>15</v>
      </c>
      <c r="D31" s="3898">
        <f t="shared" ref="D31:E31" si="5">SUM(D6,D16,D21)</f>
        <v>22</v>
      </c>
      <c r="E31" s="3896">
        <f t="shared" si="5"/>
        <v>37</v>
      </c>
      <c r="F31" s="3897">
        <f>SUM(F6,F16,F21)</f>
        <v>49</v>
      </c>
      <c r="G31" s="3898">
        <f t="shared" ref="G31:H31" si="6">SUM(G6,G16,G21)</f>
        <v>60</v>
      </c>
      <c r="H31" s="3896">
        <f t="shared" si="6"/>
        <v>109</v>
      </c>
    </row>
    <row r="32" spans="1:8" x14ac:dyDescent="0.25">
      <c r="A32" s="5984"/>
      <c r="B32" s="3899" t="s">
        <v>6</v>
      </c>
      <c r="C32" s="3900">
        <f>SUM(C7,C11,C17,C22,C26)</f>
        <v>83</v>
      </c>
      <c r="D32" s="3901">
        <f t="shared" ref="D32:E32" si="7">SUM(D7,D11,D17,D22,D26)</f>
        <v>57</v>
      </c>
      <c r="E32" s="3899">
        <f t="shared" si="7"/>
        <v>140</v>
      </c>
      <c r="F32" s="3900">
        <f>SUM(F7,F11,F17,F22,F26)</f>
        <v>178</v>
      </c>
      <c r="G32" s="3901">
        <f t="shared" ref="G32:H32" si="8">SUM(G7,G11,G17,G22,G26)</f>
        <v>111</v>
      </c>
      <c r="H32" s="3899">
        <f t="shared" si="8"/>
        <v>289</v>
      </c>
    </row>
    <row r="33" spans="1:8" x14ac:dyDescent="0.25">
      <c r="A33" s="5984"/>
      <c r="B33" s="3899" t="s">
        <v>11</v>
      </c>
      <c r="C33" s="3900">
        <f>SUM(C18,C23,C27)</f>
        <v>19</v>
      </c>
      <c r="D33" s="3901">
        <f t="shared" ref="D33:E33" si="9">SUM(D18,D23,D27)</f>
        <v>15</v>
      </c>
      <c r="E33" s="3899">
        <f t="shared" si="9"/>
        <v>34</v>
      </c>
      <c r="F33" s="3900">
        <f>SUM(F18,F23,F27)</f>
        <v>89</v>
      </c>
      <c r="G33" s="3901">
        <f t="shared" ref="G33:H33" si="10">SUM(G18,G23,G27)</f>
        <v>46</v>
      </c>
      <c r="H33" s="3899">
        <f t="shared" si="10"/>
        <v>135</v>
      </c>
    </row>
    <row r="34" spans="1:8" x14ac:dyDescent="0.25">
      <c r="A34" s="5984"/>
      <c r="B34" s="3899" t="s">
        <v>7</v>
      </c>
      <c r="C34" s="3900">
        <f>SUM(C8,C28)</f>
        <v>10</v>
      </c>
      <c r="D34" s="3901">
        <f t="shared" ref="D34:E34" si="11">SUM(D8,D28)</f>
        <v>11</v>
      </c>
      <c r="E34" s="3899">
        <f t="shared" si="11"/>
        <v>21</v>
      </c>
      <c r="F34" s="3900">
        <f>SUM(F8,F28)</f>
        <v>71</v>
      </c>
      <c r="G34" s="3901">
        <f t="shared" ref="G34:H34" si="12">SUM(G8,G28)</f>
        <v>38</v>
      </c>
      <c r="H34" s="3899">
        <f t="shared" si="12"/>
        <v>109</v>
      </c>
    </row>
    <row r="35" spans="1:8" x14ac:dyDescent="0.25">
      <c r="A35" s="5984"/>
      <c r="B35" s="3899" t="s">
        <v>9</v>
      </c>
      <c r="C35" s="3900">
        <f>SUM(C12)</f>
        <v>6</v>
      </c>
      <c r="D35" s="3901">
        <f t="shared" ref="D35:E35" si="13">SUM(D12)</f>
        <v>7</v>
      </c>
      <c r="E35" s="3899">
        <f t="shared" si="13"/>
        <v>13</v>
      </c>
      <c r="F35" s="3900">
        <f>SUM(F12)</f>
        <v>4</v>
      </c>
      <c r="G35" s="3901">
        <f t="shared" ref="G35:H35" si="14">SUM(G12)</f>
        <v>7</v>
      </c>
      <c r="H35" s="3899">
        <f t="shared" si="14"/>
        <v>11</v>
      </c>
    </row>
    <row r="36" spans="1:8" x14ac:dyDescent="0.25">
      <c r="A36" s="5984"/>
      <c r="B36" s="3899" t="s">
        <v>74</v>
      </c>
      <c r="C36" s="3904">
        <f>SUM(C13)</f>
        <v>9</v>
      </c>
      <c r="D36" s="3905">
        <f t="shared" ref="D36:E36" si="15">SUM(D13)</f>
        <v>8</v>
      </c>
      <c r="E36" s="3907">
        <f t="shared" si="15"/>
        <v>17</v>
      </c>
      <c r="F36" s="3904">
        <f>SUM(F13)</f>
        <v>9</v>
      </c>
      <c r="G36" s="3905">
        <f t="shared" ref="G36:H36" si="16">SUM(G13)</f>
        <v>5</v>
      </c>
      <c r="H36" s="3907">
        <f t="shared" si="16"/>
        <v>14</v>
      </c>
    </row>
    <row r="37" spans="1:8" x14ac:dyDescent="0.25">
      <c r="A37" s="5985"/>
      <c r="B37" s="1799" t="s">
        <v>160</v>
      </c>
      <c r="C37" s="1799">
        <f t="shared" ref="C37:E37" si="17">SUM(C31:C36)</f>
        <v>142</v>
      </c>
      <c r="D37" s="1800">
        <f t="shared" si="17"/>
        <v>120</v>
      </c>
      <c r="E37" s="3908">
        <f t="shared" si="17"/>
        <v>262</v>
      </c>
      <c r="F37" s="1799">
        <f t="shared" ref="F37:H37" si="18">SUM(F31:F36)</f>
        <v>400</v>
      </c>
      <c r="G37" s="1800">
        <f t="shared" si="18"/>
        <v>267</v>
      </c>
      <c r="H37" s="3908">
        <f t="shared" si="18"/>
        <v>667</v>
      </c>
    </row>
  </sheetData>
  <mergeCells count="10">
    <mergeCell ref="F3:H3"/>
    <mergeCell ref="A11:A14"/>
    <mergeCell ref="A16:A19"/>
    <mergeCell ref="A26:A29"/>
    <mergeCell ref="A31:A37"/>
    <mergeCell ref="C3:E3"/>
    <mergeCell ref="A21:A24"/>
    <mergeCell ref="A6:A9"/>
    <mergeCell ref="A3:A4"/>
    <mergeCell ref="B3:B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0" orientation="landscape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A1:I101"/>
  <sheetViews>
    <sheetView showGridLines="0" topLeftCell="A5" zoomScaleNormal="100" zoomScalePageLayoutView="125" workbookViewId="0">
      <selection activeCell="L20" sqref="L20"/>
    </sheetView>
  </sheetViews>
  <sheetFormatPr baseColWidth="10" defaultRowHeight="15" x14ac:dyDescent="0.25"/>
  <cols>
    <col min="1" max="1" width="12.42578125" style="3894" bestFit="1" customWidth="1"/>
    <col min="2" max="2" width="8.28515625" style="3894" customWidth="1"/>
    <col min="3" max="3" width="35.42578125" style="3894" bestFit="1" customWidth="1"/>
    <col min="4" max="4" width="8.85546875" style="3894" bestFit="1" customWidth="1"/>
    <col min="5" max="5" width="9.140625" style="3894" bestFit="1" customWidth="1"/>
    <col min="6" max="6" width="7.7109375" style="3894" customWidth="1"/>
    <col min="7" max="7" width="8.85546875" style="3917" bestFit="1" customWidth="1"/>
    <col min="8" max="8" width="8.42578125" style="3917" bestFit="1" customWidth="1"/>
    <col min="9" max="9" width="7.7109375" style="3917" customWidth="1"/>
    <col min="10" max="16384" width="11.42578125" style="3894"/>
  </cols>
  <sheetData>
    <row r="1" spans="1:9" ht="18.75" x14ac:dyDescent="0.25">
      <c r="A1" s="4145" t="s">
        <v>1344</v>
      </c>
      <c r="G1" s="3974"/>
    </row>
    <row r="3" spans="1:9" x14ac:dyDescent="0.25">
      <c r="A3" s="5996" t="s">
        <v>51</v>
      </c>
      <c r="B3" s="5996" t="s">
        <v>702</v>
      </c>
      <c r="C3" s="5997" t="s">
        <v>1346</v>
      </c>
      <c r="D3" s="5945">
        <v>2014</v>
      </c>
      <c r="E3" s="5945"/>
      <c r="F3" s="5950"/>
      <c r="G3" s="5994">
        <v>2015</v>
      </c>
      <c r="H3" s="5994"/>
      <c r="I3" s="5995"/>
    </row>
    <row r="4" spans="1:9" x14ac:dyDescent="0.25">
      <c r="A4" s="5996"/>
      <c r="B4" s="5996"/>
      <c r="C4" s="5998"/>
      <c r="D4" s="4858" t="s">
        <v>675</v>
      </c>
      <c r="E4" s="4858" t="s">
        <v>676</v>
      </c>
      <c r="F4" s="4687" t="s">
        <v>160</v>
      </c>
      <c r="G4" s="4859" t="s">
        <v>675</v>
      </c>
      <c r="H4" s="4859" t="s">
        <v>1348</v>
      </c>
      <c r="I4" s="3918" t="s">
        <v>160</v>
      </c>
    </row>
    <row r="5" spans="1:9" x14ac:dyDescent="0.25">
      <c r="A5" s="5942" t="s">
        <v>161</v>
      </c>
      <c r="B5" s="5945" t="s">
        <v>5</v>
      </c>
      <c r="C5" s="4654" t="s">
        <v>1326</v>
      </c>
      <c r="D5" s="4655">
        <v>2</v>
      </c>
      <c r="E5" s="4656">
        <v>1</v>
      </c>
      <c r="F5" s="3927">
        <f>SUM(D5:E5)</f>
        <v>3</v>
      </c>
      <c r="G5" s="3925">
        <v>10</v>
      </c>
      <c r="H5" s="3926">
        <v>4</v>
      </c>
      <c r="I5" s="3927">
        <f>SUM(G5:H5)</f>
        <v>14</v>
      </c>
    </row>
    <row r="6" spans="1:9" x14ac:dyDescent="0.25">
      <c r="A6" s="5942"/>
      <c r="B6" s="5945"/>
      <c r="C6" s="4657" t="s">
        <v>1327</v>
      </c>
      <c r="D6" s="4658">
        <v>0</v>
      </c>
      <c r="E6" s="4659">
        <v>1</v>
      </c>
      <c r="F6" s="3932">
        <f t="shared" ref="F6:F23" si="0">SUM(D6:E6)</f>
        <v>1</v>
      </c>
      <c r="G6" s="3930">
        <v>1</v>
      </c>
      <c r="H6" s="3931">
        <v>5</v>
      </c>
      <c r="I6" s="3932">
        <f t="shared" ref="I6:I23" si="1">SUM(G6:H6)</f>
        <v>6</v>
      </c>
    </row>
    <row r="7" spans="1:9" hidden="1" x14ac:dyDescent="0.25">
      <c r="A7" s="5942"/>
      <c r="B7" s="5945"/>
      <c r="C7" s="4657" t="s">
        <v>1328</v>
      </c>
      <c r="D7" s="4658">
        <v>0</v>
      </c>
      <c r="E7" s="4659">
        <v>1</v>
      </c>
      <c r="F7" s="3932">
        <f t="shared" si="0"/>
        <v>1</v>
      </c>
      <c r="G7" s="3930"/>
      <c r="H7" s="3931"/>
      <c r="I7" s="3932">
        <f t="shared" si="1"/>
        <v>0</v>
      </c>
    </row>
    <row r="8" spans="1:9" x14ac:dyDescent="0.25">
      <c r="A8" s="5942"/>
      <c r="B8" s="5945"/>
      <c r="C8" s="4657" t="s">
        <v>1329</v>
      </c>
      <c r="D8" s="4658">
        <v>0</v>
      </c>
      <c r="E8" s="4659">
        <v>2</v>
      </c>
      <c r="F8" s="3932">
        <f t="shared" si="0"/>
        <v>2</v>
      </c>
      <c r="G8" s="3930"/>
      <c r="H8" s="3931">
        <v>5</v>
      </c>
      <c r="I8" s="3932">
        <f t="shared" si="1"/>
        <v>5</v>
      </c>
    </row>
    <row r="9" spans="1:9" x14ac:dyDescent="0.25">
      <c r="A9" s="5942"/>
      <c r="B9" s="5945"/>
      <c r="C9" s="4657" t="s">
        <v>518</v>
      </c>
      <c r="D9" s="4658">
        <v>0</v>
      </c>
      <c r="E9" s="4659">
        <v>3</v>
      </c>
      <c r="F9" s="3932">
        <f t="shared" si="0"/>
        <v>3</v>
      </c>
      <c r="G9" s="3930"/>
      <c r="H9" s="3931">
        <v>1</v>
      </c>
      <c r="I9" s="3932">
        <f t="shared" si="1"/>
        <v>1</v>
      </c>
    </row>
    <row r="10" spans="1:9" x14ac:dyDescent="0.25">
      <c r="A10" s="5942"/>
      <c r="B10" s="5945"/>
      <c r="C10" s="4657" t="s">
        <v>1330</v>
      </c>
      <c r="D10" s="4658">
        <v>0</v>
      </c>
      <c r="E10" s="4659">
        <v>1</v>
      </c>
      <c r="F10" s="3932">
        <f t="shared" si="0"/>
        <v>1</v>
      </c>
      <c r="G10" s="3930">
        <v>2</v>
      </c>
      <c r="H10" s="3931">
        <v>4</v>
      </c>
      <c r="I10" s="3932">
        <f t="shared" si="1"/>
        <v>6</v>
      </c>
    </row>
    <row r="11" spans="1:9" x14ac:dyDescent="0.25">
      <c r="A11" s="5942"/>
      <c r="B11" s="5945"/>
      <c r="C11" s="4657" t="s">
        <v>1331</v>
      </c>
      <c r="D11" s="4658">
        <v>1</v>
      </c>
      <c r="E11" s="4660">
        <v>1</v>
      </c>
      <c r="F11" s="3932">
        <f t="shared" si="0"/>
        <v>2</v>
      </c>
      <c r="G11" s="3930">
        <v>6</v>
      </c>
      <c r="H11" s="3931">
        <v>4</v>
      </c>
      <c r="I11" s="3932">
        <f t="shared" si="1"/>
        <v>10</v>
      </c>
    </row>
    <row r="12" spans="1:9" x14ac:dyDescent="0.25">
      <c r="A12" s="5942"/>
      <c r="B12" s="5945"/>
      <c r="C12" s="4657" t="s">
        <v>1332</v>
      </c>
      <c r="D12" s="4658">
        <v>0</v>
      </c>
      <c r="E12" s="4659">
        <v>1</v>
      </c>
      <c r="F12" s="3932">
        <f t="shared" si="0"/>
        <v>1</v>
      </c>
      <c r="G12" s="3930"/>
      <c r="H12" s="3933">
        <v>6</v>
      </c>
      <c r="I12" s="3932">
        <f t="shared" si="1"/>
        <v>6</v>
      </c>
    </row>
    <row r="13" spans="1:9" x14ac:dyDescent="0.25">
      <c r="A13" s="5942"/>
      <c r="B13" s="5945"/>
      <c r="C13" s="4657" t="s">
        <v>1333</v>
      </c>
      <c r="D13" s="4658">
        <v>0</v>
      </c>
      <c r="E13" s="4659">
        <v>2</v>
      </c>
      <c r="F13" s="3932">
        <f t="shared" si="0"/>
        <v>2</v>
      </c>
      <c r="G13" s="3930"/>
      <c r="H13" s="3931">
        <v>1</v>
      </c>
      <c r="I13" s="3932">
        <f t="shared" si="1"/>
        <v>1</v>
      </c>
    </row>
    <row r="14" spans="1:9" x14ac:dyDescent="0.25">
      <c r="A14" s="5942"/>
      <c r="B14" s="5945"/>
      <c r="C14" s="4657" t="s">
        <v>1334</v>
      </c>
      <c r="D14" s="4658">
        <v>0</v>
      </c>
      <c r="E14" s="4660">
        <v>2</v>
      </c>
      <c r="F14" s="3932">
        <f t="shared" si="0"/>
        <v>2</v>
      </c>
      <c r="G14" s="3930">
        <v>1</v>
      </c>
      <c r="H14" s="3931"/>
      <c r="I14" s="3932">
        <f t="shared" si="1"/>
        <v>1</v>
      </c>
    </row>
    <row r="15" spans="1:9" x14ac:dyDescent="0.25">
      <c r="A15" s="5942"/>
      <c r="B15" s="5945" t="s">
        <v>1335</v>
      </c>
      <c r="C15" s="4661" t="s">
        <v>160</v>
      </c>
      <c r="D15" s="3938">
        <f>SUM(D5:D14)</f>
        <v>3</v>
      </c>
      <c r="E15" s="3939">
        <f>SUM(E5:E14)</f>
        <v>15</v>
      </c>
      <c r="F15" s="3936">
        <f t="shared" si="0"/>
        <v>18</v>
      </c>
      <c r="G15" s="3938">
        <f>SUM(G5:G14)</f>
        <v>20</v>
      </c>
      <c r="H15" s="3939">
        <f>SUM(H5:H14)</f>
        <v>30</v>
      </c>
      <c r="I15" s="3936">
        <f t="shared" si="1"/>
        <v>50</v>
      </c>
    </row>
    <row r="16" spans="1:9" x14ac:dyDescent="0.25">
      <c r="A16" s="5942"/>
      <c r="B16" s="5945" t="s">
        <v>6</v>
      </c>
      <c r="C16" s="4657" t="s">
        <v>462</v>
      </c>
      <c r="D16" s="4658">
        <v>0</v>
      </c>
      <c r="E16" s="4662">
        <v>1</v>
      </c>
      <c r="F16" s="3932">
        <f t="shared" si="0"/>
        <v>1</v>
      </c>
      <c r="G16" s="3930">
        <v>7</v>
      </c>
      <c r="H16" s="3934">
        <v>6</v>
      </c>
      <c r="I16" s="3932">
        <f t="shared" si="1"/>
        <v>13</v>
      </c>
    </row>
    <row r="17" spans="1:9" x14ac:dyDescent="0.25">
      <c r="A17" s="5942"/>
      <c r="B17" s="5945"/>
      <c r="C17" s="4657" t="s">
        <v>463</v>
      </c>
      <c r="D17" s="4658">
        <v>1</v>
      </c>
      <c r="E17" s="4662">
        <v>1</v>
      </c>
      <c r="F17" s="3932">
        <f t="shared" si="0"/>
        <v>2</v>
      </c>
      <c r="G17" s="3930">
        <v>13</v>
      </c>
      <c r="H17" s="3934">
        <v>5</v>
      </c>
      <c r="I17" s="3932">
        <f t="shared" si="1"/>
        <v>18</v>
      </c>
    </row>
    <row r="18" spans="1:9" x14ac:dyDescent="0.25">
      <c r="A18" s="5942"/>
      <c r="B18" s="5945"/>
      <c r="C18" s="4657" t="s">
        <v>464</v>
      </c>
      <c r="D18" s="4658">
        <v>2</v>
      </c>
      <c r="E18" s="4662">
        <v>0</v>
      </c>
      <c r="F18" s="3932">
        <f t="shared" si="0"/>
        <v>2</v>
      </c>
      <c r="G18" s="3930">
        <v>5</v>
      </c>
      <c r="H18" s="3934">
        <v>4</v>
      </c>
      <c r="I18" s="3932">
        <f t="shared" si="1"/>
        <v>9</v>
      </c>
    </row>
    <row r="19" spans="1:9" x14ac:dyDescent="0.25">
      <c r="A19" s="5942"/>
      <c r="B19" s="5945"/>
      <c r="C19" s="4657" t="s">
        <v>465</v>
      </c>
      <c r="D19" s="4658">
        <v>1</v>
      </c>
      <c r="E19" s="4662">
        <v>0</v>
      </c>
      <c r="F19" s="3932">
        <f t="shared" si="0"/>
        <v>1</v>
      </c>
      <c r="G19" s="3930">
        <v>13</v>
      </c>
      <c r="H19" s="3934">
        <v>6</v>
      </c>
      <c r="I19" s="3932">
        <f t="shared" si="1"/>
        <v>19</v>
      </c>
    </row>
    <row r="20" spans="1:9" ht="15" customHeight="1" x14ac:dyDescent="0.25">
      <c r="A20" s="5942"/>
      <c r="B20" s="5945" t="s">
        <v>1335</v>
      </c>
      <c r="C20" s="4661" t="s">
        <v>160</v>
      </c>
      <c r="D20" s="3938">
        <f t="shared" ref="D20:I20" si="2">SUM(D16:D19)</f>
        <v>4</v>
      </c>
      <c r="E20" s="3939">
        <f t="shared" si="2"/>
        <v>2</v>
      </c>
      <c r="F20" s="3936">
        <f t="shared" si="2"/>
        <v>6</v>
      </c>
      <c r="G20" s="3938">
        <f t="shared" si="2"/>
        <v>38</v>
      </c>
      <c r="H20" s="3939">
        <f t="shared" si="2"/>
        <v>21</v>
      </c>
      <c r="I20" s="3936">
        <f t="shared" si="2"/>
        <v>59</v>
      </c>
    </row>
    <row r="21" spans="1:9" x14ac:dyDescent="0.25">
      <c r="A21" s="5942"/>
      <c r="B21" s="5945" t="s">
        <v>7</v>
      </c>
      <c r="C21" s="4657" t="s">
        <v>466</v>
      </c>
      <c r="D21" s="4658">
        <v>0</v>
      </c>
      <c r="E21" s="4662">
        <v>0</v>
      </c>
      <c r="F21" s="3932">
        <f t="shared" si="0"/>
        <v>0</v>
      </c>
      <c r="G21" s="3930">
        <v>6</v>
      </c>
      <c r="H21" s="3934">
        <v>4</v>
      </c>
      <c r="I21" s="3932">
        <f t="shared" si="1"/>
        <v>10</v>
      </c>
    </row>
    <row r="22" spans="1:9" x14ac:dyDescent="0.25">
      <c r="A22" s="5942"/>
      <c r="B22" s="5945"/>
      <c r="C22" s="4657" t="s">
        <v>467</v>
      </c>
      <c r="D22" s="4658">
        <v>4</v>
      </c>
      <c r="E22" s="4662">
        <v>2</v>
      </c>
      <c r="F22" s="3932">
        <f t="shared" si="0"/>
        <v>6</v>
      </c>
      <c r="G22" s="3930">
        <v>10</v>
      </c>
      <c r="H22" s="3934">
        <v>8</v>
      </c>
      <c r="I22" s="3932">
        <f t="shared" si="1"/>
        <v>18</v>
      </c>
    </row>
    <row r="23" spans="1:9" x14ac:dyDescent="0.25">
      <c r="A23" s="5942"/>
      <c r="B23" s="5945"/>
      <c r="C23" s="4657" t="s">
        <v>468</v>
      </c>
      <c r="D23" s="4658">
        <v>3</v>
      </c>
      <c r="E23" s="4662">
        <v>3</v>
      </c>
      <c r="F23" s="3932">
        <f t="shared" si="0"/>
        <v>6</v>
      </c>
      <c r="G23" s="3930">
        <v>11</v>
      </c>
      <c r="H23" s="3934">
        <v>7</v>
      </c>
      <c r="I23" s="3932">
        <f t="shared" si="1"/>
        <v>18</v>
      </c>
    </row>
    <row r="24" spans="1:9" ht="15.75" customHeight="1" x14ac:dyDescent="0.25">
      <c r="A24" s="5942"/>
      <c r="B24" s="5945" t="s">
        <v>1335</v>
      </c>
      <c r="C24" s="4661" t="s">
        <v>160</v>
      </c>
      <c r="D24" s="3940">
        <f>SUM(D21:D23)</f>
        <v>7</v>
      </c>
      <c r="E24" s="3941">
        <f t="shared" ref="E24:F24" si="3">SUM(E21:E23)</f>
        <v>5</v>
      </c>
      <c r="F24" s="3937">
        <f t="shared" si="3"/>
        <v>12</v>
      </c>
      <c r="G24" s="3940">
        <f>SUM(G21:G23)</f>
        <v>27</v>
      </c>
      <c r="H24" s="3941">
        <f t="shared" ref="H24:I24" si="4">SUM(H21:H23)</f>
        <v>19</v>
      </c>
      <c r="I24" s="3937">
        <f t="shared" si="4"/>
        <v>46</v>
      </c>
    </row>
    <row r="25" spans="1:9" x14ac:dyDescent="0.25">
      <c r="A25" s="5943"/>
      <c r="B25" s="5946" t="s">
        <v>450</v>
      </c>
      <c r="C25" s="5947"/>
      <c r="D25" s="4663">
        <f>D24+D20+D15</f>
        <v>14</v>
      </c>
      <c r="E25" s="4664">
        <f t="shared" ref="E25:F25" si="5">E24+E20+E15</f>
        <v>22</v>
      </c>
      <c r="F25" s="4665">
        <f t="shared" si="5"/>
        <v>36</v>
      </c>
      <c r="G25" s="3942">
        <f>G24+G20+G15</f>
        <v>85</v>
      </c>
      <c r="H25" s="3943">
        <f t="shared" ref="H25:I25" si="6">H24+H20+H15</f>
        <v>70</v>
      </c>
      <c r="I25" s="3924">
        <f t="shared" si="6"/>
        <v>155</v>
      </c>
    </row>
    <row r="26" spans="1:9" x14ac:dyDescent="0.25">
      <c r="A26" s="5948" t="s">
        <v>410</v>
      </c>
      <c r="B26" s="5945" t="s">
        <v>9</v>
      </c>
      <c r="C26" s="4666" t="s">
        <v>505</v>
      </c>
      <c r="D26" s="4667">
        <v>3</v>
      </c>
      <c r="E26" s="4668">
        <v>2</v>
      </c>
      <c r="F26" s="3947">
        <f t="shared" ref="F26:F28" si="7">SUM(D26:E26)</f>
        <v>5</v>
      </c>
      <c r="G26" s="3946">
        <v>10</v>
      </c>
      <c r="H26" s="3948">
        <v>5</v>
      </c>
      <c r="I26" s="3947">
        <f t="shared" ref="I26:I28" si="8">SUM(G26:H26)</f>
        <v>15</v>
      </c>
    </row>
    <row r="27" spans="1:9" x14ac:dyDescent="0.25">
      <c r="A27" s="5948"/>
      <c r="B27" s="5945"/>
      <c r="C27" s="4657" t="s">
        <v>503</v>
      </c>
      <c r="D27" s="4658">
        <v>7</v>
      </c>
      <c r="E27" s="4662">
        <v>4</v>
      </c>
      <c r="F27" s="3932">
        <f t="shared" si="7"/>
        <v>11</v>
      </c>
      <c r="G27" s="3930">
        <v>3</v>
      </c>
      <c r="H27" s="3934">
        <v>4</v>
      </c>
      <c r="I27" s="3932">
        <f t="shared" si="8"/>
        <v>7</v>
      </c>
    </row>
    <row r="28" spans="1:9" x14ac:dyDescent="0.25">
      <c r="A28" s="5948"/>
      <c r="B28" s="5945"/>
      <c r="C28" s="4657" t="s">
        <v>504</v>
      </c>
      <c r="D28" s="4658">
        <v>1</v>
      </c>
      <c r="E28" s="4662">
        <v>1</v>
      </c>
      <c r="F28" s="3932">
        <f t="shared" si="7"/>
        <v>2</v>
      </c>
      <c r="G28" s="3930"/>
      <c r="H28" s="3934">
        <v>1</v>
      </c>
      <c r="I28" s="3932">
        <f t="shared" si="8"/>
        <v>1</v>
      </c>
    </row>
    <row r="29" spans="1:9" x14ac:dyDescent="0.25">
      <c r="A29" s="5948"/>
      <c r="B29" s="5945" t="s">
        <v>1335</v>
      </c>
      <c r="C29" s="4661" t="s">
        <v>160</v>
      </c>
      <c r="D29" s="3938">
        <f>SUM(D26:D28)</f>
        <v>11</v>
      </c>
      <c r="E29" s="3939">
        <f t="shared" ref="E29:F29" si="9">SUM(E26:E28)</f>
        <v>7</v>
      </c>
      <c r="F29" s="3936">
        <f t="shared" si="9"/>
        <v>18</v>
      </c>
      <c r="G29" s="3938">
        <f>SUM(G26:G28)</f>
        <v>13</v>
      </c>
      <c r="H29" s="3939">
        <f t="shared" ref="H29:I29" si="10">SUM(H26:H28)</f>
        <v>10</v>
      </c>
      <c r="I29" s="3936">
        <f t="shared" si="10"/>
        <v>23</v>
      </c>
    </row>
    <row r="30" spans="1:9" x14ac:dyDescent="0.25">
      <c r="A30" s="5948"/>
      <c r="B30" s="5945" t="s">
        <v>74</v>
      </c>
      <c r="C30" s="4657" t="s">
        <v>1337</v>
      </c>
      <c r="D30" s="4658">
        <v>3</v>
      </c>
      <c r="E30" s="4669">
        <v>1</v>
      </c>
      <c r="F30" s="3932">
        <f t="shared" ref="F30:F33" si="11">SUM(D30:E30)</f>
        <v>4</v>
      </c>
      <c r="G30" s="3930">
        <v>1</v>
      </c>
      <c r="H30" s="3934"/>
      <c r="I30" s="3932">
        <f>SUM(G30:H30)</f>
        <v>1</v>
      </c>
    </row>
    <row r="31" spans="1:9" x14ac:dyDescent="0.25">
      <c r="A31" s="5948"/>
      <c r="B31" s="5945"/>
      <c r="C31" s="4657" t="s">
        <v>508</v>
      </c>
      <c r="D31" s="4658">
        <v>1</v>
      </c>
      <c r="E31" s="4662">
        <v>1</v>
      </c>
      <c r="F31" s="3932">
        <f t="shared" si="11"/>
        <v>2</v>
      </c>
      <c r="G31" s="3930">
        <v>2</v>
      </c>
      <c r="H31" s="3935">
        <v>3</v>
      </c>
      <c r="I31" s="3932">
        <f t="shared" ref="I31:I33" si="12">SUM(G31:H31)</f>
        <v>5</v>
      </c>
    </row>
    <row r="32" spans="1:9" x14ac:dyDescent="0.25">
      <c r="A32" s="5948"/>
      <c r="B32" s="5945"/>
      <c r="C32" s="4657" t="s">
        <v>518</v>
      </c>
      <c r="D32" s="4658">
        <v>0</v>
      </c>
      <c r="E32" s="4662">
        <v>1</v>
      </c>
      <c r="F32" s="3932">
        <f t="shared" si="11"/>
        <v>1</v>
      </c>
      <c r="G32" s="3930"/>
      <c r="H32" s="3934">
        <v>3</v>
      </c>
      <c r="I32" s="3932">
        <f t="shared" si="12"/>
        <v>3</v>
      </c>
    </row>
    <row r="33" spans="1:9" x14ac:dyDescent="0.25">
      <c r="A33" s="5948"/>
      <c r="B33" s="5945"/>
      <c r="C33" s="4657" t="s">
        <v>506</v>
      </c>
      <c r="D33" s="4658">
        <v>0</v>
      </c>
      <c r="E33" s="4669">
        <v>1</v>
      </c>
      <c r="F33" s="3932">
        <f t="shared" si="11"/>
        <v>1</v>
      </c>
      <c r="G33" s="3930">
        <v>1</v>
      </c>
      <c r="H33" s="3935"/>
      <c r="I33" s="3932">
        <f t="shared" si="12"/>
        <v>1</v>
      </c>
    </row>
    <row r="34" spans="1:9" x14ac:dyDescent="0.25">
      <c r="A34" s="5948"/>
      <c r="B34" s="5945" t="s">
        <v>1335</v>
      </c>
      <c r="C34" s="4661" t="s">
        <v>160</v>
      </c>
      <c r="D34" s="3938">
        <f>SUM(D30:D33)</f>
        <v>4</v>
      </c>
      <c r="E34" s="3939">
        <f t="shared" ref="E34:F34" si="13">SUM(E30:E33)</f>
        <v>4</v>
      </c>
      <c r="F34" s="3936">
        <f t="shared" si="13"/>
        <v>8</v>
      </c>
      <c r="G34" s="3938">
        <f>SUM(G30:G33)</f>
        <v>4</v>
      </c>
      <c r="H34" s="3939">
        <f t="shared" ref="H34:I34" si="14">SUM(H30:H33)</f>
        <v>6</v>
      </c>
      <c r="I34" s="3936">
        <f t="shared" si="14"/>
        <v>10</v>
      </c>
    </row>
    <row r="35" spans="1:9" x14ac:dyDescent="0.25">
      <c r="A35" s="5948"/>
      <c r="B35" s="5945" t="s">
        <v>6</v>
      </c>
      <c r="C35" s="4657" t="s">
        <v>462</v>
      </c>
      <c r="D35" s="4658">
        <v>3</v>
      </c>
      <c r="E35" s="4662">
        <v>1</v>
      </c>
      <c r="F35" s="3932">
        <f t="shared" ref="F35:F37" si="15">SUM(D35:E35)</f>
        <v>4</v>
      </c>
      <c r="G35" s="3930">
        <v>5</v>
      </c>
      <c r="H35" s="3934">
        <v>2</v>
      </c>
      <c r="I35" s="3932">
        <f t="shared" ref="I35:I37" si="16">SUM(G35:H35)</f>
        <v>7</v>
      </c>
    </row>
    <row r="36" spans="1:9" x14ac:dyDescent="0.25">
      <c r="A36" s="5948"/>
      <c r="B36" s="5945"/>
      <c r="C36" s="4657" t="s">
        <v>502</v>
      </c>
      <c r="D36" s="4658">
        <v>1</v>
      </c>
      <c r="E36" s="4662">
        <v>1</v>
      </c>
      <c r="F36" s="3932">
        <f t="shared" si="15"/>
        <v>2</v>
      </c>
      <c r="G36" s="3930">
        <v>1</v>
      </c>
      <c r="H36" s="3934">
        <v>2</v>
      </c>
      <c r="I36" s="3932">
        <f>SUM(G36:H36)</f>
        <v>3</v>
      </c>
    </row>
    <row r="37" spans="1:9" x14ac:dyDescent="0.25">
      <c r="A37" s="5948"/>
      <c r="B37" s="5945"/>
      <c r="C37" s="4657" t="s">
        <v>501</v>
      </c>
      <c r="D37" s="4658">
        <v>0</v>
      </c>
      <c r="E37" s="4662">
        <v>0</v>
      </c>
      <c r="F37" s="3932">
        <f t="shared" si="15"/>
        <v>0</v>
      </c>
      <c r="G37" s="3930">
        <v>4</v>
      </c>
      <c r="H37" s="3934"/>
      <c r="I37" s="3932">
        <f t="shared" si="16"/>
        <v>4</v>
      </c>
    </row>
    <row r="38" spans="1:9" x14ac:dyDescent="0.25">
      <c r="A38" s="5948"/>
      <c r="B38" s="5950" t="s">
        <v>1335</v>
      </c>
      <c r="C38" s="4661" t="s">
        <v>160</v>
      </c>
      <c r="D38" s="3940">
        <f>SUM(D35:D37)</f>
        <v>4</v>
      </c>
      <c r="E38" s="3941">
        <f t="shared" ref="E38:F38" si="17">SUM(E35:E37)</f>
        <v>2</v>
      </c>
      <c r="F38" s="3937">
        <f t="shared" si="17"/>
        <v>6</v>
      </c>
      <c r="G38" s="3940">
        <f>SUM(G35:G37)</f>
        <v>10</v>
      </c>
      <c r="H38" s="3941">
        <f>SUM(H35:H37)</f>
        <v>4</v>
      </c>
      <c r="I38" s="3937">
        <f>SUM(I35:I37)</f>
        <v>14</v>
      </c>
    </row>
    <row r="39" spans="1:9" x14ac:dyDescent="0.25">
      <c r="A39" s="5949"/>
      <c r="B39" s="5951" t="s">
        <v>450</v>
      </c>
      <c r="C39" s="5952"/>
      <c r="D39" s="4670">
        <f>D38+D34+D29</f>
        <v>19</v>
      </c>
      <c r="E39" s="4671">
        <f t="shared" ref="E39:F39" si="18">E38+E34+E29</f>
        <v>13</v>
      </c>
      <c r="F39" s="4672">
        <f t="shared" si="18"/>
        <v>32</v>
      </c>
      <c r="G39" s="3949">
        <f>G38+G34+G29</f>
        <v>27</v>
      </c>
      <c r="H39" s="3950">
        <f>H38+H34+H29</f>
        <v>20</v>
      </c>
      <c r="I39" s="3945">
        <f>I38+I34+I29</f>
        <v>47</v>
      </c>
    </row>
    <row r="40" spans="1:9" x14ac:dyDescent="0.25">
      <c r="A40" s="5953" t="s">
        <v>162</v>
      </c>
      <c r="B40" s="5950" t="s">
        <v>5</v>
      </c>
      <c r="C40" s="4666" t="s">
        <v>475</v>
      </c>
      <c r="D40" s="4667">
        <v>0</v>
      </c>
      <c r="E40" s="4668">
        <v>0</v>
      </c>
      <c r="F40" s="3947">
        <f t="shared" ref="F40:F48" si="19">SUM(D40:E40)</f>
        <v>0</v>
      </c>
      <c r="G40" s="3946"/>
      <c r="H40" s="3948">
        <v>1</v>
      </c>
      <c r="I40" s="3947">
        <f t="shared" ref="I40:I48" si="20">SUM(G40:H40)</f>
        <v>1</v>
      </c>
    </row>
    <row r="41" spans="1:9" x14ac:dyDescent="0.25">
      <c r="A41" s="5954"/>
      <c r="B41" s="5967"/>
      <c r="C41" s="4657" t="s">
        <v>472</v>
      </c>
      <c r="D41" s="4658">
        <v>0</v>
      </c>
      <c r="E41" s="4662">
        <v>0</v>
      </c>
      <c r="F41" s="3932">
        <f t="shared" si="19"/>
        <v>0</v>
      </c>
      <c r="G41" s="3930"/>
      <c r="H41" s="3934">
        <v>5</v>
      </c>
      <c r="I41" s="3932">
        <f t="shared" si="20"/>
        <v>5</v>
      </c>
    </row>
    <row r="42" spans="1:9" x14ac:dyDescent="0.25">
      <c r="A42" s="5954"/>
      <c r="B42" s="5967"/>
      <c r="C42" s="4657" t="s">
        <v>1338</v>
      </c>
      <c r="D42" s="4658">
        <v>0</v>
      </c>
      <c r="E42" s="4662">
        <v>0</v>
      </c>
      <c r="F42" s="3932">
        <f t="shared" si="19"/>
        <v>0</v>
      </c>
      <c r="G42" s="3930">
        <v>2</v>
      </c>
      <c r="H42" s="3934">
        <v>2</v>
      </c>
      <c r="I42" s="3932">
        <f t="shared" si="20"/>
        <v>4</v>
      </c>
    </row>
    <row r="43" spans="1:9" x14ac:dyDescent="0.25">
      <c r="A43" s="5954"/>
      <c r="B43" s="5967"/>
      <c r="C43" s="4657" t="s">
        <v>1329</v>
      </c>
      <c r="D43" s="4658">
        <v>0</v>
      </c>
      <c r="E43" s="4662">
        <v>1</v>
      </c>
      <c r="F43" s="3932">
        <f t="shared" si="19"/>
        <v>1</v>
      </c>
      <c r="G43" s="3930"/>
      <c r="H43" s="3934"/>
      <c r="I43" s="3932">
        <f t="shared" si="20"/>
        <v>0</v>
      </c>
    </row>
    <row r="44" spans="1:9" x14ac:dyDescent="0.25">
      <c r="A44" s="5954"/>
      <c r="B44" s="5967"/>
      <c r="C44" s="4657" t="s">
        <v>1339</v>
      </c>
      <c r="D44" s="4658">
        <v>1</v>
      </c>
      <c r="E44" s="4662">
        <v>1</v>
      </c>
      <c r="F44" s="3932">
        <f t="shared" si="19"/>
        <v>2</v>
      </c>
      <c r="G44" s="3930">
        <v>4</v>
      </c>
      <c r="H44" s="3934">
        <v>4</v>
      </c>
      <c r="I44" s="3932">
        <f t="shared" si="20"/>
        <v>8</v>
      </c>
    </row>
    <row r="45" spans="1:9" x14ac:dyDescent="0.25">
      <c r="A45" s="5954"/>
      <c r="B45" s="5967"/>
      <c r="C45" s="4657" t="s">
        <v>1340</v>
      </c>
      <c r="D45" s="4658">
        <v>0</v>
      </c>
      <c r="E45" s="4669">
        <v>0</v>
      </c>
      <c r="F45" s="3932">
        <f t="shared" si="19"/>
        <v>0</v>
      </c>
      <c r="G45" s="3930"/>
      <c r="H45" s="3934"/>
      <c r="I45" s="3932">
        <f t="shared" si="20"/>
        <v>0</v>
      </c>
    </row>
    <row r="46" spans="1:9" x14ac:dyDescent="0.25">
      <c r="A46" s="5954"/>
      <c r="B46" s="5967"/>
      <c r="C46" s="4657" t="s">
        <v>1334</v>
      </c>
      <c r="D46" s="4658">
        <v>0</v>
      </c>
      <c r="E46" s="4662">
        <v>0</v>
      </c>
      <c r="F46" s="3932">
        <f t="shared" si="19"/>
        <v>0</v>
      </c>
      <c r="G46" s="3930"/>
      <c r="H46" s="3934">
        <v>1</v>
      </c>
      <c r="I46" s="3932">
        <f t="shared" si="20"/>
        <v>1</v>
      </c>
    </row>
    <row r="47" spans="1:9" x14ac:dyDescent="0.25">
      <c r="A47" s="5954"/>
      <c r="B47" s="5967"/>
      <c r="C47" s="4657" t="s">
        <v>473</v>
      </c>
      <c r="D47" s="4658">
        <v>0</v>
      </c>
      <c r="E47" s="4669">
        <v>0</v>
      </c>
      <c r="F47" s="3932">
        <f t="shared" si="19"/>
        <v>0</v>
      </c>
      <c r="G47" s="3930">
        <v>1</v>
      </c>
      <c r="H47" s="3935">
        <v>1</v>
      </c>
      <c r="I47" s="3932">
        <f t="shared" si="20"/>
        <v>2</v>
      </c>
    </row>
    <row r="48" spans="1:9" x14ac:dyDescent="0.25">
      <c r="A48" s="5954"/>
      <c r="B48" s="5967"/>
      <c r="C48" s="4657" t="s">
        <v>474</v>
      </c>
      <c r="D48" s="4658">
        <v>0</v>
      </c>
      <c r="E48" s="4669">
        <v>0</v>
      </c>
      <c r="F48" s="3932">
        <f t="shared" si="19"/>
        <v>0</v>
      </c>
      <c r="G48" s="3930"/>
      <c r="H48" s="3934">
        <v>3</v>
      </c>
      <c r="I48" s="3932">
        <f t="shared" si="20"/>
        <v>3</v>
      </c>
    </row>
    <row r="49" spans="1:9" x14ac:dyDescent="0.25">
      <c r="A49" s="5954"/>
      <c r="B49" s="5944" t="s">
        <v>1335</v>
      </c>
      <c r="C49" s="4661" t="s">
        <v>160</v>
      </c>
      <c r="D49" s="3938">
        <f>SUM(D40:D48)</f>
        <v>1</v>
      </c>
      <c r="E49" s="3939">
        <f t="shared" ref="E49:F49" si="21">SUM(E40:E48)</f>
        <v>2</v>
      </c>
      <c r="F49" s="3936">
        <f t="shared" si="21"/>
        <v>3</v>
      </c>
      <c r="G49" s="3938">
        <f>SUM(G40:G48)</f>
        <v>7</v>
      </c>
      <c r="H49" s="3939">
        <f>SUM(H40:H48)</f>
        <v>17</v>
      </c>
      <c r="I49" s="3936">
        <f>SUM(I40:I48)</f>
        <v>24</v>
      </c>
    </row>
    <row r="50" spans="1:9" x14ac:dyDescent="0.25">
      <c r="A50" s="5954"/>
      <c r="B50" s="5950" t="s">
        <v>6</v>
      </c>
      <c r="C50" s="4657" t="s">
        <v>462</v>
      </c>
      <c r="D50" s="4658">
        <v>0</v>
      </c>
      <c r="E50" s="4662">
        <v>0</v>
      </c>
      <c r="F50" s="3932">
        <f t="shared" ref="F50:F60" si="22">SUM(D50:E50)</f>
        <v>0</v>
      </c>
      <c r="G50" s="3930">
        <v>3</v>
      </c>
      <c r="H50" s="3934"/>
      <c r="I50" s="3932">
        <f t="shared" ref="I50:I60" si="23">SUM(G50:H50)</f>
        <v>3</v>
      </c>
    </row>
    <row r="51" spans="1:9" x14ac:dyDescent="0.25">
      <c r="A51" s="5954"/>
      <c r="B51" s="5967"/>
      <c r="C51" s="4657" t="s">
        <v>476</v>
      </c>
      <c r="D51" s="4658">
        <v>1</v>
      </c>
      <c r="E51" s="4662">
        <v>0</v>
      </c>
      <c r="F51" s="3932">
        <f t="shared" si="22"/>
        <v>1</v>
      </c>
      <c r="G51" s="3930">
        <v>6</v>
      </c>
      <c r="H51" s="3934">
        <v>1</v>
      </c>
      <c r="I51" s="3932">
        <f t="shared" si="23"/>
        <v>7</v>
      </c>
    </row>
    <row r="52" spans="1:9" x14ac:dyDescent="0.25">
      <c r="A52" s="5954"/>
      <c r="B52" s="5967"/>
      <c r="C52" s="4657" t="s">
        <v>481</v>
      </c>
      <c r="D52" s="4658">
        <v>0</v>
      </c>
      <c r="E52" s="4662">
        <v>1</v>
      </c>
      <c r="F52" s="3932">
        <f t="shared" si="22"/>
        <v>1</v>
      </c>
      <c r="G52" s="3930">
        <v>3</v>
      </c>
      <c r="H52" s="3934">
        <v>1</v>
      </c>
      <c r="I52" s="3932">
        <f t="shared" si="23"/>
        <v>4</v>
      </c>
    </row>
    <row r="53" spans="1:9" x14ac:dyDescent="0.25">
      <c r="A53" s="5954"/>
      <c r="B53" s="5967"/>
      <c r="C53" s="4657" t="s">
        <v>464</v>
      </c>
      <c r="D53" s="4658">
        <v>0</v>
      </c>
      <c r="E53" s="4662">
        <v>0</v>
      </c>
      <c r="F53" s="3932">
        <f t="shared" si="22"/>
        <v>0</v>
      </c>
      <c r="G53" s="3930">
        <v>1</v>
      </c>
      <c r="H53" s="3934"/>
      <c r="I53" s="3932">
        <f t="shared" si="23"/>
        <v>1</v>
      </c>
    </row>
    <row r="54" spans="1:9" x14ac:dyDescent="0.25">
      <c r="A54" s="5954"/>
      <c r="B54" s="5967"/>
      <c r="C54" s="4657" t="s">
        <v>478</v>
      </c>
      <c r="D54" s="4658">
        <v>0</v>
      </c>
      <c r="E54" s="4662">
        <v>1</v>
      </c>
      <c r="F54" s="3932">
        <f t="shared" si="22"/>
        <v>1</v>
      </c>
      <c r="G54" s="3930">
        <v>1</v>
      </c>
      <c r="H54" s="3934">
        <v>3</v>
      </c>
      <c r="I54" s="3932">
        <f t="shared" si="23"/>
        <v>4</v>
      </c>
    </row>
    <row r="55" spans="1:9" x14ac:dyDescent="0.25">
      <c r="A55" s="5954"/>
      <c r="B55" s="5967"/>
      <c r="C55" s="4657" t="s">
        <v>483</v>
      </c>
      <c r="D55" s="4658">
        <v>0</v>
      </c>
      <c r="E55" s="4669">
        <v>3</v>
      </c>
      <c r="F55" s="3932">
        <f t="shared" si="22"/>
        <v>3</v>
      </c>
      <c r="G55" s="3930"/>
      <c r="H55" s="3935">
        <v>3</v>
      </c>
      <c r="I55" s="3932">
        <f t="shared" si="23"/>
        <v>3</v>
      </c>
    </row>
    <row r="56" spans="1:9" x14ac:dyDescent="0.25">
      <c r="A56" s="5954"/>
      <c r="B56" s="5967"/>
      <c r="C56" s="4657" t="s">
        <v>479</v>
      </c>
      <c r="D56" s="4658">
        <v>0</v>
      </c>
      <c r="E56" s="4662">
        <v>0</v>
      </c>
      <c r="F56" s="3932">
        <f t="shared" si="22"/>
        <v>0</v>
      </c>
      <c r="G56" s="3930">
        <v>1</v>
      </c>
      <c r="H56" s="3934"/>
      <c r="I56" s="3932">
        <f t="shared" si="23"/>
        <v>1</v>
      </c>
    </row>
    <row r="57" spans="1:9" x14ac:dyDescent="0.25">
      <c r="A57" s="5954"/>
      <c r="B57" s="5967"/>
      <c r="C57" s="4657" t="s">
        <v>477</v>
      </c>
      <c r="D57" s="4658">
        <v>1</v>
      </c>
      <c r="E57" s="4662">
        <v>0</v>
      </c>
      <c r="F57" s="3932">
        <f t="shared" si="22"/>
        <v>1</v>
      </c>
      <c r="G57" s="3930">
        <v>1</v>
      </c>
      <c r="H57" s="3934">
        <v>1</v>
      </c>
      <c r="I57" s="3932">
        <f t="shared" si="23"/>
        <v>2</v>
      </c>
    </row>
    <row r="58" spans="1:9" x14ac:dyDescent="0.25">
      <c r="A58" s="5954"/>
      <c r="B58" s="5967"/>
      <c r="C58" s="4657" t="s">
        <v>480</v>
      </c>
      <c r="D58" s="4658">
        <v>2</v>
      </c>
      <c r="E58" s="4662">
        <v>0</v>
      </c>
      <c r="F58" s="3932">
        <f t="shared" si="22"/>
        <v>2</v>
      </c>
      <c r="G58" s="3930">
        <v>2</v>
      </c>
      <c r="H58" s="3934"/>
      <c r="I58" s="3932">
        <f t="shared" si="23"/>
        <v>2</v>
      </c>
    </row>
    <row r="59" spans="1:9" x14ac:dyDescent="0.25">
      <c r="A59" s="5954"/>
      <c r="B59" s="5967"/>
      <c r="C59" s="4657" t="s">
        <v>482</v>
      </c>
      <c r="D59" s="4658">
        <v>0</v>
      </c>
      <c r="E59" s="4662">
        <v>1</v>
      </c>
      <c r="F59" s="3932">
        <f t="shared" si="22"/>
        <v>1</v>
      </c>
      <c r="G59" s="3930"/>
      <c r="H59" s="3934"/>
      <c r="I59" s="3932"/>
    </row>
    <row r="60" spans="1:9" x14ac:dyDescent="0.25">
      <c r="A60" s="5954"/>
      <c r="B60" s="5967"/>
      <c r="C60" s="4657" t="s">
        <v>465</v>
      </c>
      <c r="D60" s="4658">
        <v>0</v>
      </c>
      <c r="E60" s="4662">
        <v>1</v>
      </c>
      <c r="F60" s="3932">
        <f t="shared" si="22"/>
        <v>1</v>
      </c>
      <c r="G60" s="3930">
        <v>2</v>
      </c>
      <c r="H60" s="3934"/>
      <c r="I60" s="3932">
        <f t="shared" si="23"/>
        <v>2</v>
      </c>
    </row>
    <row r="61" spans="1:9" x14ac:dyDescent="0.25">
      <c r="A61" s="5954"/>
      <c r="B61" s="5944" t="s">
        <v>1335</v>
      </c>
      <c r="C61" s="4661" t="s">
        <v>160</v>
      </c>
      <c r="D61" s="3938">
        <f t="shared" ref="D61:I61" si="24">SUM(D50:D60)</f>
        <v>4</v>
      </c>
      <c r="E61" s="3939">
        <f t="shared" si="24"/>
        <v>7</v>
      </c>
      <c r="F61" s="3936">
        <f t="shared" si="24"/>
        <v>11</v>
      </c>
      <c r="G61" s="3938">
        <f t="shared" si="24"/>
        <v>20</v>
      </c>
      <c r="H61" s="3939">
        <f t="shared" si="24"/>
        <v>9</v>
      </c>
      <c r="I61" s="3936">
        <f t="shared" si="24"/>
        <v>29</v>
      </c>
    </row>
    <row r="62" spans="1:9" x14ac:dyDescent="0.25">
      <c r="A62" s="5954"/>
      <c r="B62" s="5950" t="s">
        <v>11</v>
      </c>
      <c r="C62" s="4657" t="s">
        <v>484</v>
      </c>
      <c r="D62" s="4658">
        <v>0</v>
      </c>
      <c r="E62" s="4662">
        <v>0</v>
      </c>
      <c r="F62" s="3932">
        <f t="shared" ref="F62:F67" si="25">SUM(D62:E62)</f>
        <v>0</v>
      </c>
      <c r="G62" s="3930">
        <v>4</v>
      </c>
      <c r="H62" s="3934">
        <v>2</v>
      </c>
      <c r="I62" s="3932">
        <f t="shared" ref="I62:I67" si="26">SUM(G62:H62)</f>
        <v>6</v>
      </c>
    </row>
    <row r="63" spans="1:9" x14ac:dyDescent="0.25">
      <c r="A63" s="5954"/>
      <c r="B63" s="5967"/>
      <c r="C63" s="4657" t="s">
        <v>485</v>
      </c>
      <c r="D63" s="4658">
        <v>0</v>
      </c>
      <c r="E63" s="4662">
        <v>0</v>
      </c>
      <c r="F63" s="3932">
        <f t="shared" si="25"/>
        <v>0</v>
      </c>
      <c r="G63" s="3930"/>
      <c r="H63" s="3934">
        <v>1</v>
      </c>
      <c r="I63" s="3932">
        <f t="shared" si="26"/>
        <v>1</v>
      </c>
    </row>
    <row r="64" spans="1:9" x14ac:dyDescent="0.25">
      <c r="A64" s="5954"/>
      <c r="B64" s="5967"/>
      <c r="C64" s="4657" t="s">
        <v>486</v>
      </c>
      <c r="D64" s="4658">
        <v>0</v>
      </c>
      <c r="E64" s="4662">
        <v>0</v>
      </c>
      <c r="F64" s="3932">
        <f t="shared" si="25"/>
        <v>0</v>
      </c>
      <c r="G64" s="3930">
        <v>2</v>
      </c>
      <c r="H64" s="3934">
        <v>2</v>
      </c>
      <c r="I64" s="3932">
        <f t="shared" si="26"/>
        <v>4</v>
      </c>
    </row>
    <row r="65" spans="1:9" x14ac:dyDescent="0.25">
      <c r="A65" s="5954"/>
      <c r="B65" s="5967"/>
      <c r="C65" s="4657" t="s">
        <v>520</v>
      </c>
      <c r="D65" s="4658">
        <v>0</v>
      </c>
      <c r="E65" s="4662">
        <v>0</v>
      </c>
      <c r="F65" s="3932">
        <f t="shared" si="25"/>
        <v>0</v>
      </c>
      <c r="G65" s="3930">
        <v>1</v>
      </c>
      <c r="H65" s="3934">
        <v>1</v>
      </c>
      <c r="I65" s="3932">
        <f t="shared" si="26"/>
        <v>2</v>
      </c>
    </row>
    <row r="66" spans="1:9" x14ac:dyDescent="0.25">
      <c r="A66" s="5954"/>
      <c r="B66" s="5967"/>
      <c r="C66" s="4657" t="s">
        <v>1341</v>
      </c>
      <c r="D66" s="4658">
        <v>1</v>
      </c>
      <c r="E66" s="4662">
        <v>0</v>
      </c>
      <c r="F66" s="3932">
        <f t="shared" si="25"/>
        <v>1</v>
      </c>
      <c r="G66" s="3930">
        <v>1</v>
      </c>
      <c r="H66" s="3934"/>
      <c r="I66" s="3932">
        <f t="shared" si="26"/>
        <v>1</v>
      </c>
    </row>
    <row r="67" spans="1:9" x14ac:dyDescent="0.25">
      <c r="A67" s="5954"/>
      <c r="B67" s="5967"/>
      <c r="C67" s="4657" t="s">
        <v>487</v>
      </c>
      <c r="D67" s="4658">
        <v>0</v>
      </c>
      <c r="E67" s="4662">
        <v>0</v>
      </c>
      <c r="F67" s="3932">
        <f t="shared" si="25"/>
        <v>0</v>
      </c>
      <c r="G67" s="3930">
        <v>1</v>
      </c>
      <c r="H67" s="3934">
        <v>1</v>
      </c>
      <c r="I67" s="3932">
        <f t="shared" si="26"/>
        <v>2</v>
      </c>
    </row>
    <row r="68" spans="1:9" x14ac:dyDescent="0.25">
      <c r="A68" s="5954"/>
      <c r="B68" s="5944" t="s">
        <v>1335</v>
      </c>
      <c r="C68" s="4661" t="s">
        <v>160</v>
      </c>
      <c r="D68" s="3940">
        <f>SUM(D62:D67)</f>
        <v>1</v>
      </c>
      <c r="E68" s="3941">
        <f t="shared" ref="E68:F68" si="27">SUM(E62:E67)</f>
        <v>0</v>
      </c>
      <c r="F68" s="3937">
        <f t="shared" si="27"/>
        <v>1</v>
      </c>
      <c r="G68" s="3940">
        <f>SUM(G62:G67)</f>
        <v>9</v>
      </c>
      <c r="H68" s="3941">
        <f t="shared" ref="H68:I68" si="28">SUM(H62:H67)</f>
        <v>7</v>
      </c>
      <c r="I68" s="3937">
        <f t="shared" si="28"/>
        <v>16</v>
      </c>
    </row>
    <row r="69" spans="1:9" x14ac:dyDescent="0.25">
      <c r="A69" s="5955"/>
      <c r="B69" s="5965" t="s">
        <v>450</v>
      </c>
      <c r="C69" s="5966"/>
      <c r="D69" s="4674">
        <f>D68+D61+D49</f>
        <v>6</v>
      </c>
      <c r="E69" s="4675">
        <f t="shared" ref="E69:F69" si="29">E68+E61+E49</f>
        <v>9</v>
      </c>
      <c r="F69" s="4676">
        <f t="shared" si="29"/>
        <v>15</v>
      </c>
      <c r="G69" s="3953">
        <f>G68+G61+G49</f>
        <v>36</v>
      </c>
      <c r="H69" s="3954">
        <f>H68+H61+H49</f>
        <v>33</v>
      </c>
      <c r="I69" s="3944">
        <f>I68+I61+I49</f>
        <v>69</v>
      </c>
    </row>
    <row r="70" spans="1:9" x14ac:dyDescent="0.25">
      <c r="A70" s="5956" t="s">
        <v>411</v>
      </c>
      <c r="B70" s="5945" t="s">
        <v>11</v>
      </c>
      <c r="C70" s="4666" t="s">
        <v>511</v>
      </c>
      <c r="D70" s="4667">
        <v>1</v>
      </c>
      <c r="E70" s="4668">
        <v>0</v>
      </c>
      <c r="F70" s="3947">
        <f t="shared" ref="F70" si="30">SUM(D70:E70)</f>
        <v>1</v>
      </c>
      <c r="G70" s="3946">
        <v>1</v>
      </c>
      <c r="H70" s="3948">
        <v>4</v>
      </c>
      <c r="I70" s="3947">
        <f t="shared" ref="I70" si="31">SUM(G70:H70)</f>
        <v>5</v>
      </c>
    </row>
    <row r="71" spans="1:9" x14ac:dyDescent="0.25">
      <c r="A71" s="5957"/>
      <c r="B71" s="5945" t="s">
        <v>1335</v>
      </c>
      <c r="C71" s="4661" t="s">
        <v>160</v>
      </c>
      <c r="D71" s="3938">
        <f>D70</f>
        <v>1</v>
      </c>
      <c r="E71" s="3939">
        <f t="shared" ref="E71:F71" si="32">E70</f>
        <v>0</v>
      </c>
      <c r="F71" s="3936">
        <f t="shared" si="32"/>
        <v>1</v>
      </c>
      <c r="G71" s="3938">
        <f>G70</f>
        <v>1</v>
      </c>
      <c r="H71" s="3939">
        <f t="shared" ref="H71:I71" si="33">H70</f>
        <v>4</v>
      </c>
      <c r="I71" s="3936">
        <f t="shared" si="33"/>
        <v>5</v>
      </c>
    </row>
    <row r="72" spans="1:9" x14ac:dyDescent="0.25">
      <c r="A72" s="5957"/>
      <c r="B72" s="5945" t="s">
        <v>5</v>
      </c>
      <c r="C72" s="4657" t="s">
        <v>1342</v>
      </c>
      <c r="D72" s="4658">
        <v>1</v>
      </c>
      <c r="E72" s="4662">
        <v>2</v>
      </c>
      <c r="F72" s="3932">
        <f t="shared" ref="F72" si="34">SUM(D72:E72)</f>
        <v>3</v>
      </c>
      <c r="G72" s="3930"/>
      <c r="H72" s="3934">
        <v>1</v>
      </c>
      <c r="I72" s="3932">
        <f t="shared" ref="I72" si="35">SUM(G72:H72)</f>
        <v>1</v>
      </c>
    </row>
    <row r="73" spans="1:9" x14ac:dyDescent="0.25">
      <c r="A73" s="5957"/>
      <c r="B73" s="5945" t="s">
        <v>1335</v>
      </c>
      <c r="C73" s="4661" t="s">
        <v>160</v>
      </c>
      <c r="D73" s="3938">
        <f>D72</f>
        <v>1</v>
      </c>
      <c r="E73" s="3939">
        <f t="shared" ref="E73:F73" si="36">E72</f>
        <v>2</v>
      </c>
      <c r="F73" s="3936">
        <f t="shared" si="36"/>
        <v>3</v>
      </c>
      <c r="G73" s="3938">
        <f>G72</f>
        <v>0</v>
      </c>
      <c r="H73" s="3939">
        <f t="shared" ref="H73:I73" si="37">H72</f>
        <v>1</v>
      </c>
      <c r="I73" s="3936">
        <f t="shared" si="37"/>
        <v>1</v>
      </c>
    </row>
    <row r="74" spans="1:9" x14ac:dyDescent="0.25">
      <c r="A74" s="5957"/>
      <c r="B74" s="5945" t="s">
        <v>6</v>
      </c>
      <c r="C74" s="4657" t="s">
        <v>510</v>
      </c>
      <c r="D74" s="4658">
        <v>0</v>
      </c>
      <c r="E74" s="4662">
        <v>0</v>
      </c>
      <c r="F74" s="3932">
        <f t="shared" ref="F74:F75" si="38">SUM(D74:E74)</f>
        <v>0</v>
      </c>
      <c r="G74" s="3930">
        <v>3</v>
      </c>
      <c r="H74" s="3934"/>
      <c r="I74" s="3932">
        <f t="shared" ref="I74:I75" si="39">SUM(G74:H74)</f>
        <v>3</v>
      </c>
    </row>
    <row r="75" spans="1:9" x14ac:dyDescent="0.25">
      <c r="A75" s="5957"/>
      <c r="B75" s="5945"/>
      <c r="C75" s="4657" t="s">
        <v>625</v>
      </c>
      <c r="D75" s="4658">
        <v>0</v>
      </c>
      <c r="E75" s="4662">
        <v>0</v>
      </c>
      <c r="F75" s="3932">
        <f t="shared" si="38"/>
        <v>0</v>
      </c>
      <c r="G75" s="3930"/>
      <c r="H75" s="3934"/>
      <c r="I75" s="3932">
        <f t="shared" si="39"/>
        <v>0</v>
      </c>
    </row>
    <row r="76" spans="1:9" x14ac:dyDescent="0.25">
      <c r="A76" s="5957"/>
      <c r="B76" s="5945" t="s">
        <v>1335</v>
      </c>
      <c r="C76" s="4661" t="s">
        <v>160</v>
      </c>
      <c r="D76" s="3940">
        <f>SUM(D74:D75)</f>
        <v>0</v>
      </c>
      <c r="E76" s="3941">
        <f t="shared" ref="E76:F76" si="40">SUM(E74:E75)</f>
        <v>0</v>
      </c>
      <c r="F76" s="3937">
        <f t="shared" si="40"/>
        <v>0</v>
      </c>
      <c r="G76" s="3940">
        <f>SUM(G74:G75)</f>
        <v>3</v>
      </c>
      <c r="H76" s="3941">
        <f t="shared" ref="H76:I76" si="41">SUM(H74:H75)</f>
        <v>0</v>
      </c>
      <c r="I76" s="3937">
        <f t="shared" si="41"/>
        <v>3</v>
      </c>
    </row>
    <row r="77" spans="1:9" x14ac:dyDescent="0.25">
      <c r="A77" s="5958"/>
      <c r="B77" s="5959" t="s">
        <v>450</v>
      </c>
      <c r="C77" s="5960"/>
      <c r="D77" s="4677">
        <f>D76+D73+D71</f>
        <v>2</v>
      </c>
      <c r="E77" s="4678">
        <f t="shared" ref="E77:F77" si="42">E76+E73+E71</f>
        <v>2</v>
      </c>
      <c r="F77" s="4679">
        <f t="shared" si="42"/>
        <v>4</v>
      </c>
      <c r="G77" s="3955">
        <f>G76+G73+G71</f>
        <v>4</v>
      </c>
      <c r="H77" s="3956">
        <f t="shared" ref="H77:I77" si="43">H76+H73+H71</f>
        <v>5</v>
      </c>
      <c r="I77" s="3957">
        <f t="shared" si="43"/>
        <v>9</v>
      </c>
    </row>
    <row r="78" spans="1:9" x14ac:dyDescent="0.25">
      <c r="A78" s="5961" t="s">
        <v>163</v>
      </c>
      <c r="B78" s="5945" t="s">
        <v>6</v>
      </c>
      <c r="C78" s="4654" t="s">
        <v>462</v>
      </c>
      <c r="D78" s="4655">
        <v>0</v>
      </c>
      <c r="E78" s="4680">
        <v>1</v>
      </c>
      <c r="F78" s="3927">
        <f t="shared" ref="F78:F83" si="44">SUM(D78:E78)</f>
        <v>1</v>
      </c>
      <c r="G78" s="3925">
        <v>2</v>
      </c>
      <c r="H78" s="3928">
        <v>4</v>
      </c>
      <c r="I78" s="3927">
        <f t="shared" ref="I78:I83" si="45">SUM(G78:H78)</f>
        <v>6</v>
      </c>
    </row>
    <row r="79" spans="1:9" x14ac:dyDescent="0.25">
      <c r="A79" s="5961"/>
      <c r="B79" s="5945"/>
      <c r="C79" s="4657" t="s">
        <v>490</v>
      </c>
      <c r="D79" s="4658">
        <v>2</v>
      </c>
      <c r="E79" s="4662">
        <v>0</v>
      </c>
      <c r="F79" s="3932">
        <f t="shared" si="44"/>
        <v>2</v>
      </c>
      <c r="G79" s="3930">
        <v>7</v>
      </c>
      <c r="H79" s="3934">
        <v>3</v>
      </c>
      <c r="I79" s="3932">
        <f t="shared" si="45"/>
        <v>10</v>
      </c>
    </row>
    <row r="80" spans="1:9" x14ac:dyDescent="0.25">
      <c r="A80" s="5961"/>
      <c r="B80" s="5945"/>
      <c r="C80" s="4657" t="s">
        <v>464</v>
      </c>
      <c r="D80" s="4658">
        <v>0</v>
      </c>
      <c r="E80" s="4662">
        <v>2</v>
      </c>
      <c r="F80" s="3932">
        <f t="shared" si="44"/>
        <v>2</v>
      </c>
      <c r="G80" s="3930">
        <v>3</v>
      </c>
      <c r="H80" s="3934">
        <v>3</v>
      </c>
      <c r="I80" s="3932">
        <f t="shared" si="45"/>
        <v>6</v>
      </c>
    </row>
    <row r="81" spans="1:9" x14ac:dyDescent="0.25">
      <c r="A81" s="5961"/>
      <c r="B81" s="5945"/>
      <c r="C81" s="4657" t="s">
        <v>492</v>
      </c>
      <c r="D81" s="4658">
        <v>0</v>
      </c>
      <c r="E81" s="4662">
        <v>2</v>
      </c>
      <c r="F81" s="3932">
        <f t="shared" si="44"/>
        <v>2</v>
      </c>
      <c r="G81" s="3930">
        <v>1</v>
      </c>
      <c r="H81" s="3934"/>
      <c r="I81" s="3932">
        <f t="shared" si="45"/>
        <v>1</v>
      </c>
    </row>
    <row r="82" spans="1:9" x14ac:dyDescent="0.25">
      <c r="A82" s="5961"/>
      <c r="B82" s="5945"/>
      <c r="C82" s="4657" t="s">
        <v>491</v>
      </c>
      <c r="D82" s="4658">
        <v>5</v>
      </c>
      <c r="E82" s="4662">
        <v>2</v>
      </c>
      <c r="F82" s="3932">
        <f t="shared" si="44"/>
        <v>7</v>
      </c>
      <c r="G82" s="3930">
        <v>10</v>
      </c>
      <c r="H82" s="3934">
        <v>3</v>
      </c>
      <c r="I82" s="3932">
        <f t="shared" si="45"/>
        <v>13</v>
      </c>
    </row>
    <row r="83" spans="1:9" x14ac:dyDescent="0.25">
      <c r="A83" s="5961"/>
      <c r="B83" s="5945"/>
      <c r="C83" s="4657" t="s">
        <v>465</v>
      </c>
      <c r="D83" s="4658">
        <v>0</v>
      </c>
      <c r="E83" s="4662">
        <v>1</v>
      </c>
      <c r="F83" s="3932">
        <f t="shared" si="44"/>
        <v>1</v>
      </c>
      <c r="G83" s="3930">
        <v>4</v>
      </c>
      <c r="H83" s="3934">
        <v>2</v>
      </c>
      <c r="I83" s="3932">
        <f t="shared" si="45"/>
        <v>6</v>
      </c>
    </row>
    <row r="84" spans="1:9" x14ac:dyDescent="0.25">
      <c r="A84" s="5961"/>
      <c r="B84" s="5945" t="s">
        <v>1335</v>
      </c>
      <c r="C84" s="4661" t="s">
        <v>160</v>
      </c>
      <c r="D84" s="3938">
        <f>SUM(D78:D83)</f>
        <v>7</v>
      </c>
      <c r="E84" s="3939">
        <f t="shared" ref="E84:F84" si="46">SUM(E78:E83)</f>
        <v>8</v>
      </c>
      <c r="F84" s="3936">
        <f t="shared" si="46"/>
        <v>15</v>
      </c>
      <c r="G84" s="3938">
        <f>SUM(G78:G83)</f>
        <v>27</v>
      </c>
      <c r="H84" s="3939">
        <f t="shared" ref="H84:I84" si="47">SUM(H78:H83)</f>
        <v>15</v>
      </c>
      <c r="I84" s="3936">
        <f t="shared" si="47"/>
        <v>42</v>
      </c>
    </row>
    <row r="85" spans="1:9" x14ac:dyDescent="0.25">
      <c r="A85" s="5961"/>
      <c r="B85" s="5945" t="s">
        <v>11</v>
      </c>
      <c r="C85" s="4657" t="s">
        <v>497</v>
      </c>
      <c r="D85" s="4658">
        <v>0</v>
      </c>
      <c r="E85" s="4662">
        <v>1</v>
      </c>
      <c r="F85" s="3932">
        <f t="shared" ref="F85:F92" si="48">SUM(D85:E85)</f>
        <v>1</v>
      </c>
      <c r="G85" s="3930"/>
      <c r="H85" s="3934">
        <v>3</v>
      </c>
      <c r="I85" s="3932">
        <f t="shared" ref="I85:I92" si="49">SUM(G85:H85)</f>
        <v>3</v>
      </c>
    </row>
    <row r="86" spans="1:9" x14ac:dyDescent="0.25">
      <c r="A86" s="5961"/>
      <c r="B86" s="5945"/>
      <c r="C86" s="4657" t="s">
        <v>484</v>
      </c>
      <c r="D86" s="4658">
        <v>1</v>
      </c>
      <c r="E86" s="4662">
        <v>0</v>
      </c>
      <c r="F86" s="3932">
        <f t="shared" si="48"/>
        <v>1</v>
      </c>
      <c r="G86" s="3930">
        <v>1</v>
      </c>
      <c r="H86" s="3934">
        <v>2</v>
      </c>
      <c r="I86" s="3932">
        <f t="shared" si="49"/>
        <v>3</v>
      </c>
    </row>
    <row r="87" spans="1:9" x14ac:dyDescent="0.25">
      <c r="A87" s="5961"/>
      <c r="B87" s="5945"/>
      <c r="C87" s="4657" t="s">
        <v>493</v>
      </c>
      <c r="D87" s="4658">
        <v>0</v>
      </c>
      <c r="E87" s="4669">
        <v>0</v>
      </c>
      <c r="F87" s="3932">
        <f t="shared" si="48"/>
        <v>0</v>
      </c>
      <c r="G87" s="3930">
        <v>2</v>
      </c>
      <c r="H87" s="3935"/>
      <c r="I87" s="3932">
        <f t="shared" si="49"/>
        <v>2</v>
      </c>
    </row>
    <row r="88" spans="1:9" x14ac:dyDescent="0.25">
      <c r="A88" s="5961"/>
      <c r="B88" s="5945"/>
      <c r="C88" s="4657" t="s">
        <v>494</v>
      </c>
      <c r="D88" s="4658">
        <v>0</v>
      </c>
      <c r="E88" s="4669">
        <v>0</v>
      </c>
      <c r="F88" s="3932">
        <f t="shared" si="48"/>
        <v>0</v>
      </c>
      <c r="G88" s="3930">
        <v>2</v>
      </c>
      <c r="H88" s="3935">
        <v>3</v>
      </c>
      <c r="I88" s="3932">
        <f t="shared" si="49"/>
        <v>5</v>
      </c>
    </row>
    <row r="89" spans="1:9" x14ac:dyDescent="0.25">
      <c r="A89" s="5961"/>
      <c r="B89" s="5945"/>
      <c r="C89" s="4657" t="s">
        <v>498</v>
      </c>
      <c r="D89" s="4658">
        <v>0</v>
      </c>
      <c r="E89" s="4662">
        <v>0</v>
      </c>
      <c r="F89" s="3932">
        <f t="shared" si="48"/>
        <v>0</v>
      </c>
      <c r="G89" s="3930">
        <v>3</v>
      </c>
      <c r="H89" s="3934">
        <v>3</v>
      </c>
      <c r="I89" s="3932">
        <f t="shared" si="49"/>
        <v>6</v>
      </c>
    </row>
    <row r="90" spans="1:9" x14ac:dyDescent="0.25">
      <c r="A90" s="5961"/>
      <c r="B90" s="5945"/>
      <c r="C90" s="4657" t="s">
        <v>496</v>
      </c>
      <c r="D90" s="4658">
        <v>0</v>
      </c>
      <c r="E90" s="4669">
        <v>0</v>
      </c>
      <c r="F90" s="3932">
        <f t="shared" si="48"/>
        <v>0</v>
      </c>
      <c r="G90" s="3930">
        <v>2</v>
      </c>
      <c r="H90" s="3935"/>
      <c r="I90" s="3932">
        <f t="shared" si="49"/>
        <v>2</v>
      </c>
    </row>
    <row r="91" spans="1:9" x14ac:dyDescent="0.25">
      <c r="A91" s="5961"/>
      <c r="B91" s="5945"/>
      <c r="C91" s="4657" t="s">
        <v>499</v>
      </c>
      <c r="D91" s="4658">
        <v>5</v>
      </c>
      <c r="E91" s="4662">
        <v>1</v>
      </c>
      <c r="F91" s="3932">
        <f t="shared" si="48"/>
        <v>6</v>
      </c>
      <c r="G91" s="3930">
        <v>4</v>
      </c>
      <c r="H91" s="3934">
        <v>1</v>
      </c>
      <c r="I91" s="3932">
        <f t="shared" si="49"/>
        <v>5</v>
      </c>
    </row>
    <row r="92" spans="1:9" x14ac:dyDescent="0.25">
      <c r="A92" s="5961"/>
      <c r="B92" s="5945"/>
      <c r="C92" s="4657" t="s">
        <v>495</v>
      </c>
      <c r="D92" s="4658">
        <v>1</v>
      </c>
      <c r="E92" s="4662">
        <v>0</v>
      </c>
      <c r="F92" s="3932">
        <f t="shared" si="48"/>
        <v>1</v>
      </c>
      <c r="G92" s="3930">
        <v>2</v>
      </c>
      <c r="H92" s="3934">
        <v>3</v>
      </c>
      <c r="I92" s="3932">
        <f t="shared" si="49"/>
        <v>5</v>
      </c>
    </row>
    <row r="93" spans="1:9" x14ac:dyDescent="0.25">
      <c r="A93" s="5961"/>
      <c r="B93" s="5945" t="s">
        <v>1335</v>
      </c>
      <c r="C93" s="4661" t="s">
        <v>160</v>
      </c>
      <c r="D93" s="3938">
        <f>SUM(D85:D92)</f>
        <v>7</v>
      </c>
      <c r="E93" s="3939">
        <f t="shared" ref="E93:F93" si="50">SUM(E85:E92)</f>
        <v>2</v>
      </c>
      <c r="F93" s="3936">
        <f t="shared" si="50"/>
        <v>9</v>
      </c>
      <c r="G93" s="3938">
        <f>SUM(G85:G92)</f>
        <v>16</v>
      </c>
      <c r="H93" s="3939">
        <f t="shared" ref="H93:I93" si="51">SUM(H85:H92)</f>
        <v>15</v>
      </c>
      <c r="I93" s="3936">
        <f t="shared" si="51"/>
        <v>31</v>
      </c>
    </row>
    <row r="94" spans="1:9" x14ac:dyDescent="0.25">
      <c r="A94" s="5961"/>
      <c r="B94" s="5945" t="s">
        <v>7</v>
      </c>
      <c r="C94" s="4657" t="s">
        <v>466</v>
      </c>
      <c r="D94" s="4658">
        <v>1</v>
      </c>
      <c r="E94" s="4662">
        <v>2</v>
      </c>
      <c r="F94" s="3932">
        <f t="shared" ref="F94:F97" si="52">SUM(D94:E94)</f>
        <v>3</v>
      </c>
      <c r="G94" s="3930">
        <v>8</v>
      </c>
      <c r="H94" s="3934">
        <v>8</v>
      </c>
      <c r="I94" s="3932">
        <f t="shared" ref="I94:I97" si="53">SUM(G94:H94)</f>
        <v>16</v>
      </c>
    </row>
    <row r="95" spans="1:9" x14ac:dyDescent="0.25">
      <c r="A95" s="5961"/>
      <c r="B95" s="5945"/>
      <c r="C95" s="4657" t="s">
        <v>467</v>
      </c>
      <c r="D95" s="4658">
        <v>3</v>
      </c>
      <c r="E95" s="4662">
        <v>0</v>
      </c>
      <c r="F95" s="3932">
        <f t="shared" si="52"/>
        <v>3</v>
      </c>
      <c r="G95" s="3930">
        <v>11</v>
      </c>
      <c r="H95" s="3934">
        <v>8</v>
      </c>
      <c r="I95" s="3932">
        <f t="shared" si="53"/>
        <v>19</v>
      </c>
    </row>
    <row r="96" spans="1:9" x14ac:dyDescent="0.25">
      <c r="A96" s="5961"/>
      <c r="B96" s="5945"/>
      <c r="C96" s="4657" t="s">
        <v>468</v>
      </c>
      <c r="D96" s="4658">
        <v>4</v>
      </c>
      <c r="E96" s="4662">
        <v>0</v>
      </c>
      <c r="F96" s="3932">
        <f t="shared" si="52"/>
        <v>4</v>
      </c>
      <c r="G96" s="3930">
        <v>3</v>
      </c>
      <c r="H96" s="3934">
        <v>5</v>
      </c>
      <c r="I96" s="3932">
        <f t="shared" si="53"/>
        <v>8</v>
      </c>
    </row>
    <row r="97" spans="1:9" x14ac:dyDescent="0.25">
      <c r="A97" s="5961"/>
      <c r="B97" s="5945"/>
      <c r="C97" s="4657" t="s">
        <v>500</v>
      </c>
      <c r="D97" s="4658">
        <v>0</v>
      </c>
      <c r="E97" s="4669">
        <v>0</v>
      </c>
      <c r="F97" s="3932">
        <f t="shared" si="52"/>
        <v>0</v>
      </c>
      <c r="G97" s="3930"/>
      <c r="H97" s="3935">
        <v>3</v>
      </c>
      <c r="I97" s="3932">
        <f t="shared" si="53"/>
        <v>3</v>
      </c>
    </row>
    <row r="98" spans="1:9" x14ac:dyDescent="0.25">
      <c r="A98" s="5961"/>
      <c r="B98" s="5950" t="s">
        <v>1335</v>
      </c>
      <c r="C98" s="4661" t="s">
        <v>160</v>
      </c>
      <c r="D98" s="3961">
        <f>SUM(D94:D97)</f>
        <v>8</v>
      </c>
      <c r="E98" s="3962">
        <f t="shared" ref="E98:F98" si="54">SUM(E94:E97)</f>
        <v>2</v>
      </c>
      <c r="F98" s="3963">
        <f t="shared" si="54"/>
        <v>10</v>
      </c>
      <c r="G98" s="3961">
        <f>SUM(G94:G97)</f>
        <v>22</v>
      </c>
      <c r="H98" s="3962">
        <f t="shared" ref="H98:I98" si="55">SUM(H94:H97)</f>
        <v>24</v>
      </c>
      <c r="I98" s="3963">
        <f t="shared" si="55"/>
        <v>46</v>
      </c>
    </row>
    <row r="99" spans="1:9" x14ac:dyDescent="0.25">
      <c r="A99" s="5962"/>
      <c r="B99" s="5963" t="s">
        <v>450</v>
      </c>
      <c r="C99" s="5964"/>
      <c r="D99" s="4681">
        <f>D98+D93+D84</f>
        <v>22</v>
      </c>
      <c r="E99" s="4682">
        <f t="shared" ref="E99:F99" si="56">E98+E93+E84</f>
        <v>12</v>
      </c>
      <c r="F99" s="4683">
        <f t="shared" si="56"/>
        <v>34</v>
      </c>
      <c r="G99" s="3958">
        <f>G98+G93+G84</f>
        <v>65</v>
      </c>
      <c r="H99" s="3959">
        <f t="shared" ref="H99:I99" si="57">H98+H93+H84</f>
        <v>54</v>
      </c>
      <c r="I99" s="3960">
        <f t="shared" si="57"/>
        <v>119</v>
      </c>
    </row>
    <row r="100" spans="1:9" x14ac:dyDescent="0.25">
      <c r="A100" s="4690"/>
      <c r="B100" s="4690"/>
      <c r="C100" s="4691"/>
      <c r="D100" s="4690"/>
      <c r="E100" s="4690"/>
      <c r="F100" s="4690"/>
    </row>
    <row r="101" spans="1:9" x14ac:dyDescent="0.25">
      <c r="A101" s="5935" t="s">
        <v>586</v>
      </c>
      <c r="B101" s="5936" t="s">
        <v>76</v>
      </c>
      <c r="C101" s="5937"/>
      <c r="D101" s="4684">
        <f t="shared" ref="D101:I101" si="58">D99+D77+D69+D39+D25</f>
        <v>63</v>
      </c>
      <c r="E101" s="4685">
        <f t="shared" si="58"/>
        <v>58</v>
      </c>
      <c r="F101" s="4686">
        <f t="shared" si="58"/>
        <v>121</v>
      </c>
      <c r="G101" s="3951">
        <f t="shared" si="58"/>
        <v>217</v>
      </c>
      <c r="H101" s="3952">
        <f t="shared" si="58"/>
        <v>182</v>
      </c>
      <c r="I101" s="3921">
        <f t="shared" si="58"/>
        <v>399</v>
      </c>
    </row>
  </sheetData>
  <mergeCells count="31">
    <mergeCell ref="G3:I3"/>
    <mergeCell ref="A3:A4"/>
    <mergeCell ref="B3:B4"/>
    <mergeCell ref="C3:C4"/>
    <mergeCell ref="D3:F3"/>
    <mergeCell ref="A5:A25"/>
    <mergeCell ref="B5:B15"/>
    <mergeCell ref="B16:B20"/>
    <mergeCell ref="B21:B24"/>
    <mergeCell ref="B25:C25"/>
    <mergeCell ref="A26:A39"/>
    <mergeCell ref="B26:B29"/>
    <mergeCell ref="B30:B34"/>
    <mergeCell ref="B35:B38"/>
    <mergeCell ref="B39:C39"/>
    <mergeCell ref="A40:A69"/>
    <mergeCell ref="B40:B49"/>
    <mergeCell ref="B50:B61"/>
    <mergeCell ref="B62:B68"/>
    <mergeCell ref="B69:C69"/>
    <mergeCell ref="A70:A77"/>
    <mergeCell ref="B70:B71"/>
    <mergeCell ref="B72:B73"/>
    <mergeCell ref="B74:B76"/>
    <mergeCell ref="B77:C77"/>
    <mergeCell ref="A101:C101"/>
    <mergeCell ref="A78:A99"/>
    <mergeCell ref="B78:B84"/>
    <mergeCell ref="B85:B93"/>
    <mergeCell ref="B94:B98"/>
    <mergeCell ref="B99:C99"/>
  </mergeCells>
  <printOptions horizontalCentered="1" verticalCentered="1"/>
  <pageMargins left="0.74803149606299213" right="0.74803149606299213" top="0.59055118110236227" bottom="0.59055118110236227" header="0.51181102362204722" footer="0.51181102362204722"/>
  <pageSetup scale="54" orientation="landscape" horizontalDpi="4294967292" verticalDpi="4294967292" r:id="rId1"/>
  <rowBreaks count="1" manualBreakCount="1">
    <brk id="38" max="16383" man="1"/>
  </rowBreaks>
  <ignoredErrors>
    <ignoredError sqref="I20 I61:I73 I93 F15:F20 F34 I29:I34 F61:F72 F93" formula="1"/>
  </ignoredError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A1:H37"/>
  <sheetViews>
    <sheetView showGridLines="0" workbookViewId="0">
      <selection activeCell="J9" sqref="J9"/>
    </sheetView>
  </sheetViews>
  <sheetFormatPr baseColWidth="10" defaultRowHeight="15" x14ac:dyDescent="0.25"/>
  <cols>
    <col min="1" max="1" width="15" style="251" bestFit="1" customWidth="1"/>
    <col min="2" max="2" width="11.42578125" style="251"/>
    <col min="3" max="3" width="10.42578125" style="251" bestFit="1" customWidth="1"/>
    <col min="4" max="4" width="10" style="251" bestFit="1" customWidth="1"/>
    <col min="5" max="5" width="7.7109375" style="251" customWidth="1"/>
    <col min="6" max="6" width="10.42578125" style="251" bestFit="1" customWidth="1"/>
    <col min="7" max="7" width="10" style="251" bestFit="1" customWidth="1"/>
    <col min="8" max="8" width="7.7109375" style="251" customWidth="1"/>
    <col min="9" max="16384" width="11.42578125" style="251"/>
  </cols>
  <sheetData>
    <row r="1" spans="1:8" ht="18.75" x14ac:dyDescent="0.25">
      <c r="A1" s="4145" t="s">
        <v>1344</v>
      </c>
      <c r="B1" s="3974"/>
      <c r="C1" s="3974"/>
    </row>
    <row r="3" spans="1:8" x14ac:dyDescent="0.25">
      <c r="A3" s="5999" t="s">
        <v>16</v>
      </c>
      <c r="B3" s="5999" t="s">
        <v>4</v>
      </c>
      <c r="C3" s="5971">
        <v>2014</v>
      </c>
      <c r="D3" s="5972"/>
      <c r="E3" s="5973"/>
      <c r="F3" s="5971">
        <v>2015</v>
      </c>
      <c r="G3" s="5972"/>
      <c r="H3" s="5973"/>
    </row>
    <row r="4" spans="1:8" x14ac:dyDescent="0.25">
      <c r="A4" s="5993"/>
      <c r="B4" s="5993"/>
      <c r="C4" s="3906" t="s">
        <v>1347</v>
      </c>
      <c r="D4" s="3906" t="s">
        <v>676</v>
      </c>
      <c r="E4" s="3909" t="s">
        <v>160</v>
      </c>
      <c r="F4" s="3906" t="s">
        <v>1347</v>
      </c>
      <c r="G4" s="3906" t="s">
        <v>676</v>
      </c>
      <c r="H4" s="3909" t="s">
        <v>160</v>
      </c>
    </row>
    <row r="5" spans="1:8" x14ac:dyDescent="0.25">
      <c r="A5" s="3895"/>
      <c r="B5" s="3895"/>
      <c r="C5" s="3895"/>
      <c r="D5" s="3895"/>
      <c r="E5" s="3895"/>
      <c r="F5" s="3895"/>
      <c r="G5" s="3895"/>
      <c r="H5" s="3895"/>
    </row>
    <row r="6" spans="1:8" x14ac:dyDescent="0.25">
      <c r="A6" s="5989" t="s">
        <v>3</v>
      </c>
      <c r="B6" s="3896" t="s">
        <v>5</v>
      </c>
      <c r="C6" s="3897">
        <f>SUM('6 Mov Inter Lic plan'!D15)</f>
        <v>3</v>
      </c>
      <c r="D6" s="3898">
        <f>SUM('6 Mov Inter Lic plan'!E15)</f>
        <v>15</v>
      </c>
      <c r="E6" s="3898">
        <f>SUM(C6:D6)</f>
        <v>18</v>
      </c>
      <c r="F6" s="3897">
        <f>SUM('6 Mov Inter Lic plan'!G15)</f>
        <v>20</v>
      </c>
      <c r="G6" s="3898">
        <f>SUM('6 Mov Inter Lic plan'!H15)</f>
        <v>30</v>
      </c>
      <c r="H6" s="3898">
        <f>SUM(F6:G6)</f>
        <v>50</v>
      </c>
    </row>
    <row r="7" spans="1:8" x14ac:dyDescent="0.25">
      <c r="A7" s="5990"/>
      <c r="B7" s="3899" t="s">
        <v>6</v>
      </c>
      <c r="C7" s="3900">
        <f>+'6 Mov Inter Lic plan'!D20</f>
        <v>4</v>
      </c>
      <c r="D7" s="3901">
        <f>+'6 Mov Inter Lic plan'!E20</f>
        <v>2</v>
      </c>
      <c r="E7" s="3901">
        <f t="shared" ref="E7:E8" si="0">SUM(C7:D7)</f>
        <v>6</v>
      </c>
      <c r="F7" s="3900">
        <f>+'6 Mov Inter Lic plan'!G20</f>
        <v>38</v>
      </c>
      <c r="G7" s="3901">
        <f>+'6 Mov Inter Lic plan'!H20</f>
        <v>21</v>
      </c>
      <c r="H7" s="3901">
        <f t="shared" ref="H7:H8" si="1">SUM(F7:G7)</f>
        <v>59</v>
      </c>
    </row>
    <row r="8" spans="1:8" x14ac:dyDescent="0.25">
      <c r="A8" s="5990"/>
      <c r="B8" s="3899" t="s">
        <v>7</v>
      </c>
      <c r="C8" s="3900">
        <f>+'6 Mov Inter Lic plan'!D24</f>
        <v>7</v>
      </c>
      <c r="D8" s="3901">
        <f>+'6 Mov Inter Lic plan'!E24</f>
        <v>5</v>
      </c>
      <c r="E8" s="3901">
        <f t="shared" si="0"/>
        <v>12</v>
      </c>
      <c r="F8" s="3900">
        <f>+'6 Mov Inter Lic plan'!G24</f>
        <v>27</v>
      </c>
      <c r="G8" s="3901">
        <f>+'6 Mov Inter Lic plan'!H24</f>
        <v>19</v>
      </c>
      <c r="H8" s="3901">
        <f t="shared" si="1"/>
        <v>46</v>
      </c>
    </row>
    <row r="9" spans="1:8" x14ac:dyDescent="0.25">
      <c r="A9" s="5991"/>
      <c r="B9" s="2749" t="s">
        <v>160</v>
      </c>
      <c r="C9" s="2750">
        <f t="shared" ref="C9:H9" si="2">SUM(C6:C8)</f>
        <v>14</v>
      </c>
      <c r="D9" s="2751">
        <f t="shared" si="2"/>
        <v>22</v>
      </c>
      <c r="E9" s="2751">
        <f t="shared" si="2"/>
        <v>36</v>
      </c>
      <c r="F9" s="2750">
        <f t="shared" si="2"/>
        <v>85</v>
      </c>
      <c r="G9" s="2751">
        <f t="shared" si="2"/>
        <v>70</v>
      </c>
      <c r="H9" s="2751">
        <f t="shared" si="2"/>
        <v>155</v>
      </c>
    </row>
    <row r="10" spans="1:8" x14ac:dyDescent="0.25">
      <c r="A10" s="3902"/>
      <c r="B10" s="3902"/>
      <c r="C10" s="3902"/>
      <c r="D10" s="3902"/>
      <c r="F10" s="3902"/>
      <c r="G10" s="3902"/>
    </row>
    <row r="11" spans="1:8" x14ac:dyDescent="0.25">
      <c r="A11" s="5974" t="s">
        <v>8</v>
      </c>
      <c r="B11" s="3896" t="s">
        <v>6</v>
      </c>
      <c r="C11" s="3897">
        <f>+'6 Mov Inter Lic plan'!D38</f>
        <v>4</v>
      </c>
      <c r="D11" s="3898">
        <f>+'6 Mov Inter Lic plan'!E38</f>
        <v>2</v>
      </c>
      <c r="E11" s="3898">
        <f>SUM(C11:D11)</f>
        <v>6</v>
      </c>
      <c r="F11" s="3897">
        <f>+'6 Mov Inter Lic plan'!G38</f>
        <v>10</v>
      </c>
      <c r="G11" s="3898">
        <f>+'6 Mov Inter Lic plan'!H38</f>
        <v>4</v>
      </c>
      <c r="H11" s="3898">
        <f>SUM(F11:G11)</f>
        <v>14</v>
      </c>
    </row>
    <row r="12" spans="1:8" x14ac:dyDescent="0.25">
      <c r="A12" s="5975"/>
      <c r="B12" s="3899" t="s">
        <v>9</v>
      </c>
      <c r="C12" s="3900">
        <f>+'6 Mov Inter Lic plan'!D29</f>
        <v>11</v>
      </c>
      <c r="D12" s="3901">
        <f>+'6 Mov Inter Lic plan'!E29</f>
        <v>7</v>
      </c>
      <c r="E12" s="3901">
        <f t="shared" ref="E12:E13" si="3">SUM(C12:D12)</f>
        <v>18</v>
      </c>
      <c r="F12" s="3900">
        <f>+'6 Mov Inter Lic plan'!G29</f>
        <v>13</v>
      </c>
      <c r="G12" s="3901">
        <f>+'6 Mov Inter Lic plan'!H29</f>
        <v>10</v>
      </c>
      <c r="H12" s="3901">
        <f t="shared" ref="H12:H13" si="4">SUM(F12:G12)</f>
        <v>23</v>
      </c>
    </row>
    <row r="13" spans="1:8" x14ac:dyDescent="0.25">
      <c r="A13" s="5975"/>
      <c r="B13" s="3899" t="s">
        <v>74</v>
      </c>
      <c r="C13" s="3900">
        <f>+'6 Mov Inter Lic plan'!D34</f>
        <v>4</v>
      </c>
      <c r="D13" s="3901">
        <f>+'6 Mov Inter Lic plan'!E34</f>
        <v>4</v>
      </c>
      <c r="E13" s="3901">
        <f t="shared" si="3"/>
        <v>8</v>
      </c>
      <c r="F13" s="3900">
        <f>+'6 Mov Inter Lic plan'!G34</f>
        <v>4</v>
      </c>
      <c r="G13" s="3901">
        <f>+'6 Mov Inter Lic plan'!H34</f>
        <v>6</v>
      </c>
      <c r="H13" s="3901">
        <f t="shared" si="4"/>
        <v>10</v>
      </c>
    </row>
    <row r="14" spans="1:8" x14ac:dyDescent="0.25">
      <c r="A14" s="5976"/>
      <c r="B14" s="2746" t="s">
        <v>160</v>
      </c>
      <c r="C14" s="2747">
        <f t="shared" ref="C14:H14" si="5">SUM(C11:C13)</f>
        <v>19</v>
      </c>
      <c r="D14" s="2748">
        <f t="shared" si="5"/>
        <v>13</v>
      </c>
      <c r="E14" s="2746">
        <f t="shared" si="5"/>
        <v>32</v>
      </c>
      <c r="F14" s="2747">
        <f t="shared" si="5"/>
        <v>27</v>
      </c>
      <c r="G14" s="2748">
        <f t="shared" si="5"/>
        <v>20</v>
      </c>
      <c r="H14" s="2746">
        <f t="shared" si="5"/>
        <v>47</v>
      </c>
    </row>
    <row r="15" spans="1:8" x14ac:dyDescent="0.25">
      <c r="A15" s="3895"/>
      <c r="B15" s="3895"/>
      <c r="C15" s="3903"/>
      <c r="D15" s="3903"/>
      <c r="F15" s="3903"/>
      <c r="G15" s="3903"/>
    </row>
    <row r="16" spans="1:8" x14ac:dyDescent="0.25">
      <c r="A16" s="5977" t="s">
        <v>75</v>
      </c>
      <c r="B16" s="3896" t="s">
        <v>5</v>
      </c>
      <c r="C16" s="3897">
        <f>+'6 Mov Inter Lic plan'!D49</f>
        <v>1</v>
      </c>
      <c r="D16" s="3898">
        <f>+'6 Mov Inter Lic plan'!E49</f>
        <v>2</v>
      </c>
      <c r="E16" s="3898">
        <f>SUM(C16:D16)</f>
        <v>3</v>
      </c>
      <c r="F16" s="3897">
        <f>+'6 Mov Inter Lic plan'!G49</f>
        <v>7</v>
      </c>
      <c r="G16" s="3898">
        <f>+'6 Mov Inter Lic plan'!H49</f>
        <v>17</v>
      </c>
      <c r="H16" s="3898">
        <f>SUM(F16:G16)</f>
        <v>24</v>
      </c>
    </row>
    <row r="17" spans="1:8" x14ac:dyDescent="0.25">
      <c r="A17" s="5978"/>
      <c r="B17" s="3899" t="s">
        <v>6</v>
      </c>
      <c r="C17" s="3900">
        <f>+'6 Mov Inter Lic plan'!D61</f>
        <v>4</v>
      </c>
      <c r="D17" s="3901">
        <f>+'6 Mov Inter Lic plan'!E61</f>
        <v>7</v>
      </c>
      <c r="E17" s="3901">
        <f t="shared" ref="E17:E18" si="6">SUM(C17:D17)</f>
        <v>11</v>
      </c>
      <c r="F17" s="3900">
        <f>+'6 Mov Inter Lic plan'!G61</f>
        <v>20</v>
      </c>
      <c r="G17" s="3901">
        <f>+'6 Mov Inter Lic plan'!H61</f>
        <v>9</v>
      </c>
      <c r="H17" s="3901">
        <f t="shared" ref="H17:H18" si="7">SUM(F17:G17)</f>
        <v>29</v>
      </c>
    </row>
    <row r="18" spans="1:8" x14ac:dyDescent="0.25">
      <c r="A18" s="5978"/>
      <c r="B18" s="3899" t="s">
        <v>11</v>
      </c>
      <c r="C18" s="3900">
        <f>+'6 Mov Inter Lic plan'!D68</f>
        <v>1</v>
      </c>
      <c r="D18" s="3901">
        <f>+'6 Mov Inter Lic plan'!E68</f>
        <v>0</v>
      </c>
      <c r="E18" s="3901">
        <f t="shared" si="6"/>
        <v>1</v>
      </c>
      <c r="F18" s="3900">
        <f>+'6 Mov Inter Lic plan'!G68</f>
        <v>9</v>
      </c>
      <c r="G18" s="3901">
        <f>+'6 Mov Inter Lic plan'!H68</f>
        <v>7</v>
      </c>
      <c r="H18" s="3901">
        <f t="shared" si="7"/>
        <v>16</v>
      </c>
    </row>
    <row r="19" spans="1:8" x14ac:dyDescent="0.25">
      <c r="A19" s="5979"/>
      <c r="B19" s="2743" t="s">
        <v>160</v>
      </c>
      <c r="C19" s="2744">
        <f t="shared" ref="C19:H19" si="8">SUM(C16:C18)</f>
        <v>6</v>
      </c>
      <c r="D19" s="2745">
        <f t="shared" si="8"/>
        <v>9</v>
      </c>
      <c r="E19" s="2745">
        <f t="shared" si="8"/>
        <v>15</v>
      </c>
      <c r="F19" s="2744">
        <f t="shared" si="8"/>
        <v>36</v>
      </c>
      <c r="G19" s="2745">
        <f t="shared" si="8"/>
        <v>33</v>
      </c>
      <c r="H19" s="2745">
        <f t="shared" si="8"/>
        <v>69</v>
      </c>
    </row>
    <row r="21" spans="1:8" x14ac:dyDescent="0.25">
      <c r="A21" s="5986" t="s">
        <v>326</v>
      </c>
      <c r="B21" s="3896" t="s">
        <v>5</v>
      </c>
      <c r="C21" s="3897">
        <f>+'6 Mov Inter Lic plan'!D71</f>
        <v>1</v>
      </c>
      <c r="D21" s="3898">
        <f>+'6 Mov Inter Lic plan'!E71</f>
        <v>0</v>
      </c>
      <c r="E21" s="3898">
        <f>SUM(C21:D21)</f>
        <v>1</v>
      </c>
      <c r="F21" s="3897">
        <f>+'6 Mov Inter Lic plan'!G71</f>
        <v>1</v>
      </c>
      <c r="G21" s="3898">
        <f>+'6 Mov Inter Lic plan'!H71</f>
        <v>4</v>
      </c>
      <c r="H21" s="3898">
        <f>SUM(F21:G21)</f>
        <v>5</v>
      </c>
    </row>
    <row r="22" spans="1:8" x14ac:dyDescent="0.25">
      <c r="A22" s="5987"/>
      <c r="B22" s="3899" t="s">
        <v>6</v>
      </c>
      <c r="C22" s="3900">
        <f>+'6 Mov Inter Lic plan'!D73</f>
        <v>1</v>
      </c>
      <c r="D22" s="3901">
        <f>+'6 Mov Inter Lic plan'!E73</f>
        <v>2</v>
      </c>
      <c r="E22" s="3901">
        <f t="shared" ref="E22:E23" si="9">SUM(C22:D22)</f>
        <v>3</v>
      </c>
      <c r="F22" s="3900">
        <f>+'6 Mov Inter Lic plan'!G73</f>
        <v>0</v>
      </c>
      <c r="G22" s="3901">
        <f>+'6 Mov Inter Lic plan'!H73</f>
        <v>1</v>
      </c>
      <c r="H22" s="3901">
        <f t="shared" ref="H22:H23" si="10">SUM(F22:G22)</f>
        <v>1</v>
      </c>
    </row>
    <row r="23" spans="1:8" x14ac:dyDescent="0.25">
      <c r="A23" s="5987"/>
      <c r="B23" s="3899" t="s">
        <v>11</v>
      </c>
      <c r="C23" s="3900">
        <f>+'6 Mov Inter Lic plan'!D76</f>
        <v>0</v>
      </c>
      <c r="D23" s="3901">
        <f>+'6 Mov Inter Lic plan'!E76</f>
        <v>0</v>
      </c>
      <c r="E23" s="3901">
        <f t="shared" si="9"/>
        <v>0</v>
      </c>
      <c r="F23" s="3900">
        <f>+'6 Mov Inter Lic plan'!G76</f>
        <v>3</v>
      </c>
      <c r="G23" s="3901">
        <f>+'6 Mov Inter Lic plan'!H76</f>
        <v>0</v>
      </c>
      <c r="H23" s="3901">
        <f t="shared" si="10"/>
        <v>3</v>
      </c>
    </row>
    <row r="24" spans="1:8" x14ac:dyDescent="0.25">
      <c r="A24" s="5988"/>
      <c r="B24" s="3911" t="s">
        <v>160</v>
      </c>
      <c r="C24" s="3912">
        <f t="shared" ref="C24:H24" si="11">SUM(C21:C23)</f>
        <v>2</v>
      </c>
      <c r="D24" s="3913">
        <f t="shared" si="11"/>
        <v>2</v>
      </c>
      <c r="E24" s="3913">
        <f t="shared" si="11"/>
        <v>4</v>
      </c>
      <c r="F24" s="3912">
        <f t="shared" si="11"/>
        <v>4</v>
      </c>
      <c r="G24" s="3913">
        <f t="shared" si="11"/>
        <v>5</v>
      </c>
      <c r="H24" s="3913">
        <f t="shared" si="11"/>
        <v>9</v>
      </c>
    </row>
    <row r="25" spans="1:8" x14ac:dyDescent="0.25">
      <c r="A25" s="1631"/>
      <c r="B25" s="3895"/>
      <c r="C25" s="3903"/>
      <c r="D25" s="3903"/>
      <c r="F25" s="3903"/>
      <c r="G25" s="3903"/>
    </row>
    <row r="26" spans="1:8" x14ac:dyDescent="0.25">
      <c r="A26" s="5980" t="s">
        <v>10</v>
      </c>
      <c r="B26" s="3896" t="s">
        <v>6</v>
      </c>
      <c r="C26" s="3897">
        <f>+'6 Mov Inter Lic plan'!D84</f>
        <v>7</v>
      </c>
      <c r="D26" s="3898">
        <f>+'6 Mov Inter Lic plan'!E84</f>
        <v>8</v>
      </c>
      <c r="E26" s="3898">
        <f>SUM(C26:D26)</f>
        <v>15</v>
      </c>
      <c r="F26" s="3897">
        <f>+'6 Mov Inter Lic plan'!G84</f>
        <v>27</v>
      </c>
      <c r="G26" s="3898">
        <f>+'6 Mov Inter Lic plan'!H84</f>
        <v>15</v>
      </c>
      <c r="H26" s="3898">
        <f>SUM(F26:G26)</f>
        <v>42</v>
      </c>
    </row>
    <row r="27" spans="1:8" x14ac:dyDescent="0.25">
      <c r="A27" s="5981"/>
      <c r="B27" s="3899" t="s">
        <v>11</v>
      </c>
      <c r="C27" s="3900">
        <f>+'6 Mov Inter Lic plan'!D93</f>
        <v>7</v>
      </c>
      <c r="D27" s="3901">
        <f>+'6 Mov Inter Lic plan'!E93</f>
        <v>2</v>
      </c>
      <c r="E27" s="3901">
        <f t="shared" ref="E27:E28" si="12">SUM(C27:D27)</f>
        <v>9</v>
      </c>
      <c r="F27" s="3900">
        <f>+'6 Mov Inter Lic plan'!G93</f>
        <v>16</v>
      </c>
      <c r="G27" s="3901">
        <f>+'6 Mov Inter Lic plan'!H93</f>
        <v>15</v>
      </c>
      <c r="H27" s="3901">
        <f t="shared" ref="H27:H28" si="13">SUM(F27:G27)</f>
        <v>31</v>
      </c>
    </row>
    <row r="28" spans="1:8" x14ac:dyDescent="0.25">
      <c r="A28" s="5981"/>
      <c r="B28" s="3899" t="s">
        <v>7</v>
      </c>
      <c r="C28" s="3900">
        <f>+'6 Mov Inter Lic plan'!D98</f>
        <v>8</v>
      </c>
      <c r="D28" s="3901">
        <f>+'6 Mov Inter Lic plan'!E98</f>
        <v>2</v>
      </c>
      <c r="E28" s="3901">
        <f t="shared" si="12"/>
        <v>10</v>
      </c>
      <c r="F28" s="3900">
        <f>+'6 Mov Inter Lic plan'!G98</f>
        <v>22</v>
      </c>
      <c r="G28" s="3901">
        <f>+'6 Mov Inter Lic plan'!H98</f>
        <v>24</v>
      </c>
      <c r="H28" s="3901">
        <f t="shared" si="13"/>
        <v>46</v>
      </c>
    </row>
    <row r="29" spans="1:8" x14ac:dyDescent="0.25">
      <c r="A29" s="5982"/>
      <c r="B29" s="2740" t="s">
        <v>160</v>
      </c>
      <c r="C29" s="2741">
        <f t="shared" ref="C29:H29" si="14">SUM(C26:C28)</f>
        <v>22</v>
      </c>
      <c r="D29" s="2742">
        <f t="shared" si="14"/>
        <v>12</v>
      </c>
      <c r="E29" s="2742">
        <f t="shared" si="14"/>
        <v>34</v>
      </c>
      <c r="F29" s="2741">
        <f t="shared" si="14"/>
        <v>65</v>
      </c>
      <c r="G29" s="2742">
        <f t="shared" si="14"/>
        <v>54</v>
      </c>
      <c r="H29" s="2742">
        <f t="shared" si="14"/>
        <v>119</v>
      </c>
    </row>
    <row r="30" spans="1:8" x14ac:dyDescent="0.25">
      <c r="A30" s="3895"/>
      <c r="B30" s="3895"/>
      <c r="C30" s="3903"/>
      <c r="D30" s="3903"/>
      <c r="E30" s="3903"/>
      <c r="F30" s="3903"/>
      <c r="G30" s="3903"/>
      <c r="H30" s="3903"/>
    </row>
    <row r="31" spans="1:8" x14ac:dyDescent="0.25">
      <c r="A31" s="5983" t="s">
        <v>60</v>
      </c>
      <c r="B31" s="3896" t="s">
        <v>5</v>
      </c>
      <c r="C31" s="3897">
        <f>SUM(C6,C16,C21)</f>
        <v>5</v>
      </c>
      <c r="D31" s="3898">
        <f t="shared" ref="D31:E31" si="15">SUM(D6,D16,D21)</f>
        <v>17</v>
      </c>
      <c r="E31" s="3896">
        <f t="shared" si="15"/>
        <v>22</v>
      </c>
      <c r="F31" s="3897">
        <f>SUM(F6,F16,F21)</f>
        <v>28</v>
      </c>
      <c r="G31" s="3898">
        <f t="shared" ref="G31:H31" si="16">SUM(G6,G16,G21)</f>
        <v>51</v>
      </c>
      <c r="H31" s="3896">
        <f t="shared" si="16"/>
        <v>79</v>
      </c>
    </row>
    <row r="32" spans="1:8" x14ac:dyDescent="0.25">
      <c r="A32" s="5984"/>
      <c r="B32" s="3899" t="s">
        <v>6</v>
      </c>
      <c r="C32" s="3900">
        <f>SUM(C7,C11,C17,C22,C26)</f>
        <v>20</v>
      </c>
      <c r="D32" s="3901">
        <f t="shared" ref="D32:E32" si="17">SUM(D7,D11,D17,D22,D26)</f>
        <v>21</v>
      </c>
      <c r="E32" s="3899">
        <f t="shared" si="17"/>
        <v>41</v>
      </c>
      <c r="F32" s="3900">
        <f>SUM(F7,F11,F17,F22,F26)</f>
        <v>95</v>
      </c>
      <c r="G32" s="3901">
        <f t="shared" ref="G32:H32" si="18">SUM(G7,G11,G17,G22,G26)</f>
        <v>50</v>
      </c>
      <c r="H32" s="3899">
        <f t="shared" si="18"/>
        <v>145</v>
      </c>
    </row>
    <row r="33" spans="1:8" x14ac:dyDescent="0.25">
      <c r="A33" s="5984"/>
      <c r="B33" s="3899" t="s">
        <v>11</v>
      </c>
      <c r="C33" s="3900">
        <f>SUM(C18,C23,C27)</f>
        <v>8</v>
      </c>
      <c r="D33" s="3901">
        <f t="shared" ref="D33:E33" si="19">SUM(D18,D23,D27)</f>
        <v>2</v>
      </c>
      <c r="E33" s="3899">
        <f t="shared" si="19"/>
        <v>10</v>
      </c>
      <c r="F33" s="3900">
        <f>SUM(F18,F23,F27)</f>
        <v>28</v>
      </c>
      <c r="G33" s="3901">
        <f t="shared" ref="G33:H33" si="20">SUM(G18,G23,G27)</f>
        <v>22</v>
      </c>
      <c r="H33" s="3899">
        <f t="shared" si="20"/>
        <v>50</v>
      </c>
    </row>
    <row r="34" spans="1:8" x14ac:dyDescent="0.25">
      <c r="A34" s="5984"/>
      <c r="B34" s="3899" t="s">
        <v>7</v>
      </c>
      <c r="C34" s="3900">
        <f>SUM(C8,C28)</f>
        <v>15</v>
      </c>
      <c r="D34" s="3901">
        <f t="shared" ref="D34:E34" si="21">SUM(D8,D28)</f>
        <v>7</v>
      </c>
      <c r="E34" s="3899">
        <f t="shared" si="21"/>
        <v>22</v>
      </c>
      <c r="F34" s="3900">
        <f>SUM(F8,F28)</f>
        <v>49</v>
      </c>
      <c r="G34" s="3901">
        <f t="shared" ref="G34:H34" si="22">SUM(G8,G28)</f>
        <v>43</v>
      </c>
      <c r="H34" s="3899">
        <f t="shared" si="22"/>
        <v>92</v>
      </c>
    </row>
    <row r="35" spans="1:8" x14ac:dyDescent="0.25">
      <c r="A35" s="5984"/>
      <c r="B35" s="3899" t="s">
        <v>9</v>
      </c>
      <c r="C35" s="3900">
        <f>SUM(C12)</f>
        <v>11</v>
      </c>
      <c r="D35" s="3901">
        <f t="shared" ref="D35:E35" si="23">SUM(D12)</f>
        <v>7</v>
      </c>
      <c r="E35" s="3899">
        <f t="shared" si="23"/>
        <v>18</v>
      </c>
      <c r="F35" s="3900">
        <f>SUM(F12)</f>
        <v>13</v>
      </c>
      <c r="G35" s="3901">
        <f t="shared" ref="G35:H36" si="24">SUM(G12)</f>
        <v>10</v>
      </c>
      <c r="H35" s="3899">
        <f t="shared" si="24"/>
        <v>23</v>
      </c>
    </row>
    <row r="36" spans="1:8" x14ac:dyDescent="0.25">
      <c r="A36" s="5984"/>
      <c r="B36" s="3899" t="s">
        <v>74</v>
      </c>
      <c r="C36" s="3904">
        <f>SUM(C13)</f>
        <v>4</v>
      </c>
      <c r="D36" s="3905">
        <f t="shared" ref="D36:E36" si="25">SUM(D13)</f>
        <v>4</v>
      </c>
      <c r="E36" s="3907">
        <f t="shared" si="25"/>
        <v>8</v>
      </c>
      <c r="F36" s="3904">
        <f>SUM(F13)</f>
        <v>4</v>
      </c>
      <c r="G36" s="3905">
        <f t="shared" si="24"/>
        <v>6</v>
      </c>
      <c r="H36" s="3907">
        <f t="shared" si="24"/>
        <v>10</v>
      </c>
    </row>
    <row r="37" spans="1:8" x14ac:dyDescent="0.25">
      <c r="A37" s="5985"/>
      <c r="B37" s="1799" t="s">
        <v>160</v>
      </c>
      <c r="C37" s="1799">
        <f t="shared" ref="C37:E37" si="26">SUM(C31:C36)</f>
        <v>63</v>
      </c>
      <c r="D37" s="1800">
        <f t="shared" si="26"/>
        <v>58</v>
      </c>
      <c r="E37" s="3908">
        <f t="shared" si="26"/>
        <v>121</v>
      </c>
      <c r="F37" s="1799">
        <f t="shared" ref="F37:H37" si="27">SUM(F31:F36)</f>
        <v>217</v>
      </c>
      <c r="G37" s="1800">
        <f t="shared" si="27"/>
        <v>182</v>
      </c>
      <c r="H37" s="3908">
        <f t="shared" si="27"/>
        <v>399</v>
      </c>
    </row>
  </sheetData>
  <mergeCells count="10">
    <mergeCell ref="A26:A29"/>
    <mergeCell ref="A31:A37"/>
    <mergeCell ref="A3:A4"/>
    <mergeCell ref="B3:B4"/>
    <mergeCell ref="F3:H3"/>
    <mergeCell ref="A6:A9"/>
    <mergeCell ref="A11:A14"/>
    <mergeCell ref="A16:A19"/>
    <mergeCell ref="A21:A24"/>
    <mergeCell ref="C3:E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AO93"/>
  <sheetViews>
    <sheetView showGridLines="0" zoomScaleNormal="100" zoomScaleSheetLayoutView="100" workbookViewId="0">
      <pane xSplit="2" ySplit="5" topLeftCell="Z6" activePane="bottomRight" state="frozen"/>
      <selection pane="topRight" activeCell="D1" sqref="D1"/>
      <selection pane="bottomLeft" activeCell="A8" sqref="A8"/>
      <selection pane="bottomRight" activeCell="U54" sqref="U54"/>
    </sheetView>
  </sheetViews>
  <sheetFormatPr baseColWidth="10" defaultRowHeight="12.75" x14ac:dyDescent="0.2"/>
  <cols>
    <col min="1" max="1" width="13.140625" style="184" customWidth="1"/>
    <col min="2" max="2" width="9.140625" style="184" bestFit="1" customWidth="1"/>
    <col min="3" max="41" width="8.7109375" style="184" customWidth="1"/>
    <col min="42" max="255" width="11.42578125" style="184"/>
    <col min="256" max="256" width="0.28515625" style="184" customWidth="1"/>
    <col min="257" max="257" width="23.7109375" style="184" customWidth="1"/>
    <col min="258" max="258" width="13" style="184" customWidth="1"/>
    <col min="259" max="260" width="9.7109375" style="184" bestFit="1" customWidth="1"/>
    <col min="261" max="261" width="10.7109375" style="184" customWidth="1"/>
    <col min="262" max="263" width="9.7109375" style="184" bestFit="1" customWidth="1"/>
    <col min="264" max="264" width="10.7109375" style="184" customWidth="1"/>
    <col min="265" max="266" width="9.7109375" style="184" bestFit="1" customWidth="1"/>
    <col min="267" max="267" width="10.7109375" style="184" customWidth="1"/>
    <col min="268" max="269" width="9.7109375" style="184" bestFit="1" customWidth="1"/>
    <col min="270" max="270" width="10.7109375" style="184" customWidth="1"/>
    <col min="271" max="272" width="9.7109375" style="184" bestFit="1" customWidth="1"/>
    <col min="273" max="273" width="10.7109375" style="184" customWidth="1"/>
    <col min="274" max="274" width="9.140625" style="184" bestFit="1" customWidth="1"/>
    <col min="275" max="275" width="9.7109375" style="184" bestFit="1" customWidth="1"/>
    <col min="276" max="276" width="10.7109375" style="184" customWidth="1"/>
    <col min="277" max="278" width="9.7109375" style="184" bestFit="1" customWidth="1"/>
    <col min="279" max="279" width="10.7109375" style="184" customWidth="1"/>
    <col min="280" max="280" width="9.7109375" style="184" bestFit="1" customWidth="1"/>
    <col min="281" max="281" width="7.28515625" style="184" bestFit="1" customWidth="1"/>
    <col min="282" max="282" width="10.7109375" style="184" customWidth="1"/>
    <col min="283" max="511" width="11.42578125" style="184"/>
    <col min="512" max="512" width="0.28515625" style="184" customWidth="1"/>
    <col min="513" max="513" width="23.7109375" style="184" customWidth="1"/>
    <col min="514" max="514" width="13" style="184" customWidth="1"/>
    <col min="515" max="516" width="9.7109375" style="184" bestFit="1" customWidth="1"/>
    <col min="517" max="517" width="10.7109375" style="184" customWidth="1"/>
    <col min="518" max="519" width="9.7109375" style="184" bestFit="1" customWidth="1"/>
    <col min="520" max="520" width="10.7109375" style="184" customWidth="1"/>
    <col min="521" max="522" width="9.7109375" style="184" bestFit="1" customWidth="1"/>
    <col min="523" max="523" width="10.7109375" style="184" customWidth="1"/>
    <col min="524" max="525" width="9.7109375" style="184" bestFit="1" customWidth="1"/>
    <col min="526" max="526" width="10.7109375" style="184" customWidth="1"/>
    <col min="527" max="528" width="9.7109375" style="184" bestFit="1" customWidth="1"/>
    <col min="529" max="529" width="10.7109375" style="184" customWidth="1"/>
    <col min="530" max="530" width="9.140625" style="184" bestFit="1" customWidth="1"/>
    <col min="531" max="531" width="9.7109375" style="184" bestFit="1" customWidth="1"/>
    <col min="532" max="532" width="10.7109375" style="184" customWidth="1"/>
    <col min="533" max="534" width="9.7109375" style="184" bestFit="1" customWidth="1"/>
    <col min="535" max="535" width="10.7109375" style="184" customWidth="1"/>
    <col min="536" max="536" width="9.7109375" style="184" bestFit="1" customWidth="1"/>
    <col min="537" max="537" width="7.28515625" style="184" bestFit="1" customWidth="1"/>
    <col min="538" max="538" width="10.7109375" style="184" customWidth="1"/>
    <col min="539" max="767" width="11.42578125" style="184"/>
    <col min="768" max="768" width="0.28515625" style="184" customWidth="1"/>
    <col min="769" max="769" width="23.7109375" style="184" customWidth="1"/>
    <col min="770" max="770" width="13" style="184" customWidth="1"/>
    <col min="771" max="772" width="9.7109375" style="184" bestFit="1" customWidth="1"/>
    <col min="773" max="773" width="10.7109375" style="184" customWidth="1"/>
    <col min="774" max="775" width="9.7109375" style="184" bestFit="1" customWidth="1"/>
    <col min="776" max="776" width="10.7109375" style="184" customWidth="1"/>
    <col min="777" max="778" width="9.7109375" style="184" bestFit="1" customWidth="1"/>
    <col min="779" max="779" width="10.7109375" style="184" customWidth="1"/>
    <col min="780" max="781" width="9.7109375" style="184" bestFit="1" customWidth="1"/>
    <col min="782" max="782" width="10.7109375" style="184" customWidth="1"/>
    <col min="783" max="784" width="9.7109375" style="184" bestFit="1" customWidth="1"/>
    <col min="785" max="785" width="10.7109375" style="184" customWidth="1"/>
    <col min="786" max="786" width="9.140625" style="184" bestFit="1" customWidth="1"/>
    <col min="787" max="787" width="9.7109375" style="184" bestFit="1" customWidth="1"/>
    <col min="788" max="788" width="10.7109375" style="184" customWidth="1"/>
    <col min="789" max="790" width="9.7109375" style="184" bestFit="1" customWidth="1"/>
    <col min="791" max="791" width="10.7109375" style="184" customWidth="1"/>
    <col min="792" max="792" width="9.7109375" style="184" bestFit="1" customWidth="1"/>
    <col min="793" max="793" width="7.28515625" style="184" bestFit="1" customWidth="1"/>
    <col min="794" max="794" width="10.7109375" style="184" customWidth="1"/>
    <col min="795" max="1023" width="11.42578125" style="184"/>
    <col min="1024" max="1024" width="0.28515625" style="184" customWidth="1"/>
    <col min="1025" max="1025" width="23.7109375" style="184" customWidth="1"/>
    <col min="1026" max="1026" width="13" style="184" customWidth="1"/>
    <col min="1027" max="1028" width="9.7109375" style="184" bestFit="1" customWidth="1"/>
    <col min="1029" max="1029" width="10.7109375" style="184" customWidth="1"/>
    <col min="1030" max="1031" width="9.7109375" style="184" bestFit="1" customWidth="1"/>
    <col min="1032" max="1032" width="10.7109375" style="184" customWidth="1"/>
    <col min="1033" max="1034" width="9.7109375" style="184" bestFit="1" customWidth="1"/>
    <col min="1035" max="1035" width="10.7109375" style="184" customWidth="1"/>
    <col min="1036" max="1037" width="9.7109375" style="184" bestFit="1" customWidth="1"/>
    <col min="1038" max="1038" width="10.7109375" style="184" customWidth="1"/>
    <col min="1039" max="1040" width="9.7109375" style="184" bestFit="1" customWidth="1"/>
    <col min="1041" max="1041" width="10.7109375" style="184" customWidth="1"/>
    <col min="1042" max="1042" width="9.140625" style="184" bestFit="1" customWidth="1"/>
    <col min="1043" max="1043" width="9.7109375" style="184" bestFit="1" customWidth="1"/>
    <col min="1044" max="1044" width="10.7109375" style="184" customWidth="1"/>
    <col min="1045" max="1046" width="9.7109375" style="184" bestFit="1" customWidth="1"/>
    <col min="1047" max="1047" width="10.7109375" style="184" customWidth="1"/>
    <col min="1048" max="1048" width="9.7109375" style="184" bestFit="1" customWidth="1"/>
    <col min="1049" max="1049" width="7.28515625" style="184" bestFit="1" customWidth="1"/>
    <col min="1050" max="1050" width="10.7109375" style="184" customWidth="1"/>
    <col min="1051" max="1279" width="11.42578125" style="184"/>
    <col min="1280" max="1280" width="0.28515625" style="184" customWidth="1"/>
    <col min="1281" max="1281" width="23.7109375" style="184" customWidth="1"/>
    <col min="1282" max="1282" width="13" style="184" customWidth="1"/>
    <col min="1283" max="1284" width="9.7109375" style="184" bestFit="1" customWidth="1"/>
    <col min="1285" max="1285" width="10.7109375" style="184" customWidth="1"/>
    <col min="1286" max="1287" width="9.7109375" style="184" bestFit="1" customWidth="1"/>
    <col min="1288" max="1288" width="10.7109375" style="184" customWidth="1"/>
    <col min="1289" max="1290" width="9.7109375" style="184" bestFit="1" customWidth="1"/>
    <col min="1291" max="1291" width="10.7109375" style="184" customWidth="1"/>
    <col min="1292" max="1293" width="9.7109375" style="184" bestFit="1" customWidth="1"/>
    <col min="1294" max="1294" width="10.7109375" style="184" customWidth="1"/>
    <col min="1295" max="1296" width="9.7109375" style="184" bestFit="1" customWidth="1"/>
    <col min="1297" max="1297" width="10.7109375" style="184" customWidth="1"/>
    <col min="1298" max="1298" width="9.140625" style="184" bestFit="1" customWidth="1"/>
    <col min="1299" max="1299" width="9.7109375" style="184" bestFit="1" customWidth="1"/>
    <col min="1300" max="1300" width="10.7109375" style="184" customWidth="1"/>
    <col min="1301" max="1302" width="9.7109375" style="184" bestFit="1" customWidth="1"/>
    <col min="1303" max="1303" width="10.7109375" style="184" customWidth="1"/>
    <col min="1304" max="1304" width="9.7109375" style="184" bestFit="1" customWidth="1"/>
    <col min="1305" max="1305" width="7.28515625" style="184" bestFit="1" customWidth="1"/>
    <col min="1306" max="1306" width="10.7109375" style="184" customWidth="1"/>
    <col min="1307" max="1535" width="11.42578125" style="184"/>
    <col min="1536" max="1536" width="0.28515625" style="184" customWidth="1"/>
    <col min="1537" max="1537" width="23.7109375" style="184" customWidth="1"/>
    <col min="1538" max="1538" width="13" style="184" customWidth="1"/>
    <col min="1539" max="1540" width="9.7109375" style="184" bestFit="1" customWidth="1"/>
    <col min="1541" max="1541" width="10.7109375" style="184" customWidth="1"/>
    <col min="1542" max="1543" width="9.7109375" style="184" bestFit="1" customWidth="1"/>
    <col min="1544" max="1544" width="10.7109375" style="184" customWidth="1"/>
    <col min="1545" max="1546" width="9.7109375" style="184" bestFit="1" customWidth="1"/>
    <col min="1547" max="1547" width="10.7109375" style="184" customWidth="1"/>
    <col min="1548" max="1549" width="9.7109375" style="184" bestFit="1" customWidth="1"/>
    <col min="1550" max="1550" width="10.7109375" style="184" customWidth="1"/>
    <col min="1551" max="1552" width="9.7109375" style="184" bestFit="1" customWidth="1"/>
    <col min="1553" max="1553" width="10.7109375" style="184" customWidth="1"/>
    <col min="1554" max="1554" width="9.140625" style="184" bestFit="1" customWidth="1"/>
    <col min="1555" max="1555" width="9.7109375" style="184" bestFit="1" customWidth="1"/>
    <col min="1556" max="1556" width="10.7109375" style="184" customWidth="1"/>
    <col min="1557" max="1558" width="9.7109375" style="184" bestFit="1" customWidth="1"/>
    <col min="1559" max="1559" width="10.7109375" style="184" customWidth="1"/>
    <col min="1560" max="1560" width="9.7109375" style="184" bestFit="1" customWidth="1"/>
    <col min="1561" max="1561" width="7.28515625" style="184" bestFit="1" customWidth="1"/>
    <col min="1562" max="1562" width="10.7109375" style="184" customWidth="1"/>
    <col min="1563" max="1791" width="11.42578125" style="184"/>
    <col min="1792" max="1792" width="0.28515625" style="184" customWidth="1"/>
    <col min="1793" max="1793" width="23.7109375" style="184" customWidth="1"/>
    <col min="1794" max="1794" width="13" style="184" customWidth="1"/>
    <col min="1795" max="1796" width="9.7109375" style="184" bestFit="1" customWidth="1"/>
    <col min="1797" max="1797" width="10.7109375" style="184" customWidth="1"/>
    <col min="1798" max="1799" width="9.7109375" style="184" bestFit="1" customWidth="1"/>
    <col min="1800" max="1800" width="10.7109375" style="184" customWidth="1"/>
    <col min="1801" max="1802" width="9.7109375" style="184" bestFit="1" customWidth="1"/>
    <col min="1803" max="1803" width="10.7109375" style="184" customWidth="1"/>
    <col min="1804" max="1805" width="9.7109375" style="184" bestFit="1" customWidth="1"/>
    <col min="1806" max="1806" width="10.7109375" style="184" customWidth="1"/>
    <col min="1807" max="1808" width="9.7109375" style="184" bestFit="1" customWidth="1"/>
    <col min="1809" max="1809" width="10.7109375" style="184" customWidth="1"/>
    <col min="1810" max="1810" width="9.140625" style="184" bestFit="1" customWidth="1"/>
    <col min="1811" max="1811" width="9.7109375" style="184" bestFit="1" customWidth="1"/>
    <col min="1812" max="1812" width="10.7109375" style="184" customWidth="1"/>
    <col min="1813" max="1814" width="9.7109375" style="184" bestFit="1" customWidth="1"/>
    <col min="1815" max="1815" width="10.7109375" style="184" customWidth="1"/>
    <col min="1816" max="1816" width="9.7109375" style="184" bestFit="1" customWidth="1"/>
    <col min="1817" max="1817" width="7.28515625" style="184" bestFit="1" customWidth="1"/>
    <col min="1818" max="1818" width="10.7109375" style="184" customWidth="1"/>
    <col min="1819" max="2047" width="11.42578125" style="184"/>
    <col min="2048" max="2048" width="0.28515625" style="184" customWidth="1"/>
    <col min="2049" max="2049" width="23.7109375" style="184" customWidth="1"/>
    <col min="2050" max="2050" width="13" style="184" customWidth="1"/>
    <col min="2051" max="2052" width="9.7109375" style="184" bestFit="1" customWidth="1"/>
    <col min="2053" max="2053" width="10.7109375" style="184" customWidth="1"/>
    <col min="2054" max="2055" width="9.7109375" style="184" bestFit="1" customWidth="1"/>
    <col min="2056" max="2056" width="10.7109375" style="184" customWidth="1"/>
    <col min="2057" max="2058" width="9.7109375" style="184" bestFit="1" customWidth="1"/>
    <col min="2059" max="2059" width="10.7109375" style="184" customWidth="1"/>
    <col min="2060" max="2061" width="9.7109375" style="184" bestFit="1" customWidth="1"/>
    <col min="2062" max="2062" width="10.7109375" style="184" customWidth="1"/>
    <col min="2063" max="2064" width="9.7109375" style="184" bestFit="1" customWidth="1"/>
    <col min="2065" max="2065" width="10.7109375" style="184" customWidth="1"/>
    <col min="2066" max="2066" width="9.140625" style="184" bestFit="1" customWidth="1"/>
    <col min="2067" max="2067" width="9.7109375" style="184" bestFit="1" customWidth="1"/>
    <col min="2068" max="2068" width="10.7109375" style="184" customWidth="1"/>
    <col min="2069" max="2070" width="9.7109375" style="184" bestFit="1" customWidth="1"/>
    <col min="2071" max="2071" width="10.7109375" style="184" customWidth="1"/>
    <col min="2072" max="2072" width="9.7109375" style="184" bestFit="1" customWidth="1"/>
    <col min="2073" max="2073" width="7.28515625" style="184" bestFit="1" customWidth="1"/>
    <col min="2074" max="2074" width="10.7109375" style="184" customWidth="1"/>
    <col min="2075" max="2303" width="11.42578125" style="184"/>
    <col min="2304" max="2304" width="0.28515625" style="184" customWidth="1"/>
    <col min="2305" max="2305" width="23.7109375" style="184" customWidth="1"/>
    <col min="2306" max="2306" width="13" style="184" customWidth="1"/>
    <col min="2307" max="2308" width="9.7109375" style="184" bestFit="1" customWidth="1"/>
    <col min="2309" max="2309" width="10.7109375" style="184" customWidth="1"/>
    <col min="2310" max="2311" width="9.7109375" style="184" bestFit="1" customWidth="1"/>
    <col min="2312" max="2312" width="10.7109375" style="184" customWidth="1"/>
    <col min="2313" max="2314" width="9.7109375" style="184" bestFit="1" customWidth="1"/>
    <col min="2315" max="2315" width="10.7109375" style="184" customWidth="1"/>
    <col min="2316" max="2317" width="9.7109375" style="184" bestFit="1" customWidth="1"/>
    <col min="2318" max="2318" width="10.7109375" style="184" customWidth="1"/>
    <col min="2319" max="2320" width="9.7109375" style="184" bestFit="1" customWidth="1"/>
    <col min="2321" max="2321" width="10.7109375" style="184" customWidth="1"/>
    <col min="2322" max="2322" width="9.140625" style="184" bestFit="1" customWidth="1"/>
    <col min="2323" max="2323" width="9.7109375" style="184" bestFit="1" customWidth="1"/>
    <col min="2324" max="2324" width="10.7109375" style="184" customWidth="1"/>
    <col min="2325" max="2326" width="9.7109375" style="184" bestFit="1" customWidth="1"/>
    <col min="2327" max="2327" width="10.7109375" style="184" customWidth="1"/>
    <col min="2328" max="2328" width="9.7109375" style="184" bestFit="1" customWidth="1"/>
    <col min="2329" max="2329" width="7.28515625" style="184" bestFit="1" customWidth="1"/>
    <col min="2330" max="2330" width="10.7109375" style="184" customWidth="1"/>
    <col min="2331" max="2559" width="11.42578125" style="184"/>
    <col min="2560" max="2560" width="0.28515625" style="184" customWidth="1"/>
    <col min="2561" max="2561" width="23.7109375" style="184" customWidth="1"/>
    <col min="2562" max="2562" width="13" style="184" customWidth="1"/>
    <col min="2563" max="2564" width="9.7109375" style="184" bestFit="1" customWidth="1"/>
    <col min="2565" max="2565" width="10.7109375" style="184" customWidth="1"/>
    <col min="2566" max="2567" width="9.7109375" style="184" bestFit="1" customWidth="1"/>
    <col min="2568" max="2568" width="10.7109375" style="184" customWidth="1"/>
    <col min="2569" max="2570" width="9.7109375" style="184" bestFit="1" customWidth="1"/>
    <col min="2571" max="2571" width="10.7109375" style="184" customWidth="1"/>
    <col min="2572" max="2573" width="9.7109375" style="184" bestFit="1" customWidth="1"/>
    <col min="2574" max="2574" width="10.7109375" style="184" customWidth="1"/>
    <col min="2575" max="2576" width="9.7109375" style="184" bestFit="1" customWidth="1"/>
    <col min="2577" max="2577" width="10.7109375" style="184" customWidth="1"/>
    <col min="2578" max="2578" width="9.140625" style="184" bestFit="1" customWidth="1"/>
    <col min="2579" max="2579" width="9.7109375" style="184" bestFit="1" customWidth="1"/>
    <col min="2580" max="2580" width="10.7109375" style="184" customWidth="1"/>
    <col min="2581" max="2582" width="9.7109375" style="184" bestFit="1" customWidth="1"/>
    <col min="2583" max="2583" width="10.7109375" style="184" customWidth="1"/>
    <col min="2584" max="2584" width="9.7109375" style="184" bestFit="1" customWidth="1"/>
    <col min="2585" max="2585" width="7.28515625" style="184" bestFit="1" customWidth="1"/>
    <col min="2586" max="2586" width="10.7109375" style="184" customWidth="1"/>
    <col min="2587" max="2815" width="11.42578125" style="184"/>
    <col min="2816" max="2816" width="0.28515625" style="184" customWidth="1"/>
    <col min="2817" max="2817" width="23.7109375" style="184" customWidth="1"/>
    <col min="2818" max="2818" width="13" style="184" customWidth="1"/>
    <col min="2819" max="2820" width="9.7109375" style="184" bestFit="1" customWidth="1"/>
    <col min="2821" max="2821" width="10.7109375" style="184" customWidth="1"/>
    <col min="2822" max="2823" width="9.7109375" style="184" bestFit="1" customWidth="1"/>
    <col min="2824" max="2824" width="10.7109375" style="184" customWidth="1"/>
    <col min="2825" max="2826" width="9.7109375" style="184" bestFit="1" customWidth="1"/>
    <col min="2827" max="2827" width="10.7109375" style="184" customWidth="1"/>
    <col min="2828" max="2829" width="9.7109375" style="184" bestFit="1" customWidth="1"/>
    <col min="2830" max="2830" width="10.7109375" style="184" customWidth="1"/>
    <col min="2831" max="2832" width="9.7109375" style="184" bestFit="1" customWidth="1"/>
    <col min="2833" max="2833" width="10.7109375" style="184" customWidth="1"/>
    <col min="2834" max="2834" width="9.140625" style="184" bestFit="1" customWidth="1"/>
    <col min="2835" max="2835" width="9.7109375" style="184" bestFit="1" customWidth="1"/>
    <col min="2836" max="2836" width="10.7109375" style="184" customWidth="1"/>
    <col min="2837" max="2838" width="9.7109375" style="184" bestFit="1" customWidth="1"/>
    <col min="2839" max="2839" width="10.7109375" style="184" customWidth="1"/>
    <col min="2840" max="2840" width="9.7109375" style="184" bestFit="1" customWidth="1"/>
    <col min="2841" max="2841" width="7.28515625" style="184" bestFit="1" customWidth="1"/>
    <col min="2842" max="2842" width="10.7109375" style="184" customWidth="1"/>
    <col min="2843" max="3071" width="11.42578125" style="184"/>
    <col min="3072" max="3072" width="0.28515625" style="184" customWidth="1"/>
    <col min="3073" max="3073" width="23.7109375" style="184" customWidth="1"/>
    <col min="3074" max="3074" width="13" style="184" customWidth="1"/>
    <col min="3075" max="3076" width="9.7109375" style="184" bestFit="1" customWidth="1"/>
    <col min="3077" max="3077" width="10.7109375" style="184" customWidth="1"/>
    <col min="3078" max="3079" width="9.7109375" style="184" bestFit="1" customWidth="1"/>
    <col min="3080" max="3080" width="10.7109375" style="184" customWidth="1"/>
    <col min="3081" max="3082" width="9.7109375" style="184" bestFit="1" customWidth="1"/>
    <col min="3083" max="3083" width="10.7109375" style="184" customWidth="1"/>
    <col min="3084" max="3085" width="9.7109375" style="184" bestFit="1" customWidth="1"/>
    <col min="3086" max="3086" width="10.7109375" style="184" customWidth="1"/>
    <col min="3087" max="3088" width="9.7109375" style="184" bestFit="1" customWidth="1"/>
    <col min="3089" max="3089" width="10.7109375" style="184" customWidth="1"/>
    <col min="3090" max="3090" width="9.140625" style="184" bestFit="1" customWidth="1"/>
    <col min="3091" max="3091" width="9.7109375" style="184" bestFit="1" customWidth="1"/>
    <col min="3092" max="3092" width="10.7109375" style="184" customWidth="1"/>
    <col min="3093" max="3094" width="9.7109375" style="184" bestFit="1" customWidth="1"/>
    <col min="3095" max="3095" width="10.7109375" style="184" customWidth="1"/>
    <col min="3096" max="3096" width="9.7109375" style="184" bestFit="1" customWidth="1"/>
    <col min="3097" max="3097" width="7.28515625" style="184" bestFit="1" customWidth="1"/>
    <col min="3098" max="3098" width="10.7109375" style="184" customWidth="1"/>
    <col min="3099" max="3327" width="11.42578125" style="184"/>
    <col min="3328" max="3328" width="0.28515625" style="184" customWidth="1"/>
    <col min="3329" max="3329" width="23.7109375" style="184" customWidth="1"/>
    <col min="3330" max="3330" width="13" style="184" customWidth="1"/>
    <col min="3331" max="3332" width="9.7109375" style="184" bestFit="1" customWidth="1"/>
    <col min="3333" max="3333" width="10.7109375" style="184" customWidth="1"/>
    <col min="3334" max="3335" width="9.7109375" style="184" bestFit="1" customWidth="1"/>
    <col min="3336" max="3336" width="10.7109375" style="184" customWidth="1"/>
    <col min="3337" max="3338" width="9.7109375" style="184" bestFit="1" customWidth="1"/>
    <col min="3339" max="3339" width="10.7109375" style="184" customWidth="1"/>
    <col min="3340" max="3341" width="9.7109375" style="184" bestFit="1" customWidth="1"/>
    <col min="3342" max="3342" width="10.7109375" style="184" customWidth="1"/>
    <col min="3343" max="3344" width="9.7109375" style="184" bestFit="1" customWidth="1"/>
    <col min="3345" max="3345" width="10.7109375" style="184" customWidth="1"/>
    <col min="3346" max="3346" width="9.140625" style="184" bestFit="1" customWidth="1"/>
    <col min="3347" max="3347" width="9.7109375" style="184" bestFit="1" customWidth="1"/>
    <col min="3348" max="3348" width="10.7109375" style="184" customWidth="1"/>
    <col min="3349" max="3350" width="9.7109375" style="184" bestFit="1" customWidth="1"/>
    <col min="3351" max="3351" width="10.7109375" style="184" customWidth="1"/>
    <col min="3352" max="3352" width="9.7109375" style="184" bestFit="1" customWidth="1"/>
    <col min="3353" max="3353" width="7.28515625" style="184" bestFit="1" customWidth="1"/>
    <col min="3354" max="3354" width="10.7109375" style="184" customWidth="1"/>
    <col min="3355" max="3583" width="11.42578125" style="184"/>
    <col min="3584" max="3584" width="0.28515625" style="184" customWidth="1"/>
    <col min="3585" max="3585" width="23.7109375" style="184" customWidth="1"/>
    <col min="3586" max="3586" width="13" style="184" customWidth="1"/>
    <col min="3587" max="3588" width="9.7109375" style="184" bestFit="1" customWidth="1"/>
    <col min="3589" max="3589" width="10.7109375" style="184" customWidth="1"/>
    <col min="3590" max="3591" width="9.7109375" style="184" bestFit="1" customWidth="1"/>
    <col min="3592" max="3592" width="10.7109375" style="184" customWidth="1"/>
    <col min="3593" max="3594" width="9.7109375" style="184" bestFit="1" customWidth="1"/>
    <col min="3595" max="3595" width="10.7109375" style="184" customWidth="1"/>
    <col min="3596" max="3597" width="9.7109375" style="184" bestFit="1" customWidth="1"/>
    <col min="3598" max="3598" width="10.7109375" style="184" customWidth="1"/>
    <col min="3599" max="3600" width="9.7109375" style="184" bestFit="1" customWidth="1"/>
    <col min="3601" max="3601" width="10.7109375" style="184" customWidth="1"/>
    <col min="3602" max="3602" width="9.140625" style="184" bestFit="1" customWidth="1"/>
    <col min="3603" max="3603" width="9.7109375" style="184" bestFit="1" customWidth="1"/>
    <col min="3604" max="3604" width="10.7109375" style="184" customWidth="1"/>
    <col min="3605" max="3606" width="9.7109375" style="184" bestFit="1" customWidth="1"/>
    <col min="3607" max="3607" width="10.7109375" style="184" customWidth="1"/>
    <col min="3608" max="3608" width="9.7109375" style="184" bestFit="1" customWidth="1"/>
    <col min="3609" max="3609" width="7.28515625" style="184" bestFit="1" customWidth="1"/>
    <col min="3610" max="3610" width="10.7109375" style="184" customWidth="1"/>
    <col min="3611" max="3839" width="11.42578125" style="184"/>
    <col min="3840" max="3840" width="0.28515625" style="184" customWidth="1"/>
    <col min="3841" max="3841" width="23.7109375" style="184" customWidth="1"/>
    <col min="3842" max="3842" width="13" style="184" customWidth="1"/>
    <col min="3843" max="3844" width="9.7109375" style="184" bestFit="1" customWidth="1"/>
    <col min="3845" max="3845" width="10.7109375" style="184" customWidth="1"/>
    <col min="3846" max="3847" width="9.7109375" style="184" bestFit="1" customWidth="1"/>
    <col min="3848" max="3848" width="10.7109375" style="184" customWidth="1"/>
    <col min="3849" max="3850" width="9.7109375" style="184" bestFit="1" customWidth="1"/>
    <col min="3851" max="3851" width="10.7109375" style="184" customWidth="1"/>
    <col min="3852" max="3853" width="9.7109375" style="184" bestFit="1" customWidth="1"/>
    <col min="3854" max="3854" width="10.7109375" style="184" customWidth="1"/>
    <col min="3855" max="3856" width="9.7109375" style="184" bestFit="1" customWidth="1"/>
    <col min="3857" max="3857" width="10.7109375" style="184" customWidth="1"/>
    <col min="3858" max="3858" width="9.140625" style="184" bestFit="1" customWidth="1"/>
    <col min="3859" max="3859" width="9.7109375" style="184" bestFit="1" customWidth="1"/>
    <col min="3860" max="3860" width="10.7109375" style="184" customWidth="1"/>
    <col min="3861" max="3862" width="9.7109375" style="184" bestFit="1" customWidth="1"/>
    <col min="3863" max="3863" width="10.7109375" style="184" customWidth="1"/>
    <col min="3864" max="3864" width="9.7109375" style="184" bestFit="1" customWidth="1"/>
    <col min="3865" max="3865" width="7.28515625" style="184" bestFit="1" customWidth="1"/>
    <col min="3866" max="3866" width="10.7109375" style="184" customWidth="1"/>
    <col min="3867" max="4095" width="11.42578125" style="184"/>
    <col min="4096" max="4096" width="0.28515625" style="184" customWidth="1"/>
    <col min="4097" max="4097" width="23.7109375" style="184" customWidth="1"/>
    <col min="4098" max="4098" width="13" style="184" customWidth="1"/>
    <col min="4099" max="4100" width="9.7109375" style="184" bestFit="1" customWidth="1"/>
    <col min="4101" max="4101" width="10.7109375" style="184" customWidth="1"/>
    <col min="4102" max="4103" width="9.7109375" style="184" bestFit="1" customWidth="1"/>
    <col min="4104" max="4104" width="10.7109375" style="184" customWidth="1"/>
    <col min="4105" max="4106" width="9.7109375" style="184" bestFit="1" customWidth="1"/>
    <col min="4107" max="4107" width="10.7109375" style="184" customWidth="1"/>
    <col min="4108" max="4109" width="9.7109375" style="184" bestFit="1" customWidth="1"/>
    <col min="4110" max="4110" width="10.7109375" style="184" customWidth="1"/>
    <col min="4111" max="4112" width="9.7109375" style="184" bestFit="1" customWidth="1"/>
    <col min="4113" max="4113" width="10.7109375" style="184" customWidth="1"/>
    <col min="4114" max="4114" width="9.140625" style="184" bestFit="1" customWidth="1"/>
    <col min="4115" max="4115" width="9.7109375" style="184" bestFit="1" customWidth="1"/>
    <col min="4116" max="4116" width="10.7109375" style="184" customWidth="1"/>
    <col min="4117" max="4118" width="9.7109375" style="184" bestFit="1" customWidth="1"/>
    <col min="4119" max="4119" width="10.7109375" style="184" customWidth="1"/>
    <col min="4120" max="4120" width="9.7109375" style="184" bestFit="1" customWidth="1"/>
    <col min="4121" max="4121" width="7.28515625" style="184" bestFit="1" customWidth="1"/>
    <col min="4122" max="4122" width="10.7109375" style="184" customWidth="1"/>
    <col min="4123" max="4351" width="11.42578125" style="184"/>
    <col min="4352" max="4352" width="0.28515625" style="184" customWidth="1"/>
    <col min="4353" max="4353" width="23.7109375" style="184" customWidth="1"/>
    <col min="4354" max="4354" width="13" style="184" customWidth="1"/>
    <col min="4355" max="4356" width="9.7109375" style="184" bestFit="1" customWidth="1"/>
    <col min="4357" max="4357" width="10.7109375" style="184" customWidth="1"/>
    <col min="4358" max="4359" width="9.7109375" style="184" bestFit="1" customWidth="1"/>
    <col min="4360" max="4360" width="10.7109375" style="184" customWidth="1"/>
    <col min="4361" max="4362" width="9.7109375" style="184" bestFit="1" customWidth="1"/>
    <col min="4363" max="4363" width="10.7109375" style="184" customWidth="1"/>
    <col min="4364" max="4365" width="9.7109375" style="184" bestFit="1" customWidth="1"/>
    <col min="4366" max="4366" width="10.7109375" style="184" customWidth="1"/>
    <col min="4367" max="4368" width="9.7109375" style="184" bestFit="1" customWidth="1"/>
    <col min="4369" max="4369" width="10.7109375" style="184" customWidth="1"/>
    <col min="4370" max="4370" width="9.140625" style="184" bestFit="1" customWidth="1"/>
    <col min="4371" max="4371" width="9.7109375" style="184" bestFit="1" customWidth="1"/>
    <col min="4372" max="4372" width="10.7109375" style="184" customWidth="1"/>
    <col min="4373" max="4374" width="9.7109375" style="184" bestFit="1" customWidth="1"/>
    <col min="4375" max="4375" width="10.7109375" style="184" customWidth="1"/>
    <col min="4376" max="4376" width="9.7109375" style="184" bestFit="1" customWidth="1"/>
    <col min="4377" max="4377" width="7.28515625" style="184" bestFit="1" customWidth="1"/>
    <col min="4378" max="4378" width="10.7109375" style="184" customWidth="1"/>
    <col min="4379" max="4607" width="11.42578125" style="184"/>
    <col min="4608" max="4608" width="0.28515625" style="184" customWidth="1"/>
    <col min="4609" max="4609" width="23.7109375" style="184" customWidth="1"/>
    <col min="4610" max="4610" width="13" style="184" customWidth="1"/>
    <col min="4611" max="4612" width="9.7109375" style="184" bestFit="1" customWidth="1"/>
    <col min="4613" max="4613" width="10.7109375" style="184" customWidth="1"/>
    <col min="4614" max="4615" width="9.7109375" style="184" bestFit="1" customWidth="1"/>
    <col min="4616" max="4616" width="10.7109375" style="184" customWidth="1"/>
    <col min="4617" max="4618" width="9.7109375" style="184" bestFit="1" customWidth="1"/>
    <col min="4619" max="4619" width="10.7109375" style="184" customWidth="1"/>
    <col min="4620" max="4621" width="9.7109375" style="184" bestFit="1" customWidth="1"/>
    <col min="4622" max="4622" width="10.7109375" style="184" customWidth="1"/>
    <col min="4623" max="4624" width="9.7109375" style="184" bestFit="1" customWidth="1"/>
    <col min="4625" max="4625" width="10.7109375" style="184" customWidth="1"/>
    <col min="4626" max="4626" width="9.140625" style="184" bestFit="1" customWidth="1"/>
    <col min="4627" max="4627" width="9.7109375" style="184" bestFit="1" customWidth="1"/>
    <col min="4628" max="4628" width="10.7109375" style="184" customWidth="1"/>
    <col min="4629" max="4630" width="9.7109375" style="184" bestFit="1" customWidth="1"/>
    <col min="4631" max="4631" width="10.7109375" style="184" customWidth="1"/>
    <col min="4632" max="4632" width="9.7109375" style="184" bestFit="1" customWidth="1"/>
    <col min="4633" max="4633" width="7.28515625" style="184" bestFit="1" customWidth="1"/>
    <col min="4634" max="4634" width="10.7109375" style="184" customWidth="1"/>
    <col min="4635" max="4863" width="11.42578125" style="184"/>
    <col min="4864" max="4864" width="0.28515625" style="184" customWidth="1"/>
    <col min="4865" max="4865" width="23.7109375" style="184" customWidth="1"/>
    <col min="4866" max="4866" width="13" style="184" customWidth="1"/>
    <col min="4867" max="4868" width="9.7109375" style="184" bestFit="1" customWidth="1"/>
    <col min="4869" max="4869" width="10.7109375" style="184" customWidth="1"/>
    <col min="4870" max="4871" width="9.7109375" style="184" bestFit="1" customWidth="1"/>
    <col min="4872" max="4872" width="10.7109375" style="184" customWidth="1"/>
    <col min="4873" max="4874" width="9.7109375" style="184" bestFit="1" customWidth="1"/>
    <col min="4875" max="4875" width="10.7109375" style="184" customWidth="1"/>
    <col min="4876" max="4877" width="9.7109375" style="184" bestFit="1" customWidth="1"/>
    <col min="4878" max="4878" width="10.7109375" style="184" customWidth="1"/>
    <col min="4879" max="4880" width="9.7109375" style="184" bestFit="1" customWidth="1"/>
    <col min="4881" max="4881" width="10.7109375" style="184" customWidth="1"/>
    <col min="4882" max="4882" width="9.140625" style="184" bestFit="1" customWidth="1"/>
    <col min="4883" max="4883" width="9.7109375" style="184" bestFit="1" customWidth="1"/>
    <col min="4884" max="4884" width="10.7109375" style="184" customWidth="1"/>
    <col min="4885" max="4886" width="9.7109375" style="184" bestFit="1" customWidth="1"/>
    <col min="4887" max="4887" width="10.7109375" style="184" customWidth="1"/>
    <col min="4888" max="4888" width="9.7109375" style="184" bestFit="1" customWidth="1"/>
    <col min="4889" max="4889" width="7.28515625" style="184" bestFit="1" customWidth="1"/>
    <col min="4890" max="4890" width="10.7109375" style="184" customWidth="1"/>
    <col min="4891" max="5119" width="11.42578125" style="184"/>
    <col min="5120" max="5120" width="0.28515625" style="184" customWidth="1"/>
    <col min="5121" max="5121" width="23.7109375" style="184" customWidth="1"/>
    <col min="5122" max="5122" width="13" style="184" customWidth="1"/>
    <col min="5123" max="5124" width="9.7109375" style="184" bestFit="1" customWidth="1"/>
    <col min="5125" max="5125" width="10.7109375" style="184" customWidth="1"/>
    <col min="5126" max="5127" width="9.7109375" style="184" bestFit="1" customWidth="1"/>
    <col min="5128" max="5128" width="10.7109375" style="184" customWidth="1"/>
    <col min="5129" max="5130" width="9.7109375" style="184" bestFit="1" customWidth="1"/>
    <col min="5131" max="5131" width="10.7109375" style="184" customWidth="1"/>
    <col min="5132" max="5133" width="9.7109375" style="184" bestFit="1" customWidth="1"/>
    <col min="5134" max="5134" width="10.7109375" style="184" customWidth="1"/>
    <col min="5135" max="5136" width="9.7109375" style="184" bestFit="1" customWidth="1"/>
    <col min="5137" max="5137" width="10.7109375" style="184" customWidth="1"/>
    <col min="5138" max="5138" width="9.140625" style="184" bestFit="1" customWidth="1"/>
    <col min="5139" max="5139" width="9.7109375" style="184" bestFit="1" customWidth="1"/>
    <col min="5140" max="5140" width="10.7109375" style="184" customWidth="1"/>
    <col min="5141" max="5142" width="9.7109375" style="184" bestFit="1" customWidth="1"/>
    <col min="5143" max="5143" width="10.7109375" style="184" customWidth="1"/>
    <col min="5144" max="5144" width="9.7109375" style="184" bestFit="1" customWidth="1"/>
    <col min="5145" max="5145" width="7.28515625" style="184" bestFit="1" customWidth="1"/>
    <col min="5146" max="5146" width="10.7109375" style="184" customWidth="1"/>
    <col min="5147" max="5375" width="11.42578125" style="184"/>
    <col min="5376" max="5376" width="0.28515625" style="184" customWidth="1"/>
    <col min="5377" max="5377" width="23.7109375" style="184" customWidth="1"/>
    <col min="5378" max="5378" width="13" style="184" customWidth="1"/>
    <col min="5379" max="5380" width="9.7109375" style="184" bestFit="1" customWidth="1"/>
    <col min="5381" max="5381" width="10.7109375" style="184" customWidth="1"/>
    <col min="5382" max="5383" width="9.7109375" style="184" bestFit="1" customWidth="1"/>
    <col min="5384" max="5384" width="10.7109375" style="184" customWidth="1"/>
    <col min="5385" max="5386" width="9.7109375" style="184" bestFit="1" customWidth="1"/>
    <col min="5387" max="5387" width="10.7109375" style="184" customWidth="1"/>
    <col min="5388" max="5389" width="9.7109375" style="184" bestFit="1" customWidth="1"/>
    <col min="5390" max="5390" width="10.7109375" style="184" customWidth="1"/>
    <col min="5391" max="5392" width="9.7109375" style="184" bestFit="1" customWidth="1"/>
    <col min="5393" max="5393" width="10.7109375" style="184" customWidth="1"/>
    <col min="5394" max="5394" width="9.140625" style="184" bestFit="1" customWidth="1"/>
    <col min="5395" max="5395" width="9.7109375" style="184" bestFit="1" customWidth="1"/>
    <col min="5396" max="5396" width="10.7109375" style="184" customWidth="1"/>
    <col min="5397" max="5398" width="9.7109375" style="184" bestFit="1" customWidth="1"/>
    <col min="5399" max="5399" width="10.7109375" style="184" customWidth="1"/>
    <col min="5400" max="5400" width="9.7109375" style="184" bestFit="1" customWidth="1"/>
    <col min="5401" max="5401" width="7.28515625" style="184" bestFit="1" customWidth="1"/>
    <col min="5402" max="5402" width="10.7109375" style="184" customWidth="1"/>
    <col min="5403" max="5631" width="11.42578125" style="184"/>
    <col min="5632" max="5632" width="0.28515625" style="184" customWidth="1"/>
    <col min="5633" max="5633" width="23.7109375" style="184" customWidth="1"/>
    <col min="5634" max="5634" width="13" style="184" customWidth="1"/>
    <col min="5635" max="5636" width="9.7109375" style="184" bestFit="1" customWidth="1"/>
    <col min="5637" max="5637" width="10.7109375" style="184" customWidth="1"/>
    <col min="5638" max="5639" width="9.7109375" style="184" bestFit="1" customWidth="1"/>
    <col min="5640" max="5640" width="10.7109375" style="184" customWidth="1"/>
    <col min="5641" max="5642" width="9.7109375" style="184" bestFit="1" customWidth="1"/>
    <col min="5643" max="5643" width="10.7109375" style="184" customWidth="1"/>
    <col min="5644" max="5645" width="9.7109375" style="184" bestFit="1" customWidth="1"/>
    <col min="5646" max="5646" width="10.7109375" style="184" customWidth="1"/>
    <col min="5647" max="5648" width="9.7109375" style="184" bestFit="1" customWidth="1"/>
    <col min="5649" max="5649" width="10.7109375" style="184" customWidth="1"/>
    <col min="5650" max="5650" width="9.140625" style="184" bestFit="1" customWidth="1"/>
    <col min="5651" max="5651" width="9.7109375" style="184" bestFit="1" customWidth="1"/>
    <col min="5652" max="5652" width="10.7109375" style="184" customWidth="1"/>
    <col min="5653" max="5654" width="9.7109375" style="184" bestFit="1" customWidth="1"/>
    <col min="5655" max="5655" width="10.7109375" style="184" customWidth="1"/>
    <col min="5656" max="5656" width="9.7109375" style="184" bestFit="1" customWidth="1"/>
    <col min="5657" max="5657" width="7.28515625" style="184" bestFit="1" customWidth="1"/>
    <col min="5658" max="5658" width="10.7109375" style="184" customWidth="1"/>
    <col min="5659" max="5887" width="11.42578125" style="184"/>
    <col min="5888" max="5888" width="0.28515625" style="184" customWidth="1"/>
    <col min="5889" max="5889" width="23.7109375" style="184" customWidth="1"/>
    <col min="5890" max="5890" width="13" style="184" customWidth="1"/>
    <col min="5891" max="5892" width="9.7109375" style="184" bestFit="1" customWidth="1"/>
    <col min="5893" max="5893" width="10.7109375" style="184" customWidth="1"/>
    <col min="5894" max="5895" width="9.7109375" style="184" bestFit="1" customWidth="1"/>
    <col min="5896" max="5896" width="10.7109375" style="184" customWidth="1"/>
    <col min="5897" max="5898" width="9.7109375" style="184" bestFit="1" customWidth="1"/>
    <col min="5899" max="5899" width="10.7109375" style="184" customWidth="1"/>
    <col min="5900" max="5901" width="9.7109375" style="184" bestFit="1" customWidth="1"/>
    <col min="5902" max="5902" width="10.7109375" style="184" customWidth="1"/>
    <col min="5903" max="5904" width="9.7109375" style="184" bestFit="1" customWidth="1"/>
    <col min="5905" max="5905" width="10.7109375" style="184" customWidth="1"/>
    <col min="5906" max="5906" width="9.140625" style="184" bestFit="1" customWidth="1"/>
    <col min="5907" max="5907" width="9.7109375" style="184" bestFit="1" customWidth="1"/>
    <col min="5908" max="5908" width="10.7109375" style="184" customWidth="1"/>
    <col min="5909" max="5910" width="9.7109375" style="184" bestFit="1" customWidth="1"/>
    <col min="5911" max="5911" width="10.7109375" style="184" customWidth="1"/>
    <col min="5912" max="5912" width="9.7109375" style="184" bestFit="1" customWidth="1"/>
    <col min="5913" max="5913" width="7.28515625" style="184" bestFit="1" customWidth="1"/>
    <col min="5914" max="5914" width="10.7109375" style="184" customWidth="1"/>
    <col min="5915" max="6143" width="11.42578125" style="184"/>
    <col min="6144" max="6144" width="0.28515625" style="184" customWidth="1"/>
    <col min="6145" max="6145" width="23.7109375" style="184" customWidth="1"/>
    <col min="6146" max="6146" width="13" style="184" customWidth="1"/>
    <col min="6147" max="6148" width="9.7109375" style="184" bestFit="1" customWidth="1"/>
    <col min="6149" max="6149" width="10.7109375" style="184" customWidth="1"/>
    <col min="6150" max="6151" width="9.7109375" style="184" bestFit="1" customWidth="1"/>
    <col min="6152" max="6152" width="10.7109375" style="184" customWidth="1"/>
    <col min="6153" max="6154" width="9.7109375" style="184" bestFit="1" customWidth="1"/>
    <col min="6155" max="6155" width="10.7109375" style="184" customWidth="1"/>
    <col min="6156" max="6157" width="9.7109375" style="184" bestFit="1" customWidth="1"/>
    <col min="6158" max="6158" width="10.7109375" style="184" customWidth="1"/>
    <col min="6159" max="6160" width="9.7109375" style="184" bestFit="1" customWidth="1"/>
    <col min="6161" max="6161" width="10.7109375" style="184" customWidth="1"/>
    <col min="6162" max="6162" width="9.140625" style="184" bestFit="1" customWidth="1"/>
    <col min="6163" max="6163" width="9.7109375" style="184" bestFit="1" customWidth="1"/>
    <col min="6164" max="6164" width="10.7109375" style="184" customWidth="1"/>
    <col min="6165" max="6166" width="9.7109375" style="184" bestFit="1" customWidth="1"/>
    <col min="6167" max="6167" width="10.7109375" style="184" customWidth="1"/>
    <col min="6168" max="6168" width="9.7109375" style="184" bestFit="1" customWidth="1"/>
    <col min="6169" max="6169" width="7.28515625" style="184" bestFit="1" customWidth="1"/>
    <col min="6170" max="6170" width="10.7109375" style="184" customWidth="1"/>
    <col min="6171" max="6399" width="11.42578125" style="184"/>
    <col min="6400" max="6400" width="0.28515625" style="184" customWidth="1"/>
    <col min="6401" max="6401" width="23.7109375" style="184" customWidth="1"/>
    <col min="6402" max="6402" width="13" style="184" customWidth="1"/>
    <col min="6403" max="6404" width="9.7109375" style="184" bestFit="1" customWidth="1"/>
    <col min="6405" max="6405" width="10.7109375" style="184" customWidth="1"/>
    <col min="6406" max="6407" width="9.7109375" style="184" bestFit="1" customWidth="1"/>
    <col min="6408" max="6408" width="10.7109375" style="184" customWidth="1"/>
    <col min="6409" max="6410" width="9.7109375" style="184" bestFit="1" customWidth="1"/>
    <col min="6411" max="6411" width="10.7109375" style="184" customWidth="1"/>
    <col min="6412" max="6413" width="9.7109375" style="184" bestFit="1" customWidth="1"/>
    <col min="6414" max="6414" width="10.7109375" style="184" customWidth="1"/>
    <col min="6415" max="6416" width="9.7109375" style="184" bestFit="1" customWidth="1"/>
    <col min="6417" max="6417" width="10.7109375" style="184" customWidth="1"/>
    <col min="6418" max="6418" width="9.140625" style="184" bestFit="1" customWidth="1"/>
    <col min="6419" max="6419" width="9.7109375" style="184" bestFit="1" customWidth="1"/>
    <col min="6420" max="6420" width="10.7109375" style="184" customWidth="1"/>
    <col min="6421" max="6422" width="9.7109375" style="184" bestFit="1" customWidth="1"/>
    <col min="6423" max="6423" width="10.7109375" style="184" customWidth="1"/>
    <col min="6424" max="6424" width="9.7109375" style="184" bestFit="1" customWidth="1"/>
    <col min="6425" max="6425" width="7.28515625" style="184" bestFit="1" customWidth="1"/>
    <col min="6426" max="6426" width="10.7109375" style="184" customWidth="1"/>
    <col min="6427" max="6655" width="11.42578125" style="184"/>
    <col min="6656" max="6656" width="0.28515625" style="184" customWidth="1"/>
    <col min="6657" max="6657" width="23.7109375" style="184" customWidth="1"/>
    <col min="6658" max="6658" width="13" style="184" customWidth="1"/>
    <col min="6659" max="6660" width="9.7109375" style="184" bestFit="1" customWidth="1"/>
    <col min="6661" max="6661" width="10.7109375" style="184" customWidth="1"/>
    <col min="6662" max="6663" width="9.7109375" style="184" bestFit="1" customWidth="1"/>
    <col min="6664" max="6664" width="10.7109375" style="184" customWidth="1"/>
    <col min="6665" max="6666" width="9.7109375" style="184" bestFit="1" customWidth="1"/>
    <col min="6667" max="6667" width="10.7109375" style="184" customWidth="1"/>
    <col min="6668" max="6669" width="9.7109375" style="184" bestFit="1" customWidth="1"/>
    <col min="6670" max="6670" width="10.7109375" style="184" customWidth="1"/>
    <col min="6671" max="6672" width="9.7109375" style="184" bestFit="1" customWidth="1"/>
    <col min="6673" max="6673" width="10.7109375" style="184" customWidth="1"/>
    <col min="6674" max="6674" width="9.140625" style="184" bestFit="1" customWidth="1"/>
    <col min="6675" max="6675" width="9.7109375" style="184" bestFit="1" customWidth="1"/>
    <col min="6676" max="6676" width="10.7109375" style="184" customWidth="1"/>
    <col min="6677" max="6678" width="9.7109375" style="184" bestFit="1" customWidth="1"/>
    <col min="6679" max="6679" width="10.7109375" style="184" customWidth="1"/>
    <col min="6680" max="6680" width="9.7109375" style="184" bestFit="1" customWidth="1"/>
    <col min="6681" max="6681" width="7.28515625" style="184" bestFit="1" customWidth="1"/>
    <col min="6682" max="6682" width="10.7109375" style="184" customWidth="1"/>
    <col min="6683" max="6911" width="11.42578125" style="184"/>
    <col min="6912" max="6912" width="0.28515625" style="184" customWidth="1"/>
    <col min="6913" max="6913" width="23.7109375" style="184" customWidth="1"/>
    <col min="6914" max="6914" width="13" style="184" customWidth="1"/>
    <col min="6915" max="6916" width="9.7109375" style="184" bestFit="1" customWidth="1"/>
    <col min="6917" max="6917" width="10.7109375" style="184" customWidth="1"/>
    <col min="6918" max="6919" width="9.7109375" style="184" bestFit="1" customWidth="1"/>
    <col min="6920" max="6920" width="10.7109375" style="184" customWidth="1"/>
    <col min="6921" max="6922" width="9.7109375" style="184" bestFit="1" customWidth="1"/>
    <col min="6923" max="6923" width="10.7109375" style="184" customWidth="1"/>
    <col min="6924" max="6925" width="9.7109375" style="184" bestFit="1" customWidth="1"/>
    <col min="6926" max="6926" width="10.7109375" style="184" customWidth="1"/>
    <col min="6927" max="6928" width="9.7109375" style="184" bestFit="1" customWidth="1"/>
    <col min="6929" max="6929" width="10.7109375" style="184" customWidth="1"/>
    <col min="6930" max="6930" width="9.140625" style="184" bestFit="1" customWidth="1"/>
    <col min="6931" max="6931" width="9.7109375" style="184" bestFit="1" customWidth="1"/>
    <col min="6932" max="6932" width="10.7109375" style="184" customWidth="1"/>
    <col min="6933" max="6934" width="9.7109375" style="184" bestFit="1" customWidth="1"/>
    <col min="6935" max="6935" width="10.7109375" style="184" customWidth="1"/>
    <col min="6936" max="6936" width="9.7109375" style="184" bestFit="1" customWidth="1"/>
    <col min="6937" max="6937" width="7.28515625" style="184" bestFit="1" customWidth="1"/>
    <col min="6938" max="6938" width="10.7109375" style="184" customWidth="1"/>
    <col min="6939" max="7167" width="11.42578125" style="184"/>
    <col min="7168" max="7168" width="0.28515625" style="184" customWidth="1"/>
    <col min="7169" max="7169" width="23.7109375" style="184" customWidth="1"/>
    <col min="7170" max="7170" width="13" style="184" customWidth="1"/>
    <col min="7171" max="7172" width="9.7109375" style="184" bestFit="1" customWidth="1"/>
    <col min="7173" max="7173" width="10.7109375" style="184" customWidth="1"/>
    <col min="7174" max="7175" width="9.7109375" style="184" bestFit="1" customWidth="1"/>
    <col min="7176" max="7176" width="10.7109375" style="184" customWidth="1"/>
    <col min="7177" max="7178" width="9.7109375" style="184" bestFit="1" customWidth="1"/>
    <col min="7179" max="7179" width="10.7109375" style="184" customWidth="1"/>
    <col min="7180" max="7181" width="9.7109375" style="184" bestFit="1" customWidth="1"/>
    <col min="7182" max="7182" width="10.7109375" style="184" customWidth="1"/>
    <col min="7183" max="7184" width="9.7109375" style="184" bestFit="1" customWidth="1"/>
    <col min="7185" max="7185" width="10.7109375" style="184" customWidth="1"/>
    <col min="7186" max="7186" width="9.140625" style="184" bestFit="1" customWidth="1"/>
    <col min="7187" max="7187" width="9.7109375" style="184" bestFit="1" customWidth="1"/>
    <col min="7188" max="7188" width="10.7109375" style="184" customWidth="1"/>
    <col min="7189" max="7190" width="9.7109375" style="184" bestFit="1" customWidth="1"/>
    <col min="7191" max="7191" width="10.7109375" style="184" customWidth="1"/>
    <col min="7192" max="7192" width="9.7109375" style="184" bestFit="1" customWidth="1"/>
    <col min="7193" max="7193" width="7.28515625" style="184" bestFit="1" customWidth="1"/>
    <col min="7194" max="7194" width="10.7109375" style="184" customWidth="1"/>
    <col min="7195" max="7423" width="11.42578125" style="184"/>
    <col min="7424" max="7424" width="0.28515625" style="184" customWidth="1"/>
    <col min="7425" max="7425" width="23.7109375" style="184" customWidth="1"/>
    <col min="7426" max="7426" width="13" style="184" customWidth="1"/>
    <col min="7427" max="7428" width="9.7109375" style="184" bestFit="1" customWidth="1"/>
    <col min="7429" max="7429" width="10.7109375" style="184" customWidth="1"/>
    <col min="7430" max="7431" width="9.7109375" style="184" bestFit="1" customWidth="1"/>
    <col min="7432" max="7432" width="10.7109375" style="184" customWidth="1"/>
    <col min="7433" max="7434" width="9.7109375" style="184" bestFit="1" customWidth="1"/>
    <col min="7435" max="7435" width="10.7109375" style="184" customWidth="1"/>
    <col min="7436" max="7437" width="9.7109375" style="184" bestFit="1" customWidth="1"/>
    <col min="7438" max="7438" width="10.7109375" style="184" customWidth="1"/>
    <col min="7439" max="7440" width="9.7109375" style="184" bestFit="1" customWidth="1"/>
    <col min="7441" max="7441" width="10.7109375" style="184" customWidth="1"/>
    <col min="7442" max="7442" width="9.140625" style="184" bestFit="1" customWidth="1"/>
    <col min="7443" max="7443" width="9.7109375" style="184" bestFit="1" customWidth="1"/>
    <col min="7444" max="7444" width="10.7109375" style="184" customWidth="1"/>
    <col min="7445" max="7446" width="9.7109375" style="184" bestFit="1" customWidth="1"/>
    <col min="7447" max="7447" width="10.7109375" style="184" customWidth="1"/>
    <col min="7448" max="7448" width="9.7109375" style="184" bestFit="1" customWidth="1"/>
    <col min="7449" max="7449" width="7.28515625" style="184" bestFit="1" customWidth="1"/>
    <col min="7450" max="7450" width="10.7109375" style="184" customWidth="1"/>
    <col min="7451" max="7679" width="11.42578125" style="184"/>
    <col min="7680" max="7680" width="0.28515625" style="184" customWidth="1"/>
    <col min="7681" max="7681" width="23.7109375" style="184" customWidth="1"/>
    <col min="7682" max="7682" width="13" style="184" customWidth="1"/>
    <col min="7683" max="7684" width="9.7109375" style="184" bestFit="1" customWidth="1"/>
    <col min="7685" max="7685" width="10.7109375" style="184" customWidth="1"/>
    <col min="7686" max="7687" width="9.7109375" style="184" bestFit="1" customWidth="1"/>
    <col min="7688" max="7688" width="10.7109375" style="184" customWidth="1"/>
    <col min="7689" max="7690" width="9.7109375" style="184" bestFit="1" customWidth="1"/>
    <col min="7691" max="7691" width="10.7109375" style="184" customWidth="1"/>
    <col min="7692" max="7693" width="9.7109375" style="184" bestFit="1" customWidth="1"/>
    <col min="7694" max="7694" width="10.7109375" style="184" customWidth="1"/>
    <col min="7695" max="7696" width="9.7109375" style="184" bestFit="1" customWidth="1"/>
    <col min="7697" max="7697" width="10.7109375" style="184" customWidth="1"/>
    <col min="7698" max="7698" width="9.140625" style="184" bestFit="1" customWidth="1"/>
    <col min="7699" max="7699" width="9.7109375" style="184" bestFit="1" customWidth="1"/>
    <col min="7700" max="7700" width="10.7109375" style="184" customWidth="1"/>
    <col min="7701" max="7702" width="9.7109375" style="184" bestFit="1" customWidth="1"/>
    <col min="7703" max="7703" width="10.7109375" style="184" customWidth="1"/>
    <col min="7704" max="7704" width="9.7109375" style="184" bestFit="1" customWidth="1"/>
    <col min="7705" max="7705" width="7.28515625" style="184" bestFit="1" customWidth="1"/>
    <col min="7706" max="7706" width="10.7109375" style="184" customWidth="1"/>
    <col min="7707" max="7935" width="11.42578125" style="184"/>
    <col min="7936" max="7936" width="0.28515625" style="184" customWidth="1"/>
    <col min="7937" max="7937" width="23.7109375" style="184" customWidth="1"/>
    <col min="7938" max="7938" width="13" style="184" customWidth="1"/>
    <col min="7939" max="7940" width="9.7109375" style="184" bestFit="1" customWidth="1"/>
    <col min="7941" max="7941" width="10.7109375" style="184" customWidth="1"/>
    <col min="7942" max="7943" width="9.7109375" style="184" bestFit="1" customWidth="1"/>
    <col min="7944" max="7944" width="10.7109375" style="184" customWidth="1"/>
    <col min="7945" max="7946" width="9.7109375" style="184" bestFit="1" customWidth="1"/>
    <col min="7947" max="7947" width="10.7109375" style="184" customWidth="1"/>
    <col min="7948" max="7949" width="9.7109375" style="184" bestFit="1" customWidth="1"/>
    <col min="7950" max="7950" width="10.7109375" style="184" customWidth="1"/>
    <col min="7951" max="7952" width="9.7109375" style="184" bestFit="1" customWidth="1"/>
    <col min="7953" max="7953" width="10.7109375" style="184" customWidth="1"/>
    <col min="7954" max="7954" width="9.140625" style="184" bestFit="1" customWidth="1"/>
    <col min="7955" max="7955" width="9.7109375" style="184" bestFit="1" customWidth="1"/>
    <col min="7956" max="7956" width="10.7109375" style="184" customWidth="1"/>
    <col min="7957" max="7958" width="9.7109375" style="184" bestFit="1" customWidth="1"/>
    <col min="7959" max="7959" width="10.7109375" style="184" customWidth="1"/>
    <col min="7960" max="7960" width="9.7109375" style="184" bestFit="1" customWidth="1"/>
    <col min="7961" max="7961" width="7.28515625" style="184" bestFit="1" customWidth="1"/>
    <col min="7962" max="7962" width="10.7109375" style="184" customWidth="1"/>
    <col min="7963" max="8191" width="11.42578125" style="184"/>
    <col min="8192" max="8192" width="0.28515625" style="184" customWidth="1"/>
    <col min="8193" max="8193" width="23.7109375" style="184" customWidth="1"/>
    <col min="8194" max="8194" width="13" style="184" customWidth="1"/>
    <col min="8195" max="8196" width="9.7109375" style="184" bestFit="1" customWidth="1"/>
    <col min="8197" max="8197" width="10.7109375" style="184" customWidth="1"/>
    <col min="8198" max="8199" width="9.7109375" style="184" bestFit="1" customWidth="1"/>
    <col min="8200" max="8200" width="10.7109375" style="184" customWidth="1"/>
    <col min="8201" max="8202" width="9.7109375" style="184" bestFit="1" customWidth="1"/>
    <col min="8203" max="8203" width="10.7109375" style="184" customWidth="1"/>
    <col min="8204" max="8205" width="9.7109375" style="184" bestFit="1" customWidth="1"/>
    <col min="8206" max="8206" width="10.7109375" style="184" customWidth="1"/>
    <col min="8207" max="8208" width="9.7109375" style="184" bestFit="1" customWidth="1"/>
    <col min="8209" max="8209" width="10.7109375" style="184" customWidth="1"/>
    <col min="8210" max="8210" width="9.140625" style="184" bestFit="1" customWidth="1"/>
    <col min="8211" max="8211" width="9.7109375" style="184" bestFit="1" customWidth="1"/>
    <col min="8212" max="8212" width="10.7109375" style="184" customWidth="1"/>
    <col min="8213" max="8214" width="9.7109375" style="184" bestFit="1" customWidth="1"/>
    <col min="8215" max="8215" width="10.7109375" style="184" customWidth="1"/>
    <col min="8216" max="8216" width="9.7109375" style="184" bestFit="1" customWidth="1"/>
    <col min="8217" max="8217" width="7.28515625" style="184" bestFit="1" customWidth="1"/>
    <col min="8218" max="8218" width="10.7109375" style="184" customWidth="1"/>
    <col min="8219" max="8447" width="11.42578125" style="184"/>
    <col min="8448" max="8448" width="0.28515625" style="184" customWidth="1"/>
    <col min="8449" max="8449" width="23.7109375" style="184" customWidth="1"/>
    <col min="8450" max="8450" width="13" style="184" customWidth="1"/>
    <col min="8451" max="8452" width="9.7109375" style="184" bestFit="1" customWidth="1"/>
    <col min="8453" max="8453" width="10.7109375" style="184" customWidth="1"/>
    <col min="8454" max="8455" width="9.7109375" style="184" bestFit="1" customWidth="1"/>
    <col min="8456" max="8456" width="10.7109375" style="184" customWidth="1"/>
    <col min="8457" max="8458" width="9.7109375" style="184" bestFit="1" customWidth="1"/>
    <col min="8459" max="8459" width="10.7109375" style="184" customWidth="1"/>
    <col min="8460" max="8461" width="9.7109375" style="184" bestFit="1" customWidth="1"/>
    <col min="8462" max="8462" width="10.7109375" style="184" customWidth="1"/>
    <col min="8463" max="8464" width="9.7109375" style="184" bestFit="1" customWidth="1"/>
    <col min="8465" max="8465" width="10.7109375" style="184" customWidth="1"/>
    <col min="8466" max="8466" width="9.140625" style="184" bestFit="1" customWidth="1"/>
    <col min="8467" max="8467" width="9.7109375" style="184" bestFit="1" customWidth="1"/>
    <col min="8468" max="8468" width="10.7109375" style="184" customWidth="1"/>
    <col min="8469" max="8470" width="9.7109375" style="184" bestFit="1" customWidth="1"/>
    <col min="8471" max="8471" width="10.7109375" style="184" customWidth="1"/>
    <col min="8472" max="8472" width="9.7109375" style="184" bestFit="1" customWidth="1"/>
    <col min="8473" max="8473" width="7.28515625" style="184" bestFit="1" customWidth="1"/>
    <col min="8474" max="8474" width="10.7109375" style="184" customWidth="1"/>
    <col min="8475" max="8703" width="11.42578125" style="184"/>
    <col min="8704" max="8704" width="0.28515625" style="184" customWidth="1"/>
    <col min="8705" max="8705" width="23.7109375" style="184" customWidth="1"/>
    <col min="8706" max="8706" width="13" style="184" customWidth="1"/>
    <col min="8707" max="8708" width="9.7109375" style="184" bestFit="1" customWidth="1"/>
    <col min="8709" max="8709" width="10.7109375" style="184" customWidth="1"/>
    <col min="8710" max="8711" width="9.7109375" style="184" bestFit="1" customWidth="1"/>
    <col min="8712" max="8712" width="10.7109375" style="184" customWidth="1"/>
    <col min="8713" max="8714" width="9.7109375" style="184" bestFit="1" customWidth="1"/>
    <col min="8715" max="8715" width="10.7109375" style="184" customWidth="1"/>
    <col min="8716" max="8717" width="9.7109375" style="184" bestFit="1" customWidth="1"/>
    <col min="8718" max="8718" width="10.7109375" style="184" customWidth="1"/>
    <col min="8719" max="8720" width="9.7109375" style="184" bestFit="1" customWidth="1"/>
    <col min="8721" max="8721" width="10.7109375" style="184" customWidth="1"/>
    <col min="8722" max="8722" width="9.140625" style="184" bestFit="1" customWidth="1"/>
    <col min="8723" max="8723" width="9.7109375" style="184" bestFit="1" customWidth="1"/>
    <col min="8724" max="8724" width="10.7109375" style="184" customWidth="1"/>
    <col min="8725" max="8726" width="9.7109375" style="184" bestFit="1" customWidth="1"/>
    <col min="8727" max="8727" width="10.7109375" style="184" customWidth="1"/>
    <col min="8728" max="8728" width="9.7109375" style="184" bestFit="1" customWidth="1"/>
    <col min="8729" max="8729" width="7.28515625" style="184" bestFit="1" customWidth="1"/>
    <col min="8730" max="8730" width="10.7109375" style="184" customWidth="1"/>
    <col min="8731" max="8959" width="11.42578125" style="184"/>
    <col min="8960" max="8960" width="0.28515625" style="184" customWidth="1"/>
    <col min="8961" max="8961" width="23.7109375" style="184" customWidth="1"/>
    <col min="8962" max="8962" width="13" style="184" customWidth="1"/>
    <col min="8963" max="8964" width="9.7109375" style="184" bestFit="1" customWidth="1"/>
    <col min="8965" max="8965" width="10.7109375" style="184" customWidth="1"/>
    <col min="8966" max="8967" width="9.7109375" style="184" bestFit="1" customWidth="1"/>
    <col min="8968" max="8968" width="10.7109375" style="184" customWidth="1"/>
    <col min="8969" max="8970" width="9.7109375" style="184" bestFit="1" customWidth="1"/>
    <col min="8971" max="8971" width="10.7109375" style="184" customWidth="1"/>
    <col min="8972" max="8973" width="9.7109375" style="184" bestFit="1" customWidth="1"/>
    <col min="8974" max="8974" width="10.7109375" style="184" customWidth="1"/>
    <col min="8975" max="8976" width="9.7109375" style="184" bestFit="1" customWidth="1"/>
    <col min="8977" max="8977" width="10.7109375" style="184" customWidth="1"/>
    <col min="8978" max="8978" width="9.140625" style="184" bestFit="1" customWidth="1"/>
    <col min="8979" max="8979" width="9.7109375" style="184" bestFit="1" customWidth="1"/>
    <col min="8980" max="8980" width="10.7109375" style="184" customWidth="1"/>
    <col min="8981" max="8982" width="9.7109375" style="184" bestFit="1" customWidth="1"/>
    <col min="8983" max="8983" width="10.7109375" style="184" customWidth="1"/>
    <col min="8984" max="8984" width="9.7109375" style="184" bestFit="1" customWidth="1"/>
    <col min="8985" max="8985" width="7.28515625" style="184" bestFit="1" customWidth="1"/>
    <col min="8986" max="8986" width="10.7109375" style="184" customWidth="1"/>
    <col min="8987" max="9215" width="11.42578125" style="184"/>
    <col min="9216" max="9216" width="0.28515625" style="184" customWidth="1"/>
    <col min="9217" max="9217" width="23.7109375" style="184" customWidth="1"/>
    <col min="9218" max="9218" width="13" style="184" customWidth="1"/>
    <col min="9219" max="9220" width="9.7109375" style="184" bestFit="1" customWidth="1"/>
    <col min="9221" max="9221" width="10.7109375" style="184" customWidth="1"/>
    <col min="9222" max="9223" width="9.7109375" style="184" bestFit="1" customWidth="1"/>
    <col min="9224" max="9224" width="10.7109375" style="184" customWidth="1"/>
    <col min="9225" max="9226" width="9.7109375" style="184" bestFit="1" customWidth="1"/>
    <col min="9227" max="9227" width="10.7109375" style="184" customWidth="1"/>
    <col min="9228" max="9229" width="9.7109375" style="184" bestFit="1" customWidth="1"/>
    <col min="9230" max="9230" width="10.7109375" style="184" customWidth="1"/>
    <col min="9231" max="9232" width="9.7109375" style="184" bestFit="1" customWidth="1"/>
    <col min="9233" max="9233" width="10.7109375" style="184" customWidth="1"/>
    <col min="9234" max="9234" width="9.140625" style="184" bestFit="1" customWidth="1"/>
    <col min="9235" max="9235" width="9.7109375" style="184" bestFit="1" customWidth="1"/>
    <col min="9236" max="9236" width="10.7109375" style="184" customWidth="1"/>
    <col min="9237" max="9238" width="9.7109375" style="184" bestFit="1" customWidth="1"/>
    <col min="9239" max="9239" width="10.7109375" style="184" customWidth="1"/>
    <col min="9240" max="9240" width="9.7109375" style="184" bestFit="1" customWidth="1"/>
    <col min="9241" max="9241" width="7.28515625" style="184" bestFit="1" customWidth="1"/>
    <col min="9242" max="9242" width="10.7109375" style="184" customWidth="1"/>
    <col min="9243" max="9471" width="11.42578125" style="184"/>
    <col min="9472" max="9472" width="0.28515625" style="184" customWidth="1"/>
    <col min="9473" max="9473" width="23.7109375" style="184" customWidth="1"/>
    <col min="9474" max="9474" width="13" style="184" customWidth="1"/>
    <col min="9475" max="9476" width="9.7109375" style="184" bestFit="1" customWidth="1"/>
    <col min="9477" max="9477" width="10.7109375" style="184" customWidth="1"/>
    <col min="9478" max="9479" width="9.7109375" style="184" bestFit="1" customWidth="1"/>
    <col min="9480" max="9480" width="10.7109375" style="184" customWidth="1"/>
    <col min="9481" max="9482" width="9.7109375" style="184" bestFit="1" customWidth="1"/>
    <col min="9483" max="9483" width="10.7109375" style="184" customWidth="1"/>
    <col min="9484" max="9485" width="9.7109375" style="184" bestFit="1" customWidth="1"/>
    <col min="9486" max="9486" width="10.7109375" style="184" customWidth="1"/>
    <col min="9487" max="9488" width="9.7109375" style="184" bestFit="1" customWidth="1"/>
    <col min="9489" max="9489" width="10.7109375" style="184" customWidth="1"/>
    <col min="9490" max="9490" width="9.140625" style="184" bestFit="1" customWidth="1"/>
    <col min="9491" max="9491" width="9.7109375" style="184" bestFit="1" customWidth="1"/>
    <col min="9492" max="9492" width="10.7109375" style="184" customWidth="1"/>
    <col min="9493" max="9494" width="9.7109375" style="184" bestFit="1" customWidth="1"/>
    <col min="9495" max="9495" width="10.7109375" style="184" customWidth="1"/>
    <col min="9496" max="9496" width="9.7109375" style="184" bestFit="1" customWidth="1"/>
    <col min="9497" max="9497" width="7.28515625" style="184" bestFit="1" customWidth="1"/>
    <col min="9498" max="9498" width="10.7109375" style="184" customWidth="1"/>
    <col min="9499" max="9727" width="11.42578125" style="184"/>
    <col min="9728" max="9728" width="0.28515625" style="184" customWidth="1"/>
    <col min="9729" max="9729" width="23.7109375" style="184" customWidth="1"/>
    <col min="9730" max="9730" width="13" style="184" customWidth="1"/>
    <col min="9731" max="9732" width="9.7109375" style="184" bestFit="1" customWidth="1"/>
    <col min="9733" max="9733" width="10.7109375" style="184" customWidth="1"/>
    <col min="9734" max="9735" width="9.7109375" style="184" bestFit="1" customWidth="1"/>
    <col min="9736" max="9736" width="10.7109375" style="184" customWidth="1"/>
    <col min="9737" max="9738" width="9.7109375" style="184" bestFit="1" customWidth="1"/>
    <col min="9739" max="9739" width="10.7109375" style="184" customWidth="1"/>
    <col min="9740" max="9741" width="9.7109375" style="184" bestFit="1" customWidth="1"/>
    <col min="9742" max="9742" width="10.7109375" style="184" customWidth="1"/>
    <col min="9743" max="9744" width="9.7109375" style="184" bestFit="1" customWidth="1"/>
    <col min="9745" max="9745" width="10.7109375" style="184" customWidth="1"/>
    <col min="9746" max="9746" width="9.140625" style="184" bestFit="1" customWidth="1"/>
    <col min="9747" max="9747" width="9.7109375" style="184" bestFit="1" customWidth="1"/>
    <col min="9748" max="9748" width="10.7109375" style="184" customWidth="1"/>
    <col min="9749" max="9750" width="9.7109375" style="184" bestFit="1" customWidth="1"/>
    <col min="9751" max="9751" width="10.7109375" style="184" customWidth="1"/>
    <col min="9752" max="9752" width="9.7109375" style="184" bestFit="1" customWidth="1"/>
    <col min="9753" max="9753" width="7.28515625" style="184" bestFit="1" customWidth="1"/>
    <col min="9754" max="9754" width="10.7109375" style="184" customWidth="1"/>
    <col min="9755" max="9983" width="11.42578125" style="184"/>
    <col min="9984" max="9984" width="0.28515625" style="184" customWidth="1"/>
    <col min="9985" max="9985" width="23.7109375" style="184" customWidth="1"/>
    <col min="9986" max="9986" width="13" style="184" customWidth="1"/>
    <col min="9987" max="9988" width="9.7109375" style="184" bestFit="1" customWidth="1"/>
    <col min="9989" max="9989" width="10.7109375" style="184" customWidth="1"/>
    <col min="9990" max="9991" width="9.7109375" style="184" bestFit="1" customWidth="1"/>
    <col min="9992" max="9992" width="10.7109375" style="184" customWidth="1"/>
    <col min="9993" max="9994" width="9.7109375" style="184" bestFit="1" customWidth="1"/>
    <col min="9995" max="9995" width="10.7109375" style="184" customWidth="1"/>
    <col min="9996" max="9997" width="9.7109375" style="184" bestFit="1" customWidth="1"/>
    <col min="9998" max="9998" width="10.7109375" style="184" customWidth="1"/>
    <col min="9999" max="10000" width="9.7109375" style="184" bestFit="1" customWidth="1"/>
    <col min="10001" max="10001" width="10.7109375" style="184" customWidth="1"/>
    <col min="10002" max="10002" width="9.140625" style="184" bestFit="1" customWidth="1"/>
    <col min="10003" max="10003" width="9.7109375" style="184" bestFit="1" customWidth="1"/>
    <col min="10004" max="10004" width="10.7109375" style="184" customWidth="1"/>
    <col min="10005" max="10006" width="9.7109375" style="184" bestFit="1" customWidth="1"/>
    <col min="10007" max="10007" width="10.7109375" style="184" customWidth="1"/>
    <col min="10008" max="10008" width="9.7109375" style="184" bestFit="1" customWidth="1"/>
    <col min="10009" max="10009" width="7.28515625" style="184" bestFit="1" customWidth="1"/>
    <col min="10010" max="10010" width="10.7109375" style="184" customWidth="1"/>
    <col min="10011" max="10239" width="11.42578125" style="184"/>
    <col min="10240" max="10240" width="0.28515625" style="184" customWidth="1"/>
    <col min="10241" max="10241" width="23.7109375" style="184" customWidth="1"/>
    <col min="10242" max="10242" width="13" style="184" customWidth="1"/>
    <col min="10243" max="10244" width="9.7109375" style="184" bestFit="1" customWidth="1"/>
    <col min="10245" max="10245" width="10.7109375" style="184" customWidth="1"/>
    <col min="10246" max="10247" width="9.7109375" style="184" bestFit="1" customWidth="1"/>
    <col min="10248" max="10248" width="10.7109375" style="184" customWidth="1"/>
    <col min="10249" max="10250" width="9.7109375" style="184" bestFit="1" customWidth="1"/>
    <col min="10251" max="10251" width="10.7109375" style="184" customWidth="1"/>
    <col min="10252" max="10253" width="9.7109375" style="184" bestFit="1" customWidth="1"/>
    <col min="10254" max="10254" width="10.7109375" style="184" customWidth="1"/>
    <col min="10255" max="10256" width="9.7109375" style="184" bestFit="1" customWidth="1"/>
    <col min="10257" max="10257" width="10.7109375" style="184" customWidth="1"/>
    <col min="10258" max="10258" width="9.140625" style="184" bestFit="1" customWidth="1"/>
    <col min="10259" max="10259" width="9.7109375" style="184" bestFit="1" customWidth="1"/>
    <col min="10260" max="10260" width="10.7109375" style="184" customWidth="1"/>
    <col min="10261" max="10262" width="9.7109375" style="184" bestFit="1" customWidth="1"/>
    <col min="10263" max="10263" width="10.7109375" style="184" customWidth="1"/>
    <col min="10264" max="10264" width="9.7109375" style="184" bestFit="1" customWidth="1"/>
    <col min="10265" max="10265" width="7.28515625" style="184" bestFit="1" customWidth="1"/>
    <col min="10266" max="10266" width="10.7109375" style="184" customWidth="1"/>
    <col min="10267" max="10495" width="11.42578125" style="184"/>
    <col min="10496" max="10496" width="0.28515625" style="184" customWidth="1"/>
    <col min="10497" max="10497" width="23.7109375" style="184" customWidth="1"/>
    <col min="10498" max="10498" width="13" style="184" customWidth="1"/>
    <col min="10499" max="10500" width="9.7109375" style="184" bestFit="1" customWidth="1"/>
    <col min="10501" max="10501" width="10.7109375" style="184" customWidth="1"/>
    <col min="10502" max="10503" width="9.7109375" style="184" bestFit="1" customWidth="1"/>
    <col min="10504" max="10504" width="10.7109375" style="184" customWidth="1"/>
    <col min="10505" max="10506" width="9.7109375" style="184" bestFit="1" customWidth="1"/>
    <col min="10507" max="10507" width="10.7109375" style="184" customWidth="1"/>
    <col min="10508" max="10509" width="9.7109375" style="184" bestFit="1" customWidth="1"/>
    <col min="10510" max="10510" width="10.7109375" style="184" customWidth="1"/>
    <col min="10511" max="10512" width="9.7109375" style="184" bestFit="1" customWidth="1"/>
    <col min="10513" max="10513" width="10.7109375" style="184" customWidth="1"/>
    <col min="10514" max="10514" width="9.140625" style="184" bestFit="1" customWidth="1"/>
    <col min="10515" max="10515" width="9.7109375" style="184" bestFit="1" customWidth="1"/>
    <col min="10516" max="10516" width="10.7109375" style="184" customWidth="1"/>
    <col min="10517" max="10518" width="9.7109375" style="184" bestFit="1" customWidth="1"/>
    <col min="10519" max="10519" width="10.7109375" style="184" customWidth="1"/>
    <col min="10520" max="10520" width="9.7109375" style="184" bestFit="1" customWidth="1"/>
    <col min="10521" max="10521" width="7.28515625" style="184" bestFit="1" customWidth="1"/>
    <col min="10522" max="10522" width="10.7109375" style="184" customWidth="1"/>
    <col min="10523" max="10751" width="11.42578125" style="184"/>
    <col min="10752" max="10752" width="0.28515625" style="184" customWidth="1"/>
    <col min="10753" max="10753" width="23.7109375" style="184" customWidth="1"/>
    <col min="10754" max="10754" width="13" style="184" customWidth="1"/>
    <col min="10755" max="10756" width="9.7109375" style="184" bestFit="1" customWidth="1"/>
    <col min="10757" max="10757" width="10.7109375" style="184" customWidth="1"/>
    <col min="10758" max="10759" width="9.7109375" style="184" bestFit="1" customWidth="1"/>
    <col min="10760" max="10760" width="10.7109375" style="184" customWidth="1"/>
    <col min="10761" max="10762" width="9.7109375" style="184" bestFit="1" customWidth="1"/>
    <col min="10763" max="10763" width="10.7109375" style="184" customWidth="1"/>
    <col min="10764" max="10765" width="9.7109375" style="184" bestFit="1" customWidth="1"/>
    <col min="10766" max="10766" width="10.7109375" style="184" customWidth="1"/>
    <col min="10767" max="10768" width="9.7109375" style="184" bestFit="1" customWidth="1"/>
    <col min="10769" max="10769" width="10.7109375" style="184" customWidth="1"/>
    <col min="10770" max="10770" width="9.140625" style="184" bestFit="1" customWidth="1"/>
    <col min="10771" max="10771" width="9.7109375" style="184" bestFit="1" customWidth="1"/>
    <col min="10772" max="10772" width="10.7109375" style="184" customWidth="1"/>
    <col min="10773" max="10774" width="9.7109375" style="184" bestFit="1" customWidth="1"/>
    <col min="10775" max="10775" width="10.7109375" style="184" customWidth="1"/>
    <col min="10776" max="10776" width="9.7109375" style="184" bestFit="1" customWidth="1"/>
    <col min="10777" max="10777" width="7.28515625" style="184" bestFit="1" customWidth="1"/>
    <col min="10778" max="10778" width="10.7109375" style="184" customWidth="1"/>
    <col min="10779" max="11007" width="11.42578125" style="184"/>
    <col min="11008" max="11008" width="0.28515625" style="184" customWidth="1"/>
    <col min="11009" max="11009" width="23.7109375" style="184" customWidth="1"/>
    <col min="11010" max="11010" width="13" style="184" customWidth="1"/>
    <col min="11011" max="11012" width="9.7109375" style="184" bestFit="1" customWidth="1"/>
    <col min="11013" max="11013" width="10.7109375" style="184" customWidth="1"/>
    <col min="11014" max="11015" width="9.7109375" style="184" bestFit="1" customWidth="1"/>
    <col min="11016" max="11016" width="10.7109375" style="184" customWidth="1"/>
    <col min="11017" max="11018" width="9.7109375" style="184" bestFit="1" customWidth="1"/>
    <col min="11019" max="11019" width="10.7109375" style="184" customWidth="1"/>
    <col min="11020" max="11021" width="9.7109375" style="184" bestFit="1" customWidth="1"/>
    <col min="11022" max="11022" width="10.7109375" style="184" customWidth="1"/>
    <col min="11023" max="11024" width="9.7109375" style="184" bestFit="1" customWidth="1"/>
    <col min="11025" max="11025" width="10.7109375" style="184" customWidth="1"/>
    <col min="11026" max="11026" width="9.140625" style="184" bestFit="1" customWidth="1"/>
    <col min="11027" max="11027" width="9.7109375" style="184" bestFit="1" customWidth="1"/>
    <col min="11028" max="11028" width="10.7109375" style="184" customWidth="1"/>
    <col min="11029" max="11030" width="9.7109375" style="184" bestFit="1" customWidth="1"/>
    <col min="11031" max="11031" width="10.7109375" style="184" customWidth="1"/>
    <col min="11032" max="11032" width="9.7109375" style="184" bestFit="1" customWidth="1"/>
    <col min="11033" max="11033" width="7.28515625" style="184" bestFit="1" customWidth="1"/>
    <col min="11034" max="11034" width="10.7109375" style="184" customWidth="1"/>
    <col min="11035" max="11263" width="11.42578125" style="184"/>
    <col min="11264" max="11264" width="0.28515625" style="184" customWidth="1"/>
    <col min="11265" max="11265" width="23.7109375" style="184" customWidth="1"/>
    <col min="11266" max="11266" width="13" style="184" customWidth="1"/>
    <col min="11267" max="11268" width="9.7109375" style="184" bestFit="1" customWidth="1"/>
    <col min="11269" max="11269" width="10.7109375" style="184" customWidth="1"/>
    <col min="11270" max="11271" width="9.7109375" style="184" bestFit="1" customWidth="1"/>
    <col min="11272" max="11272" width="10.7109375" style="184" customWidth="1"/>
    <col min="11273" max="11274" width="9.7109375" style="184" bestFit="1" customWidth="1"/>
    <col min="11275" max="11275" width="10.7109375" style="184" customWidth="1"/>
    <col min="11276" max="11277" width="9.7109375" style="184" bestFit="1" customWidth="1"/>
    <col min="11278" max="11278" width="10.7109375" style="184" customWidth="1"/>
    <col min="11279" max="11280" width="9.7109375" style="184" bestFit="1" customWidth="1"/>
    <col min="11281" max="11281" width="10.7109375" style="184" customWidth="1"/>
    <col min="11282" max="11282" width="9.140625" style="184" bestFit="1" customWidth="1"/>
    <col min="11283" max="11283" width="9.7109375" style="184" bestFit="1" customWidth="1"/>
    <col min="11284" max="11284" width="10.7109375" style="184" customWidth="1"/>
    <col min="11285" max="11286" width="9.7109375" style="184" bestFit="1" customWidth="1"/>
    <col min="11287" max="11287" width="10.7109375" style="184" customWidth="1"/>
    <col min="11288" max="11288" width="9.7109375" style="184" bestFit="1" customWidth="1"/>
    <col min="11289" max="11289" width="7.28515625" style="184" bestFit="1" customWidth="1"/>
    <col min="11290" max="11290" width="10.7109375" style="184" customWidth="1"/>
    <col min="11291" max="11519" width="11.42578125" style="184"/>
    <col min="11520" max="11520" width="0.28515625" style="184" customWidth="1"/>
    <col min="11521" max="11521" width="23.7109375" style="184" customWidth="1"/>
    <col min="11522" max="11522" width="13" style="184" customWidth="1"/>
    <col min="11523" max="11524" width="9.7109375" style="184" bestFit="1" customWidth="1"/>
    <col min="11525" max="11525" width="10.7109375" style="184" customWidth="1"/>
    <col min="11526" max="11527" width="9.7109375" style="184" bestFit="1" customWidth="1"/>
    <col min="11528" max="11528" width="10.7109375" style="184" customWidth="1"/>
    <col min="11529" max="11530" width="9.7109375" style="184" bestFit="1" customWidth="1"/>
    <col min="11531" max="11531" width="10.7109375" style="184" customWidth="1"/>
    <col min="11532" max="11533" width="9.7109375" style="184" bestFit="1" customWidth="1"/>
    <col min="11534" max="11534" width="10.7109375" style="184" customWidth="1"/>
    <col min="11535" max="11536" width="9.7109375" style="184" bestFit="1" customWidth="1"/>
    <col min="11537" max="11537" width="10.7109375" style="184" customWidth="1"/>
    <col min="11538" max="11538" width="9.140625" style="184" bestFit="1" customWidth="1"/>
    <col min="11539" max="11539" width="9.7109375" style="184" bestFit="1" customWidth="1"/>
    <col min="11540" max="11540" width="10.7109375" style="184" customWidth="1"/>
    <col min="11541" max="11542" width="9.7109375" style="184" bestFit="1" customWidth="1"/>
    <col min="11543" max="11543" width="10.7109375" style="184" customWidth="1"/>
    <col min="11544" max="11544" width="9.7109375" style="184" bestFit="1" customWidth="1"/>
    <col min="11545" max="11545" width="7.28515625" style="184" bestFit="1" customWidth="1"/>
    <col min="11546" max="11546" width="10.7109375" style="184" customWidth="1"/>
    <col min="11547" max="11775" width="11.42578125" style="184"/>
    <col min="11776" max="11776" width="0.28515625" style="184" customWidth="1"/>
    <col min="11777" max="11777" width="23.7109375" style="184" customWidth="1"/>
    <col min="11778" max="11778" width="13" style="184" customWidth="1"/>
    <col min="11779" max="11780" width="9.7109375" style="184" bestFit="1" customWidth="1"/>
    <col min="11781" max="11781" width="10.7109375" style="184" customWidth="1"/>
    <col min="11782" max="11783" width="9.7109375" style="184" bestFit="1" customWidth="1"/>
    <col min="11784" max="11784" width="10.7109375" style="184" customWidth="1"/>
    <col min="11785" max="11786" width="9.7109375" style="184" bestFit="1" customWidth="1"/>
    <col min="11787" max="11787" width="10.7109375" style="184" customWidth="1"/>
    <col min="11788" max="11789" width="9.7109375" style="184" bestFit="1" customWidth="1"/>
    <col min="11790" max="11790" width="10.7109375" style="184" customWidth="1"/>
    <col min="11791" max="11792" width="9.7109375" style="184" bestFit="1" customWidth="1"/>
    <col min="11793" max="11793" width="10.7109375" style="184" customWidth="1"/>
    <col min="11794" max="11794" width="9.140625" style="184" bestFit="1" customWidth="1"/>
    <col min="11795" max="11795" width="9.7109375" style="184" bestFit="1" customWidth="1"/>
    <col min="11796" max="11796" width="10.7109375" style="184" customWidth="1"/>
    <col min="11797" max="11798" width="9.7109375" style="184" bestFit="1" customWidth="1"/>
    <col min="11799" max="11799" width="10.7109375" style="184" customWidth="1"/>
    <col min="11800" max="11800" width="9.7109375" style="184" bestFit="1" customWidth="1"/>
    <col min="11801" max="11801" width="7.28515625" style="184" bestFit="1" customWidth="1"/>
    <col min="11802" max="11802" width="10.7109375" style="184" customWidth="1"/>
    <col min="11803" max="12031" width="11.42578125" style="184"/>
    <col min="12032" max="12032" width="0.28515625" style="184" customWidth="1"/>
    <col min="12033" max="12033" width="23.7109375" style="184" customWidth="1"/>
    <col min="12034" max="12034" width="13" style="184" customWidth="1"/>
    <col min="12035" max="12036" width="9.7109375" style="184" bestFit="1" customWidth="1"/>
    <col min="12037" max="12037" width="10.7109375" style="184" customWidth="1"/>
    <col min="12038" max="12039" width="9.7109375" style="184" bestFit="1" customWidth="1"/>
    <col min="12040" max="12040" width="10.7109375" style="184" customWidth="1"/>
    <col min="12041" max="12042" width="9.7109375" style="184" bestFit="1" customWidth="1"/>
    <col min="12043" max="12043" width="10.7109375" style="184" customWidth="1"/>
    <col min="12044" max="12045" width="9.7109375" style="184" bestFit="1" customWidth="1"/>
    <col min="12046" max="12046" width="10.7109375" style="184" customWidth="1"/>
    <col min="12047" max="12048" width="9.7109375" style="184" bestFit="1" customWidth="1"/>
    <col min="12049" max="12049" width="10.7109375" style="184" customWidth="1"/>
    <col min="12050" max="12050" width="9.140625" style="184" bestFit="1" customWidth="1"/>
    <col min="12051" max="12051" width="9.7109375" style="184" bestFit="1" customWidth="1"/>
    <col min="12052" max="12052" width="10.7109375" style="184" customWidth="1"/>
    <col min="12053" max="12054" width="9.7109375" style="184" bestFit="1" customWidth="1"/>
    <col min="12055" max="12055" width="10.7109375" style="184" customWidth="1"/>
    <col min="12056" max="12056" width="9.7109375" style="184" bestFit="1" customWidth="1"/>
    <col min="12057" max="12057" width="7.28515625" style="184" bestFit="1" customWidth="1"/>
    <col min="12058" max="12058" width="10.7109375" style="184" customWidth="1"/>
    <col min="12059" max="12287" width="11.42578125" style="184"/>
    <col min="12288" max="12288" width="0.28515625" style="184" customWidth="1"/>
    <col min="12289" max="12289" width="23.7109375" style="184" customWidth="1"/>
    <col min="12290" max="12290" width="13" style="184" customWidth="1"/>
    <col min="12291" max="12292" width="9.7109375" style="184" bestFit="1" customWidth="1"/>
    <col min="12293" max="12293" width="10.7109375" style="184" customWidth="1"/>
    <col min="12294" max="12295" width="9.7109375" style="184" bestFit="1" customWidth="1"/>
    <col min="12296" max="12296" width="10.7109375" style="184" customWidth="1"/>
    <col min="12297" max="12298" width="9.7109375" style="184" bestFit="1" customWidth="1"/>
    <col min="12299" max="12299" width="10.7109375" style="184" customWidth="1"/>
    <col min="12300" max="12301" width="9.7109375" style="184" bestFit="1" customWidth="1"/>
    <col min="12302" max="12302" width="10.7109375" style="184" customWidth="1"/>
    <col min="12303" max="12304" width="9.7109375" style="184" bestFit="1" customWidth="1"/>
    <col min="12305" max="12305" width="10.7109375" style="184" customWidth="1"/>
    <col min="12306" max="12306" width="9.140625" style="184" bestFit="1" customWidth="1"/>
    <col min="12307" max="12307" width="9.7109375" style="184" bestFit="1" customWidth="1"/>
    <col min="12308" max="12308" width="10.7109375" style="184" customWidth="1"/>
    <col min="12309" max="12310" width="9.7109375" style="184" bestFit="1" customWidth="1"/>
    <col min="12311" max="12311" width="10.7109375" style="184" customWidth="1"/>
    <col min="12312" max="12312" width="9.7109375" style="184" bestFit="1" customWidth="1"/>
    <col min="12313" max="12313" width="7.28515625" style="184" bestFit="1" customWidth="1"/>
    <col min="12314" max="12314" width="10.7109375" style="184" customWidth="1"/>
    <col min="12315" max="12543" width="11.42578125" style="184"/>
    <col min="12544" max="12544" width="0.28515625" style="184" customWidth="1"/>
    <col min="12545" max="12545" width="23.7109375" style="184" customWidth="1"/>
    <col min="12546" max="12546" width="13" style="184" customWidth="1"/>
    <col min="12547" max="12548" width="9.7109375" style="184" bestFit="1" customWidth="1"/>
    <col min="12549" max="12549" width="10.7109375" style="184" customWidth="1"/>
    <col min="12550" max="12551" width="9.7109375" style="184" bestFit="1" customWidth="1"/>
    <col min="12552" max="12552" width="10.7109375" style="184" customWidth="1"/>
    <col min="12553" max="12554" width="9.7109375" style="184" bestFit="1" customWidth="1"/>
    <col min="12555" max="12555" width="10.7109375" style="184" customWidth="1"/>
    <col min="12556" max="12557" width="9.7109375" style="184" bestFit="1" customWidth="1"/>
    <col min="12558" max="12558" width="10.7109375" style="184" customWidth="1"/>
    <col min="12559" max="12560" width="9.7109375" style="184" bestFit="1" customWidth="1"/>
    <col min="12561" max="12561" width="10.7109375" style="184" customWidth="1"/>
    <col min="12562" max="12562" width="9.140625" style="184" bestFit="1" customWidth="1"/>
    <col min="12563" max="12563" width="9.7109375" style="184" bestFit="1" customWidth="1"/>
    <col min="12564" max="12564" width="10.7109375" style="184" customWidth="1"/>
    <col min="12565" max="12566" width="9.7109375" style="184" bestFit="1" customWidth="1"/>
    <col min="12567" max="12567" width="10.7109375" style="184" customWidth="1"/>
    <col min="12568" max="12568" width="9.7109375" style="184" bestFit="1" customWidth="1"/>
    <col min="12569" max="12569" width="7.28515625" style="184" bestFit="1" customWidth="1"/>
    <col min="12570" max="12570" width="10.7109375" style="184" customWidth="1"/>
    <col min="12571" max="12799" width="11.42578125" style="184"/>
    <col min="12800" max="12800" width="0.28515625" style="184" customWidth="1"/>
    <col min="12801" max="12801" width="23.7109375" style="184" customWidth="1"/>
    <col min="12802" max="12802" width="13" style="184" customWidth="1"/>
    <col min="12803" max="12804" width="9.7109375" style="184" bestFit="1" customWidth="1"/>
    <col min="12805" max="12805" width="10.7109375" style="184" customWidth="1"/>
    <col min="12806" max="12807" width="9.7109375" style="184" bestFit="1" customWidth="1"/>
    <col min="12808" max="12808" width="10.7109375" style="184" customWidth="1"/>
    <col min="12809" max="12810" width="9.7109375" style="184" bestFit="1" customWidth="1"/>
    <col min="12811" max="12811" width="10.7109375" style="184" customWidth="1"/>
    <col min="12812" max="12813" width="9.7109375" style="184" bestFit="1" customWidth="1"/>
    <col min="12814" max="12814" width="10.7109375" style="184" customWidth="1"/>
    <col min="12815" max="12816" width="9.7109375" style="184" bestFit="1" customWidth="1"/>
    <col min="12817" max="12817" width="10.7109375" style="184" customWidth="1"/>
    <col min="12818" max="12818" width="9.140625" style="184" bestFit="1" customWidth="1"/>
    <col min="12819" max="12819" width="9.7109375" style="184" bestFit="1" customWidth="1"/>
    <col min="12820" max="12820" width="10.7109375" style="184" customWidth="1"/>
    <col min="12821" max="12822" width="9.7109375" style="184" bestFit="1" customWidth="1"/>
    <col min="12823" max="12823" width="10.7109375" style="184" customWidth="1"/>
    <col min="12824" max="12824" width="9.7109375" style="184" bestFit="1" customWidth="1"/>
    <col min="12825" max="12825" width="7.28515625" style="184" bestFit="1" customWidth="1"/>
    <col min="12826" max="12826" width="10.7109375" style="184" customWidth="1"/>
    <col min="12827" max="13055" width="11.42578125" style="184"/>
    <col min="13056" max="13056" width="0.28515625" style="184" customWidth="1"/>
    <col min="13057" max="13057" width="23.7109375" style="184" customWidth="1"/>
    <col min="13058" max="13058" width="13" style="184" customWidth="1"/>
    <col min="13059" max="13060" width="9.7109375" style="184" bestFit="1" customWidth="1"/>
    <col min="13061" max="13061" width="10.7109375" style="184" customWidth="1"/>
    <col min="13062" max="13063" width="9.7109375" style="184" bestFit="1" customWidth="1"/>
    <col min="13064" max="13064" width="10.7109375" style="184" customWidth="1"/>
    <col min="13065" max="13066" width="9.7109375" style="184" bestFit="1" customWidth="1"/>
    <col min="13067" max="13067" width="10.7109375" style="184" customWidth="1"/>
    <col min="13068" max="13069" width="9.7109375" style="184" bestFit="1" customWidth="1"/>
    <col min="13070" max="13070" width="10.7109375" style="184" customWidth="1"/>
    <col min="13071" max="13072" width="9.7109375" style="184" bestFit="1" customWidth="1"/>
    <col min="13073" max="13073" width="10.7109375" style="184" customWidth="1"/>
    <col min="13074" max="13074" width="9.140625" style="184" bestFit="1" customWidth="1"/>
    <col min="13075" max="13075" width="9.7109375" style="184" bestFit="1" customWidth="1"/>
    <col min="13076" max="13076" width="10.7109375" style="184" customWidth="1"/>
    <col min="13077" max="13078" width="9.7109375" style="184" bestFit="1" customWidth="1"/>
    <col min="13079" max="13079" width="10.7109375" style="184" customWidth="1"/>
    <col min="13080" max="13080" width="9.7109375" style="184" bestFit="1" customWidth="1"/>
    <col min="13081" max="13081" width="7.28515625" style="184" bestFit="1" customWidth="1"/>
    <col min="13082" max="13082" width="10.7109375" style="184" customWidth="1"/>
    <col min="13083" max="13311" width="11.42578125" style="184"/>
    <col min="13312" max="13312" width="0.28515625" style="184" customWidth="1"/>
    <col min="13313" max="13313" width="23.7109375" style="184" customWidth="1"/>
    <col min="13314" max="13314" width="13" style="184" customWidth="1"/>
    <col min="13315" max="13316" width="9.7109375" style="184" bestFit="1" customWidth="1"/>
    <col min="13317" max="13317" width="10.7109375" style="184" customWidth="1"/>
    <col min="13318" max="13319" width="9.7109375" style="184" bestFit="1" customWidth="1"/>
    <col min="13320" max="13320" width="10.7109375" style="184" customWidth="1"/>
    <col min="13321" max="13322" width="9.7109375" style="184" bestFit="1" customWidth="1"/>
    <col min="13323" max="13323" width="10.7109375" style="184" customWidth="1"/>
    <col min="13324" max="13325" width="9.7109375" style="184" bestFit="1" customWidth="1"/>
    <col min="13326" max="13326" width="10.7109375" style="184" customWidth="1"/>
    <col min="13327" max="13328" width="9.7109375" style="184" bestFit="1" customWidth="1"/>
    <col min="13329" max="13329" width="10.7109375" style="184" customWidth="1"/>
    <col min="13330" max="13330" width="9.140625" style="184" bestFit="1" customWidth="1"/>
    <col min="13331" max="13331" width="9.7109375" style="184" bestFit="1" customWidth="1"/>
    <col min="13332" max="13332" width="10.7109375" style="184" customWidth="1"/>
    <col min="13333" max="13334" width="9.7109375" style="184" bestFit="1" customWidth="1"/>
    <col min="13335" max="13335" width="10.7109375" style="184" customWidth="1"/>
    <col min="13336" max="13336" width="9.7109375" style="184" bestFit="1" customWidth="1"/>
    <col min="13337" max="13337" width="7.28515625" style="184" bestFit="1" customWidth="1"/>
    <col min="13338" max="13338" width="10.7109375" style="184" customWidth="1"/>
    <col min="13339" max="13567" width="11.42578125" style="184"/>
    <col min="13568" max="13568" width="0.28515625" style="184" customWidth="1"/>
    <col min="13569" max="13569" width="23.7109375" style="184" customWidth="1"/>
    <col min="13570" max="13570" width="13" style="184" customWidth="1"/>
    <col min="13571" max="13572" width="9.7109375" style="184" bestFit="1" customWidth="1"/>
    <col min="13573" max="13573" width="10.7109375" style="184" customWidth="1"/>
    <col min="13574" max="13575" width="9.7109375" style="184" bestFit="1" customWidth="1"/>
    <col min="13576" max="13576" width="10.7109375" style="184" customWidth="1"/>
    <col min="13577" max="13578" width="9.7109375" style="184" bestFit="1" customWidth="1"/>
    <col min="13579" max="13579" width="10.7109375" style="184" customWidth="1"/>
    <col min="13580" max="13581" width="9.7109375" style="184" bestFit="1" customWidth="1"/>
    <col min="13582" max="13582" width="10.7109375" style="184" customWidth="1"/>
    <col min="13583" max="13584" width="9.7109375" style="184" bestFit="1" customWidth="1"/>
    <col min="13585" max="13585" width="10.7109375" style="184" customWidth="1"/>
    <col min="13586" max="13586" width="9.140625" style="184" bestFit="1" customWidth="1"/>
    <col min="13587" max="13587" width="9.7109375" style="184" bestFit="1" customWidth="1"/>
    <col min="13588" max="13588" width="10.7109375" style="184" customWidth="1"/>
    <col min="13589" max="13590" width="9.7109375" style="184" bestFit="1" customWidth="1"/>
    <col min="13591" max="13591" width="10.7109375" style="184" customWidth="1"/>
    <col min="13592" max="13592" width="9.7109375" style="184" bestFit="1" customWidth="1"/>
    <col min="13593" max="13593" width="7.28515625" style="184" bestFit="1" customWidth="1"/>
    <col min="13594" max="13594" width="10.7109375" style="184" customWidth="1"/>
    <col min="13595" max="13823" width="11.42578125" style="184"/>
    <col min="13824" max="13824" width="0.28515625" style="184" customWidth="1"/>
    <col min="13825" max="13825" width="23.7109375" style="184" customWidth="1"/>
    <col min="13826" max="13826" width="13" style="184" customWidth="1"/>
    <col min="13827" max="13828" width="9.7109375" style="184" bestFit="1" customWidth="1"/>
    <col min="13829" max="13829" width="10.7109375" style="184" customWidth="1"/>
    <col min="13830" max="13831" width="9.7109375" style="184" bestFit="1" customWidth="1"/>
    <col min="13832" max="13832" width="10.7109375" style="184" customWidth="1"/>
    <col min="13833" max="13834" width="9.7109375" style="184" bestFit="1" customWidth="1"/>
    <col min="13835" max="13835" width="10.7109375" style="184" customWidth="1"/>
    <col min="13836" max="13837" width="9.7109375" style="184" bestFit="1" customWidth="1"/>
    <col min="13838" max="13838" width="10.7109375" style="184" customWidth="1"/>
    <col min="13839" max="13840" width="9.7109375" style="184" bestFit="1" customWidth="1"/>
    <col min="13841" max="13841" width="10.7109375" style="184" customWidth="1"/>
    <col min="13842" max="13842" width="9.140625" style="184" bestFit="1" customWidth="1"/>
    <col min="13843" max="13843" width="9.7109375" style="184" bestFit="1" customWidth="1"/>
    <col min="13844" max="13844" width="10.7109375" style="184" customWidth="1"/>
    <col min="13845" max="13846" width="9.7109375" style="184" bestFit="1" customWidth="1"/>
    <col min="13847" max="13847" width="10.7109375" style="184" customWidth="1"/>
    <col min="13848" max="13848" width="9.7109375" style="184" bestFit="1" customWidth="1"/>
    <col min="13849" max="13849" width="7.28515625" style="184" bestFit="1" customWidth="1"/>
    <col min="13850" max="13850" width="10.7109375" style="184" customWidth="1"/>
    <col min="13851" max="14079" width="11.42578125" style="184"/>
    <col min="14080" max="14080" width="0.28515625" style="184" customWidth="1"/>
    <col min="14081" max="14081" width="23.7109375" style="184" customWidth="1"/>
    <col min="14082" max="14082" width="13" style="184" customWidth="1"/>
    <col min="14083" max="14084" width="9.7109375" style="184" bestFit="1" customWidth="1"/>
    <col min="14085" max="14085" width="10.7109375" style="184" customWidth="1"/>
    <col min="14086" max="14087" width="9.7109375" style="184" bestFit="1" customWidth="1"/>
    <col min="14088" max="14088" width="10.7109375" style="184" customWidth="1"/>
    <col min="14089" max="14090" width="9.7109375" style="184" bestFit="1" customWidth="1"/>
    <col min="14091" max="14091" width="10.7109375" style="184" customWidth="1"/>
    <col min="14092" max="14093" width="9.7109375" style="184" bestFit="1" customWidth="1"/>
    <col min="14094" max="14094" width="10.7109375" style="184" customWidth="1"/>
    <col min="14095" max="14096" width="9.7109375" style="184" bestFit="1" customWidth="1"/>
    <col min="14097" max="14097" width="10.7109375" style="184" customWidth="1"/>
    <col min="14098" max="14098" width="9.140625" style="184" bestFit="1" customWidth="1"/>
    <col min="14099" max="14099" width="9.7109375" style="184" bestFit="1" customWidth="1"/>
    <col min="14100" max="14100" width="10.7109375" style="184" customWidth="1"/>
    <col min="14101" max="14102" width="9.7109375" style="184" bestFit="1" customWidth="1"/>
    <col min="14103" max="14103" width="10.7109375" style="184" customWidth="1"/>
    <col min="14104" max="14104" width="9.7109375" style="184" bestFit="1" customWidth="1"/>
    <col min="14105" max="14105" width="7.28515625" style="184" bestFit="1" customWidth="1"/>
    <col min="14106" max="14106" width="10.7109375" style="184" customWidth="1"/>
    <col min="14107" max="14335" width="11.42578125" style="184"/>
    <col min="14336" max="14336" width="0.28515625" style="184" customWidth="1"/>
    <col min="14337" max="14337" width="23.7109375" style="184" customWidth="1"/>
    <col min="14338" max="14338" width="13" style="184" customWidth="1"/>
    <col min="14339" max="14340" width="9.7109375" style="184" bestFit="1" customWidth="1"/>
    <col min="14341" max="14341" width="10.7109375" style="184" customWidth="1"/>
    <col min="14342" max="14343" width="9.7109375" style="184" bestFit="1" customWidth="1"/>
    <col min="14344" max="14344" width="10.7109375" style="184" customWidth="1"/>
    <col min="14345" max="14346" width="9.7109375" style="184" bestFit="1" customWidth="1"/>
    <col min="14347" max="14347" width="10.7109375" style="184" customWidth="1"/>
    <col min="14348" max="14349" width="9.7109375" style="184" bestFit="1" customWidth="1"/>
    <col min="14350" max="14350" width="10.7109375" style="184" customWidth="1"/>
    <col min="14351" max="14352" width="9.7109375" style="184" bestFit="1" customWidth="1"/>
    <col min="14353" max="14353" width="10.7109375" style="184" customWidth="1"/>
    <col min="14354" max="14354" width="9.140625" style="184" bestFit="1" customWidth="1"/>
    <col min="14355" max="14355" width="9.7109375" style="184" bestFit="1" customWidth="1"/>
    <col min="14356" max="14356" width="10.7109375" style="184" customWidth="1"/>
    <col min="14357" max="14358" width="9.7109375" style="184" bestFit="1" customWidth="1"/>
    <col min="14359" max="14359" width="10.7109375" style="184" customWidth="1"/>
    <col min="14360" max="14360" width="9.7109375" style="184" bestFit="1" customWidth="1"/>
    <col min="14361" max="14361" width="7.28515625" style="184" bestFit="1" customWidth="1"/>
    <col min="14362" max="14362" width="10.7109375" style="184" customWidth="1"/>
    <col min="14363" max="14591" width="11.42578125" style="184"/>
    <col min="14592" max="14592" width="0.28515625" style="184" customWidth="1"/>
    <col min="14593" max="14593" width="23.7109375" style="184" customWidth="1"/>
    <col min="14594" max="14594" width="13" style="184" customWidth="1"/>
    <col min="14595" max="14596" width="9.7109375" style="184" bestFit="1" customWidth="1"/>
    <col min="14597" max="14597" width="10.7109375" style="184" customWidth="1"/>
    <col min="14598" max="14599" width="9.7109375" style="184" bestFit="1" customWidth="1"/>
    <col min="14600" max="14600" width="10.7109375" style="184" customWidth="1"/>
    <col min="14601" max="14602" width="9.7109375" style="184" bestFit="1" customWidth="1"/>
    <col min="14603" max="14603" width="10.7109375" style="184" customWidth="1"/>
    <col min="14604" max="14605" width="9.7109375" style="184" bestFit="1" customWidth="1"/>
    <col min="14606" max="14606" width="10.7109375" style="184" customWidth="1"/>
    <col min="14607" max="14608" width="9.7109375" style="184" bestFit="1" customWidth="1"/>
    <col min="14609" max="14609" width="10.7109375" style="184" customWidth="1"/>
    <col min="14610" max="14610" width="9.140625" style="184" bestFit="1" customWidth="1"/>
    <col min="14611" max="14611" width="9.7109375" style="184" bestFit="1" customWidth="1"/>
    <col min="14612" max="14612" width="10.7109375" style="184" customWidth="1"/>
    <col min="14613" max="14614" width="9.7109375" style="184" bestFit="1" customWidth="1"/>
    <col min="14615" max="14615" width="10.7109375" style="184" customWidth="1"/>
    <col min="14616" max="14616" width="9.7109375" style="184" bestFit="1" customWidth="1"/>
    <col min="14617" max="14617" width="7.28515625" style="184" bestFit="1" customWidth="1"/>
    <col min="14618" max="14618" width="10.7109375" style="184" customWidth="1"/>
    <col min="14619" max="14847" width="11.42578125" style="184"/>
    <col min="14848" max="14848" width="0.28515625" style="184" customWidth="1"/>
    <col min="14849" max="14849" width="23.7109375" style="184" customWidth="1"/>
    <col min="14850" max="14850" width="13" style="184" customWidth="1"/>
    <col min="14851" max="14852" width="9.7109375" style="184" bestFit="1" customWidth="1"/>
    <col min="14853" max="14853" width="10.7109375" style="184" customWidth="1"/>
    <col min="14854" max="14855" width="9.7109375" style="184" bestFit="1" customWidth="1"/>
    <col min="14856" max="14856" width="10.7109375" style="184" customWidth="1"/>
    <col min="14857" max="14858" width="9.7109375" style="184" bestFit="1" customWidth="1"/>
    <col min="14859" max="14859" width="10.7109375" style="184" customWidth="1"/>
    <col min="14860" max="14861" width="9.7109375" style="184" bestFit="1" customWidth="1"/>
    <col min="14862" max="14862" width="10.7109375" style="184" customWidth="1"/>
    <col min="14863" max="14864" width="9.7109375" style="184" bestFit="1" customWidth="1"/>
    <col min="14865" max="14865" width="10.7109375" style="184" customWidth="1"/>
    <col min="14866" max="14866" width="9.140625" style="184" bestFit="1" customWidth="1"/>
    <col min="14867" max="14867" width="9.7109375" style="184" bestFit="1" customWidth="1"/>
    <col min="14868" max="14868" width="10.7109375" style="184" customWidth="1"/>
    <col min="14869" max="14870" width="9.7109375" style="184" bestFit="1" customWidth="1"/>
    <col min="14871" max="14871" width="10.7109375" style="184" customWidth="1"/>
    <col min="14872" max="14872" width="9.7109375" style="184" bestFit="1" customWidth="1"/>
    <col min="14873" max="14873" width="7.28515625" style="184" bestFit="1" customWidth="1"/>
    <col min="14874" max="14874" width="10.7109375" style="184" customWidth="1"/>
    <col min="14875" max="15103" width="11.42578125" style="184"/>
    <col min="15104" max="15104" width="0.28515625" style="184" customWidth="1"/>
    <col min="15105" max="15105" width="23.7109375" style="184" customWidth="1"/>
    <col min="15106" max="15106" width="13" style="184" customWidth="1"/>
    <col min="15107" max="15108" width="9.7109375" style="184" bestFit="1" customWidth="1"/>
    <col min="15109" max="15109" width="10.7109375" style="184" customWidth="1"/>
    <col min="15110" max="15111" width="9.7109375" style="184" bestFit="1" customWidth="1"/>
    <col min="15112" max="15112" width="10.7109375" style="184" customWidth="1"/>
    <col min="15113" max="15114" width="9.7109375" style="184" bestFit="1" customWidth="1"/>
    <col min="15115" max="15115" width="10.7109375" style="184" customWidth="1"/>
    <col min="15116" max="15117" width="9.7109375" style="184" bestFit="1" customWidth="1"/>
    <col min="15118" max="15118" width="10.7109375" style="184" customWidth="1"/>
    <col min="15119" max="15120" width="9.7109375" style="184" bestFit="1" customWidth="1"/>
    <col min="15121" max="15121" width="10.7109375" style="184" customWidth="1"/>
    <col min="15122" max="15122" width="9.140625" style="184" bestFit="1" customWidth="1"/>
    <col min="15123" max="15123" width="9.7109375" style="184" bestFit="1" customWidth="1"/>
    <col min="15124" max="15124" width="10.7109375" style="184" customWidth="1"/>
    <col min="15125" max="15126" width="9.7109375" style="184" bestFit="1" customWidth="1"/>
    <col min="15127" max="15127" width="10.7109375" style="184" customWidth="1"/>
    <col min="15128" max="15128" width="9.7109375" style="184" bestFit="1" customWidth="1"/>
    <col min="15129" max="15129" width="7.28515625" style="184" bestFit="1" customWidth="1"/>
    <col min="15130" max="15130" width="10.7109375" style="184" customWidth="1"/>
    <col min="15131" max="15359" width="11.42578125" style="184"/>
    <col min="15360" max="15360" width="0.28515625" style="184" customWidth="1"/>
    <col min="15361" max="15361" width="23.7109375" style="184" customWidth="1"/>
    <col min="15362" max="15362" width="13" style="184" customWidth="1"/>
    <col min="15363" max="15364" width="9.7109375" style="184" bestFit="1" customWidth="1"/>
    <col min="15365" max="15365" width="10.7109375" style="184" customWidth="1"/>
    <col min="15366" max="15367" width="9.7109375" style="184" bestFit="1" customWidth="1"/>
    <col min="15368" max="15368" width="10.7109375" style="184" customWidth="1"/>
    <col min="15369" max="15370" width="9.7109375" style="184" bestFit="1" customWidth="1"/>
    <col min="15371" max="15371" width="10.7109375" style="184" customWidth="1"/>
    <col min="15372" max="15373" width="9.7109375" style="184" bestFit="1" customWidth="1"/>
    <col min="15374" max="15374" width="10.7109375" style="184" customWidth="1"/>
    <col min="15375" max="15376" width="9.7109375" style="184" bestFit="1" customWidth="1"/>
    <col min="15377" max="15377" width="10.7109375" style="184" customWidth="1"/>
    <col min="15378" max="15378" width="9.140625" style="184" bestFit="1" customWidth="1"/>
    <col min="15379" max="15379" width="9.7109375" style="184" bestFit="1" customWidth="1"/>
    <col min="15380" max="15380" width="10.7109375" style="184" customWidth="1"/>
    <col min="15381" max="15382" width="9.7109375" style="184" bestFit="1" customWidth="1"/>
    <col min="15383" max="15383" width="10.7109375" style="184" customWidth="1"/>
    <col min="15384" max="15384" width="9.7109375" style="184" bestFit="1" customWidth="1"/>
    <col min="15385" max="15385" width="7.28515625" style="184" bestFit="1" customWidth="1"/>
    <col min="15386" max="15386" width="10.7109375" style="184" customWidth="1"/>
    <col min="15387" max="15615" width="11.42578125" style="184"/>
    <col min="15616" max="15616" width="0.28515625" style="184" customWidth="1"/>
    <col min="15617" max="15617" width="23.7109375" style="184" customWidth="1"/>
    <col min="15618" max="15618" width="13" style="184" customWidth="1"/>
    <col min="15619" max="15620" width="9.7109375" style="184" bestFit="1" customWidth="1"/>
    <col min="15621" max="15621" width="10.7109375" style="184" customWidth="1"/>
    <col min="15622" max="15623" width="9.7109375" style="184" bestFit="1" customWidth="1"/>
    <col min="15624" max="15624" width="10.7109375" style="184" customWidth="1"/>
    <col min="15625" max="15626" width="9.7109375" style="184" bestFit="1" customWidth="1"/>
    <col min="15627" max="15627" width="10.7109375" style="184" customWidth="1"/>
    <col min="15628" max="15629" width="9.7109375" style="184" bestFit="1" customWidth="1"/>
    <col min="15630" max="15630" width="10.7109375" style="184" customWidth="1"/>
    <col min="15631" max="15632" width="9.7109375" style="184" bestFit="1" customWidth="1"/>
    <col min="15633" max="15633" width="10.7109375" style="184" customWidth="1"/>
    <col min="15634" max="15634" width="9.140625" style="184" bestFit="1" customWidth="1"/>
    <col min="15635" max="15635" width="9.7109375" style="184" bestFit="1" customWidth="1"/>
    <col min="15636" max="15636" width="10.7109375" style="184" customWidth="1"/>
    <col min="15637" max="15638" width="9.7109375" style="184" bestFit="1" customWidth="1"/>
    <col min="15639" max="15639" width="10.7109375" style="184" customWidth="1"/>
    <col min="15640" max="15640" width="9.7109375" style="184" bestFit="1" customWidth="1"/>
    <col min="15641" max="15641" width="7.28515625" style="184" bestFit="1" customWidth="1"/>
    <col min="15642" max="15642" width="10.7109375" style="184" customWidth="1"/>
    <col min="15643" max="15871" width="11.42578125" style="184"/>
    <col min="15872" max="15872" width="0.28515625" style="184" customWidth="1"/>
    <col min="15873" max="15873" width="23.7109375" style="184" customWidth="1"/>
    <col min="15874" max="15874" width="13" style="184" customWidth="1"/>
    <col min="15875" max="15876" width="9.7109375" style="184" bestFit="1" customWidth="1"/>
    <col min="15877" max="15877" width="10.7109375" style="184" customWidth="1"/>
    <col min="15878" max="15879" width="9.7109375" style="184" bestFit="1" customWidth="1"/>
    <col min="15880" max="15880" width="10.7109375" style="184" customWidth="1"/>
    <col min="15881" max="15882" width="9.7109375" style="184" bestFit="1" customWidth="1"/>
    <col min="15883" max="15883" width="10.7109375" style="184" customWidth="1"/>
    <col min="15884" max="15885" width="9.7109375" style="184" bestFit="1" customWidth="1"/>
    <col min="15886" max="15886" width="10.7109375" style="184" customWidth="1"/>
    <col min="15887" max="15888" width="9.7109375" style="184" bestFit="1" customWidth="1"/>
    <col min="15889" max="15889" width="10.7109375" style="184" customWidth="1"/>
    <col min="15890" max="15890" width="9.140625" style="184" bestFit="1" customWidth="1"/>
    <col min="15891" max="15891" width="9.7109375" style="184" bestFit="1" customWidth="1"/>
    <col min="15892" max="15892" width="10.7109375" style="184" customWidth="1"/>
    <col min="15893" max="15894" width="9.7109375" style="184" bestFit="1" customWidth="1"/>
    <col min="15895" max="15895" width="10.7109375" style="184" customWidth="1"/>
    <col min="15896" max="15896" width="9.7109375" style="184" bestFit="1" customWidth="1"/>
    <col min="15897" max="15897" width="7.28515625" style="184" bestFit="1" customWidth="1"/>
    <col min="15898" max="15898" width="10.7109375" style="184" customWidth="1"/>
    <col min="15899" max="16127" width="11.42578125" style="184"/>
    <col min="16128" max="16128" width="0.28515625" style="184" customWidth="1"/>
    <col min="16129" max="16129" width="23.7109375" style="184" customWidth="1"/>
    <col min="16130" max="16130" width="13" style="184" customWidth="1"/>
    <col min="16131" max="16132" width="9.7109375" style="184" bestFit="1" customWidth="1"/>
    <col min="16133" max="16133" width="10.7109375" style="184" customWidth="1"/>
    <col min="16134" max="16135" width="9.7109375" style="184" bestFit="1" customWidth="1"/>
    <col min="16136" max="16136" width="10.7109375" style="184" customWidth="1"/>
    <col min="16137" max="16138" width="9.7109375" style="184" bestFit="1" customWidth="1"/>
    <col min="16139" max="16139" width="10.7109375" style="184" customWidth="1"/>
    <col min="16140" max="16141" width="9.7109375" style="184" bestFit="1" customWidth="1"/>
    <col min="16142" max="16142" width="10.7109375" style="184" customWidth="1"/>
    <col min="16143" max="16144" width="9.7109375" style="184" bestFit="1" customWidth="1"/>
    <col min="16145" max="16145" width="10.7109375" style="184" customWidth="1"/>
    <col min="16146" max="16146" width="9.140625" style="184" bestFit="1" customWidth="1"/>
    <col min="16147" max="16147" width="9.7109375" style="184" bestFit="1" customWidth="1"/>
    <col min="16148" max="16148" width="10.7109375" style="184" customWidth="1"/>
    <col min="16149" max="16150" width="9.7109375" style="184" bestFit="1" customWidth="1"/>
    <col min="16151" max="16151" width="10.7109375" style="184" customWidth="1"/>
    <col min="16152" max="16152" width="9.7109375" style="184" bestFit="1" customWidth="1"/>
    <col min="16153" max="16153" width="7.28515625" style="184" bestFit="1" customWidth="1"/>
    <col min="16154" max="16154" width="10.7109375" style="184" customWidth="1"/>
    <col min="16155" max="16384" width="11.42578125" style="184"/>
  </cols>
  <sheetData>
    <row r="1" spans="1:41" ht="45" customHeight="1" x14ac:dyDescent="0.2">
      <c r="A1" s="5058" t="s">
        <v>1287</v>
      </c>
      <c r="B1" s="5058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</row>
    <row r="2" spans="1:41" ht="15.75" x14ac:dyDescent="0.2">
      <c r="A2" s="2378"/>
      <c r="B2" s="639"/>
      <c r="C2" s="639"/>
      <c r="D2" s="639"/>
      <c r="E2" s="639"/>
      <c r="F2" s="639"/>
      <c r="G2" s="639"/>
      <c r="H2" s="639"/>
      <c r="I2" s="639"/>
      <c r="J2" s="639"/>
      <c r="K2" s="639"/>
      <c r="L2" s="639"/>
      <c r="M2" s="639"/>
      <c r="N2" s="639"/>
      <c r="O2" s="639"/>
      <c r="P2" s="639"/>
      <c r="Q2" s="639"/>
      <c r="R2" s="639"/>
      <c r="S2" s="639"/>
      <c r="T2" s="639"/>
      <c r="U2" s="639"/>
      <c r="V2" s="639"/>
      <c r="W2" s="639"/>
      <c r="X2" s="639"/>
      <c r="Y2" s="639"/>
      <c r="Z2" s="639"/>
    </row>
    <row r="3" spans="1:41" ht="15" x14ac:dyDescent="0.2">
      <c r="A3" s="5106" t="s">
        <v>16</v>
      </c>
      <c r="B3" s="5106" t="s">
        <v>4</v>
      </c>
      <c r="C3" s="5022">
        <v>2003</v>
      </c>
      <c r="D3" s="5023"/>
      <c r="E3" s="5024"/>
      <c r="F3" s="5022">
        <v>2004</v>
      </c>
      <c r="G3" s="5023"/>
      <c r="H3" s="5024"/>
      <c r="I3" s="5022">
        <v>2005</v>
      </c>
      <c r="J3" s="5023"/>
      <c r="K3" s="5024"/>
      <c r="L3" s="5022">
        <v>2006</v>
      </c>
      <c r="M3" s="5023"/>
      <c r="N3" s="5024"/>
      <c r="O3" s="5022">
        <v>2007</v>
      </c>
      <c r="P3" s="5023"/>
      <c r="Q3" s="5024"/>
      <c r="R3" s="5022">
        <v>2008</v>
      </c>
      <c r="S3" s="5023"/>
      <c r="T3" s="5024"/>
      <c r="U3" s="5022">
        <v>2009</v>
      </c>
      <c r="V3" s="5023"/>
      <c r="W3" s="5024"/>
      <c r="X3" s="5022">
        <v>2010</v>
      </c>
      <c r="Y3" s="5023"/>
      <c r="Z3" s="5024"/>
      <c r="AA3" s="5022">
        <v>2011</v>
      </c>
      <c r="AB3" s="5023"/>
      <c r="AC3" s="5024"/>
      <c r="AD3" s="5022">
        <v>2012</v>
      </c>
      <c r="AE3" s="5023"/>
      <c r="AF3" s="5024"/>
      <c r="AG3" s="5022">
        <v>2013</v>
      </c>
      <c r="AH3" s="5023"/>
      <c r="AI3" s="5024"/>
      <c r="AJ3" s="5022">
        <v>2014</v>
      </c>
      <c r="AK3" s="5023"/>
      <c r="AL3" s="5024"/>
      <c r="AM3" s="5022">
        <v>2015</v>
      </c>
      <c r="AN3" s="5023"/>
      <c r="AO3" s="5024"/>
    </row>
    <row r="4" spans="1:41" ht="15" x14ac:dyDescent="0.2">
      <c r="A4" s="5106"/>
      <c r="B4" s="5106"/>
      <c r="C4" s="566" t="s">
        <v>668</v>
      </c>
      <c r="D4" s="567" t="s">
        <v>669</v>
      </c>
      <c r="E4" s="1031" t="s">
        <v>160</v>
      </c>
      <c r="F4" s="566" t="s">
        <v>668</v>
      </c>
      <c r="G4" s="567" t="s">
        <v>669</v>
      </c>
      <c r="H4" s="1031" t="s">
        <v>160</v>
      </c>
      <c r="I4" s="566" t="s">
        <v>668</v>
      </c>
      <c r="J4" s="567" t="s">
        <v>669</v>
      </c>
      <c r="K4" s="1031" t="s">
        <v>160</v>
      </c>
      <c r="L4" s="566" t="s">
        <v>668</v>
      </c>
      <c r="M4" s="567" t="s">
        <v>669</v>
      </c>
      <c r="N4" s="1031" t="s">
        <v>160</v>
      </c>
      <c r="O4" s="566" t="s">
        <v>668</v>
      </c>
      <c r="P4" s="567" t="s">
        <v>669</v>
      </c>
      <c r="Q4" s="1031" t="s">
        <v>160</v>
      </c>
      <c r="R4" s="566" t="s">
        <v>668</v>
      </c>
      <c r="S4" s="567" t="s">
        <v>669</v>
      </c>
      <c r="T4" s="1031" t="s">
        <v>160</v>
      </c>
      <c r="U4" s="566" t="s">
        <v>668</v>
      </c>
      <c r="V4" s="567" t="s">
        <v>669</v>
      </c>
      <c r="W4" s="1031" t="s">
        <v>160</v>
      </c>
      <c r="X4" s="566" t="s">
        <v>668</v>
      </c>
      <c r="Y4" s="567" t="s">
        <v>669</v>
      </c>
      <c r="Z4" s="1031" t="s">
        <v>160</v>
      </c>
      <c r="AA4" s="566" t="s">
        <v>668</v>
      </c>
      <c r="AB4" s="567" t="s">
        <v>669</v>
      </c>
      <c r="AC4" s="1031" t="s">
        <v>160</v>
      </c>
      <c r="AD4" s="566" t="s">
        <v>668</v>
      </c>
      <c r="AE4" s="567" t="s">
        <v>669</v>
      </c>
      <c r="AF4" s="1031" t="s">
        <v>160</v>
      </c>
      <c r="AG4" s="566" t="s">
        <v>668</v>
      </c>
      <c r="AH4" s="567" t="s">
        <v>669</v>
      </c>
      <c r="AI4" s="1031" t="s">
        <v>160</v>
      </c>
      <c r="AJ4" s="566" t="s">
        <v>668</v>
      </c>
      <c r="AK4" s="567" t="s">
        <v>669</v>
      </c>
      <c r="AL4" s="1031" t="s">
        <v>160</v>
      </c>
      <c r="AM4" s="566" t="s">
        <v>668</v>
      </c>
      <c r="AN4" s="567" t="s">
        <v>669</v>
      </c>
      <c r="AO4" s="1031" t="s">
        <v>160</v>
      </c>
    </row>
    <row r="5" spans="1:41" ht="15" x14ac:dyDescent="0.2">
      <c r="A5" s="263"/>
      <c r="B5" s="263"/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3"/>
      <c r="P5" s="263"/>
      <c r="Q5" s="263"/>
      <c r="R5" s="263"/>
      <c r="S5" s="263"/>
      <c r="T5" s="263"/>
      <c r="U5" s="263"/>
      <c r="V5" s="263"/>
      <c r="W5" s="263"/>
      <c r="X5" s="263"/>
      <c r="Y5" s="263"/>
      <c r="Z5" s="263"/>
      <c r="AA5" s="263"/>
      <c r="AB5" s="263"/>
      <c r="AC5" s="263"/>
      <c r="AD5" s="263"/>
      <c r="AE5" s="263"/>
      <c r="AF5" s="263"/>
      <c r="AG5" s="263"/>
      <c r="AH5" s="263"/>
      <c r="AI5" s="263"/>
      <c r="AJ5" s="263"/>
      <c r="AK5" s="263"/>
      <c r="AL5" s="263"/>
      <c r="AM5" s="263"/>
      <c r="AN5" s="263"/>
      <c r="AO5" s="263"/>
    </row>
    <row r="6" spans="1:41" ht="15" x14ac:dyDescent="0.2">
      <c r="A6" s="5037" t="s">
        <v>161</v>
      </c>
      <c r="B6" s="499" t="s">
        <v>5</v>
      </c>
      <c r="C6" s="472">
        <v>420</v>
      </c>
      <c r="D6" s="471">
        <v>994</v>
      </c>
      <c r="E6" s="473">
        <f>SUM(C6:D6)</f>
        <v>1414</v>
      </c>
      <c r="F6" s="472">
        <v>776</v>
      </c>
      <c r="G6" s="471">
        <v>1217</v>
      </c>
      <c r="H6" s="501">
        <f>SUM(F6:G6)</f>
        <v>1993</v>
      </c>
      <c r="I6" s="472">
        <v>757</v>
      </c>
      <c r="J6" s="471">
        <v>1266</v>
      </c>
      <c r="K6" s="501">
        <f>SUM(I6:J6)</f>
        <v>2023</v>
      </c>
      <c r="L6" s="472">
        <v>802</v>
      </c>
      <c r="M6" s="471">
        <v>1354</v>
      </c>
      <c r="N6" s="501">
        <f>SUM(L6:M6)</f>
        <v>2156</v>
      </c>
      <c r="O6" s="472">
        <v>711</v>
      </c>
      <c r="P6" s="471">
        <v>1380</v>
      </c>
      <c r="Q6" s="501">
        <f>SUM(O6:P6)</f>
        <v>2091</v>
      </c>
      <c r="R6" s="472">
        <v>722</v>
      </c>
      <c r="S6" s="471">
        <v>1398</v>
      </c>
      <c r="T6" s="501">
        <f>SUM(R6:S6)</f>
        <v>2120</v>
      </c>
      <c r="U6" s="472">
        <v>784</v>
      </c>
      <c r="V6" s="471">
        <v>1259</v>
      </c>
      <c r="W6" s="501">
        <f>SUM(U6:V6)</f>
        <v>2043</v>
      </c>
      <c r="X6" s="472">
        <v>925</v>
      </c>
      <c r="Y6" s="471">
        <v>1460</v>
      </c>
      <c r="Z6" s="501">
        <f>SUM(X6:Y6)</f>
        <v>2385</v>
      </c>
      <c r="AA6" s="472">
        <v>1058</v>
      </c>
      <c r="AB6" s="471">
        <v>978</v>
      </c>
      <c r="AC6" s="501">
        <f>SUM(AA6:AB6)</f>
        <v>2036</v>
      </c>
      <c r="AD6" s="472">
        <f>SUM('Admitidos plan'!AE5:AE14)</f>
        <v>515</v>
      </c>
      <c r="AE6" s="471">
        <f>SUM('Admitidos plan'!AF5:AF14)</f>
        <v>934</v>
      </c>
      <c r="AF6" s="501">
        <f>SUM(AD6:AE6)</f>
        <v>1449</v>
      </c>
      <c r="AG6" s="472">
        <f>SUM('Admitidos plan'!AH5:AH14)</f>
        <v>600</v>
      </c>
      <c r="AH6" s="471">
        <f>SUM('Admitidos plan'!AI5:AI14)</f>
        <v>948</v>
      </c>
      <c r="AI6" s="501">
        <f>SUM(AG6:AH6)</f>
        <v>1548</v>
      </c>
      <c r="AJ6" s="472">
        <f>SUM('Admitidos plan'!AK5:AK14)</f>
        <v>454</v>
      </c>
      <c r="AK6" s="471">
        <f>SUM('Admitidos plan'!AL5:AL14)</f>
        <v>1000</v>
      </c>
      <c r="AL6" s="501">
        <f>SUM(AJ6:AK6)</f>
        <v>1454</v>
      </c>
      <c r="AM6" s="472">
        <f>SUM('Admitidos plan'!AN5:AN14)</f>
        <v>395</v>
      </c>
      <c r="AN6" s="471">
        <f>SUM('Admitidos plan'!AO5:AO14)</f>
        <v>854</v>
      </c>
      <c r="AO6" s="501">
        <f>SUM(AM6:AN6)</f>
        <v>1249</v>
      </c>
    </row>
    <row r="7" spans="1:41" ht="15" x14ac:dyDescent="0.2">
      <c r="A7" s="5038"/>
      <c r="B7" s="505" t="s">
        <v>6</v>
      </c>
      <c r="C7" s="475">
        <v>507</v>
      </c>
      <c r="D7" s="474">
        <v>709</v>
      </c>
      <c r="E7" s="476">
        <f>SUM(C7:D7)</f>
        <v>1216</v>
      </c>
      <c r="F7" s="475">
        <v>484</v>
      </c>
      <c r="G7" s="474">
        <v>793</v>
      </c>
      <c r="H7" s="507">
        <f>SUM(F7:G7)</f>
        <v>1277</v>
      </c>
      <c r="I7" s="475">
        <v>542</v>
      </c>
      <c r="J7" s="474">
        <v>733</v>
      </c>
      <c r="K7" s="507">
        <f>SUM(I7:J7)</f>
        <v>1275</v>
      </c>
      <c r="L7" s="475">
        <v>448</v>
      </c>
      <c r="M7" s="474">
        <v>800</v>
      </c>
      <c r="N7" s="507">
        <f>SUM(L7:M7)</f>
        <v>1248</v>
      </c>
      <c r="O7" s="475">
        <v>621</v>
      </c>
      <c r="P7" s="474">
        <v>713</v>
      </c>
      <c r="Q7" s="507">
        <f>SUM(O7:P7)</f>
        <v>1334</v>
      </c>
      <c r="R7" s="475">
        <v>702</v>
      </c>
      <c r="S7" s="474">
        <v>695</v>
      </c>
      <c r="T7" s="507">
        <f>SUM(R7:S7)</f>
        <v>1397</v>
      </c>
      <c r="U7" s="475">
        <v>625</v>
      </c>
      <c r="V7" s="474">
        <v>817</v>
      </c>
      <c r="W7" s="507">
        <f>SUM(U7:V7)</f>
        <v>1442</v>
      </c>
      <c r="X7" s="475">
        <v>626</v>
      </c>
      <c r="Y7" s="474">
        <v>723</v>
      </c>
      <c r="Z7" s="507">
        <f>SUM(X7:Y7)</f>
        <v>1349</v>
      </c>
      <c r="AA7" s="475">
        <v>649</v>
      </c>
      <c r="AB7" s="474">
        <v>756</v>
      </c>
      <c r="AC7" s="507">
        <f>SUM(AA7:AB7)</f>
        <v>1405</v>
      </c>
      <c r="AD7" s="475">
        <f>SUM('Admitidos plan'!AE16:AE19)</f>
        <v>704</v>
      </c>
      <c r="AE7" s="474">
        <f>SUM('Admitidos plan'!AF16:AF19)</f>
        <v>882</v>
      </c>
      <c r="AF7" s="507">
        <f>SUM(AD7:AE7)</f>
        <v>1586</v>
      </c>
      <c r="AG7" s="475">
        <f>SUM('Admitidos plan'!AH16:AH19)</f>
        <v>661</v>
      </c>
      <c r="AH7" s="474">
        <f>SUM('Admitidos plan'!AI16:AI19)</f>
        <v>851</v>
      </c>
      <c r="AI7" s="507">
        <f>SUM(AG7:AH7)</f>
        <v>1512</v>
      </c>
      <c r="AJ7" s="475">
        <f>SUM('Admitidos plan'!AK16:AK19)</f>
        <v>644</v>
      </c>
      <c r="AK7" s="474">
        <f>SUM('Admitidos plan'!AL16:AL19)</f>
        <v>810</v>
      </c>
      <c r="AL7" s="507">
        <f>SUM(AJ7:AK7)</f>
        <v>1454</v>
      </c>
      <c r="AM7" s="475">
        <f>SUM('Admitidos plan'!AN16:AN19)</f>
        <v>718</v>
      </c>
      <c r="AN7" s="474">
        <f>SUM('Admitidos plan'!AO16:AO19)</f>
        <v>898</v>
      </c>
      <c r="AO7" s="507">
        <f>SUM(AM7:AN7)</f>
        <v>1616</v>
      </c>
    </row>
    <row r="8" spans="1:41" ht="15" x14ac:dyDescent="0.2">
      <c r="A8" s="5038"/>
      <c r="B8" s="505" t="s">
        <v>7</v>
      </c>
      <c r="C8" s="475">
        <v>348</v>
      </c>
      <c r="D8" s="474">
        <v>464</v>
      </c>
      <c r="E8" s="476">
        <f>SUM(C8:D8)</f>
        <v>812</v>
      </c>
      <c r="F8" s="475">
        <v>348</v>
      </c>
      <c r="G8" s="474">
        <v>379</v>
      </c>
      <c r="H8" s="507">
        <f>SUM(F8:G8)</f>
        <v>727</v>
      </c>
      <c r="I8" s="475">
        <v>328</v>
      </c>
      <c r="J8" s="474">
        <v>389</v>
      </c>
      <c r="K8" s="507">
        <f>SUM(I8:J8)</f>
        <v>717</v>
      </c>
      <c r="L8" s="475">
        <v>278</v>
      </c>
      <c r="M8" s="474">
        <v>370</v>
      </c>
      <c r="N8" s="507">
        <f>SUM(L8:M8)</f>
        <v>648</v>
      </c>
      <c r="O8" s="475">
        <v>293</v>
      </c>
      <c r="P8" s="474">
        <v>370</v>
      </c>
      <c r="Q8" s="507">
        <f>SUM(O8:P8)</f>
        <v>663</v>
      </c>
      <c r="R8" s="475">
        <v>286</v>
      </c>
      <c r="S8" s="474">
        <v>330</v>
      </c>
      <c r="T8" s="507">
        <f>SUM(R8:S8)</f>
        <v>616</v>
      </c>
      <c r="U8" s="475">
        <v>290</v>
      </c>
      <c r="V8" s="474">
        <v>357</v>
      </c>
      <c r="W8" s="507">
        <f>SUM(U8:V8)</f>
        <v>647</v>
      </c>
      <c r="X8" s="475">
        <v>284</v>
      </c>
      <c r="Y8" s="474">
        <v>338</v>
      </c>
      <c r="Z8" s="507">
        <f>SUM(X8:Y8)</f>
        <v>622</v>
      </c>
      <c r="AA8" s="475">
        <v>300</v>
      </c>
      <c r="AB8" s="474">
        <v>358</v>
      </c>
      <c r="AC8" s="507">
        <f>SUM(AA8:AB8)</f>
        <v>658</v>
      </c>
      <c r="AD8" s="475">
        <f>SUM('Admitidos plan'!AE21:AE23)</f>
        <v>292</v>
      </c>
      <c r="AE8" s="474">
        <f>SUM('Admitidos plan'!AF21:AF23)</f>
        <v>348</v>
      </c>
      <c r="AF8" s="507">
        <f>SUM(AD8:AE8)</f>
        <v>640</v>
      </c>
      <c r="AG8" s="475">
        <f>SUM('Admitidos plan'!AH21:AH23)</f>
        <v>317</v>
      </c>
      <c r="AH8" s="474">
        <f>SUM('Admitidos plan'!AI21:AI23)</f>
        <v>374</v>
      </c>
      <c r="AI8" s="507">
        <f>SUM(AG8:AH8)</f>
        <v>691</v>
      </c>
      <c r="AJ8" s="475">
        <f>SUM('Admitidos plan'!AK21:AK23)</f>
        <v>312</v>
      </c>
      <c r="AK8" s="474">
        <f>SUM('Admitidos plan'!AL21:AL23)</f>
        <v>355</v>
      </c>
      <c r="AL8" s="507">
        <f>SUM(AJ8:AK8)</f>
        <v>667</v>
      </c>
      <c r="AM8" s="475">
        <f>SUM('Admitidos plan'!AN21:AN23)</f>
        <v>323</v>
      </c>
      <c r="AN8" s="474">
        <f>SUM('Admitidos plan'!AO21:AO23)</f>
        <v>402</v>
      </c>
      <c r="AO8" s="507">
        <f>SUM(AM8:AN8)</f>
        <v>725</v>
      </c>
    </row>
    <row r="9" spans="1:41" ht="15" x14ac:dyDescent="0.2">
      <c r="A9" s="5108"/>
      <c r="B9" s="2459" t="s">
        <v>12</v>
      </c>
      <c r="C9" s="2460">
        <f t="shared" ref="C9:X9" si="0">SUM(C6:C8)</f>
        <v>1275</v>
      </c>
      <c r="D9" s="2461">
        <f t="shared" si="0"/>
        <v>2167</v>
      </c>
      <c r="E9" s="2462">
        <f t="shared" si="0"/>
        <v>3442</v>
      </c>
      <c r="F9" s="2460">
        <f t="shared" si="0"/>
        <v>1608</v>
      </c>
      <c r="G9" s="2461">
        <f t="shared" si="0"/>
        <v>2389</v>
      </c>
      <c r="H9" s="2462">
        <f t="shared" si="0"/>
        <v>3997</v>
      </c>
      <c r="I9" s="2460">
        <f t="shared" si="0"/>
        <v>1627</v>
      </c>
      <c r="J9" s="2461">
        <f t="shared" si="0"/>
        <v>2388</v>
      </c>
      <c r="K9" s="2462">
        <f t="shared" si="0"/>
        <v>4015</v>
      </c>
      <c r="L9" s="2460">
        <f t="shared" si="0"/>
        <v>1528</v>
      </c>
      <c r="M9" s="2461">
        <f t="shared" si="0"/>
        <v>2524</v>
      </c>
      <c r="N9" s="2462">
        <f t="shared" si="0"/>
        <v>4052</v>
      </c>
      <c r="O9" s="2460">
        <f t="shared" si="0"/>
        <v>1625</v>
      </c>
      <c r="P9" s="2461">
        <f t="shared" si="0"/>
        <v>2463</v>
      </c>
      <c r="Q9" s="2462">
        <f t="shared" si="0"/>
        <v>4088</v>
      </c>
      <c r="R9" s="2460">
        <f t="shared" si="0"/>
        <v>1710</v>
      </c>
      <c r="S9" s="2461">
        <f t="shared" si="0"/>
        <v>2423</v>
      </c>
      <c r="T9" s="2462">
        <f t="shared" si="0"/>
        <v>4133</v>
      </c>
      <c r="U9" s="2460">
        <f t="shared" si="0"/>
        <v>1699</v>
      </c>
      <c r="V9" s="2461">
        <f t="shared" si="0"/>
        <v>2433</v>
      </c>
      <c r="W9" s="2462">
        <f t="shared" si="0"/>
        <v>4132</v>
      </c>
      <c r="X9" s="2460">
        <f t="shared" si="0"/>
        <v>1835</v>
      </c>
      <c r="Y9" s="2461">
        <v>2521</v>
      </c>
      <c r="Z9" s="2462">
        <f>SUM(X9:Y9)</f>
        <v>4356</v>
      </c>
      <c r="AA9" s="2460">
        <f>SUM(AA6:AA8)</f>
        <v>2007</v>
      </c>
      <c r="AB9" s="2461">
        <f>SUM(AB6:AB8)</f>
        <v>2092</v>
      </c>
      <c r="AC9" s="2462">
        <f>SUM(AA9:AB9)</f>
        <v>4099</v>
      </c>
      <c r="AD9" s="2460">
        <f>SUM(AD6:AD8)</f>
        <v>1511</v>
      </c>
      <c r="AE9" s="2461">
        <f>SUM(AE6:AE8)</f>
        <v>2164</v>
      </c>
      <c r="AF9" s="2462">
        <f>SUM(AD9:AE9)</f>
        <v>3675</v>
      </c>
      <c r="AG9" s="2460">
        <f>SUM(AG6:AG8)</f>
        <v>1578</v>
      </c>
      <c r="AH9" s="2461">
        <f>SUM(AH6:AH8)</f>
        <v>2173</v>
      </c>
      <c r="AI9" s="2462">
        <f>SUM(AG9:AH9)</f>
        <v>3751</v>
      </c>
      <c r="AJ9" s="2460">
        <f>SUM(AJ6:AJ8)</f>
        <v>1410</v>
      </c>
      <c r="AK9" s="2461">
        <f>SUM(AK6:AK8)</f>
        <v>2165</v>
      </c>
      <c r="AL9" s="2462">
        <f>SUM(AJ9:AK9)</f>
        <v>3575</v>
      </c>
      <c r="AM9" s="2460">
        <f>SUM(AM6:AM8)</f>
        <v>1436</v>
      </c>
      <c r="AN9" s="2461">
        <f>SUM(AN6:AN8)</f>
        <v>2154</v>
      </c>
      <c r="AO9" s="2462">
        <f>SUM(AM9:AN9)</f>
        <v>3590</v>
      </c>
    </row>
    <row r="10" spans="1:41" ht="15.75" x14ac:dyDescent="0.25">
      <c r="A10" s="1923"/>
      <c r="B10" s="771"/>
      <c r="C10" s="771"/>
      <c r="D10" s="771"/>
      <c r="E10" s="771"/>
      <c r="F10" s="771"/>
      <c r="G10" s="771"/>
      <c r="H10" s="771"/>
      <c r="I10" s="771"/>
      <c r="J10" s="771"/>
      <c r="K10" s="771"/>
      <c r="L10" s="771"/>
      <c r="M10" s="771"/>
      <c r="N10" s="771"/>
      <c r="O10" s="771"/>
      <c r="P10" s="771"/>
      <c r="Q10" s="771"/>
      <c r="R10" s="771"/>
      <c r="S10" s="771"/>
      <c r="T10" s="771"/>
      <c r="U10" s="771"/>
      <c r="V10" s="771"/>
      <c r="W10" s="771"/>
      <c r="X10" s="771"/>
      <c r="Y10" s="771"/>
      <c r="Z10" s="771"/>
      <c r="AA10" s="771"/>
      <c r="AB10" s="771"/>
      <c r="AC10" s="771"/>
      <c r="AD10" s="771"/>
      <c r="AE10" s="771"/>
      <c r="AF10" s="771"/>
      <c r="AG10" s="771"/>
      <c r="AH10" s="771"/>
      <c r="AI10" s="771"/>
      <c r="AJ10" s="771"/>
      <c r="AK10" s="771"/>
      <c r="AL10" s="771"/>
      <c r="AM10" s="771"/>
      <c r="AN10" s="771"/>
      <c r="AO10" s="771"/>
    </row>
    <row r="11" spans="1:41" ht="15" x14ac:dyDescent="0.2">
      <c r="A11" s="5028" t="s">
        <v>410</v>
      </c>
      <c r="B11" s="499" t="s">
        <v>6</v>
      </c>
      <c r="C11" s="472"/>
      <c r="D11" s="471"/>
      <c r="E11" s="473"/>
      <c r="F11" s="472"/>
      <c r="G11" s="471"/>
      <c r="H11" s="501"/>
      <c r="I11" s="472"/>
      <c r="J11" s="471">
        <v>134</v>
      </c>
      <c r="K11" s="501">
        <v>134</v>
      </c>
      <c r="L11" s="471"/>
      <c r="M11" s="471">
        <v>52</v>
      </c>
      <c r="N11" s="501">
        <v>52</v>
      </c>
      <c r="O11" s="471"/>
      <c r="P11" s="471">
        <v>137</v>
      </c>
      <c r="Q11" s="501">
        <v>137</v>
      </c>
      <c r="R11" s="471"/>
      <c r="S11" s="471">
        <v>122</v>
      </c>
      <c r="T11" s="501">
        <v>122</v>
      </c>
      <c r="U11" s="472"/>
      <c r="V11" s="471">
        <v>90</v>
      </c>
      <c r="W11" s="501">
        <v>90</v>
      </c>
      <c r="X11" s="472"/>
      <c r="Y11" s="471">
        <v>94</v>
      </c>
      <c r="Z11" s="501">
        <f>SUM(X11:Y11)</f>
        <v>94</v>
      </c>
      <c r="AA11" s="472"/>
      <c r="AB11" s="471">
        <v>105</v>
      </c>
      <c r="AC11" s="501">
        <f>SUM(AA11:AB11)</f>
        <v>105</v>
      </c>
      <c r="AD11" s="472">
        <f>SUM('Admitidos plan'!AE78:AE81)</f>
        <v>0</v>
      </c>
      <c r="AE11" s="471">
        <f>SUM('Admitidos plan'!AF78:AF81)</f>
        <v>106</v>
      </c>
      <c r="AF11" s="501">
        <f>SUM(AD11:AE11)</f>
        <v>106</v>
      </c>
      <c r="AG11" s="472">
        <f>SUM('Admitidos plan'!AH78:AH81)</f>
        <v>0</v>
      </c>
      <c r="AH11" s="471">
        <f>SUM('Admitidos plan'!AI78:AI81)</f>
        <v>123</v>
      </c>
      <c r="AI11" s="501">
        <f>SUM(AG11:AH11)</f>
        <v>123</v>
      </c>
      <c r="AJ11" s="472">
        <f>SUM('Admitidos plan'!AK78:AK81)</f>
        <v>105</v>
      </c>
      <c r="AK11" s="471">
        <f>SUM('Admitidos plan'!AL78:AL81)</f>
        <v>122</v>
      </c>
      <c r="AL11" s="501">
        <f>SUM(AJ11:AK11)</f>
        <v>227</v>
      </c>
      <c r="AM11" s="472">
        <f>SUM('Admitidos plan'!AN78:AN81)</f>
        <v>104</v>
      </c>
      <c r="AN11" s="471">
        <f>SUM('Admitidos plan'!AO78:AO81)</f>
        <v>171</v>
      </c>
      <c r="AO11" s="501">
        <f>SUM(AM11:AN11)</f>
        <v>275</v>
      </c>
    </row>
    <row r="12" spans="1:41" ht="15" x14ac:dyDescent="0.2">
      <c r="A12" s="5029"/>
      <c r="B12" s="505" t="s">
        <v>9</v>
      </c>
      <c r="C12" s="475"/>
      <c r="D12" s="474"/>
      <c r="E12" s="476"/>
      <c r="F12" s="475"/>
      <c r="G12" s="474"/>
      <c r="H12" s="507"/>
      <c r="I12" s="475"/>
      <c r="J12" s="474">
        <v>41</v>
      </c>
      <c r="K12" s="507">
        <v>41</v>
      </c>
      <c r="L12" s="474"/>
      <c r="M12" s="474">
        <v>37</v>
      </c>
      <c r="N12" s="507">
        <v>37</v>
      </c>
      <c r="O12" s="474"/>
      <c r="P12" s="474">
        <v>163</v>
      </c>
      <c r="Q12" s="507">
        <v>163</v>
      </c>
      <c r="R12" s="474"/>
      <c r="S12" s="474">
        <v>144</v>
      </c>
      <c r="T12" s="507">
        <v>144</v>
      </c>
      <c r="U12" s="475"/>
      <c r="V12" s="474">
        <v>122</v>
      </c>
      <c r="W12" s="507">
        <v>122</v>
      </c>
      <c r="X12" s="475"/>
      <c r="Y12" s="474">
        <v>159</v>
      </c>
      <c r="Z12" s="507">
        <f>SUM(X12:Y12)</f>
        <v>159</v>
      </c>
      <c r="AA12" s="475"/>
      <c r="AB12" s="474">
        <v>158</v>
      </c>
      <c r="AC12" s="507">
        <f>SUM(AA12:AB12)</f>
        <v>158</v>
      </c>
      <c r="AD12" s="475">
        <f>SUM('Admitidos plan'!AE83:AE85)</f>
        <v>0</v>
      </c>
      <c r="AE12" s="474">
        <f>SUM('Admitidos plan'!AF83:AF85)</f>
        <v>153</v>
      </c>
      <c r="AF12" s="507">
        <f>SUM(AD12:AE12)</f>
        <v>153</v>
      </c>
      <c r="AG12" s="475">
        <f>SUM('Admitidos plan'!AH83:AH85)</f>
        <v>0</v>
      </c>
      <c r="AH12" s="474">
        <f>SUM('Admitidos plan'!AI83:AI85)</f>
        <v>158</v>
      </c>
      <c r="AI12" s="507">
        <f>SUM(AG12:AH12)</f>
        <v>158</v>
      </c>
      <c r="AJ12" s="475">
        <f>SUM('Admitidos plan'!AK83:AK85)</f>
        <v>0</v>
      </c>
      <c r="AK12" s="474">
        <f>SUM('Admitidos plan'!AL83:AL85)</f>
        <v>189</v>
      </c>
      <c r="AL12" s="507">
        <f>SUM(AJ12:AK12)</f>
        <v>189</v>
      </c>
      <c r="AM12" s="475">
        <f>SUM('Admitidos plan'!AN83:AN85)</f>
        <v>0</v>
      </c>
      <c r="AN12" s="474">
        <f>SUM('Admitidos plan'!AO83:AO85)</f>
        <v>234</v>
      </c>
      <c r="AO12" s="507">
        <f>SUM(AM12:AN12)</f>
        <v>234</v>
      </c>
    </row>
    <row r="13" spans="1:41" ht="15" x14ac:dyDescent="0.2">
      <c r="A13" s="5029"/>
      <c r="B13" s="518" t="s">
        <v>74</v>
      </c>
      <c r="C13" s="475"/>
      <c r="D13" s="474"/>
      <c r="E13" s="476"/>
      <c r="F13" s="475"/>
      <c r="G13" s="474"/>
      <c r="H13" s="507"/>
      <c r="I13" s="475"/>
      <c r="J13" s="474">
        <v>77</v>
      </c>
      <c r="K13" s="507">
        <v>77</v>
      </c>
      <c r="L13" s="474"/>
      <c r="M13" s="474">
        <v>34</v>
      </c>
      <c r="N13" s="507">
        <v>34</v>
      </c>
      <c r="O13" s="474"/>
      <c r="P13" s="474">
        <v>82</v>
      </c>
      <c r="Q13" s="507">
        <v>82</v>
      </c>
      <c r="R13" s="474"/>
      <c r="S13" s="474">
        <v>137</v>
      </c>
      <c r="T13" s="507">
        <v>137</v>
      </c>
      <c r="U13" s="475"/>
      <c r="V13" s="474">
        <v>103</v>
      </c>
      <c r="W13" s="507">
        <v>103</v>
      </c>
      <c r="X13" s="475"/>
      <c r="Y13" s="474">
        <v>146</v>
      </c>
      <c r="Z13" s="507">
        <f>SUM(X13:Y13)</f>
        <v>146</v>
      </c>
      <c r="AA13" s="475"/>
      <c r="AB13" s="474">
        <v>166</v>
      </c>
      <c r="AC13" s="507">
        <f>SUM(AA13:AB13)</f>
        <v>166</v>
      </c>
      <c r="AD13" s="475">
        <f>SUM('Admitidos plan'!AE87:AE90)</f>
        <v>0</v>
      </c>
      <c r="AE13" s="474">
        <f>SUM('Admitidos plan'!AF87:AF90)</f>
        <v>175</v>
      </c>
      <c r="AF13" s="507">
        <f>SUM(AD13:AE13)</f>
        <v>175</v>
      </c>
      <c r="AG13" s="475">
        <f>SUM('Admitidos plan'!AH87:AH90)</f>
        <v>0</v>
      </c>
      <c r="AH13" s="474">
        <f>SUM('Admitidos plan'!AI87:AI90)</f>
        <v>222</v>
      </c>
      <c r="AI13" s="507">
        <f>SUM(AG13:AH13)</f>
        <v>222</v>
      </c>
      <c r="AJ13" s="475">
        <f>SUM('Admitidos plan'!AK87:AK90)</f>
        <v>0</v>
      </c>
      <c r="AK13" s="474">
        <f>SUM('Admitidos plan'!AL87:AL90)</f>
        <v>293</v>
      </c>
      <c r="AL13" s="507">
        <f>SUM(AJ13:AK13)</f>
        <v>293</v>
      </c>
      <c r="AM13" s="475">
        <f>SUM('Admitidos plan'!AN87:AN90)</f>
        <v>0</v>
      </c>
      <c r="AN13" s="474">
        <f>SUM('Admitidos plan'!AO87:AO90)</f>
        <v>283</v>
      </c>
      <c r="AO13" s="507">
        <f>SUM(AM13:AN13)</f>
        <v>283</v>
      </c>
    </row>
    <row r="14" spans="1:41" ht="15" x14ac:dyDescent="0.2">
      <c r="A14" s="5030"/>
      <c r="B14" s="2452" t="s">
        <v>12</v>
      </c>
      <c r="C14" s="2453"/>
      <c r="D14" s="2454"/>
      <c r="E14" s="2455"/>
      <c r="F14" s="2453"/>
      <c r="G14" s="2454"/>
      <c r="H14" s="2455"/>
      <c r="I14" s="2453"/>
      <c r="J14" s="2454">
        <v>252</v>
      </c>
      <c r="K14" s="2455">
        <v>252</v>
      </c>
      <c r="L14" s="2454"/>
      <c r="M14" s="2454">
        <v>123</v>
      </c>
      <c r="N14" s="2455">
        <v>123</v>
      </c>
      <c r="O14" s="2454"/>
      <c r="P14" s="2454">
        <v>382</v>
      </c>
      <c r="Q14" s="2455">
        <v>382</v>
      </c>
      <c r="R14" s="2454"/>
      <c r="S14" s="2454">
        <v>403</v>
      </c>
      <c r="T14" s="2455">
        <v>403</v>
      </c>
      <c r="U14" s="2453"/>
      <c r="V14" s="2454">
        <v>315</v>
      </c>
      <c r="W14" s="2455">
        <v>315</v>
      </c>
      <c r="X14" s="2453"/>
      <c r="Y14" s="2454">
        <v>399</v>
      </c>
      <c r="Z14" s="2455">
        <f>SUM(Z11:Z13)</f>
        <v>399</v>
      </c>
      <c r="AA14" s="2453"/>
      <c r="AB14" s="2454">
        <f>SUM(AB11:AB13)</f>
        <v>429</v>
      </c>
      <c r="AC14" s="2455">
        <f>SUM(AA14:AB14)</f>
        <v>429</v>
      </c>
      <c r="AD14" s="2453">
        <f>SUM(AD11:AD13)</f>
        <v>0</v>
      </c>
      <c r="AE14" s="2454">
        <f>SUM(AE11:AE13)</f>
        <v>434</v>
      </c>
      <c r="AF14" s="2455">
        <f>SUM(AD14:AE14)</f>
        <v>434</v>
      </c>
      <c r="AG14" s="2453">
        <f>SUM(AG11:AG13)</f>
        <v>0</v>
      </c>
      <c r="AH14" s="2454">
        <f>SUM(AH11:AH13)</f>
        <v>503</v>
      </c>
      <c r="AI14" s="2455">
        <f>SUM(AG14:AH14)</f>
        <v>503</v>
      </c>
      <c r="AJ14" s="2453">
        <f>SUM(AJ11:AJ13)</f>
        <v>105</v>
      </c>
      <c r="AK14" s="2454">
        <f>SUM(AK11:AK13)</f>
        <v>604</v>
      </c>
      <c r="AL14" s="2455">
        <f>SUM(AJ14:AK14)</f>
        <v>709</v>
      </c>
      <c r="AM14" s="2453">
        <f>SUM(AM11:AM13)</f>
        <v>104</v>
      </c>
      <c r="AN14" s="2454">
        <f>SUM(AN11:AN13)</f>
        <v>688</v>
      </c>
      <c r="AO14" s="2455">
        <f>SUM(AM14:AN14)</f>
        <v>792</v>
      </c>
    </row>
    <row r="15" spans="1:41" ht="15.75" x14ac:dyDescent="0.25">
      <c r="A15" s="1923"/>
      <c r="B15" s="263"/>
      <c r="C15" s="263"/>
      <c r="D15" s="263"/>
      <c r="E15" s="263"/>
      <c r="F15" s="263"/>
      <c r="G15" s="263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63"/>
      <c r="S15" s="263"/>
      <c r="T15" s="263"/>
      <c r="U15" s="263"/>
      <c r="V15" s="263"/>
      <c r="W15" s="263"/>
      <c r="X15" s="263"/>
      <c r="Y15" s="263"/>
      <c r="Z15" s="263"/>
      <c r="AA15" s="263"/>
      <c r="AB15" s="263"/>
      <c r="AC15" s="263"/>
      <c r="AD15" s="779"/>
      <c r="AE15" s="779"/>
      <c r="AF15" s="263"/>
      <c r="AG15" s="779"/>
      <c r="AH15" s="779"/>
      <c r="AI15" s="263"/>
      <c r="AJ15" s="779"/>
      <c r="AK15" s="779"/>
      <c r="AL15" s="263"/>
      <c r="AM15" s="779"/>
      <c r="AN15" s="779"/>
      <c r="AO15" s="263"/>
    </row>
    <row r="16" spans="1:41" ht="15" x14ac:dyDescent="0.2">
      <c r="A16" s="5040" t="s">
        <v>162</v>
      </c>
      <c r="B16" s="499" t="s">
        <v>5</v>
      </c>
      <c r="C16" s="472">
        <v>321</v>
      </c>
      <c r="D16" s="471">
        <v>514</v>
      </c>
      <c r="E16" s="473">
        <f>SUM(C16:D16)</f>
        <v>835</v>
      </c>
      <c r="F16" s="472">
        <v>293</v>
      </c>
      <c r="G16" s="471">
        <v>558</v>
      </c>
      <c r="H16" s="501">
        <f>SUM(F16:G16)</f>
        <v>851</v>
      </c>
      <c r="I16" s="472">
        <v>318</v>
      </c>
      <c r="J16" s="471">
        <v>630</v>
      </c>
      <c r="K16" s="501">
        <f>SUM(I16:J16)</f>
        <v>948</v>
      </c>
      <c r="L16" s="472">
        <v>397</v>
      </c>
      <c r="M16" s="471">
        <v>605</v>
      </c>
      <c r="N16" s="501">
        <f>SUM(L16:M16)</f>
        <v>1002</v>
      </c>
      <c r="O16" s="472">
        <v>296</v>
      </c>
      <c r="P16" s="471">
        <v>566</v>
      </c>
      <c r="Q16" s="501">
        <f>SUM(O16:P16)</f>
        <v>862</v>
      </c>
      <c r="R16" s="472">
        <v>306</v>
      </c>
      <c r="S16" s="471">
        <v>608</v>
      </c>
      <c r="T16" s="501">
        <f>SUM(R16:S16)</f>
        <v>914</v>
      </c>
      <c r="U16" s="472">
        <v>261</v>
      </c>
      <c r="V16" s="471">
        <v>625</v>
      </c>
      <c r="W16" s="501">
        <f>SUM(U16:V16)</f>
        <v>886</v>
      </c>
      <c r="X16" s="472">
        <v>137</v>
      </c>
      <c r="Y16" s="471">
        <v>895</v>
      </c>
      <c r="Z16" s="501">
        <f>SUM(X16:Y16)</f>
        <v>1032</v>
      </c>
      <c r="AA16" s="472">
        <v>218</v>
      </c>
      <c r="AB16" s="471">
        <v>880</v>
      </c>
      <c r="AC16" s="501">
        <f>SUM(AA16:AB16)</f>
        <v>1098</v>
      </c>
      <c r="AD16" s="472">
        <f>SUM('Admitidos plan'!AE26:AE34)</f>
        <v>216</v>
      </c>
      <c r="AE16" s="471">
        <f>SUM('Admitidos plan'!AF26:AF34)</f>
        <v>903</v>
      </c>
      <c r="AF16" s="501">
        <f>SUM(AD16:AE16)</f>
        <v>1119</v>
      </c>
      <c r="AG16" s="472">
        <f>SUM('Admitidos plan'!AH26:AH34)</f>
        <v>269</v>
      </c>
      <c r="AH16" s="471">
        <f>SUM('Admitidos plan'!AI26:AI34)</f>
        <v>1021</v>
      </c>
      <c r="AI16" s="501">
        <f>SUM(AG16:AH16)</f>
        <v>1290</v>
      </c>
      <c r="AJ16" s="472">
        <f>SUM('Admitidos plan'!AK26:AK34)</f>
        <v>214</v>
      </c>
      <c r="AK16" s="471">
        <f>SUM('Admitidos plan'!AL26:AL34)</f>
        <v>838</v>
      </c>
      <c r="AL16" s="501">
        <f>SUM(AJ16:AK16)</f>
        <v>1052</v>
      </c>
      <c r="AM16" s="472">
        <f>SUM('Admitidos plan'!AN26:AN34)</f>
        <v>197</v>
      </c>
      <c r="AN16" s="471">
        <f>SUM('Admitidos plan'!AO26:AO34)</f>
        <v>781</v>
      </c>
      <c r="AO16" s="501">
        <f>SUM(AM16:AN16)</f>
        <v>978</v>
      </c>
    </row>
    <row r="17" spans="1:41" ht="15" x14ac:dyDescent="0.2">
      <c r="A17" s="5041"/>
      <c r="B17" s="505" t="s">
        <v>6</v>
      </c>
      <c r="C17" s="475">
        <v>176</v>
      </c>
      <c r="D17" s="474">
        <v>904</v>
      </c>
      <c r="E17" s="476">
        <f>SUM(C17:D17)</f>
        <v>1080</v>
      </c>
      <c r="F17" s="475">
        <v>216</v>
      </c>
      <c r="G17" s="474">
        <v>979</v>
      </c>
      <c r="H17" s="507">
        <f>SUM(F17:G17)</f>
        <v>1195</v>
      </c>
      <c r="I17" s="475">
        <v>178</v>
      </c>
      <c r="J17" s="474">
        <v>1121</v>
      </c>
      <c r="K17" s="507">
        <f>SUM(I17:J17)</f>
        <v>1299</v>
      </c>
      <c r="L17" s="475">
        <v>206</v>
      </c>
      <c r="M17" s="474">
        <v>1122</v>
      </c>
      <c r="N17" s="507">
        <f>SUM(L17:M17)</f>
        <v>1328</v>
      </c>
      <c r="O17" s="475">
        <v>239</v>
      </c>
      <c r="P17" s="474">
        <v>1235</v>
      </c>
      <c r="Q17" s="507">
        <f>SUM(O17:P17)</f>
        <v>1474</v>
      </c>
      <c r="R17" s="475">
        <v>211</v>
      </c>
      <c r="S17" s="474">
        <v>1080</v>
      </c>
      <c r="T17" s="507">
        <f>SUM(R17:S17)</f>
        <v>1291</v>
      </c>
      <c r="U17" s="475">
        <v>196</v>
      </c>
      <c r="V17" s="474">
        <v>1165</v>
      </c>
      <c r="W17" s="507">
        <f>SUM(U17:V17)</f>
        <v>1361</v>
      </c>
      <c r="X17" s="475">
        <v>182</v>
      </c>
      <c r="Y17" s="474">
        <v>1210</v>
      </c>
      <c r="Z17" s="507">
        <f>SUM(X17:Y17)</f>
        <v>1392</v>
      </c>
      <c r="AA17" s="475">
        <v>183</v>
      </c>
      <c r="AB17" s="474">
        <v>1192</v>
      </c>
      <c r="AC17" s="507">
        <f>SUM(AA17:AB17)</f>
        <v>1375</v>
      </c>
      <c r="AD17" s="475">
        <f>SUM('Admitidos plan'!AE36:AE46)</f>
        <v>192</v>
      </c>
      <c r="AE17" s="474">
        <f>SUM('Admitidos plan'!AF36:AF46)</f>
        <v>1193</v>
      </c>
      <c r="AF17" s="507">
        <f>SUM(AD17:AE17)</f>
        <v>1385</v>
      </c>
      <c r="AG17" s="475">
        <f>SUM('Admitidos plan'!AH36:AH46)</f>
        <v>161</v>
      </c>
      <c r="AH17" s="474">
        <f>SUM('Admitidos plan'!AI36:AI46)</f>
        <v>1151</v>
      </c>
      <c r="AI17" s="507">
        <f>SUM(AG17:AH17)</f>
        <v>1312</v>
      </c>
      <c r="AJ17" s="475">
        <f>SUM('Admitidos plan'!AK36:AK46)</f>
        <v>159</v>
      </c>
      <c r="AK17" s="474">
        <f>SUM('Admitidos plan'!AL36:AL46)</f>
        <v>1156</v>
      </c>
      <c r="AL17" s="507">
        <f>SUM(AJ17:AK17)</f>
        <v>1315</v>
      </c>
      <c r="AM17" s="475">
        <f>SUM('Admitidos plan'!AN36:AN46)</f>
        <v>151</v>
      </c>
      <c r="AN17" s="474">
        <f>SUM('Admitidos plan'!AO36:AO46)</f>
        <v>1155</v>
      </c>
      <c r="AO17" s="507">
        <f>SUM(AM17:AN17)</f>
        <v>1306</v>
      </c>
    </row>
    <row r="18" spans="1:41" ht="15" x14ac:dyDescent="0.2">
      <c r="A18" s="5041"/>
      <c r="B18" s="505" t="s">
        <v>11</v>
      </c>
      <c r="C18" s="475">
        <v>175</v>
      </c>
      <c r="D18" s="474">
        <v>404</v>
      </c>
      <c r="E18" s="476">
        <f>SUM(C18:D18)</f>
        <v>579</v>
      </c>
      <c r="F18" s="475">
        <v>193</v>
      </c>
      <c r="G18" s="474">
        <v>433</v>
      </c>
      <c r="H18" s="507">
        <f>SUM(F18:G18)</f>
        <v>626</v>
      </c>
      <c r="I18" s="475">
        <v>213</v>
      </c>
      <c r="J18" s="474">
        <v>468</v>
      </c>
      <c r="K18" s="507">
        <f>SUM(I18:J18)</f>
        <v>681</v>
      </c>
      <c r="L18" s="475">
        <v>264</v>
      </c>
      <c r="M18" s="474">
        <v>489</v>
      </c>
      <c r="N18" s="507">
        <f>SUM(L18:M18)</f>
        <v>753</v>
      </c>
      <c r="O18" s="475">
        <v>232</v>
      </c>
      <c r="P18" s="474">
        <v>525</v>
      </c>
      <c r="Q18" s="507">
        <f>SUM(O18:P18)</f>
        <v>757</v>
      </c>
      <c r="R18" s="475">
        <v>280</v>
      </c>
      <c r="S18" s="474">
        <v>482</v>
      </c>
      <c r="T18" s="507">
        <f>SUM(R18:S18)</f>
        <v>762</v>
      </c>
      <c r="U18" s="475">
        <v>368</v>
      </c>
      <c r="V18" s="474">
        <v>551</v>
      </c>
      <c r="W18" s="507">
        <f>SUM(U18:V18)</f>
        <v>919</v>
      </c>
      <c r="X18" s="475">
        <v>412</v>
      </c>
      <c r="Y18" s="474">
        <v>546</v>
      </c>
      <c r="Z18" s="507">
        <f>SUM(X18:Y18)</f>
        <v>958</v>
      </c>
      <c r="AA18" s="475">
        <v>453</v>
      </c>
      <c r="AB18" s="474">
        <v>553</v>
      </c>
      <c r="AC18" s="507">
        <f>SUM(AA18:AB18)</f>
        <v>1006</v>
      </c>
      <c r="AD18" s="475">
        <f>SUM('Admitidos plan'!AE48:AE53)</f>
        <v>467</v>
      </c>
      <c r="AE18" s="474">
        <f>SUM('Admitidos plan'!AF48:AF53)</f>
        <v>539</v>
      </c>
      <c r="AF18" s="507">
        <f>SUM(AD18:AE18)</f>
        <v>1006</v>
      </c>
      <c r="AG18" s="475">
        <f>SUM('Admitidos plan'!AH48:AH53)</f>
        <v>442</v>
      </c>
      <c r="AH18" s="474">
        <f>SUM('Admitidos plan'!AI48:AI53)</f>
        <v>526</v>
      </c>
      <c r="AI18" s="507">
        <f>SUM(AG18:AH18)</f>
        <v>968</v>
      </c>
      <c r="AJ18" s="475">
        <f>SUM('Admitidos plan'!AK48:AK53)</f>
        <v>365</v>
      </c>
      <c r="AK18" s="474">
        <f>SUM('Admitidos plan'!AL48:AL53)</f>
        <v>496</v>
      </c>
      <c r="AL18" s="507">
        <f>SUM(AJ18:AK18)</f>
        <v>861</v>
      </c>
      <c r="AM18" s="475">
        <f>SUM('Admitidos plan'!AN48:AN53)</f>
        <v>337</v>
      </c>
      <c r="AN18" s="474">
        <f>SUM('Admitidos plan'!AO48:AO53)</f>
        <v>468</v>
      </c>
      <c r="AO18" s="507">
        <f>SUM(AM18:AN18)</f>
        <v>805</v>
      </c>
    </row>
    <row r="19" spans="1:41" ht="15" x14ac:dyDescent="0.2">
      <c r="A19" s="5109"/>
      <c r="B19" s="2466" t="s">
        <v>12</v>
      </c>
      <c r="C19" s="2467">
        <f t="shared" ref="C19:X19" si="1">SUM(C16:C18)</f>
        <v>672</v>
      </c>
      <c r="D19" s="2468">
        <f t="shared" si="1"/>
        <v>1822</v>
      </c>
      <c r="E19" s="2469">
        <f t="shared" si="1"/>
        <v>2494</v>
      </c>
      <c r="F19" s="2467">
        <f t="shared" si="1"/>
        <v>702</v>
      </c>
      <c r="G19" s="2468">
        <f t="shared" si="1"/>
        <v>1970</v>
      </c>
      <c r="H19" s="2469">
        <f t="shared" si="1"/>
        <v>2672</v>
      </c>
      <c r="I19" s="2467">
        <f t="shared" si="1"/>
        <v>709</v>
      </c>
      <c r="J19" s="2468">
        <f t="shared" si="1"/>
        <v>2219</v>
      </c>
      <c r="K19" s="2469">
        <f t="shared" si="1"/>
        <v>2928</v>
      </c>
      <c r="L19" s="2467">
        <f t="shared" si="1"/>
        <v>867</v>
      </c>
      <c r="M19" s="2468">
        <f t="shared" si="1"/>
        <v>2216</v>
      </c>
      <c r="N19" s="2469">
        <f t="shared" si="1"/>
        <v>3083</v>
      </c>
      <c r="O19" s="2467">
        <f t="shared" si="1"/>
        <v>767</v>
      </c>
      <c r="P19" s="2468">
        <f t="shared" si="1"/>
        <v>2326</v>
      </c>
      <c r="Q19" s="2469">
        <f t="shared" si="1"/>
        <v>3093</v>
      </c>
      <c r="R19" s="2467">
        <f t="shared" si="1"/>
        <v>797</v>
      </c>
      <c r="S19" s="2468">
        <f t="shared" si="1"/>
        <v>2170</v>
      </c>
      <c r="T19" s="2469">
        <f t="shared" si="1"/>
        <v>2967</v>
      </c>
      <c r="U19" s="2467">
        <f t="shared" si="1"/>
        <v>825</v>
      </c>
      <c r="V19" s="2468">
        <f t="shared" si="1"/>
        <v>2341</v>
      </c>
      <c r="W19" s="2469">
        <f t="shared" si="1"/>
        <v>3166</v>
      </c>
      <c r="X19" s="2467">
        <f t="shared" si="1"/>
        <v>731</v>
      </c>
      <c r="Y19" s="2468">
        <v>2651</v>
      </c>
      <c r="Z19" s="2469">
        <f>SUM(X19:Y19)</f>
        <v>3382</v>
      </c>
      <c r="AA19" s="2467">
        <v>854</v>
      </c>
      <c r="AB19" s="2468">
        <f>SUM(AB16:AB18)</f>
        <v>2625</v>
      </c>
      <c r="AC19" s="2469">
        <f>SUM(AA19:AB19)</f>
        <v>3479</v>
      </c>
      <c r="AD19" s="2467">
        <f>SUM(AD16:AD18)</f>
        <v>875</v>
      </c>
      <c r="AE19" s="2468">
        <f>SUM(AE16:AE18)</f>
        <v>2635</v>
      </c>
      <c r="AF19" s="2469">
        <f>SUM(AD19:AE19)</f>
        <v>3510</v>
      </c>
      <c r="AG19" s="2467">
        <f>SUM(AG16:AG18)</f>
        <v>872</v>
      </c>
      <c r="AH19" s="2468">
        <f>SUM(AH16:AH18)</f>
        <v>2698</v>
      </c>
      <c r="AI19" s="2469">
        <f>SUM(AG19:AH19)</f>
        <v>3570</v>
      </c>
      <c r="AJ19" s="2467">
        <f>SUM(AJ16:AJ18)</f>
        <v>738</v>
      </c>
      <c r="AK19" s="2468">
        <f>SUM(AK16:AK18)</f>
        <v>2490</v>
      </c>
      <c r="AL19" s="2469">
        <f>SUM(AJ19:AK19)</f>
        <v>3228</v>
      </c>
      <c r="AM19" s="2467">
        <f>SUM(AM16:AM18)</f>
        <v>685</v>
      </c>
      <c r="AN19" s="2468">
        <f>SUM(AN16:AN18)</f>
        <v>2404</v>
      </c>
      <c r="AO19" s="2469">
        <f>SUM(AM19:AN19)</f>
        <v>3089</v>
      </c>
    </row>
    <row r="20" spans="1:41" ht="15" x14ac:dyDescent="0.2">
      <c r="A20" s="195"/>
      <c r="B20" s="263"/>
      <c r="C20" s="263"/>
      <c r="D20" s="263"/>
      <c r="E20" s="263"/>
      <c r="F20" s="263"/>
      <c r="G20" s="263"/>
      <c r="H20" s="263"/>
      <c r="I20" s="263"/>
      <c r="J20" s="263"/>
      <c r="K20" s="263"/>
      <c r="L20" s="263"/>
      <c r="M20" s="263"/>
      <c r="N20" s="263"/>
      <c r="O20" s="263"/>
      <c r="P20" s="263"/>
      <c r="Q20" s="263"/>
      <c r="R20" s="263"/>
      <c r="S20" s="263"/>
      <c r="T20" s="263"/>
      <c r="U20" s="263"/>
      <c r="V20" s="263"/>
      <c r="W20" s="263"/>
      <c r="X20" s="263"/>
      <c r="Y20" s="263"/>
      <c r="Z20" s="263"/>
      <c r="AA20" s="263"/>
      <c r="AB20" s="263"/>
      <c r="AC20" s="263"/>
      <c r="AD20" s="779"/>
      <c r="AE20" s="779"/>
      <c r="AF20" s="263"/>
      <c r="AG20" s="779"/>
      <c r="AH20" s="779"/>
      <c r="AI20" s="263"/>
      <c r="AJ20" s="779"/>
      <c r="AK20" s="779"/>
      <c r="AL20" s="263"/>
      <c r="AM20" s="779"/>
      <c r="AN20" s="779"/>
      <c r="AO20" s="263"/>
    </row>
    <row r="21" spans="1:41" ht="15" x14ac:dyDescent="0.2">
      <c r="A21" s="5031" t="s">
        <v>411</v>
      </c>
      <c r="B21" s="499" t="s">
        <v>5</v>
      </c>
      <c r="C21" s="711"/>
      <c r="D21" s="500"/>
      <c r="E21" s="500"/>
      <c r="F21" s="500"/>
      <c r="G21" s="500"/>
      <c r="H21" s="500"/>
      <c r="I21" s="500"/>
      <c r="J21" s="500"/>
      <c r="K21" s="500"/>
      <c r="L21" s="500"/>
      <c r="M21" s="500"/>
      <c r="N21" s="500"/>
      <c r="O21" s="500"/>
      <c r="P21" s="500"/>
      <c r="Q21" s="500"/>
      <c r="R21" s="500"/>
      <c r="S21" s="500"/>
      <c r="T21" s="500"/>
      <c r="U21" s="500"/>
      <c r="V21" s="500"/>
      <c r="W21" s="500"/>
      <c r="X21" s="500"/>
      <c r="Y21" s="500"/>
      <c r="Z21" s="501"/>
      <c r="AA21" s="472">
        <v>37</v>
      </c>
      <c r="AB21" s="471">
        <v>40</v>
      </c>
      <c r="AC21" s="501">
        <f>SUM(AA21:AB21)</f>
        <v>77</v>
      </c>
      <c r="AD21" s="472">
        <f>SUM('Admitidos plan'!AE93)</f>
        <v>0</v>
      </c>
      <c r="AE21" s="471">
        <f>SUM('Admitidos plan'!AF93)</f>
        <v>32</v>
      </c>
      <c r="AF21" s="501">
        <f>SUM(AD21:AE21)</f>
        <v>32</v>
      </c>
      <c r="AG21" s="472">
        <f>SUM('Admitidos plan'!AH93)</f>
        <v>35</v>
      </c>
      <c r="AH21" s="471">
        <f>SUM('Admitidos plan'!AI93)</f>
        <v>38</v>
      </c>
      <c r="AI21" s="501">
        <f>SUM(AG21:AH21)</f>
        <v>73</v>
      </c>
      <c r="AJ21" s="472">
        <f>SUM('Admitidos plan'!AK93)</f>
        <v>21</v>
      </c>
      <c r="AK21" s="471">
        <f>SUM('Admitidos plan'!AL93)</f>
        <v>35</v>
      </c>
      <c r="AL21" s="501">
        <f>SUM(AJ21:AK21)</f>
        <v>56</v>
      </c>
      <c r="AM21" s="472">
        <f>SUM('Admitidos plan'!AN93)</f>
        <v>23</v>
      </c>
      <c r="AN21" s="471">
        <f>SUM('Admitidos plan'!AO93)</f>
        <v>56</v>
      </c>
      <c r="AO21" s="501">
        <f>SUM(AM21:AN21)</f>
        <v>79</v>
      </c>
    </row>
    <row r="22" spans="1:41" ht="15" x14ac:dyDescent="0.2">
      <c r="A22" s="5032"/>
      <c r="B22" s="505" t="s">
        <v>6</v>
      </c>
      <c r="C22" s="712"/>
      <c r="D22" s="506"/>
      <c r="E22" s="506"/>
      <c r="F22" s="506"/>
      <c r="G22" s="506"/>
      <c r="H22" s="506"/>
      <c r="I22" s="506"/>
      <c r="J22" s="506"/>
      <c r="K22" s="506"/>
      <c r="L22" s="506"/>
      <c r="M22" s="506"/>
      <c r="N22" s="506"/>
      <c r="O22" s="506"/>
      <c r="P22" s="506"/>
      <c r="Q22" s="506"/>
      <c r="R22" s="506"/>
      <c r="S22" s="506"/>
      <c r="T22" s="506"/>
      <c r="U22" s="506"/>
      <c r="V22" s="506"/>
      <c r="W22" s="506"/>
      <c r="X22" s="506"/>
      <c r="Y22" s="506"/>
      <c r="Z22" s="507"/>
      <c r="AA22" s="475">
        <v>38</v>
      </c>
      <c r="AB22" s="474">
        <v>43</v>
      </c>
      <c r="AC22" s="507">
        <f>SUM(AA22:AB22)</f>
        <v>81</v>
      </c>
      <c r="AD22" s="475">
        <f>SUM('Admitidos plan'!AE94)</f>
        <v>0</v>
      </c>
      <c r="AE22" s="474">
        <f>SUM('Admitidos plan'!AF94)</f>
        <v>37</v>
      </c>
      <c r="AF22" s="507">
        <f>SUM(AD22:AE22)</f>
        <v>37</v>
      </c>
      <c r="AG22" s="475">
        <f>SUM('Admitidos plan'!AH94)</f>
        <v>27</v>
      </c>
      <c r="AH22" s="474">
        <f>'Admitidos plan'!AI96</f>
        <v>61</v>
      </c>
      <c r="AI22" s="507">
        <f>SUM(AG22:AH22)</f>
        <v>88</v>
      </c>
      <c r="AJ22" s="475">
        <f>SUM('Admitidos plan'!AK94)</f>
        <v>0</v>
      </c>
      <c r="AK22" s="474">
        <f>'Admitidos plan'!AL96</f>
        <v>65</v>
      </c>
      <c r="AL22" s="507">
        <f>SUM(AJ22:AK22)</f>
        <v>65</v>
      </c>
      <c r="AM22" s="475">
        <f>SUM('Admitidos plan'!AN94)</f>
        <v>0</v>
      </c>
      <c r="AN22" s="474">
        <f>'Admitidos plan'!AO96</f>
        <v>76</v>
      </c>
      <c r="AO22" s="507">
        <f>SUM(AM22:AN22)</f>
        <v>76</v>
      </c>
    </row>
    <row r="23" spans="1:41" ht="15" x14ac:dyDescent="0.2">
      <c r="A23" s="5032"/>
      <c r="B23" s="275" t="s">
        <v>11</v>
      </c>
      <c r="C23" s="712"/>
      <c r="D23" s="506"/>
      <c r="E23" s="506"/>
      <c r="F23" s="506"/>
      <c r="G23" s="506"/>
      <c r="H23" s="506"/>
      <c r="I23" s="506"/>
      <c r="J23" s="506"/>
      <c r="K23" s="506"/>
      <c r="L23" s="506"/>
      <c r="M23" s="506"/>
      <c r="N23" s="506"/>
      <c r="O23" s="506"/>
      <c r="P23" s="506"/>
      <c r="Q23" s="506"/>
      <c r="R23" s="506"/>
      <c r="S23" s="506"/>
      <c r="T23" s="506"/>
      <c r="U23" s="506"/>
      <c r="V23" s="506"/>
      <c r="W23" s="506"/>
      <c r="X23" s="506"/>
      <c r="Y23" s="506"/>
      <c r="Z23" s="507"/>
      <c r="AA23" s="475">
        <v>39</v>
      </c>
      <c r="AB23" s="474">
        <v>41</v>
      </c>
      <c r="AC23" s="507">
        <f>SUM(AA23:AB23)</f>
        <v>80</v>
      </c>
      <c r="AD23" s="475">
        <f>SUM('Admitidos plan'!AE97)</f>
        <v>0</v>
      </c>
      <c r="AE23" s="474">
        <f>SUM('Admitidos plan'!AF97)</f>
        <v>38</v>
      </c>
      <c r="AF23" s="507">
        <f>SUM(AD23:AE23)</f>
        <v>38</v>
      </c>
      <c r="AG23" s="475">
        <f>SUM('Admitidos plan'!AH97)</f>
        <v>25</v>
      </c>
      <c r="AH23" s="474">
        <f>SUM('Admitidos plan'!AI97)</f>
        <v>48</v>
      </c>
      <c r="AI23" s="507">
        <f>SUM(AG23:AH23)</f>
        <v>73</v>
      </c>
      <c r="AJ23" s="475">
        <f>SUM('Admitidos plan'!AK97)</f>
        <v>35</v>
      </c>
      <c r="AK23" s="474">
        <f>SUM('Admitidos plan'!AL97)</f>
        <v>31</v>
      </c>
      <c r="AL23" s="507">
        <f>SUM(AJ23:AK23)</f>
        <v>66</v>
      </c>
      <c r="AM23" s="475">
        <f>SUM('Admitidos plan'!AN97)</f>
        <v>38</v>
      </c>
      <c r="AN23" s="474">
        <f>SUM('Admitidos plan'!AO97)</f>
        <v>47</v>
      </c>
      <c r="AO23" s="507">
        <f>SUM(AM23:AN23)</f>
        <v>85</v>
      </c>
    </row>
    <row r="24" spans="1:41" ht="15" x14ac:dyDescent="0.2">
      <c r="A24" s="5113"/>
      <c r="B24" s="2397" t="s">
        <v>12</v>
      </c>
      <c r="C24" s="2476"/>
      <c r="D24" s="2477"/>
      <c r="E24" s="2477"/>
      <c r="F24" s="2477"/>
      <c r="G24" s="2477"/>
      <c r="H24" s="2477"/>
      <c r="I24" s="2477"/>
      <c r="J24" s="2477"/>
      <c r="K24" s="2477"/>
      <c r="L24" s="2477"/>
      <c r="M24" s="2477"/>
      <c r="N24" s="2477"/>
      <c r="O24" s="2477"/>
      <c r="P24" s="2477"/>
      <c r="Q24" s="2477"/>
      <c r="R24" s="2477"/>
      <c r="S24" s="2477"/>
      <c r="T24" s="2477"/>
      <c r="U24" s="2477"/>
      <c r="V24" s="2477"/>
      <c r="W24" s="2477"/>
      <c r="X24" s="2477"/>
      <c r="Y24" s="2477"/>
      <c r="Z24" s="2478"/>
      <c r="AA24" s="2479">
        <v>114</v>
      </c>
      <c r="AB24" s="2480">
        <f>SUM(AB21:AB23)</f>
        <v>124</v>
      </c>
      <c r="AC24" s="2481">
        <f>SUM(AA24:AB24)</f>
        <v>238</v>
      </c>
      <c r="AD24" s="2479">
        <f>SUM(AD21:AD23)</f>
        <v>0</v>
      </c>
      <c r="AE24" s="2480">
        <f>SUM(AE21:AE23)</f>
        <v>107</v>
      </c>
      <c r="AF24" s="2481">
        <f>SUM(AD24:AE24)</f>
        <v>107</v>
      </c>
      <c r="AG24" s="2479">
        <f>SUM(AG21:AG23)</f>
        <v>87</v>
      </c>
      <c r="AH24" s="2480">
        <f>SUM(AH21:AH23)</f>
        <v>147</v>
      </c>
      <c r="AI24" s="2481">
        <f>SUM(AG24:AH24)</f>
        <v>234</v>
      </c>
      <c r="AJ24" s="2479">
        <f>SUM(AJ21:AJ23)</f>
        <v>56</v>
      </c>
      <c r="AK24" s="2480">
        <f>SUM(AK21:AK23)</f>
        <v>131</v>
      </c>
      <c r="AL24" s="2481">
        <f>SUM(AJ24:AK24)</f>
        <v>187</v>
      </c>
      <c r="AM24" s="2479">
        <f>SUM(AM21:AM23)</f>
        <v>61</v>
      </c>
      <c r="AN24" s="2480">
        <f>SUM(AN21:AN23)</f>
        <v>179</v>
      </c>
      <c r="AO24" s="2481">
        <f>SUM(AM24:AN24)</f>
        <v>240</v>
      </c>
    </row>
    <row r="25" spans="1:41" ht="15.75" x14ac:dyDescent="0.25">
      <c r="A25" s="1923"/>
      <c r="B25" s="721"/>
      <c r="C25" s="721"/>
      <c r="D25" s="721"/>
      <c r="E25" s="721"/>
      <c r="F25" s="721"/>
      <c r="G25" s="721"/>
      <c r="H25" s="721"/>
      <c r="I25" s="721"/>
      <c r="J25" s="721"/>
      <c r="K25" s="721"/>
      <c r="L25" s="721"/>
      <c r="M25" s="721"/>
      <c r="N25" s="721"/>
      <c r="O25" s="721"/>
      <c r="P25" s="721"/>
      <c r="Q25" s="721"/>
      <c r="R25" s="721"/>
      <c r="S25" s="721"/>
      <c r="T25" s="721"/>
      <c r="U25" s="721"/>
      <c r="V25" s="721"/>
      <c r="W25" s="721"/>
      <c r="X25" s="721"/>
      <c r="Y25" s="721"/>
      <c r="Z25" s="721"/>
      <c r="AA25" s="721"/>
      <c r="AB25" s="721"/>
      <c r="AC25" s="721"/>
      <c r="AD25" s="721"/>
      <c r="AE25" s="721"/>
      <c r="AF25" s="721"/>
      <c r="AG25" s="721"/>
      <c r="AH25" s="721"/>
      <c r="AI25" s="721"/>
      <c r="AJ25" s="721"/>
      <c r="AK25" s="721"/>
      <c r="AL25" s="721"/>
      <c r="AM25" s="721"/>
      <c r="AN25" s="721"/>
      <c r="AO25" s="721"/>
    </row>
    <row r="26" spans="1:41" ht="15" x14ac:dyDescent="0.2">
      <c r="A26" s="5043" t="s">
        <v>163</v>
      </c>
      <c r="B26" s="499" t="s">
        <v>6</v>
      </c>
      <c r="C26" s="472">
        <v>689</v>
      </c>
      <c r="D26" s="471">
        <v>844</v>
      </c>
      <c r="E26" s="473">
        <v>1533</v>
      </c>
      <c r="F26" s="472">
        <v>888</v>
      </c>
      <c r="G26" s="471">
        <v>823</v>
      </c>
      <c r="H26" s="501">
        <v>1711</v>
      </c>
      <c r="I26" s="472">
        <v>857</v>
      </c>
      <c r="J26" s="471">
        <v>960</v>
      </c>
      <c r="K26" s="501">
        <v>1817</v>
      </c>
      <c r="L26" s="471">
        <v>685</v>
      </c>
      <c r="M26" s="471">
        <v>926</v>
      </c>
      <c r="N26" s="501">
        <v>1611</v>
      </c>
      <c r="O26" s="471">
        <v>785</v>
      </c>
      <c r="P26" s="471">
        <v>931</v>
      </c>
      <c r="Q26" s="501">
        <v>1716</v>
      </c>
      <c r="R26" s="471">
        <v>737</v>
      </c>
      <c r="S26" s="471">
        <v>787</v>
      </c>
      <c r="T26" s="501">
        <v>1524</v>
      </c>
      <c r="U26" s="472">
        <v>708</v>
      </c>
      <c r="V26" s="471">
        <v>838</v>
      </c>
      <c r="W26" s="501">
        <v>1546</v>
      </c>
      <c r="X26" s="472">
        <v>729</v>
      </c>
      <c r="Y26" s="471">
        <v>887</v>
      </c>
      <c r="Z26" s="501">
        <f>SUM(X26:Y26)</f>
        <v>1616</v>
      </c>
      <c r="AA26" s="472">
        <v>749</v>
      </c>
      <c r="AB26" s="471">
        <v>862</v>
      </c>
      <c r="AC26" s="501">
        <f>SUM(AA26:AB26)</f>
        <v>1611</v>
      </c>
      <c r="AD26" s="472">
        <f>SUM('Admitidos plan'!AE56:AE61)</f>
        <v>775</v>
      </c>
      <c r="AE26" s="471">
        <f>SUM('Admitidos plan'!AF56:AF61)</f>
        <v>888</v>
      </c>
      <c r="AF26" s="501">
        <f>SUM(AD26:AE26)</f>
        <v>1663</v>
      </c>
      <c r="AG26" s="472">
        <f>SUM('Admitidos plan'!AH56:AH61)</f>
        <v>700</v>
      </c>
      <c r="AH26" s="471">
        <f>SUM('Admitidos plan'!AI56:AI61)</f>
        <v>847</v>
      </c>
      <c r="AI26" s="501">
        <f>SUM(AG26:AH26)</f>
        <v>1547</v>
      </c>
      <c r="AJ26" s="472">
        <f>SUM('Admitidos plan'!AK56:AK61)</f>
        <v>734</v>
      </c>
      <c r="AK26" s="471">
        <f>SUM('Admitidos plan'!AL56:AL61)</f>
        <v>838</v>
      </c>
      <c r="AL26" s="501">
        <f>SUM(AJ26:AK26)</f>
        <v>1572</v>
      </c>
      <c r="AM26" s="472">
        <f>SUM('Admitidos plan'!AN56:AN61)</f>
        <v>774</v>
      </c>
      <c r="AN26" s="471">
        <f>SUM('Admitidos plan'!AO56:AO61)</f>
        <v>832</v>
      </c>
      <c r="AO26" s="501">
        <f>SUM(AM26:AN26)</f>
        <v>1606</v>
      </c>
    </row>
    <row r="27" spans="1:41" ht="15" x14ac:dyDescent="0.2">
      <c r="A27" s="5044"/>
      <c r="B27" s="505" t="s">
        <v>11</v>
      </c>
      <c r="C27" s="475">
        <v>864</v>
      </c>
      <c r="D27" s="474">
        <v>1137</v>
      </c>
      <c r="E27" s="476">
        <v>2001</v>
      </c>
      <c r="F27" s="475">
        <v>1129</v>
      </c>
      <c r="G27" s="474">
        <v>1130</v>
      </c>
      <c r="H27" s="507">
        <v>2259</v>
      </c>
      <c r="I27" s="475">
        <v>1086</v>
      </c>
      <c r="J27" s="474">
        <v>1319</v>
      </c>
      <c r="K27" s="507">
        <v>2405</v>
      </c>
      <c r="L27" s="474">
        <v>1030</v>
      </c>
      <c r="M27" s="474">
        <v>1281</v>
      </c>
      <c r="N27" s="507">
        <v>2311</v>
      </c>
      <c r="O27" s="474">
        <v>941</v>
      </c>
      <c r="P27" s="474">
        <v>1151</v>
      </c>
      <c r="Q27" s="507">
        <v>2092</v>
      </c>
      <c r="R27" s="474">
        <v>896</v>
      </c>
      <c r="S27" s="474">
        <v>998</v>
      </c>
      <c r="T27" s="507">
        <v>1894</v>
      </c>
      <c r="U27" s="475">
        <v>892</v>
      </c>
      <c r="V27" s="474">
        <v>1065</v>
      </c>
      <c r="W27" s="507">
        <v>1957</v>
      </c>
      <c r="X27" s="475">
        <v>945</v>
      </c>
      <c r="Y27" s="474">
        <v>1205</v>
      </c>
      <c r="Z27" s="507">
        <f>SUM(X27:Y27)</f>
        <v>2150</v>
      </c>
      <c r="AA27" s="475">
        <v>955</v>
      </c>
      <c r="AB27" s="474">
        <v>1126</v>
      </c>
      <c r="AC27" s="507">
        <f>SUM(AA27:AB27)</f>
        <v>2081</v>
      </c>
      <c r="AD27" s="475">
        <f>SUM('Admitidos plan'!AE63:AE70)</f>
        <v>956</v>
      </c>
      <c r="AE27" s="474">
        <f>SUM('Admitidos plan'!AF63:AF70)</f>
        <v>1111</v>
      </c>
      <c r="AF27" s="507">
        <f>SUM(AD27:AE27)</f>
        <v>2067</v>
      </c>
      <c r="AG27" s="475">
        <f>SUM('Admitidos plan'!AH63:AH70)</f>
        <v>927</v>
      </c>
      <c r="AH27" s="474">
        <f>SUM('Admitidos plan'!AI63:AI70)</f>
        <v>1160</v>
      </c>
      <c r="AI27" s="507">
        <f>SUM(AG27:AH27)</f>
        <v>2087</v>
      </c>
      <c r="AJ27" s="475">
        <f>SUM('Admitidos plan'!AK63:AK70)</f>
        <v>909</v>
      </c>
      <c r="AK27" s="474">
        <f>SUM('Admitidos plan'!AL63:AL70)</f>
        <v>1035</v>
      </c>
      <c r="AL27" s="507">
        <f>SUM(AJ27:AK27)</f>
        <v>1944</v>
      </c>
      <c r="AM27" s="475">
        <f>SUM('Admitidos plan'!AN63:AN70)</f>
        <v>973</v>
      </c>
      <c r="AN27" s="474">
        <f>SUM('Admitidos plan'!AO63:AO70)</f>
        <v>1045</v>
      </c>
      <c r="AO27" s="507">
        <f>SUM(AM27:AN27)</f>
        <v>2018</v>
      </c>
    </row>
    <row r="28" spans="1:41" ht="15" x14ac:dyDescent="0.2">
      <c r="A28" s="5044"/>
      <c r="B28" s="505" t="s">
        <v>7</v>
      </c>
      <c r="C28" s="475">
        <v>369</v>
      </c>
      <c r="D28" s="474">
        <v>490</v>
      </c>
      <c r="E28" s="476">
        <v>859</v>
      </c>
      <c r="F28" s="475">
        <v>388</v>
      </c>
      <c r="G28" s="474">
        <v>436</v>
      </c>
      <c r="H28" s="507">
        <v>824</v>
      </c>
      <c r="I28" s="475">
        <v>414</v>
      </c>
      <c r="J28" s="474">
        <v>533</v>
      </c>
      <c r="K28" s="507">
        <v>947</v>
      </c>
      <c r="L28" s="474">
        <v>361</v>
      </c>
      <c r="M28" s="474">
        <v>486</v>
      </c>
      <c r="N28" s="507">
        <v>847</v>
      </c>
      <c r="O28" s="474">
        <v>379</v>
      </c>
      <c r="P28" s="474">
        <v>488</v>
      </c>
      <c r="Q28" s="507">
        <v>867</v>
      </c>
      <c r="R28" s="474">
        <v>377</v>
      </c>
      <c r="S28" s="474">
        <v>406</v>
      </c>
      <c r="T28" s="507">
        <v>783</v>
      </c>
      <c r="U28" s="475">
        <v>330</v>
      </c>
      <c r="V28" s="474">
        <v>404</v>
      </c>
      <c r="W28" s="507">
        <v>734</v>
      </c>
      <c r="X28" s="475">
        <v>342</v>
      </c>
      <c r="Y28" s="474">
        <v>402</v>
      </c>
      <c r="Z28" s="507">
        <f>SUM(X28:Y28)</f>
        <v>744</v>
      </c>
      <c r="AA28" s="475">
        <v>364</v>
      </c>
      <c r="AB28" s="474">
        <v>412</v>
      </c>
      <c r="AC28" s="507">
        <f>SUM(AA28:AB28)</f>
        <v>776</v>
      </c>
      <c r="AD28" s="475">
        <f>SUM('Admitidos plan'!AE72:AE75)</f>
        <v>350</v>
      </c>
      <c r="AE28" s="474">
        <f>SUM('Admitidos plan'!AF72:AF75)</f>
        <v>421</v>
      </c>
      <c r="AF28" s="507">
        <f>SUM(AD28:AE28)</f>
        <v>771</v>
      </c>
      <c r="AG28" s="475">
        <f>SUM('Admitidos plan'!AH72:AH75)</f>
        <v>334</v>
      </c>
      <c r="AH28" s="474">
        <f>SUM('Admitidos plan'!AI72:AI75)</f>
        <v>384</v>
      </c>
      <c r="AI28" s="507">
        <f>SUM(AG28:AH28)</f>
        <v>718</v>
      </c>
      <c r="AJ28" s="475">
        <f>SUM('Admitidos plan'!AK72:AK75)</f>
        <v>336</v>
      </c>
      <c r="AK28" s="474">
        <f>SUM('Admitidos plan'!AL72:AL75)</f>
        <v>360</v>
      </c>
      <c r="AL28" s="507">
        <f>SUM(AJ28:AK28)</f>
        <v>696</v>
      </c>
      <c r="AM28" s="475">
        <f>SUM('Admitidos plan'!AN72:AN75)</f>
        <v>359</v>
      </c>
      <c r="AN28" s="474">
        <f>SUM('Admitidos plan'!AO72:AO75)</f>
        <v>391</v>
      </c>
      <c r="AO28" s="507">
        <f>SUM(AM28:AN28)</f>
        <v>750</v>
      </c>
    </row>
    <row r="29" spans="1:41" ht="15" x14ac:dyDescent="0.2">
      <c r="A29" s="5110"/>
      <c r="B29" s="2482" t="s">
        <v>12</v>
      </c>
      <c r="C29" s="2473">
        <v>1922</v>
      </c>
      <c r="D29" s="2474">
        <v>2471</v>
      </c>
      <c r="E29" s="2475">
        <v>4393</v>
      </c>
      <c r="F29" s="2473">
        <v>2405</v>
      </c>
      <c r="G29" s="2474">
        <v>2389</v>
      </c>
      <c r="H29" s="2475">
        <v>4794</v>
      </c>
      <c r="I29" s="2473">
        <v>2357</v>
      </c>
      <c r="J29" s="2474">
        <v>2812</v>
      </c>
      <c r="K29" s="2475">
        <v>5169</v>
      </c>
      <c r="L29" s="2474">
        <v>2076</v>
      </c>
      <c r="M29" s="2474">
        <v>2693</v>
      </c>
      <c r="N29" s="2475">
        <v>4769</v>
      </c>
      <c r="O29" s="2474">
        <v>2105</v>
      </c>
      <c r="P29" s="2474">
        <v>2570</v>
      </c>
      <c r="Q29" s="2475">
        <v>4675</v>
      </c>
      <c r="R29" s="2474">
        <v>2010</v>
      </c>
      <c r="S29" s="2474">
        <v>2191</v>
      </c>
      <c r="T29" s="2475">
        <v>4201</v>
      </c>
      <c r="U29" s="2473">
        <v>1930</v>
      </c>
      <c r="V29" s="2474">
        <v>2307</v>
      </c>
      <c r="W29" s="2475">
        <v>4237</v>
      </c>
      <c r="X29" s="2473">
        <f>SUM(X26:X28)</f>
        <v>2016</v>
      </c>
      <c r="Y29" s="2474">
        <v>2494</v>
      </c>
      <c r="Z29" s="2475">
        <f>SUM(X29:Y29)</f>
        <v>4510</v>
      </c>
      <c r="AA29" s="2473">
        <v>2068</v>
      </c>
      <c r="AB29" s="2474">
        <f>SUM(AB26:AB28)</f>
        <v>2400</v>
      </c>
      <c r="AC29" s="2475">
        <f>SUM(AA29:AB29)</f>
        <v>4468</v>
      </c>
      <c r="AD29" s="2473">
        <f>SUM(AD26:AD28)</f>
        <v>2081</v>
      </c>
      <c r="AE29" s="2474">
        <f>SUM(AE26:AE28)</f>
        <v>2420</v>
      </c>
      <c r="AF29" s="2475">
        <f>SUM(AD29:AE29)</f>
        <v>4501</v>
      </c>
      <c r="AG29" s="2473">
        <f>SUM(AG26:AG28)</f>
        <v>1961</v>
      </c>
      <c r="AH29" s="2474">
        <f>SUM(AH26:AH28)</f>
        <v>2391</v>
      </c>
      <c r="AI29" s="2475">
        <f>SUM(AG29:AH29)</f>
        <v>4352</v>
      </c>
      <c r="AJ29" s="2473">
        <f>SUM(AJ26:AJ28)</f>
        <v>1979</v>
      </c>
      <c r="AK29" s="2474">
        <f>SUM(AK26:AK28)</f>
        <v>2233</v>
      </c>
      <c r="AL29" s="2475">
        <f>SUM(AJ29:AK29)</f>
        <v>4212</v>
      </c>
      <c r="AM29" s="2473">
        <f>SUM(AM26:AM28)</f>
        <v>2106</v>
      </c>
      <c r="AN29" s="2474">
        <f>SUM(AN26:AN28)</f>
        <v>2268</v>
      </c>
      <c r="AO29" s="2475">
        <f>SUM(AM29:AN29)</f>
        <v>4374</v>
      </c>
    </row>
    <row r="30" spans="1:41" ht="15" x14ac:dyDescent="0.2">
      <c r="A30" s="263"/>
      <c r="B30" s="263"/>
      <c r="C30" s="263"/>
      <c r="D30" s="263"/>
      <c r="E30" s="263"/>
      <c r="F30" s="263"/>
      <c r="G30" s="263"/>
      <c r="H30" s="263"/>
      <c r="I30" s="263"/>
      <c r="J30" s="263"/>
      <c r="K30" s="263"/>
      <c r="L30" s="263"/>
      <c r="M30" s="263"/>
      <c r="N30" s="263"/>
      <c r="O30" s="263"/>
      <c r="P30" s="263"/>
      <c r="Q30" s="263"/>
      <c r="R30" s="263"/>
      <c r="S30" s="263"/>
      <c r="T30" s="263"/>
      <c r="U30" s="263"/>
      <c r="V30" s="263"/>
      <c r="W30" s="263"/>
      <c r="X30" s="263"/>
      <c r="Y30" s="263"/>
      <c r="Z30" s="263"/>
      <c r="AA30" s="263"/>
      <c r="AB30" s="263"/>
      <c r="AC30" s="263"/>
      <c r="AD30" s="779"/>
      <c r="AE30" s="779"/>
      <c r="AF30" s="263"/>
      <c r="AG30" s="779"/>
      <c r="AH30" s="779"/>
      <c r="AI30" s="263"/>
      <c r="AJ30" s="779"/>
      <c r="AK30" s="779"/>
      <c r="AL30" s="263"/>
      <c r="AM30" s="779"/>
      <c r="AN30" s="779"/>
      <c r="AO30" s="263"/>
    </row>
    <row r="31" spans="1:41" ht="15" x14ac:dyDescent="0.2">
      <c r="A31" s="5059" t="s">
        <v>60</v>
      </c>
      <c r="B31" s="499" t="s">
        <v>5</v>
      </c>
      <c r="C31" s="472">
        <v>741</v>
      </c>
      <c r="D31" s="471">
        <v>1508</v>
      </c>
      <c r="E31" s="473">
        <v>2249</v>
      </c>
      <c r="F31" s="472">
        <v>1069</v>
      </c>
      <c r="G31" s="471">
        <v>1775</v>
      </c>
      <c r="H31" s="501">
        <v>2844</v>
      </c>
      <c r="I31" s="472">
        <v>1075</v>
      </c>
      <c r="J31" s="471">
        <v>1896</v>
      </c>
      <c r="K31" s="501">
        <v>2971</v>
      </c>
      <c r="L31" s="471">
        <v>1199</v>
      </c>
      <c r="M31" s="471">
        <v>1959</v>
      </c>
      <c r="N31" s="501">
        <v>3158</v>
      </c>
      <c r="O31" s="471">
        <v>1007</v>
      </c>
      <c r="P31" s="471">
        <v>1946</v>
      </c>
      <c r="Q31" s="501">
        <v>2953</v>
      </c>
      <c r="R31" s="471">
        <v>1028</v>
      </c>
      <c r="S31" s="471">
        <v>2006</v>
      </c>
      <c r="T31" s="501">
        <v>3034</v>
      </c>
      <c r="U31" s="472">
        <v>1045</v>
      </c>
      <c r="V31" s="471">
        <v>1884</v>
      </c>
      <c r="W31" s="501">
        <v>2929</v>
      </c>
      <c r="X31" s="472">
        <f>X6+X16</f>
        <v>1062</v>
      </c>
      <c r="Y31" s="471">
        <v>2355</v>
      </c>
      <c r="Z31" s="501">
        <f t="shared" ref="Z31:Z37" si="2">SUM(X31:Y31)</f>
        <v>3417</v>
      </c>
      <c r="AA31" s="472">
        <f>SUM(AA6,AA16,AA21)</f>
        <v>1313</v>
      </c>
      <c r="AB31" s="471">
        <f>SUM(AB6,AB16,AB21)</f>
        <v>1898</v>
      </c>
      <c r="AC31" s="501">
        <f t="shared" ref="AC31:AC36" si="3">SUM(AA31:AB31)</f>
        <v>3211</v>
      </c>
      <c r="AD31" s="472">
        <f>SUM(AD6,AD16,AD21)</f>
        <v>731</v>
      </c>
      <c r="AE31" s="471">
        <f>SUM(AE6,AE16,AE21)</f>
        <v>1869</v>
      </c>
      <c r="AF31" s="501">
        <f t="shared" ref="AF31:AF36" si="4">SUM(AD31:AE31)</f>
        <v>2600</v>
      </c>
      <c r="AG31" s="472">
        <f>SUM(AG6,AG16,AG21)</f>
        <v>904</v>
      </c>
      <c r="AH31" s="471">
        <f>SUM(AH6,AH16,AH21)</f>
        <v>2007</v>
      </c>
      <c r="AI31" s="501">
        <f t="shared" ref="AI31:AI36" si="5">SUM(AG31:AH31)</f>
        <v>2911</v>
      </c>
      <c r="AJ31" s="472">
        <f>SUM(AJ6,AJ16,AJ21)</f>
        <v>689</v>
      </c>
      <c r="AK31" s="471">
        <f>SUM(AK6,AK16,AK21)</f>
        <v>1873</v>
      </c>
      <c r="AL31" s="501">
        <f t="shared" ref="AL31:AL36" si="6">SUM(AJ31:AK31)</f>
        <v>2562</v>
      </c>
      <c r="AM31" s="472">
        <f>SUM(AM6,AM16,AM21)</f>
        <v>615</v>
      </c>
      <c r="AN31" s="471">
        <f>SUM(AN6,AN16,AN21)</f>
        <v>1691</v>
      </c>
      <c r="AO31" s="501">
        <f t="shared" ref="AO31:AO36" si="7">SUM(AM31:AN31)</f>
        <v>2306</v>
      </c>
    </row>
    <row r="32" spans="1:41" ht="15" x14ac:dyDescent="0.2">
      <c r="A32" s="5060"/>
      <c r="B32" s="505" t="s">
        <v>6</v>
      </c>
      <c r="C32" s="475">
        <v>1372</v>
      </c>
      <c r="D32" s="474">
        <v>2457</v>
      </c>
      <c r="E32" s="476">
        <v>3829</v>
      </c>
      <c r="F32" s="475">
        <v>1588</v>
      </c>
      <c r="G32" s="474">
        <v>2595</v>
      </c>
      <c r="H32" s="507">
        <v>4183</v>
      </c>
      <c r="I32" s="475">
        <v>1577</v>
      </c>
      <c r="J32" s="474">
        <v>2948</v>
      </c>
      <c r="K32" s="507">
        <v>4525</v>
      </c>
      <c r="L32" s="474">
        <v>1339</v>
      </c>
      <c r="M32" s="474">
        <v>2900</v>
      </c>
      <c r="N32" s="507">
        <v>4239</v>
      </c>
      <c r="O32" s="474">
        <v>1645</v>
      </c>
      <c r="P32" s="474">
        <v>3016</v>
      </c>
      <c r="Q32" s="507">
        <v>4661</v>
      </c>
      <c r="R32" s="474">
        <v>1650</v>
      </c>
      <c r="S32" s="474">
        <v>2684</v>
      </c>
      <c r="T32" s="507">
        <v>4334</v>
      </c>
      <c r="U32" s="475">
        <v>1529</v>
      </c>
      <c r="V32" s="474">
        <v>2910</v>
      </c>
      <c r="W32" s="507">
        <v>4439</v>
      </c>
      <c r="X32" s="475">
        <f>X7+X11+X17+X26</f>
        <v>1537</v>
      </c>
      <c r="Y32" s="474">
        <v>2914</v>
      </c>
      <c r="Z32" s="507">
        <f t="shared" si="2"/>
        <v>4451</v>
      </c>
      <c r="AA32" s="475">
        <f>SUM(AA7,AA11,AA17,AA26,AA22)</f>
        <v>1619</v>
      </c>
      <c r="AB32" s="474">
        <f>SUM(AB7,AB11,AB17,AB26,AB22)</f>
        <v>2958</v>
      </c>
      <c r="AC32" s="507">
        <f t="shared" si="3"/>
        <v>4577</v>
      </c>
      <c r="AD32" s="475">
        <f>SUM(AD7,AD11,AD17,AD26,AD22)</f>
        <v>1671</v>
      </c>
      <c r="AE32" s="474">
        <f>SUM(AE7,AE11,AE17,AE26,AE22)</f>
        <v>3106</v>
      </c>
      <c r="AF32" s="507">
        <f t="shared" si="4"/>
        <v>4777</v>
      </c>
      <c r="AG32" s="475">
        <f>SUM(AG7,AG11,AG17,AG26,AG22)</f>
        <v>1549</v>
      </c>
      <c r="AH32" s="474">
        <f>SUM(AH7,AH11,AH17,AH26,AH22)</f>
        <v>3033</v>
      </c>
      <c r="AI32" s="507">
        <f t="shared" si="5"/>
        <v>4582</v>
      </c>
      <c r="AJ32" s="475">
        <f>SUM(AJ7,AJ11,AJ17,AJ26,AJ22)</f>
        <v>1642</v>
      </c>
      <c r="AK32" s="474">
        <f>SUM(AK7,AK11,AK17,AK26,AK22)</f>
        <v>2991</v>
      </c>
      <c r="AL32" s="507">
        <f t="shared" si="6"/>
        <v>4633</v>
      </c>
      <c r="AM32" s="475">
        <f>SUM(AM7,AM11,AM17,AM26,AM22)</f>
        <v>1747</v>
      </c>
      <c r="AN32" s="474">
        <f>SUM(AN7,AN11,AN17,AN26,AN22)</f>
        <v>3132</v>
      </c>
      <c r="AO32" s="507">
        <f t="shared" si="7"/>
        <v>4879</v>
      </c>
    </row>
    <row r="33" spans="1:41" ht="15" x14ac:dyDescent="0.2">
      <c r="A33" s="5060"/>
      <c r="B33" s="505" t="s">
        <v>11</v>
      </c>
      <c r="C33" s="475">
        <v>1039</v>
      </c>
      <c r="D33" s="474">
        <v>1541</v>
      </c>
      <c r="E33" s="476">
        <v>2580</v>
      </c>
      <c r="F33" s="475">
        <v>1322</v>
      </c>
      <c r="G33" s="474">
        <v>1563</v>
      </c>
      <c r="H33" s="507">
        <v>2885</v>
      </c>
      <c r="I33" s="475">
        <v>1299</v>
      </c>
      <c r="J33" s="474">
        <v>1787</v>
      </c>
      <c r="K33" s="507">
        <v>3086</v>
      </c>
      <c r="L33" s="474">
        <v>1294</v>
      </c>
      <c r="M33" s="474">
        <v>1770</v>
      </c>
      <c r="N33" s="507">
        <v>3064</v>
      </c>
      <c r="O33" s="474">
        <v>1173</v>
      </c>
      <c r="P33" s="474">
        <v>1676</v>
      </c>
      <c r="Q33" s="507">
        <v>2849</v>
      </c>
      <c r="R33" s="474">
        <v>1176</v>
      </c>
      <c r="S33" s="474">
        <v>1480</v>
      </c>
      <c r="T33" s="507">
        <v>2656</v>
      </c>
      <c r="U33" s="475">
        <v>1260</v>
      </c>
      <c r="V33" s="474">
        <v>1616</v>
      </c>
      <c r="W33" s="507">
        <v>2876</v>
      </c>
      <c r="X33" s="475">
        <f>X18+X27</f>
        <v>1357</v>
      </c>
      <c r="Y33" s="474">
        <v>1751</v>
      </c>
      <c r="Z33" s="507">
        <f t="shared" si="2"/>
        <v>3108</v>
      </c>
      <c r="AA33" s="475">
        <f>SUM(AA18,AA27,AA23)</f>
        <v>1447</v>
      </c>
      <c r="AB33" s="474">
        <f>SUM(AB18,AB27,AB23)</f>
        <v>1720</v>
      </c>
      <c r="AC33" s="507">
        <f t="shared" si="3"/>
        <v>3167</v>
      </c>
      <c r="AD33" s="475">
        <f>SUM(AD18,AD27,AD23)</f>
        <v>1423</v>
      </c>
      <c r="AE33" s="474">
        <f>SUM(AE18,AE27,AE23)</f>
        <v>1688</v>
      </c>
      <c r="AF33" s="507">
        <f t="shared" si="4"/>
        <v>3111</v>
      </c>
      <c r="AG33" s="475">
        <f>SUM(AG18,AG27,AG23)</f>
        <v>1394</v>
      </c>
      <c r="AH33" s="474">
        <f>SUM(AH18,AH27,AH23)</f>
        <v>1734</v>
      </c>
      <c r="AI33" s="507">
        <f t="shared" si="5"/>
        <v>3128</v>
      </c>
      <c r="AJ33" s="475">
        <f>SUM(AJ18,AJ27,AJ23)</f>
        <v>1309</v>
      </c>
      <c r="AK33" s="474">
        <f>SUM(AK18,AK27,AK23)</f>
        <v>1562</v>
      </c>
      <c r="AL33" s="507">
        <f t="shared" si="6"/>
        <v>2871</v>
      </c>
      <c r="AM33" s="475">
        <f>SUM(AM18,AM27,AM23)</f>
        <v>1348</v>
      </c>
      <c r="AN33" s="474">
        <f>SUM(AN18,AN27,AN23)</f>
        <v>1560</v>
      </c>
      <c r="AO33" s="507">
        <f t="shared" si="7"/>
        <v>2908</v>
      </c>
    </row>
    <row r="34" spans="1:41" ht="15" x14ac:dyDescent="0.2">
      <c r="A34" s="5060"/>
      <c r="B34" s="505" t="s">
        <v>7</v>
      </c>
      <c r="C34" s="475">
        <v>717</v>
      </c>
      <c r="D34" s="474">
        <v>954</v>
      </c>
      <c r="E34" s="476">
        <v>1671</v>
      </c>
      <c r="F34" s="475">
        <v>736</v>
      </c>
      <c r="G34" s="474">
        <v>815</v>
      </c>
      <c r="H34" s="507">
        <v>1551</v>
      </c>
      <c r="I34" s="475">
        <v>742</v>
      </c>
      <c r="J34" s="474">
        <v>922</v>
      </c>
      <c r="K34" s="507">
        <v>1664</v>
      </c>
      <c r="L34" s="474">
        <v>639</v>
      </c>
      <c r="M34" s="474">
        <v>856</v>
      </c>
      <c r="N34" s="507">
        <v>1495</v>
      </c>
      <c r="O34" s="474">
        <v>672</v>
      </c>
      <c r="P34" s="474">
        <v>858</v>
      </c>
      <c r="Q34" s="507">
        <v>1530</v>
      </c>
      <c r="R34" s="474">
        <v>663</v>
      </c>
      <c r="S34" s="474">
        <v>736</v>
      </c>
      <c r="T34" s="507">
        <v>1399</v>
      </c>
      <c r="U34" s="475">
        <v>620</v>
      </c>
      <c r="V34" s="474">
        <v>761</v>
      </c>
      <c r="W34" s="507">
        <v>1381</v>
      </c>
      <c r="X34" s="475">
        <f>X8+X28</f>
        <v>626</v>
      </c>
      <c r="Y34" s="474">
        <v>740</v>
      </c>
      <c r="Z34" s="507">
        <f t="shared" si="2"/>
        <v>1366</v>
      </c>
      <c r="AA34" s="475">
        <f>SUM(AA8,AA28)</f>
        <v>664</v>
      </c>
      <c r="AB34" s="474">
        <f>SUM(AB8,AB28)</f>
        <v>770</v>
      </c>
      <c r="AC34" s="507">
        <f t="shared" si="3"/>
        <v>1434</v>
      </c>
      <c r="AD34" s="475">
        <f>SUM(AD8,AD28)</f>
        <v>642</v>
      </c>
      <c r="AE34" s="474">
        <f>SUM(AE8,AE28)</f>
        <v>769</v>
      </c>
      <c r="AF34" s="507">
        <f t="shared" si="4"/>
        <v>1411</v>
      </c>
      <c r="AG34" s="475">
        <f>SUM(AG8,AG28)</f>
        <v>651</v>
      </c>
      <c r="AH34" s="474">
        <f>SUM(AH8,AH28)</f>
        <v>758</v>
      </c>
      <c r="AI34" s="507">
        <f t="shared" si="5"/>
        <v>1409</v>
      </c>
      <c r="AJ34" s="475">
        <f>SUM(AJ8,AJ28)</f>
        <v>648</v>
      </c>
      <c r="AK34" s="474">
        <f>SUM(AK8,AK28)</f>
        <v>715</v>
      </c>
      <c r="AL34" s="507">
        <f t="shared" si="6"/>
        <v>1363</v>
      </c>
      <c r="AM34" s="475">
        <f>SUM(AM8,AM28)</f>
        <v>682</v>
      </c>
      <c r="AN34" s="474">
        <f>SUM(AN8,AN28)</f>
        <v>793</v>
      </c>
      <c r="AO34" s="507">
        <f t="shared" si="7"/>
        <v>1475</v>
      </c>
    </row>
    <row r="35" spans="1:41" ht="15" x14ac:dyDescent="0.2">
      <c r="A35" s="5060"/>
      <c r="B35" s="505" t="s">
        <v>9</v>
      </c>
      <c r="C35" s="475"/>
      <c r="D35" s="474"/>
      <c r="E35" s="476"/>
      <c r="F35" s="475"/>
      <c r="G35" s="474"/>
      <c r="H35" s="507"/>
      <c r="I35" s="475"/>
      <c r="J35" s="474"/>
      <c r="K35" s="507">
        <v>41</v>
      </c>
      <c r="L35" s="474"/>
      <c r="M35" s="474"/>
      <c r="N35" s="507">
        <v>37</v>
      </c>
      <c r="O35" s="474"/>
      <c r="P35" s="474">
        <v>163</v>
      </c>
      <c r="Q35" s="507">
        <v>163</v>
      </c>
      <c r="R35" s="474"/>
      <c r="S35" s="474">
        <v>144</v>
      </c>
      <c r="T35" s="507">
        <v>144</v>
      </c>
      <c r="U35" s="475"/>
      <c r="V35" s="474">
        <v>122</v>
      </c>
      <c r="W35" s="507">
        <v>122</v>
      </c>
      <c r="X35" s="475"/>
      <c r="Y35" s="474">
        <v>159</v>
      </c>
      <c r="Z35" s="507">
        <f t="shared" si="2"/>
        <v>159</v>
      </c>
      <c r="AA35" s="475"/>
      <c r="AB35" s="474">
        <f>SUM(AB12)</f>
        <v>158</v>
      </c>
      <c r="AC35" s="507">
        <f t="shared" si="3"/>
        <v>158</v>
      </c>
      <c r="AD35" s="475">
        <f>SUM(AD12)</f>
        <v>0</v>
      </c>
      <c r="AE35" s="474">
        <f>SUM(AE12)</f>
        <v>153</v>
      </c>
      <c r="AF35" s="507">
        <f t="shared" si="4"/>
        <v>153</v>
      </c>
      <c r="AG35" s="475">
        <f>SUM(AG12)</f>
        <v>0</v>
      </c>
      <c r="AH35" s="474">
        <f>SUM(AH12)</f>
        <v>158</v>
      </c>
      <c r="AI35" s="507">
        <f t="shared" si="5"/>
        <v>158</v>
      </c>
      <c r="AJ35" s="475">
        <f>SUM(AJ12)</f>
        <v>0</v>
      </c>
      <c r="AK35" s="474">
        <f>SUM(AK12)</f>
        <v>189</v>
      </c>
      <c r="AL35" s="507">
        <f t="shared" si="6"/>
        <v>189</v>
      </c>
      <c r="AM35" s="475">
        <f>SUM(AM12)</f>
        <v>0</v>
      </c>
      <c r="AN35" s="474">
        <f>SUM(AN12)</f>
        <v>234</v>
      </c>
      <c r="AO35" s="507">
        <f t="shared" si="7"/>
        <v>234</v>
      </c>
    </row>
    <row r="36" spans="1:41" s="224" customFormat="1" ht="15" x14ac:dyDescent="0.2">
      <c r="A36" s="5061"/>
      <c r="B36" s="511" t="s">
        <v>74</v>
      </c>
      <c r="C36" s="478"/>
      <c r="D36" s="477"/>
      <c r="E36" s="479"/>
      <c r="F36" s="478"/>
      <c r="G36" s="477"/>
      <c r="H36" s="513"/>
      <c r="I36" s="478"/>
      <c r="J36" s="477"/>
      <c r="K36" s="513">
        <v>77</v>
      </c>
      <c r="L36" s="477"/>
      <c r="M36" s="477"/>
      <c r="N36" s="513">
        <v>34</v>
      </c>
      <c r="O36" s="477"/>
      <c r="P36" s="477">
        <v>82</v>
      </c>
      <c r="Q36" s="513">
        <v>82</v>
      </c>
      <c r="R36" s="477"/>
      <c r="S36" s="477">
        <v>137</v>
      </c>
      <c r="T36" s="513">
        <v>137</v>
      </c>
      <c r="U36" s="478"/>
      <c r="V36" s="477">
        <v>103</v>
      </c>
      <c r="W36" s="513">
        <v>103</v>
      </c>
      <c r="X36" s="478"/>
      <c r="Y36" s="477">
        <v>146</v>
      </c>
      <c r="Z36" s="513">
        <f t="shared" si="2"/>
        <v>146</v>
      </c>
      <c r="AA36" s="478"/>
      <c r="AB36" s="477">
        <f>SUM(AB13)</f>
        <v>166</v>
      </c>
      <c r="AC36" s="507">
        <f t="shared" si="3"/>
        <v>166</v>
      </c>
      <c r="AD36" s="478">
        <f>SUM(AD13)</f>
        <v>0</v>
      </c>
      <c r="AE36" s="477">
        <f>SUM(AE13)</f>
        <v>175</v>
      </c>
      <c r="AF36" s="507">
        <f t="shared" si="4"/>
        <v>175</v>
      </c>
      <c r="AG36" s="478">
        <f>SUM(AG13)</f>
        <v>0</v>
      </c>
      <c r="AH36" s="477">
        <f>SUM(AH13)</f>
        <v>222</v>
      </c>
      <c r="AI36" s="507">
        <f t="shared" si="5"/>
        <v>222</v>
      </c>
      <c r="AJ36" s="478">
        <f>SUM(AJ13)</f>
        <v>0</v>
      </c>
      <c r="AK36" s="477">
        <f>SUM(AK13)</f>
        <v>293</v>
      </c>
      <c r="AL36" s="507">
        <f t="shared" si="6"/>
        <v>293</v>
      </c>
      <c r="AM36" s="478">
        <f>SUM(AM13)</f>
        <v>0</v>
      </c>
      <c r="AN36" s="477">
        <f>SUM(AN13)</f>
        <v>283</v>
      </c>
      <c r="AO36" s="507">
        <f t="shared" si="7"/>
        <v>283</v>
      </c>
    </row>
    <row r="37" spans="1:41" ht="15" x14ac:dyDescent="0.2">
      <c r="A37" s="5025" t="s">
        <v>12</v>
      </c>
      <c r="B37" s="5027"/>
      <c r="C37" s="574">
        <v>3869</v>
      </c>
      <c r="D37" s="575">
        <v>6460</v>
      </c>
      <c r="E37" s="575">
        <v>10329</v>
      </c>
      <c r="F37" s="574">
        <v>4715</v>
      </c>
      <c r="G37" s="575">
        <v>6748</v>
      </c>
      <c r="H37" s="576">
        <v>11463</v>
      </c>
      <c r="I37" s="575">
        <v>4693</v>
      </c>
      <c r="J37" s="575">
        <v>7671</v>
      </c>
      <c r="K37" s="576">
        <v>12364</v>
      </c>
      <c r="L37" s="575">
        <v>4471</v>
      </c>
      <c r="M37" s="575">
        <v>7556</v>
      </c>
      <c r="N37" s="576">
        <v>12027</v>
      </c>
      <c r="O37" s="575">
        <v>4497</v>
      </c>
      <c r="P37" s="575">
        <v>7741</v>
      </c>
      <c r="Q37" s="576">
        <v>12238</v>
      </c>
      <c r="R37" s="575">
        <v>4517</v>
      </c>
      <c r="S37" s="575">
        <v>7187</v>
      </c>
      <c r="T37" s="576">
        <v>11704</v>
      </c>
      <c r="U37" s="574">
        <v>4454</v>
      </c>
      <c r="V37" s="575">
        <v>7396</v>
      </c>
      <c r="W37" s="576">
        <v>11850</v>
      </c>
      <c r="X37" s="574">
        <f>SUM(X31:X36)</f>
        <v>4582</v>
      </c>
      <c r="Y37" s="575">
        <v>8065</v>
      </c>
      <c r="Z37" s="576">
        <f t="shared" si="2"/>
        <v>12647</v>
      </c>
      <c r="AA37" s="574">
        <f t="shared" ref="AA37:AF37" si="8">SUM(AA31:AA36)</f>
        <v>5043</v>
      </c>
      <c r="AB37" s="575">
        <f t="shared" si="8"/>
        <v>7670</v>
      </c>
      <c r="AC37" s="576">
        <f t="shared" si="8"/>
        <v>12713</v>
      </c>
      <c r="AD37" s="574">
        <f t="shared" si="8"/>
        <v>4467</v>
      </c>
      <c r="AE37" s="575">
        <f t="shared" si="8"/>
        <v>7760</v>
      </c>
      <c r="AF37" s="576">
        <f t="shared" si="8"/>
        <v>12227</v>
      </c>
      <c r="AG37" s="574">
        <f t="shared" ref="AG37:AL37" si="9">SUM(AG31:AG36)</f>
        <v>4498</v>
      </c>
      <c r="AH37" s="575">
        <f t="shared" si="9"/>
        <v>7912</v>
      </c>
      <c r="AI37" s="576">
        <f t="shared" si="9"/>
        <v>12410</v>
      </c>
      <c r="AJ37" s="574">
        <f t="shared" si="9"/>
        <v>4288</v>
      </c>
      <c r="AK37" s="575">
        <f t="shared" si="9"/>
        <v>7623</v>
      </c>
      <c r="AL37" s="576">
        <f t="shared" si="9"/>
        <v>11911</v>
      </c>
      <c r="AM37" s="574">
        <f t="shared" ref="AM37:AO37" si="10">SUM(AM31:AM36)</f>
        <v>4392</v>
      </c>
      <c r="AN37" s="575">
        <f t="shared" si="10"/>
        <v>7693</v>
      </c>
      <c r="AO37" s="576">
        <f t="shared" si="10"/>
        <v>12085</v>
      </c>
    </row>
    <row r="38" spans="1:41" x14ac:dyDescent="0.2">
      <c r="A38" s="5111" t="s">
        <v>1316</v>
      </c>
      <c r="B38" s="5111"/>
      <c r="C38" s="5111"/>
      <c r="D38" s="5111"/>
      <c r="E38" s="5111"/>
      <c r="F38" s="5111"/>
      <c r="G38" s="5111"/>
      <c r="H38" s="5111"/>
      <c r="I38" s="5111"/>
    </row>
    <row r="39" spans="1:41" x14ac:dyDescent="0.2">
      <c r="A39" s="5112" t="s">
        <v>350</v>
      </c>
      <c r="B39" s="5112"/>
      <c r="C39" s="5112"/>
      <c r="D39" s="5112"/>
      <c r="E39" s="5112"/>
      <c r="F39" s="5112"/>
      <c r="G39" s="5112"/>
      <c r="H39" s="5112"/>
      <c r="I39" s="5112"/>
    </row>
    <row r="40" spans="1:41" x14ac:dyDescent="0.2">
      <c r="A40" s="5107"/>
      <c r="B40" s="5107"/>
      <c r="C40" s="5107"/>
      <c r="D40" s="5107"/>
      <c r="E40" s="5107"/>
      <c r="F40" s="378"/>
      <c r="G40" s="378"/>
      <c r="H40" s="378"/>
      <c r="I40" s="378"/>
      <c r="AF40" s="185"/>
    </row>
    <row r="41" spans="1:41" x14ac:dyDescent="0.2">
      <c r="W41" s="185"/>
    </row>
    <row r="43" spans="1:41" x14ac:dyDescent="0.2">
      <c r="S43" s="3985">
        <v>2003</v>
      </c>
    </row>
    <row r="44" spans="1:41" x14ac:dyDescent="0.2">
      <c r="S44" s="3985">
        <v>2004</v>
      </c>
    </row>
    <row r="45" spans="1:41" x14ac:dyDescent="0.2">
      <c r="S45" s="3985">
        <v>2005</v>
      </c>
    </row>
    <row r="46" spans="1:41" x14ac:dyDescent="0.2">
      <c r="S46" s="3985">
        <v>2006</v>
      </c>
    </row>
    <row r="47" spans="1:41" x14ac:dyDescent="0.2">
      <c r="S47" s="3985">
        <v>2007</v>
      </c>
    </row>
    <row r="48" spans="1:41" x14ac:dyDescent="0.2">
      <c r="S48" s="3985">
        <v>2008</v>
      </c>
    </row>
    <row r="49" spans="19:19" x14ac:dyDescent="0.2">
      <c r="S49" s="3985">
        <v>2009</v>
      </c>
    </row>
    <row r="50" spans="19:19" x14ac:dyDescent="0.2">
      <c r="S50" s="3985">
        <v>2010</v>
      </c>
    </row>
    <row r="51" spans="19:19" x14ac:dyDescent="0.2">
      <c r="S51" s="3985">
        <v>2011</v>
      </c>
    </row>
    <row r="52" spans="19:19" x14ac:dyDescent="0.2">
      <c r="S52" s="3985">
        <v>2012</v>
      </c>
    </row>
    <row r="53" spans="19:19" x14ac:dyDescent="0.2">
      <c r="S53" s="3985">
        <v>2013</v>
      </c>
    </row>
    <row r="54" spans="19:19" x14ac:dyDescent="0.2">
      <c r="S54" s="3985">
        <v>2014</v>
      </c>
    </row>
    <row r="55" spans="19:19" x14ac:dyDescent="0.2">
      <c r="S55" s="3985">
        <v>2015</v>
      </c>
    </row>
    <row r="56" spans="19:19" x14ac:dyDescent="0.2">
      <c r="S56" s="3985"/>
    </row>
    <row r="57" spans="19:19" x14ac:dyDescent="0.2">
      <c r="S57" s="3985" t="s">
        <v>161</v>
      </c>
    </row>
    <row r="58" spans="19:19" x14ac:dyDescent="0.2">
      <c r="S58" s="3985" t="s">
        <v>410</v>
      </c>
    </row>
    <row r="59" spans="19:19" x14ac:dyDescent="0.2">
      <c r="S59" s="3985" t="s">
        <v>162</v>
      </c>
    </row>
    <row r="60" spans="19:19" x14ac:dyDescent="0.2">
      <c r="S60" s="3985" t="s">
        <v>411</v>
      </c>
    </row>
    <row r="61" spans="19:19" x14ac:dyDescent="0.2">
      <c r="S61" s="3985" t="s">
        <v>163</v>
      </c>
    </row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</sheetData>
  <mergeCells count="26">
    <mergeCell ref="AM3:AO3"/>
    <mergeCell ref="AJ3:AL3"/>
    <mergeCell ref="O3:Q3"/>
    <mergeCell ref="R3:T3"/>
    <mergeCell ref="A3:A4"/>
    <mergeCell ref="B3:B4"/>
    <mergeCell ref="C3:E3"/>
    <mergeCell ref="F3:H3"/>
    <mergeCell ref="I3:K3"/>
    <mergeCell ref="AG3:AI3"/>
    <mergeCell ref="L3:N3"/>
    <mergeCell ref="AD3:AF3"/>
    <mergeCell ref="U3:W3"/>
    <mergeCell ref="X3:Z3"/>
    <mergeCell ref="AA3:AC3"/>
    <mergeCell ref="A1:B1"/>
    <mergeCell ref="A40:E40"/>
    <mergeCell ref="A6:A9"/>
    <mergeCell ref="A11:A14"/>
    <mergeCell ref="A16:A19"/>
    <mergeCell ref="A26:A29"/>
    <mergeCell ref="A31:A36"/>
    <mergeCell ref="A37:B37"/>
    <mergeCell ref="A38:I38"/>
    <mergeCell ref="A39:I39"/>
    <mergeCell ref="A21:A24"/>
  </mergeCells>
  <printOptions horizontalCentered="1" verticalCentered="1"/>
  <pageMargins left="0.15748031496062992" right="0.19685039370078741" top="0.31496062992125984" bottom="0.19685039370078741" header="0" footer="0.31496062992125984"/>
  <pageSetup scale="65" pageOrder="overThenDown" orientation="landscape" horizontalDpi="1200" verticalDpi="1200" r:id="rId1"/>
  <headerFooter alignWithMargins="0"/>
  <rowBreaks count="1" manualBreakCount="1">
    <brk id="39" max="37" man="1"/>
  </rowBreaks>
  <colBreaks count="1" manualBreakCount="1">
    <brk id="20" max="38" man="1"/>
  </colBreaks>
  <ignoredErrors>
    <ignoredError sqref="Z7:Z9 Z16:Z19 Z31:Z37 Z26:Z28 Z11:Z13" formulaRange="1"/>
    <ignoredError sqref="AC24:AC36 AC9:AC19 AF9:AF29 AF31:AF36 AI9:AI36 AL9:AL36" formula="1"/>
  </ignoredError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A1:I100"/>
  <sheetViews>
    <sheetView showGridLines="0" topLeftCell="A38" zoomScaleNormal="100" zoomScalePageLayoutView="125" workbookViewId="0">
      <selection activeCell="L70" sqref="L70"/>
    </sheetView>
  </sheetViews>
  <sheetFormatPr baseColWidth="10" defaultRowHeight="15" x14ac:dyDescent="0.25"/>
  <cols>
    <col min="1" max="1" width="7.42578125" style="3917" customWidth="1"/>
    <col min="2" max="2" width="9" style="3917" customWidth="1"/>
    <col min="3" max="3" width="35.42578125" style="3922" bestFit="1" customWidth="1"/>
    <col min="4" max="4" width="10" style="3917" bestFit="1" customWidth="1"/>
    <col min="5" max="5" width="9.140625" style="3917" bestFit="1" customWidth="1"/>
    <col min="6" max="6" width="7.7109375" style="3917" customWidth="1"/>
    <col min="7" max="7" width="10" style="3894" bestFit="1" customWidth="1"/>
    <col min="8" max="8" width="9.140625" style="3894" bestFit="1" customWidth="1"/>
    <col min="9" max="9" width="7.7109375" style="3894" customWidth="1"/>
    <col min="10" max="16384" width="11.42578125" style="3894"/>
  </cols>
  <sheetData>
    <row r="1" spans="1:9" ht="18.75" x14ac:dyDescent="0.25">
      <c r="A1" s="4143" t="s">
        <v>1345</v>
      </c>
      <c r="G1" s="251"/>
    </row>
    <row r="2" spans="1:9" x14ac:dyDescent="0.25">
      <c r="A2" s="3919"/>
    </row>
    <row r="3" spans="1:9" x14ac:dyDescent="0.25">
      <c r="A3" s="5996" t="s">
        <v>51</v>
      </c>
      <c r="B3" s="5996" t="s">
        <v>702</v>
      </c>
      <c r="C3" s="5997" t="s">
        <v>1346</v>
      </c>
      <c r="D3" s="5945">
        <v>2014</v>
      </c>
      <c r="E3" s="5945"/>
      <c r="F3" s="5950"/>
      <c r="G3" s="5945">
        <v>2015</v>
      </c>
      <c r="H3" s="5945"/>
      <c r="I3" s="5950"/>
    </row>
    <row r="4" spans="1:9" x14ac:dyDescent="0.25">
      <c r="A4" s="5996"/>
      <c r="B4" s="5996"/>
      <c r="C4" s="5998"/>
      <c r="D4" s="4858" t="s">
        <v>675</v>
      </c>
      <c r="E4" s="4858" t="s">
        <v>1348</v>
      </c>
      <c r="F4" s="4687" t="s">
        <v>160</v>
      </c>
      <c r="G4" s="4858" t="s">
        <v>675</v>
      </c>
      <c r="H4" s="4858" t="s">
        <v>1348</v>
      </c>
      <c r="I4" s="4687" t="s">
        <v>160</v>
      </c>
    </row>
    <row r="5" spans="1:9" ht="15" customHeight="1" x14ac:dyDescent="0.25">
      <c r="A5" s="6000" t="s">
        <v>161</v>
      </c>
      <c r="B5" s="5945" t="s">
        <v>5</v>
      </c>
      <c r="C5" s="4654" t="s">
        <v>1326</v>
      </c>
      <c r="D5" s="4655"/>
      <c r="E5" s="4656"/>
      <c r="F5" s="3927">
        <f t="shared" ref="F5:F14" si="0">SUM(D5:E5)</f>
        <v>0</v>
      </c>
      <c r="G5" s="4655">
        <v>2</v>
      </c>
      <c r="H5" s="4656">
        <v>1</v>
      </c>
      <c r="I5" s="3927">
        <f>SUM(G5:H5)</f>
        <v>3</v>
      </c>
    </row>
    <row r="6" spans="1:9" ht="15" customHeight="1" x14ac:dyDescent="0.25">
      <c r="A6" s="6000"/>
      <c r="B6" s="5945"/>
      <c r="C6" s="4657" t="s">
        <v>1327</v>
      </c>
      <c r="D6" s="4658"/>
      <c r="E6" s="4659"/>
      <c r="F6" s="3932">
        <f t="shared" si="0"/>
        <v>0</v>
      </c>
      <c r="G6" s="4658"/>
      <c r="H6" s="4659">
        <v>3</v>
      </c>
      <c r="I6" s="3932">
        <f>SUM(G6:H6)</f>
        <v>3</v>
      </c>
    </row>
    <row r="7" spans="1:9" ht="15" hidden="1" customHeight="1" x14ac:dyDescent="0.25">
      <c r="A7" s="6000"/>
      <c r="B7" s="5945"/>
      <c r="C7" s="4657" t="s">
        <v>1328</v>
      </c>
      <c r="D7" s="4658"/>
      <c r="E7" s="4659"/>
      <c r="F7" s="3932">
        <f t="shared" si="0"/>
        <v>0</v>
      </c>
      <c r="G7" s="4658"/>
      <c r="H7" s="4659"/>
      <c r="I7" s="3932">
        <f t="shared" ref="I7:I14" si="1">SUM(G7:H7)</f>
        <v>0</v>
      </c>
    </row>
    <row r="8" spans="1:9" ht="15" customHeight="1" x14ac:dyDescent="0.25">
      <c r="A8" s="6000"/>
      <c r="B8" s="5945"/>
      <c r="C8" s="4657" t="s">
        <v>1329</v>
      </c>
      <c r="D8" s="4658"/>
      <c r="E8" s="4659"/>
      <c r="F8" s="3932">
        <f t="shared" si="0"/>
        <v>0</v>
      </c>
      <c r="G8" s="4658"/>
      <c r="H8" s="4659">
        <v>1</v>
      </c>
      <c r="I8" s="3932">
        <f t="shared" si="1"/>
        <v>1</v>
      </c>
    </row>
    <row r="9" spans="1:9" ht="15" hidden="1" customHeight="1" x14ac:dyDescent="0.25">
      <c r="A9" s="6000"/>
      <c r="B9" s="5945"/>
      <c r="C9" s="4657" t="s">
        <v>518</v>
      </c>
      <c r="D9" s="4658"/>
      <c r="E9" s="4659"/>
      <c r="F9" s="3932">
        <f t="shared" si="0"/>
        <v>0</v>
      </c>
      <c r="G9" s="4658"/>
      <c r="H9" s="4659"/>
      <c r="I9" s="3932">
        <f t="shared" si="1"/>
        <v>0</v>
      </c>
    </row>
    <row r="10" spans="1:9" ht="15" customHeight="1" x14ac:dyDescent="0.25">
      <c r="A10" s="6000"/>
      <c r="B10" s="5945"/>
      <c r="C10" s="4657" t="s">
        <v>1330</v>
      </c>
      <c r="D10" s="4658"/>
      <c r="E10" s="4659"/>
      <c r="F10" s="3932">
        <f t="shared" si="0"/>
        <v>0</v>
      </c>
      <c r="G10" s="4658"/>
      <c r="H10" s="4659">
        <v>1</v>
      </c>
      <c r="I10" s="3932">
        <f t="shared" si="1"/>
        <v>1</v>
      </c>
    </row>
    <row r="11" spans="1:9" ht="15" hidden="1" customHeight="1" x14ac:dyDescent="0.25">
      <c r="A11" s="6000"/>
      <c r="B11" s="5945"/>
      <c r="C11" s="4657" t="s">
        <v>1331</v>
      </c>
      <c r="D11" s="4658"/>
      <c r="E11" s="4660"/>
      <c r="F11" s="3932">
        <f t="shared" si="0"/>
        <v>0</v>
      </c>
      <c r="G11" s="4658"/>
      <c r="H11" s="4660"/>
      <c r="I11" s="3932">
        <f t="shared" si="1"/>
        <v>0</v>
      </c>
    </row>
    <row r="12" spans="1:9" ht="15" hidden="1" customHeight="1" x14ac:dyDescent="0.25">
      <c r="A12" s="6000"/>
      <c r="B12" s="5945"/>
      <c r="C12" s="4657" t="s">
        <v>1332</v>
      </c>
      <c r="D12" s="4658"/>
      <c r="E12" s="4659"/>
      <c r="F12" s="3932">
        <f t="shared" si="0"/>
        <v>0</v>
      </c>
      <c r="G12" s="4658"/>
      <c r="H12" s="4659"/>
      <c r="I12" s="3932">
        <f t="shared" si="1"/>
        <v>0</v>
      </c>
    </row>
    <row r="13" spans="1:9" ht="15" customHeight="1" x14ac:dyDescent="0.25">
      <c r="A13" s="6000"/>
      <c r="B13" s="5945"/>
      <c r="C13" s="4657" t="s">
        <v>1333</v>
      </c>
      <c r="D13" s="4658"/>
      <c r="E13" s="4659"/>
      <c r="F13" s="3932">
        <f t="shared" si="0"/>
        <v>0</v>
      </c>
      <c r="G13" s="4658"/>
      <c r="H13" s="4659">
        <v>1</v>
      </c>
      <c r="I13" s="3932">
        <f t="shared" si="1"/>
        <v>1</v>
      </c>
    </row>
    <row r="14" spans="1:9" ht="15" hidden="1" customHeight="1" x14ac:dyDescent="0.25">
      <c r="A14" s="6000"/>
      <c r="B14" s="5945"/>
      <c r="C14" s="4657" t="s">
        <v>1334</v>
      </c>
      <c r="D14" s="4658"/>
      <c r="E14" s="4660"/>
      <c r="F14" s="3932">
        <f t="shared" si="0"/>
        <v>0</v>
      </c>
      <c r="G14" s="4658"/>
      <c r="H14" s="4660"/>
      <c r="I14" s="3932">
        <f t="shared" si="1"/>
        <v>0</v>
      </c>
    </row>
    <row r="15" spans="1:9" ht="15" customHeight="1" x14ac:dyDescent="0.25">
      <c r="A15" s="6000"/>
      <c r="B15" s="5945" t="s">
        <v>1335</v>
      </c>
      <c r="C15" s="4661"/>
      <c r="D15" s="3938">
        <f>SUM(D5:D14)</f>
        <v>0</v>
      </c>
      <c r="E15" s="3939">
        <f>SUM(E5:E14)</f>
        <v>0</v>
      </c>
      <c r="F15" s="3936">
        <f>D15+E15</f>
        <v>0</v>
      </c>
      <c r="G15" s="3938">
        <f>SUM(G5:G14)</f>
        <v>2</v>
      </c>
      <c r="H15" s="3939">
        <f>SUM(H5:H14)</f>
        <v>7</v>
      </c>
      <c r="I15" s="3936">
        <f>SUM(I5:I14)</f>
        <v>9</v>
      </c>
    </row>
    <row r="16" spans="1:9" ht="15" customHeight="1" x14ac:dyDescent="0.25">
      <c r="A16" s="6000"/>
      <c r="B16" s="5945" t="s">
        <v>6</v>
      </c>
      <c r="C16" s="4657" t="s">
        <v>462</v>
      </c>
      <c r="D16" s="4658"/>
      <c r="E16" s="4662"/>
      <c r="F16" s="3932">
        <v>0</v>
      </c>
      <c r="G16" s="4658">
        <v>2</v>
      </c>
      <c r="H16" s="4662">
        <v>1</v>
      </c>
      <c r="I16" s="3932">
        <f>SUM(G16:H16)</f>
        <v>3</v>
      </c>
    </row>
    <row r="17" spans="1:9" ht="15" hidden="1" customHeight="1" x14ac:dyDescent="0.25">
      <c r="A17" s="6000"/>
      <c r="B17" s="5945"/>
      <c r="C17" s="4657" t="s">
        <v>463</v>
      </c>
      <c r="D17" s="4658"/>
      <c r="E17" s="4662"/>
      <c r="F17" s="3932">
        <v>0</v>
      </c>
      <c r="G17" s="4658"/>
      <c r="H17" s="4662"/>
      <c r="I17" s="3932">
        <f t="shared" ref="I17:I19" si="2">SUM(G17:H17)</f>
        <v>0</v>
      </c>
    </row>
    <row r="18" spans="1:9" ht="15" customHeight="1" x14ac:dyDescent="0.25">
      <c r="A18" s="6000"/>
      <c r="B18" s="5945"/>
      <c r="C18" s="4657" t="s">
        <v>464</v>
      </c>
      <c r="D18" s="4658"/>
      <c r="E18" s="4662"/>
      <c r="F18" s="3932">
        <v>0</v>
      </c>
      <c r="G18" s="4658"/>
      <c r="H18" s="4662">
        <v>1</v>
      </c>
      <c r="I18" s="3932">
        <f t="shared" si="2"/>
        <v>1</v>
      </c>
    </row>
    <row r="19" spans="1:9" ht="15" customHeight="1" x14ac:dyDescent="0.25">
      <c r="A19" s="6000"/>
      <c r="B19" s="5945"/>
      <c r="C19" s="4657" t="s">
        <v>465</v>
      </c>
      <c r="D19" s="4658"/>
      <c r="E19" s="4662"/>
      <c r="F19" s="3932">
        <v>0</v>
      </c>
      <c r="G19" s="4658">
        <v>3</v>
      </c>
      <c r="H19" s="4662">
        <v>5</v>
      </c>
      <c r="I19" s="3932">
        <f t="shared" si="2"/>
        <v>8</v>
      </c>
    </row>
    <row r="20" spans="1:9" ht="15" customHeight="1" x14ac:dyDescent="0.25">
      <c r="A20" s="6000"/>
      <c r="B20" s="5945" t="s">
        <v>1335</v>
      </c>
      <c r="C20" s="4661"/>
      <c r="D20" s="3938">
        <f>SUM(D16:D19)</f>
        <v>0</v>
      </c>
      <c r="E20" s="3939">
        <f>SUM(E16:E19)</f>
        <v>0</v>
      </c>
      <c r="F20" s="3936">
        <f>D20+E20</f>
        <v>0</v>
      </c>
      <c r="G20" s="3938">
        <f>SUM(G16:G19)</f>
        <v>5</v>
      </c>
      <c r="H20" s="3939">
        <f>SUM(H16:H19)</f>
        <v>7</v>
      </c>
      <c r="I20" s="3936">
        <f>SUM(I16:I19)</f>
        <v>12</v>
      </c>
    </row>
    <row r="21" spans="1:9" ht="15" hidden="1" customHeight="1" x14ac:dyDescent="0.25">
      <c r="A21" s="6000"/>
      <c r="B21" s="5945" t="s">
        <v>7</v>
      </c>
      <c r="C21" s="4657" t="s">
        <v>466</v>
      </c>
      <c r="D21" s="4658"/>
      <c r="E21" s="4662"/>
      <c r="F21" s="3932">
        <f t="shared" ref="F21:F23" si="3">SUM(D21:E21)</f>
        <v>0</v>
      </c>
      <c r="G21" s="4658"/>
      <c r="H21" s="4662"/>
      <c r="I21" s="3932"/>
    </row>
    <row r="22" spans="1:9" x14ac:dyDescent="0.25">
      <c r="A22" s="6000"/>
      <c r="B22" s="5945"/>
      <c r="C22" s="4657" t="s">
        <v>467</v>
      </c>
      <c r="D22" s="4658">
        <v>1</v>
      </c>
      <c r="E22" s="4662"/>
      <c r="F22" s="3932">
        <f t="shared" si="3"/>
        <v>1</v>
      </c>
      <c r="G22" s="4658"/>
      <c r="H22" s="4662"/>
      <c r="I22" s="3932">
        <f>SUM(G22:H22)</f>
        <v>0</v>
      </c>
    </row>
    <row r="23" spans="1:9" ht="15" customHeight="1" x14ac:dyDescent="0.25">
      <c r="A23" s="6000"/>
      <c r="B23" s="5945"/>
      <c r="C23" s="4657" t="s">
        <v>468</v>
      </c>
      <c r="D23" s="4658"/>
      <c r="E23" s="4662"/>
      <c r="F23" s="3932">
        <f t="shared" si="3"/>
        <v>0</v>
      </c>
      <c r="G23" s="4658"/>
      <c r="H23" s="4662">
        <v>1</v>
      </c>
      <c r="I23" s="3932">
        <f>SUM(G23:H23)</f>
        <v>1</v>
      </c>
    </row>
    <row r="24" spans="1:9" x14ac:dyDescent="0.25">
      <c r="A24" s="6000"/>
      <c r="B24" s="5945" t="s">
        <v>1335</v>
      </c>
      <c r="C24" s="4661" t="s">
        <v>160</v>
      </c>
      <c r="D24" s="3940">
        <f>SUM(D21:D23)</f>
        <v>1</v>
      </c>
      <c r="E24" s="3941">
        <f>SUM(E21:E23)</f>
        <v>0</v>
      </c>
      <c r="F24" s="3937">
        <f>D24+E24</f>
        <v>1</v>
      </c>
      <c r="G24" s="3938">
        <f>SUM(G21:G23)</f>
        <v>0</v>
      </c>
      <c r="H24" s="3939">
        <f t="shared" ref="H24:I24" si="4">SUM(H21:H23)</f>
        <v>1</v>
      </c>
      <c r="I24" s="3936">
        <f t="shared" si="4"/>
        <v>1</v>
      </c>
    </row>
    <row r="25" spans="1:9" ht="15.75" customHeight="1" x14ac:dyDescent="0.25">
      <c r="A25" s="6001"/>
      <c r="B25" s="6002" t="s">
        <v>450</v>
      </c>
      <c r="C25" s="6003"/>
      <c r="D25" s="4663">
        <f>D24+D20+D15</f>
        <v>1</v>
      </c>
      <c r="E25" s="4664">
        <f>E24+E20+E15</f>
        <v>0</v>
      </c>
      <c r="F25" s="4665">
        <f>F24+F20+F15</f>
        <v>1</v>
      </c>
      <c r="G25" s="4663">
        <f>SUM(G15,G20,G24)</f>
        <v>7</v>
      </c>
      <c r="H25" s="4974">
        <f t="shared" ref="H25:I25" si="5">SUM(H15,H20,H24)</f>
        <v>15</v>
      </c>
      <c r="I25" s="4665">
        <f t="shared" si="5"/>
        <v>22</v>
      </c>
    </row>
    <row r="26" spans="1:9" x14ac:dyDescent="0.25">
      <c r="A26" s="6009" t="s">
        <v>410</v>
      </c>
      <c r="B26" s="5945" t="s">
        <v>9</v>
      </c>
      <c r="C26" s="4666" t="s">
        <v>505</v>
      </c>
      <c r="D26" s="4667">
        <v>4</v>
      </c>
      <c r="E26" s="4668">
        <v>2</v>
      </c>
      <c r="F26" s="3947">
        <f t="shared" ref="F26:F28" si="6">SUM(D26:E26)</f>
        <v>6</v>
      </c>
      <c r="G26" s="4667">
        <v>6</v>
      </c>
      <c r="H26" s="4668">
        <v>4</v>
      </c>
      <c r="I26" s="3947">
        <f>SUM(G26:H26)</f>
        <v>10</v>
      </c>
    </row>
    <row r="27" spans="1:9" x14ac:dyDescent="0.25">
      <c r="A27" s="6009"/>
      <c r="B27" s="5945"/>
      <c r="C27" s="4657" t="s">
        <v>503</v>
      </c>
      <c r="D27" s="4658"/>
      <c r="E27" s="4662">
        <v>1</v>
      </c>
      <c r="F27" s="3932">
        <f t="shared" si="6"/>
        <v>1</v>
      </c>
      <c r="G27" s="4658">
        <v>4</v>
      </c>
      <c r="H27" s="4662">
        <v>6</v>
      </c>
      <c r="I27" s="3932">
        <f t="shared" ref="I27:I33" si="7">SUM(G27:H27)</f>
        <v>10</v>
      </c>
    </row>
    <row r="28" spans="1:9" ht="15" customHeight="1" x14ac:dyDescent="0.25">
      <c r="A28" s="6009"/>
      <c r="B28" s="5945"/>
      <c r="C28" s="4657" t="s">
        <v>504</v>
      </c>
      <c r="D28" s="4658">
        <v>0</v>
      </c>
      <c r="E28" s="4662">
        <v>0</v>
      </c>
      <c r="F28" s="3932">
        <f t="shared" si="6"/>
        <v>0</v>
      </c>
      <c r="G28" s="4658">
        <v>1</v>
      </c>
      <c r="H28" s="4662">
        <v>2</v>
      </c>
      <c r="I28" s="3932">
        <f t="shared" si="7"/>
        <v>3</v>
      </c>
    </row>
    <row r="29" spans="1:9" x14ac:dyDescent="0.25">
      <c r="A29" s="6009"/>
      <c r="B29" s="5945" t="s">
        <v>1335</v>
      </c>
      <c r="C29" s="4661" t="s">
        <v>160</v>
      </c>
      <c r="D29" s="3938">
        <f t="shared" ref="D29:E29" si="8">SUM(D26:D28)</f>
        <v>4</v>
      </c>
      <c r="E29" s="3939">
        <f t="shared" si="8"/>
        <v>3</v>
      </c>
      <c r="F29" s="3936">
        <f>D29+E29</f>
        <v>7</v>
      </c>
      <c r="G29" s="3938">
        <f>SUM(G26:G28)</f>
        <v>11</v>
      </c>
      <c r="H29" s="3939">
        <f>SUM(H26:H28)</f>
        <v>12</v>
      </c>
      <c r="I29" s="3936">
        <f t="shared" si="7"/>
        <v>23</v>
      </c>
    </row>
    <row r="30" spans="1:9" x14ac:dyDescent="0.25">
      <c r="A30" s="6009"/>
      <c r="B30" s="5945" t="s">
        <v>74</v>
      </c>
      <c r="C30" s="4657" t="s">
        <v>1337</v>
      </c>
      <c r="D30" s="4658">
        <v>1</v>
      </c>
      <c r="E30" s="4669"/>
      <c r="F30" s="3932">
        <f t="shared" ref="F30:F33" si="9">SUM(D30:E30)</f>
        <v>1</v>
      </c>
      <c r="G30" s="4658">
        <v>1</v>
      </c>
      <c r="H30" s="4669">
        <v>1</v>
      </c>
      <c r="I30" s="3932">
        <f t="shared" si="7"/>
        <v>2</v>
      </c>
    </row>
    <row r="31" spans="1:9" x14ac:dyDescent="0.25">
      <c r="A31" s="6009"/>
      <c r="B31" s="5945"/>
      <c r="C31" s="4657" t="s">
        <v>508</v>
      </c>
      <c r="D31" s="4658">
        <v>1</v>
      </c>
      <c r="E31" s="4662">
        <v>1</v>
      </c>
      <c r="F31" s="3932">
        <f t="shared" si="9"/>
        <v>2</v>
      </c>
      <c r="G31" s="4658">
        <v>2</v>
      </c>
      <c r="H31" s="4662">
        <v>1</v>
      </c>
      <c r="I31" s="3932">
        <f t="shared" si="7"/>
        <v>3</v>
      </c>
    </row>
    <row r="32" spans="1:9" x14ac:dyDescent="0.25">
      <c r="A32" s="6009"/>
      <c r="B32" s="5945"/>
      <c r="C32" s="4657" t="s">
        <v>518</v>
      </c>
      <c r="D32" s="4658">
        <v>2</v>
      </c>
      <c r="E32" s="4662">
        <v>2</v>
      </c>
      <c r="F32" s="3932">
        <f t="shared" si="9"/>
        <v>4</v>
      </c>
      <c r="G32" s="4658"/>
      <c r="H32" s="4662">
        <v>5</v>
      </c>
      <c r="I32" s="3932">
        <f t="shared" si="7"/>
        <v>5</v>
      </c>
    </row>
    <row r="33" spans="1:9" ht="15" customHeight="1" x14ac:dyDescent="0.25">
      <c r="A33" s="6009"/>
      <c r="B33" s="5945"/>
      <c r="C33" s="4657" t="s">
        <v>506</v>
      </c>
      <c r="D33" s="4658">
        <v>0</v>
      </c>
      <c r="E33" s="4669">
        <v>0</v>
      </c>
      <c r="F33" s="3932">
        <f t="shared" si="9"/>
        <v>0</v>
      </c>
      <c r="G33" s="4658">
        <v>4</v>
      </c>
      <c r="H33" s="4669">
        <v>1</v>
      </c>
      <c r="I33" s="3932">
        <f t="shared" si="7"/>
        <v>5</v>
      </c>
    </row>
    <row r="34" spans="1:9" x14ac:dyDescent="0.25">
      <c r="A34" s="6009"/>
      <c r="B34" s="5945" t="s">
        <v>1335</v>
      </c>
      <c r="C34" s="4661" t="s">
        <v>160</v>
      </c>
      <c r="D34" s="3938">
        <f t="shared" ref="D34:E34" si="10">SUM(D30:D33)</f>
        <v>4</v>
      </c>
      <c r="E34" s="3939">
        <f t="shared" si="10"/>
        <v>3</v>
      </c>
      <c r="F34" s="3936">
        <f>D34+E34</f>
        <v>7</v>
      </c>
      <c r="G34" s="3938">
        <f>SUM(G30:G33)</f>
        <v>7</v>
      </c>
      <c r="H34" s="3939">
        <f t="shared" ref="H34:I34" si="11">SUM(H30:H33)</f>
        <v>8</v>
      </c>
      <c r="I34" s="3936">
        <f t="shared" si="11"/>
        <v>15</v>
      </c>
    </row>
    <row r="35" spans="1:9" x14ac:dyDescent="0.25">
      <c r="A35" s="6009"/>
      <c r="B35" s="5945" t="s">
        <v>6</v>
      </c>
      <c r="C35" s="4657" t="s">
        <v>462</v>
      </c>
      <c r="D35" s="4658">
        <v>3</v>
      </c>
      <c r="E35" s="4662">
        <v>1</v>
      </c>
      <c r="F35" s="3932">
        <f t="shared" ref="F35:F37" si="12">SUM(D35:E35)</f>
        <v>4</v>
      </c>
      <c r="G35" s="4658">
        <v>4</v>
      </c>
      <c r="H35" s="4662">
        <v>4</v>
      </c>
      <c r="I35" s="3932">
        <f>SUM(G35:H35)</f>
        <v>8</v>
      </c>
    </row>
    <row r="36" spans="1:9" x14ac:dyDescent="0.25">
      <c r="A36" s="6009"/>
      <c r="B36" s="5945"/>
      <c r="C36" s="4657" t="s">
        <v>502</v>
      </c>
      <c r="D36" s="4658">
        <v>1</v>
      </c>
      <c r="E36" s="4662">
        <v>1</v>
      </c>
      <c r="F36" s="3932">
        <f t="shared" si="12"/>
        <v>2</v>
      </c>
      <c r="G36" s="4658">
        <v>2</v>
      </c>
      <c r="H36" s="4662"/>
      <c r="I36" s="3932">
        <f t="shared" ref="I36:I37" si="13">SUM(G36:H36)</f>
        <v>2</v>
      </c>
    </row>
    <row r="37" spans="1:9" x14ac:dyDescent="0.25">
      <c r="A37" s="6009"/>
      <c r="B37" s="5945"/>
      <c r="C37" s="4657" t="s">
        <v>501</v>
      </c>
      <c r="D37" s="4658">
        <v>1</v>
      </c>
      <c r="E37" s="4662">
        <v>1</v>
      </c>
      <c r="F37" s="3932">
        <f t="shared" si="12"/>
        <v>2</v>
      </c>
      <c r="G37" s="4658">
        <v>1</v>
      </c>
      <c r="H37" s="4662"/>
      <c r="I37" s="3932">
        <f t="shared" si="13"/>
        <v>1</v>
      </c>
    </row>
    <row r="38" spans="1:9" x14ac:dyDescent="0.25">
      <c r="A38" s="6009"/>
      <c r="B38" s="5950" t="s">
        <v>1335</v>
      </c>
      <c r="C38" s="4661" t="s">
        <v>160</v>
      </c>
      <c r="D38" s="3940">
        <f t="shared" ref="D38:E38" si="14">SUM(D35:D37)</f>
        <v>5</v>
      </c>
      <c r="E38" s="3941">
        <f t="shared" si="14"/>
        <v>3</v>
      </c>
      <c r="F38" s="3937">
        <f>D38+E38</f>
        <v>8</v>
      </c>
      <c r="G38" s="3940">
        <f>SUM(G35:G37)</f>
        <v>7</v>
      </c>
      <c r="H38" s="3941">
        <f t="shared" ref="H38:I38" si="15">SUM(H35:H37)</f>
        <v>4</v>
      </c>
      <c r="I38" s="3937">
        <f t="shared" si="15"/>
        <v>11</v>
      </c>
    </row>
    <row r="39" spans="1:9" x14ac:dyDescent="0.25">
      <c r="A39" s="6010"/>
      <c r="B39" s="6011" t="s">
        <v>450</v>
      </c>
      <c r="C39" s="6012"/>
      <c r="D39" s="4670">
        <f t="shared" ref="D39:I39" si="16">D38+D34+D29</f>
        <v>13</v>
      </c>
      <c r="E39" s="4671">
        <f t="shared" si="16"/>
        <v>9</v>
      </c>
      <c r="F39" s="4672">
        <f t="shared" si="16"/>
        <v>22</v>
      </c>
      <c r="G39" s="4670">
        <f t="shared" si="16"/>
        <v>25</v>
      </c>
      <c r="H39" s="4975">
        <f t="shared" si="16"/>
        <v>24</v>
      </c>
      <c r="I39" s="4672">
        <f t="shared" si="16"/>
        <v>49</v>
      </c>
    </row>
    <row r="40" spans="1:9" ht="15" hidden="1" customHeight="1" x14ac:dyDescent="0.25">
      <c r="A40" s="6004" t="s">
        <v>162</v>
      </c>
      <c r="B40" s="5950" t="s">
        <v>5</v>
      </c>
      <c r="C40" s="4666" t="s">
        <v>475</v>
      </c>
      <c r="D40" s="4667"/>
      <c r="E40" s="4668"/>
      <c r="F40" s="3947">
        <f t="shared" ref="F40:F48" si="17">SUM(D40:E40)</f>
        <v>0</v>
      </c>
      <c r="G40" s="4667"/>
      <c r="H40" s="4668"/>
      <c r="I40" s="3947"/>
    </row>
    <row r="41" spans="1:9" ht="15" customHeight="1" x14ac:dyDescent="0.25">
      <c r="A41" s="6005"/>
      <c r="B41" s="5967"/>
      <c r="C41" s="4657" t="s">
        <v>472</v>
      </c>
      <c r="D41" s="4658"/>
      <c r="E41" s="4662"/>
      <c r="F41" s="3932">
        <f t="shared" si="17"/>
        <v>0</v>
      </c>
      <c r="G41" s="4658"/>
      <c r="H41" s="4662">
        <v>1</v>
      </c>
      <c r="I41" s="3932">
        <f>SUM(G41:H41)</f>
        <v>1</v>
      </c>
    </row>
    <row r="42" spans="1:9" ht="15" hidden="1" customHeight="1" x14ac:dyDescent="0.25">
      <c r="A42" s="6005"/>
      <c r="B42" s="5967"/>
      <c r="C42" s="4657" t="s">
        <v>1338</v>
      </c>
      <c r="D42" s="4658"/>
      <c r="E42" s="4662"/>
      <c r="F42" s="3932">
        <f t="shared" si="17"/>
        <v>0</v>
      </c>
      <c r="G42" s="4658"/>
      <c r="H42" s="4662"/>
      <c r="I42" s="3932"/>
    </row>
    <row r="43" spans="1:9" ht="15" hidden="1" customHeight="1" x14ac:dyDescent="0.25">
      <c r="A43" s="6005"/>
      <c r="B43" s="5967"/>
      <c r="C43" s="4657" t="s">
        <v>1329</v>
      </c>
      <c r="D43" s="4658"/>
      <c r="E43" s="4662"/>
      <c r="F43" s="3932">
        <f t="shared" si="17"/>
        <v>0</v>
      </c>
      <c r="G43" s="4658"/>
      <c r="H43" s="4662"/>
      <c r="I43" s="3932"/>
    </row>
    <row r="44" spans="1:9" ht="15" hidden="1" customHeight="1" x14ac:dyDescent="0.25">
      <c r="A44" s="6005"/>
      <c r="B44" s="5967"/>
      <c r="C44" s="4657" t="s">
        <v>1339</v>
      </c>
      <c r="D44" s="4658"/>
      <c r="E44" s="4662"/>
      <c r="F44" s="3932">
        <f t="shared" si="17"/>
        <v>0</v>
      </c>
      <c r="G44" s="4658"/>
      <c r="H44" s="4662"/>
      <c r="I44" s="3932"/>
    </row>
    <row r="45" spans="1:9" ht="15" hidden="1" customHeight="1" x14ac:dyDescent="0.25">
      <c r="A45" s="6005"/>
      <c r="B45" s="5967"/>
      <c r="C45" s="4657" t="s">
        <v>1340</v>
      </c>
      <c r="D45" s="4658"/>
      <c r="E45" s="4669"/>
      <c r="F45" s="3932">
        <f t="shared" si="17"/>
        <v>0</v>
      </c>
      <c r="G45" s="4658"/>
      <c r="H45" s="4669"/>
      <c r="I45" s="3932"/>
    </row>
    <row r="46" spans="1:9" ht="15" hidden="1" customHeight="1" x14ac:dyDescent="0.25">
      <c r="A46" s="6005"/>
      <c r="B46" s="5967"/>
      <c r="C46" s="4657" t="s">
        <v>1334</v>
      </c>
      <c r="D46" s="4658"/>
      <c r="E46" s="4662"/>
      <c r="F46" s="3932">
        <f t="shared" si="17"/>
        <v>0</v>
      </c>
      <c r="G46" s="4658"/>
      <c r="H46" s="4662"/>
      <c r="I46" s="3932"/>
    </row>
    <row r="47" spans="1:9" ht="15" hidden="1" customHeight="1" x14ac:dyDescent="0.25">
      <c r="A47" s="6005"/>
      <c r="B47" s="5967"/>
      <c r="C47" s="4657" t="s">
        <v>473</v>
      </c>
      <c r="D47" s="4658"/>
      <c r="E47" s="4669"/>
      <c r="F47" s="3932">
        <f t="shared" si="17"/>
        <v>0</v>
      </c>
      <c r="G47" s="4658"/>
      <c r="H47" s="4669"/>
      <c r="I47" s="3932"/>
    </row>
    <row r="48" spans="1:9" ht="15" hidden="1" customHeight="1" x14ac:dyDescent="0.25">
      <c r="A48" s="6005"/>
      <c r="B48" s="5967"/>
      <c r="C48" s="4657" t="s">
        <v>474</v>
      </c>
      <c r="D48" s="4658"/>
      <c r="E48" s="4669"/>
      <c r="F48" s="3932">
        <f t="shared" si="17"/>
        <v>0</v>
      </c>
      <c r="G48" s="4658"/>
      <c r="H48" s="4669"/>
      <c r="I48" s="3932"/>
    </row>
    <row r="49" spans="1:9" ht="15" customHeight="1" x14ac:dyDescent="0.25">
      <c r="A49" s="6005"/>
      <c r="B49" s="5944" t="s">
        <v>1335</v>
      </c>
      <c r="C49" s="4661"/>
      <c r="D49" s="3938">
        <f t="shared" ref="D49:E49" si="18">SUM(D40:D48)</f>
        <v>0</v>
      </c>
      <c r="E49" s="3939">
        <f t="shared" si="18"/>
        <v>0</v>
      </c>
      <c r="F49" s="3936">
        <f>D49+E49</f>
        <v>0</v>
      </c>
      <c r="G49" s="3938">
        <f>SUM(G41)</f>
        <v>0</v>
      </c>
      <c r="H49" s="3939">
        <f t="shared" ref="H49:I49" si="19">SUM(H41)</f>
        <v>1</v>
      </c>
      <c r="I49" s="3936">
        <f t="shared" si="19"/>
        <v>1</v>
      </c>
    </row>
    <row r="50" spans="1:9" ht="15" hidden="1" customHeight="1" x14ac:dyDescent="0.25">
      <c r="A50" s="6005"/>
      <c r="B50" s="5950" t="s">
        <v>6</v>
      </c>
      <c r="C50" s="4657" t="s">
        <v>462</v>
      </c>
      <c r="D50" s="4658"/>
      <c r="E50" s="4662"/>
      <c r="F50" s="3932">
        <f t="shared" ref="F50:F60" si="20">SUM(D50:E50)</f>
        <v>0</v>
      </c>
      <c r="G50" s="4658"/>
      <c r="H50" s="4662"/>
      <c r="I50" s="3932"/>
    </row>
    <row r="51" spans="1:9" ht="15" hidden="1" customHeight="1" x14ac:dyDescent="0.25">
      <c r="A51" s="6005"/>
      <c r="B51" s="5967"/>
      <c r="C51" s="4657" t="s">
        <v>476</v>
      </c>
      <c r="D51" s="4658"/>
      <c r="E51" s="4662"/>
      <c r="F51" s="3932">
        <f t="shared" si="20"/>
        <v>0</v>
      </c>
      <c r="G51" s="4658"/>
      <c r="H51" s="4662"/>
      <c r="I51" s="3932"/>
    </row>
    <row r="52" spans="1:9" ht="15" customHeight="1" x14ac:dyDescent="0.25">
      <c r="A52" s="6005"/>
      <c r="B52" s="5967"/>
      <c r="C52" s="4657" t="s">
        <v>481</v>
      </c>
      <c r="D52" s="4658"/>
      <c r="E52" s="4662"/>
      <c r="F52" s="3932">
        <f t="shared" si="20"/>
        <v>0</v>
      </c>
      <c r="G52" s="4658">
        <v>2</v>
      </c>
      <c r="H52" s="4662">
        <v>3</v>
      </c>
      <c r="I52" s="3932">
        <f>SUM(G52:H52)</f>
        <v>5</v>
      </c>
    </row>
    <row r="53" spans="1:9" ht="15" hidden="1" customHeight="1" x14ac:dyDescent="0.25">
      <c r="A53" s="6005"/>
      <c r="B53" s="5967"/>
      <c r="C53" s="4657" t="s">
        <v>464</v>
      </c>
      <c r="D53" s="4658"/>
      <c r="E53" s="4662"/>
      <c r="F53" s="3932">
        <f t="shared" si="20"/>
        <v>0</v>
      </c>
      <c r="G53" s="4658"/>
      <c r="H53" s="4662"/>
      <c r="I53" s="3932">
        <f t="shared" ref="I53:I60" si="21">SUM(G53:H53)</f>
        <v>0</v>
      </c>
    </row>
    <row r="54" spans="1:9" ht="15" hidden="1" customHeight="1" x14ac:dyDescent="0.25">
      <c r="A54" s="6005"/>
      <c r="B54" s="5967"/>
      <c r="C54" s="4657" t="s">
        <v>478</v>
      </c>
      <c r="D54" s="4658"/>
      <c r="E54" s="4662"/>
      <c r="F54" s="3932">
        <f t="shared" si="20"/>
        <v>0</v>
      </c>
      <c r="G54" s="4658"/>
      <c r="H54" s="4662"/>
      <c r="I54" s="3932">
        <f t="shared" si="21"/>
        <v>0</v>
      </c>
    </row>
    <row r="55" spans="1:9" ht="15" hidden="1" customHeight="1" x14ac:dyDescent="0.25">
      <c r="A55" s="6005"/>
      <c r="B55" s="5967"/>
      <c r="C55" s="4657" t="s">
        <v>483</v>
      </c>
      <c r="D55" s="4658"/>
      <c r="E55" s="4669"/>
      <c r="F55" s="3932">
        <f t="shared" si="20"/>
        <v>0</v>
      </c>
      <c r="G55" s="4658"/>
      <c r="H55" s="4669"/>
      <c r="I55" s="3932">
        <f t="shared" si="21"/>
        <v>0</v>
      </c>
    </row>
    <row r="56" spans="1:9" ht="15" hidden="1" customHeight="1" x14ac:dyDescent="0.25">
      <c r="A56" s="6005"/>
      <c r="B56" s="5967"/>
      <c r="C56" s="4657" t="s">
        <v>479</v>
      </c>
      <c r="D56" s="4658"/>
      <c r="E56" s="4662"/>
      <c r="F56" s="3932">
        <f t="shared" si="20"/>
        <v>0</v>
      </c>
      <c r="G56" s="4658"/>
      <c r="H56" s="4662"/>
      <c r="I56" s="3932">
        <f t="shared" si="21"/>
        <v>0</v>
      </c>
    </row>
    <row r="57" spans="1:9" ht="15" hidden="1" customHeight="1" x14ac:dyDescent="0.25">
      <c r="A57" s="6005"/>
      <c r="B57" s="5967"/>
      <c r="C57" s="4657" t="s">
        <v>477</v>
      </c>
      <c r="D57" s="4658"/>
      <c r="E57" s="4662"/>
      <c r="F57" s="3932">
        <f t="shared" si="20"/>
        <v>0</v>
      </c>
      <c r="G57" s="4658"/>
      <c r="H57" s="4662"/>
      <c r="I57" s="3932">
        <f t="shared" si="21"/>
        <v>0</v>
      </c>
    </row>
    <row r="58" spans="1:9" ht="15" hidden="1" customHeight="1" x14ac:dyDescent="0.25">
      <c r="A58" s="6005"/>
      <c r="B58" s="5967"/>
      <c r="C58" s="4657" t="s">
        <v>480</v>
      </c>
      <c r="D58" s="4658"/>
      <c r="E58" s="4662"/>
      <c r="F58" s="3932">
        <f t="shared" si="20"/>
        <v>0</v>
      </c>
      <c r="G58" s="4658"/>
      <c r="H58" s="4662"/>
      <c r="I58" s="3932">
        <f t="shared" si="21"/>
        <v>0</v>
      </c>
    </row>
    <row r="59" spans="1:9" x14ac:dyDescent="0.25">
      <c r="A59" s="6005"/>
      <c r="B59" s="5967"/>
      <c r="C59" s="4657" t="s">
        <v>482</v>
      </c>
      <c r="D59" s="4658">
        <v>1</v>
      </c>
      <c r="E59" s="4662"/>
      <c r="F59" s="3932">
        <f t="shared" si="20"/>
        <v>1</v>
      </c>
      <c r="G59" s="4658"/>
      <c r="H59" s="4662"/>
      <c r="I59" s="3932">
        <f t="shared" si="21"/>
        <v>0</v>
      </c>
    </row>
    <row r="60" spans="1:9" ht="15" customHeight="1" x14ac:dyDescent="0.25">
      <c r="A60" s="6005"/>
      <c r="B60" s="5967"/>
      <c r="C60" s="4657" t="s">
        <v>465</v>
      </c>
      <c r="D60" s="4658"/>
      <c r="E60" s="4662"/>
      <c r="F60" s="3932">
        <f t="shared" si="20"/>
        <v>0</v>
      </c>
      <c r="G60" s="4658"/>
      <c r="H60" s="4662">
        <v>2</v>
      </c>
      <c r="I60" s="3932">
        <f t="shared" si="21"/>
        <v>2</v>
      </c>
    </row>
    <row r="61" spans="1:9" x14ac:dyDescent="0.25">
      <c r="A61" s="6005"/>
      <c r="B61" s="5944" t="s">
        <v>1335</v>
      </c>
      <c r="C61" s="4661" t="s">
        <v>160</v>
      </c>
      <c r="D61" s="3938">
        <f>SUM(D50:D60)</f>
        <v>1</v>
      </c>
      <c r="E61" s="3939">
        <f>SUM(E50:E60)</f>
        <v>0</v>
      </c>
      <c r="F61" s="3936">
        <f>D61+E61</f>
        <v>1</v>
      </c>
      <c r="G61" s="3938">
        <f>SUM(G52:G60)</f>
        <v>2</v>
      </c>
      <c r="H61" s="3939">
        <f t="shared" ref="H61:I61" si="22">SUM(H52:H60)</f>
        <v>5</v>
      </c>
      <c r="I61" s="3936">
        <f t="shared" si="22"/>
        <v>7</v>
      </c>
    </row>
    <row r="62" spans="1:9" ht="15" hidden="1" customHeight="1" x14ac:dyDescent="0.25">
      <c r="A62" s="6005"/>
      <c r="B62" s="5950" t="s">
        <v>11</v>
      </c>
      <c r="C62" s="4657" t="s">
        <v>484</v>
      </c>
      <c r="D62" s="4658"/>
      <c r="E62" s="4662"/>
      <c r="F62" s="3932">
        <f t="shared" ref="F62:F67" si="23">SUM(D62:E62)</f>
        <v>0</v>
      </c>
      <c r="G62" s="4658"/>
      <c r="H62" s="4662"/>
      <c r="I62" s="3932"/>
    </row>
    <row r="63" spans="1:9" x14ac:dyDescent="0.25">
      <c r="A63" s="6005"/>
      <c r="B63" s="5967"/>
      <c r="C63" s="4657" t="s">
        <v>485</v>
      </c>
      <c r="D63" s="4658"/>
      <c r="E63" s="4662">
        <v>1</v>
      </c>
      <c r="F63" s="3932">
        <f t="shared" si="23"/>
        <v>1</v>
      </c>
      <c r="G63" s="4658"/>
      <c r="H63" s="4662">
        <v>1</v>
      </c>
      <c r="I63" s="3932">
        <f>SUM(G63:H63)</f>
        <v>1</v>
      </c>
    </row>
    <row r="64" spans="1:9" x14ac:dyDescent="0.25">
      <c r="A64" s="6005"/>
      <c r="B64" s="5967"/>
      <c r="C64" s="4657" t="s">
        <v>486</v>
      </c>
      <c r="D64" s="4658">
        <v>1</v>
      </c>
      <c r="E64" s="4662">
        <v>1</v>
      </c>
      <c r="F64" s="3932">
        <f t="shared" si="23"/>
        <v>2</v>
      </c>
      <c r="G64" s="4658">
        <v>3</v>
      </c>
      <c r="H64" s="4662">
        <v>1</v>
      </c>
      <c r="I64" s="3932">
        <f t="shared" ref="I64:I65" si="24">SUM(G64:H64)</f>
        <v>4</v>
      </c>
    </row>
    <row r="65" spans="1:9" ht="15" customHeight="1" x14ac:dyDescent="0.25">
      <c r="A65" s="6005"/>
      <c r="B65" s="5967"/>
      <c r="C65" s="4657" t="s">
        <v>520</v>
      </c>
      <c r="D65" s="4658"/>
      <c r="E65" s="4662"/>
      <c r="F65" s="3932">
        <f t="shared" si="23"/>
        <v>0</v>
      </c>
      <c r="G65" s="4658">
        <v>1</v>
      </c>
      <c r="H65" s="4662"/>
      <c r="I65" s="3932">
        <f t="shared" si="24"/>
        <v>1</v>
      </c>
    </row>
    <row r="66" spans="1:9" ht="15" hidden="1" customHeight="1" x14ac:dyDescent="0.25">
      <c r="A66" s="6005"/>
      <c r="B66" s="5967"/>
      <c r="C66" s="4657" t="s">
        <v>1341</v>
      </c>
      <c r="D66" s="4658"/>
      <c r="E66" s="4662"/>
      <c r="F66" s="3932">
        <f t="shared" si="23"/>
        <v>0</v>
      </c>
      <c r="G66" s="4658"/>
      <c r="H66" s="4662"/>
      <c r="I66" s="3932"/>
    </row>
    <row r="67" spans="1:9" ht="15" hidden="1" customHeight="1" x14ac:dyDescent="0.25">
      <c r="A67" s="6005"/>
      <c r="B67" s="5967"/>
      <c r="C67" s="4657" t="s">
        <v>487</v>
      </c>
      <c r="D67" s="4658"/>
      <c r="E67" s="4662"/>
      <c r="F67" s="3932">
        <f t="shared" si="23"/>
        <v>0</v>
      </c>
      <c r="G67" s="4658"/>
      <c r="H67" s="4662"/>
      <c r="I67" s="3932"/>
    </row>
    <row r="68" spans="1:9" x14ac:dyDescent="0.25">
      <c r="A68" s="6005"/>
      <c r="B68" s="5944" t="s">
        <v>1335</v>
      </c>
      <c r="C68" s="4661" t="s">
        <v>160</v>
      </c>
      <c r="D68" s="3940">
        <f t="shared" ref="D68:F68" si="25">SUM(D62:D67)</f>
        <v>1</v>
      </c>
      <c r="E68" s="3941">
        <f t="shared" si="25"/>
        <v>2</v>
      </c>
      <c r="F68" s="3937">
        <f t="shared" si="25"/>
        <v>3</v>
      </c>
      <c r="G68" s="3940">
        <f>SUM(G63:G65)</f>
        <v>4</v>
      </c>
      <c r="H68" s="3941">
        <f t="shared" ref="H68:I68" si="26">SUM(H63:H65)</f>
        <v>2</v>
      </c>
      <c r="I68" s="3937">
        <f t="shared" si="26"/>
        <v>6</v>
      </c>
    </row>
    <row r="69" spans="1:9" x14ac:dyDescent="0.25">
      <c r="A69" s="6006"/>
      <c r="B69" s="6007" t="s">
        <v>450</v>
      </c>
      <c r="C69" s="6008"/>
      <c r="D69" s="4674">
        <f t="shared" ref="D69:F69" si="27">D68+D61+D49</f>
        <v>2</v>
      </c>
      <c r="E69" s="4675">
        <f t="shared" si="27"/>
        <v>2</v>
      </c>
      <c r="F69" s="4676">
        <f t="shared" si="27"/>
        <v>4</v>
      </c>
      <c r="G69" s="4674">
        <f>SUM(G49,G61,G68)</f>
        <v>6</v>
      </c>
      <c r="H69" s="4968">
        <f t="shared" ref="H69:I69" si="28">SUM(H49,H61,H68)</f>
        <v>8</v>
      </c>
      <c r="I69" s="4676">
        <f t="shared" si="28"/>
        <v>14</v>
      </c>
    </row>
    <row r="70" spans="1:9" x14ac:dyDescent="0.25">
      <c r="A70" s="6013" t="s">
        <v>411</v>
      </c>
      <c r="B70" s="5945" t="s">
        <v>11</v>
      </c>
      <c r="C70" s="4666" t="s">
        <v>511</v>
      </c>
      <c r="D70" s="4667">
        <v>5</v>
      </c>
      <c r="E70" s="4668"/>
      <c r="F70" s="3947">
        <f t="shared" ref="F70" si="29">SUM(D70:E70)</f>
        <v>5</v>
      </c>
      <c r="G70" s="4667">
        <v>3</v>
      </c>
      <c r="H70" s="4668"/>
      <c r="I70" s="3947">
        <f>SUM(G70:H70)</f>
        <v>3</v>
      </c>
    </row>
    <row r="71" spans="1:9" x14ac:dyDescent="0.25">
      <c r="A71" s="6014"/>
      <c r="B71" s="5945" t="s">
        <v>1335</v>
      </c>
      <c r="C71" s="4661" t="s">
        <v>160</v>
      </c>
      <c r="D71" s="3938">
        <f t="shared" ref="D71:F71" si="30">D70</f>
        <v>5</v>
      </c>
      <c r="E71" s="3939">
        <f t="shared" si="30"/>
        <v>0</v>
      </c>
      <c r="F71" s="3936">
        <f t="shared" si="30"/>
        <v>5</v>
      </c>
      <c r="G71" s="3938">
        <f>SUM(G70)</f>
        <v>3</v>
      </c>
      <c r="H71" s="3939">
        <f>SUM(H70)</f>
        <v>0</v>
      </c>
      <c r="I71" s="3936">
        <f>SUM(I70)</f>
        <v>3</v>
      </c>
    </row>
    <row r="72" spans="1:9" ht="15" customHeight="1" x14ac:dyDescent="0.25">
      <c r="A72" s="6014"/>
      <c r="B72" s="5945" t="s">
        <v>5</v>
      </c>
      <c r="C72" s="4657" t="s">
        <v>1342</v>
      </c>
      <c r="D72" s="4658">
        <v>0</v>
      </c>
      <c r="E72" s="4662">
        <v>0</v>
      </c>
      <c r="F72" s="3932">
        <f t="shared" ref="F72" si="31">SUM(D72:E72)</f>
        <v>0</v>
      </c>
      <c r="G72" s="4658">
        <v>1</v>
      </c>
      <c r="H72" s="4662">
        <v>3</v>
      </c>
      <c r="I72" s="3932">
        <f>SUM(G72:H72)</f>
        <v>4</v>
      </c>
    </row>
    <row r="73" spans="1:9" ht="15" customHeight="1" x14ac:dyDescent="0.25">
      <c r="A73" s="6014"/>
      <c r="B73" s="5945" t="s">
        <v>1335</v>
      </c>
      <c r="C73" s="4661" t="s">
        <v>160</v>
      </c>
      <c r="D73" s="3938">
        <f t="shared" ref="D73:F73" si="32">D72</f>
        <v>0</v>
      </c>
      <c r="E73" s="3939">
        <f t="shared" si="32"/>
        <v>0</v>
      </c>
      <c r="F73" s="3936">
        <f t="shared" si="32"/>
        <v>0</v>
      </c>
      <c r="G73" s="3938">
        <f>SUM(G72)</f>
        <v>1</v>
      </c>
      <c r="H73" s="3939">
        <f>SUM(H72)</f>
        <v>3</v>
      </c>
      <c r="I73" s="3936">
        <f>SUM(I72)</f>
        <v>4</v>
      </c>
    </row>
    <row r="74" spans="1:9" x14ac:dyDescent="0.25">
      <c r="A74" s="6014"/>
      <c r="B74" s="5945" t="s">
        <v>6</v>
      </c>
      <c r="C74" s="4657" t="s">
        <v>510</v>
      </c>
      <c r="D74" s="4658"/>
      <c r="E74" s="4662">
        <v>2</v>
      </c>
      <c r="F74" s="3932">
        <f t="shared" ref="F74:F75" si="33">SUM(D74:E74)</f>
        <v>2</v>
      </c>
      <c r="G74" s="4658">
        <v>1</v>
      </c>
      <c r="H74" s="4662"/>
      <c r="I74" s="3932">
        <f>SUM(G74:H74)</f>
        <v>1</v>
      </c>
    </row>
    <row r="75" spans="1:9" hidden="1" x14ac:dyDescent="0.25">
      <c r="A75" s="6014"/>
      <c r="B75" s="5945"/>
      <c r="C75" s="4657" t="s">
        <v>625</v>
      </c>
      <c r="D75" s="4658"/>
      <c r="E75" s="4662"/>
      <c r="F75" s="3932">
        <f t="shared" si="33"/>
        <v>0</v>
      </c>
      <c r="G75" s="4658"/>
      <c r="H75" s="4662"/>
      <c r="I75" s="3932">
        <f>SUM(G75:H75)</f>
        <v>0</v>
      </c>
    </row>
    <row r="76" spans="1:9" x14ac:dyDescent="0.25">
      <c r="A76" s="6014"/>
      <c r="B76" s="5945" t="s">
        <v>1335</v>
      </c>
      <c r="C76" s="4661" t="s">
        <v>160</v>
      </c>
      <c r="D76" s="3940">
        <f t="shared" ref="D76:F76" si="34">SUM(D74:D75)</f>
        <v>0</v>
      </c>
      <c r="E76" s="3941">
        <f t="shared" si="34"/>
        <v>2</v>
      </c>
      <c r="F76" s="3937">
        <f t="shared" si="34"/>
        <v>2</v>
      </c>
      <c r="G76" s="3940">
        <f>SUM(G74:G75)</f>
        <v>1</v>
      </c>
      <c r="H76" s="3941">
        <f t="shared" ref="H76:I76" si="35">SUM(H74:H75)</f>
        <v>0</v>
      </c>
      <c r="I76" s="3937">
        <f t="shared" si="35"/>
        <v>1</v>
      </c>
    </row>
    <row r="77" spans="1:9" x14ac:dyDescent="0.25">
      <c r="A77" s="6015"/>
      <c r="B77" s="6016" t="s">
        <v>450</v>
      </c>
      <c r="C77" s="6017"/>
      <c r="D77" s="4677">
        <f t="shared" ref="D77:F77" si="36">D76+D73+D71</f>
        <v>5</v>
      </c>
      <c r="E77" s="4678">
        <f t="shared" si="36"/>
        <v>2</v>
      </c>
      <c r="F77" s="4679">
        <f t="shared" si="36"/>
        <v>7</v>
      </c>
      <c r="G77" s="4677">
        <f>SUM(G71,G73,G76)</f>
        <v>5</v>
      </c>
      <c r="H77" s="4970">
        <f t="shared" ref="H77:I77" si="37">SUM(H71,H73,H76)</f>
        <v>3</v>
      </c>
      <c r="I77" s="4679">
        <f t="shared" si="37"/>
        <v>8</v>
      </c>
    </row>
    <row r="78" spans="1:9" x14ac:dyDescent="0.25">
      <c r="A78" s="6018" t="s">
        <v>163</v>
      </c>
      <c r="B78" s="5945" t="s">
        <v>6</v>
      </c>
      <c r="C78" s="4654" t="s">
        <v>462</v>
      </c>
      <c r="D78" s="4655">
        <v>1</v>
      </c>
      <c r="E78" s="4680"/>
      <c r="F78" s="3927">
        <f t="shared" ref="F78:F83" si="38">SUM(D78:E78)</f>
        <v>1</v>
      </c>
      <c r="G78" s="4655"/>
      <c r="H78" s="4680"/>
      <c r="I78" s="3927">
        <f>SUM(G78:H78)</f>
        <v>0</v>
      </c>
    </row>
    <row r="79" spans="1:9" ht="15" hidden="1" customHeight="1" x14ac:dyDescent="0.25">
      <c r="A79" s="6018"/>
      <c r="B79" s="5945"/>
      <c r="C79" s="4657" t="s">
        <v>490</v>
      </c>
      <c r="D79" s="4658"/>
      <c r="E79" s="4662"/>
      <c r="F79" s="3932">
        <f t="shared" si="38"/>
        <v>0</v>
      </c>
      <c r="G79" s="4658"/>
      <c r="H79" s="4662"/>
      <c r="I79" s="3932"/>
    </row>
    <row r="80" spans="1:9" ht="15" customHeight="1" x14ac:dyDescent="0.25">
      <c r="A80" s="6018"/>
      <c r="B80" s="5945"/>
      <c r="C80" s="4657" t="s">
        <v>464</v>
      </c>
      <c r="D80" s="4658"/>
      <c r="E80" s="4662"/>
      <c r="F80" s="3932">
        <f t="shared" si="38"/>
        <v>0</v>
      </c>
      <c r="G80" s="4658">
        <v>2</v>
      </c>
      <c r="H80" s="4662">
        <v>2</v>
      </c>
      <c r="I80" s="3932">
        <f>SUM(G80:H80)</f>
        <v>4</v>
      </c>
    </row>
    <row r="81" spans="1:9" ht="15" hidden="1" customHeight="1" x14ac:dyDescent="0.25">
      <c r="A81" s="6018"/>
      <c r="B81" s="5945"/>
      <c r="C81" s="4657" t="s">
        <v>492</v>
      </c>
      <c r="D81" s="4658"/>
      <c r="E81" s="4662"/>
      <c r="F81" s="3932">
        <f t="shared" si="38"/>
        <v>0</v>
      </c>
      <c r="G81" s="4658"/>
      <c r="H81" s="4662"/>
      <c r="I81" s="3932"/>
    </row>
    <row r="82" spans="1:9" ht="15" hidden="1" customHeight="1" x14ac:dyDescent="0.25">
      <c r="A82" s="6018"/>
      <c r="B82" s="5945"/>
      <c r="C82" s="4657" t="s">
        <v>491</v>
      </c>
      <c r="D82" s="4658"/>
      <c r="E82" s="4662"/>
      <c r="F82" s="3932">
        <f t="shared" si="38"/>
        <v>0</v>
      </c>
      <c r="G82" s="4658"/>
      <c r="H82" s="4662"/>
      <c r="I82" s="3932"/>
    </row>
    <row r="83" spans="1:9" ht="15" customHeight="1" x14ac:dyDescent="0.25">
      <c r="A83" s="6018"/>
      <c r="B83" s="5945"/>
      <c r="C83" s="4657" t="s">
        <v>465</v>
      </c>
      <c r="D83" s="4658"/>
      <c r="E83" s="4662"/>
      <c r="F83" s="3932">
        <f t="shared" si="38"/>
        <v>0</v>
      </c>
      <c r="G83" s="4658">
        <v>1</v>
      </c>
      <c r="H83" s="4662"/>
      <c r="I83" s="3932">
        <f>SUM(G83:H83)</f>
        <v>1</v>
      </c>
    </row>
    <row r="84" spans="1:9" x14ac:dyDescent="0.25">
      <c r="A84" s="6018"/>
      <c r="B84" s="5945" t="s">
        <v>1335</v>
      </c>
      <c r="C84" s="4661" t="s">
        <v>160</v>
      </c>
      <c r="D84" s="3938">
        <f t="shared" ref="D84:F84" si="39">SUM(D78:D83)</f>
        <v>1</v>
      </c>
      <c r="E84" s="3939">
        <f t="shared" si="39"/>
        <v>0</v>
      </c>
      <c r="F84" s="3936">
        <f t="shared" si="39"/>
        <v>1</v>
      </c>
      <c r="G84" s="3938">
        <f>SUM(G78:G83)</f>
        <v>3</v>
      </c>
      <c r="H84" s="3939">
        <f t="shared" ref="H84:I84" si="40">SUM(H78:H83)</f>
        <v>2</v>
      </c>
      <c r="I84" s="3936">
        <f t="shared" si="40"/>
        <v>5</v>
      </c>
    </row>
    <row r="85" spans="1:9" ht="15" customHeight="1" x14ac:dyDescent="0.25">
      <c r="A85" s="6018"/>
      <c r="B85" s="5945" t="s">
        <v>11</v>
      </c>
      <c r="C85" s="4657" t="s">
        <v>497</v>
      </c>
      <c r="D85" s="4658"/>
      <c r="E85" s="4662"/>
      <c r="F85" s="3932">
        <f t="shared" ref="F85:F92" si="41">SUM(D85:E85)</f>
        <v>0</v>
      </c>
      <c r="G85" s="4658"/>
      <c r="H85" s="4662">
        <v>4</v>
      </c>
      <c r="I85" s="3932">
        <f>SUM(G85:H85)</f>
        <v>4</v>
      </c>
    </row>
    <row r="86" spans="1:9" x14ac:dyDescent="0.25">
      <c r="A86" s="6018"/>
      <c r="B86" s="5945"/>
      <c r="C86" s="4657" t="s">
        <v>484</v>
      </c>
      <c r="D86" s="4658">
        <v>1</v>
      </c>
      <c r="E86" s="4662">
        <v>2</v>
      </c>
      <c r="F86" s="3932">
        <f t="shared" si="41"/>
        <v>3</v>
      </c>
      <c r="G86" s="4658">
        <v>1</v>
      </c>
      <c r="H86" s="4662"/>
      <c r="I86" s="3932">
        <f t="shared" ref="I86:I92" si="42">SUM(G86:H86)</f>
        <v>1</v>
      </c>
    </row>
    <row r="87" spans="1:9" ht="15" hidden="1" customHeight="1" x14ac:dyDescent="0.25">
      <c r="A87" s="6018"/>
      <c r="B87" s="5945"/>
      <c r="C87" s="4657" t="s">
        <v>493</v>
      </c>
      <c r="D87" s="4658"/>
      <c r="E87" s="4669"/>
      <c r="F87" s="3932">
        <f t="shared" si="41"/>
        <v>0</v>
      </c>
      <c r="G87" s="4658"/>
      <c r="H87" s="4669"/>
      <c r="I87" s="3932">
        <f t="shared" si="42"/>
        <v>0</v>
      </c>
    </row>
    <row r="88" spans="1:9" x14ac:dyDescent="0.25">
      <c r="A88" s="6018"/>
      <c r="B88" s="5945"/>
      <c r="C88" s="4657" t="s">
        <v>494</v>
      </c>
      <c r="D88" s="4658"/>
      <c r="E88" s="4669">
        <v>1</v>
      </c>
      <c r="F88" s="3932">
        <f t="shared" si="41"/>
        <v>1</v>
      </c>
      <c r="G88" s="4658"/>
      <c r="H88" s="4669"/>
      <c r="I88" s="3932">
        <f t="shared" si="42"/>
        <v>0</v>
      </c>
    </row>
    <row r="89" spans="1:9" ht="15" hidden="1" customHeight="1" x14ac:dyDescent="0.25">
      <c r="A89" s="6018"/>
      <c r="B89" s="5945"/>
      <c r="C89" s="4657" t="s">
        <v>498</v>
      </c>
      <c r="D89" s="4658"/>
      <c r="E89" s="4662"/>
      <c r="F89" s="3932">
        <f t="shared" si="41"/>
        <v>0</v>
      </c>
      <c r="G89" s="4658"/>
      <c r="H89" s="4662"/>
      <c r="I89" s="3932">
        <f t="shared" si="42"/>
        <v>0</v>
      </c>
    </row>
    <row r="90" spans="1:9" ht="15" customHeight="1" x14ac:dyDescent="0.25">
      <c r="A90" s="6018"/>
      <c r="B90" s="5945"/>
      <c r="C90" s="4657" t="s">
        <v>496</v>
      </c>
      <c r="D90" s="4658"/>
      <c r="E90" s="4669"/>
      <c r="F90" s="3932">
        <f t="shared" si="41"/>
        <v>0</v>
      </c>
      <c r="G90" s="4658">
        <v>1</v>
      </c>
      <c r="H90" s="4669">
        <v>1</v>
      </c>
      <c r="I90" s="3932">
        <f t="shared" si="42"/>
        <v>2</v>
      </c>
    </row>
    <row r="91" spans="1:9" ht="15" customHeight="1" x14ac:dyDescent="0.25">
      <c r="A91" s="6018"/>
      <c r="B91" s="5945"/>
      <c r="C91" s="4657" t="s">
        <v>499</v>
      </c>
      <c r="D91" s="4658"/>
      <c r="E91" s="4662"/>
      <c r="F91" s="3932">
        <f t="shared" si="41"/>
        <v>0</v>
      </c>
      <c r="G91" s="4658">
        <v>1</v>
      </c>
      <c r="H91" s="4662">
        <v>1</v>
      </c>
      <c r="I91" s="3932">
        <f t="shared" si="42"/>
        <v>2</v>
      </c>
    </row>
    <row r="92" spans="1:9" ht="15" customHeight="1" x14ac:dyDescent="0.25">
      <c r="A92" s="6018"/>
      <c r="B92" s="5945"/>
      <c r="C92" s="4657" t="s">
        <v>495</v>
      </c>
      <c r="D92" s="4658"/>
      <c r="E92" s="4662"/>
      <c r="F92" s="3932">
        <f t="shared" si="41"/>
        <v>0</v>
      </c>
      <c r="G92" s="4658">
        <v>2</v>
      </c>
      <c r="H92" s="4662"/>
      <c r="I92" s="3932">
        <f t="shared" si="42"/>
        <v>2</v>
      </c>
    </row>
    <row r="93" spans="1:9" x14ac:dyDescent="0.25">
      <c r="A93" s="6018"/>
      <c r="B93" s="5945" t="s">
        <v>1335</v>
      </c>
      <c r="C93" s="4661" t="s">
        <v>160</v>
      </c>
      <c r="D93" s="3938">
        <f t="shared" ref="D93:F93" si="43">SUM(D85:D92)</f>
        <v>1</v>
      </c>
      <c r="E93" s="3939">
        <f t="shared" si="43"/>
        <v>3</v>
      </c>
      <c r="F93" s="3936">
        <f t="shared" si="43"/>
        <v>4</v>
      </c>
      <c r="G93" s="3938">
        <f>SUM(G85:G92)</f>
        <v>5</v>
      </c>
      <c r="H93" s="3939">
        <f t="shared" ref="H93:I93" si="44">SUM(H85:H92)</f>
        <v>6</v>
      </c>
      <c r="I93" s="3936">
        <f t="shared" si="44"/>
        <v>11</v>
      </c>
    </row>
    <row r="94" spans="1:9" ht="15" customHeight="1" x14ac:dyDescent="0.25">
      <c r="A94" s="6018"/>
      <c r="B94" s="5945" t="s">
        <v>1336</v>
      </c>
      <c r="C94" s="4657" t="s">
        <v>466</v>
      </c>
      <c r="D94" s="4658"/>
      <c r="E94" s="4662"/>
      <c r="F94" s="3932">
        <f t="shared" ref="F94:F97" si="45">SUM(D94:E94)</f>
        <v>0</v>
      </c>
      <c r="G94" s="4658"/>
      <c r="H94" s="4662">
        <v>1</v>
      </c>
      <c r="I94" s="3932">
        <f>SUM(G94:H94)</f>
        <v>1</v>
      </c>
    </row>
    <row r="95" spans="1:9" ht="15" customHeight="1" x14ac:dyDescent="0.25">
      <c r="A95" s="6018"/>
      <c r="B95" s="5945"/>
      <c r="C95" s="4657" t="s">
        <v>467</v>
      </c>
      <c r="D95" s="4658"/>
      <c r="E95" s="4662"/>
      <c r="F95" s="3932">
        <f t="shared" si="45"/>
        <v>0</v>
      </c>
      <c r="G95" s="4658">
        <v>1</v>
      </c>
      <c r="H95" s="4662"/>
      <c r="I95" s="3932">
        <f t="shared" ref="I95:I97" si="46">SUM(G95:H95)</f>
        <v>1</v>
      </c>
    </row>
    <row r="96" spans="1:9" ht="15" customHeight="1" x14ac:dyDescent="0.25">
      <c r="A96" s="6018"/>
      <c r="B96" s="5945"/>
      <c r="C96" s="4657" t="s">
        <v>468</v>
      </c>
      <c r="D96" s="4658"/>
      <c r="E96" s="4662"/>
      <c r="F96" s="3932">
        <f t="shared" si="45"/>
        <v>0</v>
      </c>
      <c r="G96" s="4658">
        <v>4</v>
      </c>
      <c r="H96" s="4662">
        <v>1</v>
      </c>
      <c r="I96" s="3932">
        <f t="shared" si="46"/>
        <v>5</v>
      </c>
    </row>
    <row r="97" spans="1:9" ht="15" customHeight="1" x14ac:dyDescent="0.25">
      <c r="A97" s="6018"/>
      <c r="B97" s="5945"/>
      <c r="C97" s="4657" t="s">
        <v>500</v>
      </c>
      <c r="D97" s="4658"/>
      <c r="E97" s="4669"/>
      <c r="F97" s="3932">
        <f t="shared" si="45"/>
        <v>0</v>
      </c>
      <c r="G97" s="4658">
        <v>4</v>
      </c>
      <c r="H97" s="4669">
        <v>2</v>
      </c>
      <c r="I97" s="3932">
        <f t="shared" si="46"/>
        <v>6</v>
      </c>
    </row>
    <row r="98" spans="1:9" ht="15" customHeight="1" x14ac:dyDescent="0.25">
      <c r="A98" s="6018"/>
      <c r="B98" s="5950" t="s">
        <v>1335</v>
      </c>
      <c r="C98" s="4661" t="s">
        <v>160</v>
      </c>
      <c r="D98" s="3961">
        <f t="shared" ref="D98:F98" si="47">SUM(D94:D97)</f>
        <v>0</v>
      </c>
      <c r="E98" s="3962">
        <f t="shared" si="47"/>
        <v>0</v>
      </c>
      <c r="F98" s="3963">
        <f t="shared" si="47"/>
        <v>0</v>
      </c>
      <c r="G98" s="3961">
        <f>SUM(G94:G97)</f>
        <v>9</v>
      </c>
      <c r="H98" s="3962">
        <f t="shared" ref="H98:I98" si="48">SUM(H94:H97)</f>
        <v>4</v>
      </c>
      <c r="I98" s="3963">
        <f t="shared" si="48"/>
        <v>13</v>
      </c>
    </row>
    <row r="99" spans="1:9" x14ac:dyDescent="0.25">
      <c r="A99" s="6019"/>
      <c r="B99" s="6020" t="s">
        <v>450</v>
      </c>
      <c r="C99" s="6021"/>
      <c r="D99" s="4681">
        <f t="shared" ref="D99:I99" si="49">D98+D93+D84</f>
        <v>2</v>
      </c>
      <c r="E99" s="4682">
        <f t="shared" si="49"/>
        <v>3</v>
      </c>
      <c r="F99" s="4683">
        <f t="shared" si="49"/>
        <v>5</v>
      </c>
      <c r="G99" s="4681">
        <f t="shared" si="49"/>
        <v>17</v>
      </c>
      <c r="H99" s="4969">
        <f t="shared" si="49"/>
        <v>12</v>
      </c>
      <c r="I99" s="4683">
        <f t="shared" si="49"/>
        <v>29</v>
      </c>
    </row>
    <row r="100" spans="1:9" x14ac:dyDescent="0.25">
      <c r="A100" s="5935" t="s">
        <v>76</v>
      </c>
      <c r="B100" s="5936"/>
      <c r="C100" s="5937"/>
      <c r="D100" s="4684">
        <f>D99+D77+D69+D39+D25</f>
        <v>23</v>
      </c>
      <c r="E100" s="4685">
        <f>E99+E77+E69+E39+E25</f>
        <v>16</v>
      </c>
      <c r="F100" s="4686">
        <f>F99+F77+F69+F39+F25</f>
        <v>39</v>
      </c>
      <c r="G100" s="4972">
        <f t="shared" ref="G100:I100" si="50">G99+G77+G69+G39+G25</f>
        <v>60</v>
      </c>
      <c r="H100" s="4973">
        <f t="shared" si="50"/>
        <v>62</v>
      </c>
      <c r="I100" s="4971">
        <f t="shared" si="50"/>
        <v>122</v>
      </c>
    </row>
  </sheetData>
  <mergeCells count="31">
    <mergeCell ref="A100:C100"/>
    <mergeCell ref="A70:A77"/>
    <mergeCell ref="B70:B71"/>
    <mergeCell ref="B72:B73"/>
    <mergeCell ref="B74:B76"/>
    <mergeCell ref="B77:C77"/>
    <mergeCell ref="A78:A99"/>
    <mergeCell ref="B78:B84"/>
    <mergeCell ref="B85:B93"/>
    <mergeCell ref="B94:B98"/>
    <mergeCell ref="B99:C99"/>
    <mergeCell ref="A26:A39"/>
    <mergeCell ref="B26:B29"/>
    <mergeCell ref="B30:B34"/>
    <mergeCell ref="B35:B38"/>
    <mergeCell ref="B39:C39"/>
    <mergeCell ref="A40:A69"/>
    <mergeCell ref="B40:B49"/>
    <mergeCell ref="B50:B61"/>
    <mergeCell ref="B62:B68"/>
    <mergeCell ref="B69:C69"/>
    <mergeCell ref="A5:A25"/>
    <mergeCell ref="B5:B15"/>
    <mergeCell ref="B16:B20"/>
    <mergeCell ref="B21:B24"/>
    <mergeCell ref="B25:C25"/>
    <mergeCell ref="G3:I3"/>
    <mergeCell ref="A3:A4"/>
    <mergeCell ref="B3:B4"/>
    <mergeCell ref="C3:C4"/>
    <mergeCell ref="D3:F3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scale="82" orientation="landscape" horizontalDpi="4294967292" verticalDpi="4294967292" r:id="rId1"/>
  <ignoredErrors>
    <ignoredError sqref="F34:F61 F93 I15 I34 F15:F29 I71:I73 F72:F73 I84:I93" formula="1"/>
    <ignoredError sqref="I16:I19" formula="1" formulaRange="1"/>
  </ignoredErrors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A1:H37"/>
  <sheetViews>
    <sheetView showGridLines="0" workbookViewId="0">
      <selection activeCell="J14" sqref="J14"/>
    </sheetView>
  </sheetViews>
  <sheetFormatPr baseColWidth="10" defaultRowHeight="15" x14ac:dyDescent="0.25"/>
  <cols>
    <col min="1" max="1" width="15" style="251" bestFit="1" customWidth="1"/>
    <col min="2" max="2" width="11.42578125" style="251"/>
    <col min="3" max="3" width="10.42578125" style="251" bestFit="1" customWidth="1"/>
    <col min="4" max="4" width="10" style="251" bestFit="1" customWidth="1"/>
    <col min="5" max="5" width="7.7109375" style="251" customWidth="1"/>
    <col min="6" max="6" width="10.42578125" style="251" bestFit="1" customWidth="1"/>
    <col min="7" max="7" width="10" style="251" bestFit="1" customWidth="1"/>
    <col min="8" max="8" width="7.7109375" style="251" customWidth="1"/>
    <col min="9" max="16384" width="11.42578125" style="251"/>
  </cols>
  <sheetData>
    <row r="1" spans="1:8" ht="18.75" x14ac:dyDescent="0.3">
      <c r="A1" s="4144" t="s">
        <v>1345</v>
      </c>
    </row>
    <row r="3" spans="1:8" x14ac:dyDescent="0.25">
      <c r="A3" s="5999" t="s">
        <v>16</v>
      </c>
      <c r="B3" s="5999" t="s">
        <v>4</v>
      </c>
      <c r="C3" s="5971">
        <v>2014</v>
      </c>
      <c r="D3" s="5972"/>
      <c r="E3" s="5973"/>
      <c r="F3" s="5971">
        <v>2015</v>
      </c>
      <c r="G3" s="5972"/>
      <c r="H3" s="5973"/>
    </row>
    <row r="4" spans="1:8" x14ac:dyDescent="0.25">
      <c r="A4" s="5993"/>
      <c r="B4" s="5993"/>
      <c r="C4" s="3090" t="s">
        <v>1347</v>
      </c>
      <c r="D4" s="3090" t="s">
        <v>676</v>
      </c>
      <c r="E4" s="3909" t="s">
        <v>160</v>
      </c>
      <c r="F4" s="3090" t="s">
        <v>1347</v>
      </c>
      <c r="G4" s="3090" t="s">
        <v>676</v>
      </c>
      <c r="H4" s="3909" t="s">
        <v>160</v>
      </c>
    </row>
    <row r="5" spans="1:8" x14ac:dyDescent="0.25">
      <c r="A5" s="3895"/>
      <c r="B5" s="3895"/>
      <c r="C5" s="3895"/>
      <c r="D5" s="3895"/>
      <c r="E5" s="3895"/>
      <c r="F5" s="3895"/>
      <c r="G5" s="3895"/>
      <c r="H5" s="3895"/>
    </row>
    <row r="6" spans="1:8" x14ac:dyDescent="0.25">
      <c r="A6" s="5989" t="s">
        <v>3</v>
      </c>
      <c r="B6" s="3896" t="s">
        <v>5</v>
      </c>
      <c r="C6" s="3897"/>
      <c r="D6" s="3898"/>
      <c r="E6" s="3898">
        <f>SUM(C6:D6)</f>
        <v>0</v>
      </c>
      <c r="F6" s="3897">
        <f>+'7 Mov Nal Lic plan'!G15</f>
        <v>2</v>
      </c>
      <c r="G6" s="3898">
        <f>+'7 Mov Nal Lic plan'!H15</f>
        <v>7</v>
      </c>
      <c r="H6" s="3898">
        <f>SUM(F6:G6)</f>
        <v>9</v>
      </c>
    </row>
    <row r="7" spans="1:8" x14ac:dyDescent="0.25">
      <c r="A7" s="5990"/>
      <c r="B7" s="3899" t="s">
        <v>6</v>
      </c>
      <c r="C7" s="3900"/>
      <c r="D7" s="3901"/>
      <c r="E7" s="3901">
        <f t="shared" ref="E7" si="0">SUM(C7:D7)</f>
        <v>0</v>
      </c>
      <c r="F7" s="3900">
        <f>+'7 Mov Nal Lic plan'!G20</f>
        <v>5</v>
      </c>
      <c r="G7" s="3901">
        <f>+'7 Mov Nal Lic plan'!H20</f>
        <v>7</v>
      </c>
      <c r="H7" s="3901">
        <f t="shared" ref="H7" si="1">SUM(F7:G7)</f>
        <v>12</v>
      </c>
    </row>
    <row r="8" spans="1:8" x14ac:dyDescent="0.25">
      <c r="A8" s="5990"/>
      <c r="B8" s="3899" t="s">
        <v>7</v>
      </c>
      <c r="C8" s="3900">
        <f>+'7 Mov Nal Lic plan'!D24</f>
        <v>1</v>
      </c>
      <c r="D8" s="3901">
        <f>+'7 Mov Nal Lic plan'!E24</f>
        <v>0</v>
      </c>
      <c r="E8" s="3901">
        <f>+'7 Mov Nal Lic plan'!F24</f>
        <v>1</v>
      </c>
      <c r="F8" s="3900">
        <f>+'7 Mov Nal Lic plan'!G24</f>
        <v>0</v>
      </c>
      <c r="G8" s="3901">
        <f>+'7 Mov Nal Lic plan'!H24</f>
        <v>1</v>
      </c>
      <c r="H8" s="3901">
        <f>+'7 Mov Nal Lic plan'!I24</f>
        <v>1</v>
      </c>
    </row>
    <row r="9" spans="1:8" x14ac:dyDescent="0.25">
      <c r="A9" s="5991"/>
      <c r="B9" s="2749" t="s">
        <v>160</v>
      </c>
      <c r="C9" s="2750">
        <f t="shared" ref="C9:H9" si="2">SUM(C6:C8)</f>
        <v>1</v>
      </c>
      <c r="D9" s="2751">
        <f t="shared" si="2"/>
        <v>0</v>
      </c>
      <c r="E9" s="2751">
        <f t="shared" si="2"/>
        <v>1</v>
      </c>
      <c r="F9" s="2750">
        <f t="shared" si="2"/>
        <v>7</v>
      </c>
      <c r="G9" s="2751">
        <f t="shared" si="2"/>
        <v>15</v>
      </c>
      <c r="H9" s="2751">
        <f t="shared" si="2"/>
        <v>22</v>
      </c>
    </row>
    <row r="10" spans="1:8" x14ac:dyDescent="0.25">
      <c r="A10" s="3902"/>
      <c r="B10" s="3902"/>
      <c r="C10" s="3902"/>
      <c r="D10" s="3902"/>
      <c r="F10" s="3902"/>
      <c r="G10" s="3902"/>
    </row>
    <row r="11" spans="1:8" x14ac:dyDescent="0.25">
      <c r="A11" s="5974" t="s">
        <v>8</v>
      </c>
      <c r="B11" s="3896" t="s">
        <v>6</v>
      </c>
      <c r="C11" s="3897">
        <f>+'7 Mov Nal Lic plan'!D38</f>
        <v>5</v>
      </c>
      <c r="D11" s="3898">
        <f>+'7 Mov Nal Lic plan'!E38</f>
        <v>3</v>
      </c>
      <c r="E11" s="3898">
        <f>+'7 Mov Nal Lic plan'!F38</f>
        <v>8</v>
      </c>
      <c r="F11" s="3897">
        <f>+'7 Mov Nal Lic plan'!G38</f>
        <v>7</v>
      </c>
      <c r="G11" s="3898">
        <f>+'7 Mov Nal Lic plan'!H38</f>
        <v>4</v>
      </c>
      <c r="H11" s="3898">
        <f>+'7 Mov Nal Lic plan'!I38</f>
        <v>11</v>
      </c>
    </row>
    <row r="12" spans="1:8" x14ac:dyDescent="0.25">
      <c r="A12" s="5975"/>
      <c r="B12" s="3899" t="s">
        <v>9</v>
      </c>
      <c r="C12" s="3900">
        <f>+'7 Mov Nal Lic plan'!D29</f>
        <v>4</v>
      </c>
      <c r="D12" s="3901">
        <f>+'7 Mov Nal Lic plan'!E29</f>
        <v>3</v>
      </c>
      <c r="E12" s="3901">
        <f>+'7 Mov Nal Lic plan'!F29</f>
        <v>7</v>
      </c>
      <c r="F12" s="3900">
        <f>+'7 Mov Nal Lic plan'!G29</f>
        <v>11</v>
      </c>
      <c r="G12" s="3901">
        <f>+'7 Mov Nal Lic plan'!H29</f>
        <v>12</v>
      </c>
      <c r="H12" s="3901">
        <f>+'7 Mov Nal Lic plan'!I29</f>
        <v>23</v>
      </c>
    </row>
    <row r="13" spans="1:8" x14ac:dyDescent="0.25">
      <c r="A13" s="5975"/>
      <c r="B13" s="3899" t="s">
        <v>74</v>
      </c>
      <c r="C13" s="3900">
        <f>+'7 Mov Nal Lic plan'!D34</f>
        <v>4</v>
      </c>
      <c r="D13" s="3901">
        <f>+'7 Mov Nal Lic plan'!E34</f>
        <v>3</v>
      </c>
      <c r="E13" s="3901">
        <f>+'7 Mov Nal Lic plan'!F34</f>
        <v>7</v>
      </c>
      <c r="F13" s="3900">
        <f>+'7 Mov Nal Lic plan'!G34</f>
        <v>7</v>
      </c>
      <c r="G13" s="3901">
        <f>+'7 Mov Nal Lic plan'!H34</f>
        <v>8</v>
      </c>
      <c r="H13" s="3901">
        <f>+'7 Mov Nal Lic plan'!I34</f>
        <v>15</v>
      </c>
    </row>
    <row r="14" spans="1:8" x14ac:dyDescent="0.25">
      <c r="A14" s="5976"/>
      <c r="B14" s="2746" t="s">
        <v>160</v>
      </c>
      <c r="C14" s="2747">
        <f t="shared" ref="C14:H14" si="3">SUM(C11:C13)</f>
        <v>13</v>
      </c>
      <c r="D14" s="2748">
        <f t="shared" si="3"/>
        <v>9</v>
      </c>
      <c r="E14" s="2746">
        <f t="shared" si="3"/>
        <v>22</v>
      </c>
      <c r="F14" s="2747">
        <f t="shared" si="3"/>
        <v>25</v>
      </c>
      <c r="G14" s="2748">
        <f t="shared" si="3"/>
        <v>24</v>
      </c>
      <c r="H14" s="2746">
        <f t="shared" si="3"/>
        <v>49</v>
      </c>
    </row>
    <row r="15" spans="1:8" x14ac:dyDescent="0.25">
      <c r="A15" s="3895"/>
      <c r="B15" s="3895"/>
      <c r="C15" s="3903"/>
      <c r="D15" s="3903"/>
      <c r="F15" s="3903"/>
      <c r="G15" s="3903"/>
    </row>
    <row r="16" spans="1:8" x14ac:dyDescent="0.25">
      <c r="A16" s="5977" t="s">
        <v>75</v>
      </c>
      <c r="B16" s="3896" t="s">
        <v>5</v>
      </c>
      <c r="C16" s="3897"/>
      <c r="D16" s="3898"/>
      <c r="E16" s="3898">
        <f>SUM(C16:D16)</f>
        <v>0</v>
      </c>
      <c r="F16" s="3897">
        <f>+'7 Mov Nal Lic plan'!G49</f>
        <v>0</v>
      </c>
      <c r="G16" s="3898">
        <f>+'7 Mov Nal Lic plan'!H49</f>
        <v>1</v>
      </c>
      <c r="H16" s="3898">
        <f>SUM(F16:G16)</f>
        <v>1</v>
      </c>
    </row>
    <row r="17" spans="1:8" x14ac:dyDescent="0.25">
      <c r="A17" s="5978"/>
      <c r="B17" s="3899" t="s">
        <v>6</v>
      </c>
      <c r="C17" s="3900">
        <f>+'7 Mov Nal Lic plan'!D61</f>
        <v>1</v>
      </c>
      <c r="D17" s="3901">
        <f>+'7 Mov Nal Lic plan'!E61</f>
        <v>0</v>
      </c>
      <c r="E17" s="3901">
        <f>+'7 Mov Nal Lic plan'!F61</f>
        <v>1</v>
      </c>
      <c r="F17" s="3900">
        <f>+'7 Mov Nal Lic plan'!G61</f>
        <v>2</v>
      </c>
      <c r="G17" s="3901">
        <f>+'7 Mov Nal Lic plan'!H61</f>
        <v>5</v>
      </c>
      <c r="H17" s="3901">
        <f>+'7 Mov Nal Lic plan'!I61</f>
        <v>7</v>
      </c>
    </row>
    <row r="18" spans="1:8" x14ac:dyDescent="0.25">
      <c r="A18" s="5978"/>
      <c r="B18" s="3899" t="s">
        <v>11</v>
      </c>
      <c r="C18" s="3900">
        <f>+'7 Mov Nal Lic plan'!D68</f>
        <v>1</v>
      </c>
      <c r="D18" s="3901">
        <f>+'7 Mov Nal Lic plan'!E68</f>
        <v>2</v>
      </c>
      <c r="E18" s="3901">
        <f>+'7 Mov Nal Lic plan'!F68</f>
        <v>3</v>
      </c>
      <c r="F18" s="3900">
        <f>+'7 Mov Nal Lic plan'!G68</f>
        <v>4</v>
      </c>
      <c r="G18" s="3901">
        <f>+'7 Mov Nal Lic plan'!H68</f>
        <v>2</v>
      </c>
      <c r="H18" s="3901">
        <f>+'7 Mov Nal Lic plan'!I68</f>
        <v>6</v>
      </c>
    </row>
    <row r="19" spans="1:8" x14ac:dyDescent="0.25">
      <c r="A19" s="5979"/>
      <c r="B19" s="2743" t="s">
        <v>160</v>
      </c>
      <c r="C19" s="2744">
        <f t="shared" ref="C19:H19" si="4">SUM(C16:C18)</f>
        <v>2</v>
      </c>
      <c r="D19" s="2745">
        <f t="shared" si="4"/>
        <v>2</v>
      </c>
      <c r="E19" s="2745">
        <f t="shared" si="4"/>
        <v>4</v>
      </c>
      <c r="F19" s="2744">
        <f t="shared" si="4"/>
        <v>6</v>
      </c>
      <c r="G19" s="2745">
        <f t="shared" si="4"/>
        <v>8</v>
      </c>
      <c r="H19" s="2745">
        <f t="shared" si="4"/>
        <v>14</v>
      </c>
    </row>
    <row r="21" spans="1:8" x14ac:dyDescent="0.25">
      <c r="A21" s="5986" t="s">
        <v>326</v>
      </c>
      <c r="B21" s="3896" t="s">
        <v>5</v>
      </c>
      <c r="C21" s="3897"/>
      <c r="D21" s="3898"/>
      <c r="E21" s="3898">
        <f>SUM(C21:D21)</f>
        <v>0</v>
      </c>
      <c r="F21" s="3897">
        <f>+'7 Mov Nal Lic plan'!G71</f>
        <v>3</v>
      </c>
      <c r="G21" s="3898">
        <f>+'7 Mov Nal Lic plan'!H71</f>
        <v>0</v>
      </c>
      <c r="H21" s="3898">
        <f>SUM(F21:G21)</f>
        <v>3</v>
      </c>
    </row>
    <row r="22" spans="1:8" x14ac:dyDescent="0.25">
      <c r="A22" s="5987"/>
      <c r="B22" s="3899" t="s">
        <v>6</v>
      </c>
      <c r="C22" s="3900">
        <f>+'7 Mov Nal Lic plan'!D76</f>
        <v>0</v>
      </c>
      <c r="D22" s="3901">
        <f>+'7 Mov Nal Lic plan'!E76</f>
        <v>2</v>
      </c>
      <c r="E22" s="3901">
        <f>+'7 Mov Nal Lic plan'!F76</f>
        <v>2</v>
      </c>
      <c r="F22" s="3900">
        <f>+'7 Mov Nal Lic plan'!G73</f>
        <v>1</v>
      </c>
      <c r="G22" s="3901">
        <f>+'7 Mov Nal Lic plan'!H73</f>
        <v>3</v>
      </c>
      <c r="H22" s="3901">
        <f t="shared" ref="H22:H23" si="5">SUM(F22:G22)</f>
        <v>4</v>
      </c>
    </row>
    <row r="23" spans="1:8" x14ac:dyDescent="0.25">
      <c r="A23" s="5987"/>
      <c r="B23" s="3899" t="s">
        <v>11</v>
      </c>
      <c r="C23" s="3900">
        <f>+'7 Mov Nal Lic plan'!D71</f>
        <v>5</v>
      </c>
      <c r="D23" s="3901">
        <f>+'7 Mov Nal Lic plan'!E71</f>
        <v>0</v>
      </c>
      <c r="E23" s="3901">
        <f>+'7 Mov Nal Lic plan'!F71</f>
        <v>5</v>
      </c>
      <c r="F23" s="3900">
        <f>+'7 Mov Nal Lic plan'!G76</f>
        <v>1</v>
      </c>
      <c r="G23" s="3901">
        <f>+'7 Mov Nal Lic plan'!H76</f>
        <v>0</v>
      </c>
      <c r="H23" s="3901">
        <f t="shared" si="5"/>
        <v>1</v>
      </c>
    </row>
    <row r="24" spans="1:8" x14ac:dyDescent="0.25">
      <c r="A24" s="5988"/>
      <c r="B24" s="3911" t="s">
        <v>160</v>
      </c>
      <c r="C24" s="3912">
        <f t="shared" ref="C24:H24" si="6">SUM(C21:C23)</f>
        <v>5</v>
      </c>
      <c r="D24" s="3913">
        <f t="shared" si="6"/>
        <v>2</v>
      </c>
      <c r="E24" s="3913">
        <f t="shared" si="6"/>
        <v>7</v>
      </c>
      <c r="F24" s="3912">
        <f t="shared" si="6"/>
        <v>5</v>
      </c>
      <c r="G24" s="3913">
        <f t="shared" si="6"/>
        <v>3</v>
      </c>
      <c r="H24" s="3913">
        <f t="shared" si="6"/>
        <v>8</v>
      </c>
    </row>
    <row r="25" spans="1:8" x14ac:dyDescent="0.25">
      <c r="A25" s="1631"/>
      <c r="B25" s="3895"/>
      <c r="C25" s="3903"/>
      <c r="D25" s="3903"/>
      <c r="F25" s="3903"/>
      <c r="G25" s="3903"/>
    </row>
    <row r="26" spans="1:8" x14ac:dyDescent="0.25">
      <c r="A26" s="5980" t="s">
        <v>10</v>
      </c>
      <c r="B26" s="3896" t="s">
        <v>6</v>
      </c>
      <c r="C26" s="3897">
        <f>+'7 Mov Nal Lic plan'!D84</f>
        <v>1</v>
      </c>
      <c r="D26" s="3898">
        <f>+'7 Mov Nal Lic plan'!E84</f>
        <v>0</v>
      </c>
      <c r="E26" s="3898">
        <f>+'7 Mov Nal Lic plan'!F84</f>
        <v>1</v>
      </c>
      <c r="F26" s="3897">
        <f>+'7 Mov Nal Lic plan'!G84</f>
        <v>3</v>
      </c>
      <c r="G26" s="3898">
        <f>+'7 Mov Nal Lic plan'!H84</f>
        <v>2</v>
      </c>
      <c r="H26" s="3898">
        <f>+'7 Mov Nal Lic plan'!I84</f>
        <v>5</v>
      </c>
    </row>
    <row r="27" spans="1:8" x14ac:dyDescent="0.25">
      <c r="A27" s="5981"/>
      <c r="B27" s="3899" t="s">
        <v>11</v>
      </c>
      <c r="C27" s="3900">
        <f>+'7 Mov Nal Lic plan'!D93</f>
        <v>1</v>
      </c>
      <c r="D27" s="3901">
        <f>+'7 Mov Nal Lic plan'!E93</f>
        <v>3</v>
      </c>
      <c r="E27" s="3901">
        <f>+'7 Mov Nal Lic plan'!F93</f>
        <v>4</v>
      </c>
      <c r="F27" s="3900">
        <f>+'7 Mov Nal Lic plan'!G93</f>
        <v>5</v>
      </c>
      <c r="G27" s="3901">
        <f>+'7 Mov Nal Lic plan'!H93</f>
        <v>6</v>
      </c>
      <c r="H27" s="3901">
        <f>+'7 Mov Nal Lic plan'!I93</f>
        <v>11</v>
      </c>
    </row>
    <row r="28" spans="1:8" x14ac:dyDescent="0.25">
      <c r="A28" s="5981"/>
      <c r="B28" s="3899" t="s">
        <v>7</v>
      </c>
      <c r="C28" s="3900"/>
      <c r="D28" s="3901"/>
      <c r="E28" s="3901">
        <f t="shared" ref="E28" si="7">SUM(C28:D28)</f>
        <v>0</v>
      </c>
      <c r="F28" s="3900">
        <f>+'7 Mov Nal Lic plan'!G98</f>
        <v>9</v>
      </c>
      <c r="G28" s="3901">
        <f>+'7 Mov Nal Lic plan'!H98</f>
        <v>4</v>
      </c>
      <c r="H28" s="3901">
        <f t="shared" ref="H28" si="8">SUM(F28:G28)</f>
        <v>13</v>
      </c>
    </row>
    <row r="29" spans="1:8" x14ac:dyDescent="0.25">
      <c r="A29" s="5982"/>
      <c r="B29" s="2740" t="s">
        <v>160</v>
      </c>
      <c r="C29" s="2741">
        <f t="shared" ref="C29:H29" si="9">SUM(C26:C28)</f>
        <v>2</v>
      </c>
      <c r="D29" s="2742">
        <f t="shared" si="9"/>
        <v>3</v>
      </c>
      <c r="E29" s="2742">
        <f t="shared" si="9"/>
        <v>5</v>
      </c>
      <c r="F29" s="2741">
        <f t="shared" si="9"/>
        <v>17</v>
      </c>
      <c r="G29" s="2742">
        <f t="shared" si="9"/>
        <v>12</v>
      </c>
      <c r="H29" s="2742">
        <f t="shared" si="9"/>
        <v>29</v>
      </c>
    </row>
    <row r="30" spans="1:8" x14ac:dyDescent="0.25">
      <c r="A30" s="3895"/>
      <c r="B30" s="3895"/>
      <c r="C30" s="3903"/>
      <c r="D30" s="3903"/>
      <c r="E30" s="3903"/>
      <c r="F30" s="3903"/>
      <c r="G30" s="3903"/>
      <c r="H30" s="3903"/>
    </row>
    <row r="31" spans="1:8" x14ac:dyDescent="0.25">
      <c r="A31" s="5983" t="s">
        <v>60</v>
      </c>
      <c r="B31" s="3896" t="s">
        <v>5</v>
      </c>
      <c r="C31" s="3897">
        <f>SUM(C6,C16,C21)</f>
        <v>0</v>
      </c>
      <c r="D31" s="3898">
        <f t="shared" ref="D31:E31" si="10">SUM(D6,D16,D21)</f>
        <v>0</v>
      </c>
      <c r="E31" s="3896">
        <f t="shared" si="10"/>
        <v>0</v>
      </c>
      <c r="F31" s="3897">
        <f>SUM(F6,F16,F21)</f>
        <v>5</v>
      </c>
      <c r="G31" s="3898">
        <f t="shared" ref="G31:H31" si="11">SUM(G6,G16,G21)</f>
        <v>8</v>
      </c>
      <c r="H31" s="3896">
        <f t="shared" si="11"/>
        <v>13</v>
      </c>
    </row>
    <row r="32" spans="1:8" x14ac:dyDescent="0.25">
      <c r="A32" s="5984"/>
      <c r="B32" s="3899" t="s">
        <v>6</v>
      </c>
      <c r="C32" s="3900">
        <f>SUM(C7,C11,C17,C22,C26)</f>
        <v>7</v>
      </c>
      <c r="D32" s="3901">
        <f t="shared" ref="D32:E32" si="12">SUM(D7,D11,D17,D22,D26)</f>
        <v>5</v>
      </c>
      <c r="E32" s="3899">
        <f t="shared" si="12"/>
        <v>12</v>
      </c>
      <c r="F32" s="3900">
        <f>SUM(F7,F11,F17,F22,F26)</f>
        <v>18</v>
      </c>
      <c r="G32" s="3901">
        <f t="shared" ref="G32:H32" si="13">SUM(G7,G11,G17,G22,G26)</f>
        <v>21</v>
      </c>
      <c r="H32" s="3899">
        <f t="shared" si="13"/>
        <v>39</v>
      </c>
    </row>
    <row r="33" spans="1:8" x14ac:dyDescent="0.25">
      <c r="A33" s="5984"/>
      <c r="B33" s="3899" t="s">
        <v>11</v>
      </c>
      <c r="C33" s="3900">
        <f>SUM(C18,C23,C27)</f>
        <v>7</v>
      </c>
      <c r="D33" s="3901">
        <f t="shared" ref="D33:E33" si="14">SUM(D18,D23,D27)</f>
        <v>5</v>
      </c>
      <c r="E33" s="3899">
        <f t="shared" si="14"/>
        <v>12</v>
      </c>
      <c r="F33" s="3900">
        <f>SUM(F18,F23,F27)</f>
        <v>10</v>
      </c>
      <c r="G33" s="3901">
        <f t="shared" ref="G33:H33" si="15">SUM(G18,G23,G27)</f>
        <v>8</v>
      </c>
      <c r="H33" s="3899">
        <f t="shared" si="15"/>
        <v>18</v>
      </c>
    </row>
    <row r="34" spans="1:8" x14ac:dyDescent="0.25">
      <c r="A34" s="5984"/>
      <c r="B34" s="3899" t="s">
        <v>7</v>
      </c>
      <c r="C34" s="3900">
        <f>SUM(C8,C28)</f>
        <v>1</v>
      </c>
      <c r="D34" s="3901">
        <f t="shared" ref="D34:E34" si="16">SUM(D8,D28)</f>
        <v>0</v>
      </c>
      <c r="E34" s="3899">
        <f t="shared" si="16"/>
        <v>1</v>
      </c>
      <c r="F34" s="3900">
        <f>SUM(F8,F28)</f>
        <v>9</v>
      </c>
      <c r="G34" s="3901">
        <f t="shared" ref="G34:H34" si="17">SUM(G8,G28)</f>
        <v>5</v>
      </c>
      <c r="H34" s="3899">
        <f t="shared" si="17"/>
        <v>14</v>
      </c>
    </row>
    <row r="35" spans="1:8" x14ac:dyDescent="0.25">
      <c r="A35" s="5984"/>
      <c r="B35" s="3899" t="s">
        <v>9</v>
      </c>
      <c r="C35" s="3900">
        <f>SUM(C12)</f>
        <v>4</v>
      </c>
      <c r="D35" s="3901">
        <f t="shared" ref="D35:E35" si="18">SUM(D12)</f>
        <v>3</v>
      </c>
      <c r="E35" s="3899">
        <f t="shared" si="18"/>
        <v>7</v>
      </c>
      <c r="F35" s="3900">
        <f>SUM(F12)</f>
        <v>11</v>
      </c>
      <c r="G35" s="3901">
        <f t="shared" ref="G35:H36" si="19">SUM(G12)</f>
        <v>12</v>
      </c>
      <c r="H35" s="3899">
        <f t="shared" si="19"/>
        <v>23</v>
      </c>
    </row>
    <row r="36" spans="1:8" x14ac:dyDescent="0.25">
      <c r="A36" s="5984"/>
      <c r="B36" s="3899" t="s">
        <v>74</v>
      </c>
      <c r="C36" s="3904">
        <f>SUM(C13)</f>
        <v>4</v>
      </c>
      <c r="D36" s="3905">
        <f t="shared" ref="D36:E36" si="20">SUM(D13)</f>
        <v>3</v>
      </c>
      <c r="E36" s="3907">
        <f t="shared" si="20"/>
        <v>7</v>
      </c>
      <c r="F36" s="3904">
        <f>SUM(F13)</f>
        <v>7</v>
      </c>
      <c r="G36" s="3905">
        <f t="shared" si="19"/>
        <v>8</v>
      </c>
      <c r="H36" s="3907">
        <f t="shared" si="19"/>
        <v>15</v>
      </c>
    </row>
    <row r="37" spans="1:8" x14ac:dyDescent="0.25">
      <c r="A37" s="5985"/>
      <c r="B37" s="1799" t="s">
        <v>160</v>
      </c>
      <c r="C37" s="1799">
        <f t="shared" ref="C37:E37" si="21">SUM(C31:C36)</f>
        <v>23</v>
      </c>
      <c r="D37" s="1800">
        <f t="shared" si="21"/>
        <v>16</v>
      </c>
      <c r="E37" s="3908">
        <f t="shared" si="21"/>
        <v>39</v>
      </c>
      <c r="F37" s="1799">
        <f t="shared" ref="F37:H37" si="22">SUM(F31:F36)</f>
        <v>60</v>
      </c>
      <c r="G37" s="1800">
        <f t="shared" si="22"/>
        <v>62</v>
      </c>
      <c r="H37" s="3908">
        <f t="shared" si="22"/>
        <v>122</v>
      </c>
    </row>
  </sheetData>
  <mergeCells count="10">
    <mergeCell ref="A26:A29"/>
    <mergeCell ref="A31:A37"/>
    <mergeCell ref="A3:A4"/>
    <mergeCell ref="B3:B4"/>
    <mergeCell ref="F3:H3"/>
    <mergeCell ref="A6:A9"/>
    <mergeCell ref="A11:A14"/>
    <mergeCell ref="A16:A19"/>
    <mergeCell ref="A21:A24"/>
    <mergeCell ref="C3:E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A1:J60"/>
  <sheetViews>
    <sheetView showGridLines="0" zoomScaleNormal="100" workbookViewId="0">
      <selection sqref="A1:F1"/>
    </sheetView>
  </sheetViews>
  <sheetFormatPr baseColWidth="10" defaultRowHeight="15" x14ac:dyDescent="0.2"/>
  <cols>
    <col min="1" max="2" width="11.42578125" style="3917"/>
    <col min="3" max="3" width="35.42578125" style="3917" bestFit="1" customWidth="1"/>
    <col min="4" max="5" width="10" style="3917" bestFit="1" customWidth="1"/>
    <col min="6" max="6" width="7.7109375" style="3917" customWidth="1"/>
    <col min="7" max="8" width="10" style="3917" bestFit="1" customWidth="1"/>
    <col min="9" max="9" width="7.7109375" style="3917" customWidth="1"/>
    <col min="10" max="16384" width="11.42578125" style="3917"/>
  </cols>
  <sheetData>
    <row r="1" spans="1:9" ht="37.5" customHeight="1" x14ac:dyDescent="0.2">
      <c r="A1" s="6022" t="s">
        <v>1277</v>
      </c>
      <c r="B1" s="6022"/>
      <c r="C1" s="6022"/>
      <c r="D1" s="6022"/>
      <c r="E1" s="6022"/>
      <c r="F1" s="6022"/>
    </row>
    <row r="2" spans="1:9" x14ac:dyDescent="0.2">
      <c r="G2" s="4146"/>
      <c r="H2" s="4146"/>
      <c r="I2" s="4146"/>
    </row>
    <row r="3" spans="1:9" x14ac:dyDescent="0.2">
      <c r="A3" s="5934" t="s">
        <v>51</v>
      </c>
      <c r="B3" s="5934" t="s">
        <v>702</v>
      </c>
      <c r="C3" s="5934" t="s">
        <v>701</v>
      </c>
      <c r="D3" s="6026">
        <v>2014</v>
      </c>
      <c r="E3" s="6027"/>
      <c r="F3" s="5940"/>
      <c r="G3" s="6023">
        <v>2015</v>
      </c>
      <c r="H3" s="6024"/>
      <c r="I3" s="6025"/>
    </row>
    <row r="4" spans="1:9" x14ac:dyDescent="0.2">
      <c r="A4" s="5934"/>
      <c r="B4" s="5934"/>
      <c r="C4" s="5934"/>
      <c r="D4" s="4653" t="s">
        <v>675</v>
      </c>
      <c r="E4" s="4653" t="s">
        <v>676</v>
      </c>
      <c r="F4" s="3923" t="s">
        <v>160</v>
      </c>
      <c r="G4" s="3916" t="s">
        <v>675</v>
      </c>
      <c r="H4" s="3916" t="s">
        <v>676</v>
      </c>
      <c r="I4" s="3923" t="s">
        <v>160</v>
      </c>
    </row>
    <row r="5" spans="1:9" x14ac:dyDescent="0.2">
      <c r="A5" s="5942" t="s">
        <v>446</v>
      </c>
      <c r="B5" s="5945" t="s">
        <v>5</v>
      </c>
      <c r="C5" s="4654" t="s">
        <v>1326</v>
      </c>
      <c r="D5" s="4655">
        <v>1</v>
      </c>
      <c r="E5" s="4680"/>
      <c r="F5" s="3927">
        <f t="shared" ref="F5:F10" si="0">SUM(D5:E5)</f>
        <v>1</v>
      </c>
      <c r="G5" s="4655"/>
      <c r="H5" s="4680"/>
      <c r="I5" s="3927"/>
    </row>
    <row r="6" spans="1:9" x14ac:dyDescent="0.2">
      <c r="A6" s="5942"/>
      <c r="B6" s="5945"/>
      <c r="C6" s="4657" t="s">
        <v>1327</v>
      </c>
      <c r="D6" s="4658"/>
      <c r="E6" s="4662"/>
      <c r="F6" s="3932">
        <f t="shared" si="0"/>
        <v>0</v>
      </c>
      <c r="G6" s="4658"/>
      <c r="H6" s="4662">
        <v>1</v>
      </c>
      <c r="I6" s="3932">
        <f t="shared" ref="I6:I10" si="1">SUM(G6:H6)</f>
        <v>1</v>
      </c>
    </row>
    <row r="7" spans="1:9" x14ac:dyDescent="0.2">
      <c r="A7" s="5942"/>
      <c r="B7" s="5945"/>
      <c r="C7" s="4657" t="s">
        <v>1328</v>
      </c>
      <c r="D7" s="4658"/>
      <c r="E7" s="4662">
        <v>1</v>
      </c>
      <c r="F7" s="3932">
        <f t="shared" si="0"/>
        <v>1</v>
      </c>
      <c r="G7" s="4658"/>
      <c r="H7" s="4662"/>
      <c r="I7" s="3932"/>
    </row>
    <row r="8" spans="1:9" x14ac:dyDescent="0.2">
      <c r="A8" s="5942"/>
      <c r="B8" s="5945"/>
      <c r="C8" s="4657" t="s">
        <v>1329</v>
      </c>
      <c r="D8" s="4658"/>
      <c r="E8" s="4662">
        <v>1</v>
      </c>
      <c r="F8" s="3932">
        <f t="shared" si="0"/>
        <v>1</v>
      </c>
      <c r="G8" s="4658"/>
      <c r="H8" s="4662">
        <v>1</v>
      </c>
      <c r="I8" s="3932">
        <f t="shared" si="1"/>
        <v>1</v>
      </c>
    </row>
    <row r="9" spans="1:9" x14ac:dyDescent="0.2">
      <c r="A9" s="5942"/>
      <c r="B9" s="5945"/>
      <c r="C9" s="4657" t="s">
        <v>518</v>
      </c>
      <c r="D9" s="4658"/>
      <c r="E9" s="4662"/>
      <c r="F9" s="3932">
        <f t="shared" si="0"/>
        <v>0</v>
      </c>
      <c r="G9" s="4658"/>
      <c r="H9" s="4662">
        <v>1</v>
      </c>
      <c r="I9" s="3932">
        <f t="shared" si="1"/>
        <v>1</v>
      </c>
    </row>
    <row r="10" spans="1:9" x14ac:dyDescent="0.2">
      <c r="A10" s="5942"/>
      <c r="B10" s="5945"/>
      <c r="C10" s="4657" t="s">
        <v>1331</v>
      </c>
      <c r="D10" s="4658">
        <v>2</v>
      </c>
      <c r="E10" s="4669">
        <v>1</v>
      </c>
      <c r="F10" s="3932">
        <f t="shared" si="0"/>
        <v>3</v>
      </c>
      <c r="G10" s="4658">
        <v>1</v>
      </c>
      <c r="H10" s="4669">
        <v>2</v>
      </c>
      <c r="I10" s="3932">
        <f t="shared" si="1"/>
        <v>3</v>
      </c>
    </row>
    <row r="11" spans="1:9" x14ac:dyDescent="0.2">
      <c r="A11" s="5942"/>
      <c r="B11" s="5945"/>
      <c r="C11" s="4661" t="s">
        <v>160</v>
      </c>
      <c r="D11" s="3938">
        <f>SUM(D5:D10)</f>
        <v>3</v>
      </c>
      <c r="E11" s="3939">
        <f>SUM(E5:E10)</f>
        <v>3</v>
      </c>
      <c r="F11" s="3936">
        <f>SUM(F5:F10)</f>
        <v>6</v>
      </c>
      <c r="G11" s="3938">
        <f>SUM(G6:G10)</f>
        <v>1</v>
      </c>
      <c r="H11" s="3939">
        <f>SUM(H6:H10)</f>
        <v>5</v>
      </c>
      <c r="I11" s="3936">
        <f>SUM(I6:I10)</f>
        <v>6</v>
      </c>
    </row>
    <row r="12" spans="1:9" s="3919" customFormat="1" x14ac:dyDescent="0.2">
      <c r="A12" s="5942"/>
      <c r="B12" s="5945" t="s">
        <v>6</v>
      </c>
      <c r="C12" s="4657" t="s">
        <v>462</v>
      </c>
      <c r="D12" s="4658"/>
      <c r="E12" s="4662">
        <v>1</v>
      </c>
      <c r="F12" s="3932">
        <f t="shared" ref="F12:F14" si="2">SUM(D12:E12)</f>
        <v>1</v>
      </c>
      <c r="G12" s="4658">
        <v>1</v>
      </c>
      <c r="H12" s="4662"/>
      <c r="I12" s="3932">
        <f t="shared" ref="I12:I14" si="3">SUM(G12:H12)</f>
        <v>1</v>
      </c>
    </row>
    <row r="13" spans="1:9" s="3919" customFormat="1" x14ac:dyDescent="0.2">
      <c r="A13" s="5942"/>
      <c r="B13" s="5945"/>
      <c r="C13" s="4657" t="s">
        <v>463</v>
      </c>
      <c r="D13" s="4658">
        <v>2</v>
      </c>
      <c r="E13" s="4662">
        <v>1</v>
      </c>
      <c r="F13" s="3932">
        <f t="shared" si="2"/>
        <v>3</v>
      </c>
      <c r="G13" s="4658">
        <v>3</v>
      </c>
      <c r="H13" s="4662"/>
      <c r="I13" s="3932">
        <f t="shared" si="3"/>
        <v>3</v>
      </c>
    </row>
    <row r="14" spans="1:9" s="3919" customFormat="1" x14ac:dyDescent="0.2">
      <c r="A14" s="5942"/>
      <c r="B14" s="5945"/>
      <c r="C14" s="4657" t="s">
        <v>465</v>
      </c>
      <c r="D14" s="4658"/>
      <c r="E14" s="4662"/>
      <c r="F14" s="3932">
        <f t="shared" si="2"/>
        <v>0</v>
      </c>
      <c r="G14" s="4658">
        <v>1</v>
      </c>
      <c r="H14" s="4662"/>
      <c r="I14" s="3932">
        <f t="shared" si="3"/>
        <v>1</v>
      </c>
    </row>
    <row r="15" spans="1:9" x14ac:dyDescent="0.2">
      <c r="A15" s="5942"/>
      <c r="B15" s="5945"/>
      <c r="C15" s="4661" t="s">
        <v>160</v>
      </c>
      <c r="D15" s="3938">
        <f t="shared" ref="D15:I15" si="4">SUM(D12:D14)</f>
        <v>2</v>
      </c>
      <c r="E15" s="3939">
        <f t="shared" si="4"/>
        <v>2</v>
      </c>
      <c r="F15" s="3936">
        <f t="shared" si="4"/>
        <v>4</v>
      </c>
      <c r="G15" s="3938">
        <f t="shared" si="4"/>
        <v>5</v>
      </c>
      <c r="H15" s="3939">
        <f t="shared" si="4"/>
        <v>0</v>
      </c>
      <c r="I15" s="3936">
        <f t="shared" si="4"/>
        <v>5</v>
      </c>
    </row>
    <row r="16" spans="1:9" s="3919" customFormat="1" x14ac:dyDescent="0.2">
      <c r="A16" s="5942"/>
      <c r="B16" s="5945" t="s">
        <v>7</v>
      </c>
      <c r="C16" s="4657" t="s">
        <v>466</v>
      </c>
      <c r="D16" s="4658">
        <v>3</v>
      </c>
      <c r="E16" s="4662"/>
      <c r="F16" s="3932">
        <f t="shared" ref="F16:F18" si="5">SUM(D16:E16)</f>
        <v>3</v>
      </c>
      <c r="G16" s="4658">
        <v>6</v>
      </c>
      <c r="H16" s="4662"/>
      <c r="I16" s="3932">
        <f t="shared" ref="I16:I18" si="6">SUM(G16:H16)</f>
        <v>6</v>
      </c>
    </row>
    <row r="17" spans="1:9" x14ac:dyDescent="0.2">
      <c r="A17" s="5942"/>
      <c r="B17" s="5945"/>
      <c r="C17" s="4657" t="s">
        <v>467</v>
      </c>
      <c r="D17" s="4658">
        <v>3</v>
      </c>
      <c r="E17" s="4662"/>
      <c r="F17" s="3932">
        <f t="shared" si="5"/>
        <v>3</v>
      </c>
      <c r="G17" s="4658"/>
      <c r="H17" s="4662"/>
      <c r="I17" s="3932">
        <f t="shared" si="6"/>
        <v>0</v>
      </c>
    </row>
    <row r="18" spans="1:9" s="3919" customFormat="1" x14ac:dyDescent="0.2">
      <c r="A18" s="5942"/>
      <c r="B18" s="5945"/>
      <c r="C18" s="4657" t="s">
        <v>468</v>
      </c>
      <c r="D18" s="4658"/>
      <c r="E18" s="4662"/>
      <c r="F18" s="3932">
        <f t="shared" si="5"/>
        <v>0</v>
      </c>
      <c r="G18" s="4658">
        <v>1</v>
      </c>
      <c r="H18" s="4662">
        <v>1</v>
      </c>
      <c r="I18" s="3932">
        <f t="shared" si="6"/>
        <v>2</v>
      </c>
    </row>
    <row r="19" spans="1:9" s="3919" customFormat="1" x14ac:dyDescent="0.2">
      <c r="A19" s="5942"/>
      <c r="B19" s="5945"/>
      <c r="C19" s="4661" t="s">
        <v>160</v>
      </c>
      <c r="D19" s="3938">
        <f t="shared" ref="D19:I19" si="7">SUM(D16:D18)</f>
        <v>6</v>
      </c>
      <c r="E19" s="3939">
        <f t="shared" si="7"/>
        <v>0</v>
      </c>
      <c r="F19" s="3936">
        <f t="shared" si="7"/>
        <v>6</v>
      </c>
      <c r="G19" s="3938">
        <f t="shared" si="7"/>
        <v>7</v>
      </c>
      <c r="H19" s="3939">
        <f t="shared" si="7"/>
        <v>1</v>
      </c>
      <c r="I19" s="3936">
        <f t="shared" si="7"/>
        <v>8</v>
      </c>
    </row>
    <row r="20" spans="1:9" ht="15" customHeight="1" x14ac:dyDescent="0.2">
      <c r="A20" s="5943"/>
      <c r="B20" s="5946" t="s">
        <v>450</v>
      </c>
      <c r="C20" s="5947"/>
      <c r="D20" s="4663">
        <f t="shared" ref="D20:I20" si="8">D19+D15+D11</f>
        <v>11</v>
      </c>
      <c r="E20" s="4664">
        <f t="shared" si="8"/>
        <v>5</v>
      </c>
      <c r="F20" s="4665">
        <f t="shared" si="8"/>
        <v>16</v>
      </c>
      <c r="G20" s="4663">
        <f t="shared" si="8"/>
        <v>13</v>
      </c>
      <c r="H20" s="4664">
        <f t="shared" si="8"/>
        <v>6</v>
      </c>
      <c r="I20" s="4665">
        <f t="shared" si="8"/>
        <v>19</v>
      </c>
    </row>
    <row r="21" spans="1:9" s="3919" customFormat="1" ht="15" customHeight="1" x14ac:dyDescent="0.2">
      <c r="A21" s="5948" t="s">
        <v>436</v>
      </c>
      <c r="B21" s="5945" t="s">
        <v>9</v>
      </c>
      <c r="C21" s="4666" t="s">
        <v>505</v>
      </c>
      <c r="D21" s="4667">
        <v>4</v>
      </c>
      <c r="E21" s="4668">
        <v>1</v>
      </c>
      <c r="F21" s="3947">
        <f t="shared" ref="F21" si="9">SUM(D21:E21)</f>
        <v>5</v>
      </c>
      <c r="G21" s="4667">
        <v>1</v>
      </c>
      <c r="H21" s="4668"/>
      <c r="I21" s="3947">
        <f t="shared" ref="I21" si="10">SUM(G21:H21)</f>
        <v>1</v>
      </c>
    </row>
    <row r="22" spans="1:9" x14ac:dyDescent="0.2">
      <c r="A22" s="5948"/>
      <c r="B22" s="5945"/>
      <c r="C22" s="4661" t="s">
        <v>160</v>
      </c>
      <c r="D22" s="3938">
        <f t="shared" ref="D22:I22" si="11">SUM(D21:D21)</f>
        <v>4</v>
      </c>
      <c r="E22" s="3939">
        <f t="shared" si="11"/>
        <v>1</v>
      </c>
      <c r="F22" s="3936">
        <f t="shared" si="11"/>
        <v>5</v>
      </c>
      <c r="G22" s="3938">
        <f t="shared" si="11"/>
        <v>1</v>
      </c>
      <c r="H22" s="3939">
        <f t="shared" si="11"/>
        <v>0</v>
      </c>
      <c r="I22" s="3936">
        <f t="shared" si="11"/>
        <v>1</v>
      </c>
    </row>
    <row r="23" spans="1:9" x14ac:dyDescent="0.2">
      <c r="A23" s="5948"/>
      <c r="B23" s="5945" t="s">
        <v>74</v>
      </c>
      <c r="C23" s="4657" t="s">
        <v>1337</v>
      </c>
      <c r="D23" s="4658">
        <v>1</v>
      </c>
      <c r="E23" s="4669"/>
      <c r="F23" s="3932">
        <f t="shared" ref="F23:F24" si="12">SUM(D23:E23)</f>
        <v>1</v>
      </c>
      <c r="G23" s="4658"/>
      <c r="H23" s="4669"/>
      <c r="I23" s="3932"/>
    </row>
    <row r="24" spans="1:9" x14ac:dyDescent="0.2">
      <c r="A24" s="5948"/>
      <c r="B24" s="5945"/>
      <c r="C24" s="4657" t="s">
        <v>506</v>
      </c>
      <c r="D24" s="4658"/>
      <c r="E24" s="4669"/>
      <c r="F24" s="3932">
        <f t="shared" si="12"/>
        <v>0</v>
      </c>
      <c r="G24" s="4658">
        <v>2</v>
      </c>
      <c r="H24" s="4669"/>
      <c r="I24" s="3932">
        <f t="shared" ref="I24" si="13">SUM(G24:H24)</f>
        <v>2</v>
      </c>
    </row>
    <row r="25" spans="1:9" x14ac:dyDescent="0.2">
      <c r="A25" s="5948"/>
      <c r="B25" s="5945"/>
      <c r="C25" s="4661" t="s">
        <v>160</v>
      </c>
      <c r="D25" s="3938">
        <f>SUM(D23:D24)</f>
        <v>1</v>
      </c>
      <c r="E25" s="3939">
        <f>SUM(E23:E24)</f>
        <v>0</v>
      </c>
      <c r="F25" s="3936">
        <f>SUM(F23:F24)</f>
        <v>1</v>
      </c>
      <c r="G25" s="3938">
        <f>SUM(G24:G24)</f>
        <v>2</v>
      </c>
      <c r="H25" s="3939">
        <f>SUM(H24:H24)</f>
        <v>0</v>
      </c>
      <c r="I25" s="3936">
        <f>SUM(I24:I24)</f>
        <v>2</v>
      </c>
    </row>
    <row r="26" spans="1:9" x14ac:dyDescent="0.2">
      <c r="A26" s="5948"/>
      <c r="B26" s="5945" t="s">
        <v>6</v>
      </c>
      <c r="C26" s="4657" t="s">
        <v>462</v>
      </c>
      <c r="D26" s="4658"/>
      <c r="E26" s="4662"/>
      <c r="F26" s="3932">
        <f t="shared" ref="F26" si="14">SUM(D26:E26)</f>
        <v>0</v>
      </c>
      <c r="G26" s="4658">
        <v>1</v>
      </c>
      <c r="H26" s="4662"/>
      <c r="I26" s="3932">
        <f t="shared" ref="I26" si="15">SUM(G26:H26)</f>
        <v>1</v>
      </c>
    </row>
    <row r="27" spans="1:9" x14ac:dyDescent="0.2">
      <c r="A27" s="5948"/>
      <c r="B27" s="5950"/>
      <c r="C27" s="4661" t="s">
        <v>160</v>
      </c>
      <c r="D27" s="3940">
        <f t="shared" ref="D27:I27" si="16">SUM(D26:D26)</f>
        <v>0</v>
      </c>
      <c r="E27" s="3941">
        <f t="shared" si="16"/>
        <v>0</v>
      </c>
      <c r="F27" s="3937">
        <f t="shared" si="16"/>
        <v>0</v>
      </c>
      <c r="G27" s="3940">
        <f t="shared" si="16"/>
        <v>1</v>
      </c>
      <c r="H27" s="3941">
        <f t="shared" si="16"/>
        <v>0</v>
      </c>
      <c r="I27" s="3937">
        <f t="shared" si="16"/>
        <v>1</v>
      </c>
    </row>
    <row r="28" spans="1:9" x14ac:dyDescent="0.2">
      <c r="A28" s="5949"/>
      <c r="B28" s="5951" t="s">
        <v>450</v>
      </c>
      <c r="C28" s="5952"/>
      <c r="D28" s="4670">
        <f t="shared" ref="D28:I28" si="17">D27+D25+D22</f>
        <v>5</v>
      </c>
      <c r="E28" s="4671">
        <f t="shared" si="17"/>
        <v>1</v>
      </c>
      <c r="F28" s="4672">
        <f t="shared" si="17"/>
        <v>6</v>
      </c>
      <c r="G28" s="4670">
        <f t="shared" si="17"/>
        <v>4</v>
      </c>
      <c r="H28" s="4671">
        <f t="shared" si="17"/>
        <v>0</v>
      </c>
      <c r="I28" s="4672">
        <f t="shared" si="17"/>
        <v>4</v>
      </c>
    </row>
    <row r="29" spans="1:9" ht="15" customHeight="1" x14ac:dyDescent="0.2">
      <c r="A29" s="5954" t="s">
        <v>447</v>
      </c>
      <c r="B29" s="5967" t="s">
        <v>5</v>
      </c>
      <c r="C29" s="4657" t="s">
        <v>1338</v>
      </c>
      <c r="D29" s="4658"/>
      <c r="E29" s="4662"/>
      <c r="F29" s="3932">
        <f t="shared" ref="F29:F30" si="18">SUM(D29:E29)</f>
        <v>0</v>
      </c>
      <c r="G29" s="4658">
        <v>2</v>
      </c>
      <c r="H29" s="4662"/>
      <c r="I29" s="3932">
        <f>SUM(G29:H29)</f>
        <v>2</v>
      </c>
    </row>
    <row r="30" spans="1:9" ht="15" customHeight="1" x14ac:dyDescent="0.2">
      <c r="A30" s="5954"/>
      <c r="B30" s="5967"/>
      <c r="C30" s="4657" t="s">
        <v>473</v>
      </c>
      <c r="D30" s="4658">
        <v>1</v>
      </c>
      <c r="E30" s="4669"/>
      <c r="F30" s="3932">
        <f t="shared" si="18"/>
        <v>1</v>
      </c>
      <c r="G30" s="4658"/>
      <c r="H30" s="4669"/>
      <c r="I30" s="3932"/>
    </row>
    <row r="31" spans="1:9" s="3919" customFormat="1" ht="15" customHeight="1" x14ac:dyDescent="0.2">
      <c r="A31" s="5954"/>
      <c r="B31" s="5944"/>
      <c r="C31" s="4661" t="s">
        <v>160</v>
      </c>
      <c r="D31" s="3938">
        <f t="shared" ref="D31:I31" si="19">SUM(D29:D30)</f>
        <v>1</v>
      </c>
      <c r="E31" s="3939">
        <f t="shared" si="19"/>
        <v>0</v>
      </c>
      <c r="F31" s="3936">
        <f t="shared" si="19"/>
        <v>1</v>
      </c>
      <c r="G31" s="3938">
        <f t="shared" si="19"/>
        <v>2</v>
      </c>
      <c r="H31" s="3939">
        <f t="shared" si="19"/>
        <v>0</v>
      </c>
      <c r="I31" s="3936">
        <f t="shared" si="19"/>
        <v>2</v>
      </c>
    </row>
    <row r="32" spans="1:9" x14ac:dyDescent="0.2">
      <c r="A32" s="5954"/>
      <c r="B32" s="5967" t="s">
        <v>6</v>
      </c>
      <c r="C32" s="4657" t="s">
        <v>476</v>
      </c>
      <c r="D32" s="4658">
        <v>1</v>
      </c>
      <c r="E32" s="4662"/>
      <c r="F32" s="3932">
        <f t="shared" ref="F32:F41" si="20">SUM(D32:E32)</f>
        <v>1</v>
      </c>
      <c r="G32" s="4658">
        <v>2</v>
      </c>
      <c r="H32" s="4662"/>
      <c r="I32" s="3932">
        <f t="shared" ref="I32:I41" si="21">SUM(G32:H32)</f>
        <v>2</v>
      </c>
    </row>
    <row r="33" spans="1:10" x14ac:dyDescent="0.2">
      <c r="A33" s="5954"/>
      <c r="B33" s="5967"/>
      <c r="C33" s="4657" t="s">
        <v>481</v>
      </c>
      <c r="D33" s="4658"/>
      <c r="E33" s="4662">
        <v>2</v>
      </c>
      <c r="F33" s="3932">
        <f t="shared" si="20"/>
        <v>2</v>
      </c>
      <c r="G33" s="4658">
        <v>1</v>
      </c>
      <c r="H33" s="4662"/>
      <c r="I33" s="3932">
        <f t="shared" si="21"/>
        <v>1</v>
      </c>
    </row>
    <row r="34" spans="1:10" s="3919" customFormat="1" x14ac:dyDescent="0.2">
      <c r="A34" s="5954"/>
      <c r="B34" s="5967"/>
      <c r="C34" s="4657" t="s">
        <v>464</v>
      </c>
      <c r="D34" s="4658"/>
      <c r="E34" s="4662"/>
      <c r="F34" s="3932">
        <f t="shared" si="20"/>
        <v>0</v>
      </c>
      <c r="G34" s="4658">
        <v>1</v>
      </c>
      <c r="H34" s="4662"/>
      <c r="I34" s="3932">
        <f t="shared" si="21"/>
        <v>1</v>
      </c>
      <c r="J34" s="3917"/>
    </row>
    <row r="35" spans="1:10" x14ac:dyDescent="0.2">
      <c r="A35" s="5954"/>
      <c r="B35" s="5967"/>
      <c r="C35" s="4657" t="s">
        <v>478</v>
      </c>
      <c r="D35" s="4658"/>
      <c r="E35" s="4662"/>
      <c r="F35" s="3932">
        <f t="shared" si="20"/>
        <v>0</v>
      </c>
      <c r="G35" s="4658">
        <v>1</v>
      </c>
      <c r="H35" s="4662"/>
      <c r="I35" s="3932">
        <f t="shared" si="21"/>
        <v>1</v>
      </c>
      <c r="J35" s="3919"/>
    </row>
    <row r="36" spans="1:10" x14ac:dyDescent="0.2">
      <c r="A36" s="5954"/>
      <c r="B36" s="5967"/>
      <c r="C36" s="4657" t="s">
        <v>483</v>
      </c>
      <c r="D36" s="4658"/>
      <c r="E36" s="4669"/>
      <c r="F36" s="3932">
        <f t="shared" si="20"/>
        <v>0</v>
      </c>
      <c r="G36" s="4658"/>
      <c r="H36" s="4669">
        <v>1</v>
      </c>
      <c r="I36" s="3932">
        <f t="shared" si="21"/>
        <v>1</v>
      </c>
    </row>
    <row r="37" spans="1:10" x14ac:dyDescent="0.2">
      <c r="A37" s="5954"/>
      <c r="B37" s="5967"/>
      <c r="C37" s="4657" t="s">
        <v>479</v>
      </c>
      <c r="D37" s="4658">
        <v>2</v>
      </c>
      <c r="E37" s="4662"/>
      <c r="F37" s="3932">
        <f t="shared" si="20"/>
        <v>2</v>
      </c>
      <c r="G37" s="4658">
        <v>1</v>
      </c>
      <c r="H37" s="4662"/>
      <c r="I37" s="3932">
        <f t="shared" si="21"/>
        <v>1</v>
      </c>
    </row>
    <row r="38" spans="1:10" x14ac:dyDescent="0.2">
      <c r="A38" s="5954"/>
      <c r="B38" s="5967"/>
      <c r="C38" s="4657" t="s">
        <v>477</v>
      </c>
      <c r="D38" s="4658"/>
      <c r="E38" s="4662"/>
      <c r="F38" s="3932">
        <f t="shared" si="20"/>
        <v>0</v>
      </c>
      <c r="G38" s="4658">
        <v>5</v>
      </c>
      <c r="H38" s="4662">
        <v>1</v>
      </c>
      <c r="I38" s="3932">
        <f t="shared" si="21"/>
        <v>6</v>
      </c>
    </row>
    <row r="39" spans="1:10" x14ac:dyDescent="0.2">
      <c r="A39" s="5954"/>
      <c r="B39" s="5967"/>
      <c r="C39" s="4657" t="s">
        <v>480</v>
      </c>
      <c r="D39" s="4658"/>
      <c r="E39" s="4662"/>
      <c r="F39" s="3932">
        <f t="shared" si="20"/>
        <v>0</v>
      </c>
      <c r="G39" s="4658">
        <v>1</v>
      </c>
      <c r="H39" s="4662"/>
      <c r="I39" s="3932">
        <f t="shared" si="21"/>
        <v>1</v>
      </c>
    </row>
    <row r="40" spans="1:10" x14ac:dyDescent="0.2">
      <c r="A40" s="5954"/>
      <c r="B40" s="5967"/>
      <c r="C40" s="4657" t="s">
        <v>482</v>
      </c>
      <c r="D40" s="4658"/>
      <c r="E40" s="4662"/>
      <c r="F40" s="3932">
        <f t="shared" si="20"/>
        <v>0</v>
      </c>
      <c r="G40" s="4658">
        <v>1</v>
      </c>
      <c r="H40" s="4662"/>
      <c r="I40" s="3932">
        <f t="shared" si="21"/>
        <v>1</v>
      </c>
    </row>
    <row r="41" spans="1:10" s="3919" customFormat="1" x14ac:dyDescent="0.2">
      <c r="A41" s="5954"/>
      <c r="B41" s="5967"/>
      <c r="C41" s="4657" t="s">
        <v>465</v>
      </c>
      <c r="D41" s="4658">
        <v>3</v>
      </c>
      <c r="E41" s="4662">
        <v>1</v>
      </c>
      <c r="F41" s="3932">
        <f t="shared" si="20"/>
        <v>4</v>
      </c>
      <c r="G41" s="4658">
        <v>3</v>
      </c>
      <c r="H41" s="4662"/>
      <c r="I41" s="3932">
        <f t="shared" si="21"/>
        <v>3</v>
      </c>
      <c r="J41" s="3917"/>
    </row>
    <row r="42" spans="1:10" s="3919" customFormat="1" x14ac:dyDescent="0.2">
      <c r="A42" s="5954"/>
      <c r="B42" s="5944"/>
      <c r="C42" s="4661" t="s">
        <v>160</v>
      </c>
      <c r="D42" s="3938">
        <f t="shared" ref="D42:I42" si="22">SUM(D32:D41)</f>
        <v>6</v>
      </c>
      <c r="E42" s="3939">
        <f t="shared" si="22"/>
        <v>3</v>
      </c>
      <c r="F42" s="3936">
        <f t="shared" si="22"/>
        <v>9</v>
      </c>
      <c r="G42" s="3938">
        <f t="shared" si="22"/>
        <v>16</v>
      </c>
      <c r="H42" s="3939">
        <f t="shared" si="22"/>
        <v>2</v>
      </c>
      <c r="I42" s="3936">
        <f t="shared" si="22"/>
        <v>18</v>
      </c>
    </row>
    <row r="43" spans="1:10" x14ac:dyDescent="0.2">
      <c r="A43" s="5954"/>
      <c r="B43" s="5967" t="s">
        <v>11</v>
      </c>
      <c r="C43" s="4657" t="s">
        <v>485</v>
      </c>
      <c r="D43" s="4658"/>
      <c r="E43" s="4662">
        <v>1</v>
      </c>
      <c r="F43" s="3932">
        <f t="shared" ref="F43:F44" si="23">SUM(D43:E43)</f>
        <v>1</v>
      </c>
      <c r="G43" s="4658"/>
      <c r="H43" s="4662"/>
      <c r="I43" s="3932"/>
      <c r="J43" s="3919"/>
    </row>
    <row r="44" spans="1:10" x14ac:dyDescent="0.2">
      <c r="A44" s="5954"/>
      <c r="B44" s="5967"/>
      <c r="C44" s="4657" t="s">
        <v>1472</v>
      </c>
      <c r="D44" s="4658"/>
      <c r="E44" s="4662"/>
      <c r="F44" s="3932">
        <f t="shared" si="23"/>
        <v>0</v>
      </c>
      <c r="G44" s="4658">
        <v>1</v>
      </c>
      <c r="H44" s="4662"/>
      <c r="I44" s="3932">
        <f>SUM(G44:H44)</f>
        <v>1</v>
      </c>
    </row>
    <row r="45" spans="1:10" x14ac:dyDescent="0.2">
      <c r="A45" s="5954"/>
      <c r="B45" s="5944"/>
      <c r="C45" s="4673" t="s">
        <v>160</v>
      </c>
      <c r="D45" s="3940">
        <f t="shared" ref="D45:I45" si="24">SUM(D43:D44)</f>
        <v>0</v>
      </c>
      <c r="E45" s="3941">
        <f t="shared" si="24"/>
        <v>1</v>
      </c>
      <c r="F45" s="3937">
        <f t="shared" si="24"/>
        <v>1</v>
      </c>
      <c r="G45" s="3940">
        <f t="shared" si="24"/>
        <v>1</v>
      </c>
      <c r="H45" s="3941">
        <f t="shared" si="24"/>
        <v>0</v>
      </c>
      <c r="I45" s="3937">
        <f t="shared" si="24"/>
        <v>1</v>
      </c>
    </row>
    <row r="46" spans="1:10" x14ac:dyDescent="0.2">
      <c r="A46" s="5955"/>
      <c r="B46" s="5965" t="s">
        <v>450</v>
      </c>
      <c r="C46" s="5966"/>
      <c r="D46" s="4674">
        <f>D45+D42+D31</f>
        <v>7</v>
      </c>
      <c r="E46" s="4675">
        <f>E45+E42+E31</f>
        <v>4</v>
      </c>
      <c r="F46" s="4676">
        <f>F45+F42+F31</f>
        <v>11</v>
      </c>
      <c r="G46" s="4674">
        <f>SUM(G31,G42,G45)</f>
        <v>19</v>
      </c>
      <c r="H46" s="4675">
        <f>SUM(H31,H42,H45)</f>
        <v>2</v>
      </c>
      <c r="I46" s="4676">
        <f>SUM(I31,I42,I45)</f>
        <v>21</v>
      </c>
    </row>
    <row r="47" spans="1:10" x14ac:dyDescent="0.2">
      <c r="A47" s="5961" t="s">
        <v>448</v>
      </c>
      <c r="B47" s="5945" t="s">
        <v>6</v>
      </c>
      <c r="C47" s="4654" t="s">
        <v>462</v>
      </c>
      <c r="D47" s="4655"/>
      <c r="E47" s="4680"/>
      <c r="F47" s="3927">
        <f t="shared" ref="F47:F49" si="25">SUM(D47:E47)</f>
        <v>0</v>
      </c>
      <c r="G47" s="4655"/>
      <c r="H47" s="4680">
        <v>2</v>
      </c>
      <c r="I47" s="3927">
        <f>SUM(G47:H47)</f>
        <v>2</v>
      </c>
    </row>
    <row r="48" spans="1:10" x14ac:dyDescent="0.2">
      <c r="A48" s="5961"/>
      <c r="B48" s="5945"/>
      <c r="C48" s="4657" t="s">
        <v>491</v>
      </c>
      <c r="D48" s="4658">
        <v>1</v>
      </c>
      <c r="E48" s="4662"/>
      <c r="F48" s="3932">
        <f t="shared" si="25"/>
        <v>1</v>
      </c>
      <c r="G48" s="4658">
        <v>1</v>
      </c>
      <c r="H48" s="4662"/>
      <c r="I48" s="3927">
        <f t="shared" ref="I48:I49" si="26">SUM(G48:H48)</f>
        <v>1</v>
      </c>
    </row>
    <row r="49" spans="1:9" x14ac:dyDescent="0.2">
      <c r="A49" s="5961"/>
      <c r="B49" s="5945"/>
      <c r="C49" s="4657" t="s">
        <v>465</v>
      </c>
      <c r="D49" s="4658"/>
      <c r="E49" s="4662"/>
      <c r="F49" s="3932">
        <f t="shared" si="25"/>
        <v>0</v>
      </c>
      <c r="G49" s="4658">
        <v>1</v>
      </c>
      <c r="H49" s="4662"/>
      <c r="I49" s="3927">
        <f t="shared" si="26"/>
        <v>1</v>
      </c>
    </row>
    <row r="50" spans="1:9" x14ac:dyDescent="0.2">
      <c r="A50" s="5961"/>
      <c r="B50" s="5945"/>
      <c r="C50" s="4661" t="s">
        <v>160</v>
      </c>
      <c r="D50" s="3938">
        <f t="shared" ref="D50:I50" si="27">SUM(D47:D49)</f>
        <v>1</v>
      </c>
      <c r="E50" s="3939">
        <f t="shared" si="27"/>
        <v>0</v>
      </c>
      <c r="F50" s="3936">
        <f t="shared" si="27"/>
        <v>1</v>
      </c>
      <c r="G50" s="3938">
        <f t="shared" si="27"/>
        <v>2</v>
      </c>
      <c r="H50" s="3939">
        <f t="shared" si="27"/>
        <v>2</v>
      </c>
      <c r="I50" s="3936">
        <f t="shared" si="27"/>
        <v>4</v>
      </c>
    </row>
    <row r="51" spans="1:9" x14ac:dyDescent="0.2">
      <c r="A51" s="5961"/>
      <c r="B51" s="5945" t="s">
        <v>11</v>
      </c>
      <c r="C51" s="4657" t="s">
        <v>497</v>
      </c>
      <c r="D51" s="4658"/>
      <c r="E51" s="4662"/>
      <c r="F51" s="3932">
        <f t="shared" ref="F51:F56" si="28">SUM(D51:E51)</f>
        <v>0</v>
      </c>
      <c r="G51" s="4658">
        <v>1</v>
      </c>
      <c r="H51" s="4662"/>
      <c r="I51" s="3932">
        <f>SUM(G51:H51)</f>
        <v>1</v>
      </c>
    </row>
    <row r="52" spans="1:9" x14ac:dyDescent="0.2">
      <c r="A52" s="5961"/>
      <c r="B52" s="5945"/>
      <c r="C52" s="4657" t="s">
        <v>494</v>
      </c>
      <c r="D52" s="4658"/>
      <c r="E52" s="4669"/>
      <c r="F52" s="3932">
        <f t="shared" si="28"/>
        <v>0</v>
      </c>
      <c r="G52" s="4658">
        <v>1</v>
      </c>
      <c r="H52" s="4669">
        <v>1</v>
      </c>
      <c r="I52" s="3932">
        <f t="shared" ref="I52:I56" si="29">SUM(G52:H52)</f>
        <v>2</v>
      </c>
    </row>
    <row r="53" spans="1:9" x14ac:dyDescent="0.2">
      <c r="A53" s="5961"/>
      <c r="B53" s="5945"/>
      <c r="C53" s="4657" t="s">
        <v>498</v>
      </c>
      <c r="D53" s="4658">
        <v>5</v>
      </c>
      <c r="E53" s="4662">
        <v>1</v>
      </c>
      <c r="F53" s="3932">
        <f t="shared" si="28"/>
        <v>6</v>
      </c>
      <c r="G53" s="4658">
        <v>4</v>
      </c>
      <c r="H53" s="4662"/>
      <c r="I53" s="3932">
        <f t="shared" si="29"/>
        <v>4</v>
      </c>
    </row>
    <row r="54" spans="1:9" x14ac:dyDescent="0.2">
      <c r="A54" s="5961"/>
      <c r="B54" s="5945"/>
      <c r="C54" s="4657" t="s">
        <v>496</v>
      </c>
      <c r="D54" s="4658"/>
      <c r="E54" s="4669"/>
      <c r="F54" s="3932">
        <f t="shared" si="28"/>
        <v>0</v>
      </c>
      <c r="G54" s="4658"/>
      <c r="H54" s="4669">
        <v>1</v>
      </c>
      <c r="I54" s="3932">
        <f t="shared" si="29"/>
        <v>1</v>
      </c>
    </row>
    <row r="55" spans="1:9" x14ac:dyDescent="0.2">
      <c r="A55" s="5961"/>
      <c r="B55" s="5945"/>
      <c r="C55" s="4657" t="s">
        <v>499</v>
      </c>
      <c r="D55" s="4658"/>
      <c r="E55" s="4662"/>
      <c r="F55" s="3932">
        <f t="shared" si="28"/>
        <v>0</v>
      </c>
      <c r="G55" s="4658">
        <v>1</v>
      </c>
      <c r="H55" s="4662"/>
      <c r="I55" s="3932">
        <f t="shared" si="29"/>
        <v>1</v>
      </c>
    </row>
    <row r="56" spans="1:9" x14ac:dyDescent="0.2">
      <c r="A56" s="5961"/>
      <c r="B56" s="5945"/>
      <c r="C56" s="4657" t="s">
        <v>495</v>
      </c>
      <c r="D56" s="4658"/>
      <c r="E56" s="4662"/>
      <c r="F56" s="3932">
        <f t="shared" si="28"/>
        <v>0</v>
      </c>
      <c r="G56" s="4658">
        <v>1</v>
      </c>
      <c r="H56" s="4662"/>
      <c r="I56" s="3932">
        <f t="shared" si="29"/>
        <v>1</v>
      </c>
    </row>
    <row r="57" spans="1:9" x14ac:dyDescent="0.2">
      <c r="A57" s="5961"/>
      <c r="B57" s="5945"/>
      <c r="C57" s="4661" t="s">
        <v>160</v>
      </c>
      <c r="D57" s="3938">
        <f t="shared" ref="D57:I57" si="30">SUM(D51:D56)</f>
        <v>5</v>
      </c>
      <c r="E57" s="3939">
        <f t="shared" si="30"/>
        <v>1</v>
      </c>
      <c r="F57" s="3936">
        <f t="shared" si="30"/>
        <v>6</v>
      </c>
      <c r="G57" s="3938">
        <f t="shared" si="30"/>
        <v>8</v>
      </c>
      <c r="H57" s="3939">
        <f t="shared" si="30"/>
        <v>2</v>
      </c>
      <c r="I57" s="3936">
        <f t="shared" si="30"/>
        <v>10</v>
      </c>
    </row>
    <row r="58" spans="1:9" x14ac:dyDescent="0.2">
      <c r="A58" s="5962"/>
      <c r="B58" s="5963" t="s">
        <v>450</v>
      </c>
      <c r="C58" s="5964"/>
      <c r="D58" s="4681">
        <f>SUM(D57,D50)</f>
        <v>6</v>
      </c>
      <c r="E58" s="4682">
        <f t="shared" ref="E58:I58" si="31">SUM(E57,E50)</f>
        <v>1</v>
      </c>
      <c r="F58" s="4683">
        <f t="shared" si="31"/>
        <v>7</v>
      </c>
      <c r="G58" s="4681">
        <f t="shared" si="31"/>
        <v>10</v>
      </c>
      <c r="H58" s="4682">
        <f t="shared" si="31"/>
        <v>4</v>
      </c>
      <c r="I58" s="4683">
        <f t="shared" si="31"/>
        <v>14</v>
      </c>
    </row>
    <row r="59" spans="1:9" x14ac:dyDescent="0.2">
      <c r="A59" s="3919"/>
      <c r="B59" s="3919"/>
      <c r="C59" s="3919"/>
      <c r="D59" s="3919"/>
      <c r="E59" s="3919"/>
      <c r="F59" s="3919"/>
      <c r="G59" s="3919"/>
      <c r="H59" s="3919"/>
      <c r="I59" s="3919"/>
    </row>
    <row r="60" spans="1:9" x14ac:dyDescent="0.2">
      <c r="A60" s="5935" t="s">
        <v>76</v>
      </c>
      <c r="B60" s="5936"/>
      <c r="C60" s="5937"/>
      <c r="D60" s="4684">
        <f>SUM(D20,D28,D46,D58)</f>
        <v>29</v>
      </c>
      <c r="E60" s="4685">
        <f t="shared" ref="E60:I60" si="32">SUM(E20,E28,E46,E58)</f>
        <v>11</v>
      </c>
      <c r="F60" s="4686">
        <f t="shared" si="32"/>
        <v>40</v>
      </c>
      <c r="G60" s="4684">
        <f t="shared" si="32"/>
        <v>46</v>
      </c>
      <c r="H60" s="4685">
        <f t="shared" si="32"/>
        <v>12</v>
      </c>
      <c r="I60" s="4686">
        <f t="shared" si="32"/>
        <v>58</v>
      </c>
    </row>
  </sheetData>
  <mergeCells count="26">
    <mergeCell ref="A1:F1"/>
    <mergeCell ref="G3:I3"/>
    <mergeCell ref="A3:A4"/>
    <mergeCell ref="B3:B4"/>
    <mergeCell ref="C3:C4"/>
    <mergeCell ref="D3:F3"/>
    <mergeCell ref="A5:A20"/>
    <mergeCell ref="B5:B11"/>
    <mergeCell ref="B12:B15"/>
    <mergeCell ref="B16:B19"/>
    <mergeCell ref="B20:C20"/>
    <mergeCell ref="A21:A28"/>
    <mergeCell ref="B21:B22"/>
    <mergeCell ref="B23:B25"/>
    <mergeCell ref="B26:B27"/>
    <mergeCell ref="B28:C28"/>
    <mergeCell ref="A29:A46"/>
    <mergeCell ref="B29:B31"/>
    <mergeCell ref="B32:B42"/>
    <mergeCell ref="B43:B45"/>
    <mergeCell ref="B46:C46"/>
    <mergeCell ref="A60:C60"/>
    <mergeCell ref="A47:A58"/>
    <mergeCell ref="B47:B50"/>
    <mergeCell ref="B51:B57"/>
    <mergeCell ref="B58:C58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scale="79" orientation="landscape" horizontalDpi="4294967292" verticalDpi="4294967292" r:id="rId1"/>
  <ignoredErrors>
    <ignoredError sqref="I11:I13 I50 I24:I26 I57 I32:I42 I15 I22 F11:F13 F14:F15 F25 F31 F42" formula="1"/>
  </ignoredErrors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A1:H37"/>
  <sheetViews>
    <sheetView showGridLines="0" workbookViewId="0">
      <selection activeCell="L30" sqref="L30"/>
    </sheetView>
  </sheetViews>
  <sheetFormatPr baseColWidth="10" defaultRowHeight="15" x14ac:dyDescent="0.25"/>
  <cols>
    <col min="1" max="1" width="15" style="251" bestFit="1" customWidth="1"/>
    <col min="2" max="2" width="11.42578125" style="251"/>
    <col min="3" max="3" width="10.42578125" style="251" bestFit="1" customWidth="1"/>
    <col min="4" max="4" width="10" style="251" bestFit="1" customWidth="1"/>
    <col min="5" max="5" width="7.7109375" style="251" customWidth="1"/>
    <col min="6" max="6" width="10.42578125" style="251" bestFit="1" customWidth="1"/>
    <col min="7" max="7" width="10" style="251" bestFit="1" customWidth="1"/>
    <col min="8" max="8" width="7.7109375" style="251" customWidth="1"/>
    <col min="9" max="16384" width="11.42578125" style="251"/>
  </cols>
  <sheetData>
    <row r="1" spans="1:8" ht="30" customHeight="1" x14ac:dyDescent="0.25">
      <c r="A1" s="6030" t="s">
        <v>1277</v>
      </c>
      <c r="B1" s="6030"/>
      <c r="C1" s="6030"/>
      <c r="D1" s="6030"/>
      <c r="E1" s="6030"/>
      <c r="F1" s="6030"/>
      <c r="G1" s="6030"/>
      <c r="H1" s="6030"/>
    </row>
    <row r="3" spans="1:8" x14ac:dyDescent="0.25">
      <c r="A3" s="5999" t="s">
        <v>16</v>
      </c>
      <c r="B3" s="5999" t="s">
        <v>4</v>
      </c>
      <c r="C3" s="6028">
        <v>2015</v>
      </c>
      <c r="D3" s="6028"/>
      <c r="E3" s="6029"/>
      <c r="F3" s="6028">
        <v>2015</v>
      </c>
      <c r="G3" s="6028"/>
      <c r="H3" s="6029"/>
    </row>
    <row r="4" spans="1:8" x14ac:dyDescent="0.25">
      <c r="A4" s="5993"/>
      <c r="B4" s="5993"/>
      <c r="C4" s="3906" t="s">
        <v>1347</v>
      </c>
      <c r="D4" s="3906" t="s">
        <v>676</v>
      </c>
      <c r="E4" s="3910" t="s">
        <v>160</v>
      </c>
      <c r="F4" s="3906" t="s">
        <v>1347</v>
      </c>
      <c r="G4" s="3906" t="s">
        <v>676</v>
      </c>
      <c r="H4" s="3910" t="s">
        <v>160</v>
      </c>
    </row>
    <row r="5" spans="1:8" x14ac:dyDescent="0.25">
      <c r="A5" s="3895"/>
      <c r="B5" s="3895"/>
    </row>
    <row r="6" spans="1:8" x14ac:dyDescent="0.25">
      <c r="A6" s="5989" t="s">
        <v>3</v>
      </c>
      <c r="B6" s="3896" t="s">
        <v>5</v>
      </c>
      <c r="C6" s="3897">
        <f>SUM('8 Partic Lic plan'!D11)</f>
        <v>3</v>
      </c>
      <c r="D6" s="3898">
        <f>SUM('8 Partic Lic plan'!E11)</f>
        <v>3</v>
      </c>
      <c r="E6" s="3898">
        <f>SUM(C6:D6)</f>
        <v>6</v>
      </c>
      <c r="F6" s="3897">
        <f>SUM('8 Partic Lic plan'!G11)</f>
        <v>1</v>
      </c>
      <c r="G6" s="3898">
        <f>SUM('8 Partic Lic plan'!H11)</f>
        <v>5</v>
      </c>
      <c r="H6" s="3898">
        <f>SUM(F6:G6)</f>
        <v>6</v>
      </c>
    </row>
    <row r="7" spans="1:8" x14ac:dyDescent="0.25">
      <c r="A7" s="5990"/>
      <c r="B7" s="3899" t="s">
        <v>6</v>
      </c>
      <c r="C7" s="3900">
        <f>SUM('8 Partic Lic plan'!D15)</f>
        <v>2</v>
      </c>
      <c r="D7" s="3901">
        <f>SUM('8 Partic Lic plan'!E15)</f>
        <v>2</v>
      </c>
      <c r="E7" s="3901">
        <f t="shared" ref="E7:E8" si="0">SUM(C7:D7)</f>
        <v>4</v>
      </c>
      <c r="F7" s="3900">
        <f>SUM('8 Partic Lic plan'!G15)</f>
        <v>5</v>
      </c>
      <c r="G7" s="3901">
        <f>SUM('8 Partic Lic plan'!H15)</f>
        <v>0</v>
      </c>
      <c r="H7" s="3901">
        <f t="shared" ref="H7:H8" si="1">SUM(F7:G7)</f>
        <v>5</v>
      </c>
    </row>
    <row r="8" spans="1:8" x14ac:dyDescent="0.25">
      <c r="A8" s="5990"/>
      <c r="B8" s="3899" t="s">
        <v>7</v>
      </c>
      <c r="C8" s="3900">
        <f>SUM('8 Partic Lic plan'!D19)</f>
        <v>6</v>
      </c>
      <c r="D8" s="3901">
        <f>SUM('8 Partic Lic plan'!E19)</f>
        <v>0</v>
      </c>
      <c r="E8" s="3901">
        <f t="shared" si="0"/>
        <v>6</v>
      </c>
      <c r="F8" s="3900">
        <f>SUM('8 Partic Lic plan'!G19)</f>
        <v>7</v>
      </c>
      <c r="G8" s="3901">
        <f>SUM('8 Partic Lic plan'!H19)</f>
        <v>1</v>
      </c>
      <c r="H8" s="3901">
        <f t="shared" si="1"/>
        <v>8</v>
      </c>
    </row>
    <row r="9" spans="1:8" x14ac:dyDescent="0.25">
      <c r="A9" s="5991"/>
      <c r="B9" s="2749" t="s">
        <v>160</v>
      </c>
      <c r="C9" s="2750">
        <f t="shared" ref="C9:H9" si="2">SUM(C6:C8)</f>
        <v>11</v>
      </c>
      <c r="D9" s="2751">
        <f t="shared" si="2"/>
        <v>5</v>
      </c>
      <c r="E9" s="2751">
        <f t="shared" si="2"/>
        <v>16</v>
      </c>
      <c r="F9" s="2750">
        <f t="shared" si="2"/>
        <v>13</v>
      </c>
      <c r="G9" s="2751">
        <f t="shared" si="2"/>
        <v>6</v>
      </c>
      <c r="H9" s="2751">
        <f t="shared" si="2"/>
        <v>19</v>
      </c>
    </row>
    <row r="10" spans="1:8" x14ac:dyDescent="0.25">
      <c r="A10" s="3902"/>
      <c r="B10" s="3902"/>
    </row>
    <row r="11" spans="1:8" x14ac:dyDescent="0.25">
      <c r="A11" s="5974" t="s">
        <v>8</v>
      </c>
      <c r="B11" s="3896" t="s">
        <v>6</v>
      </c>
      <c r="C11" s="3897">
        <f>+'8 Partic Lic plan'!D27</f>
        <v>0</v>
      </c>
      <c r="D11" s="3898">
        <f>+'8 Partic Lic plan'!E27</f>
        <v>0</v>
      </c>
      <c r="E11" s="3898">
        <f>+'8 Partic Lic plan'!F27</f>
        <v>0</v>
      </c>
      <c r="F11" s="3897">
        <f>+'8 Partic Lic plan'!G27</f>
        <v>1</v>
      </c>
      <c r="G11" s="3898">
        <f>+'8 Partic Lic plan'!H27</f>
        <v>0</v>
      </c>
      <c r="H11" s="3898">
        <f>+'8 Partic Lic plan'!I27</f>
        <v>1</v>
      </c>
    </row>
    <row r="12" spans="1:8" x14ac:dyDescent="0.25">
      <c r="A12" s="5975"/>
      <c r="B12" s="3899" t="s">
        <v>9</v>
      </c>
      <c r="C12" s="3900">
        <f>+'8 Partic Lic plan'!D22</f>
        <v>4</v>
      </c>
      <c r="D12" s="3901">
        <f>+'8 Partic Lic plan'!E22</f>
        <v>1</v>
      </c>
      <c r="E12" s="3901">
        <f>+'8 Partic Lic plan'!F22</f>
        <v>5</v>
      </c>
      <c r="F12" s="3900">
        <f>+'8 Partic Lic plan'!G22</f>
        <v>1</v>
      </c>
      <c r="G12" s="3901">
        <f>+'8 Partic Lic plan'!H22</f>
        <v>0</v>
      </c>
      <c r="H12" s="3901">
        <f>+'8 Partic Lic plan'!I22</f>
        <v>1</v>
      </c>
    </row>
    <row r="13" spans="1:8" x14ac:dyDescent="0.25">
      <c r="A13" s="5975"/>
      <c r="B13" s="3899" t="s">
        <v>74</v>
      </c>
      <c r="C13" s="3900">
        <f>+'8 Partic Lic plan'!D25</f>
        <v>1</v>
      </c>
      <c r="D13" s="3901">
        <f>+'8 Partic Lic plan'!E25</f>
        <v>0</v>
      </c>
      <c r="E13" s="3901">
        <f>+'8 Partic Lic plan'!F25</f>
        <v>1</v>
      </c>
      <c r="F13" s="3900">
        <f>+'8 Partic Lic plan'!G25</f>
        <v>2</v>
      </c>
      <c r="G13" s="3901">
        <f>+'8 Partic Lic plan'!H25</f>
        <v>0</v>
      </c>
      <c r="H13" s="3901">
        <f>+'8 Partic Lic plan'!I25</f>
        <v>2</v>
      </c>
    </row>
    <row r="14" spans="1:8" x14ac:dyDescent="0.25">
      <c r="A14" s="5976"/>
      <c r="B14" s="2746" t="s">
        <v>160</v>
      </c>
      <c r="C14" s="2747">
        <f t="shared" ref="C14:H14" si="3">SUM(C11:C13)</f>
        <v>5</v>
      </c>
      <c r="D14" s="2748">
        <f t="shared" si="3"/>
        <v>1</v>
      </c>
      <c r="E14" s="2746">
        <f t="shared" si="3"/>
        <v>6</v>
      </c>
      <c r="F14" s="2747">
        <f t="shared" si="3"/>
        <v>4</v>
      </c>
      <c r="G14" s="2748">
        <f t="shared" si="3"/>
        <v>0</v>
      </c>
      <c r="H14" s="2746">
        <f t="shared" si="3"/>
        <v>4</v>
      </c>
    </row>
    <row r="15" spans="1:8" x14ac:dyDescent="0.25">
      <c r="A15" s="3895"/>
      <c r="B15" s="3895"/>
    </row>
    <row r="16" spans="1:8" x14ac:dyDescent="0.25">
      <c r="A16" s="5977" t="s">
        <v>75</v>
      </c>
      <c r="B16" s="3896" t="s">
        <v>5</v>
      </c>
      <c r="C16" s="3897">
        <f>+'8 Partic Lic plan'!D31</f>
        <v>1</v>
      </c>
      <c r="D16" s="3898">
        <f>+'8 Partic Lic plan'!E31</f>
        <v>0</v>
      </c>
      <c r="E16" s="3898">
        <f>+'8 Partic Lic plan'!F31</f>
        <v>1</v>
      </c>
      <c r="F16" s="3897">
        <f>+'8 Partic Lic plan'!G31</f>
        <v>2</v>
      </c>
      <c r="G16" s="3898">
        <f>+'8 Partic Lic plan'!H31</f>
        <v>0</v>
      </c>
      <c r="H16" s="3898">
        <f>+'8 Partic Lic plan'!I31</f>
        <v>2</v>
      </c>
    </row>
    <row r="17" spans="1:8" x14ac:dyDescent="0.25">
      <c r="A17" s="5978"/>
      <c r="B17" s="3899" t="s">
        <v>6</v>
      </c>
      <c r="C17" s="3900">
        <f>+'8 Partic Lic plan'!D42</f>
        <v>6</v>
      </c>
      <c r="D17" s="3901">
        <f>+'8 Partic Lic plan'!E42</f>
        <v>3</v>
      </c>
      <c r="E17" s="3901">
        <f t="shared" ref="E17:E18" si="4">SUM(C17:D17)</f>
        <v>9</v>
      </c>
      <c r="F17" s="3900">
        <f>+'8 Partic Lic plan'!G42</f>
        <v>16</v>
      </c>
      <c r="G17" s="3901">
        <f>+'8 Partic Lic plan'!H42</f>
        <v>2</v>
      </c>
      <c r="H17" s="3901">
        <f t="shared" ref="H17:H18" si="5">SUM(F17:G17)</f>
        <v>18</v>
      </c>
    </row>
    <row r="18" spans="1:8" x14ac:dyDescent="0.25">
      <c r="A18" s="5978"/>
      <c r="B18" s="3899" t="s">
        <v>11</v>
      </c>
      <c r="C18" s="3900">
        <f>+'8 Partic Lic plan'!D45</f>
        <v>0</v>
      </c>
      <c r="D18" s="3901">
        <f>+'8 Partic Lic plan'!E45</f>
        <v>1</v>
      </c>
      <c r="E18" s="3901">
        <f t="shared" si="4"/>
        <v>1</v>
      </c>
      <c r="F18" s="3900">
        <f>+'8 Partic Lic plan'!G45</f>
        <v>1</v>
      </c>
      <c r="G18" s="3901">
        <f>+'8 Partic Lic plan'!H45</f>
        <v>0</v>
      </c>
      <c r="H18" s="3901">
        <f t="shared" si="5"/>
        <v>1</v>
      </c>
    </row>
    <row r="19" spans="1:8" x14ac:dyDescent="0.25">
      <c r="A19" s="5979"/>
      <c r="B19" s="2743" t="s">
        <v>160</v>
      </c>
      <c r="C19" s="2744">
        <f t="shared" ref="C19:H19" si="6">SUM(C16:C18)</f>
        <v>7</v>
      </c>
      <c r="D19" s="2745">
        <f t="shared" si="6"/>
        <v>4</v>
      </c>
      <c r="E19" s="2745">
        <f t="shared" si="6"/>
        <v>11</v>
      </c>
      <c r="F19" s="2744">
        <f t="shared" si="6"/>
        <v>19</v>
      </c>
      <c r="G19" s="2745">
        <f t="shared" si="6"/>
        <v>2</v>
      </c>
      <c r="H19" s="2745">
        <f t="shared" si="6"/>
        <v>21</v>
      </c>
    </row>
    <row r="20" spans="1:8" hidden="1" x14ac:dyDescent="0.25"/>
    <row r="21" spans="1:8" hidden="1" x14ac:dyDescent="0.25">
      <c r="A21" s="5986" t="s">
        <v>326</v>
      </c>
      <c r="B21" s="3896" t="s">
        <v>5</v>
      </c>
      <c r="C21" s="3897"/>
      <c r="D21" s="3898"/>
      <c r="E21" s="3898"/>
      <c r="F21" s="3897"/>
      <c r="G21" s="3898"/>
      <c r="H21" s="3898"/>
    </row>
    <row r="22" spans="1:8" hidden="1" x14ac:dyDescent="0.25">
      <c r="A22" s="5987"/>
      <c r="B22" s="3899" t="s">
        <v>6</v>
      </c>
      <c r="C22" s="3900"/>
      <c r="D22" s="3901"/>
      <c r="E22" s="3901"/>
      <c r="F22" s="3900"/>
      <c r="G22" s="3901"/>
      <c r="H22" s="3901"/>
    </row>
    <row r="23" spans="1:8" hidden="1" x14ac:dyDescent="0.25">
      <c r="A23" s="5987"/>
      <c r="B23" s="3899" t="s">
        <v>11</v>
      </c>
      <c r="C23" s="3900"/>
      <c r="D23" s="3901"/>
      <c r="E23" s="3901"/>
      <c r="F23" s="3900"/>
      <c r="G23" s="3901"/>
      <c r="H23" s="3901"/>
    </row>
    <row r="24" spans="1:8" hidden="1" x14ac:dyDescent="0.25">
      <c r="A24" s="5988"/>
      <c r="B24" s="3911" t="s">
        <v>160</v>
      </c>
      <c r="C24" s="3912">
        <f t="shared" ref="C24:H24" si="7">SUM(C21:C23)</f>
        <v>0</v>
      </c>
      <c r="D24" s="3913">
        <f t="shared" si="7"/>
        <v>0</v>
      </c>
      <c r="E24" s="3913">
        <f t="shared" si="7"/>
        <v>0</v>
      </c>
      <c r="F24" s="3912">
        <f t="shared" si="7"/>
        <v>0</v>
      </c>
      <c r="G24" s="3913">
        <f t="shared" si="7"/>
        <v>0</v>
      </c>
      <c r="H24" s="3913">
        <f t="shared" si="7"/>
        <v>0</v>
      </c>
    </row>
    <row r="25" spans="1:8" x14ac:dyDescent="0.25">
      <c r="A25" s="1631"/>
      <c r="B25" s="3895"/>
    </row>
    <row r="26" spans="1:8" x14ac:dyDescent="0.25">
      <c r="A26" s="5980" t="s">
        <v>10</v>
      </c>
      <c r="B26" s="3896" t="s">
        <v>6</v>
      </c>
      <c r="C26" s="3897">
        <f>+'8 Partic Lic plan'!D50</f>
        <v>1</v>
      </c>
      <c r="D26" s="3898">
        <f>+'8 Partic Lic plan'!E50</f>
        <v>0</v>
      </c>
      <c r="E26" s="3898">
        <f>SUM(C26:D26)</f>
        <v>1</v>
      </c>
      <c r="F26" s="3897">
        <f>+'8 Partic Lic plan'!G50</f>
        <v>2</v>
      </c>
      <c r="G26" s="3898">
        <f>+'8 Partic Lic plan'!H50</f>
        <v>2</v>
      </c>
      <c r="H26" s="3898">
        <f>SUM(F26:G26)</f>
        <v>4</v>
      </c>
    </row>
    <row r="27" spans="1:8" x14ac:dyDescent="0.25">
      <c r="A27" s="5981"/>
      <c r="B27" s="3899" t="s">
        <v>11</v>
      </c>
      <c r="C27" s="3900">
        <f>+'8 Partic Lic plan'!D57</f>
        <v>5</v>
      </c>
      <c r="D27" s="3901">
        <f>+'8 Partic Lic plan'!E57</f>
        <v>1</v>
      </c>
      <c r="E27" s="3901">
        <f t="shared" ref="E27:E28" si="8">SUM(C27:D27)</f>
        <v>6</v>
      </c>
      <c r="F27" s="3900">
        <f>+'8 Partic Lic plan'!G57</f>
        <v>8</v>
      </c>
      <c r="G27" s="3901">
        <f>+'8 Partic Lic plan'!H57</f>
        <v>2</v>
      </c>
      <c r="H27" s="3901">
        <f t="shared" ref="H27:H28" si="9">SUM(F27:G27)</f>
        <v>10</v>
      </c>
    </row>
    <row r="28" spans="1:8" x14ac:dyDescent="0.25">
      <c r="A28" s="5981"/>
      <c r="B28" s="3899" t="s">
        <v>7</v>
      </c>
      <c r="C28" s="3900"/>
      <c r="D28" s="3901"/>
      <c r="E28" s="3901">
        <f t="shared" si="8"/>
        <v>0</v>
      </c>
      <c r="F28" s="3900"/>
      <c r="G28" s="3901"/>
      <c r="H28" s="3901">
        <f t="shared" si="9"/>
        <v>0</v>
      </c>
    </row>
    <row r="29" spans="1:8" x14ac:dyDescent="0.25">
      <c r="A29" s="5982"/>
      <c r="B29" s="2740" t="s">
        <v>160</v>
      </c>
      <c r="C29" s="2741">
        <f t="shared" ref="C29:H29" si="10">SUM(C26:C28)</f>
        <v>6</v>
      </c>
      <c r="D29" s="2742">
        <f t="shared" si="10"/>
        <v>1</v>
      </c>
      <c r="E29" s="2742">
        <f t="shared" si="10"/>
        <v>7</v>
      </c>
      <c r="F29" s="2741">
        <f t="shared" si="10"/>
        <v>10</v>
      </c>
      <c r="G29" s="2742">
        <f t="shared" si="10"/>
        <v>4</v>
      </c>
      <c r="H29" s="2742">
        <f t="shared" si="10"/>
        <v>14</v>
      </c>
    </row>
    <row r="30" spans="1:8" x14ac:dyDescent="0.25">
      <c r="A30" s="3895"/>
      <c r="B30" s="3895"/>
    </row>
    <row r="31" spans="1:8" x14ac:dyDescent="0.25">
      <c r="A31" s="5983" t="s">
        <v>60</v>
      </c>
      <c r="B31" s="3896" t="s">
        <v>5</v>
      </c>
      <c r="C31" s="3897">
        <f t="shared" ref="C31:H31" si="11">SUM(C6,C16)</f>
        <v>4</v>
      </c>
      <c r="D31" s="3898">
        <f t="shared" si="11"/>
        <v>3</v>
      </c>
      <c r="E31" s="3898">
        <f t="shared" si="11"/>
        <v>7</v>
      </c>
      <c r="F31" s="3897">
        <f t="shared" si="11"/>
        <v>3</v>
      </c>
      <c r="G31" s="3898">
        <f t="shared" si="11"/>
        <v>5</v>
      </c>
      <c r="H31" s="3898">
        <f t="shared" si="11"/>
        <v>8</v>
      </c>
    </row>
    <row r="32" spans="1:8" x14ac:dyDescent="0.25">
      <c r="A32" s="5984"/>
      <c r="B32" s="3899" t="s">
        <v>6</v>
      </c>
      <c r="C32" s="3900">
        <f>SUM(C7,C17,C26,C11)</f>
        <v>9</v>
      </c>
      <c r="D32" s="3901">
        <f>SUM(D7,D11,D17,D26)</f>
        <v>5</v>
      </c>
      <c r="E32" s="3901">
        <f>SUM(E7,E11,E17,E26)</f>
        <v>14</v>
      </c>
      <c r="F32" s="3900">
        <f>SUM(F7,F17,F26,F11)</f>
        <v>24</v>
      </c>
      <c r="G32" s="3901">
        <f>SUM(G7,G11,G17,G26)</f>
        <v>4</v>
      </c>
      <c r="H32" s="3901">
        <f>SUM(H7,H11,H17,H26)</f>
        <v>28</v>
      </c>
    </row>
    <row r="33" spans="1:8" x14ac:dyDescent="0.25">
      <c r="A33" s="5984"/>
      <c r="B33" s="3899" t="s">
        <v>11</v>
      </c>
      <c r="C33" s="3900">
        <f t="shared" ref="C33:H33" si="12">SUM(C18,C27)</f>
        <v>5</v>
      </c>
      <c r="D33" s="3901">
        <f t="shared" si="12"/>
        <v>2</v>
      </c>
      <c r="E33" s="3901">
        <f t="shared" si="12"/>
        <v>7</v>
      </c>
      <c r="F33" s="3900">
        <f t="shared" si="12"/>
        <v>9</v>
      </c>
      <c r="G33" s="3901">
        <f t="shared" si="12"/>
        <v>2</v>
      </c>
      <c r="H33" s="3901">
        <f t="shared" si="12"/>
        <v>11</v>
      </c>
    </row>
    <row r="34" spans="1:8" x14ac:dyDescent="0.25">
      <c r="A34" s="5984"/>
      <c r="B34" s="3899" t="s">
        <v>7</v>
      </c>
      <c r="C34" s="3900">
        <f t="shared" ref="C34:H34" si="13">SUM(C8,C28)</f>
        <v>6</v>
      </c>
      <c r="D34" s="3901">
        <f t="shared" si="13"/>
        <v>0</v>
      </c>
      <c r="E34" s="3901">
        <f t="shared" si="13"/>
        <v>6</v>
      </c>
      <c r="F34" s="3900">
        <f t="shared" si="13"/>
        <v>7</v>
      </c>
      <c r="G34" s="3901">
        <f t="shared" si="13"/>
        <v>1</v>
      </c>
      <c r="H34" s="3901">
        <f t="shared" si="13"/>
        <v>8</v>
      </c>
    </row>
    <row r="35" spans="1:8" x14ac:dyDescent="0.25">
      <c r="A35" s="5984"/>
      <c r="B35" s="3899" t="s">
        <v>9</v>
      </c>
      <c r="C35" s="3900">
        <f t="shared" ref="C35:E35" si="14">SUM(C12)</f>
        <v>4</v>
      </c>
      <c r="D35" s="3901">
        <f t="shared" si="14"/>
        <v>1</v>
      </c>
      <c r="E35" s="3901">
        <f t="shared" si="14"/>
        <v>5</v>
      </c>
      <c r="F35" s="3900">
        <f t="shared" ref="F35:H36" si="15">SUM(F12)</f>
        <v>1</v>
      </c>
      <c r="G35" s="3901">
        <f t="shared" si="15"/>
        <v>0</v>
      </c>
      <c r="H35" s="3901">
        <f t="shared" si="15"/>
        <v>1</v>
      </c>
    </row>
    <row r="36" spans="1:8" x14ac:dyDescent="0.25">
      <c r="A36" s="5984"/>
      <c r="B36" s="3899" t="s">
        <v>74</v>
      </c>
      <c r="C36" s="3904">
        <f t="shared" ref="C36:E36" si="16">SUM(C13)</f>
        <v>1</v>
      </c>
      <c r="D36" s="3905">
        <f t="shared" si="16"/>
        <v>0</v>
      </c>
      <c r="E36" s="3905">
        <f t="shared" si="16"/>
        <v>1</v>
      </c>
      <c r="F36" s="3904">
        <f t="shared" si="15"/>
        <v>2</v>
      </c>
      <c r="G36" s="3905">
        <f t="shared" si="15"/>
        <v>0</v>
      </c>
      <c r="H36" s="3905">
        <f t="shared" si="15"/>
        <v>2</v>
      </c>
    </row>
    <row r="37" spans="1:8" x14ac:dyDescent="0.25">
      <c r="A37" s="5985"/>
      <c r="B37" s="1799" t="s">
        <v>160</v>
      </c>
      <c r="C37" s="1799">
        <f t="shared" ref="C37:E37" si="17">SUM(C31:C36)</f>
        <v>29</v>
      </c>
      <c r="D37" s="1800">
        <f t="shared" si="17"/>
        <v>11</v>
      </c>
      <c r="E37" s="1800">
        <f t="shared" si="17"/>
        <v>40</v>
      </c>
      <c r="F37" s="1799">
        <f t="shared" ref="F37:H37" si="18">SUM(F31:F36)</f>
        <v>46</v>
      </c>
      <c r="G37" s="1800">
        <f t="shared" si="18"/>
        <v>12</v>
      </c>
      <c r="H37" s="1800">
        <f t="shared" si="18"/>
        <v>58</v>
      </c>
    </row>
  </sheetData>
  <mergeCells count="11">
    <mergeCell ref="B3:B4"/>
    <mergeCell ref="F3:H3"/>
    <mergeCell ref="A6:A9"/>
    <mergeCell ref="A11:A14"/>
    <mergeCell ref="A1:H1"/>
    <mergeCell ref="C3:E3"/>
    <mergeCell ref="A16:A19"/>
    <mergeCell ref="A21:A24"/>
    <mergeCell ref="A26:A29"/>
    <mergeCell ref="A31:A37"/>
    <mergeCell ref="A3:A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orientation="landscape" r:id="rId1"/>
  <ignoredErrors>
    <ignoredError sqref="F32" formula="1"/>
  </ignoredErrors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A1:M126"/>
  <sheetViews>
    <sheetView showGridLines="0" zoomScaleNormal="100" workbookViewId="0"/>
  </sheetViews>
  <sheetFormatPr baseColWidth="10" defaultRowHeight="12.75" x14ac:dyDescent="0.2"/>
  <cols>
    <col min="1" max="1" width="12" customWidth="1"/>
    <col min="2" max="2" width="8.140625" bestFit="1" customWidth="1"/>
    <col min="3" max="3" width="64.7109375" bestFit="1" customWidth="1"/>
    <col min="4" max="13" width="9.7109375" customWidth="1"/>
  </cols>
  <sheetData>
    <row r="1" spans="1:13" ht="15.75" x14ac:dyDescent="0.25">
      <c r="A1" s="139" t="s">
        <v>881</v>
      </c>
    </row>
    <row r="3" spans="1:13" ht="22.5" customHeight="1" x14ac:dyDescent="0.2">
      <c r="A3" s="6044" t="s">
        <v>51</v>
      </c>
      <c r="B3" s="6044" t="s">
        <v>702</v>
      </c>
      <c r="C3" s="6044" t="s">
        <v>840</v>
      </c>
      <c r="D3" s="6046" t="s">
        <v>675</v>
      </c>
      <c r="E3" s="6047"/>
      <c r="F3" s="6048" t="s">
        <v>676</v>
      </c>
      <c r="G3" s="6049"/>
      <c r="H3" s="6042" t="s">
        <v>1514</v>
      </c>
      <c r="I3" s="6046" t="s">
        <v>675</v>
      </c>
      <c r="J3" s="6047"/>
      <c r="K3" s="6046" t="s">
        <v>676</v>
      </c>
      <c r="L3" s="6047"/>
      <c r="M3" s="6042" t="s">
        <v>1479</v>
      </c>
    </row>
    <row r="4" spans="1:13" ht="21" customHeight="1" x14ac:dyDescent="0.2">
      <c r="A4" s="6045"/>
      <c r="B4" s="6045"/>
      <c r="C4" s="6045"/>
      <c r="D4" s="4744" t="s">
        <v>860</v>
      </c>
      <c r="E4" s="4744" t="s">
        <v>861</v>
      </c>
      <c r="F4" s="4744" t="s">
        <v>860</v>
      </c>
      <c r="G4" s="4744" t="s">
        <v>861</v>
      </c>
      <c r="H4" s="6043"/>
      <c r="I4" s="4744" t="s">
        <v>860</v>
      </c>
      <c r="J4" s="4744" t="s">
        <v>861</v>
      </c>
      <c r="K4" s="4744" t="s">
        <v>860</v>
      </c>
      <c r="L4" s="4744" t="s">
        <v>861</v>
      </c>
      <c r="M4" s="6043"/>
    </row>
    <row r="5" spans="1:13" ht="15" x14ac:dyDescent="0.25">
      <c r="A5" s="6124" t="s">
        <v>161</v>
      </c>
      <c r="B5" s="6126" t="s">
        <v>7</v>
      </c>
      <c r="C5" s="4742" t="s">
        <v>1474</v>
      </c>
      <c r="D5" s="3447">
        <v>0</v>
      </c>
      <c r="E5" s="3447">
        <v>5</v>
      </c>
      <c r="F5" s="3447">
        <v>0</v>
      </c>
      <c r="G5" s="3447">
        <v>6</v>
      </c>
      <c r="H5" s="4745">
        <f t="shared" ref="H5:H19" si="0">SUM(D5:G5)</f>
        <v>11</v>
      </c>
      <c r="I5" s="3447">
        <v>0</v>
      </c>
      <c r="J5" s="3447">
        <v>5</v>
      </c>
      <c r="K5" s="3447">
        <v>0</v>
      </c>
      <c r="L5" s="3447">
        <v>6</v>
      </c>
      <c r="M5" s="4745">
        <f t="shared" ref="M5:M19" si="1">SUM(I5:L5)</f>
        <v>11</v>
      </c>
    </row>
    <row r="6" spans="1:13" ht="15" x14ac:dyDescent="0.25">
      <c r="A6" s="6124"/>
      <c r="B6" s="6126"/>
      <c r="C6" s="4742" t="s">
        <v>1477</v>
      </c>
      <c r="D6" s="3447">
        <v>0</v>
      </c>
      <c r="E6" s="3447">
        <v>7</v>
      </c>
      <c r="F6" s="3447">
        <v>0</v>
      </c>
      <c r="G6" s="3447">
        <v>8</v>
      </c>
      <c r="H6" s="4745">
        <f t="shared" si="0"/>
        <v>15</v>
      </c>
      <c r="I6" s="3447">
        <v>0</v>
      </c>
      <c r="J6" s="3447">
        <v>7</v>
      </c>
      <c r="K6" s="3447">
        <v>0</v>
      </c>
      <c r="L6" s="3447">
        <v>8</v>
      </c>
      <c r="M6" s="4745">
        <f t="shared" si="1"/>
        <v>15</v>
      </c>
    </row>
    <row r="7" spans="1:13" ht="15" x14ac:dyDescent="0.25">
      <c r="A7" s="6124"/>
      <c r="B7" s="6126"/>
      <c r="C7" s="4742" t="s">
        <v>1476</v>
      </c>
      <c r="D7" s="3447">
        <v>0</v>
      </c>
      <c r="E7" s="3447">
        <v>3</v>
      </c>
      <c r="F7" s="3447">
        <v>0</v>
      </c>
      <c r="G7" s="3447">
        <v>8</v>
      </c>
      <c r="H7" s="4745">
        <f t="shared" si="0"/>
        <v>11</v>
      </c>
      <c r="I7" s="3447">
        <v>0</v>
      </c>
      <c r="J7" s="3447">
        <v>3</v>
      </c>
      <c r="K7" s="3447">
        <v>0</v>
      </c>
      <c r="L7" s="3447">
        <v>8</v>
      </c>
      <c r="M7" s="4745">
        <f t="shared" si="1"/>
        <v>11</v>
      </c>
    </row>
    <row r="8" spans="1:13" ht="15" x14ac:dyDescent="0.25">
      <c r="A8" s="6124"/>
      <c r="B8" s="6126"/>
      <c r="C8" s="4742" t="s">
        <v>1475</v>
      </c>
      <c r="D8" s="3447">
        <v>0</v>
      </c>
      <c r="E8" s="3447">
        <v>1</v>
      </c>
      <c r="F8" s="3447">
        <v>0</v>
      </c>
      <c r="G8" s="3447">
        <v>5</v>
      </c>
      <c r="H8" s="4745">
        <f t="shared" si="0"/>
        <v>6</v>
      </c>
      <c r="I8" s="3447">
        <v>0</v>
      </c>
      <c r="J8" s="3447">
        <v>1</v>
      </c>
      <c r="K8" s="3447">
        <v>0</v>
      </c>
      <c r="L8" s="3447">
        <v>5</v>
      </c>
      <c r="M8" s="4745">
        <f t="shared" si="1"/>
        <v>6</v>
      </c>
    </row>
    <row r="9" spans="1:13" ht="15" x14ac:dyDescent="0.25">
      <c r="A9" s="6124"/>
      <c r="B9" s="6126"/>
      <c r="C9" s="4742" t="s">
        <v>1473</v>
      </c>
      <c r="D9" s="3447">
        <v>0</v>
      </c>
      <c r="E9" s="3447">
        <v>0</v>
      </c>
      <c r="F9" s="3447">
        <v>0</v>
      </c>
      <c r="G9" s="3447">
        <v>1</v>
      </c>
      <c r="H9" s="4745">
        <f t="shared" si="0"/>
        <v>1</v>
      </c>
      <c r="I9" s="3447">
        <v>0</v>
      </c>
      <c r="J9" s="3447">
        <v>0</v>
      </c>
      <c r="K9" s="3447">
        <v>0</v>
      </c>
      <c r="L9" s="3447">
        <v>1</v>
      </c>
      <c r="M9" s="4745">
        <f t="shared" si="1"/>
        <v>1</v>
      </c>
    </row>
    <row r="10" spans="1:13" ht="15" x14ac:dyDescent="0.25">
      <c r="A10" s="6124"/>
      <c r="B10" s="6126"/>
      <c r="C10" s="4742" t="s">
        <v>1513</v>
      </c>
      <c r="D10" s="3447">
        <v>0</v>
      </c>
      <c r="E10" s="3447">
        <v>2</v>
      </c>
      <c r="F10" s="3447">
        <v>0</v>
      </c>
      <c r="G10" s="3447">
        <v>1</v>
      </c>
      <c r="H10" s="4745">
        <f t="shared" si="0"/>
        <v>3</v>
      </c>
      <c r="I10" s="3447">
        <v>0</v>
      </c>
      <c r="J10" s="3447">
        <v>2</v>
      </c>
      <c r="K10" s="3447">
        <v>0</v>
      </c>
      <c r="L10" s="3447">
        <v>1</v>
      </c>
      <c r="M10" s="4745">
        <f t="shared" si="1"/>
        <v>3</v>
      </c>
    </row>
    <row r="11" spans="1:13" ht="15" x14ac:dyDescent="0.25">
      <c r="A11" s="6124"/>
      <c r="B11" s="6126" t="s">
        <v>5</v>
      </c>
      <c r="C11" s="4742" t="s">
        <v>627</v>
      </c>
      <c r="D11" s="3447">
        <v>0</v>
      </c>
      <c r="E11" s="3447">
        <v>1</v>
      </c>
      <c r="F11" s="3447">
        <v>0</v>
      </c>
      <c r="G11" s="3447">
        <v>5</v>
      </c>
      <c r="H11" s="4745">
        <f t="shared" si="0"/>
        <v>6</v>
      </c>
      <c r="I11" s="3447">
        <v>0</v>
      </c>
      <c r="J11" s="3447">
        <v>2</v>
      </c>
      <c r="K11" s="3447">
        <v>0</v>
      </c>
      <c r="L11" s="3447">
        <v>7</v>
      </c>
      <c r="M11" s="4745">
        <f t="shared" si="1"/>
        <v>9</v>
      </c>
    </row>
    <row r="12" spans="1:13" ht="15" x14ac:dyDescent="0.25">
      <c r="A12" s="6124"/>
      <c r="B12" s="6126"/>
      <c r="C12" s="4742" t="s">
        <v>413</v>
      </c>
      <c r="D12" s="3447">
        <v>0</v>
      </c>
      <c r="E12" s="3447">
        <v>0</v>
      </c>
      <c r="F12" s="3447">
        <v>0</v>
      </c>
      <c r="G12" s="3447">
        <v>0</v>
      </c>
      <c r="H12" s="4745">
        <f t="shared" si="0"/>
        <v>0</v>
      </c>
      <c r="I12" s="3447">
        <v>0</v>
      </c>
      <c r="J12" s="3447">
        <v>0</v>
      </c>
      <c r="K12" s="3447">
        <v>0</v>
      </c>
      <c r="L12" s="3447">
        <v>0</v>
      </c>
      <c r="M12" s="4745">
        <f t="shared" si="1"/>
        <v>0</v>
      </c>
    </row>
    <row r="13" spans="1:13" ht="15" x14ac:dyDescent="0.25">
      <c r="A13" s="6125"/>
      <c r="B13" s="6127" t="s">
        <v>450</v>
      </c>
      <c r="C13" s="6128"/>
      <c r="D13" s="4746">
        <f>SUM(D5:D12)</f>
        <v>0</v>
      </c>
      <c r="E13" s="4746">
        <f>SUM(E5:E12)</f>
        <v>19</v>
      </c>
      <c r="F13" s="4746">
        <f>SUM(F5:F12)</f>
        <v>0</v>
      </c>
      <c r="G13" s="4746">
        <f>SUM(G5:G12)</f>
        <v>34</v>
      </c>
      <c r="H13" s="4746">
        <f t="shared" si="0"/>
        <v>53</v>
      </c>
      <c r="I13" s="4746">
        <f>SUM(I5:I12)</f>
        <v>0</v>
      </c>
      <c r="J13" s="4746">
        <f>SUM(J5:J12)</f>
        <v>20</v>
      </c>
      <c r="K13" s="4746">
        <f>SUM(K5:K12)</f>
        <v>0</v>
      </c>
      <c r="L13" s="4746">
        <f>SUM(L5:L12)</f>
        <v>36</v>
      </c>
      <c r="M13" s="4746">
        <f t="shared" si="1"/>
        <v>56</v>
      </c>
    </row>
    <row r="14" spans="1:13" ht="15" x14ac:dyDescent="0.25">
      <c r="A14" s="6129" t="s">
        <v>162</v>
      </c>
      <c r="B14" s="6131" t="s">
        <v>5</v>
      </c>
      <c r="C14" s="4742" t="s">
        <v>880</v>
      </c>
      <c r="D14" s="3447">
        <v>0</v>
      </c>
      <c r="E14" s="3447">
        <v>2</v>
      </c>
      <c r="F14" s="3447">
        <v>0</v>
      </c>
      <c r="G14" s="3447">
        <v>8</v>
      </c>
      <c r="H14" s="4745">
        <f t="shared" si="0"/>
        <v>10</v>
      </c>
      <c r="I14" s="3447">
        <v>0</v>
      </c>
      <c r="J14" s="3447">
        <v>3</v>
      </c>
      <c r="K14" s="3447">
        <v>0</v>
      </c>
      <c r="L14" s="3447">
        <v>16</v>
      </c>
      <c r="M14" s="4745">
        <f t="shared" si="1"/>
        <v>19</v>
      </c>
    </row>
    <row r="15" spans="1:13" ht="15" x14ac:dyDescent="0.25">
      <c r="A15" s="6129"/>
      <c r="B15" s="6131"/>
      <c r="C15" s="4743" t="s">
        <v>666</v>
      </c>
      <c r="D15" s="3463">
        <v>0</v>
      </c>
      <c r="E15" s="3463">
        <v>1</v>
      </c>
      <c r="F15" s="3463">
        <v>0</v>
      </c>
      <c r="G15" s="3463">
        <v>1</v>
      </c>
      <c r="H15" s="4747">
        <f t="shared" si="0"/>
        <v>2</v>
      </c>
      <c r="I15" s="3463">
        <v>0</v>
      </c>
      <c r="J15" s="3463">
        <v>3</v>
      </c>
      <c r="K15" s="3463">
        <v>0</v>
      </c>
      <c r="L15" s="3463">
        <v>6</v>
      </c>
      <c r="M15" s="4747">
        <f t="shared" si="1"/>
        <v>9</v>
      </c>
    </row>
    <row r="16" spans="1:13" ht="15" customHeight="1" x14ac:dyDescent="0.25">
      <c r="A16" s="6130"/>
      <c r="B16" s="6132" t="s">
        <v>450</v>
      </c>
      <c r="C16" s="6133"/>
      <c r="D16" s="4746">
        <f>SUM(D14:D15)</f>
        <v>0</v>
      </c>
      <c r="E16" s="4746">
        <f t="shared" ref="E16:M16" si="2">SUM(E14:E15)</f>
        <v>3</v>
      </c>
      <c r="F16" s="4746">
        <f t="shared" si="2"/>
        <v>0</v>
      </c>
      <c r="G16" s="4746">
        <f t="shared" si="2"/>
        <v>9</v>
      </c>
      <c r="H16" s="4746">
        <f t="shared" si="2"/>
        <v>12</v>
      </c>
      <c r="I16" s="4746">
        <f t="shared" si="2"/>
        <v>0</v>
      </c>
      <c r="J16" s="4746">
        <f t="shared" si="2"/>
        <v>6</v>
      </c>
      <c r="K16" s="4746">
        <f t="shared" si="2"/>
        <v>0</v>
      </c>
      <c r="L16" s="4746">
        <f t="shared" si="2"/>
        <v>22</v>
      </c>
      <c r="M16" s="4746">
        <f t="shared" si="2"/>
        <v>28</v>
      </c>
    </row>
    <row r="17" spans="1:13" ht="15" x14ac:dyDescent="0.25">
      <c r="A17" s="6117" t="s">
        <v>163</v>
      </c>
      <c r="B17" s="4741" t="s">
        <v>7</v>
      </c>
      <c r="C17" s="4742" t="s">
        <v>2</v>
      </c>
      <c r="D17" s="3460">
        <v>0</v>
      </c>
      <c r="E17" s="3460">
        <v>2</v>
      </c>
      <c r="F17" s="3460">
        <v>0</v>
      </c>
      <c r="G17" s="3460">
        <v>6</v>
      </c>
      <c r="H17" s="4748">
        <f t="shared" si="0"/>
        <v>8</v>
      </c>
      <c r="I17" s="3460">
        <v>0</v>
      </c>
      <c r="J17" s="3460">
        <v>13</v>
      </c>
      <c r="K17" s="3460">
        <v>0</v>
      </c>
      <c r="L17" s="3460">
        <v>14</v>
      </c>
      <c r="M17" s="4748">
        <f t="shared" si="1"/>
        <v>27</v>
      </c>
    </row>
    <row r="18" spans="1:13" ht="15" x14ac:dyDescent="0.25">
      <c r="A18" s="6117"/>
      <c r="B18" s="6119" t="s">
        <v>11</v>
      </c>
      <c r="C18" s="4743" t="s">
        <v>579</v>
      </c>
      <c r="D18" s="3447">
        <v>1</v>
      </c>
      <c r="E18" s="3447">
        <v>7</v>
      </c>
      <c r="F18" s="3447">
        <v>0</v>
      </c>
      <c r="G18" s="3447">
        <v>4</v>
      </c>
      <c r="H18" s="4745">
        <f t="shared" si="0"/>
        <v>12</v>
      </c>
      <c r="I18" s="3447">
        <v>1</v>
      </c>
      <c r="J18" s="3447">
        <v>7</v>
      </c>
      <c r="K18" s="3447">
        <v>0</v>
      </c>
      <c r="L18" s="3447">
        <v>4</v>
      </c>
      <c r="M18" s="4745">
        <f t="shared" si="1"/>
        <v>12</v>
      </c>
    </row>
    <row r="19" spans="1:13" ht="15" x14ac:dyDescent="0.25">
      <c r="A19" s="6117"/>
      <c r="B19" s="6120"/>
      <c r="C19" s="4742" t="s">
        <v>781</v>
      </c>
      <c r="D19" s="3463">
        <v>0</v>
      </c>
      <c r="E19" s="3463">
        <v>6</v>
      </c>
      <c r="F19" s="3463">
        <v>0</v>
      </c>
      <c r="G19" s="3463">
        <v>5</v>
      </c>
      <c r="H19" s="4747">
        <f t="shared" si="0"/>
        <v>11</v>
      </c>
      <c r="I19" s="3463">
        <v>0</v>
      </c>
      <c r="J19" s="3463">
        <v>11</v>
      </c>
      <c r="K19" s="3463">
        <v>0</v>
      </c>
      <c r="L19" s="3463">
        <v>9</v>
      </c>
      <c r="M19" s="4747">
        <f t="shared" si="1"/>
        <v>20</v>
      </c>
    </row>
    <row r="20" spans="1:13" ht="15" customHeight="1" x14ac:dyDescent="0.25">
      <c r="A20" s="6118"/>
      <c r="B20" s="6121" t="s">
        <v>450</v>
      </c>
      <c r="C20" s="6122"/>
      <c r="D20" s="4749">
        <f>SUM(D17:D19)</f>
        <v>1</v>
      </c>
      <c r="E20" s="4749">
        <f t="shared" ref="E20:M20" si="3">SUM(E17:E19)</f>
        <v>15</v>
      </c>
      <c r="F20" s="4749">
        <f t="shared" si="3"/>
        <v>0</v>
      </c>
      <c r="G20" s="4749">
        <f t="shared" si="3"/>
        <v>15</v>
      </c>
      <c r="H20" s="4749">
        <f t="shared" si="3"/>
        <v>31</v>
      </c>
      <c r="I20" s="4749">
        <f t="shared" si="3"/>
        <v>1</v>
      </c>
      <c r="J20" s="4749">
        <f t="shared" si="3"/>
        <v>31</v>
      </c>
      <c r="K20" s="4749">
        <f t="shared" si="3"/>
        <v>0</v>
      </c>
      <c r="L20" s="4749">
        <f t="shared" si="3"/>
        <v>27</v>
      </c>
      <c r="M20" s="4749">
        <f t="shared" si="3"/>
        <v>59</v>
      </c>
    </row>
    <row r="21" spans="1:13" ht="15" customHeight="1" x14ac:dyDescent="0.2"/>
    <row r="22" spans="1:13" ht="15" x14ac:dyDescent="0.25">
      <c r="A22" s="6123" t="s">
        <v>586</v>
      </c>
      <c r="B22" s="6123"/>
      <c r="C22" s="6123"/>
      <c r="D22" s="4750">
        <f>SUM(D20,D16,D13)</f>
        <v>1</v>
      </c>
      <c r="E22" s="4750">
        <f t="shared" ref="E22:M22" si="4">SUM(E20,E16,E13)</f>
        <v>37</v>
      </c>
      <c r="F22" s="4750">
        <f t="shared" si="4"/>
        <v>0</v>
      </c>
      <c r="G22" s="4750">
        <f t="shared" si="4"/>
        <v>58</v>
      </c>
      <c r="H22" s="4750">
        <f t="shared" si="4"/>
        <v>96</v>
      </c>
      <c r="I22" s="4750">
        <f t="shared" si="4"/>
        <v>1</v>
      </c>
      <c r="J22" s="4750">
        <f t="shared" si="4"/>
        <v>57</v>
      </c>
      <c r="K22" s="4750">
        <f t="shared" si="4"/>
        <v>0</v>
      </c>
      <c r="L22" s="4750">
        <f t="shared" si="4"/>
        <v>85</v>
      </c>
      <c r="M22" s="4750">
        <f t="shared" si="4"/>
        <v>143</v>
      </c>
    </row>
    <row r="23" spans="1:13" x14ac:dyDescent="0.2">
      <c r="D23" s="192"/>
      <c r="E23" s="192"/>
      <c r="F23" s="192"/>
      <c r="G23" s="192"/>
      <c r="H23" s="192"/>
      <c r="I23" s="192"/>
      <c r="J23" s="192"/>
      <c r="K23" s="192"/>
      <c r="L23" s="192"/>
      <c r="M23" s="192"/>
    </row>
    <row r="24" spans="1:13" x14ac:dyDescent="0.2">
      <c r="D24" s="192"/>
      <c r="E24" s="192"/>
      <c r="F24" s="192"/>
      <c r="G24" s="192"/>
      <c r="H24" s="192"/>
      <c r="I24" s="192"/>
      <c r="J24" s="192"/>
      <c r="K24" s="192"/>
      <c r="L24" s="192"/>
      <c r="M24" s="192"/>
    </row>
    <row r="25" spans="1:13" x14ac:dyDescent="0.2">
      <c r="D25" s="192"/>
      <c r="E25" s="192"/>
      <c r="F25" s="192"/>
      <c r="G25" s="192"/>
      <c r="H25" s="192"/>
      <c r="I25" s="192"/>
      <c r="J25" s="192"/>
      <c r="K25" s="192"/>
      <c r="L25" s="192"/>
      <c r="M25" s="192"/>
    </row>
    <row r="26" spans="1:13" ht="21.75" customHeight="1" x14ac:dyDescent="0.2">
      <c r="A26" s="6044" t="s">
        <v>51</v>
      </c>
      <c r="B26" s="6044" t="s">
        <v>702</v>
      </c>
      <c r="C26" s="6044" t="s">
        <v>840</v>
      </c>
      <c r="D26" s="6048" t="s">
        <v>675</v>
      </c>
      <c r="E26" s="6049"/>
      <c r="F26" s="6048" t="s">
        <v>676</v>
      </c>
      <c r="G26" s="6049"/>
      <c r="H26" s="6050" t="s">
        <v>1312</v>
      </c>
      <c r="I26" s="6046" t="s">
        <v>675</v>
      </c>
      <c r="J26" s="6047"/>
      <c r="K26" s="6048" t="s">
        <v>676</v>
      </c>
      <c r="L26" s="6049"/>
      <c r="M26" s="6042" t="s">
        <v>887</v>
      </c>
    </row>
    <row r="27" spans="1:13" ht="21.75" customHeight="1" x14ac:dyDescent="0.2">
      <c r="A27" s="6045"/>
      <c r="B27" s="6045"/>
      <c r="C27" s="6045"/>
      <c r="D27" s="4744" t="s">
        <v>860</v>
      </c>
      <c r="E27" s="4744" t="s">
        <v>861</v>
      </c>
      <c r="F27" s="4744" t="s">
        <v>860</v>
      </c>
      <c r="G27" s="4744" t="s">
        <v>861</v>
      </c>
      <c r="H27" s="6043"/>
      <c r="I27" s="4744" t="s">
        <v>860</v>
      </c>
      <c r="J27" s="4744" t="s">
        <v>861</v>
      </c>
      <c r="K27" s="4744" t="s">
        <v>860</v>
      </c>
      <c r="L27" s="4744" t="s">
        <v>861</v>
      </c>
      <c r="M27" s="6043"/>
    </row>
    <row r="29" spans="1:13" ht="15" x14ac:dyDescent="0.2">
      <c r="A29" s="6051" t="s">
        <v>161</v>
      </c>
      <c r="B29" s="6053" t="s">
        <v>5</v>
      </c>
      <c r="C29" s="3095" t="s">
        <v>627</v>
      </c>
      <c r="D29" s="3096"/>
      <c r="E29" s="3096"/>
      <c r="F29" s="3096"/>
      <c r="G29" s="3096"/>
      <c r="H29" s="3097">
        <f t="shared" ref="H29:H31" si="5">SUM(D29:G29)</f>
        <v>0</v>
      </c>
      <c r="I29" s="3096"/>
      <c r="J29" s="3096">
        <v>1</v>
      </c>
      <c r="K29" s="3096"/>
      <c r="L29" s="3096">
        <v>2</v>
      </c>
      <c r="M29" s="3097">
        <f t="shared" ref="M29:M39" si="6">SUM(I29:L29)</f>
        <v>3</v>
      </c>
    </row>
    <row r="30" spans="1:13" ht="15" x14ac:dyDescent="0.2">
      <c r="A30" s="6051"/>
      <c r="B30" s="6053"/>
      <c r="C30" s="3098" t="s">
        <v>628</v>
      </c>
      <c r="D30" s="3099"/>
      <c r="E30" s="3099"/>
      <c r="F30" s="3099"/>
      <c r="G30" s="3099"/>
      <c r="H30" s="3100">
        <f t="shared" si="5"/>
        <v>0</v>
      </c>
      <c r="I30" s="3099"/>
      <c r="J30" s="3099"/>
      <c r="K30" s="3099"/>
      <c r="L30" s="3099">
        <v>1</v>
      </c>
      <c r="M30" s="3100">
        <f t="shared" si="6"/>
        <v>1</v>
      </c>
    </row>
    <row r="31" spans="1:13" ht="15" x14ac:dyDescent="0.2">
      <c r="A31" s="6051"/>
      <c r="B31" s="3101" t="s">
        <v>6</v>
      </c>
      <c r="C31" s="3098" t="s">
        <v>877</v>
      </c>
      <c r="D31" s="3099"/>
      <c r="E31" s="3099"/>
      <c r="F31" s="3099"/>
      <c r="G31" s="3099"/>
      <c r="H31" s="3100">
        <f t="shared" si="5"/>
        <v>0</v>
      </c>
      <c r="I31" s="3099"/>
      <c r="J31" s="3099">
        <v>4</v>
      </c>
      <c r="K31" s="3099"/>
      <c r="L31" s="3099">
        <v>6</v>
      </c>
      <c r="M31" s="3100">
        <f t="shared" si="6"/>
        <v>10</v>
      </c>
    </row>
    <row r="32" spans="1:13" ht="15" x14ac:dyDescent="0.2">
      <c r="A32" s="6051"/>
      <c r="B32" s="6053" t="s">
        <v>7</v>
      </c>
      <c r="C32" s="3098" t="s">
        <v>1313</v>
      </c>
      <c r="D32" s="3099"/>
      <c r="E32" s="3099"/>
      <c r="F32" s="3099"/>
      <c r="G32" s="3099"/>
      <c r="H32" s="3100">
        <f>SUM(D32:G32)</f>
        <v>0</v>
      </c>
      <c r="I32" s="3099"/>
      <c r="J32" s="3099"/>
      <c r="K32" s="3099"/>
      <c r="L32" s="3099">
        <v>2</v>
      </c>
      <c r="M32" s="3100">
        <f>SUM(I32:L32)</f>
        <v>2</v>
      </c>
    </row>
    <row r="33" spans="1:13" ht="15" x14ac:dyDescent="0.2">
      <c r="A33" s="6051"/>
      <c r="B33" s="6054"/>
      <c r="C33" s="3102" t="s">
        <v>1314</v>
      </c>
      <c r="D33" s="3103"/>
      <c r="E33" s="3103">
        <v>1</v>
      </c>
      <c r="F33" s="3103"/>
      <c r="G33" s="3103"/>
      <c r="H33" s="3104">
        <f>SUM(D33:G33)</f>
        <v>1</v>
      </c>
      <c r="I33" s="3103"/>
      <c r="J33" s="3103">
        <v>6</v>
      </c>
      <c r="K33" s="3103"/>
      <c r="L33" s="3103">
        <v>8</v>
      </c>
      <c r="M33" s="3104">
        <f>SUM(I33:L33)</f>
        <v>14</v>
      </c>
    </row>
    <row r="34" spans="1:13" ht="15" x14ac:dyDescent="0.2">
      <c r="A34" s="6052"/>
      <c r="B34" s="6055" t="s">
        <v>450</v>
      </c>
      <c r="C34" s="6056"/>
      <c r="D34" s="4852">
        <f>SUM(D29:D33)</f>
        <v>0</v>
      </c>
      <c r="E34" s="4852">
        <f t="shared" ref="E34:G34" si="7">SUM(E29:E33)</f>
        <v>1</v>
      </c>
      <c r="F34" s="4852">
        <f t="shared" si="7"/>
        <v>0</v>
      </c>
      <c r="G34" s="4852">
        <f t="shared" si="7"/>
        <v>0</v>
      </c>
      <c r="H34" s="4852">
        <f>SUM(H29:H33)</f>
        <v>1</v>
      </c>
      <c r="I34" s="1934">
        <f>SUM(I29:I33)</f>
        <v>0</v>
      </c>
      <c r="J34" s="1934">
        <f t="shared" ref="J34:L34" si="8">SUM(J29:J33)</f>
        <v>11</v>
      </c>
      <c r="K34" s="1934">
        <f t="shared" si="8"/>
        <v>0</v>
      </c>
      <c r="L34" s="1934">
        <f t="shared" si="8"/>
        <v>19</v>
      </c>
      <c r="M34" s="1934">
        <f>SUM(M29:M33)</f>
        <v>30</v>
      </c>
    </row>
    <row r="35" spans="1:13" ht="15" x14ac:dyDescent="0.2">
      <c r="A35" s="6057" t="s">
        <v>162</v>
      </c>
      <c r="B35" s="6054" t="s">
        <v>5</v>
      </c>
      <c r="C35" s="3095" t="s">
        <v>880</v>
      </c>
      <c r="D35" s="3096"/>
      <c r="E35" s="3096">
        <v>1</v>
      </c>
      <c r="F35" s="3096"/>
      <c r="G35" s="3096">
        <v>6</v>
      </c>
      <c r="H35" s="3097">
        <f t="shared" ref="H35:H39" si="9">SUM(D35:G35)</f>
        <v>7</v>
      </c>
      <c r="I35" s="3096"/>
      <c r="J35" s="3096">
        <v>1</v>
      </c>
      <c r="K35" s="3096"/>
      <c r="L35" s="3096">
        <v>8</v>
      </c>
      <c r="M35" s="3097">
        <f t="shared" si="6"/>
        <v>9</v>
      </c>
    </row>
    <row r="36" spans="1:13" ht="15" x14ac:dyDescent="0.2">
      <c r="A36" s="5882"/>
      <c r="B36" s="6054"/>
      <c r="C36" s="3105" t="s">
        <v>666</v>
      </c>
      <c r="D36" s="3103"/>
      <c r="E36" s="3103"/>
      <c r="F36" s="3103"/>
      <c r="G36" s="3103">
        <v>2</v>
      </c>
      <c r="H36" s="3104">
        <f t="shared" si="9"/>
        <v>2</v>
      </c>
      <c r="I36" s="3103"/>
      <c r="J36" s="3103">
        <v>2</v>
      </c>
      <c r="K36" s="3103"/>
      <c r="L36" s="3103">
        <v>5</v>
      </c>
      <c r="M36" s="3104">
        <f t="shared" si="6"/>
        <v>7</v>
      </c>
    </row>
    <row r="37" spans="1:13" ht="15" x14ac:dyDescent="0.2">
      <c r="A37" s="6058"/>
      <c r="B37" s="6059" t="s">
        <v>450</v>
      </c>
      <c r="C37" s="6057"/>
      <c r="D37" s="1935">
        <f>SUM(D35:D36)</f>
        <v>0</v>
      </c>
      <c r="E37" s="1935">
        <f>SUM(E35:E36)</f>
        <v>1</v>
      </c>
      <c r="F37" s="1935">
        <f>SUM(F35:F36)</f>
        <v>0</v>
      </c>
      <c r="G37" s="1935">
        <f>SUM(G35:G36)</f>
        <v>8</v>
      </c>
      <c r="H37" s="1935">
        <f t="shared" si="9"/>
        <v>9</v>
      </c>
      <c r="I37" s="1935">
        <f>SUM(I35:I36)</f>
        <v>0</v>
      </c>
      <c r="J37" s="1935">
        <f>SUM(J35:J36)</f>
        <v>3</v>
      </c>
      <c r="K37" s="1935">
        <f>SUM(K35:K36)</f>
        <v>0</v>
      </c>
      <c r="L37" s="1935">
        <f>SUM(L35:L36)</f>
        <v>13</v>
      </c>
      <c r="M37" s="1935">
        <f t="shared" si="6"/>
        <v>16</v>
      </c>
    </row>
    <row r="38" spans="1:13" ht="15" x14ac:dyDescent="0.2">
      <c r="A38" s="6060" t="s">
        <v>163</v>
      </c>
      <c r="B38" s="6053" t="s">
        <v>11</v>
      </c>
      <c r="C38" s="3095" t="s">
        <v>781</v>
      </c>
      <c r="D38" s="3096"/>
      <c r="E38" s="3096">
        <v>6</v>
      </c>
      <c r="F38" s="3096"/>
      <c r="G38" s="3096">
        <v>4</v>
      </c>
      <c r="H38" s="3097">
        <f t="shared" si="9"/>
        <v>10</v>
      </c>
      <c r="I38" s="3096"/>
      <c r="J38" s="3096">
        <v>5</v>
      </c>
      <c r="K38" s="3096"/>
      <c r="L38" s="3096">
        <v>4</v>
      </c>
      <c r="M38" s="3097">
        <f t="shared" si="6"/>
        <v>9</v>
      </c>
    </row>
    <row r="39" spans="1:13" ht="15" x14ac:dyDescent="0.2">
      <c r="A39" s="6060"/>
      <c r="B39" s="6054"/>
      <c r="C39" s="3098" t="s">
        <v>579</v>
      </c>
      <c r="D39" s="3099"/>
      <c r="E39" s="3099">
        <v>5</v>
      </c>
      <c r="F39" s="3099">
        <v>1</v>
      </c>
      <c r="G39" s="3099">
        <v>1</v>
      </c>
      <c r="H39" s="3100">
        <f t="shared" si="9"/>
        <v>7</v>
      </c>
      <c r="I39" s="3099"/>
      <c r="J39" s="3099">
        <v>5</v>
      </c>
      <c r="K39" s="3099">
        <v>1</v>
      </c>
      <c r="L39" s="3099">
        <v>1</v>
      </c>
      <c r="M39" s="3100">
        <f t="shared" si="6"/>
        <v>7</v>
      </c>
    </row>
    <row r="40" spans="1:13" ht="15" x14ac:dyDescent="0.2">
      <c r="A40" s="6060"/>
      <c r="B40" s="3101" t="s">
        <v>7</v>
      </c>
      <c r="C40" s="3102" t="s">
        <v>2</v>
      </c>
      <c r="D40" s="3103"/>
      <c r="E40" s="3103">
        <v>4</v>
      </c>
      <c r="F40" s="3103"/>
      <c r="G40" s="3103">
        <v>4</v>
      </c>
      <c r="H40" s="3104">
        <f>SUM(D40:G40)</f>
        <v>8</v>
      </c>
      <c r="I40" s="3103"/>
      <c r="J40" s="3103">
        <v>18</v>
      </c>
      <c r="K40" s="3103"/>
      <c r="L40" s="3103">
        <v>13</v>
      </c>
      <c r="M40" s="3104">
        <f>SUM(I40:L40)</f>
        <v>31</v>
      </c>
    </row>
    <row r="41" spans="1:13" ht="15" x14ac:dyDescent="0.2">
      <c r="A41" s="6061"/>
      <c r="B41" s="6062" t="s">
        <v>450</v>
      </c>
      <c r="C41" s="6060"/>
      <c r="D41" s="4853">
        <f>SUM(D38:D39)</f>
        <v>0</v>
      </c>
      <c r="E41" s="4853">
        <f>SUM(E38:E40)</f>
        <v>15</v>
      </c>
      <c r="F41" s="4853">
        <f t="shared" ref="F41:H41" si="10">SUM(F38:F40)</f>
        <v>1</v>
      </c>
      <c r="G41" s="4853">
        <f t="shared" si="10"/>
        <v>9</v>
      </c>
      <c r="H41" s="4853">
        <f t="shared" si="10"/>
        <v>25</v>
      </c>
      <c r="I41" s="3106">
        <f>SUM(I38:I39)</f>
        <v>0</v>
      </c>
      <c r="J41" s="3106">
        <f>SUM(J38:J40)</f>
        <v>28</v>
      </c>
      <c r="K41" s="3106">
        <f t="shared" ref="K41:M41" si="11">SUM(K38:K40)</f>
        <v>1</v>
      </c>
      <c r="L41" s="3106">
        <f t="shared" si="11"/>
        <v>18</v>
      </c>
      <c r="M41" s="3106">
        <f t="shared" si="11"/>
        <v>47</v>
      </c>
    </row>
    <row r="42" spans="1:13" ht="15" x14ac:dyDescent="0.25">
      <c r="H42" s="3107"/>
      <c r="M42" s="3107"/>
    </row>
    <row r="43" spans="1:13" ht="15" x14ac:dyDescent="0.2">
      <c r="A43" s="6063" t="s">
        <v>586</v>
      </c>
      <c r="B43" s="6063"/>
      <c r="C43" s="6063"/>
      <c r="D43" s="4854">
        <f t="shared" ref="D43:M43" si="12">SUM(D34,D37,D41)</f>
        <v>0</v>
      </c>
      <c r="E43" s="4854">
        <f t="shared" si="12"/>
        <v>17</v>
      </c>
      <c r="F43" s="4854">
        <f t="shared" si="12"/>
        <v>1</v>
      </c>
      <c r="G43" s="4854">
        <f t="shared" si="12"/>
        <v>17</v>
      </c>
      <c r="H43" s="4854">
        <f t="shared" si="12"/>
        <v>35</v>
      </c>
      <c r="I43" s="1476">
        <f t="shared" si="12"/>
        <v>0</v>
      </c>
      <c r="J43" s="1476">
        <f t="shared" si="12"/>
        <v>42</v>
      </c>
      <c r="K43" s="1476">
        <f t="shared" si="12"/>
        <v>1</v>
      </c>
      <c r="L43" s="1476">
        <f t="shared" si="12"/>
        <v>50</v>
      </c>
      <c r="M43" s="1476">
        <f t="shared" si="12"/>
        <v>93</v>
      </c>
    </row>
    <row r="46" spans="1:13" ht="15" customHeight="1" x14ac:dyDescent="0.2">
      <c r="A46" s="6064" t="s">
        <v>167</v>
      </c>
      <c r="B46" s="6064"/>
      <c r="C46" s="6064"/>
      <c r="D46" s="6069" t="s">
        <v>1516</v>
      </c>
      <c r="E46" s="6070"/>
      <c r="F46" s="6071"/>
      <c r="G46" s="6066" t="s">
        <v>1515</v>
      </c>
      <c r="H46" s="6067"/>
      <c r="I46" s="6068"/>
    </row>
    <row r="47" spans="1:13" ht="15" x14ac:dyDescent="0.2">
      <c r="A47" s="6065"/>
      <c r="B47" s="6065"/>
      <c r="C47" s="6065"/>
      <c r="D47" s="3108" t="s">
        <v>882</v>
      </c>
      <c r="E47" s="3108" t="s">
        <v>883</v>
      </c>
      <c r="F47" s="4688" t="s">
        <v>160</v>
      </c>
      <c r="G47" s="3108" t="s">
        <v>882</v>
      </c>
      <c r="H47" s="3108" t="s">
        <v>883</v>
      </c>
      <c r="I47" s="4688" t="s">
        <v>160</v>
      </c>
    </row>
    <row r="48" spans="1:13" x14ac:dyDescent="0.2">
      <c r="A48" s="199"/>
      <c r="B48" s="199"/>
      <c r="C48" s="199"/>
      <c r="D48" s="199"/>
      <c r="E48" s="199"/>
      <c r="F48" s="199"/>
      <c r="G48" s="199"/>
      <c r="H48" s="199"/>
      <c r="I48" s="199"/>
    </row>
    <row r="49" spans="1:9" ht="15" x14ac:dyDescent="0.2">
      <c r="A49" s="6078" t="s">
        <v>161</v>
      </c>
      <c r="B49" s="6074" t="s">
        <v>7</v>
      </c>
      <c r="C49" s="3109" t="s">
        <v>878</v>
      </c>
      <c r="D49" s="3110">
        <v>0</v>
      </c>
      <c r="E49" s="3111">
        <v>0</v>
      </c>
      <c r="F49" s="3112">
        <f>SUM(D49:E49)</f>
        <v>0</v>
      </c>
      <c r="G49" s="3110">
        <v>2</v>
      </c>
      <c r="H49" s="3111">
        <v>0</v>
      </c>
      <c r="I49" s="3112">
        <f t="shared" ref="I49:I81" si="13">SUM(G49:H49)</f>
        <v>2</v>
      </c>
    </row>
    <row r="50" spans="1:9" ht="15" x14ac:dyDescent="0.2">
      <c r="A50" s="6078"/>
      <c r="B50" s="6075"/>
      <c r="C50" s="3109" t="s">
        <v>879</v>
      </c>
      <c r="D50" s="3110">
        <v>8</v>
      </c>
      <c r="E50" s="3111">
        <v>5</v>
      </c>
      <c r="F50" s="3112">
        <f t="shared" ref="F50:F81" si="14">SUM(D50:E50)</f>
        <v>13</v>
      </c>
      <c r="G50" s="3110">
        <v>8</v>
      </c>
      <c r="H50" s="3111">
        <v>5</v>
      </c>
      <c r="I50" s="3112">
        <f t="shared" si="13"/>
        <v>13</v>
      </c>
    </row>
    <row r="51" spans="1:9" ht="15" x14ac:dyDescent="0.2">
      <c r="A51" s="6078"/>
      <c r="B51" s="6076"/>
      <c r="C51" s="3127" t="s">
        <v>160</v>
      </c>
      <c r="D51" s="3128">
        <f t="shared" ref="D51:I51" si="15">SUM(D49:D50)</f>
        <v>8</v>
      </c>
      <c r="E51" s="3129">
        <f t="shared" si="15"/>
        <v>5</v>
      </c>
      <c r="F51" s="3130">
        <f t="shared" si="15"/>
        <v>13</v>
      </c>
      <c r="G51" s="3128">
        <f t="shared" si="15"/>
        <v>10</v>
      </c>
      <c r="H51" s="3129">
        <f t="shared" si="15"/>
        <v>5</v>
      </c>
      <c r="I51" s="3130">
        <f t="shared" si="15"/>
        <v>15</v>
      </c>
    </row>
    <row r="52" spans="1:9" ht="15" x14ac:dyDescent="0.2">
      <c r="A52" s="6078"/>
      <c r="B52" s="6074" t="s">
        <v>5</v>
      </c>
      <c r="C52" s="3109" t="s">
        <v>627</v>
      </c>
      <c r="D52" s="3110">
        <v>2</v>
      </c>
      <c r="E52" s="3111">
        <v>1</v>
      </c>
      <c r="F52" s="3112">
        <f t="shared" si="14"/>
        <v>3</v>
      </c>
      <c r="G52" s="3110">
        <v>2</v>
      </c>
      <c r="H52" s="3111">
        <v>1</v>
      </c>
      <c r="I52" s="3112">
        <f t="shared" si="13"/>
        <v>3</v>
      </c>
    </row>
    <row r="53" spans="1:9" ht="15" x14ac:dyDescent="0.2">
      <c r="A53" s="6078"/>
      <c r="B53" s="6075"/>
      <c r="C53" s="3109" t="s">
        <v>628</v>
      </c>
      <c r="D53" s="3110">
        <v>1</v>
      </c>
      <c r="E53" s="3111">
        <v>0</v>
      </c>
      <c r="F53" s="3112">
        <f t="shared" si="14"/>
        <v>1</v>
      </c>
      <c r="G53" s="3110">
        <v>1</v>
      </c>
      <c r="H53" s="3111">
        <v>0</v>
      </c>
      <c r="I53" s="3112">
        <f t="shared" si="13"/>
        <v>1</v>
      </c>
    </row>
    <row r="54" spans="1:9" ht="15" x14ac:dyDescent="0.2">
      <c r="A54" s="6079"/>
      <c r="B54" s="6075"/>
      <c r="C54" s="3109" t="s">
        <v>413</v>
      </c>
      <c r="D54" s="3110">
        <v>0</v>
      </c>
      <c r="E54" s="3111">
        <v>0</v>
      </c>
      <c r="F54" s="3112">
        <f t="shared" si="14"/>
        <v>0</v>
      </c>
      <c r="G54" s="3110">
        <v>4</v>
      </c>
      <c r="H54" s="3111">
        <v>0</v>
      </c>
      <c r="I54" s="3112">
        <f t="shared" si="13"/>
        <v>4</v>
      </c>
    </row>
    <row r="55" spans="1:9" ht="15" x14ac:dyDescent="0.2">
      <c r="A55" s="6079"/>
      <c r="B55" s="6076"/>
      <c r="C55" s="3127" t="s">
        <v>160</v>
      </c>
      <c r="D55" s="3128">
        <f t="shared" ref="D55:I55" si="16">SUM(D52:D54)</f>
        <v>3</v>
      </c>
      <c r="E55" s="3129">
        <f t="shared" si="16"/>
        <v>1</v>
      </c>
      <c r="F55" s="3130">
        <f t="shared" si="16"/>
        <v>4</v>
      </c>
      <c r="G55" s="3128">
        <f t="shared" si="16"/>
        <v>7</v>
      </c>
      <c r="H55" s="3129">
        <f t="shared" si="16"/>
        <v>1</v>
      </c>
      <c r="I55" s="3130">
        <f t="shared" si="16"/>
        <v>8</v>
      </c>
    </row>
    <row r="56" spans="1:9" ht="15" x14ac:dyDescent="0.2">
      <c r="A56" s="6079"/>
      <c r="B56" s="6074" t="s">
        <v>6</v>
      </c>
      <c r="C56" s="3109" t="s">
        <v>877</v>
      </c>
      <c r="D56" s="3110">
        <v>6</v>
      </c>
      <c r="E56" s="3111">
        <v>4</v>
      </c>
      <c r="F56" s="3112">
        <f t="shared" si="14"/>
        <v>10</v>
      </c>
      <c r="G56" s="3110">
        <v>10</v>
      </c>
      <c r="H56" s="3111">
        <v>7</v>
      </c>
      <c r="I56" s="3112">
        <f t="shared" si="13"/>
        <v>17</v>
      </c>
    </row>
    <row r="57" spans="1:9" ht="15" x14ac:dyDescent="0.2">
      <c r="A57" s="6079"/>
      <c r="B57" s="6075"/>
      <c r="C57" s="3109" t="s">
        <v>884</v>
      </c>
      <c r="D57" s="3110">
        <v>0</v>
      </c>
      <c r="E57" s="3111">
        <v>0</v>
      </c>
      <c r="F57" s="3112">
        <f t="shared" si="14"/>
        <v>0</v>
      </c>
      <c r="G57" s="3110">
        <v>6</v>
      </c>
      <c r="H57" s="3111">
        <v>4</v>
      </c>
      <c r="I57" s="3112">
        <f t="shared" si="13"/>
        <v>10</v>
      </c>
    </row>
    <row r="58" spans="1:9" ht="15" x14ac:dyDescent="0.2">
      <c r="A58" s="6079"/>
      <c r="B58" s="6076"/>
      <c r="C58" s="3127" t="s">
        <v>160</v>
      </c>
      <c r="D58" s="3128">
        <f t="shared" ref="D58:I58" si="17">SUM(D56:D57)</f>
        <v>6</v>
      </c>
      <c r="E58" s="3129">
        <f t="shared" si="17"/>
        <v>4</v>
      </c>
      <c r="F58" s="3130">
        <f t="shared" si="17"/>
        <v>10</v>
      </c>
      <c r="G58" s="3128">
        <f t="shared" si="17"/>
        <v>16</v>
      </c>
      <c r="H58" s="3129">
        <f t="shared" si="17"/>
        <v>11</v>
      </c>
      <c r="I58" s="3130">
        <f t="shared" si="17"/>
        <v>27</v>
      </c>
    </row>
    <row r="59" spans="1:9" ht="15" x14ac:dyDescent="0.2">
      <c r="A59" s="6080"/>
      <c r="B59" s="6081" t="s">
        <v>450</v>
      </c>
      <c r="C59" s="6078"/>
      <c r="D59" s="3042">
        <f t="shared" ref="D59:I59" si="18">SUM(D58,D55,D51)</f>
        <v>17</v>
      </c>
      <c r="E59" s="3062">
        <f t="shared" si="18"/>
        <v>10</v>
      </c>
      <c r="F59" s="3043">
        <f t="shared" si="18"/>
        <v>27</v>
      </c>
      <c r="G59" s="3042">
        <f t="shared" si="18"/>
        <v>33</v>
      </c>
      <c r="H59" s="3062">
        <f t="shared" si="18"/>
        <v>17</v>
      </c>
      <c r="I59" s="3043">
        <f t="shared" si="18"/>
        <v>50</v>
      </c>
    </row>
    <row r="60" spans="1:9" ht="15" x14ac:dyDescent="0.2">
      <c r="A60" s="6072" t="s">
        <v>410</v>
      </c>
      <c r="B60" s="6074" t="s">
        <v>74</v>
      </c>
      <c r="C60" s="3109" t="s">
        <v>418</v>
      </c>
      <c r="D60" s="3110">
        <v>3</v>
      </c>
      <c r="E60" s="3111">
        <v>2</v>
      </c>
      <c r="F60" s="3112">
        <f t="shared" si="14"/>
        <v>5</v>
      </c>
      <c r="G60" s="3110">
        <v>7</v>
      </c>
      <c r="H60" s="3111">
        <v>3</v>
      </c>
      <c r="I60" s="3112">
        <f t="shared" si="13"/>
        <v>10</v>
      </c>
    </row>
    <row r="61" spans="1:9" ht="15" x14ac:dyDescent="0.2">
      <c r="A61" s="6072"/>
      <c r="B61" s="6075"/>
      <c r="C61" s="3109" t="s">
        <v>417</v>
      </c>
      <c r="D61" s="3110">
        <v>12</v>
      </c>
      <c r="E61" s="3111">
        <v>3</v>
      </c>
      <c r="F61" s="3112">
        <f t="shared" si="14"/>
        <v>15</v>
      </c>
      <c r="G61" s="3110">
        <v>17</v>
      </c>
      <c r="H61" s="3111">
        <v>7</v>
      </c>
      <c r="I61" s="3112">
        <f t="shared" si="13"/>
        <v>24</v>
      </c>
    </row>
    <row r="62" spans="1:9" ht="15" x14ac:dyDescent="0.2">
      <c r="A62" s="6072"/>
      <c r="B62" s="6076"/>
      <c r="C62" s="3127" t="s">
        <v>160</v>
      </c>
      <c r="D62" s="3128">
        <f t="shared" ref="D62:I62" si="19">SUM(D60:D61)</f>
        <v>15</v>
      </c>
      <c r="E62" s="3129">
        <f t="shared" si="19"/>
        <v>5</v>
      </c>
      <c r="F62" s="3130">
        <f t="shared" si="19"/>
        <v>20</v>
      </c>
      <c r="G62" s="3128">
        <f t="shared" si="19"/>
        <v>24</v>
      </c>
      <c r="H62" s="3129">
        <f t="shared" si="19"/>
        <v>10</v>
      </c>
      <c r="I62" s="3130">
        <f t="shared" si="19"/>
        <v>34</v>
      </c>
    </row>
    <row r="63" spans="1:9" ht="15" x14ac:dyDescent="0.2">
      <c r="A63" s="6072"/>
      <c r="B63" s="6074" t="s">
        <v>9</v>
      </c>
      <c r="C63" s="3109" t="s">
        <v>415</v>
      </c>
      <c r="D63" s="3110">
        <v>4</v>
      </c>
      <c r="E63" s="3111">
        <v>7</v>
      </c>
      <c r="F63" s="3112">
        <f t="shared" si="14"/>
        <v>11</v>
      </c>
      <c r="G63" s="3110">
        <v>12</v>
      </c>
      <c r="H63" s="3111">
        <v>10</v>
      </c>
      <c r="I63" s="3112">
        <f t="shared" si="13"/>
        <v>22</v>
      </c>
    </row>
    <row r="64" spans="1:9" ht="15" x14ac:dyDescent="0.2">
      <c r="A64" s="6072"/>
      <c r="B64" s="6076"/>
      <c r="C64" s="3127" t="s">
        <v>160</v>
      </c>
      <c r="D64" s="3128">
        <f t="shared" ref="D64:I64" si="20">SUM(D63)</f>
        <v>4</v>
      </c>
      <c r="E64" s="3129">
        <f t="shared" si="20"/>
        <v>7</v>
      </c>
      <c r="F64" s="3130">
        <f t="shared" si="20"/>
        <v>11</v>
      </c>
      <c r="G64" s="3128">
        <f t="shared" si="20"/>
        <v>12</v>
      </c>
      <c r="H64" s="3129">
        <f t="shared" si="20"/>
        <v>10</v>
      </c>
      <c r="I64" s="3130">
        <f t="shared" si="20"/>
        <v>22</v>
      </c>
    </row>
    <row r="65" spans="1:9" ht="15" x14ac:dyDescent="0.2">
      <c r="A65" s="6073"/>
      <c r="B65" s="6077" t="s">
        <v>450</v>
      </c>
      <c r="C65" s="6072"/>
      <c r="D65" s="3116">
        <f t="shared" ref="D65:I65" si="21">SUM(D64,D62)</f>
        <v>19</v>
      </c>
      <c r="E65" s="3051">
        <f t="shared" si="21"/>
        <v>12</v>
      </c>
      <c r="F65" s="3052">
        <f t="shared" si="21"/>
        <v>31</v>
      </c>
      <c r="G65" s="3116">
        <f t="shared" si="21"/>
        <v>36</v>
      </c>
      <c r="H65" s="3051">
        <f t="shared" si="21"/>
        <v>20</v>
      </c>
      <c r="I65" s="3052">
        <f t="shared" si="21"/>
        <v>56</v>
      </c>
    </row>
    <row r="66" spans="1:9" ht="15" x14ac:dyDescent="0.2">
      <c r="A66" s="6082" t="s">
        <v>162</v>
      </c>
      <c r="B66" s="6074" t="s">
        <v>5</v>
      </c>
      <c r="C66" s="3109" t="s">
        <v>885</v>
      </c>
      <c r="D66" s="3110">
        <v>2</v>
      </c>
      <c r="E66" s="3111">
        <v>0</v>
      </c>
      <c r="F66" s="3112">
        <f t="shared" si="14"/>
        <v>2</v>
      </c>
      <c r="G66" s="3110">
        <v>2</v>
      </c>
      <c r="H66" s="3111">
        <v>0</v>
      </c>
      <c r="I66" s="3112">
        <f t="shared" si="13"/>
        <v>2</v>
      </c>
    </row>
    <row r="67" spans="1:9" ht="15" x14ac:dyDescent="0.2">
      <c r="A67" s="6082"/>
      <c r="B67" s="6075"/>
      <c r="C67" s="3109" t="s">
        <v>666</v>
      </c>
      <c r="D67" s="3110">
        <v>1</v>
      </c>
      <c r="E67" s="3111">
        <v>2</v>
      </c>
      <c r="F67" s="3112">
        <f t="shared" si="14"/>
        <v>3</v>
      </c>
      <c r="G67" s="3110">
        <v>1</v>
      </c>
      <c r="H67" s="3111">
        <v>2</v>
      </c>
      <c r="I67" s="3112">
        <f t="shared" si="13"/>
        <v>3</v>
      </c>
    </row>
    <row r="68" spans="1:9" ht="15" x14ac:dyDescent="0.2">
      <c r="A68" s="6082"/>
      <c r="B68" s="6075"/>
      <c r="C68" s="3109" t="s">
        <v>593</v>
      </c>
      <c r="D68" s="3110">
        <v>4</v>
      </c>
      <c r="E68" s="3111">
        <v>3</v>
      </c>
      <c r="F68" s="3112">
        <f t="shared" si="14"/>
        <v>7</v>
      </c>
      <c r="G68" s="3110">
        <v>4</v>
      </c>
      <c r="H68" s="3111">
        <v>3</v>
      </c>
      <c r="I68" s="3112">
        <f t="shared" si="13"/>
        <v>7</v>
      </c>
    </row>
    <row r="69" spans="1:9" ht="15" x14ac:dyDescent="0.2">
      <c r="A69" s="6082"/>
      <c r="B69" s="6076"/>
      <c r="C69" s="3127" t="s">
        <v>160</v>
      </c>
      <c r="D69" s="3128">
        <f t="shared" ref="D69:I69" si="22">SUM(D66:D68)</f>
        <v>7</v>
      </c>
      <c r="E69" s="3129">
        <f t="shared" si="22"/>
        <v>5</v>
      </c>
      <c r="F69" s="3130">
        <f t="shared" si="22"/>
        <v>12</v>
      </c>
      <c r="G69" s="3128">
        <f t="shared" si="22"/>
        <v>7</v>
      </c>
      <c r="H69" s="3129">
        <f t="shared" si="22"/>
        <v>5</v>
      </c>
      <c r="I69" s="3130">
        <f t="shared" si="22"/>
        <v>12</v>
      </c>
    </row>
    <row r="70" spans="1:9" ht="15" x14ac:dyDescent="0.2">
      <c r="A70" s="6082"/>
      <c r="B70" s="6074" t="s">
        <v>11</v>
      </c>
      <c r="C70" s="3109" t="s">
        <v>886</v>
      </c>
      <c r="D70" s="3110">
        <v>6</v>
      </c>
      <c r="E70" s="3111">
        <v>4</v>
      </c>
      <c r="F70" s="3112">
        <f t="shared" si="14"/>
        <v>10</v>
      </c>
      <c r="G70" s="3110">
        <v>13</v>
      </c>
      <c r="H70" s="3111">
        <v>13</v>
      </c>
      <c r="I70" s="3112">
        <f t="shared" si="13"/>
        <v>26</v>
      </c>
    </row>
    <row r="71" spans="1:9" ht="15" x14ac:dyDescent="0.2">
      <c r="A71" s="6082"/>
      <c r="B71" s="6076"/>
      <c r="C71" s="3127" t="s">
        <v>160</v>
      </c>
      <c r="D71" s="3128">
        <f t="shared" ref="D71:I71" si="23">SUM(D70)</f>
        <v>6</v>
      </c>
      <c r="E71" s="3129">
        <f t="shared" si="23"/>
        <v>4</v>
      </c>
      <c r="F71" s="3130">
        <f t="shared" si="23"/>
        <v>10</v>
      </c>
      <c r="G71" s="3128">
        <f t="shared" si="23"/>
        <v>13</v>
      </c>
      <c r="H71" s="3129">
        <f t="shared" si="23"/>
        <v>13</v>
      </c>
      <c r="I71" s="3130">
        <f t="shared" si="23"/>
        <v>26</v>
      </c>
    </row>
    <row r="72" spans="1:9" ht="15" x14ac:dyDescent="0.2">
      <c r="A72" s="6083"/>
      <c r="B72" s="6084" t="s">
        <v>450</v>
      </c>
      <c r="C72" s="6082"/>
      <c r="D72" s="3032">
        <f t="shared" ref="D72:I72" si="24">SUM(D71,D69)</f>
        <v>13</v>
      </c>
      <c r="E72" s="3033">
        <f t="shared" si="24"/>
        <v>9</v>
      </c>
      <c r="F72" s="3034">
        <f t="shared" si="24"/>
        <v>22</v>
      </c>
      <c r="G72" s="3032">
        <f t="shared" si="24"/>
        <v>20</v>
      </c>
      <c r="H72" s="3033">
        <f t="shared" si="24"/>
        <v>18</v>
      </c>
      <c r="I72" s="3034">
        <f t="shared" si="24"/>
        <v>38</v>
      </c>
    </row>
    <row r="73" spans="1:9" ht="15" x14ac:dyDescent="0.2">
      <c r="A73" s="6085" t="s">
        <v>163</v>
      </c>
      <c r="B73" s="6074" t="s">
        <v>7</v>
      </c>
      <c r="C73" s="3109" t="s">
        <v>2</v>
      </c>
      <c r="D73" s="3110">
        <v>5</v>
      </c>
      <c r="E73" s="3111">
        <v>2</v>
      </c>
      <c r="F73" s="3112">
        <f t="shared" si="14"/>
        <v>7</v>
      </c>
      <c r="G73" s="3110">
        <v>14</v>
      </c>
      <c r="H73" s="3111">
        <v>15</v>
      </c>
      <c r="I73" s="3112">
        <f t="shared" si="13"/>
        <v>29</v>
      </c>
    </row>
    <row r="74" spans="1:9" ht="15" x14ac:dyDescent="0.2">
      <c r="A74" s="6085"/>
      <c r="B74" s="6076"/>
      <c r="C74" s="3127" t="s">
        <v>160</v>
      </c>
      <c r="D74" s="3128">
        <f t="shared" ref="D74:I74" si="25">SUM(D73)</f>
        <v>5</v>
      </c>
      <c r="E74" s="3129">
        <f t="shared" si="25"/>
        <v>2</v>
      </c>
      <c r="F74" s="3130">
        <f t="shared" si="25"/>
        <v>7</v>
      </c>
      <c r="G74" s="3128">
        <f t="shared" si="25"/>
        <v>14</v>
      </c>
      <c r="H74" s="3129">
        <f t="shared" si="25"/>
        <v>15</v>
      </c>
      <c r="I74" s="3130">
        <f t="shared" si="25"/>
        <v>29</v>
      </c>
    </row>
    <row r="75" spans="1:9" ht="15" x14ac:dyDescent="0.2">
      <c r="A75" s="6085"/>
      <c r="B75" s="6074" t="s">
        <v>11</v>
      </c>
      <c r="C75" s="3109" t="s">
        <v>594</v>
      </c>
      <c r="D75" s="3110">
        <v>3</v>
      </c>
      <c r="E75" s="3111">
        <v>4</v>
      </c>
      <c r="F75" s="3112">
        <f t="shared" si="14"/>
        <v>7</v>
      </c>
      <c r="G75" s="3110">
        <v>3</v>
      </c>
      <c r="H75" s="3111">
        <v>4</v>
      </c>
      <c r="I75" s="3112">
        <f t="shared" si="13"/>
        <v>7</v>
      </c>
    </row>
    <row r="76" spans="1:9" ht="15" x14ac:dyDescent="0.2">
      <c r="A76" s="6085"/>
      <c r="B76" s="6076"/>
      <c r="C76" s="3127" t="s">
        <v>160</v>
      </c>
      <c r="D76" s="3128">
        <f t="shared" ref="D76:I76" si="26">SUM(D75)</f>
        <v>3</v>
      </c>
      <c r="E76" s="3129">
        <f t="shared" si="26"/>
        <v>4</v>
      </c>
      <c r="F76" s="3130">
        <f t="shared" si="26"/>
        <v>7</v>
      </c>
      <c r="G76" s="3128">
        <f t="shared" si="26"/>
        <v>3</v>
      </c>
      <c r="H76" s="3129">
        <f t="shared" si="26"/>
        <v>4</v>
      </c>
      <c r="I76" s="3130">
        <f t="shared" si="26"/>
        <v>7</v>
      </c>
    </row>
    <row r="77" spans="1:9" ht="15" x14ac:dyDescent="0.2">
      <c r="A77" s="6085"/>
      <c r="B77" s="6074" t="s">
        <v>6</v>
      </c>
      <c r="C77" s="3109" t="s">
        <v>19</v>
      </c>
      <c r="D77" s="3110">
        <v>0</v>
      </c>
      <c r="E77" s="3111">
        <v>0</v>
      </c>
      <c r="F77" s="3112">
        <f t="shared" si="14"/>
        <v>0</v>
      </c>
      <c r="G77" s="3110">
        <v>9</v>
      </c>
      <c r="H77" s="3111">
        <v>10</v>
      </c>
      <c r="I77" s="3112">
        <f t="shared" si="13"/>
        <v>19</v>
      </c>
    </row>
    <row r="78" spans="1:9" ht="15" x14ac:dyDescent="0.2">
      <c r="A78" s="6085"/>
      <c r="B78" s="6076"/>
      <c r="C78" s="3127" t="s">
        <v>160</v>
      </c>
      <c r="D78" s="3128">
        <f t="shared" ref="D78:I78" si="27">SUM(D77)</f>
        <v>0</v>
      </c>
      <c r="E78" s="3129">
        <f t="shared" si="27"/>
        <v>0</v>
      </c>
      <c r="F78" s="3130">
        <f t="shared" si="27"/>
        <v>0</v>
      </c>
      <c r="G78" s="3128">
        <f t="shared" si="27"/>
        <v>9</v>
      </c>
      <c r="H78" s="3129">
        <f t="shared" si="27"/>
        <v>10</v>
      </c>
      <c r="I78" s="3130">
        <f t="shared" si="27"/>
        <v>19</v>
      </c>
    </row>
    <row r="79" spans="1:9" ht="15" x14ac:dyDescent="0.2">
      <c r="A79" s="6086"/>
      <c r="B79" s="6087" t="s">
        <v>450</v>
      </c>
      <c r="C79" s="6085"/>
      <c r="D79" s="3117">
        <f t="shared" ref="D79:I79" si="28">SUM(D78,D76,D74)</f>
        <v>8</v>
      </c>
      <c r="E79" s="3046">
        <f t="shared" si="28"/>
        <v>6</v>
      </c>
      <c r="F79" s="3047">
        <f t="shared" si="28"/>
        <v>14</v>
      </c>
      <c r="G79" s="3117">
        <f t="shared" si="28"/>
        <v>26</v>
      </c>
      <c r="H79" s="3046">
        <f t="shared" si="28"/>
        <v>29</v>
      </c>
      <c r="I79" s="3047">
        <f t="shared" si="28"/>
        <v>55</v>
      </c>
    </row>
    <row r="80" spans="1:9" x14ac:dyDescent="0.2">
      <c r="A80" s="199"/>
      <c r="B80" s="199"/>
      <c r="C80" s="199"/>
      <c r="D80" s="199"/>
      <c r="E80" s="199"/>
      <c r="F80" s="199"/>
      <c r="G80" s="199"/>
      <c r="H80" s="199"/>
      <c r="I80" s="199"/>
    </row>
    <row r="81" spans="1:13" ht="15" x14ac:dyDescent="0.2">
      <c r="A81" s="6088" t="s">
        <v>12</v>
      </c>
      <c r="B81" s="6088"/>
      <c r="C81" s="6088"/>
      <c r="D81" s="3113">
        <f>SUM(D79,D72,D65,D59)</f>
        <v>57</v>
      </c>
      <c r="E81" s="3114">
        <f>SUM(E79,E72,E65,E59)</f>
        <v>37</v>
      </c>
      <c r="F81" s="3115">
        <f t="shared" si="14"/>
        <v>94</v>
      </c>
      <c r="G81" s="3113">
        <f>SUM(G79,G72,G65,G59)</f>
        <v>115</v>
      </c>
      <c r="H81" s="3114">
        <f>SUM(H79,H72,H65,H59)</f>
        <v>84</v>
      </c>
      <c r="I81" s="3115">
        <f t="shared" si="13"/>
        <v>199</v>
      </c>
    </row>
    <row r="84" spans="1:13" ht="15.75" x14ac:dyDescent="0.2">
      <c r="A84" s="5574" t="s">
        <v>167</v>
      </c>
      <c r="B84" s="6089"/>
      <c r="C84" s="6089"/>
      <c r="D84" s="6090">
        <v>2008</v>
      </c>
      <c r="E84" s="6091"/>
      <c r="F84" s="6031">
        <v>2009</v>
      </c>
      <c r="G84" s="6032"/>
      <c r="H84" s="6031">
        <v>2010</v>
      </c>
      <c r="I84" s="6032"/>
      <c r="J84" s="6031">
        <v>2011</v>
      </c>
      <c r="K84" s="6032"/>
      <c r="L84" s="6031">
        <v>2012</v>
      </c>
      <c r="M84" s="6032"/>
    </row>
    <row r="85" spans="1:13" ht="30" x14ac:dyDescent="0.2">
      <c r="A85" s="6089"/>
      <c r="B85" s="6089"/>
      <c r="C85" s="6089"/>
      <c r="D85" s="3118" t="s">
        <v>646</v>
      </c>
      <c r="E85" s="3118" t="s">
        <v>647</v>
      </c>
      <c r="F85" s="3118" t="s">
        <v>646</v>
      </c>
      <c r="G85" s="3118" t="s">
        <v>647</v>
      </c>
      <c r="H85" s="3118" t="s">
        <v>646</v>
      </c>
      <c r="I85" s="3118" t="s">
        <v>647</v>
      </c>
      <c r="J85" s="3118" t="s">
        <v>646</v>
      </c>
      <c r="K85" s="3118" t="s">
        <v>647</v>
      </c>
      <c r="L85" s="3118" t="s">
        <v>646</v>
      </c>
      <c r="M85" s="3118" t="s">
        <v>647</v>
      </c>
    </row>
    <row r="86" spans="1:13" ht="15" x14ac:dyDescent="0.2">
      <c r="A86" s="6056" t="s">
        <v>161</v>
      </c>
      <c r="B86" s="6096" t="s">
        <v>7</v>
      </c>
      <c r="C86" s="4818" t="s">
        <v>404</v>
      </c>
      <c r="D86" s="4810">
        <v>2</v>
      </c>
      <c r="E86" s="4810">
        <v>2</v>
      </c>
      <c r="F86" s="4810"/>
      <c r="G86" s="4810">
        <v>2</v>
      </c>
      <c r="H86" s="4810"/>
      <c r="I86" s="4810"/>
      <c r="J86" s="4810"/>
      <c r="K86" s="4810"/>
      <c r="L86" s="4810">
        <v>2</v>
      </c>
      <c r="M86" s="4810">
        <v>2</v>
      </c>
    </row>
    <row r="87" spans="1:13" ht="15" x14ac:dyDescent="0.2">
      <c r="A87" s="6092"/>
      <c r="B87" s="6097"/>
      <c r="C87" s="4823" t="s">
        <v>878</v>
      </c>
      <c r="D87" s="4811"/>
      <c r="E87" s="4811"/>
      <c r="F87" s="4811"/>
      <c r="G87" s="4811"/>
      <c r="H87" s="4811"/>
      <c r="I87" s="4811"/>
      <c r="J87" s="4811"/>
      <c r="K87" s="4811"/>
      <c r="L87" s="4811"/>
      <c r="M87" s="4811"/>
    </row>
    <row r="88" spans="1:13" ht="15" customHeight="1" x14ac:dyDescent="0.2">
      <c r="A88" s="6056"/>
      <c r="B88" s="6098"/>
      <c r="C88" s="4807" t="s">
        <v>892</v>
      </c>
      <c r="D88" s="4817">
        <f t="shared" ref="D88:L88" si="29">SUM(D86:D87)</f>
        <v>2</v>
      </c>
      <c r="E88" s="4817">
        <f>SUM(E86:E87)</f>
        <v>2</v>
      </c>
      <c r="F88" s="4817">
        <f t="shared" si="29"/>
        <v>0</v>
      </c>
      <c r="G88" s="4817">
        <f>SUM(G86:G87)</f>
        <v>2</v>
      </c>
      <c r="H88" s="4817">
        <f t="shared" si="29"/>
        <v>0</v>
      </c>
      <c r="I88" s="4817">
        <f>SUM(I86:I87)</f>
        <v>0</v>
      </c>
      <c r="J88" s="4817">
        <f t="shared" si="29"/>
        <v>0</v>
      </c>
      <c r="K88" s="4817">
        <f>SUM(K86:K87)</f>
        <v>0</v>
      </c>
      <c r="L88" s="4817">
        <f t="shared" si="29"/>
        <v>2</v>
      </c>
      <c r="M88" s="4817">
        <f>SUM(M86:M87)</f>
        <v>2</v>
      </c>
    </row>
    <row r="89" spans="1:13" ht="15" x14ac:dyDescent="0.25">
      <c r="A89" s="6056"/>
      <c r="B89" s="6099" t="s">
        <v>357</v>
      </c>
      <c r="C89" s="4824" t="s">
        <v>893</v>
      </c>
      <c r="D89" s="4811">
        <v>1</v>
      </c>
      <c r="E89" s="4811">
        <v>1</v>
      </c>
      <c r="F89" s="4811">
        <v>11</v>
      </c>
      <c r="G89" s="4811">
        <v>19</v>
      </c>
      <c r="H89" s="4811">
        <v>4</v>
      </c>
      <c r="I89" s="4811">
        <v>18</v>
      </c>
      <c r="J89" s="4811"/>
      <c r="K89" s="4811"/>
      <c r="L89" s="4811"/>
      <c r="M89" s="4811"/>
    </row>
    <row r="90" spans="1:13" ht="15" x14ac:dyDescent="0.25">
      <c r="A90" s="6092"/>
      <c r="B90" s="6034"/>
      <c r="C90" s="4820" t="s">
        <v>412</v>
      </c>
      <c r="D90" s="4811"/>
      <c r="E90" s="4811"/>
      <c r="F90" s="4811"/>
      <c r="G90" s="4811"/>
      <c r="H90" s="4811"/>
      <c r="I90" s="4811"/>
      <c r="J90" s="4811"/>
      <c r="K90" s="4811"/>
      <c r="L90" s="4811">
        <v>3</v>
      </c>
      <c r="M90" s="4811">
        <v>3</v>
      </c>
    </row>
    <row r="91" spans="1:13" ht="15" x14ac:dyDescent="0.25">
      <c r="A91" s="6092"/>
      <c r="B91" s="6034"/>
      <c r="C91" s="4820" t="s">
        <v>413</v>
      </c>
      <c r="D91" s="4811"/>
      <c r="E91" s="4811"/>
      <c r="F91" s="4811"/>
      <c r="G91" s="4811"/>
      <c r="H91" s="4811"/>
      <c r="I91" s="4811"/>
      <c r="J91" s="4811"/>
      <c r="K91" s="4811"/>
      <c r="L91" s="4811">
        <v>4</v>
      </c>
      <c r="M91" s="4811">
        <v>4</v>
      </c>
    </row>
    <row r="92" spans="1:13" ht="15" customHeight="1" x14ac:dyDescent="0.2">
      <c r="A92" s="6056"/>
      <c r="B92" s="6035"/>
      <c r="C92" s="4807" t="s">
        <v>892</v>
      </c>
      <c r="D92" s="4817">
        <f t="shared" ref="D92:L92" si="30">SUM(D89:D91)</f>
        <v>1</v>
      </c>
      <c r="E92" s="4817">
        <f>SUM(E89:E91)</f>
        <v>1</v>
      </c>
      <c r="F92" s="4817">
        <f t="shared" si="30"/>
        <v>11</v>
      </c>
      <c r="G92" s="4817">
        <f>SUM(G89:G91)</f>
        <v>19</v>
      </c>
      <c r="H92" s="4817">
        <f t="shared" si="30"/>
        <v>4</v>
      </c>
      <c r="I92" s="4817">
        <f>SUM(I89:I91)</f>
        <v>18</v>
      </c>
      <c r="J92" s="4817">
        <f t="shared" si="30"/>
        <v>0</v>
      </c>
      <c r="K92" s="4817">
        <f>SUM(K89:K91)</f>
        <v>0</v>
      </c>
      <c r="L92" s="4817">
        <f t="shared" si="30"/>
        <v>7</v>
      </c>
      <c r="M92" s="4817">
        <f>SUM(M89:M91)</f>
        <v>7</v>
      </c>
    </row>
    <row r="93" spans="1:13" ht="15" x14ac:dyDescent="0.2">
      <c r="A93" s="6056"/>
      <c r="B93" s="6099" t="s">
        <v>891</v>
      </c>
      <c r="C93" s="4821" t="s">
        <v>540</v>
      </c>
      <c r="D93" s="4811"/>
      <c r="E93" s="4811"/>
      <c r="F93" s="4811"/>
      <c r="G93" s="4811">
        <v>1</v>
      </c>
      <c r="H93" s="4811"/>
      <c r="I93" s="4811"/>
      <c r="J93" s="4811"/>
      <c r="K93" s="4811"/>
      <c r="L93" s="4811"/>
      <c r="M93" s="4811"/>
    </row>
    <row r="94" spans="1:13" ht="15" x14ac:dyDescent="0.2">
      <c r="A94" s="6092"/>
      <c r="B94" s="6034"/>
      <c r="C94" s="4821" t="s">
        <v>877</v>
      </c>
      <c r="D94" s="4811"/>
      <c r="E94" s="4811"/>
      <c r="F94" s="4811"/>
      <c r="G94" s="4811"/>
      <c r="H94" s="4811"/>
      <c r="I94" s="4811"/>
      <c r="J94" s="4811">
        <v>8</v>
      </c>
      <c r="K94" s="4811">
        <v>8</v>
      </c>
      <c r="L94" s="4811">
        <v>0</v>
      </c>
      <c r="M94" s="4811">
        <v>7</v>
      </c>
    </row>
    <row r="95" spans="1:13" ht="15" x14ac:dyDescent="0.2">
      <c r="A95" s="6092"/>
      <c r="B95" s="6034"/>
      <c r="C95" s="4821" t="s">
        <v>884</v>
      </c>
      <c r="D95" s="4811"/>
      <c r="E95" s="4811"/>
      <c r="F95" s="4811"/>
      <c r="G95" s="4811"/>
      <c r="H95" s="4811"/>
      <c r="I95" s="4811"/>
      <c r="J95" s="4811"/>
      <c r="K95" s="4811"/>
      <c r="L95" s="4811">
        <v>10</v>
      </c>
      <c r="M95" s="4811">
        <v>10</v>
      </c>
    </row>
    <row r="96" spans="1:13" ht="15" x14ac:dyDescent="0.2">
      <c r="A96" s="6056"/>
      <c r="B96" s="6034"/>
      <c r="C96" s="4822" t="s">
        <v>369</v>
      </c>
      <c r="D96" s="4811"/>
      <c r="E96" s="4811"/>
      <c r="F96" s="4811"/>
      <c r="G96" s="4811">
        <v>2</v>
      </c>
      <c r="H96" s="4811"/>
      <c r="I96" s="4811"/>
      <c r="J96" s="4811"/>
      <c r="K96" s="4811"/>
      <c r="L96" s="4811"/>
      <c r="M96" s="4811"/>
    </row>
    <row r="97" spans="1:13" ht="15" customHeight="1" x14ac:dyDescent="0.2">
      <c r="A97" s="6056"/>
      <c r="B97" s="6035"/>
      <c r="C97" s="4807" t="s">
        <v>892</v>
      </c>
      <c r="D97" s="4832">
        <f t="shared" ref="D97:L97" si="31">SUM(D93:D96)</f>
        <v>0</v>
      </c>
      <c r="E97" s="4832">
        <f>SUM(E93:E96)</f>
        <v>0</v>
      </c>
      <c r="F97" s="4832">
        <f t="shared" si="31"/>
        <v>0</v>
      </c>
      <c r="G97" s="4832">
        <f>SUM(G93:G96)</f>
        <v>3</v>
      </c>
      <c r="H97" s="4832">
        <f t="shared" si="31"/>
        <v>0</v>
      </c>
      <c r="I97" s="4832">
        <f>SUM(I93:I96)</f>
        <v>0</v>
      </c>
      <c r="J97" s="4832">
        <f t="shared" si="31"/>
        <v>8</v>
      </c>
      <c r="K97" s="4832">
        <f>SUM(K93:K96)</f>
        <v>8</v>
      </c>
      <c r="L97" s="4832">
        <f t="shared" si="31"/>
        <v>10</v>
      </c>
      <c r="M97" s="4832">
        <f>SUM(M93:M96)</f>
        <v>17</v>
      </c>
    </row>
    <row r="98" spans="1:13" ht="15" customHeight="1" x14ac:dyDescent="0.2">
      <c r="A98" s="6093"/>
      <c r="B98" s="6094" t="s">
        <v>450</v>
      </c>
      <c r="C98" s="6095"/>
      <c r="D98" s="4801">
        <f t="shared" ref="D98:I98" si="32">SUM(D97,D92,D88)</f>
        <v>3</v>
      </c>
      <c r="E98" s="4801">
        <f t="shared" si="32"/>
        <v>3</v>
      </c>
      <c r="F98" s="4801">
        <f t="shared" si="32"/>
        <v>11</v>
      </c>
      <c r="G98" s="4801">
        <f t="shared" si="32"/>
        <v>24</v>
      </c>
      <c r="H98" s="4801">
        <f t="shared" si="32"/>
        <v>4</v>
      </c>
      <c r="I98" s="4801">
        <f t="shared" si="32"/>
        <v>18</v>
      </c>
      <c r="J98" s="4801">
        <f t="shared" ref="J98:L98" si="33">SUM(J97,J92,J88)</f>
        <v>8</v>
      </c>
      <c r="K98" s="4801">
        <f>SUM(K97,K92,K88)</f>
        <v>8</v>
      </c>
      <c r="L98" s="4801">
        <f t="shared" si="33"/>
        <v>19</v>
      </c>
      <c r="M98" s="4801">
        <f>SUM(M97,M92,M88)</f>
        <v>26</v>
      </c>
    </row>
    <row r="99" spans="1:13" ht="15" x14ac:dyDescent="0.2">
      <c r="A99" s="6102" t="s">
        <v>410</v>
      </c>
      <c r="B99" s="6038" t="s">
        <v>74</v>
      </c>
      <c r="C99" s="4825" t="s">
        <v>418</v>
      </c>
      <c r="D99" s="4834"/>
      <c r="E99" s="4834"/>
      <c r="F99" s="4834"/>
      <c r="G99" s="4834"/>
      <c r="H99" s="4834"/>
      <c r="I99" s="4834"/>
      <c r="J99" s="4836"/>
      <c r="K99" s="4836"/>
      <c r="L99" s="4836">
        <v>6</v>
      </c>
      <c r="M99" s="4836">
        <v>5</v>
      </c>
    </row>
    <row r="100" spans="1:13" ht="15" x14ac:dyDescent="0.2">
      <c r="A100" s="6103"/>
      <c r="B100" s="5874"/>
      <c r="C100" s="4826" t="s">
        <v>417</v>
      </c>
      <c r="D100" s="4812"/>
      <c r="E100" s="4812"/>
      <c r="F100" s="4812"/>
      <c r="G100" s="4812"/>
      <c r="H100" s="4812"/>
      <c r="I100" s="4812"/>
      <c r="J100" s="4813"/>
      <c r="K100" s="4813"/>
      <c r="L100" s="4813">
        <v>9</v>
      </c>
      <c r="M100" s="4813">
        <v>9</v>
      </c>
    </row>
    <row r="101" spans="1:13" ht="15" x14ac:dyDescent="0.2">
      <c r="A101" s="6103"/>
      <c r="B101" s="6039"/>
      <c r="C101" s="4807" t="s">
        <v>892</v>
      </c>
      <c r="D101" s="4817"/>
      <c r="E101" s="4817"/>
      <c r="F101" s="4817"/>
      <c r="G101" s="4817"/>
      <c r="H101" s="4817"/>
      <c r="I101" s="4817"/>
      <c r="J101" s="4817">
        <f t="shared" ref="J101:L101" si="34">SUM(J99:J100)</f>
        <v>0</v>
      </c>
      <c r="K101" s="4817">
        <f>SUM(K99:K100)</f>
        <v>0</v>
      </c>
      <c r="L101" s="4817">
        <f t="shared" si="34"/>
        <v>15</v>
      </c>
      <c r="M101" s="4817">
        <f>SUM(M99:M100)</f>
        <v>14</v>
      </c>
    </row>
    <row r="102" spans="1:13" ht="15" x14ac:dyDescent="0.2">
      <c r="A102" s="6103"/>
      <c r="B102" s="6038" t="s">
        <v>9</v>
      </c>
      <c r="C102" s="4826" t="s">
        <v>415</v>
      </c>
      <c r="D102" s="4812"/>
      <c r="E102" s="4812"/>
      <c r="F102" s="4812"/>
      <c r="G102" s="4812"/>
      <c r="H102" s="4812"/>
      <c r="I102" s="4812"/>
      <c r="J102" s="4813"/>
      <c r="K102" s="4813"/>
      <c r="L102" s="4813">
        <v>12</v>
      </c>
      <c r="M102" s="4813">
        <v>12</v>
      </c>
    </row>
    <row r="103" spans="1:13" ht="15" x14ac:dyDescent="0.2">
      <c r="A103" s="6103"/>
      <c r="B103" s="6039"/>
      <c r="C103" s="4807" t="s">
        <v>892</v>
      </c>
      <c r="D103" s="4817"/>
      <c r="E103" s="4817"/>
      <c r="F103" s="4817"/>
      <c r="G103" s="4817"/>
      <c r="H103" s="4817"/>
      <c r="I103" s="4817"/>
      <c r="J103" s="4817">
        <f t="shared" ref="J103:L103" si="35">SUM(J102)</f>
        <v>0</v>
      </c>
      <c r="K103" s="4817">
        <f>SUM(K102)</f>
        <v>0</v>
      </c>
      <c r="L103" s="4817">
        <f t="shared" si="35"/>
        <v>12</v>
      </c>
      <c r="M103" s="4817">
        <f>SUM(M102)</f>
        <v>12</v>
      </c>
    </row>
    <row r="104" spans="1:13" ht="15" x14ac:dyDescent="0.2">
      <c r="A104" s="6103"/>
      <c r="B104" s="6040" t="s">
        <v>6</v>
      </c>
      <c r="C104" s="4826" t="s">
        <v>888</v>
      </c>
      <c r="D104" s="4812"/>
      <c r="E104" s="4812"/>
      <c r="F104" s="4812"/>
      <c r="G104" s="4812"/>
      <c r="H104" s="4812"/>
      <c r="I104" s="4812"/>
      <c r="J104" s="4813">
        <v>19</v>
      </c>
      <c r="K104" s="4813">
        <v>19</v>
      </c>
      <c r="L104" s="4813">
        <v>11</v>
      </c>
      <c r="M104" s="4813">
        <v>28</v>
      </c>
    </row>
    <row r="105" spans="1:13" ht="15" x14ac:dyDescent="0.2">
      <c r="A105" s="6103"/>
      <c r="B105" s="6041"/>
      <c r="C105" s="4827" t="s">
        <v>402</v>
      </c>
      <c r="D105" s="4812"/>
      <c r="E105" s="4812"/>
      <c r="F105" s="4812"/>
      <c r="G105" s="4812"/>
      <c r="H105" s="4812"/>
      <c r="I105" s="4812"/>
      <c r="J105" s="4813">
        <v>9</v>
      </c>
      <c r="K105" s="4813">
        <v>9</v>
      </c>
      <c r="L105" s="4813">
        <v>7</v>
      </c>
      <c r="M105" s="4813">
        <v>16</v>
      </c>
    </row>
    <row r="106" spans="1:13" ht="15" x14ac:dyDescent="0.2">
      <c r="A106" s="6103"/>
      <c r="B106" s="6039"/>
      <c r="C106" s="4807" t="s">
        <v>892</v>
      </c>
      <c r="D106" s="4832"/>
      <c r="E106" s="4832"/>
      <c r="F106" s="4832"/>
      <c r="G106" s="4832"/>
      <c r="H106" s="4832"/>
      <c r="I106" s="4832"/>
      <c r="J106" s="4832">
        <f t="shared" ref="J106:L106" si="36">SUM(J104:J105)</f>
        <v>28</v>
      </c>
      <c r="K106" s="4832">
        <f>SUM(K104:K105)</f>
        <v>28</v>
      </c>
      <c r="L106" s="4832">
        <f t="shared" si="36"/>
        <v>18</v>
      </c>
      <c r="M106" s="4832">
        <f>SUM(M104:M105)</f>
        <v>44</v>
      </c>
    </row>
    <row r="107" spans="1:13" ht="15" x14ac:dyDescent="0.2">
      <c r="A107" s="6104"/>
      <c r="B107" s="6036" t="s">
        <v>450</v>
      </c>
      <c r="C107" s="6037"/>
      <c r="D107" s="4808"/>
      <c r="E107" s="4808"/>
      <c r="F107" s="4808"/>
      <c r="G107" s="4808"/>
      <c r="H107" s="4808"/>
      <c r="I107" s="4808"/>
      <c r="J107" s="4808">
        <f t="shared" ref="J107:L107" si="37">SUM(J106,J103,J101)</f>
        <v>28</v>
      </c>
      <c r="K107" s="4808">
        <f>SUM(K106,K103,K101)</f>
        <v>28</v>
      </c>
      <c r="L107" s="4808">
        <f t="shared" si="37"/>
        <v>45</v>
      </c>
      <c r="M107" s="4808">
        <f>SUM(M106,M103,M101)</f>
        <v>70</v>
      </c>
    </row>
    <row r="108" spans="1:13" ht="15" x14ac:dyDescent="0.2">
      <c r="A108" s="6108" t="s">
        <v>162</v>
      </c>
      <c r="B108" s="6111" t="s">
        <v>5</v>
      </c>
      <c r="C108" s="4828" t="s">
        <v>889</v>
      </c>
      <c r="D108" s="4835"/>
      <c r="E108" s="4835"/>
      <c r="F108" s="4835"/>
      <c r="G108" s="4835"/>
      <c r="H108" s="4835"/>
      <c r="I108" s="4835"/>
      <c r="J108" s="4836">
        <v>6</v>
      </c>
      <c r="K108" s="4836">
        <v>6</v>
      </c>
      <c r="L108" s="4835"/>
      <c r="M108" s="4835"/>
    </row>
    <row r="109" spans="1:13" ht="15" x14ac:dyDescent="0.2">
      <c r="A109" s="6109"/>
      <c r="B109" s="6112"/>
      <c r="C109" s="4807" t="s">
        <v>892</v>
      </c>
      <c r="D109" s="4817"/>
      <c r="E109" s="4817"/>
      <c r="F109" s="4817"/>
      <c r="G109" s="4817"/>
      <c r="H109" s="4817"/>
      <c r="I109" s="4817"/>
      <c r="J109" s="4817">
        <f t="shared" ref="J109:L109" si="38">SUM(J108)</f>
        <v>6</v>
      </c>
      <c r="K109" s="4817">
        <f>SUM(K108)</f>
        <v>6</v>
      </c>
      <c r="L109" s="4817">
        <f t="shared" si="38"/>
        <v>0</v>
      </c>
      <c r="M109" s="4817">
        <f>SUM(M108)</f>
        <v>0</v>
      </c>
    </row>
    <row r="110" spans="1:13" ht="15" x14ac:dyDescent="0.2">
      <c r="A110" s="6109"/>
      <c r="B110" s="6113" t="s">
        <v>11</v>
      </c>
      <c r="C110" s="4819" t="s">
        <v>886</v>
      </c>
      <c r="D110" s="4814"/>
      <c r="E110" s="4814"/>
      <c r="F110" s="4814"/>
      <c r="G110" s="4814"/>
      <c r="H110" s="4814"/>
      <c r="I110" s="4814"/>
      <c r="J110" s="4815">
        <v>6</v>
      </c>
      <c r="K110" s="4815">
        <v>6</v>
      </c>
      <c r="L110" s="4815">
        <v>16</v>
      </c>
      <c r="M110" s="4815">
        <v>16</v>
      </c>
    </row>
    <row r="111" spans="1:13" ht="15" x14ac:dyDescent="0.2">
      <c r="A111" s="6109"/>
      <c r="B111" s="6114"/>
      <c r="C111" s="4807" t="s">
        <v>892</v>
      </c>
      <c r="D111" s="4832"/>
      <c r="E111" s="4832"/>
      <c r="F111" s="4832"/>
      <c r="G111" s="4832"/>
      <c r="H111" s="4832"/>
      <c r="I111" s="4832"/>
      <c r="J111" s="4832">
        <f t="shared" ref="J111:L111" si="39">SUM(J110)</f>
        <v>6</v>
      </c>
      <c r="K111" s="4832">
        <f>SUM(K110)</f>
        <v>6</v>
      </c>
      <c r="L111" s="4832">
        <f t="shared" si="39"/>
        <v>16</v>
      </c>
      <c r="M111" s="4832">
        <f>SUM(M110)</f>
        <v>16</v>
      </c>
    </row>
    <row r="112" spans="1:13" ht="15" x14ac:dyDescent="0.2">
      <c r="A112" s="6110"/>
      <c r="B112" s="6115" t="s">
        <v>450</v>
      </c>
      <c r="C112" s="6116"/>
      <c r="D112" s="4809"/>
      <c r="E112" s="4809"/>
      <c r="F112" s="4809"/>
      <c r="G112" s="4809"/>
      <c r="H112" s="4809"/>
      <c r="I112" s="4809"/>
      <c r="J112" s="4809">
        <f t="shared" ref="J112:L112" si="40">SUM(J111,J109)</f>
        <v>12</v>
      </c>
      <c r="K112" s="4809">
        <f>SUM(K111,K109)</f>
        <v>12</v>
      </c>
      <c r="L112" s="4809">
        <f t="shared" si="40"/>
        <v>16</v>
      </c>
      <c r="M112" s="4809">
        <f>SUM(M111,M109)</f>
        <v>16</v>
      </c>
    </row>
    <row r="113" spans="1:13" ht="15" x14ac:dyDescent="0.2">
      <c r="A113" s="6105" t="s">
        <v>163</v>
      </c>
      <c r="B113" s="6033" t="s">
        <v>7</v>
      </c>
      <c r="C113" s="4829" t="s">
        <v>2</v>
      </c>
      <c r="D113" s="4833"/>
      <c r="E113" s="4833"/>
      <c r="F113" s="4834"/>
      <c r="G113" s="4834"/>
      <c r="H113" s="4833">
        <v>9</v>
      </c>
      <c r="I113" s="4833">
        <v>8</v>
      </c>
      <c r="J113" s="4833">
        <v>7</v>
      </c>
      <c r="K113" s="4833">
        <v>15</v>
      </c>
      <c r="L113" s="4833">
        <v>10</v>
      </c>
      <c r="M113" s="4833">
        <v>24</v>
      </c>
    </row>
    <row r="114" spans="1:13" ht="15" x14ac:dyDescent="0.2">
      <c r="A114" s="6106"/>
      <c r="B114" s="6034"/>
      <c r="C114" s="4830" t="s">
        <v>537</v>
      </c>
      <c r="D114" s="1932"/>
      <c r="E114" s="1932"/>
      <c r="F114" s="1932">
        <v>12</v>
      </c>
      <c r="G114" s="1932">
        <v>12</v>
      </c>
      <c r="H114" s="1932"/>
      <c r="I114" s="1932">
        <v>12</v>
      </c>
      <c r="J114" s="1932"/>
      <c r="K114" s="1932"/>
      <c r="L114" s="1932"/>
      <c r="M114" s="1932"/>
    </row>
    <row r="115" spans="1:13" ht="15" customHeight="1" x14ac:dyDescent="0.2">
      <c r="A115" s="6106"/>
      <c r="B115" s="6035"/>
      <c r="C115" s="4807" t="s">
        <v>892</v>
      </c>
      <c r="D115" s="4817">
        <f>SUM(D114:D114)</f>
        <v>0</v>
      </c>
      <c r="E115" s="4817">
        <f>SUM(E114:E114)</f>
        <v>0</v>
      </c>
      <c r="F115" s="4817">
        <f>SUM(F113:F114)</f>
        <v>12</v>
      </c>
      <c r="G115" s="4817">
        <f>SUM(G114:G114)</f>
        <v>12</v>
      </c>
      <c r="H115" s="4817">
        <f>SUM(H113:H114)</f>
        <v>9</v>
      </c>
      <c r="I115" s="4817">
        <f>SUM(I113:I114)</f>
        <v>20</v>
      </c>
      <c r="J115" s="4817">
        <f t="shared" ref="J115:L115" si="41">SUM(J113:J114)</f>
        <v>7</v>
      </c>
      <c r="K115" s="4817">
        <f>SUM(K113:K114)</f>
        <v>15</v>
      </c>
      <c r="L115" s="4817">
        <f t="shared" si="41"/>
        <v>10</v>
      </c>
      <c r="M115" s="4817">
        <f>SUM(M113:M114)</f>
        <v>24</v>
      </c>
    </row>
    <row r="116" spans="1:13" ht="15" x14ac:dyDescent="0.2">
      <c r="A116" s="6106"/>
      <c r="B116" s="6100" t="s">
        <v>6</v>
      </c>
      <c r="C116" s="4818" t="s">
        <v>391</v>
      </c>
      <c r="D116" s="1932">
        <v>2</v>
      </c>
      <c r="E116" s="1932">
        <v>2</v>
      </c>
      <c r="F116" s="1932">
        <v>1</v>
      </c>
      <c r="G116" s="1932">
        <v>2</v>
      </c>
      <c r="H116" s="1932"/>
      <c r="I116" s="1932">
        <v>1</v>
      </c>
      <c r="J116" s="1932">
        <v>0</v>
      </c>
      <c r="K116" s="1932">
        <v>1</v>
      </c>
      <c r="L116" s="1932"/>
      <c r="M116" s="1932"/>
    </row>
    <row r="117" spans="1:13" ht="15" x14ac:dyDescent="0.2">
      <c r="A117" s="6106"/>
      <c r="B117" s="6101"/>
      <c r="C117" s="4821" t="s">
        <v>19</v>
      </c>
      <c r="D117" s="1932"/>
      <c r="E117" s="1932"/>
      <c r="F117" s="1932">
        <v>0</v>
      </c>
      <c r="G117" s="1932">
        <v>6</v>
      </c>
      <c r="H117" s="1932"/>
      <c r="I117" s="1932">
        <v>6</v>
      </c>
      <c r="J117" s="1932">
        <v>15</v>
      </c>
      <c r="K117" s="1932">
        <v>14</v>
      </c>
      <c r="L117" s="1932">
        <v>19</v>
      </c>
      <c r="M117" s="1932">
        <v>33</v>
      </c>
    </row>
    <row r="118" spans="1:13" ht="15" x14ac:dyDescent="0.2">
      <c r="A118" s="6106"/>
      <c r="B118" s="6101"/>
      <c r="C118" s="4821" t="s">
        <v>394</v>
      </c>
      <c r="D118" s="1932"/>
      <c r="E118" s="1932"/>
      <c r="F118" s="1932">
        <v>0</v>
      </c>
      <c r="G118" s="1932">
        <v>6</v>
      </c>
      <c r="H118" s="1932"/>
      <c r="I118" s="1932">
        <v>4</v>
      </c>
      <c r="J118" s="1932"/>
      <c r="K118" s="1932"/>
      <c r="L118" s="1932"/>
      <c r="M118" s="1932"/>
    </row>
    <row r="119" spans="1:13" ht="15" x14ac:dyDescent="0.2">
      <c r="A119" s="6106"/>
      <c r="B119" s="6101"/>
      <c r="C119" s="4839" t="s">
        <v>419</v>
      </c>
      <c r="D119" s="1932"/>
      <c r="E119" s="1932"/>
      <c r="F119" s="1932"/>
      <c r="G119" s="1932"/>
      <c r="H119" s="1932"/>
      <c r="I119" s="1932"/>
      <c r="J119" s="1932"/>
      <c r="K119" s="1932"/>
      <c r="L119" s="1932">
        <v>16</v>
      </c>
      <c r="M119" s="1932">
        <v>16</v>
      </c>
    </row>
    <row r="120" spans="1:13" ht="15" customHeight="1" x14ac:dyDescent="0.2">
      <c r="A120" s="6106"/>
      <c r="B120" s="6035"/>
      <c r="C120" s="4807" t="s">
        <v>892</v>
      </c>
      <c r="D120" s="4817">
        <f t="shared" ref="D120:I120" si="42">SUM(D116:D118)</f>
        <v>2</v>
      </c>
      <c r="E120" s="4817">
        <f t="shared" si="42"/>
        <v>2</v>
      </c>
      <c r="F120" s="4817">
        <f t="shared" si="42"/>
        <v>1</v>
      </c>
      <c r="G120" s="4817">
        <f t="shared" si="42"/>
        <v>14</v>
      </c>
      <c r="H120" s="4817">
        <f t="shared" si="42"/>
        <v>0</v>
      </c>
      <c r="I120" s="4817">
        <f t="shared" si="42"/>
        <v>11</v>
      </c>
      <c r="J120" s="4817">
        <f t="shared" ref="J120" si="43">SUM(J116:J118)</f>
        <v>15</v>
      </c>
      <c r="K120" s="4817">
        <f>SUM(K116:K118)</f>
        <v>15</v>
      </c>
      <c r="L120" s="4817">
        <f>SUM(L116:L119)</f>
        <v>35</v>
      </c>
      <c r="M120" s="4817">
        <f>SUM(M116:M119)</f>
        <v>49</v>
      </c>
    </row>
    <row r="121" spans="1:13" ht="15" customHeight="1" x14ac:dyDescent="0.2">
      <c r="A121" s="6106"/>
      <c r="B121" s="6033" t="s">
        <v>11</v>
      </c>
      <c r="C121" s="4821" t="s">
        <v>579</v>
      </c>
      <c r="D121" s="1932"/>
      <c r="E121" s="1932"/>
      <c r="F121" s="1932"/>
      <c r="G121" s="1932"/>
      <c r="H121" s="1932">
        <v>6</v>
      </c>
      <c r="I121" s="1932">
        <v>6</v>
      </c>
      <c r="J121" s="1932"/>
      <c r="K121" s="1932"/>
      <c r="L121" s="1932"/>
      <c r="M121" s="1932"/>
    </row>
    <row r="122" spans="1:13" ht="15" x14ac:dyDescent="0.2">
      <c r="A122" s="6106"/>
      <c r="B122" s="6034"/>
      <c r="C122" s="4821" t="s">
        <v>92</v>
      </c>
      <c r="D122" s="1932"/>
      <c r="E122" s="1932"/>
      <c r="F122" s="1932"/>
      <c r="G122" s="1932">
        <v>1</v>
      </c>
      <c r="H122" s="1932"/>
      <c r="I122" s="1932"/>
      <c r="J122" s="1932"/>
      <c r="K122" s="1932"/>
      <c r="L122" s="1932"/>
      <c r="M122" s="1932"/>
    </row>
    <row r="123" spans="1:13" ht="15" x14ac:dyDescent="0.25">
      <c r="A123" s="6106"/>
      <c r="B123" s="6034"/>
      <c r="C123" s="4831" t="s">
        <v>894</v>
      </c>
      <c r="D123" s="4816">
        <v>6</v>
      </c>
      <c r="E123" s="4816">
        <v>6</v>
      </c>
      <c r="F123" s="1932"/>
      <c r="G123" s="1932"/>
      <c r="H123" s="1932"/>
      <c r="I123" s="1932"/>
      <c r="J123" s="1932"/>
      <c r="K123" s="1932"/>
      <c r="L123" s="1932"/>
      <c r="M123" s="1932"/>
    </row>
    <row r="124" spans="1:13" ht="15" customHeight="1" x14ac:dyDescent="0.2">
      <c r="A124" s="6106"/>
      <c r="B124" s="6035"/>
      <c r="C124" s="4807" t="s">
        <v>892</v>
      </c>
      <c r="D124" s="4817">
        <f>SUM(D122:D123)</f>
        <v>6</v>
      </c>
      <c r="E124" s="4817">
        <f>SUM(E122:E123)</f>
        <v>6</v>
      </c>
      <c r="F124" s="4817">
        <f>SUM(F122:F122)</f>
        <v>0</v>
      </c>
      <c r="G124" s="4817">
        <f>SUM(G122:G122)</f>
        <v>1</v>
      </c>
      <c r="H124" s="4817">
        <f>SUM(H121:H123)</f>
        <v>6</v>
      </c>
      <c r="I124" s="4817">
        <f>SUM(I121:I123)</f>
        <v>6</v>
      </c>
      <c r="J124" s="4817">
        <f t="shared" ref="J124:L124" si="44">SUM(J121:J123)</f>
        <v>0</v>
      </c>
      <c r="K124" s="4817">
        <f>SUM(K121:K123)</f>
        <v>0</v>
      </c>
      <c r="L124" s="4817">
        <f t="shared" si="44"/>
        <v>0</v>
      </c>
      <c r="M124" s="4817">
        <f>SUM(M121:M123)</f>
        <v>0</v>
      </c>
    </row>
    <row r="125" spans="1:13" ht="15" x14ac:dyDescent="0.2">
      <c r="A125" s="6107"/>
      <c r="B125" s="6062" t="s">
        <v>450</v>
      </c>
      <c r="C125" s="5883"/>
      <c r="D125" s="3106">
        <f t="shared" ref="D125:I125" si="45">SUM(D124,D120,D115)</f>
        <v>8</v>
      </c>
      <c r="E125" s="3106">
        <f t="shared" si="45"/>
        <v>8</v>
      </c>
      <c r="F125" s="4800">
        <f t="shared" si="45"/>
        <v>13</v>
      </c>
      <c r="G125" s="4800">
        <f t="shared" si="45"/>
        <v>27</v>
      </c>
      <c r="H125" s="4800">
        <f t="shared" si="45"/>
        <v>15</v>
      </c>
      <c r="I125" s="4800">
        <f t="shared" si="45"/>
        <v>37</v>
      </c>
      <c r="J125" s="4800">
        <f t="shared" ref="J125:L125" si="46">SUM(J124,J120,J115)</f>
        <v>22</v>
      </c>
      <c r="K125" s="4800">
        <f>SUM(K124,K120,K115)</f>
        <v>30</v>
      </c>
      <c r="L125" s="4800">
        <f t="shared" si="46"/>
        <v>45</v>
      </c>
      <c r="M125" s="4800">
        <f>SUM(M124,M120,M115)</f>
        <v>73</v>
      </c>
    </row>
    <row r="126" spans="1:13" ht="27" customHeight="1" x14ac:dyDescent="0.2">
      <c r="A126" s="5330" t="s">
        <v>12</v>
      </c>
      <c r="B126" s="5330"/>
      <c r="C126" s="5330"/>
      <c r="D126" s="4799">
        <f t="shared" ref="D126:L126" si="47">SUM(D98,D107,D112,D125)</f>
        <v>11</v>
      </c>
      <c r="E126" s="3031">
        <f>SUM(E98,E107,E112,E125)</f>
        <v>11</v>
      </c>
      <c r="F126" s="4799">
        <f t="shared" si="47"/>
        <v>24</v>
      </c>
      <c r="G126" s="4799">
        <f>SUM(G98,G107,G112,G125)</f>
        <v>51</v>
      </c>
      <c r="H126" s="4799">
        <f t="shared" si="47"/>
        <v>19</v>
      </c>
      <c r="I126" s="4799">
        <f>SUM(I98,I107,I112,I125)</f>
        <v>55</v>
      </c>
      <c r="J126" s="4805">
        <f>SUM(J98,J107,J112,J125)</f>
        <v>70</v>
      </c>
      <c r="K126" s="4805">
        <f>SUM(K98,K107,K112,K125)</f>
        <v>78</v>
      </c>
      <c r="L126" s="4805">
        <f t="shared" si="47"/>
        <v>125</v>
      </c>
      <c r="M126" s="4805">
        <f>SUM(M98,M107,M112,M125)</f>
        <v>185</v>
      </c>
    </row>
  </sheetData>
  <mergeCells count="88">
    <mergeCell ref="K3:L3"/>
    <mergeCell ref="A14:A16"/>
    <mergeCell ref="B14:B15"/>
    <mergeCell ref="B16:C16"/>
    <mergeCell ref="M3:M4"/>
    <mergeCell ref="D3:E3"/>
    <mergeCell ref="F3:G3"/>
    <mergeCell ref="H3:H4"/>
    <mergeCell ref="I3:J3"/>
    <mergeCell ref="A17:A20"/>
    <mergeCell ref="B18:B19"/>
    <mergeCell ref="B20:C20"/>
    <mergeCell ref="A22:C22"/>
    <mergeCell ref="A3:A4"/>
    <mergeCell ref="B3:B4"/>
    <mergeCell ref="C3:C4"/>
    <mergeCell ref="A5:A13"/>
    <mergeCell ref="B5:B10"/>
    <mergeCell ref="B11:B12"/>
    <mergeCell ref="B13:C13"/>
    <mergeCell ref="A126:C126"/>
    <mergeCell ref="B86:B88"/>
    <mergeCell ref="B89:B92"/>
    <mergeCell ref="B93:B97"/>
    <mergeCell ref="B116:B120"/>
    <mergeCell ref="B125:C125"/>
    <mergeCell ref="A99:A107"/>
    <mergeCell ref="A113:A125"/>
    <mergeCell ref="B113:B115"/>
    <mergeCell ref="A108:A112"/>
    <mergeCell ref="B108:B109"/>
    <mergeCell ref="B110:B111"/>
    <mergeCell ref="B112:C112"/>
    <mergeCell ref="A81:C81"/>
    <mergeCell ref="A84:C85"/>
    <mergeCell ref="D84:E84"/>
    <mergeCell ref="A86:A98"/>
    <mergeCell ref="B98:C98"/>
    <mergeCell ref="A66:A72"/>
    <mergeCell ref="B66:B69"/>
    <mergeCell ref="B70:B71"/>
    <mergeCell ref="B72:C72"/>
    <mergeCell ref="A73:A79"/>
    <mergeCell ref="B73:B74"/>
    <mergeCell ref="B75:B76"/>
    <mergeCell ref="B77:B78"/>
    <mergeCell ref="B79:C79"/>
    <mergeCell ref="G46:I46"/>
    <mergeCell ref="D46:F46"/>
    <mergeCell ref="A60:A65"/>
    <mergeCell ref="B60:B62"/>
    <mergeCell ref="B63:B64"/>
    <mergeCell ref="B65:C65"/>
    <mergeCell ref="A49:A59"/>
    <mergeCell ref="B49:B51"/>
    <mergeCell ref="B52:B55"/>
    <mergeCell ref="B56:B58"/>
    <mergeCell ref="B59:C59"/>
    <mergeCell ref="A38:A41"/>
    <mergeCell ref="B38:B39"/>
    <mergeCell ref="B41:C41"/>
    <mergeCell ref="A43:C43"/>
    <mergeCell ref="A46:C47"/>
    <mergeCell ref="A29:A34"/>
    <mergeCell ref="B29:B30"/>
    <mergeCell ref="B32:B33"/>
    <mergeCell ref="B34:C34"/>
    <mergeCell ref="A35:A37"/>
    <mergeCell ref="B35:B36"/>
    <mergeCell ref="B37:C37"/>
    <mergeCell ref="M26:M27"/>
    <mergeCell ref="A26:A27"/>
    <mergeCell ref="B26:B27"/>
    <mergeCell ref="C26:C27"/>
    <mergeCell ref="I26:J26"/>
    <mergeCell ref="K26:L26"/>
    <mergeCell ref="D26:E26"/>
    <mergeCell ref="F26:G26"/>
    <mergeCell ref="H26:H27"/>
    <mergeCell ref="F84:G84"/>
    <mergeCell ref="H84:I84"/>
    <mergeCell ref="B121:B124"/>
    <mergeCell ref="J84:K84"/>
    <mergeCell ref="L84:M84"/>
    <mergeCell ref="B107:C107"/>
    <mergeCell ref="B99:B101"/>
    <mergeCell ref="B102:B103"/>
    <mergeCell ref="B104:B106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scale="60" orientation="landscape" r:id="rId1"/>
  <rowBreaks count="1" manualBreakCount="1">
    <brk id="82" max="16383" man="1"/>
  </rowBreaks>
  <ignoredErrors>
    <ignoredError sqref="H13 H16:M16 H34:M41 F51:I76 F77:I81" formula="1"/>
  </ignoredErrors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A1:R44"/>
  <sheetViews>
    <sheetView showGridLines="0" workbookViewId="0">
      <selection activeCell="R6" sqref="R6:R8"/>
    </sheetView>
  </sheetViews>
  <sheetFormatPr baseColWidth="10" defaultRowHeight="15" x14ac:dyDescent="0.25"/>
  <cols>
    <col min="1" max="1" width="16" style="1431" customWidth="1"/>
    <col min="2" max="2" width="11.42578125" style="1431"/>
    <col min="3" max="18" width="9.140625" style="1431" customWidth="1"/>
    <col min="19" max="16384" width="11.42578125" style="1431"/>
  </cols>
  <sheetData>
    <row r="1" spans="1:18" ht="18.75" x14ac:dyDescent="0.3">
      <c r="A1" s="1437" t="s">
        <v>592</v>
      </c>
    </row>
    <row r="3" spans="1:18" x14ac:dyDescent="0.25">
      <c r="A3" s="5999" t="s">
        <v>16</v>
      </c>
      <c r="B3" s="5999" t="s">
        <v>4</v>
      </c>
      <c r="C3" s="6134">
        <v>2008</v>
      </c>
      <c r="D3" s="6135"/>
      <c r="E3" s="6134">
        <v>2009</v>
      </c>
      <c r="F3" s="6135"/>
      <c r="G3" s="6134">
        <v>2010</v>
      </c>
      <c r="H3" s="6135"/>
      <c r="I3" s="6134">
        <v>2011</v>
      </c>
      <c r="J3" s="6135"/>
      <c r="K3" s="6134">
        <v>2012</v>
      </c>
      <c r="L3" s="6135"/>
      <c r="M3" s="6134">
        <v>2013</v>
      </c>
      <c r="N3" s="6135"/>
      <c r="O3" s="6134">
        <v>2014</v>
      </c>
      <c r="P3" s="6135"/>
      <c r="Q3" s="6134">
        <v>2015</v>
      </c>
      <c r="R3" s="6135"/>
    </row>
    <row r="4" spans="1:18" x14ac:dyDescent="0.25">
      <c r="A4" s="5993"/>
      <c r="B4" s="5993"/>
      <c r="C4" s="1389" t="s">
        <v>646</v>
      </c>
      <c r="D4" s="1390" t="s">
        <v>647</v>
      </c>
      <c r="E4" s="1389" t="s">
        <v>646</v>
      </c>
      <c r="F4" s="1390" t="s">
        <v>647</v>
      </c>
      <c r="G4" s="1389" t="s">
        <v>646</v>
      </c>
      <c r="H4" s="1390" t="s">
        <v>647</v>
      </c>
      <c r="I4" s="1389" t="s">
        <v>646</v>
      </c>
      <c r="J4" s="1390" t="s">
        <v>647</v>
      </c>
      <c r="K4" s="1389" t="s">
        <v>646</v>
      </c>
      <c r="L4" s="1390" t="s">
        <v>647</v>
      </c>
      <c r="M4" s="1389" t="s">
        <v>646</v>
      </c>
      <c r="N4" s="1390" t="s">
        <v>647</v>
      </c>
      <c r="O4" s="1389" t="s">
        <v>646</v>
      </c>
      <c r="P4" s="1390" t="s">
        <v>647</v>
      </c>
      <c r="Q4" s="1389" t="s">
        <v>646</v>
      </c>
      <c r="R4" s="1390" t="s">
        <v>647</v>
      </c>
    </row>
    <row r="5" spans="1:18" ht="14.25" customHeight="1" x14ac:dyDescent="0.25">
      <c r="A5" s="1432"/>
      <c r="B5" s="1432"/>
      <c r="C5" s="1432"/>
      <c r="D5" s="1432"/>
      <c r="E5" s="1432"/>
      <c r="F5" s="1432"/>
      <c r="G5" s="1432"/>
      <c r="H5" s="1432"/>
      <c r="I5" s="1432"/>
      <c r="J5" s="1432"/>
      <c r="K5" s="1432"/>
      <c r="L5" s="1432"/>
      <c r="M5" s="1432"/>
      <c r="N5" s="1432"/>
      <c r="O5" s="1432"/>
      <c r="P5" s="1432"/>
      <c r="Q5" s="1432"/>
      <c r="R5" s="1432"/>
    </row>
    <row r="6" spans="1:18" x14ac:dyDescent="0.25">
      <c r="A6" s="5989" t="s">
        <v>3</v>
      </c>
      <c r="B6" s="1433" t="s">
        <v>5</v>
      </c>
      <c r="C6" s="1632">
        <f>SUM('9 Posg_plan'!E89:E91)</f>
        <v>1</v>
      </c>
      <c r="D6" s="1633">
        <f>SUM('9 Posg_plan'!D89:D91)</f>
        <v>1</v>
      </c>
      <c r="E6" s="1632">
        <f>SUM('9 Posg_plan'!G89:G91)</f>
        <v>19</v>
      </c>
      <c r="F6" s="1633">
        <f>SUM('9 Posg_plan'!F89:F91)</f>
        <v>11</v>
      </c>
      <c r="G6" s="1632">
        <f>SUM('9 Posg_plan'!I89:I91)</f>
        <v>18</v>
      </c>
      <c r="H6" s="1633">
        <f>SUM('9 Posg_plan'!H89:H91)</f>
        <v>4</v>
      </c>
      <c r="I6" s="1632">
        <f>SUM('9 Posg_plan'!K89:K91)</f>
        <v>0</v>
      </c>
      <c r="J6" s="1633">
        <f>SUM('9 Posg_plan'!J89:J91)</f>
        <v>0</v>
      </c>
      <c r="K6" s="1632">
        <f>SUM('9 Posg_plan'!M89:M91)</f>
        <v>7</v>
      </c>
      <c r="L6" s="1633">
        <f>SUM('9 Posg_plan'!L89:L91)</f>
        <v>7</v>
      </c>
      <c r="M6" s="1632">
        <v>4</v>
      </c>
      <c r="N6" s="1633">
        <v>8</v>
      </c>
      <c r="O6" s="1632"/>
      <c r="P6" s="1633">
        <v>4</v>
      </c>
      <c r="Q6" s="1632">
        <f>SUM('9 Posg_plan'!H11:H12)</f>
        <v>6</v>
      </c>
      <c r="R6" s="1633">
        <f>SUM('9 Posg_plan'!M11:M12)</f>
        <v>9</v>
      </c>
    </row>
    <row r="7" spans="1:18" x14ac:dyDescent="0.25">
      <c r="A7" s="5990"/>
      <c r="B7" s="1434" t="s">
        <v>6</v>
      </c>
      <c r="C7" s="1634">
        <f>SUM('9 Posg_plan'!E93:E96)</f>
        <v>0</v>
      </c>
      <c r="D7" s="1635">
        <f>SUM('9 Posg_plan'!D93:D96)</f>
        <v>0</v>
      </c>
      <c r="E7" s="1634">
        <f>SUM('9 Posg_plan'!G93:G96)</f>
        <v>3</v>
      </c>
      <c r="F7" s="1635">
        <f>SUM('9 Posg_plan'!F93:F96)</f>
        <v>0</v>
      </c>
      <c r="G7" s="1634">
        <f>SUM('9 Posg_plan'!I93:I96)</f>
        <v>0</v>
      </c>
      <c r="H7" s="1635">
        <f>SUM('9 Posg_plan'!H93:H96)</f>
        <v>0</v>
      </c>
      <c r="I7" s="1634">
        <f>SUM('9 Posg_plan'!K93:K96)</f>
        <v>8</v>
      </c>
      <c r="J7" s="1635">
        <f>SUM('9 Posg_plan'!J93:J96)</f>
        <v>8</v>
      </c>
      <c r="K7" s="1634">
        <f>SUM('9 Posg_plan'!M93:M96)</f>
        <v>17</v>
      </c>
      <c r="L7" s="1635">
        <f>SUM('9 Posg_plan'!L93:L96)</f>
        <v>10</v>
      </c>
      <c r="M7" s="1634">
        <v>10</v>
      </c>
      <c r="N7" s="1635">
        <v>27</v>
      </c>
      <c r="O7" s="1634"/>
      <c r="P7" s="1635">
        <v>10</v>
      </c>
      <c r="Q7" s="1634"/>
      <c r="R7" s="1635"/>
    </row>
    <row r="8" spans="1:18" x14ac:dyDescent="0.25">
      <c r="A8" s="5990"/>
      <c r="B8" s="1434" t="s">
        <v>7</v>
      </c>
      <c r="C8" s="1634">
        <f>SUM('9 Posg_plan'!E86:E87)</f>
        <v>2</v>
      </c>
      <c r="D8" s="1635">
        <f>SUM('9 Posg_plan'!D86:D87)</f>
        <v>2</v>
      </c>
      <c r="E8" s="1634">
        <f>SUM('9 Posg_plan'!G86:G87)</f>
        <v>2</v>
      </c>
      <c r="F8" s="1635">
        <f>SUM('9 Posg_plan'!F86:F87)</f>
        <v>0</v>
      </c>
      <c r="G8" s="1634">
        <f>SUM('9 Posg_plan'!I86:I87)</f>
        <v>0</v>
      </c>
      <c r="H8" s="1635">
        <f>SUM('9 Posg_plan'!H86:H87)</f>
        <v>0</v>
      </c>
      <c r="I8" s="1634">
        <f>SUM('9 Posg_plan'!K86:K87)</f>
        <v>0</v>
      </c>
      <c r="J8" s="1635">
        <f>SUM('9 Posg_plan'!J86:J87)</f>
        <v>0</v>
      </c>
      <c r="K8" s="1634">
        <f>SUM('9 Posg_plan'!M86:M87)</f>
        <v>2</v>
      </c>
      <c r="L8" s="1635">
        <f>SUM('9 Posg_plan'!L86:L87)</f>
        <v>2</v>
      </c>
      <c r="M8" s="1634">
        <v>13</v>
      </c>
      <c r="N8" s="1635">
        <v>15</v>
      </c>
      <c r="O8" s="1634">
        <v>1</v>
      </c>
      <c r="P8" s="1635">
        <v>16</v>
      </c>
      <c r="Q8" s="1634">
        <f>SUM('9 Posg_plan'!H5:H10)</f>
        <v>47</v>
      </c>
      <c r="R8" s="1635">
        <f>SUM('9 Posg_plan'!M5:M10)</f>
        <v>47</v>
      </c>
    </row>
    <row r="9" spans="1:18" x14ac:dyDescent="0.25">
      <c r="A9" s="5991"/>
      <c r="B9" s="2749" t="s">
        <v>160</v>
      </c>
      <c r="C9" s="2750">
        <f t="shared" ref="C9:H9" si="0">SUM(C6:C8)</f>
        <v>3</v>
      </c>
      <c r="D9" s="3121">
        <f t="shared" si="0"/>
        <v>3</v>
      </c>
      <c r="E9" s="2750">
        <f t="shared" si="0"/>
        <v>24</v>
      </c>
      <c r="F9" s="2751">
        <f t="shared" si="0"/>
        <v>11</v>
      </c>
      <c r="G9" s="2750">
        <f t="shared" si="0"/>
        <v>18</v>
      </c>
      <c r="H9" s="2751">
        <f t="shared" si="0"/>
        <v>4</v>
      </c>
      <c r="I9" s="2750">
        <f t="shared" ref="I9:N9" si="1">SUM(I6:I8)</f>
        <v>8</v>
      </c>
      <c r="J9" s="2751">
        <f t="shared" si="1"/>
        <v>8</v>
      </c>
      <c r="K9" s="2750">
        <f t="shared" si="1"/>
        <v>26</v>
      </c>
      <c r="L9" s="2751">
        <f t="shared" si="1"/>
        <v>19</v>
      </c>
      <c r="M9" s="2750">
        <f t="shared" si="1"/>
        <v>27</v>
      </c>
      <c r="N9" s="2751">
        <f t="shared" si="1"/>
        <v>50</v>
      </c>
      <c r="O9" s="2750">
        <f>SUM(O6:O8)</f>
        <v>1</v>
      </c>
      <c r="P9" s="2751">
        <f>SUM(P6:P8)</f>
        <v>30</v>
      </c>
      <c r="Q9" s="2750">
        <f>SUM(Q6:Q8)</f>
        <v>53</v>
      </c>
      <c r="R9" s="2751">
        <f>SUM(R6:R8)</f>
        <v>56</v>
      </c>
    </row>
    <row r="10" spans="1:18" x14ac:dyDescent="0.25">
      <c r="A10" s="1435"/>
      <c r="B10" s="1435"/>
      <c r="C10" s="1435"/>
      <c r="D10" s="1435"/>
      <c r="E10" s="1435"/>
      <c r="F10" s="1435"/>
      <c r="G10" s="1435"/>
      <c r="H10" s="1435"/>
      <c r="I10" s="1435"/>
      <c r="J10" s="1435"/>
      <c r="K10" s="1435"/>
      <c r="L10" s="1435"/>
      <c r="M10" s="1435"/>
      <c r="N10" s="1435"/>
      <c r="O10" s="1435"/>
      <c r="P10" s="1435"/>
      <c r="Q10" s="1435"/>
      <c r="R10" s="1435"/>
    </row>
    <row r="11" spans="1:18" x14ac:dyDescent="0.25">
      <c r="A11" s="5974" t="s">
        <v>8</v>
      </c>
      <c r="B11" s="1433" t="s">
        <v>6</v>
      </c>
      <c r="C11" s="1632"/>
      <c r="D11" s="3119"/>
      <c r="E11" s="1632"/>
      <c r="F11" s="1633"/>
      <c r="G11" s="1632"/>
      <c r="H11" s="1633"/>
      <c r="I11" s="1632">
        <f>SUM('9 Posg_plan'!K104:K105)</f>
        <v>28</v>
      </c>
      <c r="J11" s="1633">
        <f>SUM('9 Posg_plan'!J104:J105)</f>
        <v>28</v>
      </c>
      <c r="K11" s="1632">
        <f>SUM('9 Posg_plan'!M104:M105)</f>
        <v>44</v>
      </c>
      <c r="L11" s="1633">
        <f>SUM('9 Posg_plan'!L104:L105)</f>
        <v>18</v>
      </c>
      <c r="M11" s="1632"/>
      <c r="N11" s="1633"/>
      <c r="O11" s="1632"/>
      <c r="P11" s="1633"/>
      <c r="Q11" s="1632"/>
      <c r="R11" s="1633"/>
    </row>
    <row r="12" spans="1:18" x14ac:dyDescent="0.25">
      <c r="A12" s="5975"/>
      <c r="B12" s="1434" t="s">
        <v>9</v>
      </c>
      <c r="C12" s="1634"/>
      <c r="D12" s="3120"/>
      <c r="E12" s="1634"/>
      <c r="F12" s="1635"/>
      <c r="G12" s="1634"/>
      <c r="H12" s="1635"/>
      <c r="I12" s="1634">
        <f>SUM('9 Posg_plan'!K102)</f>
        <v>0</v>
      </c>
      <c r="J12" s="1635">
        <f>SUM('9 Posg_plan'!J102)</f>
        <v>0</v>
      </c>
      <c r="K12" s="1634">
        <f>SUM('9 Posg_plan'!M102)</f>
        <v>12</v>
      </c>
      <c r="L12" s="1635">
        <f>SUM('9 Posg_plan'!L102)</f>
        <v>12</v>
      </c>
      <c r="M12" s="1634">
        <v>11</v>
      </c>
      <c r="N12" s="1635">
        <v>22</v>
      </c>
      <c r="O12" s="1634"/>
      <c r="P12" s="1635"/>
      <c r="Q12" s="1634"/>
      <c r="R12" s="1635"/>
    </row>
    <row r="13" spans="1:18" x14ac:dyDescent="0.25">
      <c r="A13" s="5975"/>
      <c r="B13" s="1434" t="s">
        <v>74</v>
      </c>
      <c r="C13" s="1634"/>
      <c r="D13" s="3120"/>
      <c r="E13" s="1634"/>
      <c r="F13" s="1635"/>
      <c r="G13" s="1634"/>
      <c r="H13" s="1635"/>
      <c r="I13" s="1634">
        <f>SUM('9 Posg_plan'!K99:K100)</f>
        <v>0</v>
      </c>
      <c r="J13" s="1635">
        <f>SUM('9 Posg_plan'!J99:J100)</f>
        <v>0</v>
      </c>
      <c r="K13" s="1634">
        <f>SUM('9 Posg_plan'!M99:M100)</f>
        <v>14</v>
      </c>
      <c r="L13" s="1635">
        <f>SUM('9 Posg_plan'!L99:L100)</f>
        <v>15</v>
      </c>
      <c r="M13" s="1634">
        <v>20</v>
      </c>
      <c r="N13" s="1635">
        <v>34</v>
      </c>
      <c r="O13" s="1634"/>
      <c r="P13" s="1635"/>
      <c r="Q13" s="1634"/>
      <c r="R13" s="1635"/>
    </row>
    <row r="14" spans="1:18" x14ac:dyDescent="0.25">
      <c r="A14" s="5976"/>
      <c r="B14" s="2746" t="s">
        <v>160</v>
      </c>
      <c r="C14" s="2747"/>
      <c r="D14" s="3122"/>
      <c r="E14" s="2747"/>
      <c r="F14" s="2748"/>
      <c r="G14" s="2747"/>
      <c r="H14" s="2748"/>
      <c r="I14" s="2747">
        <f t="shared" ref="I14:N14" si="2">SUM(I11:I13)</f>
        <v>28</v>
      </c>
      <c r="J14" s="2748">
        <f t="shared" si="2"/>
        <v>28</v>
      </c>
      <c r="K14" s="2747">
        <f t="shared" si="2"/>
        <v>70</v>
      </c>
      <c r="L14" s="2748">
        <f t="shared" si="2"/>
        <v>45</v>
      </c>
      <c r="M14" s="2747">
        <f t="shared" si="2"/>
        <v>31</v>
      </c>
      <c r="N14" s="2748">
        <f t="shared" si="2"/>
        <v>56</v>
      </c>
      <c r="O14" s="2747">
        <f>SUM(O11:O13)</f>
        <v>0</v>
      </c>
      <c r="P14" s="2748">
        <f>SUM(P11:P13)</f>
        <v>0</v>
      </c>
      <c r="Q14" s="2747">
        <f>SUM(Q11:Q13)</f>
        <v>0</v>
      </c>
      <c r="R14" s="2748">
        <f>SUM(R11:R13)</f>
        <v>0</v>
      </c>
    </row>
    <row r="15" spans="1:18" x14ac:dyDescent="0.25">
      <c r="A15" s="1432"/>
      <c r="B15" s="1432"/>
      <c r="C15" s="1636"/>
      <c r="D15" s="1636"/>
      <c r="E15" s="1636"/>
      <c r="F15" s="1636"/>
      <c r="G15" s="1636"/>
      <c r="H15" s="1636"/>
      <c r="I15" s="1636"/>
      <c r="J15" s="1636"/>
      <c r="K15" s="1636"/>
      <c r="L15" s="1636"/>
      <c r="M15" s="1636"/>
      <c r="N15" s="1636"/>
      <c r="O15" s="1636"/>
      <c r="P15" s="1636"/>
      <c r="Q15" s="1636"/>
      <c r="R15" s="1636"/>
    </row>
    <row r="16" spans="1:18" x14ac:dyDescent="0.25">
      <c r="A16" s="5977" t="s">
        <v>75</v>
      </c>
      <c r="B16" s="1433" t="s">
        <v>5</v>
      </c>
      <c r="C16" s="1632"/>
      <c r="D16" s="3119"/>
      <c r="E16" s="1632"/>
      <c r="F16" s="1633"/>
      <c r="G16" s="1632"/>
      <c r="H16" s="1633"/>
      <c r="I16" s="1632">
        <f>SUM('9 Posg_plan'!K108)</f>
        <v>6</v>
      </c>
      <c r="J16" s="1633">
        <f>SUM('9 Posg_plan'!J108)</f>
        <v>6</v>
      </c>
      <c r="K16" s="1632">
        <f>SUM('9 Posg_plan'!M108)</f>
        <v>0</v>
      </c>
      <c r="L16" s="1633">
        <f>SUM('9 Posg_plan'!L108)</f>
        <v>0</v>
      </c>
      <c r="M16" s="1632">
        <v>12</v>
      </c>
      <c r="N16" s="1633">
        <v>12</v>
      </c>
      <c r="O16" s="1632">
        <v>9</v>
      </c>
      <c r="P16" s="1633">
        <v>16</v>
      </c>
      <c r="Q16" s="1632">
        <f>SUM('9 Posg_plan'!H14:H15)</f>
        <v>12</v>
      </c>
      <c r="R16" s="1633">
        <f>SUM('9 Posg_plan'!M14:M15)</f>
        <v>28</v>
      </c>
    </row>
    <row r="17" spans="1:18" x14ac:dyDescent="0.25">
      <c r="A17" s="5978"/>
      <c r="B17" s="1434" t="s">
        <v>6</v>
      </c>
      <c r="C17" s="1634"/>
      <c r="D17" s="3120"/>
      <c r="E17" s="1634"/>
      <c r="F17" s="1635"/>
      <c r="G17" s="1634"/>
      <c r="H17" s="1635"/>
      <c r="I17" s="1634"/>
      <c r="J17" s="1635"/>
      <c r="K17" s="1634"/>
      <c r="L17" s="1635"/>
      <c r="M17" s="1634"/>
      <c r="N17" s="1635"/>
      <c r="O17" s="1634"/>
      <c r="P17" s="1635"/>
      <c r="Q17" s="1634"/>
      <c r="R17" s="1635"/>
    </row>
    <row r="18" spans="1:18" x14ac:dyDescent="0.25">
      <c r="A18" s="5978"/>
      <c r="B18" s="1434" t="s">
        <v>11</v>
      </c>
      <c r="C18" s="1634"/>
      <c r="D18" s="3120"/>
      <c r="E18" s="1634"/>
      <c r="F18" s="1635"/>
      <c r="G18" s="1634"/>
      <c r="H18" s="1635"/>
      <c r="I18" s="1634">
        <f>SUM('9 Posg_plan'!K110)</f>
        <v>6</v>
      </c>
      <c r="J18" s="1635">
        <f>SUM('9 Posg_plan'!J110)</f>
        <v>6</v>
      </c>
      <c r="K18" s="1634">
        <f>SUM('9 Posg_plan'!M110)</f>
        <v>16</v>
      </c>
      <c r="L18" s="1635">
        <f>SUM('9 Posg_plan'!L110)</f>
        <v>16</v>
      </c>
      <c r="M18" s="1634">
        <v>10</v>
      </c>
      <c r="N18" s="1635">
        <v>26</v>
      </c>
      <c r="O18" s="1634"/>
      <c r="P18" s="1635"/>
      <c r="Q18" s="1634"/>
      <c r="R18" s="1635"/>
    </row>
    <row r="19" spans="1:18" x14ac:dyDescent="0.25">
      <c r="A19" s="5979"/>
      <c r="B19" s="2743" t="s">
        <v>160</v>
      </c>
      <c r="C19" s="2744"/>
      <c r="D19" s="3123"/>
      <c r="E19" s="2744"/>
      <c r="F19" s="2745"/>
      <c r="G19" s="2744"/>
      <c r="H19" s="2745"/>
      <c r="I19" s="2744">
        <f t="shared" ref="I19:N19" si="3">SUM(I16:I18)</f>
        <v>12</v>
      </c>
      <c r="J19" s="2745">
        <f t="shared" si="3"/>
        <v>12</v>
      </c>
      <c r="K19" s="2744">
        <f t="shared" si="3"/>
        <v>16</v>
      </c>
      <c r="L19" s="2745">
        <f t="shared" si="3"/>
        <v>16</v>
      </c>
      <c r="M19" s="2744">
        <f t="shared" si="3"/>
        <v>22</v>
      </c>
      <c r="N19" s="2745">
        <f t="shared" si="3"/>
        <v>38</v>
      </c>
      <c r="O19" s="2744">
        <f>SUM(O16:O18)</f>
        <v>9</v>
      </c>
      <c r="P19" s="2745">
        <f>SUM(P16:P18)</f>
        <v>16</v>
      </c>
      <c r="Q19" s="2744">
        <f>SUM(Q16:Q18)</f>
        <v>12</v>
      </c>
      <c r="R19" s="2745">
        <f>SUM(R16:R18)</f>
        <v>28</v>
      </c>
    </row>
    <row r="20" spans="1:18" x14ac:dyDescent="0.25">
      <c r="A20" s="1631"/>
      <c r="B20" s="1432"/>
      <c r="C20" s="1636"/>
      <c r="D20" s="1636"/>
      <c r="E20" s="1636"/>
      <c r="F20" s="1636"/>
      <c r="G20" s="1636"/>
      <c r="H20" s="1636"/>
      <c r="I20" s="1636"/>
      <c r="J20" s="1636"/>
      <c r="K20" s="1636"/>
      <c r="L20" s="1636"/>
      <c r="M20" s="1636"/>
      <c r="N20" s="1636"/>
      <c r="O20" s="1636"/>
      <c r="P20" s="1636"/>
      <c r="Q20" s="1636"/>
      <c r="R20" s="1636"/>
    </row>
    <row r="21" spans="1:18" x14ac:dyDescent="0.25">
      <c r="A21" s="5980" t="s">
        <v>10</v>
      </c>
      <c r="B21" s="1433" t="s">
        <v>6</v>
      </c>
      <c r="C21" s="1632">
        <f>SUM('9 Posg_plan'!E116:E119)</f>
        <v>2</v>
      </c>
      <c r="D21" s="1633">
        <f>SUM('9 Posg_plan'!D116:D119)</f>
        <v>2</v>
      </c>
      <c r="E21" s="1632">
        <f>SUM('9 Posg_plan'!G116:G119)</f>
        <v>14</v>
      </c>
      <c r="F21" s="1633">
        <f>SUM('9 Posg_plan'!F116:F119)</f>
        <v>1</v>
      </c>
      <c r="G21" s="1632">
        <f>SUM('9 Posg_plan'!I116:I119)</f>
        <v>11</v>
      </c>
      <c r="H21" s="1633">
        <f>SUM('9 Posg_plan'!H116:H119)</f>
        <v>0</v>
      </c>
      <c r="I21" s="1632">
        <f>SUM('9 Posg_plan'!K116:K119)</f>
        <v>15</v>
      </c>
      <c r="J21" s="1633">
        <f>SUM('9 Posg_plan'!J116:J119)</f>
        <v>15</v>
      </c>
      <c r="K21" s="1632">
        <f>SUM('9 Posg_plan'!M116:M119)</f>
        <v>49</v>
      </c>
      <c r="L21" s="1633">
        <f>SUM('9 Posg_plan'!L116:L119)</f>
        <v>35</v>
      </c>
      <c r="M21" s="1632"/>
      <c r="N21" s="1633">
        <v>19</v>
      </c>
      <c r="O21" s="1632"/>
      <c r="P21" s="1633"/>
      <c r="Q21" s="1632"/>
      <c r="R21" s="1633"/>
    </row>
    <row r="22" spans="1:18" x14ac:dyDescent="0.25">
      <c r="A22" s="5981"/>
      <c r="B22" s="1434" t="s">
        <v>11</v>
      </c>
      <c r="C22" s="1634">
        <f>SUM('9 Posg_plan'!E121:E123)</f>
        <v>6</v>
      </c>
      <c r="D22" s="1635">
        <f>SUM('9 Posg_plan'!D121:D123)</f>
        <v>6</v>
      </c>
      <c r="E22" s="1634">
        <f>SUM('9 Posg_plan'!G121:G123)</f>
        <v>1</v>
      </c>
      <c r="F22" s="1635">
        <f>SUM('9 Posg_plan'!F121:F123)</f>
        <v>0</v>
      </c>
      <c r="G22" s="1634">
        <f>SUM('9 Posg_plan'!I121:I123)</f>
        <v>6</v>
      </c>
      <c r="H22" s="1635">
        <f>SUM('9 Posg_plan'!H121:H123)</f>
        <v>6</v>
      </c>
      <c r="I22" s="1634">
        <f>SUM('9 Posg_plan'!K121:K123)</f>
        <v>0</v>
      </c>
      <c r="J22" s="1635">
        <f>SUM('9 Posg_plan'!J121:J123)</f>
        <v>0</v>
      </c>
      <c r="K22" s="1634">
        <f>SUM('9 Posg_plan'!M121:M123)</f>
        <v>0</v>
      </c>
      <c r="L22" s="1635">
        <f>SUM('9 Posg_plan'!L121:L123)</f>
        <v>0</v>
      </c>
      <c r="M22" s="1634">
        <v>7</v>
      </c>
      <c r="N22" s="1635">
        <v>7</v>
      </c>
      <c r="O22" s="1634">
        <v>17</v>
      </c>
      <c r="P22" s="1635">
        <v>16</v>
      </c>
      <c r="Q22" s="1634">
        <f>SUM('9 Posg_plan'!H18:H19)</f>
        <v>23</v>
      </c>
      <c r="R22" s="1635">
        <f>SUM('9 Posg_plan'!M18:M19)</f>
        <v>32</v>
      </c>
    </row>
    <row r="23" spans="1:18" x14ac:dyDescent="0.25">
      <c r="A23" s="5981"/>
      <c r="B23" s="1434" t="s">
        <v>7</v>
      </c>
      <c r="C23" s="1634">
        <f>SUM('9 Posg_plan'!E113:E114)</f>
        <v>0</v>
      </c>
      <c r="D23" s="1635">
        <f>SUM('9 Posg_plan'!D113:D114)</f>
        <v>0</v>
      </c>
      <c r="E23" s="1634">
        <f>SUM('9 Posg_plan'!G113:G114)</f>
        <v>12</v>
      </c>
      <c r="F23" s="1635">
        <f>SUM('9 Posg_plan'!F113:F114)</f>
        <v>12</v>
      </c>
      <c r="G23" s="1634">
        <f>SUM('9 Posg_plan'!I113:I114)</f>
        <v>20</v>
      </c>
      <c r="H23" s="1635">
        <f>SUM('9 Posg_plan'!H113:H114)</f>
        <v>9</v>
      </c>
      <c r="I23" s="1634">
        <f>SUM('9 Posg_plan'!K113:K114)</f>
        <v>15</v>
      </c>
      <c r="J23" s="1635">
        <f>SUM('9 Posg_plan'!J113:J114)</f>
        <v>7</v>
      </c>
      <c r="K23" s="1634">
        <f>SUM('9 Posg_plan'!M113:M114)</f>
        <v>24</v>
      </c>
      <c r="L23" s="1635">
        <f>SUM('9 Posg_plan'!L113:L114)</f>
        <v>10</v>
      </c>
      <c r="M23" s="1634">
        <v>7</v>
      </c>
      <c r="N23" s="1635">
        <v>29</v>
      </c>
      <c r="O23" s="1634">
        <v>8</v>
      </c>
      <c r="P23" s="1635">
        <v>31</v>
      </c>
      <c r="Q23" s="1634">
        <f>SUM('9 Posg_plan'!H17)</f>
        <v>8</v>
      </c>
      <c r="R23" s="1635">
        <f>SUM('9 Posg_plan'!M17)</f>
        <v>27</v>
      </c>
    </row>
    <row r="24" spans="1:18" x14ac:dyDescent="0.25">
      <c r="A24" s="5982"/>
      <c r="B24" s="2740" t="s">
        <v>160</v>
      </c>
      <c r="C24" s="2741">
        <f t="shared" ref="C24:H24" si="4">SUM(C21:C23)</f>
        <v>8</v>
      </c>
      <c r="D24" s="3124">
        <f t="shared" si="4"/>
        <v>8</v>
      </c>
      <c r="E24" s="2741">
        <f t="shared" si="4"/>
        <v>27</v>
      </c>
      <c r="F24" s="2742">
        <f t="shared" si="4"/>
        <v>13</v>
      </c>
      <c r="G24" s="2741">
        <f t="shared" si="4"/>
        <v>37</v>
      </c>
      <c r="H24" s="2742">
        <f t="shared" si="4"/>
        <v>15</v>
      </c>
      <c r="I24" s="2741">
        <f t="shared" ref="I24:N24" si="5">SUM(I21:I23)</f>
        <v>30</v>
      </c>
      <c r="J24" s="2742">
        <f t="shared" si="5"/>
        <v>22</v>
      </c>
      <c r="K24" s="2741">
        <f t="shared" si="5"/>
        <v>73</v>
      </c>
      <c r="L24" s="2742">
        <f t="shared" si="5"/>
        <v>45</v>
      </c>
      <c r="M24" s="2741">
        <f t="shared" si="5"/>
        <v>14</v>
      </c>
      <c r="N24" s="2742">
        <f t="shared" si="5"/>
        <v>55</v>
      </c>
      <c r="O24" s="2741">
        <f>SUM(O21:O23)</f>
        <v>25</v>
      </c>
      <c r="P24" s="2742">
        <f>SUM(P21:P23)</f>
        <v>47</v>
      </c>
      <c r="Q24" s="2741">
        <f>SUM(Q21:Q23)</f>
        <v>31</v>
      </c>
      <c r="R24" s="2742">
        <f>SUM(R21:R23)</f>
        <v>59</v>
      </c>
    </row>
    <row r="25" spans="1:18" x14ac:dyDescent="0.25">
      <c r="A25" s="1432"/>
      <c r="B25" s="1432"/>
      <c r="C25" s="1636"/>
      <c r="D25" s="1636"/>
      <c r="E25" s="1636"/>
      <c r="F25" s="1636"/>
      <c r="G25" s="1636"/>
      <c r="H25" s="1636"/>
      <c r="I25" s="1636"/>
      <c r="J25" s="1636"/>
      <c r="K25" s="1636"/>
      <c r="L25" s="1636"/>
      <c r="M25" s="1636"/>
      <c r="N25" s="1636"/>
      <c r="O25" s="1636"/>
      <c r="P25" s="1636"/>
      <c r="Q25" s="1636"/>
      <c r="R25" s="1636"/>
    </row>
    <row r="26" spans="1:18" x14ac:dyDescent="0.25">
      <c r="A26" s="5983" t="s">
        <v>60</v>
      </c>
      <c r="B26" s="1433" t="s">
        <v>5</v>
      </c>
      <c r="C26" s="1632">
        <f t="shared" ref="C26:D26" si="6">SUM(C6,C16)</f>
        <v>1</v>
      </c>
      <c r="D26" s="3119">
        <f t="shared" si="6"/>
        <v>1</v>
      </c>
      <c r="E26" s="1632">
        <f>SUM(E6,E16)</f>
        <v>19</v>
      </c>
      <c r="F26" s="1633">
        <f>SUM(F6,F16)</f>
        <v>11</v>
      </c>
      <c r="G26" s="1632">
        <f>SUM(G6,G16)</f>
        <v>18</v>
      </c>
      <c r="H26" s="1633">
        <f>SUM(H6,H16)</f>
        <v>4</v>
      </c>
      <c r="I26" s="1632">
        <f t="shared" ref="I26:N26" si="7">SUM(I6,I16)</f>
        <v>6</v>
      </c>
      <c r="J26" s="1633">
        <f t="shared" si="7"/>
        <v>6</v>
      </c>
      <c r="K26" s="1632">
        <f t="shared" si="7"/>
        <v>7</v>
      </c>
      <c r="L26" s="1633">
        <f t="shared" si="7"/>
        <v>7</v>
      </c>
      <c r="M26" s="1632">
        <f t="shared" si="7"/>
        <v>16</v>
      </c>
      <c r="N26" s="1633">
        <f t="shared" si="7"/>
        <v>20</v>
      </c>
      <c r="O26" s="1632">
        <f>SUM(O6,O16)</f>
        <v>9</v>
      </c>
      <c r="P26" s="1633">
        <f>SUM(P6,P16)</f>
        <v>20</v>
      </c>
      <c r="Q26" s="1632">
        <f>SUM(Q6,Q16)</f>
        <v>18</v>
      </c>
      <c r="R26" s="1633">
        <f>SUM(R6,R16)</f>
        <v>37</v>
      </c>
    </row>
    <row r="27" spans="1:18" x14ac:dyDescent="0.25">
      <c r="A27" s="5984"/>
      <c r="B27" s="1434" t="s">
        <v>6</v>
      </c>
      <c r="C27" s="1634">
        <f t="shared" ref="C27:D27" si="8">SUM(C7,C17,C21,C11)</f>
        <v>2</v>
      </c>
      <c r="D27" s="3120">
        <f t="shared" si="8"/>
        <v>2</v>
      </c>
      <c r="E27" s="1634">
        <f t="shared" ref="E27:K27" si="9">SUM(E7,E17,E21,E11)</f>
        <v>17</v>
      </c>
      <c r="F27" s="1635">
        <f t="shared" si="9"/>
        <v>1</v>
      </c>
      <c r="G27" s="1634">
        <f t="shared" si="9"/>
        <v>11</v>
      </c>
      <c r="H27" s="1635">
        <f t="shared" si="9"/>
        <v>0</v>
      </c>
      <c r="I27" s="1634">
        <f t="shared" si="9"/>
        <v>51</v>
      </c>
      <c r="J27" s="1635">
        <f t="shared" si="9"/>
        <v>51</v>
      </c>
      <c r="K27" s="1634">
        <f t="shared" si="9"/>
        <v>110</v>
      </c>
      <c r="L27" s="1635">
        <f>SUM(L7,L11,L17,L21)</f>
        <v>63</v>
      </c>
      <c r="M27" s="1634">
        <f>SUM(M7,M17,M21,M11)</f>
        <v>10</v>
      </c>
      <c r="N27" s="1635">
        <f>SUM(N7,N11,N17,N21)</f>
        <v>46</v>
      </c>
      <c r="O27" s="1634">
        <f>SUM(O7,O17,O21,O11)</f>
        <v>0</v>
      </c>
      <c r="P27" s="1635">
        <f>SUM(P7,P11,P17,P21)</f>
        <v>10</v>
      </c>
      <c r="Q27" s="1634">
        <f>SUM(Q7,Q17,Q21,Q11)</f>
        <v>0</v>
      </c>
      <c r="R27" s="1635">
        <f>SUM(R7,R11,R17,R21)</f>
        <v>0</v>
      </c>
    </row>
    <row r="28" spans="1:18" x14ac:dyDescent="0.25">
      <c r="A28" s="5984"/>
      <c r="B28" s="1434" t="s">
        <v>11</v>
      </c>
      <c r="C28" s="1634">
        <f t="shared" ref="C28:D28" si="10">SUM(C18,C22)</f>
        <v>6</v>
      </c>
      <c r="D28" s="3120">
        <f t="shared" si="10"/>
        <v>6</v>
      </c>
      <c r="E28" s="1634">
        <f>SUM(E18,E22)</f>
        <v>1</v>
      </c>
      <c r="F28" s="1635">
        <f>SUM(F18,F22)</f>
        <v>0</v>
      </c>
      <c r="G28" s="1634">
        <f>SUM(G18,G22)</f>
        <v>6</v>
      </c>
      <c r="H28" s="1635">
        <f>SUM(H18,H22)</f>
        <v>6</v>
      </c>
      <c r="I28" s="1634">
        <f t="shared" ref="I28:N28" si="11">SUM(I18,I22)</f>
        <v>6</v>
      </c>
      <c r="J28" s="1635">
        <f t="shared" si="11"/>
        <v>6</v>
      </c>
      <c r="K28" s="1634">
        <f t="shared" si="11"/>
        <v>16</v>
      </c>
      <c r="L28" s="1635">
        <f t="shared" si="11"/>
        <v>16</v>
      </c>
      <c r="M28" s="1634">
        <f t="shared" si="11"/>
        <v>17</v>
      </c>
      <c r="N28" s="1635">
        <f t="shared" si="11"/>
        <v>33</v>
      </c>
      <c r="O28" s="1634">
        <f>SUM(O18,O22)</f>
        <v>17</v>
      </c>
      <c r="P28" s="1635">
        <f>SUM(P18,P22)</f>
        <v>16</v>
      </c>
      <c r="Q28" s="1634">
        <f>SUM(Q18,Q22)</f>
        <v>23</v>
      </c>
      <c r="R28" s="1635">
        <f>SUM(R18,R22)</f>
        <v>32</v>
      </c>
    </row>
    <row r="29" spans="1:18" x14ac:dyDescent="0.25">
      <c r="A29" s="5984"/>
      <c r="B29" s="1434" t="s">
        <v>7</v>
      </c>
      <c r="C29" s="1634">
        <f t="shared" ref="C29:D29" si="12">SUM(C8,C23)</f>
        <v>2</v>
      </c>
      <c r="D29" s="3120">
        <f t="shared" si="12"/>
        <v>2</v>
      </c>
      <c r="E29" s="1634">
        <f>SUM(E8,E23)</f>
        <v>14</v>
      </c>
      <c r="F29" s="1635">
        <f>SUM(F8,F23)</f>
        <v>12</v>
      </c>
      <c r="G29" s="1634">
        <f>SUM(G8,G23)</f>
        <v>20</v>
      </c>
      <c r="H29" s="1635">
        <f>SUM(H8,H23)</f>
        <v>9</v>
      </c>
      <c r="I29" s="1634">
        <f t="shared" ref="I29:N29" si="13">SUM(I8,I23)</f>
        <v>15</v>
      </c>
      <c r="J29" s="1635">
        <f t="shared" si="13"/>
        <v>7</v>
      </c>
      <c r="K29" s="1634">
        <f t="shared" si="13"/>
        <v>26</v>
      </c>
      <c r="L29" s="1635">
        <f t="shared" si="13"/>
        <v>12</v>
      </c>
      <c r="M29" s="1634">
        <f t="shared" si="13"/>
        <v>20</v>
      </c>
      <c r="N29" s="1635">
        <f t="shared" si="13"/>
        <v>44</v>
      </c>
      <c r="O29" s="1634">
        <f>SUM(O8,O23)</f>
        <v>9</v>
      </c>
      <c r="P29" s="1635">
        <f>SUM(P8,P23)</f>
        <v>47</v>
      </c>
      <c r="Q29" s="1634">
        <f>SUM(Q8,Q23)</f>
        <v>55</v>
      </c>
      <c r="R29" s="1635">
        <f>SUM(R8,R23)</f>
        <v>74</v>
      </c>
    </row>
    <row r="30" spans="1:18" x14ac:dyDescent="0.25">
      <c r="A30" s="5984"/>
      <c r="B30" s="1434" t="s">
        <v>9</v>
      </c>
      <c r="C30" s="1634">
        <f t="shared" ref="C30:D30" si="14">SUM(C12)</f>
        <v>0</v>
      </c>
      <c r="D30" s="3120">
        <f t="shared" si="14"/>
        <v>0</v>
      </c>
      <c r="E30" s="1634">
        <f t="shared" ref="E30:L31" si="15">SUM(E12)</f>
        <v>0</v>
      </c>
      <c r="F30" s="1635">
        <f t="shared" si="15"/>
        <v>0</v>
      </c>
      <c r="G30" s="1634">
        <f t="shared" si="15"/>
        <v>0</v>
      </c>
      <c r="H30" s="1635">
        <f t="shared" si="15"/>
        <v>0</v>
      </c>
      <c r="I30" s="1634">
        <f t="shared" si="15"/>
        <v>0</v>
      </c>
      <c r="J30" s="1635">
        <f t="shared" si="15"/>
        <v>0</v>
      </c>
      <c r="K30" s="1634">
        <f t="shared" si="15"/>
        <v>12</v>
      </c>
      <c r="L30" s="1635">
        <f t="shared" si="15"/>
        <v>12</v>
      </c>
      <c r="M30" s="1634">
        <f t="shared" ref="M30:P31" si="16">SUM(M12)</f>
        <v>11</v>
      </c>
      <c r="N30" s="1635">
        <f t="shared" si="16"/>
        <v>22</v>
      </c>
      <c r="O30" s="1634">
        <f t="shared" si="16"/>
        <v>0</v>
      </c>
      <c r="P30" s="1635">
        <f t="shared" si="16"/>
        <v>0</v>
      </c>
      <c r="Q30" s="1634">
        <f t="shared" ref="Q30:R30" si="17">SUM(Q12)</f>
        <v>0</v>
      </c>
      <c r="R30" s="1635">
        <f t="shared" si="17"/>
        <v>0</v>
      </c>
    </row>
    <row r="31" spans="1:18" x14ac:dyDescent="0.25">
      <c r="A31" s="5984"/>
      <c r="B31" s="1434" t="s">
        <v>74</v>
      </c>
      <c r="C31" s="1801">
        <f t="shared" ref="C31:D31" si="18">SUM(C13)</f>
        <v>0</v>
      </c>
      <c r="D31" s="3125">
        <f t="shared" si="18"/>
        <v>0</v>
      </c>
      <c r="E31" s="1801">
        <f>SUM(E13)</f>
        <v>0</v>
      </c>
      <c r="F31" s="1802">
        <f>SUM(F13)</f>
        <v>0</v>
      </c>
      <c r="G31" s="1637">
        <f>SUM(G13)</f>
        <v>0</v>
      </c>
      <c r="H31" s="1638">
        <f>SUM(H13)</f>
        <v>0</v>
      </c>
      <c r="I31" s="1637">
        <f t="shared" si="15"/>
        <v>0</v>
      </c>
      <c r="J31" s="1638">
        <f t="shared" si="15"/>
        <v>0</v>
      </c>
      <c r="K31" s="1637">
        <f t="shared" si="15"/>
        <v>14</v>
      </c>
      <c r="L31" s="1638">
        <f t="shared" si="15"/>
        <v>15</v>
      </c>
      <c r="M31" s="1637">
        <f t="shared" si="16"/>
        <v>20</v>
      </c>
      <c r="N31" s="1638">
        <f t="shared" si="16"/>
        <v>34</v>
      </c>
      <c r="O31" s="1637">
        <f t="shared" si="16"/>
        <v>0</v>
      </c>
      <c r="P31" s="1638">
        <f t="shared" si="16"/>
        <v>0</v>
      </c>
      <c r="Q31" s="1637">
        <f t="shared" ref="Q31:R31" si="19">SUM(Q13)</f>
        <v>0</v>
      </c>
      <c r="R31" s="1638">
        <f t="shared" si="19"/>
        <v>0</v>
      </c>
    </row>
    <row r="32" spans="1:18" x14ac:dyDescent="0.25">
      <c r="A32" s="5985"/>
      <c r="B32" s="1799" t="s">
        <v>160</v>
      </c>
      <c r="C32" s="1799">
        <f t="shared" ref="C32:D32" si="20">SUM(C26:C29)</f>
        <v>11</v>
      </c>
      <c r="D32" s="3126">
        <f t="shared" si="20"/>
        <v>11</v>
      </c>
      <c r="E32" s="1799">
        <f t="shared" ref="E32:J32" si="21">SUM(E26:E29)</f>
        <v>51</v>
      </c>
      <c r="F32" s="1800">
        <f t="shared" si="21"/>
        <v>24</v>
      </c>
      <c r="G32" s="1799">
        <f t="shared" si="21"/>
        <v>55</v>
      </c>
      <c r="H32" s="1800">
        <f t="shared" si="21"/>
        <v>19</v>
      </c>
      <c r="I32" s="1799">
        <f t="shared" si="21"/>
        <v>78</v>
      </c>
      <c r="J32" s="1800">
        <f t="shared" si="21"/>
        <v>70</v>
      </c>
      <c r="K32" s="1799">
        <f t="shared" ref="K32:P32" si="22">SUM(K26:K31)</f>
        <v>185</v>
      </c>
      <c r="L32" s="1800">
        <f t="shared" si="22"/>
        <v>125</v>
      </c>
      <c r="M32" s="1799">
        <f t="shared" si="22"/>
        <v>94</v>
      </c>
      <c r="N32" s="1800">
        <f t="shared" si="22"/>
        <v>199</v>
      </c>
      <c r="O32" s="1799">
        <f t="shared" si="22"/>
        <v>35</v>
      </c>
      <c r="P32" s="1800">
        <f t="shared" si="22"/>
        <v>93</v>
      </c>
      <c r="Q32" s="1799">
        <f t="shared" ref="Q32:R32" si="23">SUM(Q26:Q31)</f>
        <v>96</v>
      </c>
      <c r="R32" s="1800">
        <f t="shared" si="23"/>
        <v>143</v>
      </c>
    </row>
    <row r="36" spans="1:10" x14ac:dyDescent="0.25">
      <c r="B36" s="1436"/>
      <c r="C36" s="1436"/>
      <c r="D36" s="1436"/>
      <c r="E36" s="1436"/>
      <c r="F36" s="1436"/>
      <c r="H36" s="1436"/>
      <c r="I36" s="1436"/>
      <c r="J36" s="1436"/>
    </row>
    <row r="37" spans="1:10" x14ac:dyDescent="0.25">
      <c r="A37" s="4141">
        <v>2008</v>
      </c>
    </row>
    <row r="38" spans="1:10" x14ac:dyDescent="0.25">
      <c r="A38" s="4142">
        <v>2009</v>
      </c>
    </row>
    <row r="39" spans="1:10" x14ac:dyDescent="0.25">
      <c r="A39" s="4141">
        <v>2010</v>
      </c>
    </row>
    <row r="40" spans="1:10" x14ac:dyDescent="0.25">
      <c r="A40" s="4142">
        <v>2011</v>
      </c>
    </row>
    <row r="41" spans="1:10" x14ac:dyDescent="0.25">
      <c r="A41" s="4141">
        <v>2012</v>
      </c>
    </row>
    <row r="42" spans="1:10" x14ac:dyDescent="0.25">
      <c r="A42" s="4142">
        <v>2013</v>
      </c>
    </row>
    <row r="43" spans="1:10" x14ac:dyDescent="0.25">
      <c r="A43" s="4141">
        <v>2014</v>
      </c>
    </row>
    <row r="44" spans="1:10" x14ac:dyDescent="0.25">
      <c r="A44" s="4141">
        <v>2015</v>
      </c>
    </row>
  </sheetData>
  <mergeCells count="15">
    <mergeCell ref="Q3:R3"/>
    <mergeCell ref="O3:P3"/>
    <mergeCell ref="A16:A19"/>
    <mergeCell ref="A21:A24"/>
    <mergeCell ref="A26:A32"/>
    <mergeCell ref="A6:A9"/>
    <mergeCell ref="A11:A14"/>
    <mergeCell ref="M3:N3"/>
    <mergeCell ref="K3:L3"/>
    <mergeCell ref="A3:A4"/>
    <mergeCell ref="B3:B4"/>
    <mergeCell ref="E3:F3"/>
    <mergeCell ref="G3:H3"/>
    <mergeCell ref="I3:J3"/>
    <mergeCell ref="C3:D3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scale="69" orientation="landscape" r:id="rId1"/>
  <ignoredErrors>
    <ignoredError sqref="L27:P27" formula="1"/>
  </ignoredErrors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B1:M76"/>
  <sheetViews>
    <sheetView zoomScaleNormal="100" zoomScaleSheetLayoutView="75" workbookViewId="0">
      <selection activeCell="E29" sqref="E29"/>
    </sheetView>
  </sheetViews>
  <sheetFormatPr baseColWidth="10" defaultRowHeight="12.75" x14ac:dyDescent="0.2"/>
  <cols>
    <col min="1" max="1" width="5.28515625" style="1" customWidth="1"/>
    <col min="2" max="2" width="17.7109375" style="1" bestFit="1" customWidth="1"/>
    <col min="3" max="3" width="11.28515625" style="1" bestFit="1" customWidth="1"/>
    <col min="4" max="4" width="30.5703125" style="1" customWidth="1"/>
    <col min="5" max="5" width="11.42578125" style="1" bestFit="1" customWidth="1"/>
    <col min="6" max="6" width="9.42578125" style="1" bestFit="1" customWidth="1"/>
    <col min="7" max="7" width="11.42578125" style="1" bestFit="1" customWidth="1"/>
    <col min="8" max="8" width="9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4.42578125" style="1" customWidth="1"/>
    <col min="14" max="16384" width="11.42578125" style="1"/>
  </cols>
  <sheetData>
    <row r="1" spans="2:13" ht="18" x14ac:dyDescent="0.2">
      <c r="B1" s="85"/>
      <c r="C1" s="85"/>
      <c r="D1" s="85"/>
      <c r="E1" s="85"/>
      <c r="F1" s="85"/>
      <c r="G1" s="85"/>
      <c r="H1" s="85"/>
      <c r="I1" s="85"/>
      <c r="J1" s="85"/>
      <c r="K1" s="80"/>
      <c r="L1" s="80"/>
      <c r="M1" s="80"/>
    </row>
    <row r="2" spans="2:13" ht="15.75" x14ac:dyDescent="0.2">
      <c r="B2" s="6136" t="s">
        <v>37</v>
      </c>
      <c r="C2" s="6136"/>
      <c r="D2" s="6136"/>
      <c r="E2" s="6136"/>
      <c r="F2" s="6136"/>
      <c r="G2" s="6136"/>
      <c r="H2" s="6136"/>
      <c r="I2" s="6136"/>
      <c r="J2" s="6136"/>
      <c r="K2" s="6136"/>
      <c r="L2" s="6136"/>
    </row>
    <row r="3" spans="2:13" ht="15.75" x14ac:dyDescent="0.2">
      <c r="B3" s="6136" t="s">
        <v>38</v>
      </c>
      <c r="C3" s="6136"/>
      <c r="D3" s="6136"/>
      <c r="E3" s="6136"/>
      <c r="F3" s="6136"/>
      <c r="G3" s="6136"/>
      <c r="H3" s="6136"/>
      <c r="I3" s="6136"/>
      <c r="J3" s="6136"/>
      <c r="K3" s="6136"/>
      <c r="L3" s="6136"/>
    </row>
    <row r="4" spans="2:13" ht="15.75" x14ac:dyDescent="0.2">
      <c r="B4" s="6136" t="s">
        <v>152</v>
      </c>
      <c r="C4" s="6136"/>
      <c r="D4" s="6136"/>
      <c r="E4" s="6136"/>
      <c r="F4" s="6136"/>
      <c r="G4" s="6136"/>
      <c r="H4" s="6136"/>
      <c r="I4" s="6136"/>
      <c r="J4" s="6136"/>
      <c r="K4" s="6136"/>
      <c r="L4" s="6136"/>
    </row>
    <row r="5" spans="2:13" ht="15.75" x14ac:dyDescent="0.2">
      <c r="B5" s="24"/>
      <c r="C5" s="24"/>
      <c r="D5" s="24"/>
      <c r="E5" s="24"/>
      <c r="F5" s="24"/>
      <c r="G5" s="24"/>
      <c r="H5" s="24"/>
      <c r="I5" s="24"/>
      <c r="J5" s="24"/>
    </row>
    <row r="6" spans="2:13" ht="15" x14ac:dyDescent="0.2">
      <c r="B6" s="6143" t="s">
        <v>16</v>
      </c>
      <c r="C6" s="6143" t="s">
        <v>4</v>
      </c>
      <c r="D6" s="6143" t="s">
        <v>25</v>
      </c>
      <c r="E6" s="6140">
        <v>2005</v>
      </c>
      <c r="F6" s="6142"/>
      <c r="G6" s="6140">
        <v>2006</v>
      </c>
      <c r="H6" s="6141"/>
      <c r="I6" s="6140">
        <v>2007</v>
      </c>
      <c r="J6" s="6141"/>
      <c r="K6" s="6140">
        <v>2008</v>
      </c>
      <c r="L6" s="6141"/>
    </row>
    <row r="7" spans="2:13" x14ac:dyDescent="0.2">
      <c r="B7" s="6143"/>
      <c r="C7" s="6143"/>
      <c r="D7" s="6143"/>
      <c r="E7" s="21" t="s">
        <v>35</v>
      </c>
      <c r="F7" s="21" t="s">
        <v>36</v>
      </c>
      <c r="G7" s="21" t="s">
        <v>35</v>
      </c>
      <c r="H7" s="22" t="s">
        <v>36</v>
      </c>
      <c r="I7" s="21" t="s">
        <v>35</v>
      </c>
      <c r="J7" s="21" t="s">
        <v>36</v>
      </c>
      <c r="K7" s="21" t="s">
        <v>35</v>
      </c>
      <c r="L7" s="21" t="s">
        <v>36</v>
      </c>
    </row>
    <row r="8" spans="2:13" x14ac:dyDescent="0.2">
      <c r="B8" s="57"/>
      <c r="C8" s="12"/>
      <c r="D8" s="58"/>
      <c r="E8" s="69"/>
      <c r="F8" s="81"/>
      <c r="G8" s="70"/>
      <c r="H8" s="70"/>
      <c r="I8" s="69"/>
      <c r="J8" s="81"/>
      <c r="K8" s="69"/>
      <c r="L8" s="81"/>
    </row>
    <row r="9" spans="2:13" x14ac:dyDescent="0.2">
      <c r="B9" s="50"/>
      <c r="C9" s="13" t="s">
        <v>5</v>
      </c>
      <c r="D9" s="59"/>
      <c r="E9" s="103"/>
      <c r="F9" s="113"/>
      <c r="G9" s="102"/>
      <c r="H9" s="102"/>
      <c r="I9" s="103"/>
      <c r="J9" s="113"/>
      <c r="K9" s="66"/>
      <c r="L9" s="128"/>
    </row>
    <row r="10" spans="2:13" x14ac:dyDescent="0.2">
      <c r="B10" s="52"/>
      <c r="C10" s="13"/>
      <c r="D10" s="53" t="s">
        <v>26</v>
      </c>
      <c r="E10" s="99">
        <v>0</v>
      </c>
      <c r="F10" s="114">
        <v>0</v>
      </c>
      <c r="G10" s="97">
        <v>0</v>
      </c>
      <c r="H10" s="97">
        <v>0</v>
      </c>
      <c r="I10" s="99">
        <v>0</v>
      </c>
      <c r="J10" s="114">
        <v>0</v>
      </c>
      <c r="K10" s="91">
        <v>0</v>
      </c>
      <c r="L10" s="92">
        <v>0</v>
      </c>
    </row>
    <row r="11" spans="2:13" x14ac:dyDescent="0.2">
      <c r="B11" s="52"/>
      <c r="C11" s="13"/>
      <c r="D11" s="53" t="s">
        <v>27</v>
      </c>
      <c r="E11" s="99">
        <v>0</v>
      </c>
      <c r="F11" s="114">
        <v>0</v>
      </c>
      <c r="G11" s="97">
        <v>0</v>
      </c>
      <c r="H11" s="97">
        <v>0</v>
      </c>
      <c r="I11" s="99">
        <v>26</v>
      </c>
      <c r="J11" s="114">
        <v>24</v>
      </c>
      <c r="K11" s="91">
        <v>0</v>
      </c>
      <c r="L11" s="92">
        <v>11</v>
      </c>
    </row>
    <row r="12" spans="2:13" x14ac:dyDescent="0.2">
      <c r="B12" s="50"/>
      <c r="C12" s="18"/>
      <c r="D12" s="53" t="s">
        <v>28</v>
      </c>
      <c r="E12" s="99">
        <v>0</v>
      </c>
      <c r="F12" s="114">
        <v>0</v>
      </c>
      <c r="G12" s="97">
        <v>0</v>
      </c>
      <c r="H12" s="97">
        <v>0</v>
      </c>
      <c r="I12" s="99">
        <v>0</v>
      </c>
      <c r="J12" s="114">
        <v>0</v>
      </c>
      <c r="K12" s="91">
        <v>0</v>
      </c>
      <c r="L12" s="92">
        <v>0</v>
      </c>
    </row>
    <row r="13" spans="2:13" x14ac:dyDescent="0.2">
      <c r="B13" s="50"/>
      <c r="C13" s="18"/>
      <c r="D13" s="54" t="s">
        <v>13</v>
      </c>
      <c r="E13" s="101">
        <v>0</v>
      </c>
      <c r="F13" s="100">
        <v>0</v>
      </c>
      <c r="G13" s="98">
        <v>0</v>
      </c>
      <c r="H13" s="98">
        <v>0</v>
      </c>
      <c r="I13" s="101">
        <v>26</v>
      </c>
      <c r="J13" s="100">
        <v>24</v>
      </c>
      <c r="K13" s="96">
        <v>0</v>
      </c>
      <c r="L13" s="95">
        <v>11</v>
      </c>
    </row>
    <row r="14" spans="2:13" x14ac:dyDescent="0.2">
      <c r="B14" s="52"/>
      <c r="C14" s="13" t="s">
        <v>6</v>
      </c>
      <c r="D14" s="55"/>
      <c r="E14" s="103"/>
      <c r="F14" s="113"/>
      <c r="G14" s="102"/>
      <c r="H14" s="102"/>
      <c r="I14" s="103"/>
      <c r="J14" s="113"/>
      <c r="K14" s="91"/>
      <c r="L14" s="92"/>
    </row>
    <row r="15" spans="2:13" x14ac:dyDescent="0.2">
      <c r="B15" s="52"/>
      <c r="C15" s="13"/>
      <c r="D15" s="53" t="s">
        <v>26</v>
      </c>
      <c r="E15" s="99">
        <v>0</v>
      </c>
      <c r="F15" s="114">
        <v>0</v>
      </c>
      <c r="G15" s="97">
        <v>0</v>
      </c>
      <c r="H15" s="97">
        <v>0</v>
      </c>
      <c r="I15" s="99">
        <v>0</v>
      </c>
      <c r="J15" s="114">
        <v>0</v>
      </c>
      <c r="K15" s="91">
        <v>0</v>
      </c>
      <c r="L15" s="92">
        <v>0</v>
      </c>
    </row>
    <row r="16" spans="2:13" x14ac:dyDescent="0.2">
      <c r="B16" s="52"/>
      <c r="C16" s="13"/>
      <c r="D16" s="53" t="s">
        <v>27</v>
      </c>
      <c r="E16" s="99">
        <v>7</v>
      </c>
      <c r="F16" s="114">
        <v>7</v>
      </c>
      <c r="G16" s="97">
        <v>2</v>
      </c>
      <c r="H16" s="97">
        <v>5</v>
      </c>
      <c r="I16" s="99">
        <v>0</v>
      </c>
      <c r="J16" s="114">
        <v>1</v>
      </c>
      <c r="K16" s="91">
        <v>0</v>
      </c>
      <c r="L16" s="92">
        <v>0</v>
      </c>
    </row>
    <row r="17" spans="2:12" x14ac:dyDescent="0.2">
      <c r="B17" s="52"/>
      <c r="C17" s="13"/>
      <c r="D17" s="53" t="s">
        <v>28</v>
      </c>
      <c r="E17" s="99">
        <v>0</v>
      </c>
      <c r="F17" s="114">
        <v>0</v>
      </c>
      <c r="G17" s="97">
        <v>1</v>
      </c>
      <c r="H17" s="97">
        <v>1</v>
      </c>
      <c r="I17" s="99">
        <v>0</v>
      </c>
      <c r="J17" s="114">
        <v>0</v>
      </c>
      <c r="K17" s="91">
        <v>0</v>
      </c>
      <c r="L17" s="92">
        <v>0</v>
      </c>
    </row>
    <row r="18" spans="2:12" x14ac:dyDescent="0.2">
      <c r="B18" s="50"/>
      <c r="C18" s="18"/>
      <c r="D18" s="56" t="s">
        <v>14</v>
      </c>
      <c r="E18" s="101">
        <v>7</v>
      </c>
      <c r="F18" s="100">
        <v>7</v>
      </c>
      <c r="G18" s="98">
        <v>3</v>
      </c>
      <c r="H18" s="98">
        <v>6</v>
      </c>
      <c r="I18" s="101">
        <v>0</v>
      </c>
      <c r="J18" s="100">
        <v>1</v>
      </c>
      <c r="K18" s="96">
        <v>0</v>
      </c>
      <c r="L18" s="95">
        <v>0</v>
      </c>
    </row>
    <row r="19" spans="2:12" x14ac:dyDescent="0.2">
      <c r="B19" s="52"/>
      <c r="C19" s="13" t="s">
        <v>7</v>
      </c>
      <c r="D19" s="55"/>
      <c r="E19" s="103"/>
      <c r="F19" s="113"/>
      <c r="G19" s="102"/>
      <c r="H19" s="102"/>
      <c r="I19" s="103"/>
      <c r="J19" s="113"/>
      <c r="K19" s="91"/>
      <c r="L19" s="92"/>
    </row>
    <row r="20" spans="2:12" x14ac:dyDescent="0.2">
      <c r="B20" s="52"/>
      <c r="C20" s="13"/>
      <c r="D20" s="53" t="s">
        <v>26</v>
      </c>
      <c r="E20" s="99">
        <v>0</v>
      </c>
      <c r="F20" s="114">
        <v>0</v>
      </c>
      <c r="G20" s="97">
        <v>0</v>
      </c>
      <c r="H20" s="97">
        <v>0</v>
      </c>
      <c r="I20" s="99">
        <v>0</v>
      </c>
      <c r="J20" s="114">
        <v>0</v>
      </c>
      <c r="K20" s="91">
        <v>0</v>
      </c>
      <c r="L20" s="92">
        <v>0</v>
      </c>
    </row>
    <row r="21" spans="2:12" x14ac:dyDescent="0.2">
      <c r="B21" s="52"/>
      <c r="C21" s="13"/>
      <c r="D21" s="53" t="s">
        <v>27</v>
      </c>
      <c r="E21" s="99">
        <v>0</v>
      </c>
      <c r="F21" s="114">
        <v>0</v>
      </c>
      <c r="G21" s="97">
        <v>0</v>
      </c>
      <c r="H21" s="97">
        <v>0</v>
      </c>
      <c r="I21" s="99">
        <v>0</v>
      </c>
      <c r="J21" s="114">
        <v>0</v>
      </c>
      <c r="K21" s="91">
        <v>0</v>
      </c>
      <c r="L21" s="92">
        <v>0</v>
      </c>
    </row>
    <row r="22" spans="2:12" x14ac:dyDescent="0.2">
      <c r="B22" s="52"/>
      <c r="C22" s="13"/>
      <c r="D22" s="53" t="s">
        <v>28</v>
      </c>
      <c r="E22" s="99">
        <v>0</v>
      </c>
      <c r="F22" s="114">
        <v>0</v>
      </c>
      <c r="G22" s="97">
        <v>0</v>
      </c>
      <c r="H22" s="97">
        <v>0</v>
      </c>
      <c r="I22" s="99">
        <v>0</v>
      </c>
      <c r="J22" s="114">
        <v>0</v>
      </c>
      <c r="K22" s="91">
        <v>0</v>
      </c>
      <c r="L22" s="92">
        <v>0</v>
      </c>
    </row>
    <row r="23" spans="2:12" x14ac:dyDescent="0.2">
      <c r="B23" s="50"/>
      <c r="C23" s="18"/>
      <c r="D23" s="56" t="s">
        <v>15</v>
      </c>
      <c r="E23" s="101">
        <v>0</v>
      </c>
      <c r="F23" s="100">
        <v>0</v>
      </c>
      <c r="G23" s="98">
        <v>0</v>
      </c>
      <c r="H23" s="98">
        <v>0</v>
      </c>
      <c r="I23" s="101">
        <v>0</v>
      </c>
      <c r="J23" s="100">
        <v>0</v>
      </c>
      <c r="K23" s="96">
        <v>0</v>
      </c>
      <c r="L23" s="95">
        <v>0</v>
      </c>
    </row>
    <row r="24" spans="2:12" x14ac:dyDescent="0.2">
      <c r="B24" s="5611" t="s">
        <v>3</v>
      </c>
      <c r="C24" s="5612"/>
      <c r="D24" s="53"/>
      <c r="E24" s="103"/>
      <c r="F24" s="113"/>
      <c r="G24" s="102"/>
      <c r="H24" s="102"/>
      <c r="I24" s="103"/>
      <c r="J24" s="113"/>
      <c r="K24" s="91"/>
      <c r="L24" s="92"/>
    </row>
    <row r="25" spans="2:12" x14ac:dyDescent="0.2">
      <c r="B25" s="52"/>
      <c r="C25" s="13"/>
      <c r="D25" s="53" t="s">
        <v>26</v>
      </c>
      <c r="E25" s="99">
        <v>0</v>
      </c>
      <c r="F25" s="114">
        <v>0</v>
      </c>
      <c r="G25" s="97">
        <v>0</v>
      </c>
      <c r="H25" s="97">
        <v>0</v>
      </c>
      <c r="I25" s="99">
        <v>0</v>
      </c>
      <c r="J25" s="114">
        <v>0</v>
      </c>
      <c r="K25" s="91">
        <v>0</v>
      </c>
      <c r="L25" s="92">
        <v>0</v>
      </c>
    </row>
    <row r="26" spans="2:12" x14ac:dyDescent="0.2">
      <c r="B26" s="52"/>
      <c r="C26" s="13"/>
      <c r="D26" s="53" t="s">
        <v>27</v>
      </c>
      <c r="E26" s="99">
        <v>7</v>
      </c>
      <c r="F26" s="114">
        <v>7</v>
      </c>
      <c r="G26" s="97">
        <v>2</v>
      </c>
      <c r="H26" s="97">
        <v>5</v>
      </c>
      <c r="I26" s="99">
        <v>26</v>
      </c>
      <c r="J26" s="114">
        <v>25</v>
      </c>
      <c r="K26" s="91">
        <v>0</v>
      </c>
      <c r="L26" s="92">
        <v>11</v>
      </c>
    </row>
    <row r="27" spans="2:12" x14ac:dyDescent="0.2">
      <c r="B27" s="52"/>
      <c r="C27" s="13"/>
      <c r="D27" s="53" t="s">
        <v>28</v>
      </c>
      <c r="E27" s="99">
        <v>0</v>
      </c>
      <c r="F27" s="114">
        <v>0</v>
      </c>
      <c r="G27" s="97">
        <v>1</v>
      </c>
      <c r="H27" s="97">
        <v>1</v>
      </c>
      <c r="I27" s="99">
        <v>0</v>
      </c>
      <c r="J27" s="114">
        <v>0</v>
      </c>
      <c r="K27" s="129">
        <v>0</v>
      </c>
      <c r="L27" s="130">
        <v>0</v>
      </c>
    </row>
    <row r="28" spans="2:12" ht="15" x14ac:dyDescent="0.2">
      <c r="B28" s="6137" t="s">
        <v>29</v>
      </c>
      <c r="C28" s="6138"/>
      <c r="D28" s="6139"/>
      <c r="E28" s="105">
        <v>7</v>
      </c>
      <c r="F28" s="106">
        <v>7</v>
      </c>
      <c r="G28" s="104">
        <v>3</v>
      </c>
      <c r="H28" s="104">
        <v>6</v>
      </c>
      <c r="I28" s="105">
        <v>26</v>
      </c>
      <c r="J28" s="106">
        <v>25</v>
      </c>
      <c r="K28" s="93">
        <v>0</v>
      </c>
      <c r="L28" s="94">
        <v>11</v>
      </c>
    </row>
    <row r="29" spans="2:12" x14ac:dyDescent="0.2">
      <c r="B29" s="52"/>
      <c r="C29" s="13"/>
      <c r="D29" s="55"/>
      <c r="E29" s="115"/>
      <c r="F29" s="116"/>
      <c r="G29" s="117"/>
      <c r="H29" s="117"/>
      <c r="I29" s="115"/>
      <c r="J29" s="116"/>
      <c r="K29" s="131"/>
      <c r="L29" s="132"/>
    </row>
    <row r="30" spans="2:12" x14ac:dyDescent="0.2">
      <c r="B30" s="50"/>
      <c r="C30" s="13" t="s">
        <v>5</v>
      </c>
      <c r="D30" s="59"/>
      <c r="E30" s="103"/>
      <c r="F30" s="113"/>
      <c r="G30" s="102"/>
      <c r="H30" s="102"/>
      <c r="I30" s="103"/>
      <c r="J30" s="113"/>
      <c r="K30" s="91"/>
      <c r="L30" s="92"/>
    </row>
    <row r="31" spans="2:12" x14ac:dyDescent="0.2">
      <c r="B31" s="50"/>
      <c r="C31" s="13"/>
      <c r="D31" s="53" t="s">
        <v>26</v>
      </c>
      <c r="E31" s="103"/>
      <c r="F31" s="113"/>
      <c r="G31" s="102"/>
      <c r="H31" s="102"/>
      <c r="I31" s="103"/>
      <c r="J31" s="113"/>
      <c r="K31" s="91"/>
      <c r="L31" s="92"/>
    </row>
    <row r="32" spans="2:12" x14ac:dyDescent="0.2">
      <c r="B32" s="50"/>
      <c r="C32" s="13"/>
      <c r="D32" s="53" t="s">
        <v>27</v>
      </c>
      <c r="E32" s="99">
        <v>0</v>
      </c>
      <c r="F32" s="114">
        <v>0</v>
      </c>
      <c r="G32" s="97">
        <v>0</v>
      </c>
      <c r="H32" s="97">
        <v>0</v>
      </c>
      <c r="I32" s="99">
        <v>0</v>
      </c>
      <c r="J32" s="114">
        <v>0</v>
      </c>
      <c r="K32" s="91">
        <v>0</v>
      </c>
      <c r="L32" s="92">
        <v>0</v>
      </c>
    </row>
    <row r="33" spans="2:12" x14ac:dyDescent="0.2">
      <c r="B33" s="50"/>
      <c r="C33" s="18"/>
      <c r="D33" s="53" t="s">
        <v>28</v>
      </c>
      <c r="E33" s="99">
        <v>0</v>
      </c>
      <c r="F33" s="114">
        <v>0</v>
      </c>
      <c r="G33" s="97">
        <v>0</v>
      </c>
      <c r="H33" s="97">
        <v>0</v>
      </c>
      <c r="I33" s="99">
        <v>0</v>
      </c>
      <c r="J33" s="114">
        <v>0</v>
      </c>
      <c r="K33" s="91">
        <v>0</v>
      </c>
      <c r="L33" s="92">
        <v>0</v>
      </c>
    </row>
    <row r="34" spans="2:12" x14ac:dyDescent="0.2">
      <c r="B34" s="50"/>
      <c r="C34" s="18"/>
      <c r="D34" s="54" t="s">
        <v>13</v>
      </c>
      <c r="E34" s="101">
        <v>0</v>
      </c>
      <c r="F34" s="100">
        <v>0</v>
      </c>
      <c r="G34" s="98">
        <v>0</v>
      </c>
      <c r="H34" s="98">
        <v>0</v>
      </c>
      <c r="I34" s="101">
        <v>0</v>
      </c>
      <c r="J34" s="100">
        <v>0</v>
      </c>
      <c r="K34" s="96">
        <v>0</v>
      </c>
      <c r="L34" s="95">
        <v>0</v>
      </c>
    </row>
    <row r="35" spans="2:12" x14ac:dyDescent="0.2">
      <c r="B35" s="50"/>
      <c r="C35" s="13" t="s">
        <v>6</v>
      </c>
      <c r="D35" s="55"/>
      <c r="E35" s="99"/>
      <c r="F35" s="114"/>
      <c r="G35" s="97"/>
      <c r="H35" s="97"/>
      <c r="I35" s="99"/>
      <c r="J35" s="114"/>
      <c r="K35" s="91"/>
      <c r="L35" s="92"/>
    </row>
    <row r="36" spans="2:12" x14ac:dyDescent="0.2">
      <c r="B36" s="50"/>
      <c r="C36" s="13"/>
      <c r="D36" s="53" t="s">
        <v>26</v>
      </c>
      <c r="E36" s="99">
        <v>0</v>
      </c>
      <c r="F36" s="114">
        <v>0</v>
      </c>
      <c r="G36" s="97">
        <v>0</v>
      </c>
      <c r="H36" s="97">
        <v>0</v>
      </c>
      <c r="I36" s="99">
        <v>0</v>
      </c>
      <c r="J36" s="114">
        <v>0</v>
      </c>
      <c r="K36" s="91">
        <v>0</v>
      </c>
      <c r="L36" s="92">
        <v>0</v>
      </c>
    </row>
    <row r="37" spans="2:12" x14ac:dyDescent="0.2">
      <c r="B37" s="50"/>
      <c r="C37" s="13"/>
      <c r="D37" s="53" t="s">
        <v>27</v>
      </c>
      <c r="E37" s="99">
        <v>0</v>
      </c>
      <c r="F37" s="114">
        <v>0</v>
      </c>
      <c r="G37" s="97">
        <v>1</v>
      </c>
      <c r="H37" s="97">
        <v>1</v>
      </c>
      <c r="I37" s="99">
        <v>56</v>
      </c>
      <c r="J37" s="114">
        <v>56</v>
      </c>
      <c r="K37" s="91">
        <v>0</v>
      </c>
      <c r="L37" s="92">
        <v>48</v>
      </c>
    </row>
    <row r="38" spans="2:12" x14ac:dyDescent="0.2">
      <c r="B38" s="50"/>
      <c r="C38" s="13"/>
      <c r="D38" s="53" t="s">
        <v>28</v>
      </c>
      <c r="E38" s="99">
        <v>0</v>
      </c>
      <c r="F38" s="114">
        <v>0</v>
      </c>
      <c r="G38" s="97">
        <v>1</v>
      </c>
      <c r="H38" s="97">
        <v>1</v>
      </c>
      <c r="I38" s="99">
        <v>17</v>
      </c>
      <c r="J38" s="114">
        <v>17</v>
      </c>
      <c r="K38" s="91">
        <v>0</v>
      </c>
      <c r="L38" s="92">
        <v>14</v>
      </c>
    </row>
    <row r="39" spans="2:12" x14ac:dyDescent="0.2">
      <c r="B39" s="50"/>
      <c r="C39" s="18"/>
      <c r="D39" s="56" t="s">
        <v>14</v>
      </c>
      <c r="E39" s="101">
        <v>0</v>
      </c>
      <c r="F39" s="100">
        <v>0</v>
      </c>
      <c r="G39" s="98">
        <v>2</v>
      </c>
      <c r="H39" s="98">
        <v>2</v>
      </c>
      <c r="I39" s="101">
        <v>73</v>
      </c>
      <c r="J39" s="100">
        <v>73</v>
      </c>
      <c r="K39" s="96">
        <v>0</v>
      </c>
      <c r="L39" s="95">
        <v>62</v>
      </c>
    </row>
    <row r="40" spans="2:12" x14ac:dyDescent="0.2">
      <c r="B40" s="50"/>
      <c r="C40" s="13" t="s">
        <v>11</v>
      </c>
      <c r="D40" s="55"/>
      <c r="E40" s="99"/>
      <c r="F40" s="114"/>
      <c r="G40" s="97"/>
      <c r="H40" s="97"/>
      <c r="I40" s="99"/>
      <c r="J40" s="114"/>
      <c r="K40" s="91"/>
      <c r="L40" s="92"/>
    </row>
    <row r="41" spans="2:12" x14ac:dyDescent="0.2">
      <c r="B41" s="50"/>
      <c r="C41" s="13"/>
      <c r="D41" s="53" t="s">
        <v>26</v>
      </c>
      <c r="E41" s="99">
        <v>0</v>
      </c>
      <c r="F41" s="114">
        <v>0</v>
      </c>
      <c r="G41" s="97">
        <v>0</v>
      </c>
      <c r="H41" s="97">
        <v>0</v>
      </c>
      <c r="I41" s="99">
        <v>0</v>
      </c>
      <c r="J41" s="114">
        <v>0</v>
      </c>
      <c r="K41" s="91">
        <v>0</v>
      </c>
      <c r="L41" s="92">
        <v>0</v>
      </c>
    </row>
    <row r="42" spans="2:12" x14ac:dyDescent="0.2">
      <c r="B42" s="50"/>
      <c r="C42" s="13"/>
      <c r="D42" s="53" t="s">
        <v>27</v>
      </c>
      <c r="E42" s="99">
        <v>0</v>
      </c>
      <c r="F42" s="114">
        <v>0</v>
      </c>
      <c r="G42" s="97">
        <v>0</v>
      </c>
      <c r="H42" s="97">
        <v>0</v>
      </c>
      <c r="I42" s="99">
        <v>0</v>
      </c>
      <c r="J42" s="114">
        <v>0</v>
      </c>
      <c r="K42" s="91">
        <v>0</v>
      </c>
      <c r="L42" s="92">
        <v>0</v>
      </c>
    </row>
    <row r="43" spans="2:12" x14ac:dyDescent="0.2">
      <c r="B43" s="50"/>
      <c r="C43" s="13"/>
      <c r="D43" s="53" t="s">
        <v>28</v>
      </c>
      <c r="E43" s="99">
        <v>0</v>
      </c>
      <c r="F43" s="114">
        <v>0</v>
      </c>
      <c r="G43" s="97">
        <v>0</v>
      </c>
      <c r="H43" s="97">
        <v>0</v>
      </c>
      <c r="I43" s="99">
        <v>0</v>
      </c>
      <c r="J43" s="114">
        <v>0</v>
      </c>
      <c r="K43" s="91">
        <v>0</v>
      </c>
      <c r="L43" s="92">
        <v>0</v>
      </c>
    </row>
    <row r="44" spans="2:12" x14ac:dyDescent="0.2">
      <c r="B44" s="50"/>
      <c r="C44" s="18"/>
      <c r="D44" s="56" t="s">
        <v>30</v>
      </c>
      <c r="E44" s="101">
        <v>0</v>
      </c>
      <c r="F44" s="100">
        <v>0</v>
      </c>
      <c r="G44" s="98">
        <v>0</v>
      </c>
      <c r="H44" s="98">
        <v>0</v>
      </c>
      <c r="I44" s="101">
        <v>0</v>
      </c>
      <c r="J44" s="100">
        <v>0</v>
      </c>
      <c r="K44" s="96">
        <v>0</v>
      </c>
      <c r="L44" s="95">
        <v>0</v>
      </c>
    </row>
    <row r="45" spans="2:12" x14ac:dyDescent="0.2">
      <c r="B45" s="5611" t="s">
        <v>75</v>
      </c>
      <c r="C45" s="5612"/>
      <c r="D45" s="53"/>
      <c r="E45" s="99"/>
      <c r="F45" s="114"/>
      <c r="G45" s="97"/>
      <c r="H45" s="97"/>
      <c r="I45" s="99"/>
      <c r="J45" s="114"/>
      <c r="K45" s="91"/>
      <c r="L45" s="92"/>
    </row>
    <row r="46" spans="2:12" x14ac:dyDescent="0.2">
      <c r="B46" s="50"/>
      <c r="C46" s="13"/>
      <c r="D46" s="53" t="s">
        <v>26</v>
      </c>
      <c r="E46" s="99">
        <v>0</v>
      </c>
      <c r="F46" s="114">
        <v>0</v>
      </c>
      <c r="G46" s="97">
        <v>0</v>
      </c>
      <c r="H46" s="97">
        <v>0</v>
      </c>
      <c r="I46" s="99">
        <v>0</v>
      </c>
      <c r="J46" s="114">
        <v>0</v>
      </c>
      <c r="K46" s="91">
        <v>0</v>
      </c>
      <c r="L46" s="92">
        <v>0</v>
      </c>
    </row>
    <row r="47" spans="2:12" x14ac:dyDescent="0.2">
      <c r="B47" s="50"/>
      <c r="C47" s="13"/>
      <c r="D47" s="53" t="s">
        <v>27</v>
      </c>
      <c r="E47" s="99">
        <v>0</v>
      </c>
      <c r="F47" s="114">
        <v>0</v>
      </c>
      <c r="G47" s="97">
        <v>1</v>
      </c>
      <c r="H47" s="97">
        <v>1</v>
      </c>
      <c r="I47" s="99">
        <v>56</v>
      </c>
      <c r="J47" s="114">
        <v>56</v>
      </c>
      <c r="K47" s="91">
        <v>0</v>
      </c>
      <c r="L47" s="92">
        <v>48</v>
      </c>
    </row>
    <row r="48" spans="2:12" x14ac:dyDescent="0.2">
      <c r="B48" s="50"/>
      <c r="C48" s="13"/>
      <c r="D48" s="53" t="s">
        <v>28</v>
      </c>
      <c r="E48" s="99">
        <v>0</v>
      </c>
      <c r="F48" s="114">
        <v>0</v>
      </c>
      <c r="G48" s="97">
        <v>1</v>
      </c>
      <c r="H48" s="97">
        <v>1</v>
      </c>
      <c r="I48" s="99">
        <v>17</v>
      </c>
      <c r="J48" s="114">
        <v>17</v>
      </c>
      <c r="K48" s="129">
        <v>0</v>
      </c>
      <c r="L48" s="130">
        <v>14</v>
      </c>
    </row>
    <row r="49" spans="2:12" ht="15" x14ac:dyDescent="0.2">
      <c r="B49" s="6137" t="s">
        <v>31</v>
      </c>
      <c r="C49" s="6138"/>
      <c r="D49" s="6139"/>
      <c r="E49" s="105">
        <v>0</v>
      </c>
      <c r="F49" s="106">
        <v>0</v>
      </c>
      <c r="G49" s="104">
        <v>2</v>
      </c>
      <c r="H49" s="104">
        <v>2</v>
      </c>
      <c r="I49" s="105">
        <v>73</v>
      </c>
      <c r="J49" s="106">
        <v>73</v>
      </c>
      <c r="K49" s="133">
        <v>0</v>
      </c>
      <c r="L49" s="134">
        <v>62</v>
      </c>
    </row>
    <row r="50" spans="2:12" x14ac:dyDescent="0.2">
      <c r="B50" s="50"/>
      <c r="C50" s="18"/>
      <c r="D50" s="53"/>
      <c r="E50" s="103"/>
      <c r="F50" s="113"/>
      <c r="G50" s="102"/>
      <c r="H50" s="102"/>
      <c r="I50" s="103"/>
      <c r="J50" s="113"/>
      <c r="K50" s="131"/>
      <c r="L50" s="132"/>
    </row>
    <row r="51" spans="2:12" x14ac:dyDescent="0.2">
      <c r="B51" s="50"/>
      <c r="C51" s="13" t="s">
        <v>6</v>
      </c>
      <c r="D51" s="59"/>
      <c r="E51" s="103"/>
      <c r="F51" s="113"/>
      <c r="G51" s="102"/>
      <c r="H51" s="102"/>
      <c r="I51" s="103"/>
      <c r="J51" s="113"/>
      <c r="K51" s="91"/>
      <c r="L51" s="92"/>
    </row>
    <row r="52" spans="2:12" x14ac:dyDescent="0.2">
      <c r="B52" s="50"/>
      <c r="C52" s="13"/>
      <c r="D52" s="53" t="s">
        <v>26</v>
      </c>
      <c r="E52" s="99">
        <v>0</v>
      </c>
      <c r="F52" s="114">
        <v>0</v>
      </c>
      <c r="G52" s="97">
        <v>0</v>
      </c>
      <c r="H52" s="97">
        <v>0</v>
      </c>
      <c r="I52" s="99">
        <v>0</v>
      </c>
      <c r="J52" s="114">
        <v>0</v>
      </c>
      <c r="K52" s="91">
        <v>0</v>
      </c>
      <c r="L52" s="92">
        <v>0</v>
      </c>
    </row>
    <row r="53" spans="2:12" x14ac:dyDescent="0.2">
      <c r="B53" s="50"/>
      <c r="C53" s="13"/>
      <c r="D53" s="53" t="s">
        <v>27</v>
      </c>
      <c r="E53" s="99">
        <v>0</v>
      </c>
      <c r="F53" s="114">
        <v>0</v>
      </c>
      <c r="G53" s="97">
        <v>24</v>
      </c>
      <c r="H53" s="97">
        <v>24</v>
      </c>
      <c r="I53" s="99">
        <v>42</v>
      </c>
      <c r="J53" s="114">
        <v>63</v>
      </c>
      <c r="K53" s="91">
        <v>13</v>
      </c>
      <c r="L53" s="92">
        <v>51</v>
      </c>
    </row>
    <row r="54" spans="2:12" x14ac:dyDescent="0.2">
      <c r="B54" s="50"/>
      <c r="C54" s="18"/>
      <c r="D54" s="53" t="s">
        <v>28</v>
      </c>
      <c r="E54" s="99">
        <v>0</v>
      </c>
      <c r="F54" s="114">
        <v>0</v>
      </c>
      <c r="G54" s="97">
        <v>1</v>
      </c>
      <c r="H54" s="97">
        <v>1</v>
      </c>
      <c r="I54" s="99">
        <v>0</v>
      </c>
      <c r="J54" s="114">
        <v>0</v>
      </c>
      <c r="K54" s="91">
        <v>0</v>
      </c>
      <c r="L54" s="92">
        <v>0</v>
      </c>
    </row>
    <row r="55" spans="2:12" x14ac:dyDescent="0.2">
      <c r="B55" s="50"/>
      <c r="C55" s="18"/>
      <c r="D55" s="54" t="s">
        <v>14</v>
      </c>
      <c r="E55" s="101">
        <v>0</v>
      </c>
      <c r="F55" s="100">
        <v>0</v>
      </c>
      <c r="G55" s="98">
        <v>25</v>
      </c>
      <c r="H55" s="98">
        <v>25</v>
      </c>
      <c r="I55" s="101">
        <v>42</v>
      </c>
      <c r="J55" s="100">
        <v>63</v>
      </c>
      <c r="K55" s="96">
        <v>13</v>
      </c>
      <c r="L55" s="95">
        <v>51</v>
      </c>
    </row>
    <row r="56" spans="2:12" x14ac:dyDescent="0.2">
      <c r="B56" s="50"/>
      <c r="C56" s="13" t="s">
        <v>11</v>
      </c>
      <c r="D56" s="55"/>
      <c r="E56" s="99"/>
      <c r="F56" s="114"/>
      <c r="G56" s="97"/>
      <c r="H56" s="97"/>
      <c r="I56" s="99"/>
      <c r="J56" s="114"/>
      <c r="K56" s="91"/>
      <c r="L56" s="92"/>
    </row>
    <row r="57" spans="2:12" x14ac:dyDescent="0.2">
      <c r="B57" s="50"/>
      <c r="C57" s="13"/>
      <c r="D57" s="53" t="s">
        <v>26</v>
      </c>
      <c r="E57" s="99">
        <v>0</v>
      </c>
      <c r="F57" s="114">
        <v>0</v>
      </c>
      <c r="G57" s="97">
        <v>0</v>
      </c>
      <c r="H57" s="97">
        <v>0</v>
      </c>
      <c r="I57" s="99">
        <v>0</v>
      </c>
      <c r="J57" s="114">
        <v>0</v>
      </c>
      <c r="K57" s="91">
        <v>0</v>
      </c>
      <c r="L57" s="92">
        <v>0</v>
      </c>
    </row>
    <row r="58" spans="2:12" x14ac:dyDescent="0.2">
      <c r="B58" s="50"/>
      <c r="C58" s="13"/>
      <c r="D58" s="53" t="s">
        <v>27</v>
      </c>
      <c r="E58" s="99">
        <v>13</v>
      </c>
      <c r="F58" s="114">
        <v>12</v>
      </c>
      <c r="G58" s="97">
        <v>11</v>
      </c>
      <c r="H58" s="97">
        <v>23</v>
      </c>
      <c r="I58" s="99">
        <v>0</v>
      </c>
      <c r="J58" s="114">
        <v>2</v>
      </c>
      <c r="K58" s="91">
        <v>0</v>
      </c>
      <c r="L58" s="92">
        <v>0</v>
      </c>
    </row>
    <row r="59" spans="2:12" x14ac:dyDescent="0.2">
      <c r="B59" s="50"/>
      <c r="C59" s="13"/>
      <c r="D59" s="53" t="s">
        <v>28</v>
      </c>
      <c r="E59" s="99">
        <v>0</v>
      </c>
      <c r="F59" s="114">
        <v>0</v>
      </c>
      <c r="G59" s="97">
        <v>0</v>
      </c>
      <c r="H59" s="97">
        <v>0</v>
      </c>
      <c r="I59" s="99">
        <v>0</v>
      </c>
      <c r="J59" s="114">
        <v>0</v>
      </c>
      <c r="K59" s="91">
        <v>0</v>
      </c>
      <c r="L59" s="92">
        <v>0</v>
      </c>
    </row>
    <row r="60" spans="2:12" x14ac:dyDescent="0.2">
      <c r="B60" s="50"/>
      <c r="C60" s="18"/>
      <c r="D60" s="56" t="s">
        <v>30</v>
      </c>
      <c r="E60" s="101">
        <v>13</v>
      </c>
      <c r="F60" s="100">
        <v>12</v>
      </c>
      <c r="G60" s="98">
        <v>11</v>
      </c>
      <c r="H60" s="98">
        <v>23</v>
      </c>
      <c r="I60" s="101">
        <v>0</v>
      </c>
      <c r="J60" s="100">
        <v>2</v>
      </c>
      <c r="K60" s="96">
        <v>0</v>
      </c>
      <c r="L60" s="95">
        <v>0</v>
      </c>
    </row>
    <row r="61" spans="2:12" x14ac:dyDescent="0.2">
      <c r="B61" s="50"/>
      <c r="C61" s="13" t="s">
        <v>7</v>
      </c>
      <c r="D61" s="55"/>
      <c r="E61" s="99"/>
      <c r="F61" s="114"/>
      <c r="G61" s="97"/>
      <c r="H61" s="97"/>
      <c r="I61" s="99"/>
      <c r="J61" s="114"/>
      <c r="K61" s="91"/>
      <c r="L61" s="92"/>
    </row>
    <row r="62" spans="2:12" x14ac:dyDescent="0.2">
      <c r="B62" s="50"/>
      <c r="C62" s="13"/>
      <c r="D62" s="53" t="s">
        <v>26</v>
      </c>
      <c r="E62" s="99"/>
      <c r="F62" s="114"/>
      <c r="G62" s="97"/>
      <c r="H62" s="97"/>
      <c r="I62" s="99"/>
      <c r="J62" s="114"/>
      <c r="K62" s="91"/>
      <c r="L62" s="92"/>
    </row>
    <row r="63" spans="2:12" x14ac:dyDescent="0.2">
      <c r="B63" s="50"/>
      <c r="C63" s="13"/>
      <c r="D63" s="53" t="s">
        <v>27</v>
      </c>
      <c r="E63" s="99">
        <v>0</v>
      </c>
      <c r="F63" s="114">
        <v>0</v>
      </c>
      <c r="G63" s="97">
        <v>0</v>
      </c>
      <c r="H63" s="97">
        <v>0</v>
      </c>
      <c r="I63" s="99">
        <v>6</v>
      </c>
      <c r="J63" s="114">
        <v>6</v>
      </c>
      <c r="K63" s="91">
        <v>0</v>
      </c>
      <c r="L63" s="92">
        <v>0</v>
      </c>
    </row>
    <row r="64" spans="2:12" x14ac:dyDescent="0.2">
      <c r="B64" s="50"/>
      <c r="C64" s="13"/>
      <c r="D64" s="53" t="s">
        <v>28</v>
      </c>
      <c r="E64" s="99">
        <v>0</v>
      </c>
      <c r="F64" s="114">
        <v>0</v>
      </c>
      <c r="G64" s="97">
        <v>0</v>
      </c>
      <c r="H64" s="97">
        <v>0</v>
      </c>
      <c r="I64" s="99">
        <v>0</v>
      </c>
      <c r="J64" s="114">
        <v>0</v>
      </c>
      <c r="K64" s="91">
        <v>0</v>
      </c>
      <c r="L64" s="92">
        <v>3</v>
      </c>
    </row>
    <row r="65" spans="2:12" x14ac:dyDescent="0.2">
      <c r="B65" s="50"/>
      <c r="C65" s="18"/>
      <c r="D65" s="56" t="s">
        <v>15</v>
      </c>
      <c r="E65" s="101">
        <v>0</v>
      </c>
      <c r="F65" s="100">
        <v>0</v>
      </c>
      <c r="G65" s="98">
        <v>0</v>
      </c>
      <c r="H65" s="98">
        <v>0</v>
      </c>
      <c r="I65" s="101">
        <v>6</v>
      </c>
      <c r="J65" s="100">
        <v>6</v>
      </c>
      <c r="K65" s="96">
        <v>0</v>
      </c>
      <c r="L65" s="95">
        <v>3</v>
      </c>
    </row>
    <row r="66" spans="2:12" x14ac:dyDescent="0.2">
      <c r="B66" s="5611" t="s">
        <v>10</v>
      </c>
      <c r="C66" s="5612"/>
      <c r="D66" s="53"/>
      <c r="E66" s="99"/>
      <c r="F66" s="114"/>
      <c r="G66" s="97"/>
      <c r="H66" s="97"/>
      <c r="I66" s="99"/>
      <c r="J66" s="114"/>
      <c r="K66" s="91"/>
      <c r="L66" s="92"/>
    </row>
    <row r="67" spans="2:12" x14ac:dyDescent="0.2">
      <c r="B67" s="50"/>
      <c r="C67" s="13"/>
      <c r="D67" s="53" t="s">
        <v>26</v>
      </c>
      <c r="E67" s="99">
        <v>0</v>
      </c>
      <c r="F67" s="114">
        <v>0</v>
      </c>
      <c r="G67" s="97">
        <v>0</v>
      </c>
      <c r="H67" s="97">
        <v>0</v>
      </c>
      <c r="I67" s="99">
        <v>0</v>
      </c>
      <c r="J67" s="114">
        <v>0</v>
      </c>
      <c r="K67" s="91">
        <v>0</v>
      </c>
      <c r="L67" s="92">
        <v>0</v>
      </c>
    </row>
    <row r="68" spans="2:12" x14ac:dyDescent="0.2">
      <c r="B68" s="50"/>
      <c r="C68" s="13"/>
      <c r="D68" s="53" t="s">
        <v>27</v>
      </c>
      <c r="E68" s="99">
        <v>13</v>
      </c>
      <c r="F68" s="114">
        <v>12</v>
      </c>
      <c r="G68" s="97">
        <v>35</v>
      </c>
      <c r="H68" s="97">
        <v>47</v>
      </c>
      <c r="I68" s="99">
        <v>48</v>
      </c>
      <c r="J68" s="114">
        <v>71</v>
      </c>
      <c r="K68" s="91">
        <v>13</v>
      </c>
      <c r="L68" s="92">
        <v>51</v>
      </c>
    </row>
    <row r="69" spans="2:12" x14ac:dyDescent="0.2">
      <c r="B69" s="50"/>
      <c r="C69" s="13"/>
      <c r="D69" s="53" t="s">
        <v>28</v>
      </c>
      <c r="E69" s="99">
        <v>0</v>
      </c>
      <c r="F69" s="114">
        <v>0</v>
      </c>
      <c r="G69" s="97">
        <v>1</v>
      </c>
      <c r="H69" s="97">
        <v>1</v>
      </c>
      <c r="I69" s="99">
        <v>0</v>
      </c>
      <c r="J69" s="114">
        <v>0</v>
      </c>
      <c r="K69" s="129">
        <v>0</v>
      </c>
      <c r="L69" s="130">
        <v>3</v>
      </c>
    </row>
    <row r="70" spans="2:12" ht="15" x14ac:dyDescent="0.2">
      <c r="B70" s="6137" t="s">
        <v>32</v>
      </c>
      <c r="C70" s="6138"/>
      <c r="D70" s="6139"/>
      <c r="E70" s="105">
        <v>13</v>
      </c>
      <c r="F70" s="106">
        <v>12</v>
      </c>
      <c r="G70" s="104">
        <v>36</v>
      </c>
      <c r="H70" s="104">
        <v>48</v>
      </c>
      <c r="I70" s="105">
        <v>48</v>
      </c>
      <c r="J70" s="106">
        <v>71</v>
      </c>
      <c r="K70" s="93">
        <v>13</v>
      </c>
      <c r="L70" s="94">
        <v>54</v>
      </c>
    </row>
    <row r="71" spans="2:12" x14ac:dyDescent="0.2">
      <c r="B71" s="50"/>
      <c r="C71" s="18"/>
      <c r="D71" s="53"/>
      <c r="E71" s="99"/>
      <c r="F71" s="114"/>
      <c r="G71" s="97"/>
      <c r="H71" s="97"/>
      <c r="I71" s="99"/>
      <c r="J71" s="114"/>
      <c r="K71" s="131"/>
      <c r="L71" s="132"/>
    </row>
    <row r="72" spans="2:12" x14ac:dyDescent="0.2">
      <c r="B72" s="5611" t="s">
        <v>60</v>
      </c>
      <c r="C72" s="5612"/>
      <c r="D72" s="53" t="s">
        <v>26</v>
      </c>
      <c r="E72" s="99">
        <v>0</v>
      </c>
      <c r="F72" s="114">
        <v>0</v>
      </c>
      <c r="G72" s="97">
        <v>0</v>
      </c>
      <c r="H72" s="97">
        <v>0</v>
      </c>
      <c r="I72" s="99">
        <v>0</v>
      </c>
      <c r="J72" s="114">
        <v>0</v>
      </c>
      <c r="K72" s="91">
        <v>0</v>
      </c>
      <c r="L72" s="92">
        <v>0</v>
      </c>
    </row>
    <row r="73" spans="2:12" x14ac:dyDescent="0.2">
      <c r="B73" s="52"/>
      <c r="C73" s="13"/>
      <c r="D73" s="53" t="s">
        <v>27</v>
      </c>
      <c r="E73" s="99">
        <v>20</v>
      </c>
      <c r="F73" s="114">
        <v>19</v>
      </c>
      <c r="G73" s="97">
        <v>38</v>
      </c>
      <c r="H73" s="97">
        <v>53</v>
      </c>
      <c r="I73" s="99">
        <v>130</v>
      </c>
      <c r="J73" s="114">
        <v>152</v>
      </c>
      <c r="K73" s="91">
        <v>13</v>
      </c>
      <c r="L73" s="92">
        <v>110</v>
      </c>
    </row>
    <row r="74" spans="2:12" x14ac:dyDescent="0.2">
      <c r="B74" s="52"/>
      <c r="C74" s="13"/>
      <c r="D74" s="53" t="s">
        <v>28</v>
      </c>
      <c r="E74" s="99">
        <v>0</v>
      </c>
      <c r="F74" s="114">
        <v>0</v>
      </c>
      <c r="G74" s="97">
        <v>3</v>
      </c>
      <c r="H74" s="97">
        <v>3</v>
      </c>
      <c r="I74" s="99">
        <v>17</v>
      </c>
      <c r="J74" s="114">
        <v>17</v>
      </c>
      <c r="K74" s="129">
        <v>0</v>
      </c>
      <c r="L74" s="130">
        <v>17</v>
      </c>
    </row>
    <row r="75" spans="2:12" ht="15" x14ac:dyDescent="0.2">
      <c r="B75" s="6144" t="s">
        <v>76</v>
      </c>
      <c r="C75" s="6145"/>
      <c r="D75" s="6146"/>
      <c r="E75" s="108">
        <v>20</v>
      </c>
      <c r="F75" s="109">
        <v>19</v>
      </c>
      <c r="G75" s="107">
        <v>41</v>
      </c>
      <c r="H75" s="107">
        <v>56</v>
      </c>
      <c r="I75" s="108">
        <v>147</v>
      </c>
      <c r="J75" s="109">
        <v>169</v>
      </c>
      <c r="K75" s="126">
        <v>13</v>
      </c>
      <c r="L75" s="127">
        <v>127</v>
      </c>
    </row>
    <row r="76" spans="2:12" x14ac:dyDescent="0.2">
      <c r="B76" s="86" t="s">
        <v>131</v>
      </c>
    </row>
  </sheetData>
  <mergeCells count="18">
    <mergeCell ref="B49:D49"/>
    <mergeCell ref="K6:L6"/>
    <mergeCell ref="B75:D75"/>
    <mergeCell ref="B70:D70"/>
    <mergeCell ref="B45:C45"/>
    <mergeCell ref="B66:C66"/>
    <mergeCell ref="B72:C72"/>
    <mergeCell ref="B4:L4"/>
    <mergeCell ref="B3:L3"/>
    <mergeCell ref="B2:L2"/>
    <mergeCell ref="B28:D28"/>
    <mergeCell ref="I6:J6"/>
    <mergeCell ref="B24:C24"/>
    <mergeCell ref="E6:F6"/>
    <mergeCell ref="G6:H6"/>
    <mergeCell ref="B6:B7"/>
    <mergeCell ref="C6:C7"/>
    <mergeCell ref="D6:D7"/>
  </mergeCells>
  <phoneticPr fontId="69" type="noConversion"/>
  <printOptions horizontalCentered="1" verticalCentered="1"/>
  <pageMargins left="0.39370078740157483" right="0.39370078740157483" top="0.55118110236220474" bottom="0.59055118110236227" header="0" footer="0.31496062992125984"/>
  <pageSetup scale="50" orientation="landscape" horizontalDpi="1200" verticalDpi="1200" r:id="rId1"/>
  <headerFooter alignWithMargins="0">
    <oddHeader>&amp;LANEXO ESTADÍSTICO 2008&amp;CBECAS&amp;R&amp;G</oddHeader>
    <oddFooter>&amp;R65</oddFooter>
  </headerFooter>
  <legacyDrawingHF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B1:N75"/>
  <sheetViews>
    <sheetView zoomScaleNormal="100" zoomScaleSheetLayoutView="75" workbookViewId="0">
      <selection activeCell="E29" sqref="E29"/>
    </sheetView>
  </sheetViews>
  <sheetFormatPr baseColWidth="10" defaultRowHeight="12.75" x14ac:dyDescent="0.2"/>
  <cols>
    <col min="1" max="1" width="1.5703125" style="1" customWidth="1"/>
    <col min="2" max="2" width="17.7109375" style="1" bestFit="1" customWidth="1"/>
    <col min="3" max="3" width="14.42578125" style="1" customWidth="1"/>
    <col min="4" max="4" width="29" style="1" customWidth="1"/>
    <col min="5" max="14" width="9.7109375" style="1" customWidth="1"/>
    <col min="15" max="15" width="4" style="1" customWidth="1"/>
    <col min="16" max="16384" width="11.42578125" style="1"/>
  </cols>
  <sheetData>
    <row r="1" spans="2:14" ht="15.75" x14ac:dyDescent="0.2"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</row>
    <row r="2" spans="2:14" ht="15.75" x14ac:dyDescent="0.2">
      <c r="B2" s="6136" t="s">
        <v>39</v>
      </c>
      <c r="C2" s="6136"/>
      <c r="D2" s="6136"/>
      <c r="E2" s="6136"/>
      <c r="F2" s="6136"/>
      <c r="G2" s="6136"/>
      <c r="H2" s="6136"/>
      <c r="I2" s="6136"/>
      <c r="J2" s="6136"/>
      <c r="K2" s="6136"/>
      <c r="L2" s="6136"/>
      <c r="M2" s="6136"/>
      <c r="N2" s="6136"/>
    </row>
    <row r="3" spans="2:14" ht="15.75" x14ac:dyDescent="0.2">
      <c r="B3" s="6136" t="s">
        <v>147</v>
      </c>
      <c r="C3" s="6136"/>
      <c r="D3" s="6136"/>
      <c r="E3" s="6136"/>
      <c r="F3" s="6136"/>
      <c r="G3" s="6136"/>
      <c r="H3" s="6136"/>
      <c r="I3" s="6136"/>
      <c r="J3" s="6136"/>
      <c r="K3" s="6136"/>
      <c r="L3" s="6136"/>
      <c r="M3" s="6136"/>
      <c r="N3" s="6136"/>
    </row>
    <row r="4" spans="2:14" ht="15.75" x14ac:dyDescent="0.2"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</row>
    <row r="5" spans="2:14" ht="15.75" x14ac:dyDescent="0.2">
      <c r="B5" s="6143" t="s">
        <v>16</v>
      </c>
      <c r="C5" s="6143" t="s">
        <v>4</v>
      </c>
      <c r="D5" s="6143" t="s">
        <v>25</v>
      </c>
      <c r="E5" s="6150">
        <v>2004</v>
      </c>
      <c r="F5" s="6152"/>
      <c r="G5" s="6150">
        <v>2005</v>
      </c>
      <c r="H5" s="6152"/>
      <c r="I5" s="6150">
        <v>2006</v>
      </c>
      <c r="J5" s="6151"/>
      <c r="K5" s="6150">
        <v>2007</v>
      </c>
      <c r="L5" s="6151"/>
      <c r="M5" s="6150">
        <v>2008</v>
      </c>
      <c r="N5" s="6151"/>
    </row>
    <row r="6" spans="2:14" x14ac:dyDescent="0.2">
      <c r="B6" s="6143"/>
      <c r="C6" s="6143"/>
      <c r="D6" s="6143"/>
      <c r="E6" s="11" t="s">
        <v>35</v>
      </c>
      <c r="F6" s="11" t="s">
        <v>36</v>
      </c>
      <c r="G6" s="11" t="s">
        <v>35</v>
      </c>
      <c r="H6" s="11" t="s">
        <v>36</v>
      </c>
      <c r="I6" s="11" t="s">
        <v>35</v>
      </c>
      <c r="J6" s="11" t="s">
        <v>36</v>
      </c>
      <c r="K6" s="11" t="s">
        <v>35</v>
      </c>
      <c r="L6" s="21" t="s">
        <v>36</v>
      </c>
      <c r="M6" s="11" t="s">
        <v>35</v>
      </c>
      <c r="N6" s="21" t="s">
        <v>36</v>
      </c>
    </row>
    <row r="7" spans="2:14" x14ac:dyDescent="0.2">
      <c r="B7" s="57"/>
      <c r="C7" s="12"/>
      <c r="D7" s="58"/>
      <c r="E7" s="84"/>
      <c r="F7" s="84"/>
      <c r="G7" s="69"/>
      <c r="H7" s="70"/>
      <c r="I7" s="69"/>
      <c r="J7" s="81"/>
      <c r="K7" s="70"/>
      <c r="L7" s="81"/>
      <c r="M7" s="69"/>
      <c r="N7" s="81"/>
    </row>
    <row r="8" spans="2:14" x14ac:dyDescent="0.2">
      <c r="B8" s="50"/>
      <c r="C8" s="13" t="s">
        <v>5</v>
      </c>
      <c r="D8" s="59"/>
      <c r="E8" s="64"/>
      <c r="F8" s="64"/>
      <c r="G8" s="62"/>
      <c r="H8" s="26"/>
      <c r="I8" s="62"/>
      <c r="J8" s="82"/>
      <c r="K8" s="26"/>
      <c r="L8" s="82"/>
      <c r="M8" s="62"/>
      <c r="N8" s="82"/>
    </row>
    <row r="9" spans="2:14" x14ac:dyDescent="0.2">
      <c r="B9" s="52"/>
      <c r="C9" s="13"/>
      <c r="D9" s="53" t="s">
        <v>26</v>
      </c>
      <c r="E9" s="97">
        <v>0</v>
      </c>
      <c r="F9" s="97">
        <v>0</v>
      </c>
      <c r="G9" s="99">
        <v>0</v>
      </c>
      <c r="H9" s="97">
        <v>0</v>
      </c>
      <c r="I9" s="99">
        <v>0</v>
      </c>
      <c r="J9" s="114">
        <v>0</v>
      </c>
      <c r="K9" s="97">
        <v>0</v>
      </c>
      <c r="L9" s="114">
        <v>0</v>
      </c>
      <c r="M9" s="91">
        <v>0</v>
      </c>
      <c r="N9" s="92">
        <v>0</v>
      </c>
    </row>
    <row r="10" spans="2:14" x14ac:dyDescent="0.2">
      <c r="B10" s="52"/>
      <c r="C10" s="13"/>
      <c r="D10" s="53" t="s">
        <v>27</v>
      </c>
      <c r="E10" s="97">
        <v>4</v>
      </c>
      <c r="F10" s="97">
        <v>4</v>
      </c>
      <c r="G10" s="99">
        <v>10</v>
      </c>
      <c r="H10" s="97">
        <v>14</v>
      </c>
      <c r="I10" s="99">
        <v>12</v>
      </c>
      <c r="J10" s="114">
        <v>19</v>
      </c>
      <c r="K10" s="97">
        <v>0</v>
      </c>
      <c r="L10" s="114">
        <v>6</v>
      </c>
      <c r="M10" s="91">
        <v>1</v>
      </c>
      <c r="N10" s="92">
        <v>1</v>
      </c>
    </row>
    <row r="11" spans="2:14" x14ac:dyDescent="0.2">
      <c r="B11" s="50"/>
      <c r="C11" s="18"/>
      <c r="D11" s="53" t="s">
        <v>28</v>
      </c>
      <c r="E11" s="97">
        <v>1</v>
      </c>
      <c r="F11" s="97">
        <v>1</v>
      </c>
      <c r="G11" s="99">
        <v>0</v>
      </c>
      <c r="H11" s="97">
        <v>1</v>
      </c>
      <c r="I11" s="99">
        <v>1</v>
      </c>
      <c r="J11" s="114">
        <v>1</v>
      </c>
      <c r="K11" s="97">
        <v>0</v>
      </c>
      <c r="L11" s="114">
        <v>1</v>
      </c>
      <c r="M11" s="91">
        <v>0</v>
      </c>
      <c r="N11" s="92">
        <v>0</v>
      </c>
    </row>
    <row r="12" spans="2:14" x14ac:dyDescent="0.2">
      <c r="B12" s="50"/>
      <c r="C12" s="18"/>
      <c r="D12" s="54" t="s">
        <v>13</v>
      </c>
      <c r="E12" s="98">
        <v>5</v>
      </c>
      <c r="F12" s="98">
        <v>5</v>
      </c>
      <c r="G12" s="101">
        <v>10</v>
      </c>
      <c r="H12" s="98">
        <v>15</v>
      </c>
      <c r="I12" s="101">
        <v>13</v>
      </c>
      <c r="J12" s="100">
        <v>20</v>
      </c>
      <c r="K12" s="98">
        <v>0</v>
      </c>
      <c r="L12" s="100">
        <v>7</v>
      </c>
      <c r="M12" s="96">
        <v>1</v>
      </c>
      <c r="N12" s="95">
        <v>1</v>
      </c>
    </row>
    <row r="13" spans="2:14" x14ac:dyDescent="0.2">
      <c r="B13" s="52"/>
      <c r="C13" s="13" t="s">
        <v>6</v>
      </c>
      <c r="D13" s="55"/>
      <c r="E13" s="102"/>
      <c r="F13" s="102"/>
      <c r="G13" s="103"/>
      <c r="H13" s="102"/>
      <c r="I13" s="103"/>
      <c r="J13" s="113"/>
      <c r="K13" s="102"/>
      <c r="L13" s="113"/>
      <c r="M13" s="91"/>
      <c r="N13" s="92"/>
    </row>
    <row r="14" spans="2:14" x14ac:dyDescent="0.2">
      <c r="B14" s="52"/>
      <c r="C14" s="13"/>
      <c r="D14" s="53" t="s">
        <v>26</v>
      </c>
      <c r="E14" s="97">
        <v>0</v>
      </c>
      <c r="F14" s="97">
        <v>0</v>
      </c>
      <c r="G14" s="99">
        <v>0</v>
      </c>
      <c r="H14" s="97">
        <v>0</v>
      </c>
      <c r="I14" s="99">
        <v>0</v>
      </c>
      <c r="J14" s="114">
        <v>0</v>
      </c>
      <c r="K14" s="97">
        <v>0</v>
      </c>
      <c r="L14" s="114">
        <v>0</v>
      </c>
      <c r="M14" s="91">
        <v>0</v>
      </c>
      <c r="N14" s="92">
        <v>0</v>
      </c>
    </row>
    <row r="15" spans="2:14" x14ac:dyDescent="0.2">
      <c r="B15" s="52"/>
      <c r="C15" s="13"/>
      <c r="D15" s="53" t="s">
        <v>27</v>
      </c>
      <c r="E15" s="97">
        <v>3</v>
      </c>
      <c r="F15" s="97">
        <v>3</v>
      </c>
      <c r="G15" s="99">
        <v>0</v>
      </c>
      <c r="H15" s="97">
        <v>3</v>
      </c>
      <c r="I15" s="99">
        <v>0</v>
      </c>
      <c r="J15" s="114">
        <v>0</v>
      </c>
      <c r="K15" s="97">
        <v>0</v>
      </c>
      <c r="L15" s="114">
        <v>0</v>
      </c>
      <c r="M15" s="91">
        <v>0</v>
      </c>
      <c r="N15" s="92">
        <v>0</v>
      </c>
    </row>
    <row r="16" spans="2:14" x14ac:dyDescent="0.2">
      <c r="B16" s="52"/>
      <c r="C16" s="13"/>
      <c r="D16" s="53" t="s">
        <v>28</v>
      </c>
      <c r="E16" s="97">
        <v>0</v>
      </c>
      <c r="F16" s="97">
        <v>0</v>
      </c>
      <c r="G16" s="99">
        <v>0</v>
      </c>
      <c r="H16" s="97">
        <v>0</v>
      </c>
      <c r="I16" s="99">
        <v>0</v>
      </c>
      <c r="J16" s="114">
        <v>0</v>
      </c>
      <c r="K16" s="97">
        <v>0</v>
      </c>
      <c r="L16" s="114">
        <v>0</v>
      </c>
      <c r="M16" s="91">
        <v>0</v>
      </c>
      <c r="N16" s="92">
        <v>0</v>
      </c>
    </row>
    <row r="17" spans="2:14" x14ac:dyDescent="0.2">
      <c r="B17" s="50"/>
      <c r="C17" s="18"/>
      <c r="D17" s="56" t="s">
        <v>14</v>
      </c>
      <c r="E17" s="98">
        <v>3</v>
      </c>
      <c r="F17" s="98">
        <v>3</v>
      </c>
      <c r="G17" s="101">
        <v>0</v>
      </c>
      <c r="H17" s="98">
        <v>3</v>
      </c>
      <c r="I17" s="101">
        <v>0</v>
      </c>
      <c r="J17" s="100">
        <v>0</v>
      </c>
      <c r="K17" s="98">
        <v>0</v>
      </c>
      <c r="L17" s="100">
        <v>0</v>
      </c>
      <c r="M17" s="96">
        <v>0</v>
      </c>
      <c r="N17" s="95">
        <v>0</v>
      </c>
    </row>
    <row r="18" spans="2:14" x14ac:dyDescent="0.2">
      <c r="B18" s="52"/>
      <c r="C18" s="13" t="s">
        <v>7</v>
      </c>
      <c r="D18" s="55"/>
      <c r="E18" s="102"/>
      <c r="F18" s="102"/>
      <c r="G18" s="103"/>
      <c r="H18" s="102"/>
      <c r="I18" s="103"/>
      <c r="J18" s="113"/>
      <c r="K18" s="102"/>
      <c r="L18" s="113"/>
      <c r="M18" s="91"/>
      <c r="N18" s="92"/>
    </row>
    <row r="19" spans="2:14" x14ac:dyDescent="0.2">
      <c r="B19" s="52"/>
      <c r="C19" s="13"/>
      <c r="D19" s="53" t="s">
        <v>26</v>
      </c>
      <c r="E19" s="97">
        <v>0</v>
      </c>
      <c r="F19" s="97">
        <v>0</v>
      </c>
      <c r="G19" s="99">
        <v>0</v>
      </c>
      <c r="H19" s="97">
        <v>0</v>
      </c>
      <c r="I19" s="99">
        <v>0</v>
      </c>
      <c r="J19" s="114">
        <v>0</v>
      </c>
      <c r="K19" s="97">
        <v>0</v>
      </c>
      <c r="L19" s="114">
        <v>0</v>
      </c>
      <c r="M19" s="91">
        <v>0</v>
      </c>
      <c r="N19" s="92">
        <v>0</v>
      </c>
    </row>
    <row r="20" spans="2:14" x14ac:dyDescent="0.2">
      <c r="B20" s="52"/>
      <c r="C20" s="13"/>
      <c r="D20" s="53" t="s">
        <v>27</v>
      </c>
      <c r="E20" s="97">
        <v>1</v>
      </c>
      <c r="F20" s="97">
        <v>1</v>
      </c>
      <c r="G20" s="99">
        <v>2</v>
      </c>
      <c r="H20" s="97">
        <v>2</v>
      </c>
      <c r="I20" s="99">
        <v>1</v>
      </c>
      <c r="J20" s="114">
        <v>3</v>
      </c>
      <c r="K20" s="97">
        <v>0</v>
      </c>
      <c r="L20" s="114">
        <v>0</v>
      </c>
      <c r="M20" s="91">
        <v>2</v>
      </c>
      <c r="N20" s="92">
        <v>2</v>
      </c>
    </row>
    <row r="21" spans="2:14" x14ac:dyDescent="0.2">
      <c r="B21" s="52"/>
      <c r="C21" s="13"/>
      <c r="D21" s="53" t="s">
        <v>28</v>
      </c>
      <c r="E21" s="97">
        <v>0</v>
      </c>
      <c r="F21" s="97">
        <v>0</v>
      </c>
      <c r="G21" s="99">
        <v>0</v>
      </c>
      <c r="H21" s="97">
        <v>0</v>
      </c>
      <c r="I21" s="99">
        <v>0</v>
      </c>
      <c r="J21" s="114">
        <v>0</v>
      </c>
      <c r="K21" s="97">
        <v>0</v>
      </c>
      <c r="L21" s="114">
        <v>0</v>
      </c>
      <c r="M21" s="91">
        <v>0</v>
      </c>
      <c r="N21" s="92">
        <v>0</v>
      </c>
    </row>
    <row r="22" spans="2:14" x14ac:dyDescent="0.2">
      <c r="B22" s="50"/>
      <c r="C22" s="18"/>
      <c r="D22" s="56" t="s">
        <v>15</v>
      </c>
      <c r="E22" s="98">
        <v>1</v>
      </c>
      <c r="F22" s="98">
        <v>1</v>
      </c>
      <c r="G22" s="101">
        <v>2</v>
      </c>
      <c r="H22" s="98">
        <v>2</v>
      </c>
      <c r="I22" s="101">
        <v>1</v>
      </c>
      <c r="J22" s="100">
        <v>3</v>
      </c>
      <c r="K22" s="98">
        <v>0</v>
      </c>
      <c r="L22" s="100">
        <v>0</v>
      </c>
      <c r="M22" s="96">
        <v>2</v>
      </c>
      <c r="N22" s="95">
        <v>2</v>
      </c>
    </row>
    <row r="23" spans="2:14" x14ac:dyDescent="0.2">
      <c r="B23" s="5611" t="s">
        <v>3</v>
      </c>
      <c r="C23" s="5612"/>
      <c r="D23" s="53"/>
      <c r="E23" s="102"/>
      <c r="F23" s="102"/>
      <c r="G23" s="103"/>
      <c r="H23" s="102"/>
      <c r="I23" s="103"/>
      <c r="J23" s="113"/>
      <c r="K23" s="102"/>
      <c r="L23" s="113"/>
      <c r="M23" s="91"/>
      <c r="N23" s="92"/>
    </row>
    <row r="24" spans="2:14" x14ac:dyDescent="0.2">
      <c r="B24" s="52"/>
      <c r="C24" s="13"/>
      <c r="D24" s="53" t="s">
        <v>26</v>
      </c>
      <c r="E24" s="97">
        <v>0</v>
      </c>
      <c r="F24" s="97">
        <v>0</v>
      </c>
      <c r="G24" s="99">
        <v>0</v>
      </c>
      <c r="H24" s="97">
        <v>0</v>
      </c>
      <c r="I24" s="99">
        <v>0</v>
      </c>
      <c r="J24" s="114">
        <v>0</v>
      </c>
      <c r="K24" s="97">
        <v>0</v>
      </c>
      <c r="L24" s="114">
        <v>0</v>
      </c>
      <c r="M24" s="91">
        <v>0</v>
      </c>
      <c r="N24" s="92">
        <v>0</v>
      </c>
    </row>
    <row r="25" spans="2:14" x14ac:dyDescent="0.2">
      <c r="B25" s="52"/>
      <c r="C25" s="13"/>
      <c r="D25" s="53" t="s">
        <v>27</v>
      </c>
      <c r="E25" s="97">
        <v>8</v>
      </c>
      <c r="F25" s="97">
        <v>8</v>
      </c>
      <c r="G25" s="99">
        <v>12</v>
      </c>
      <c r="H25" s="97">
        <v>19</v>
      </c>
      <c r="I25" s="99">
        <v>13</v>
      </c>
      <c r="J25" s="114">
        <v>22</v>
      </c>
      <c r="K25" s="97">
        <v>0</v>
      </c>
      <c r="L25" s="114">
        <v>6</v>
      </c>
      <c r="M25" s="91">
        <v>3</v>
      </c>
      <c r="N25" s="92">
        <v>3</v>
      </c>
    </row>
    <row r="26" spans="2:14" x14ac:dyDescent="0.2">
      <c r="B26" s="52"/>
      <c r="C26" s="13"/>
      <c r="D26" s="53" t="s">
        <v>28</v>
      </c>
      <c r="E26" s="97">
        <v>1</v>
      </c>
      <c r="F26" s="97">
        <v>1</v>
      </c>
      <c r="G26" s="99">
        <v>0</v>
      </c>
      <c r="H26" s="97">
        <v>1</v>
      </c>
      <c r="I26" s="99">
        <v>1</v>
      </c>
      <c r="J26" s="114">
        <v>1</v>
      </c>
      <c r="K26" s="97">
        <v>0</v>
      </c>
      <c r="L26" s="114">
        <v>1</v>
      </c>
      <c r="M26" s="129">
        <v>0</v>
      </c>
      <c r="N26" s="130">
        <v>0</v>
      </c>
    </row>
    <row r="27" spans="2:14" ht="15" x14ac:dyDescent="0.2">
      <c r="B27" s="6137" t="s">
        <v>29</v>
      </c>
      <c r="C27" s="6138"/>
      <c r="D27" s="6139"/>
      <c r="E27" s="104">
        <v>9</v>
      </c>
      <c r="F27" s="104">
        <v>9</v>
      </c>
      <c r="G27" s="105">
        <v>12</v>
      </c>
      <c r="H27" s="104">
        <v>20</v>
      </c>
      <c r="I27" s="105">
        <v>14</v>
      </c>
      <c r="J27" s="106">
        <v>23</v>
      </c>
      <c r="K27" s="104">
        <v>0</v>
      </c>
      <c r="L27" s="106">
        <v>7</v>
      </c>
      <c r="M27" s="93">
        <v>3</v>
      </c>
      <c r="N27" s="94">
        <v>3</v>
      </c>
    </row>
    <row r="28" spans="2:14" x14ac:dyDescent="0.2">
      <c r="B28" s="52"/>
      <c r="C28" s="13"/>
      <c r="D28" s="55"/>
      <c r="E28" s="102"/>
      <c r="F28" s="102"/>
      <c r="G28" s="115"/>
      <c r="H28" s="117"/>
      <c r="I28" s="115"/>
      <c r="J28" s="116"/>
      <c r="K28" s="117"/>
      <c r="L28" s="116"/>
      <c r="M28" s="131"/>
      <c r="N28" s="132"/>
    </row>
    <row r="29" spans="2:14" x14ac:dyDescent="0.2">
      <c r="B29" s="50"/>
      <c r="C29" s="13" t="s">
        <v>5</v>
      </c>
      <c r="D29" s="59"/>
      <c r="E29" s="97"/>
      <c r="F29" s="97"/>
      <c r="G29" s="103"/>
      <c r="H29" s="102"/>
      <c r="I29" s="103"/>
      <c r="J29" s="113"/>
      <c r="K29" s="102"/>
      <c r="L29" s="113"/>
      <c r="M29" s="91"/>
      <c r="N29" s="92"/>
    </row>
    <row r="30" spans="2:14" x14ac:dyDescent="0.2">
      <c r="B30" s="50"/>
      <c r="C30" s="13"/>
      <c r="D30" s="53" t="s">
        <v>26</v>
      </c>
      <c r="E30" s="97"/>
      <c r="F30" s="97"/>
      <c r="G30" s="103"/>
      <c r="H30" s="102"/>
      <c r="I30" s="103"/>
      <c r="J30" s="113"/>
      <c r="K30" s="102"/>
      <c r="L30" s="113"/>
      <c r="M30" s="91"/>
      <c r="N30" s="92"/>
    </row>
    <row r="31" spans="2:14" x14ac:dyDescent="0.2">
      <c r="B31" s="50"/>
      <c r="C31" s="13"/>
      <c r="D31" s="53" t="s">
        <v>27</v>
      </c>
      <c r="E31" s="97">
        <v>5</v>
      </c>
      <c r="F31" s="97">
        <v>5</v>
      </c>
      <c r="G31" s="99">
        <v>5</v>
      </c>
      <c r="H31" s="97">
        <v>10</v>
      </c>
      <c r="I31" s="99">
        <v>16</v>
      </c>
      <c r="J31" s="114">
        <v>17</v>
      </c>
      <c r="K31" s="97">
        <v>0</v>
      </c>
      <c r="L31" s="114">
        <v>8</v>
      </c>
      <c r="M31" s="91">
        <v>0</v>
      </c>
      <c r="N31" s="92">
        <v>0</v>
      </c>
    </row>
    <row r="32" spans="2:14" x14ac:dyDescent="0.2">
      <c r="B32" s="50"/>
      <c r="C32" s="18"/>
      <c r="D32" s="53" t="s">
        <v>28</v>
      </c>
      <c r="E32" s="97">
        <v>1</v>
      </c>
      <c r="F32" s="97">
        <v>1</v>
      </c>
      <c r="G32" s="99">
        <v>7</v>
      </c>
      <c r="H32" s="97">
        <v>7</v>
      </c>
      <c r="I32" s="99">
        <v>10</v>
      </c>
      <c r="J32" s="114">
        <v>15</v>
      </c>
      <c r="K32" s="97">
        <v>0</v>
      </c>
      <c r="L32" s="114">
        <v>7</v>
      </c>
      <c r="M32" s="91">
        <v>0</v>
      </c>
      <c r="N32" s="92">
        <v>0</v>
      </c>
    </row>
    <row r="33" spans="2:14" x14ac:dyDescent="0.2">
      <c r="B33" s="50"/>
      <c r="C33" s="18"/>
      <c r="D33" s="54" t="s">
        <v>13</v>
      </c>
      <c r="E33" s="98">
        <v>6</v>
      </c>
      <c r="F33" s="98">
        <v>6</v>
      </c>
      <c r="G33" s="101">
        <v>12</v>
      </c>
      <c r="H33" s="98">
        <v>17</v>
      </c>
      <c r="I33" s="101">
        <v>26</v>
      </c>
      <c r="J33" s="100">
        <v>32</v>
      </c>
      <c r="K33" s="98">
        <v>0</v>
      </c>
      <c r="L33" s="100">
        <v>15</v>
      </c>
      <c r="M33" s="96">
        <v>0</v>
      </c>
      <c r="N33" s="95">
        <v>0</v>
      </c>
    </row>
    <row r="34" spans="2:14" x14ac:dyDescent="0.2">
      <c r="B34" s="50"/>
      <c r="C34" s="13" t="s">
        <v>6</v>
      </c>
      <c r="D34" s="55"/>
      <c r="E34" s="97"/>
      <c r="F34" s="97"/>
      <c r="G34" s="99"/>
      <c r="H34" s="97"/>
      <c r="I34" s="99"/>
      <c r="J34" s="114"/>
      <c r="K34" s="97"/>
      <c r="L34" s="114"/>
      <c r="M34" s="91"/>
      <c r="N34" s="92"/>
    </row>
    <row r="35" spans="2:14" x14ac:dyDescent="0.2">
      <c r="B35" s="50"/>
      <c r="C35" s="13"/>
      <c r="D35" s="53" t="s">
        <v>26</v>
      </c>
      <c r="E35" s="97">
        <v>0</v>
      </c>
      <c r="F35" s="97">
        <v>0</v>
      </c>
      <c r="G35" s="99">
        <v>0</v>
      </c>
      <c r="H35" s="97">
        <v>0</v>
      </c>
      <c r="I35" s="99">
        <v>0</v>
      </c>
      <c r="J35" s="114">
        <v>0</v>
      </c>
      <c r="K35" s="97">
        <v>0</v>
      </c>
      <c r="L35" s="114">
        <v>0</v>
      </c>
      <c r="M35" s="91">
        <v>0</v>
      </c>
      <c r="N35" s="92">
        <v>0</v>
      </c>
    </row>
    <row r="36" spans="2:14" x14ac:dyDescent="0.2">
      <c r="B36" s="50"/>
      <c r="C36" s="13"/>
      <c r="D36" s="53" t="s">
        <v>27</v>
      </c>
      <c r="E36" s="97">
        <v>5</v>
      </c>
      <c r="F36" s="97">
        <v>5</v>
      </c>
      <c r="G36" s="99">
        <v>1</v>
      </c>
      <c r="H36" s="97">
        <v>2</v>
      </c>
      <c r="I36" s="99">
        <v>6</v>
      </c>
      <c r="J36" s="114">
        <v>7</v>
      </c>
      <c r="K36" s="97">
        <v>0</v>
      </c>
      <c r="L36" s="114">
        <v>6</v>
      </c>
      <c r="M36" s="91">
        <v>0</v>
      </c>
      <c r="N36" s="92">
        <v>0</v>
      </c>
    </row>
    <row r="37" spans="2:14" x14ac:dyDescent="0.2">
      <c r="B37" s="50"/>
      <c r="C37" s="13"/>
      <c r="D37" s="53" t="s">
        <v>28</v>
      </c>
      <c r="E37" s="97">
        <v>0</v>
      </c>
      <c r="F37" s="97">
        <v>0</v>
      </c>
      <c r="G37" s="99">
        <v>2</v>
      </c>
      <c r="H37" s="97">
        <v>6</v>
      </c>
      <c r="I37" s="99">
        <v>5</v>
      </c>
      <c r="J37" s="114">
        <v>5</v>
      </c>
      <c r="K37" s="97">
        <v>0</v>
      </c>
      <c r="L37" s="114">
        <v>4</v>
      </c>
      <c r="M37" s="91">
        <v>0</v>
      </c>
      <c r="N37" s="92">
        <v>0</v>
      </c>
    </row>
    <row r="38" spans="2:14" x14ac:dyDescent="0.2">
      <c r="B38" s="50"/>
      <c r="C38" s="18"/>
      <c r="D38" s="56" t="s">
        <v>14</v>
      </c>
      <c r="E38" s="98">
        <v>5</v>
      </c>
      <c r="F38" s="98">
        <v>5</v>
      </c>
      <c r="G38" s="101">
        <v>3</v>
      </c>
      <c r="H38" s="98">
        <v>8</v>
      </c>
      <c r="I38" s="101">
        <v>11</v>
      </c>
      <c r="J38" s="100">
        <v>12</v>
      </c>
      <c r="K38" s="98">
        <v>0</v>
      </c>
      <c r="L38" s="100">
        <v>10</v>
      </c>
      <c r="M38" s="96">
        <v>0</v>
      </c>
      <c r="N38" s="95">
        <v>0</v>
      </c>
    </row>
    <row r="39" spans="2:14" x14ac:dyDescent="0.2">
      <c r="B39" s="50"/>
      <c r="C39" s="13" t="s">
        <v>11</v>
      </c>
      <c r="D39" s="55"/>
      <c r="E39" s="97"/>
      <c r="F39" s="97"/>
      <c r="G39" s="99"/>
      <c r="H39" s="97"/>
      <c r="I39" s="99"/>
      <c r="J39" s="114"/>
      <c r="K39" s="97"/>
      <c r="L39" s="114"/>
      <c r="M39" s="91"/>
      <c r="N39" s="92"/>
    </row>
    <row r="40" spans="2:14" x14ac:dyDescent="0.2">
      <c r="B40" s="50"/>
      <c r="C40" s="13"/>
      <c r="D40" s="53" t="s">
        <v>26</v>
      </c>
      <c r="E40" s="97">
        <v>0</v>
      </c>
      <c r="F40" s="97">
        <v>0</v>
      </c>
      <c r="G40" s="99">
        <v>0</v>
      </c>
      <c r="H40" s="97">
        <v>0</v>
      </c>
      <c r="I40" s="99">
        <v>0</v>
      </c>
      <c r="J40" s="114">
        <v>0</v>
      </c>
      <c r="K40" s="97">
        <v>0</v>
      </c>
      <c r="L40" s="114">
        <v>0</v>
      </c>
      <c r="M40" s="91">
        <v>0</v>
      </c>
      <c r="N40" s="92">
        <v>0</v>
      </c>
    </row>
    <row r="41" spans="2:14" x14ac:dyDescent="0.2">
      <c r="B41" s="50"/>
      <c r="C41" s="13"/>
      <c r="D41" s="53" t="s">
        <v>27</v>
      </c>
      <c r="E41" s="97">
        <v>5</v>
      </c>
      <c r="F41" s="97">
        <v>5</v>
      </c>
      <c r="G41" s="99">
        <v>2</v>
      </c>
      <c r="H41" s="97">
        <v>3</v>
      </c>
      <c r="I41" s="99">
        <v>8</v>
      </c>
      <c r="J41" s="114">
        <v>8</v>
      </c>
      <c r="K41" s="97">
        <v>0</v>
      </c>
      <c r="L41" s="114">
        <v>0</v>
      </c>
      <c r="M41" s="91">
        <v>0</v>
      </c>
      <c r="N41" s="92">
        <v>0</v>
      </c>
    </row>
    <row r="42" spans="2:14" x14ac:dyDescent="0.2">
      <c r="B42" s="50"/>
      <c r="C42" s="13"/>
      <c r="D42" s="53" t="s">
        <v>28</v>
      </c>
      <c r="E42" s="97">
        <v>4</v>
      </c>
      <c r="F42" s="97">
        <v>1</v>
      </c>
      <c r="G42" s="99">
        <v>4</v>
      </c>
      <c r="H42" s="97">
        <v>8</v>
      </c>
      <c r="I42" s="99">
        <v>4</v>
      </c>
      <c r="J42" s="114">
        <v>4</v>
      </c>
      <c r="K42" s="97">
        <v>0</v>
      </c>
      <c r="L42" s="114">
        <v>4</v>
      </c>
      <c r="M42" s="91">
        <v>0</v>
      </c>
      <c r="N42" s="92">
        <v>0</v>
      </c>
    </row>
    <row r="43" spans="2:14" x14ac:dyDescent="0.2">
      <c r="B43" s="50"/>
      <c r="C43" s="18"/>
      <c r="D43" s="56" t="s">
        <v>30</v>
      </c>
      <c r="E43" s="98">
        <v>9</v>
      </c>
      <c r="F43" s="98">
        <v>6</v>
      </c>
      <c r="G43" s="101">
        <v>6</v>
      </c>
      <c r="H43" s="98">
        <v>11</v>
      </c>
      <c r="I43" s="101">
        <v>12</v>
      </c>
      <c r="J43" s="100">
        <v>12</v>
      </c>
      <c r="K43" s="98">
        <v>0</v>
      </c>
      <c r="L43" s="100">
        <v>4</v>
      </c>
      <c r="M43" s="96">
        <v>0</v>
      </c>
      <c r="N43" s="95">
        <v>0</v>
      </c>
    </row>
    <row r="44" spans="2:14" x14ac:dyDescent="0.2">
      <c r="B44" s="5611" t="s">
        <v>75</v>
      </c>
      <c r="C44" s="5612"/>
      <c r="D44" s="53"/>
      <c r="E44" s="97"/>
      <c r="F44" s="97"/>
      <c r="G44" s="99"/>
      <c r="H44" s="97"/>
      <c r="I44" s="99"/>
      <c r="J44" s="114"/>
      <c r="K44" s="97"/>
      <c r="L44" s="114"/>
      <c r="M44" s="91"/>
      <c r="N44" s="92"/>
    </row>
    <row r="45" spans="2:14" x14ac:dyDescent="0.2">
      <c r="B45" s="50"/>
      <c r="C45" s="13"/>
      <c r="D45" s="53" t="s">
        <v>26</v>
      </c>
      <c r="E45" s="97">
        <v>0</v>
      </c>
      <c r="F45" s="97">
        <v>0</v>
      </c>
      <c r="G45" s="99">
        <v>0</v>
      </c>
      <c r="H45" s="97">
        <v>0</v>
      </c>
      <c r="I45" s="99">
        <v>0</v>
      </c>
      <c r="J45" s="114">
        <v>0</v>
      </c>
      <c r="K45" s="97">
        <v>0</v>
      </c>
      <c r="L45" s="114">
        <v>0</v>
      </c>
      <c r="M45" s="91">
        <v>0</v>
      </c>
      <c r="N45" s="92">
        <v>0</v>
      </c>
    </row>
    <row r="46" spans="2:14" x14ac:dyDescent="0.2">
      <c r="B46" s="50"/>
      <c r="C46" s="13"/>
      <c r="D46" s="53" t="s">
        <v>27</v>
      </c>
      <c r="E46" s="97">
        <v>15</v>
      </c>
      <c r="F46" s="97">
        <v>15</v>
      </c>
      <c r="G46" s="99">
        <v>8</v>
      </c>
      <c r="H46" s="97">
        <v>15</v>
      </c>
      <c r="I46" s="99">
        <v>30</v>
      </c>
      <c r="J46" s="114">
        <v>32</v>
      </c>
      <c r="K46" s="97">
        <v>0</v>
      </c>
      <c r="L46" s="114">
        <v>14</v>
      </c>
      <c r="M46" s="91">
        <v>0</v>
      </c>
      <c r="N46" s="92">
        <v>0</v>
      </c>
    </row>
    <row r="47" spans="2:14" x14ac:dyDescent="0.2">
      <c r="B47" s="50"/>
      <c r="C47" s="13"/>
      <c r="D47" s="53" t="s">
        <v>28</v>
      </c>
      <c r="E47" s="97">
        <v>5</v>
      </c>
      <c r="F47" s="97">
        <v>2</v>
      </c>
      <c r="G47" s="99">
        <v>13</v>
      </c>
      <c r="H47" s="97">
        <v>21</v>
      </c>
      <c r="I47" s="99">
        <v>19</v>
      </c>
      <c r="J47" s="114">
        <v>24</v>
      </c>
      <c r="K47" s="97">
        <v>0</v>
      </c>
      <c r="L47" s="114">
        <v>15</v>
      </c>
      <c r="M47" s="129">
        <v>0</v>
      </c>
      <c r="N47" s="130">
        <v>0</v>
      </c>
    </row>
    <row r="48" spans="2:14" ht="15" x14ac:dyDescent="0.2">
      <c r="B48" s="6137" t="s">
        <v>31</v>
      </c>
      <c r="C48" s="6138"/>
      <c r="D48" s="6139"/>
      <c r="E48" s="104">
        <v>20</v>
      </c>
      <c r="F48" s="104">
        <v>17</v>
      </c>
      <c r="G48" s="105">
        <v>21</v>
      </c>
      <c r="H48" s="104">
        <v>36</v>
      </c>
      <c r="I48" s="105">
        <v>49</v>
      </c>
      <c r="J48" s="106">
        <v>56</v>
      </c>
      <c r="K48" s="104">
        <v>0</v>
      </c>
      <c r="L48" s="106">
        <v>29</v>
      </c>
      <c r="M48" s="133">
        <v>0</v>
      </c>
      <c r="N48" s="134">
        <v>0</v>
      </c>
    </row>
    <row r="49" spans="2:14" x14ac:dyDescent="0.2">
      <c r="B49" s="50"/>
      <c r="C49" s="18"/>
      <c r="D49" s="53"/>
      <c r="E49" s="97"/>
      <c r="F49" s="97"/>
      <c r="G49" s="103"/>
      <c r="H49" s="102"/>
      <c r="I49" s="103"/>
      <c r="J49" s="113"/>
      <c r="K49" s="102"/>
      <c r="L49" s="113"/>
      <c r="M49" s="131"/>
      <c r="N49" s="132"/>
    </row>
    <row r="50" spans="2:14" x14ac:dyDescent="0.2">
      <c r="B50" s="50"/>
      <c r="C50" s="13" t="s">
        <v>6</v>
      </c>
      <c r="D50" s="59"/>
      <c r="E50" s="97"/>
      <c r="F50" s="97"/>
      <c r="G50" s="103"/>
      <c r="H50" s="102"/>
      <c r="I50" s="103"/>
      <c r="J50" s="113"/>
      <c r="K50" s="102"/>
      <c r="L50" s="113"/>
      <c r="M50" s="91"/>
      <c r="N50" s="92"/>
    </row>
    <row r="51" spans="2:14" x14ac:dyDescent="0.2">
      <c r="B51" s="50"/>
      <c r="C51" s="13"/>
      <c r="D51" s="53" t="s">
        <v>26</v>
      </c>
      <c r="E51" s="97">
        <v>0</v>
      </c>
      <c r="F51" s="97">
        <v>0</v>
      </c>
      <c r="G51" s="99">
        <v>0</v>
      </c>
      <c r="H51" s="97">
        <v>0</v>
      </c>
      <c r="I51" s="99">
        <v>0</v>
      </c>
      <c r="J51" s="114">
        <v>0</v>
      </c>
      <c r="K51" s="97">
        <v>0</v>
      </c>
      <c r="L51" s="114">
        <v>0</v>
      </c>
      <c r="M51" s="91">
        <v>0</v>
      </c>
      <c r="N51" s="92">
        <v>0</v>
      </c>
    </row>
    <row r="52" spans="2:14" x14ac:dyDescent="0.2">
      <c r="B52" s="50"/>
      <c r="C52" s="13"/>
      <c r="D52" s="53" t="s">
        <v>27</v>
      </c>
      <c r="E52" s="97">
        <v>4</v>
      </c>
      <c r="F52" s="97">
        <v>4</v>
      </c>
      <c r="G52" s="99">
        <v>8</v>
      </c>
      <c r="H52" s="97">
        <v>12</v>
      </c>
      <c r="I52" s="99">
        <v>16</v>
      </c>
      <c r="J52" s="114">
        <v>18</v>
      </c>
      <c r="K52" s="97">
        <v>0</v>
      </c>
      <c r="L52" s="114">
        <v>11</v>
      </c>
      <c r="M52" s="91">
        <v>2</v>
      </c>
      <c r="N52" s="92">
        <v>2</v>
      </c>
    </row>
    <row r="53" spans="2:14" x14ac:dyDescent="0.2">
      <c r="B53" s="50"/>
      <c r="C53" s="18"/>
      <c r="D53" s="53" t="s">
        <v>28</v>
      </c>
      <c r="E53" s="97">
        <v>1</v>
      </c>
      <c r="F53" s="97">
        <v>1</v>
      </c>
      <c r="G53" s="99">
        <v>1</v>
      </c>
      <c r="H53" s="97">
        <v>2</v>
      </c>
      <c r="I53" s="99">
        <v>0</v>
      </c>
      <c r="J53" s="114">
        <v>0</v>
      </c>
      <c r="K53" s="97">
        <v>0</v>
      </c>
      <c r="L53" s="114">
        <v>0</v>
      </c>
      <c r="M53" s="91">
        <v>0</v>
      </c>
      <c r="N53" s="92">
        <v>0</v>
      </c>
    </row>
    <row r="54" spans="2:14" x14ac:dyDescent="0.2">
      <c r="B54" s="50"/>
      <c r="C54" s="18"/>
      <c r="D54" s="54" t="s">
        <v>14</v>
      </c>
      <c r="E54" s="98"/>
      <c r="F54" s="98"/>
      <c r="G54" s="101">
        <v>9</v>
      </c>
      <c r="H54" s="98">
        <v>14</v>
      </c>
      <c r="I54" s="101">
        <v>16</v>
      </c>
      <c r="J54" s="100">
        <v>18</v>
      </c>
      <c r="K54" s="98">
        <v>0</v>
      </c>
      <c r="L54" s="100">
        <v>11</v>
      </c>
      <c r="M54" s="96">
        <v>2</v>
      </c>
      <c r="N54" s="95">
        <v>2</v>
      </c>
    </row>
    <row r="55" spans="2:14" x14ac:dyDescent="0.2">
      <c r="B55" s="50"/>
      <c r="C55" s="13" t="s">
        <v>11</v>
      </c>
      <c r="D55" s="55"/>
      <c r="E55" s="97"/>
      <c r="F55" s="97"/>
      <c r="G55" s="99"/>
      <c r="H55" s="97"/>
      <c r="I55" s="99"/>
      <c r="J55" s="114"/>
      <c r="K55" s="97"/>
      <c r="L55" s="114"/>
      <c r="M55" s="91"/>
      <c r="N55" s="92"/>
    </row>
    <row r="56" spans="2:14" x14ac:dyDescent="0.2">
      <c r="B56" s="50"/>
      <c r="C56" s="13"/>
      <c r="D56" s="53" t="s">
        <v>26</v>
      </c>
      <c r="E56" s="97">
        <v>0</v>
      </c>
      <c r="F56" s="97">
        <v>0</v>
      </c>
      <c r="G56" s="99">
        <v>0</v>
      </c>
      <c r="H56" s="97">
        <v>0</v>
      </c>
      <c r="I56" s="99">
        <v>0</v>
      </c>
      <c r="J56" s="114">
        <v>0</v>
      </c>
      <c r="K56" s="97">
        <v>0</v>
      </c>
      <c r="L56" s="114">
        <v>0</v>
      </c>
      <c r="M56" s="91">
        <v>0</v>
      </c>
      <c r="N56" s="92">
        <v>0</v>
      </c>
    </row>
    <row r="57" spans="2:14" x14ac:dyDescent="0.2">
      <c r="B57" s="50"/>
      <c r="C57" s="13"/>
      <c r="D57" s="53" t="s">
        <v>27</v>
      </c>
      <c r="E57" s="97">
        <v>3</v>
      </c>
      <c r="F57" s="97">
        <v>3</v>
      </c>
      <c r="G57" s="99">
        <v>2</v>
      </c>
      <c r="H57" s="97">
        <v>3</v>
      </c>
      <c r="I57" s="99">
        <v>0</v>
      </c>
      <c r="J57" s="114">
        <v>1</v>
      </c>
      <c r="K57" s="97">
        <v>0</v>
      </c>
      <c r="L57" s="114">
        <v>0</v>
      </c>
      <c r="M57" s="91">
        <v>6</v>
      </c>
      <c r="N57" s="92">
        <v>6</v>
      </c>
    </row>
    <row r="58" spans="2:14" x14ac:dyDescent="0.2">
      <c r="B58" s="50"/>
      <c r="C58" s="13"/>
      <c r="D58" s="53" t="s">
        <v>28</v>
      </c>
      <c r="E58" s="97">
        <v>0</v>
      </c>
      <c r="F58" s="97">
        <v>0</v>
      </c>
      <c r="G58" s="99">
        <v>1</v>
      </c>
      <c r="H58" s="97">
        <v>1</v>
      </c>
      <c r="I58" s="99">
        <v>3</v>
      </c>
      <c r="J58" s="114">
        <v>4</v>
      </c>
      <c r="K58" s="97">
        <v>0</v>
      </c>
      <c r="L58" s="114">
        <v>1</v>
      </c>
      <c r="M58" s="91">
        <v>0</v>
      </c>
      <c r="N58" s="92">
        <v>0</v>
      </c>
    </row>
    <row r="59" spans="2:14" x14ac:dyDescent="0.2">
      <c r="B59" s="50"/>
      <c r="C59" s="18"/>
      <c r="D59" s="56" t="s">
        <v>30</v>
      </c>
      <c r="E59" s="98"/>
      <c r="F59" s="98"/>
      <c r="G59" s="101">
        <v>3</v>
      </c>
      <c r="H59" s="98">
        <v>4</v>
      </c>
      <c r="I59" s="101">
        <v>3</v>
      </c>
      <c r="J59" s="100">
        <v>5</v>
      </c>
      <c r="K59" s="98">
        <v>0</v>
      </c>
      <c r="L59" s="100">
        <v>1</v>
      </c>
      <c r="M59" s="96">
        <v>6</v>
      </c>
      <c r="N59" s="95">
        <v>6</v>
      </c>
    </row>
    <row r="60" spans="2:14" x14ac:dyDescent="0.2">
      <c r="B60" s="50"/>
      <c r="C60" s="13" t="s">
        <v>7</v>
      </c>
      <c r="D60" s="55"/>
      <c r="E60" s="97"/>
      <c r="F60" s="97"/>
      <c r="G60" s="99"/>
      <c r="H60" s="97"/>
      <c r="I60" s="99"/>
      <c r="J60" s="114"/>
      <c r="K60" s="97"/>
      <c r="L60" s="114"/>
      <c r="M60" s="91"/>
      <c r="N60" s="92"/>
    </row>
    <row r="61" spans="2:14" x14ac:dyDescent="0.2">
      <c r="B61" s="50"/>
      <c r="C61" s="13"/>
      <c r="D61" s="53" t="s">
        <v>26</v>
      </c>
      <c r="E61" s="97"/>
      <c r="F61" s="97"/>
      <c r="G61" s="99"/>
      <c r="H61" s="97"/>
      <c r="I61" s="99"/>
      <c r="J61" s="114"/>
      <c r="K61" s="97"/>
      <c r="L61" s="114"/>
      <c r="M61" s="91"/>
      <c r="N61" s="92"/>
    </row>
    <row r="62" spans="2:14" x14ac:dyDescent="0.2">
      <c r="B62" s="50"/>
      <c r="C62" s="13"/>
      <c r="D62" s="53" t="s">
        <v>27</v>
      </c>
      <c r="E62" s="97">
        <v>1</v>
      </c>
      <c r="F62" s="97">
        <v>1</v>
      </c>
      <c r="G62" s="99">
        <v>0</v>
      </c>
      <c r="H62" s="97">
        <v>1</v>
      </c>
      <c r="I62" s="99">
        <v>0</v>
      </c>
      <c r="J62" s="114">
        <v>0</v>
      </c>
      <c r="K62" s="97">
        <v>0</v>
      </c>
      <c r="L62" s="114">
        <v>0</v>
      </c>
      <c r="M62" s="91">
        <v>0</v>
      </c>
      <c r="N62" s="92">
        <v>0</v>
      </c>
    </row>
    <row r="63" spans="2:14" x14ac:dyDescent="0.2">
      <c r="B63" s="50"/>
      <c r="C63" s="13"/>
      <c r="D63" s="53" t="s">
        <v>28</v>
      </c>
      <c r="E63" s="97">
        <v>0</v>
      </c>
      <c r="F63" s="97">
        <v>0</v>
      </c>
      <c r="G63" s="99">
        <v>0</v>
      </c>
      <c r="H63" s="97">
        <v>0</v>
      </c>
      <c r="I63" s="99">
        <v>1</v>
      </c>
      <c r="J63" s="114">
        <v>1</v>
      </c>
      <c r="K63" s="97">
        <v>0</v>
      </c>
      <c r="L63" s="114">
        <v>0</v>
      </c>
      <c r="M63" s="91">
        <v>0</v>
      </c>
      <c r="N63" s="92">
        <v>0</v>
      </c>
    </row>
    <row r="64" spans="2:14" x14ac:dyDescent="0.2">
      <c r="B64" s="50"/>
      <c r="C64" s="18"/>
      <c r="D64" s="56" t="s">
        <v>15</v>
      </c>
      <c r="E64" s="98"/>
      <c r="F64" s="98"/>
      <c r="G64" s="101">
        <v>0</v>
      </c>
      <c r="H64" s="98">
        <v>1</v>
      </c>
      <c r="I64" s="101">
        <v>1</v>
      </c>
      <c r="J64" s="100">
        <v>1</v>
      </c>
      <c r="K64" s="98">
        <v>0</v>
      </c>
      <c r="L64" s="100">
        <v>0</v>
      </c>
      <c r="M64" s="96">
        <v>0</v>
      </c>
      <c r="N64" s="95">
        <v>0</v>
      </c>
    </row>
    <row r="65" spans="2:14" x14ac:dyDescent="0.2">
      <c r="B65" s="5611" t="s">
        <v>10</v>
      </c>
      <c r="C65" s="5612"/>
      <c r="D65" s="53"/>
      <c r="E65" s="97"/>
      <c r="F65" s="97"/>
      <c r="G65" s="99"/>
      <c r="H65" s="97"/>
      <c r="I65" s="99"/>
      <c r="J65" s="114"/>
      <c r="K65" s="97"/>
      <c r="L65" s="114"/>
      <c r="M65" s="91"/>
      <c r="N65" s="92"/>
    </row>
    <row r="66" spans="2:14" x14ac:dyDescent="0.2">
      <c r="B66" s="50"/>
      <c r="C66" s="13"/>
      <c r="D66" s="53" t="s">
        <v>26</v>
      </c>
      <c r="E66" s="97">
        <v>0</v>
      </c>
      <c r="F66" s="97">
        <v>0</v>
      </c>
      <c r="G66" s="99">
        <v>0</v>
      </c>
      <c r="H66" s="97">
        <v>0</v>
      </c>
      <c r="I66" s="99">
        <v>0</v>
      </c>
      <c r="J66" s="114">
        <v>0</v>
      </c>
      <c r="K66" s="97">
        <v>0</v>
      </c>
      <c r="L66" s="114">
        <v>0</v>
      </c>
      <c r="M66" s="91">
        <v>0</v>
      </c>
      <c r="N66" s="92">
        <v>0</v>
      </c>
    </row>
    <row r="67" spans="2:14" x14ac:dyDescent="0.2">
      <c r="B67" s="50"/>
      <c r="C67" s="13"/>
      <c r="D67" s="53" t="s">
        <v>27</v>
      </c>
      <c r="E67" s="97">
        <v>8</v>
      </c>
      <c r="F67" s="97">
        <v>8</v>
      </c>
      <c r="G67" s="99">
        <v>10</v>
      </c>
      <c r="H67" s="97">
        <v>16</v>
      </c>
      <c r="I67" s="99">
        <v>16</v>
      </c>
      <c r="J67" s="114">
        <v>19</v>
      </c>
      <c r="K67" s="97">
        <v>0</v>
      </c>
      <c r="L67" s="114">
        <v>11</v>
      </c>
      <c r="M67" s="91">
        <v>8</v>
      </c>
      <c r="N67" s="92">
        <v>8</v>
      </c>
    </row>
    <row r="68" spans="2:14" x14ac:dyDescent="0.2">
      <c r="B68" s="50"/>
      <c r="C68" s="13"/>
      <c r="D68" s="53" t="s">
        <v>28</v>
      </c>
      <c r="E68" s="97">
        <v>1</v>
      </c>
      <c r="F68" s="97">
        <v>1</v>
      </c>
      <c r="G68" s="99">
        <v>2</v>
      </c>
      <c r="H68" s="97">
        <v>3</v>
      </c>
      <c r="I68" s="99">
        <v>4</v>
      </c>
      <c r="J68" s="114">
        <v>5</v>
      </c>
      <c r="K68" s="97">
        <v>0</v>
      </c>
      <c r="L68" s="114">
        <v>1</v>
      </c>
      <c r="M68" s="129">
        <v>0</v>
      </c>
      <c r="N68" s="130">
        <v>0</v>
      </c>
    </row>
    <row r="69" spans="2:14" ht="15" x14ac:dyDescent="0.2">
      <c r="B69" s="6137" t="s">
        <v>32</v>
      </c>
      <c r="C69" s="6138"/>
      <c r="D69" s="6139"/>
      <c r="E69" s="104">
        <v>9</v>
      </c>
      <c r="F69" s="104">
        <v>9</v>
      </c>
      <c r="G69" s="105">
        <v>12</v>
      </c>
      <c r="H69" s="104">
        <v>19</v>
      </c>
      <c r="I69" s="105">
        <v>20</v>
      </c>
      <c r="J69" s="106">
        <v>24</v>
      </c>
      <c r="K69" s="104">
        <v>0</v>
      </c>
      <c r="L69" s="106">
        <v>12</v>
      </c>
      <c r="M69" s="93">
        <v>8</v>
      </c>
      <c r="N69" s="94">
        <v>8</v>
      </c>
    </row>
    <row r="70" spans="2:14" x14ac:dyDescent="0.2">
      <c r="B70" s="50"/>
      <c r="C70" s="18"/>
      <c r="D70" s="53"/>
      <c r="E70" s="97"/>
      <c r="F70" s="97"/>
      <c r="G70" s="99"/>
      <c r="H70" s="97"/>
      <c r="I70" s="99"/>
      <c r="J70" s="114"/>
      <c r="K70" s="97"/>
      <c r="L70" s="114"/>
      <c r="M70" s="131"/>
      <c r="N70" s="132"/>
    </row>
    <row r="71" spans="2:14" x14ac:dyDescent="0.2">
      <c r="B71" s="5611" t="s">
        <v>60</v>
      </c>
      <c r="C71" s="5612"/>
      <c r="D71" s="53" t="s">
        <v>26</v>
      </c>
      <c r="E71" s="97">
        <v>0</v>
      </c>
      <c r="F71" s="97">
        <v>0</v>
      </c>
      <c r="G71" s="99">
        <v>0</v>
      </c>
      <c r="H71" s="97">
        <v>0</v>
      </c>
      <c r="I71" s="99">
        <v>0</v>
      </c>
      <c r="J71" s="114">
        <v>0</v>
      </c>
      <c r="K71" s="97">
        <v>0</v>
      </c>
      <c r="L71" s="114">
        <v>0</v>
      </c>
      <c r="M71" s="91">
        <v>0</v>
      </c>
      <c r="N71" s="92">
        <v>0</v>
      </c>
    </row>
    <row r="72" spans="2:14" x14ac:dyDescent="0.2">
      <c r="B72" s="52"/>
      <c r="C72" s="13"/>
      <c r="D72" s="53" t="s">
        <v>27</v>
      </c>
      <c r="E72" s="97">
        <v>31</v>
      </c>
      <c r="F72" s="97">
        <v>31</v>
      </c>
      <c r="G72" s="99">
        <v>30</v>
      </c>
      <c r="H72" s="97">
        <v>50</v>
      </c>
      <c r="I72" s="99">
        <v>59</v>
      </c>
      <c r="J72" s="114">
        <v>73</v>
      </c>
      <c r="K72" s="97">
        <v>0</v>
      </c>
      <c r="L72" s="114">
        <v>31</v>
      </c>
      <c r="M72" s="91">
        <v>11</v>
      </c>
      <c r="N72" s="92">
        <v>11</v>
      </c>
    </row>
    <row r="73" spans="2:14" x14ac:dyDescent="0.2">
      <c r="B73" s="52"/>
      <c r="C73" s="13"/>
      <c r="D73" s="53" t="s">
        <v>28</v>
      </c>
      <c r="E73" s="97">
        <v>7</v>
      </c>
      <c r="F73" s="97">
        <v>4</v>
      </c>
      <c r="G73" s="99">
        <v>15</v>
      </c>
      <c r="H73" s="97">
        <v>25</v>
      </c>
      <c r="I73" s="99">
        <v>24</v>
      </c>
      <c r="J73" s="114">
        <v>30</v>
      </c>
      <c r="K73" s="97">
        <v>0</v>
      </c>
      <c r="L73" s="114">
        <v>17</v>
      </c>
      <c r="M73" s="129">
        <v>0</v>
      </c>
      <c r="N73" s="130">
        <v>0</v>
      </c>
    </row>
    <row r="74" spans="2:14" s="46" customFormat="1" ht="15" x14ac:dyDescent="0.2">
      <c r="B74" s="6147" t="s">
        <v>76</v>
      </c>
      <c r="C74" s="6148"/>
      <c r="D74" s="6149"/>
      <c r="E74" s="110">
        <v>38</v>
      </c>
      <c r="F74" s="110">
        <v>35</v>
      </c>
      <c r="G74" s="111">
        <v>45</v>
      </c>
      <c r="H74" s="110">
        <v>75</v>
      </c>
      <c r="I74" s="111">
        <v>83</v>
      </c>
      <c r="J74" s="112">
        <v>103</v>
      </c>
      <c r="K74" s="110">
        <v>0</v>
      </c>
      <c r="L74" s="112">
        <v>48</v>
      </c>
      <c r="M74" s="126">
        <v>11</v>
      </c>
      <c r="N74" s="127">
        <v>11</v>
      </c>
    </row>
    <row r="75" spans="2:14" x14ac:dyDescent="0.2">
      <c r="B75" s="86" t="s">
        <v>131</v>
      </c>
    </row>
  </sheetData>
  <mergeCells count="18">
    <mergeCell ref="M5:N5"/>
    <mergeCell ref="B3:N3"/>
    <mergeCell ref="B2:N2"/>
    <mergeCell ref="B23:C23"/>
    <mergeCell ref="E5:F5"/>
    <mergeCell ref="K5:L5"/>
    <mergeCell ref="G5:H5"/>
    <mergeCell ref="I5:J5"/>
    <mergeCell ref="B5:B6"/>
    <mergeCell ref="C5:C6"/>
    <mergeCell ref="D5:D6"/>
    <mergeCell ref="B74:D74"/>
    <mergeCell ref="B69:D69"/>
    <mergeCell ref="B48:D48"/>
    <mergeCell ref="B27:D27"/>
    <mergeCell ref="B71:C71"/>
    <mergeCell ref="B44:C44"/>
    <mergeCell ref="B65:C65"/>
  </mergeCells>
  <phoneticPr fontId="69" type="noConversion"/>
  <printOptions horizontalCentered="1" verticalCentered="1"/>
  <pageMargins left="0.39370078740157483" right="0.39370078740157483" top="0.55118110236220474" bottom="0.59055118110236227" header="0" footer="0.31496062992125984"/>
  <pageSetup scale="50" orientation="landscape" horizontalDpi="1200" verticalDpi="1200" r:id="rId1"/>
  <headerFooter alignWithMargins="0">
    <oddHeader>&amp;LANEXO ESTADÍSTICO 2008&amp;CBECAS&amp;R&amp;G</oddHeader>
    <oddFooter>&amp;R66</oddFooter>
  </headerFooter>
  <legacyDrawingHF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B1:N75"/>
  <sheetViews>
    <sheetView zoomScaleNormal="100" workbookViewId="0">
      <selection activeCell="E29" sqref="E29"/>
    </sheetView>
  </sheetViews>
  <sheetFormatPr baseColWidth="10" defaultRowHeight="12.75" x14ac:dyDescent="0.2"/>
  <cols>
    <col min="1" max="1" width="1.5703125" style="2" customWidth="1"/>
    <col min="2" max="2" width="17.7109375" style="2" bestFit="1" customWidth="1"/>
    <col min="3" max="3" width="13.85546875" style="2" customWidth="1"/>
    <col min="4" max="4" width="35.42578125" style="2" customWidth="1"/>
    <col min="5" max="14" width="9.7109375" style="2" customWidth="1"/>
    <col min="15" max="15" width="3.140625" style="2" customWidth="1"/>
    <col min="16" max="16384" width="11.42578125" style="2"/>
  </cols>
  <sheetData>
    <row r="1" spans="2:14" ht="15.75" x14ac:dyDescent="0.2"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</row>
    <row r="2" spans="2:14" ht="15.75" x14ac:dyDescent="0.2">
      <c r="B2" s="6136" t="s">
        <v>129</v>
      </c>
      <c r="C2" s="6136"/>
      <c r="D2" s="6136"/>
      <c r="E2" s="6136"/>
      <c r="F2" s="6136"/>
      <c r="G2" s="6136"/>
      <c r="H2" s="6136"/>
      <c r="I2" s="6136"/>
      <c r="J2" s="6136"/>
      <c r="K2" s="6136"/>
      <c r="L2" s="6136"/>
      <c r="M2" s="6136"/>
      <c r="N2" s="6136"/>
    </row>
    <row r="3" spans="2:14" ht="15.75" x14ac:dyDescent="0.2">
      <c r="B3" s="6136" t="s">
        <v>147</v>
      </c>
      <c r="C3" s="6136"/>
      <c r="D3" s="6136"/>
      <c r="E3" s="6136"/>
      <c r="F3" s="6136"/>
      <c r="G3" s="6136"/>
      <c r="H3" s="6136"/>
      <c r="I3" s="6136"/>
      <c r="J3" s="6136"/>
      <c r="K3" s="6136"/>
      <c r="L3" s="6136"/>
      <c r="M3" s="6136"/>
      <c r="N3" s="6136"/>
    </row>
    <row r="4" spans="2:14" ht="15.75" x14ac:dyDescent="0.2"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</row>
    <row r="5" spans="2:14" ht="15.75" x14ac:dyDescent="0.2">
      <c r="B5" s="6143" t="s">
        <v>16</v>
      </c>
      <c r="C5" s="6143" t="s">
        <v>4</v>
      </c>
      <c r="D5" s="6143" t="s">
        <v>25</v>
      </c>
      <c r="E5" s="6150">
        <v>2004</v>
      </c>
      <c r="F5" s="6152"/>
      <c r="G5" s="6150">
        <v>2005</v>
      </c>
      <c r="H5" s="6152"/>
      <c r="I5" s="6150">
        <v>2006</v>
      </c>
      <c r="J5" s="6151"/>
      <c r="K5" s="6150">
        <v>2007</v>
      </c>
      <c r="L5" s="6151"/>
      <c r="M5" s="6150">
        <v>2008</v>
      </c>
      <c r="N5" s="6151"/>
    </row>
    <row r="6" spans="2:14" x14ac:dyDescent="0.2">
      <c r="B6" s="6143"/>
      <c r="C6" s="6143"/>
      <c r="D6" s="6143"/>
      <c r="E6" s="11" t="s">
        <v>35</v>
      </c>
      <c r="F6" s="11" t="s">
        <v>36</v>
      </c>
      <c r="G6" s="11" t="s">
        <v>35</v>
      </c>
      <c r="H6" s="11" t="s">
        <v>36</v>
      </c>
      <c r="I6" s="11" t="s">
        <v>35</v>
      </c>
      <c r="J6" s="11" t="s">
        <v>36</v>
      </c>
      <c r="K6" s="11" t="s">
        <v>35</v>
      </c>
      <c r="L6" s="21" t="s">
        <v>36</v>
      </c>
      <c r="M6" s="11" t="s">
        <v>35</v>
      </c>
      <c r="N6" s="21" t="s">
        <v>36</v>
      </c>
    </row>
    <row r="7" spans="2:14" x14ac:dyDescent="0.2">
      <c r="B7" s="48"/>
      <c r="C7" s="43"/>
      <c r="D7" s="49"/>
      <c r="E7" s="84"/>
      <c r="F7" s="84"/>
      <c r="G7" s="16"/>
      <c r="H7" s="67"/>
      <c r="I7" s="16"/>
      <c r="J7" s="78"/>
      <c r="K7" s="67"/>
      <c r="L7" s="78"/>
      <c r="M7" s="67"/>
      <c r="N7" s="78"/>
    </row>
    <row r="8" spans="2:14" x14ac:dyDescent="0.2">
      <c r="B8" s="50"/>
      <c r="C8" s="13" t="s">
        <v>5</v>
      </c>
      <c r="D8" s="51"/>
      <c r="E8" s="64"/>
      <c r="F8" s="64"/>
      <c r="G8" s="31"/>
      <c r="H8" s="14"/>
      <c r="I8" s="31"/>
      <c r="J8" s="79"/>
      <c r="K8" s="14"/>
      <c r="L8" s="79"/>
      <c r="M8" s="14"/>
      <c r="N8" s="79"/>
    </row>
    <row r="9" spans="2:14" x14ac:dyDescent="0.2">
      <c r="B9" s="52"/>
      <c r="C9" s="44"/>
      <c r="D9" s="53" t="s">
        <v>26</v>
      </c>
      <c r="E9" s="97">
        <v>0</v>
      </c>
      <c r="F9" s="97">
        <v>0</v>
      </c>
      <c r="G9" s="99">
        <v>0</v>
      </c>
      <c r="H9" s="97">
        <v>0</v>
      </c>
      <c r="I9" s="99">
        <v>0</v>
      </c>
      <c r="J9" s="114">
        <v>0</v>
      </c>
      <c r="K9" s="97">
        <v>0</v>
      </c>
      <c r="L9" s="114">
        <v>0</v>
      </c>
      <c r="M9" s="91">
        <v>0</v>
      </c>
      <c r="N9" s="92">
        <v>0</v>
      </c>
    </row>
    <row r="10" spans="2:14" x14ac:dyDescent="0.2">
      <c r="B10" s="52"/>
      <c r="C10" s="13"/>
      <c r="D10" s="53" t="s">
        <v>27</v>
      </c>
      <c r="E10" s="97">
        <v>0</v>
      </c>
      <c r="F10" s="97">
        <v>0</v>
      </c>
      <c r="G10" s="99">
        <v>0</v>
      </c>
      <c r="H10" s="97">
        <v>0</v>
      </c>
      <c r="I10" s="99">
        <v>0</v>
      </c>
      <c r="J10" s="114">
        <v>0</v>
      </c>
      <c r="K10" s="97">
        <v>0</v>
      </c>
      <c r="L10" s="114">
        <v>0</v>
      </c>
      <c r="M10" s="91">
        <v>0</v>
      </c>
      <c r="N10" s="92">
        <v>0</v>
      </c>
    </row>
    <row r="11" spans="2:14" x14ac:dyDescent="0.2">
      <c r="B11" s="50"/>
      <c r="C11" s="18"/>
      <c r="D11" s="53" t="s">
        <v>28</v>
      </c>
      <c r="E11" s="97">
        <v>0</v>
      </c>
      <c r="F11" s="97">
        <v>0</v>
      </c>
      <c r="G11" s="99">
        <v>0</v>
      </c>
      <c r="H11" s="97">
        <v>0</v>
      </c>
      <c r="I11" s="99">
        <v>0</v>
      </c>
      <c r="J11" s="114">
        <v>0</v>
      </c>
      <c r="K11" s="97">
        <v>0</v>
      </c>
      <c r="L11" s="114">
        <v>0</v>
      </c>
      <c r="M11" s="91">
        <v>0</v>
      </c>
      <c r="N11" s="92">
        <v>0</v>
      </c>
    </row>
    <row r="12" spans="2:14" x14ac:dyDescent="0.2">
      <c r="B12" s="50"/>
      <c r="C12" s="18"/>
      <c r="D12" s="54" t="s">
        <v>13</v>
      </c>
      <c r="E12" s="98">
        <v>0</v>
      </c>
      <c r="F12" s="98">
        <v>0</v>
      </c>
      <c r="G12" s="101">
        <v>0</v>
      </c>
      <c r="H12" s="98">
        <v>0</v>
      </c>
      <c r="I12" s="101">
        <v>0</v>
      </c>
      <c r="J12" s="100">
        <v>0</v>
      </c>
      <c r="K12" s="98">
        <v>0</v>
      </c>
      <c r="L12" s="100">
        <v>0</v>
      </c>
      <c r="M12" s="96">
        <v>0</v>
      </c>
      <c r="N12" s="95">
        <v>0</v>
      </c>
    </row>
    <row r="13" spans="2:14" x14ac:dyDescent="0.2">
      <c r="B13" s="52"/>
      <c r="C13" s="13" t="s">
        <v>6</v>
      </c>
      <c r="D13" s="55"/>
      <c r="E13" s="102"/>
      <c r="F13" s="102"/>
      <c r="G13" s="103"/>
      <c r="H13" s="102"/>
      <c r="I13" s="103"/>
      <c r="J13" s="113"/>
      <c r="K13" s="102"/>
      <c r="L13" s="113"/>
      <c r="M13" s="91"/>
      <c r="N13" s="92"/>
    </row>
    <row r="14" spans="2:14" x14ac:dyDescent="0.2">
      <c r="B14" s="52"/>
      <c r="C14" s="44"/>
      <c r="D14" s="53" t="s">
        <v>26</v>
      </c>
      <c r="E14" s="97">
        <v>0</v>
      </c>
      <c r="F14" s="97">
        <v>0</v>
      </c>
      <c r="G14" s="99">
        <v>0</v>
      </c>
      <c r="H14" s="97">
        <v>0</v>
      </c>
      <c r="I14" s="99">
        <v>0</v>
      </c>
      <c r="J14" s="114">
        <v>0</v>
      </c>
      <c r="K14" s="97">
        <v>0</v>
      </c>
      <c r="L14" s="114">
        <v>0</v>
      </c>
      <c r="M14" s="91">
        <v>0</v>
      </c>
      <c r="N14" s="92">
        <v>0</v>
      </c>
    </row>
    <row r="15" spans="2:14" x14ac:dyDescent="0.2">
      <c r="B15" s="52"/>
      <c r="C15" s="13"/>
      <c r="D15" s="53" t="s">
        <v>27</v>
      </c>
      <c r="E15" s="97">
        <v>0</v>
      </c>
      <c r="F15" s="97">
        <v>0</v>
      </c>
      <c r="G15" s="99">
        <v>17</v>
      </c>
      <c r="H15" s="97">
        <v>17</v>
      </c>
      <c r="I15" s="99">
        <v>19</v>
      </c>
      <c r="J15" s="114">
        <v>36</v>
      </c>
      <c r="K15" s="97">
        <v>26</v>
      </c>
      <c r="L15" s="114">
        <v>45</v>
      </c>
      <c r="M15" s="91">
        <v>0</v>
      </c>
      <c r="N15" s="92">
        <v>25</v>
      </c>
    </row>
    <row r="16" spans="2:14" x14ac:dyDescent="0.2">
      <c r="B16" s="52"/>
      <c r="C16" s="13"/>
      <c r="D16" s="53" t="s">
        <v>28</v>
      </c>
      <c r="E16" s="97">
        <v>0</v>
      </c>
      <c r="F16" s="97">
        <v>0</v>
      </c>
      <c r="G16" s="99">
        <v>9</v>
      </c>
      <c r="H16" s="97">
        <v>9</v>
      </c>
      <c r="I16" s="99">
        <v>8</v>
      </c>
      <c r="J16" s="114">
        <v>17</v>
      </c>
      <c r="K16" s="97">
        <v>23</v>
      </c>
      <c r="L16" s="114">
        <v>29</v>
      </c>
      <c r="M16" s="91">
        <v>0</v>
      </c>
      <c r="N16" s="92">
        <v>20</v>
      </c>
    </row>
    <row r="17" spans="2:14" x14ac:dyDescent="0.2">
      <c r="B17" s="50"/>
      <c r="C17" s="18"/>
      <c r="D17" s="56" t="s">
        <v>14</v>
      </c>
      <c r="E17" s="98">
        <v>0</v>
      </c>
      <c r="F17" s="98">
        <v>0</v>
      </c>
      <c r="G17" s="101">
        <v>26</v>
      </c>
      <c r="H17" s="98">
        <v>26</v>
      </c>
      <c r="I17" s="101">
        <v>27</v>
      </c>
      <c r="J17" s="100">
        <v>53</v>
      </c>
      <c r="K17" s="98">
        <v>49</v>
      </c>
      <c r="L17" s="100">
        <v>74</v>
      </c>
      <c r="M17" s="96">
        <v>0</v>
      </c>
      <c r="N17" s="95">
        <v>45</v>
      </c>
    </row>
    <row r="18" spans="2:14" x14ac:dyDescent="0.2">
      <c r="B18" s="52"/>
      <c r="C18" s="13" t="s">
        <v>7</v>
      </c>
      <c r="D18" s="55"/>
      <c r="E18" s="102"/>
      <c r="F18" s="102"/>
      <c r="G18" s="103"/>
      <c r="H18" s="102"/>
      <c r="I18" s="103"/>
      <c r="J18" s="113"/>
      <c r="K18" s="102"/>
      <c r="L18" s="113"/>
      <c r="M18" s="91"/>
      <c r="N18" s="92"/>
    </row>
    <row r="19" spans="2:14" x14ac:dyDescent="0.2">
      <c r="B19" s="52"/>
      <c r="C19" s="13"/>
      <c r="D19" s="53" t="s">
        <v>26</v>
      </c>
      <c r="E19" s="97">
        <v>0</v>
      </c>
      <c r="F19" s="97">
        <v>0</v>
      </c>
      <c r="G19" s="99">
        <v>0</v>
      </c>
      <c r="H19" s="97">
        <v>0</v>
      </c>
      <c r="I19" s="99">
        <v>0</v>
      </c>
      <c r="J19" s="114">
        <v>0</v>
      </c>
      <c r="K19" s="97">
        <v>0</v>
      </c>
      <c r="L19" s="114">
        <v>0</v>
      </c>
      <c r="M19" s="91">
        <v>0</v>
      </c>
      <c r="N19" s="92">
        <v>0</v>
      </c>
    </row>
    <row r="20" spans="2:14" x14ac:dyDescent="0.2">
      <c r="B20" s="52"/>
      <c r="C20" s="13"/>
      <c r="D20" s="53" t="s">
        <v>27</v>
      </c>
      <c r="E20" s="97">
        <v>0</v>
      </c>
      <c r="F20" s="97">
        <v>0</v>
      </c>
      <c r="G20" s="99">
        <v>0</v>
      </c>
      <c r="H20" s="97">
        <v>0</v>
      </c>
      <c r="I20" s="99">
        <v>0</v>
      </c>
      <c r="J20" s="114">
        <v>0</v>
      </c>
      <c r="K20" s="97">
        <v>0</v>
      </c>
      <c r="L20" s="114">
        <v>0</v>
      </c>
      <c r="M20" s="91">
        <v>0</v>
      </c>
      <c r="N20" s="92">
        <v>0</v>
      </c>
    </row>
    <row r="21" spans="2:14" x14ac:dyDescent="0.2">
      <c r="B21" s="52"/>
      <c r="C21" s="13"/>
      <c r="D21" s="53" t="s">
        <v>28</v>
      </c>
      <c r="E21" s="97">
        <v>0</v>
      </c>
      <c r="F21" s="97">
        <v>0</v>
      </c>
      <c r="G21" s="99">
        <v>0</v>
      </c>
      <c r="H21" s="97">
        <v>0</v>
      </c>
      <c r="I21" s="99">
        <v>0</v>
      </c>
      <c r="J21" s="114">
        <v>0</v>
      </c>
      <c r="K21" s="97">
        <v>0</v>
      </c>
      <c r="L21" s="114">
        <v>0</v>
      </c>
      <c r="M21" s="91">
        <v>0</v>
      </c>
      <c r="N21" s="92">
        <v>0</v>
      </c>
    </row>
    <row r="22" spans="2:14" x14ac:dyDescent="0.2">
      <c r="B22" s="50"/>
      <c r="C22" s="18"/>
      <c r="D22" s="56" t="s">
        <v>15</v>
      </c>
      <c r="E22" s="98">
        <v>0</v>
      </c>
      <c r="F22" s="98">
        <v>0</v>
      </c>
      <c r="G22" s="101">
        <v>0</v>
      </c>
      <c r="H22" s="98">
        <v>0</v>
      </c>
      <c r="I22" s="101">
        <v>0</v>
      </c>
      <c r="J22" s="100">
        <v>0</v>
      </c>
      <c r="K22" s="98">
        <v>0</v>
      </c>
      <c r="L22" s="100">
        <v>0</v>
      </c>
      <c r="M22" s="96">
        <v>0</v>
      </c>
      <c r="N22" s="95">
        <v>0</v>
      </c>
    </row>
    <row r="23" spans="2:14" x14ac:dyDescent="0.2">
      <c r="B23" s="5611" t="s">
        <v>3</v>
      </c>
      <c r="C23" s="5612"/>
      <c r="D23" s="53"/>
      <c r="E23" s="102"/>
      <c r="F23" s="102"/>
      <c r="G23" s="103"/>
      <c r="H23" s="102"/>
      <c r="I23" s="103"/>
      <c r="J23" s="113"/>
      <c r="K23" s="102"/>
      <c r="L23" s="113"/>
      <c r="M23" s="91"/>
      <c r="N23" s="92"/>
    </row>
    <row r="24" spans="2:14" x14ac:dyDescent="0.2">
      <c r="B24" s="52"/>
      <c r="C24" s="13"/>
      <c r="D24" s="53" t="s">
        <v>26</v>
      </c>
      <c r="E24" s="97">
        <v>0</v>
      </c>
      <c r="F24" s="97">
        <v>0</v>
      </c>
      <c r="G24" s="99">
        <v>0</v>
      </c>
      <c r="H24" s="97">
        <v>0</v>
      </c>
      <c r="I24" s="99">
        <v>0</v>
      </c>
      <c r="J24" s="114">
        <v>0</v>
      </c>
      <c r="K24" s="97">
        <v>0</v>
      </c>
      <c r="L24" s="114">
        <v>0</v>
      </c>
      <c r="M24" s="91">
        <v>0</v>
      </c>
      <c r="N24" s="92">
        <v>0</v>
      </c>
    </row>
    <row r="25" spans="2:14" x14ac:dyDescent="0.2">
      <c r="B25" s="52"/>
      <c r="C25" s="13"/>
      <c r="D25" s="53" t="s">
        <v>27</v>
      </c>
      <c r="E25" s="97">
        <v>0</v>
      </c>
      <c r="F25" s="97">
        <v>0</v>
      </c>
      <c r="G25" s="99">
        <v>17</v>
      </c>
      <c r="H25" s="97">
        <v>17</v>
      </c>
      <c r="I25" s="99">
        <v>19</v>
      </c>
      <c r="J25" s="114">
        <v>36</v>
      </c>
      <c r="K25" s="97">
        <v>26</v>
      </c>
      <c r="L25" s="114">
        <v>45</v>
      </c>
      <c r="M25" s="91">
        <v>0</v>
      </c>
      <c r="N25" s="92">
        <v>25</v>
      </c>
    </row>
    <row r="26" spans="2:14" x14ac:dyDescent="0.2">
      <c r="B26" s="52"/>
      <c r="C26" s="13"/>
      <c r="D26" s="53" t="s">
        <v>28</v>
      </c>
      <c r="E26" s="97">
        <v>0</v>
      </c>
      <c r="F26" s="97">
        <v>0</v>
      </c>
      <c r="G26" s="99">
        <v>9</v>
      </c>
      <c r="H26" s="97">
        <v>9</v>
      </c>
      <c r="I26" s="99">
        <v>8</v>
      </c>
      <c r="J26" s="114">
        <v>17</v>
      </c>
      <c r="K26" s="97">
        <v>23</v>
      </c>
      <c r="L26" s="114">
        <v>29</v>
      </c>
      <c r="M26" s="129">
        <v>0</v>
      </c>
      <c r="N26" s="130">
        <v>20</v>
      </c>
    </row>
    <row r="27" spans="2:14" ht="15" x14ac:dyDescent="0.2">
      <c r="B27" s="6137" t="s">
        <v>29</v>
      </c>
      <c r="C27" s="6138"/>
      <c r="D27" s="6139"/>
      <c r="E27" s="104">
        <v>0</v>
      </c>
      <c r="F27" s="104">
        <v>0</v>
      </c>
      <c r="G27" s="105">
        <v>26</v>
      </c>
      <c r="H27" s="104">
        <v>26</v>
      </c>
      <c r="I27" s="105">
        <v>27</v>
      </c>
      <c r="J27" s="106">
        <v>53</v>
      </c>
      <c r="K27" s="104">
        <v>49</v>
      </c>
      <c r="L27" s="106">
        <v>74</v>
      </c>
      <c r="M27" s="93">
        <v>0</v>
      </c>
      <c r="N27" s="94">
        <v>45</v>
      </c>
    </row>
    <row r="28" spans="2:14" x14ac:dyDescent="0.2">
      <c r="B28" s="52"/>
      <c r="C28" s="13"/>
      <c r="D28" s="55"/>
      <c r="E28" s="102"/>
      <c r="F28" s="102"/>
      <c r="G28" s="118"/>
      <c r="H28" s="119"/>
      <c r="I28" s="118"/>
      <c r="J28" s="120"/>
      <c r="K28" s="119"/>
      <c r="L28" s="120"/>
      <c r="M28" s="131"/>
      <c r="N28" s="132"/>
    </row>
    <row r="29" spans="2:14" x14ac:dyDescent="0.2">
      <c r="B29" s="50"/>
      <c r="C29" s="13" t="s">
        <v>5</v>
      </c>
      <c r="D29" s="51"/>
      <c r="E29" s="97"/>
      <c r="F29" s="97"/>
      <c r="G29" s="121"/>
      <c r="H29" s="122"/>
      <c r="I29" s="121"/>
      <c r="J29" s="123"/>
      <c r="K29" s="122"/>
      <c r="L29" s="123"/>
      <c r="M29" s="91"/>
      <c r="N29" s="92"/>
    </row>
    <row r="30" spans="2:14" x14ac:dyDescent="0.2">
      <c r="B30" s="50"/>
      <c r="C30" s="44"/>
      <c r="D30" s="53" t="s">
        <v>26</v>
      </c>
      <c r="E30" s="97"/>
      <c r="F30" s="97"/>
      <c r="G30" s="121"/>
      <c r="H30" s="122"/>
      <c r="I30" s="121"/>
      <c r="J30" s="123"/>
      <c r="K30" s="122"/>
      <c r="L30" s="123"/>
      <c r="M30" s="91"/>
      <c r="N30" s="92"/>
    </row>
    <row r="31" spans="2:14" x14ac:dyDescent="0.2">
      <c r="B31" s="50"/>
      <c r="C31" s="13"/>
      <c r="D31" s="53" t="s">
        <v>27</v>
      </c>
      <c r="E31" s="97">
        <v>6</v>
      </c>
      <c r="F31" s="97">
        <v>6</v>
      </c>
      <c r="G31" s="99">
        <v>22</v>
      </c>
      <c r="H31" s="97">
        <v>28</v>
      </c>
      <c r="I31" s="99">
        <v>35</v>
      </c>
      <c r="J31" s="114">
        <v>60</v>
      </c>
      <c r="K31" s="97">
        <v>19</v>
      </c>
      <c r="L31" s="114">
        <v>48</v>
      </c>
      <c r="M31" s="91">
        <v>0</v>
      </c>
      <c r="N31" s="92">
        <v>18</v>
      </c>
    </row>
    <row r="32" spans="2:14" x14ac:dyDescent="0.2">
      <c r="B32" s="50"/>
      <c r="C32" s="18"/>
      <c r="D32" s="53" t="s">
        <v>28</v>
      </c>
      <c r="E32" s="97">
        <v>0</v>
      </c>
      <c r="F32" s="97">
        <v>0</v>
      </c>
      <c r="G32" s="99">
        <v>0</v>
      </c>
      <c r="H32" s="97">
        <v>0</v>
      </c>
      <c r="I32" s="99">
        <v>0</v>
      </c>
      <c r="J32" s="114">
        <v>0</v>
      </c>
      <c r="K32" s="97">
        <v>0</v>
      </c>
      <c r="L32" s="114">
        <v>0</v>
      </c>
      <c r="M32" s="91">
        <v>0</v>
      </c>
      <c r="N32" s="92">
        <v>0</v>
      </c>
    </row>
    <row r="33" spans="2:14" x14ac:dyDescent="0.2">
      <c r="B33" s="50"/>
      <c r="C33" s="18"/>
      <c r="D33" s="54" t="s">
        <v>13</v>
      </c>
      <c r="E33" s="98">
        <v>6</v>
      </c>
      <c r="F33" s="98">
        <v>6</v>
      </c>
      <c r="G33" s="101">
        <v>22</v>
      </c>
      <c r="H33" s="98">
        <v>28</v>
      </c>
      <c r="I33" s="101">
        <v>35</v>
      </c>
      <c r="J33" s="100">
        <v>60</v>
      </c>
      <c r="K33" s="98">
        <v>19</v>
      </c>
      <c r="L33" s="100">
        <v>48</v>
      </c>
      <c r="M33" s="96">
        <v>0</v>
      </c>
      <c r="N33" s="95">
        <v>18</v>
      </c>
    </row>
    <row r="34" spans="2:14" x14ac:dyDescent="0.2">
      <c r="B34" s="50"/>
      <c r="C34" s="13" t="s">
        <v>6</v>
      </c>
      <c r="D34" s="55"/>
      <c r="E34" s="97"/>
      <c r="F34" s="97"/>
      <c r="G34" s="99"/>
      <c r="H34" s="97"/>
      <c r="I34" s="99"/>
      <c r="J34" s="114"/>
      <c r="K34" s="97"/>
      <c r="L34" s="114"/>
      <c r="M34" s="91"/>
      <c r="N34" s="92"/>
    </row>
    <row r="35" spans="2:14" x14ac:dyDescent="0.2">
      <c r="B35" s="50"/>
      <c r="C35" s="44"/>
      <c r="D35" s="53" t="s">
        <v>26</v>
      </c>
      <c r="E35" s="97">
        <v>0</v>
      </c>
      <c r="F35" s="97">
        <v>0</v>
      </c>
      <c r="G35" s="99">
        <v>0</v>
      </c>
      <c r="H35" s="97">
        <v>0</v>
      </c>
      <c r="I35" s="99">
        <v>0</v>
      </c>
      <c r="J35" s="114">
        <v>0</v>
      </c>
      <c r="K35" s="97">
        <v>0</v>
      </c>
      <c r="L35" s="114">
        <v>0</v>
      </c>
      <c r="M35" s="91">
        <v>0</v>
      </c>
      <c r="N35" s="92">
        <v>0</v>
      </c>
    </row>
    <row r="36" spans="2:14" x14ac:dyDescent="0.2">
      <c r="B36" s="50"/>
      <c r="C36" s="13"/>
      <c r="D36" s="53" t="s">
        <v>27</v>
      </c>
      <c r="E36" s="97">
        <v>0</v>
      </c>
      <c r="F36" s="97">
        <v>0</v>
      </c>
      <c r="G36" s="99">
        <v>0</v>
      </c>
      <c r="H36" s="97">
        <v>0</v>
      </c>
      <c r="I36" s="99">
        <v>0</v>
      </c>
      <c r="J36" s="114">
        <v>0</v>
      </c>
      <c r="K36" s="97">
        <v>0</v>
      </c>
      <c r="L36" s="114">
        <v>0</v>
      </c>
      <c r="M36" s="91">
        <v>0</v>
      </c>
      <c r="N36" s="92">
        <v>0</v>
      </c>
    </row>
    <row r="37" spans="2:14" x14ac:dyDescent="0.2">
      <c r="B37" s="50"/>
      <c r="C37" s="13"/>
      <c r="D37" s="53" t="s">
        <v>28</v>
      </c>
      <c r="E37" s="97">
        <v>0</v>
      </c>
      <c r="F37" s="97">
        <v>0</v>
      </c>
      <c r="G37" s="99">
        <v>0</v>
      </c>
      <c r="H37" s="97">
        <v>0</v>
      </c>
      <c r="I37" s="99">
        <v>0</v>
      </c>
      <c r="J37" s="114">
        <v>0</v>
      </c>
      <c r="K37" s="97">
        <v>0</v>
      </c>
      <c r="L37" s="114">
        <v>0</v>
      </c>
      <c r="M37" s="91">
        <v>0</v>
      </c>
      <c r="N37" s="92">
        <v>0</v>
      </c>
    </row>
    <row r="38" spans="2:14" x14ac:dyDescent="0.2">
      <c r="B38" s="50"/>
      <c r="C38" s="18"/>
      <c r="D38" s="56" t="s">
        <v>14</v>
      </c>
      <c r="E38" s="98">
        <v>0</v>
      </c>
      <c r="F38" s="98">
        <v>0</v>
      </c>
      <c r="G38" s="101">
        <v>0</v>
      </c>
      <c r="H38" s="98">
        <v>0</v>
      </c>
      <c r="I38" s="101">
        <v>0</v>
      </c>
      <c r="J38" s="100">
        <v>0</v>
      </c>
      <c r="K38" s="98">
        <v>0</v>
      </c>
      <c r="L38" s="100">
        <v>0</v>
      </c>
      <c r="M38" s="96">
        <v>0</v>
      </c>
      <c r="N38" s="95">
        <v>0</v>
      </c>
    </row>
    <row r="39" spans="2:14" x14ac:dyDescent="0.2">
      <c r="B39" s="50"/>
      <c r="C39" s="13" t="s">
        <v>11</v>
      </c>
      <c r="D39" s="55"/>
      <c r="E39" s="97"/>
      <c r="F39" s="97"/>
      <c r="G39" s="99"/>
      <c r="H39" s="97"/>
      <c r="I39" s="99"/>
      <c r="J39" s="114"/>
      <c r="K39" s="97"/>
      <c r="L39" s="114"/>
      <c r="M39" s="91"/>
      <c r="N39" s="92"/>
    </row>
    <row r="40" spans="2:14" x14ac:dyDescent="0.2">
      <c r="B40" s="50"/>
      <c r="C40" s="13"/>
      <c r="D40" s="53" t="s">
        <v>26</v>
      </c>
      <c r="E40" s="97">
        <v>0</v>
      </c>
      <c r="F40" s="97">
        <v>0</v>
      </c>
      <c r="G40" s="99">
        <v>0</v>
      </c>
      <c r="H40" s="97">
        <v>0</v>
      </c>
      <c r="I40" s="99">
        <v>0</v>
      </c>
      <c r="J40" s="114">
        <v>0</v>
      </c>
      <c r="K40" s="97">
        <v>0</v>
      </c>
      <c r="L40" s="114">
        <v>0</v>
      </c>
      <c r="M40" s="91">
        <v>0</v>
      </c>
      <c r="N40" s="92">
        <v>0</v>
      </c>
    </row>
    <row r="41" spans="2:14" x14ac:dyDescent="0.2">
      <c r="B41" s="50"/>
      <c r="C41" s="13"/>
      <c r="D41" s="53" t="s">
        <v>27</v>
      </c>
      <c r="E41" s="97">
        <v>0</v>
      </c>
      <c r="F41" s="97">
        <v>0</v>
      </c>
      <c r="G41" s="99">
        <v>0</v>
      </c>
      <c r="H41" s="97">
        <v>0</v>
      </c>
      <c r="I41" s="99">
        <v>0</v>
      </c>
      <c r="J41" s="114">
        <v>0</v>
      </c>
      <c r="K41" s="97">
        <v>0</v>
      </c>
      <c r="L41" s="114">
        <v>0</v>
      </c>
      <c r="M41" s="91">
        <v>0</v>
      </c>
      <c r="N41" s="92">
        <v>0</v>
      </c>
    </row>
    <row r="42" spans="2:14" x14ac:dyDescent="0.2">
      <c r="B42" s="50"/>
      <c r="C42" s="13"/>
      <c r="D42" s="53" t="s">
        <v>28</v>
      </c>
      <c r="E42" s="97">
        <v>0</v>
      </c>
      <c r="F42" s="97">
        <v>0</v>
      </c>
      <c r="G42" s="99">
        <v>0</v>
      </c>
      <c r="H42" s="97">
        <v>0</v>
      </c>
      <c r="I42" s="99">
        <v>0</v>
      </c>
      <c r="J42" s="114">
        <v>0</v>
      </c>
      <c r="K42" s="97">
        <v>0</v>
      </c>
      <c r="L42" s="114">
        <v>0</v>
      </c>
      <c r="M42" s="91">
        <v>0</v>
      </c>
      <c r="N42" s="92">
        <v>0</v>
      </c>
    </row>
    <row r="43" spans="2:14" x14ac:dyDescent="0.2">
      <c r="B43" s="50"/>
      <c r="C43" s="18"/>
      <c r="D43" s="56" t="s">
        <v>30</v>
      </c>
      <c r="E43" s="98">
        <v>0</v>
      </c>
      <c r="F43" s="98">
        <v>0</v>
      </c>
      <c r="G43" s="101">
        <v>0</v>
      </c>
      <c r="H43" s="98">
        <v>0</v>
      </c>
      <c r="I43" s="101">
        <v>0</v>
      </c>
      <c r="J43" s="100">
        <v>0</v>
      </c>
      <c r="K43" s="98">
        <v>0</v>
      </c>
      <c r="L43" s="100">
        <v>0</v>
      </c>
      <c r="M43" s="96">
        <v>0</v>
      </c>
      <c r="N43" s="95">
        <v>0</v>
      </c>
    </row>
    <row r="44" spans="2:14" x14ac:dyDescent="0.2">
      <c r="B44" s="5611" t="s">
        <v>75</v>
      </c>
      <c r="C44" s="5612"/>
      <c r="D44" s="53"/>
      <c r="E44" s="97"/>
      <c r="F44" s="97"/>
      <c r="G44" s="99"/>
      <c r="H44" s="97"/>
      <c r="I44" s="99"/>
      <c r="J44" s="114"/>
      <c r="K44" s="97"/>
      <c r="L44" s="114"/>
      <c r="M44" s="91"/>
      <c r="N44" s="92"/>
    </row>
    <row r="45" spans="2:14" x14ac:dyDescent="0.2">
      <c r="B45" s="50"/>
      <c r="C45" s="13"/>
      <c r="D45" s="53" t="s">
        <v>26</v>
      </c>
      <c r="E45" s="97">
        <v>0</v>
      </c>
      <c r="F45" s="97">
        <v>0</v>
      </c>
      <c r="G45" s="99">
        <v>0</v>
      </c>
      <c r="H45" s="97">
        <v>0</v>
      </c>
      <c r="I45" s="99">
        <v>0</v>
      </c>
      <c r="J45" s="114">
        <v>0</v>
      </c>
      <c r="K45" s="97">
        <v>0</v>
      </c>
      <c r="L45" s="114">
        <v>0</v>
      </c>
      <c r="M45" s="91">
        <v>0</v>
      </c>
      <c r="N45" s="92">
        <v>0</v>
      </c>
    </row>
    <row r="46" spans="2:14" x14ac:dyDescent="0.2">
      <c r="B46" s="50"/>
      <c r="C46" s="13"/>
      <c r="D46" s="53" t="s">
        <v>27</v>
      </c>
      <c r="E46" s="97">
        <v>6</v>
      </c>
      <c r="F46" s="97">
        <v>6</v>
      </c>
      <c r="G46" s="99">
        <v>22</v>
      </c>
      <c r="H46" s="97">
        <v>28</v>
      </c>
      <c r="I46" s="99">
        <v>35</v>
      </c>
      <c r="J46" s="114">
        <v>60</v>
      </c>
      <c r="K46" s="97">
        <v>19</v>
      </c>
      <c r="L46" s="114">
        <v>48</v>
      </c>
      <c r="M46" s="91">
        <v>0</v>
      </c>
      <c r="N46" s="92">
        <v>18</v>
      </c>
    </row>
    <row r="47" spans="2:14" x14ac:dyDescent="0.2">
      <c r="B47" s="50"/>
      <c r="C47" s="13"/>
      <c r="D47" s="53" t="s">
        <v>28</v>
      </c>
      <c r="E47" s="97">
        <v>0</v>
      </c>
      <c r="F47" s="97">
        <v>0</v>
      </c>
      <c r="G47" s="99">
        <v>0</v>
      </c>
      <c r="H47" s="97">
        <v>0</v>
      </c>
      <c r="I47" s="99">
        <v>0</v>
      </c>
      <c r="J47" s="114">
        <v>0</v>
      </c>
      <c r="K47" s="97">
        <v>0</v>
      </c>
      <c r="L47" s="114">
        <v>0</v>
      </c>
      <c r="M47" s="129">
        <v>0</v>
      </c>
      <c r="N47" s="130">
        <v>0</v>
      </c>
    </row>
    <row r="48" spans="2:14" ht="15" x14ac:dyDescent="0.2">
      <c r="B48" s="6137" t="s">
        <v>31</v>
      </c>
      <c r="C48" s="6138"/>
      <c r="D48" s="6139"/>
      <c r="E48" s="104">
        <v>6</v>
      </c>
      <c r="F48" s="104">
        <v>6</v>
      </c>
      <c r="G48" s="105">
        <v>22</v>
      </c>
      <c r="H48" s="104">
        <v>28</v>
      </c>
      <c r="I48" s="105">
        <v>35</v>
      </c>
      <c r="J48" s="106">
        <v>60</v>
      </c>
      <c r="K48" s="104">
        <v>19</v>
      </c>
      <c r="L48" s="106">
        <v>48</v>
      </c>
      <c r="M48" s="133">
        <v>0</v>
      </c>
      <c r="N48" s="134">
        <v>18</v>
      </c>
    </row>
    <row r="49" spans="2:14" x14ac:dyDescent="0.2">
      <c r="B49" s="50"/>
      <c r="C49" s="18"/>
      <c r="D49" s="53"/>
      <c r="E49" s="97"/>
      <c r="F49" s="97"/>
      <c r="G49" s="121"/>
      <c r="H49" s="122"/>
      <c r="I49" s="121"/>
      <c r="J49" s="123"/>
      <c r="K49" s="122"/>
      <c r="L49" s="123"/>
      <c r="M49" s="131"/>
      <c r="N49" s="132"/>
    </row>
    <row r="50" spans="2:14" x14ac:dyDescent="0.2">
      <c r="B50" s="50"/>
      <c r="C50" s="13" t="s">
        <v>6</v>
      </c>
      <c r="D50" s="51"/>
      <c r="E50" s="97"/>
      <c r="F50" s="97"/>
      <c r="G50" s="121"/>
      <c r="H50" s="122"/>
      <c r="I50" s="121"/>
      <c r="J50" s="123"/>
      <c r="K50" s="122"/>
      <c r="L50" s="123"/>
      <c r="M50" s="91"/>
      <c r="N50" s="92"/>
    </row>
    <row r="51" spans="2:14" x14ac:dyDescent="0.2">
      <c r="B51" s="50"/>
      <c r="C51" s="44"/>
      <c r="D51" s="53" t="s">
        <v>26</v>
      </c>
      <c r="E51" s="97">
        <v>0</v>
      </c>
      <c r="F51" s="97">
        <v>0</v>
      </c>
      <c r="G51" s="99">
        <v>0</v>
      </c>
      <c r="H51" s="97">
        <v>0</v>
      </c>
      <c r="I51" s="99">
        <v>0</v>
      </c>
      <c r="J51" s="114">
        <v>0</v>
      </c>
      <c r="K51" s="97">
        <v>0</v>
      </c>
      <c r="L51" s="114">
        <v>0</v>
      </c>
      <c r="M51" s="91">
        <v>0</v>
      </c>
      <c r="N51" s="92">
        <v>0</v>
      </c>
    </row>
    <row r="52" spans="2:14" x14ac:dyDescent="0.2">
      <c r="B52" s="50"/>
      <c r="C52" s="13"/>
      <c r="D52" s="53" t="s">
        <v>27</v>
      </c>
      <c r="E52" s="97">
        <v>0</v>
      </c>
      <c r="F52" s="97">
        <v>0</v>
      </c>
      <c r="G52" s="99">
        <v>0</v>
      </c>
      <c r="H52" s="97">
        <v>0</v>
      </c>
      <c r="I52" s="99">
        <v>0</v>
      </c>
      <c r="J52" s="114">
        <v>0</v>
      </c>
      <c r="K52" s="97">
        <v>0</v>
      </c>
      <c r="L52" s="114">
        <v>0</v>
      </c>
      <c r="M52" s="91">
        <v>0</v>
      </c>
      <c r="N52" s="92">
        <v>0</v>
      </c>
    </row>
    <row r="53" spans="2:14" x14ac:dyDescent="0.2">
      <c r="B53" s="50"/>
      <c r="C53" s="18"/>
      <c r="D53" s="53" t="s">
        <v>28</v>
      </c>
      <c r="E53" s="97">
        <v>0</v>
      </c>
      <c r="F53" s="97">
        <v>0</v>
      </c>
      <c r="G53" s="99">
        <v>0</v>
      </c>
      <c r="H53" s="97">
        <v>0</v>
      </c>
      <c r="I53" s="99">
        <v>0</v>
      </c>
      <c r="J53" s="114">
        <v>0</v>
      </c>
      <c r="K53" s="97">
        <v>0</v>
      </c>
      <c r="L53" s="114">
        <v>0</v>
      </c>
      <c r="M53" s="91">
        <v>0</v>
      </c>
      <c r="N53" s="92">
        <v>0</v>
      </c>
    </row>
    <row r="54" spans="2:14" x14ac:dyDescent="0.2">
      <c r="B54" s="50"/>
      <c r="C54" s="18"/>
      <c r="D54" s="54" t="s">
        <v>14</v>
      </c>
      <c r="E54" s="98"/>
      <c r="F54" s="98"/>
      <c r="G54" s="101">
        <v>0</v>
      </c>
      <c r="H54" s="98">
        <v>0</v>
      </c>
      <c r="I54" s="101">
        <v>0</v>
      </c>
      <c r="J54" s="100">
        <v>0</v>
      </c>
      <c r="K54" s="98">
        <v>0</v>
      </c>
      <c r="L54" s="100">
        <v>0</v>
      </c>
      <c r="M54" s="96">
        <v>0</v>
      </c>
      <c r="N54" s="95">
        <v>0</v>
      </c>
    </row>
    <row r="55" spans="2:14" x14ac:dyDescent="0.2">
      <c r="B55" s="50"/>
      <c r="C55" s="13" t="s">
        <v>11</v>
      </c>
      <c r="D55" s="55"/>
      <c r="E55" s="97"/>
      <c r="F55" s="97"/>
      <c r="G55" s="99"/>
      <c r="H55" s="97"/>
      <c r="I55" s="99"/>
      <c r="J55" s="114"/>
      <c r="K55" s="97"/>
      <c r="L55" s="114"/>
      <c r="M55" s="91"/>
      <c r="N55" s="92"/>
    </row>
    <row r="56" spans="2:14" x14ac:dyDescent="0.2">
      <c r="B56" s="50"/>
      <c r="C56" s="44"/>
      <c r="D56" s="53" t="s">
        <v>26</v>
      </c>
      <c r="E56" s="97">
        <v>0</v>
      </c>
      <c r="F56" s="97">
        <v>0</v>
      </c>
      <c r="G56" s="99">
        <v>0</v>
      </c>
      <c r="H56" s="97">
        <v>0</v>
      </c>
      <c r="I56" s="99">
        <v>0</v>
      </c>
      <c r="J56" s="114">
        <v>0</v>
      </c>
      <c r="K56" s="97">
        <v>0</v>
      </c>
      <c r="L56" s="114">
        <v>0</v>
      </c>
      <c r="M56" s="91">
        <v>0</v>
      </c>
      <c r="N56" s="92">
        <v>0</v>
      </c>
    </row>
    <row r="57" spans="2:14" x14ac:dyDescent="0.2">
      <c r="B57" s="50"/>
      <c r="C57" s="13"/>
      <c r="D57" s="53" t="s">
        <v>27</v>
      </c>
      <c r="E57" s="97">
        <v>6</v>
      </c>
      <c r="F57" s="97">
        <v>6</v>
      </c>
      <c r="G57" s="99">
        <v>0</v>
      </c>
      <c r="H57" s="97">
        <v>6</v>
      </c>
      <c r="I57" s="99">
        <v>14</v>
      </c>
      <c r="J57" s="114">
        <v>14</v>
      </c>
      <c r="K57" s="97">
        <v>19</v>
      </c>
      <c r="L57" s="114">
        <v>33</v>
      </c>
      <c r="M57" s="91">
        <v>0</v>
      </c>
      <c r="N57" s="92">
        <v>19</v>
      </c>
    </row>
    <row r="58" spans="2:14" x14ac:dyDescent="0.2">
      <c r="B58" s="50"/>
      <c r="C58" s="13"/>
      <c r="D58" s="53" t="s">
        <v>28</v>
      </c>
      <c r="E58" s="97">
        <v>1</v>
      </c>
      <c r="F58" s="97">
        <v>1</v>
      </c>
      <c r="G58" s="99">
        <v>0</v>
      </c>
      <c r="H58" s="97">
        <v>1</v>
      </c>
      <c r="I58" s="99">
        <v>0</v>
      </c>
      <c r="J58" s="114">
        <v>0</v>
      </c>
      <c r="K58" s="97">
        <v>0</v>
      </c>
      <c r="L58" s="114">
        <v>0</v>
      </c>
      <c r="M58" s="91">
        <v>0</v>
      </c>
      <c r="N58" s="92">
        <v>0</v>
      </c>
    </row>
    <row r="59" spans="2:14" x14ac:dyDescent="0.2">
      <c r="B59" s="50"/>
      <c r="C59" s="18"/>
      <c r="D59" s="56" t="s">
        <v>30</v>
      </c>
      <c r="E59" s="98"/>
      <c r="F59" s="98"/>
      <c r="G59" s="101">
        <v>0</v>
      </c>
      <c r="H59" s="98">
        <v>7</v>
      </c>
      <c r="I59" s="101">
        <v>14</v>
      </c>
      <c r="J59" s="100">
        <v>14</v>
      </c>
      <c r="K59" s="98">
        <v>19</v>
      </c>
      <c r="L59" s="100">
        <v>33</v>
      </c>
      <c r="M59" s="96">
        <v>0</v>
      </c>
      <c r="N59" s="95">
        <v>19</v>
      </c>
    </row>
    <row r="60" spans="2:14" x14ac:dyDescent="0.2">
      <c r="B60" s="50"/>
      <c r="C60" s="13" t="s">
        <v>7</v>
      </c>
      <c r="D60" s="55"/>
      <c r="E60" s="97"/>
      <c r="F60" s="97"/>
      <c r="G60" s="99"/>
      <c r="H60" s="97"/>
      <c r="I60" s="99"/>
      <c r="J60" s="114"/>
      <c r="K60" s="97"/>
      <c r="L60" s="114"/>
      <c r="M60" s="91"/>
      <c r="N60" s="92"/>
    </row>
    <row r="61" spans="2:14" x14ac:dyDescent="0.2">
      <c r="B61" s="50"/>
      <c r="C61" s="13"/>
      <c r="D61" s="53" t="s">
        <v>26</v>
      </c>
      <c r="E61" s="97"/>
      <c r="F61" s="97"/>
      <c r="G61" s="99"/>
      <c r="H61" s="97"/>
      <c r="I61" s="99"/>
      <c r="J61" s="114"/>
      <c r="K61" s="97"/>
      <c r="L61" s="114"/>
      <c r="M61" s="91"/>
      <c r="N61" s="92"/>
    </row>
    <row r="62" spans="2:14" x14ac:dyDescent="0.2">
      <c r="B62" s="50"/>
      <c r="C62" s="13"/>
      <c r="D62" s="53" t="s">
        <v>27</v>
      </c>
      <c r="E62" s="97">
        <v>0</v>
      </c>
      <c r="F62" s="97">
        <v>0</v>
      </c>
      <c r="G62" s="99">
        <v>0</v>
      </c>
      <c r="H62" s="97">
        <v>0</v>
      </c>
      <c r="I62" s="99">
        <v>0</v>
      </c>
      <c r="J62" s="114">
        <v>0</v>
      </c>
      <c r="K62" s="97">
        <v>0</v>
      </c>
      <c r="L62" s="114">
        <v>0</v>
      </c>
      <c r="M62" s="91">
        <v>0</v>
      </c>
      <c r="N62" s="92">
        <v>0</v>
      </c>
    </row>
    <row r="63" spans="2:14" x14ac:dyDescent="0.2">
      <c r="B63" s="50"/>
      <c r="C63" s="13"/>
      <c r="D63" s="53" t="s">
        <v>28</v>
      </c>
      <c r="E63" s="97">
        <v>0</v>
      </c>
      <c r="F63" s="97">
        <v>0</v>
      </c>
      <c r="G63" s="99">
        <v>0</v>
      </c>
      <c r="H63" s="97">
        <v>0</v>
      </c>
      <c r="I63" s="99">
        <v>0</v>
      </c>
      <c r="J63" s="114">
        <v>0</v>
      </c>
      <c r="K63" s="97">
        <v>0</v>
      </c>
      <c r="L63" s="114">
        <v>0</v>
      </c>
      <c r="M63" s="91">
        <v>0</v>
      </c>
      <c r="N63" s="92">
        <v>0</v>
      </c>
    </row>
    <row r="64" spans="2:14" x14ac:dyDescent="0.2">
      <c r="B64" s="50"/>
      <c r="C64" s="18"/>
      <c r="D64" s="56" t="s">
        <v>15</v>
      </c>
      <c r="E64" s="98"/>
      <c r="F64" s="98"/>
      <c r="G64" s="101">
        <v>0</v>
      </c>
      <c r="H64" s="98">
        <v>0</v>
      </c>
      <c r="I64" s="101">
        <v>0</v>
      </c>
      <c r="J64" s="100">
        <v>0</v>
      </c>
      <c r="K64" s="98">
        <v>0</v>
      </c>
      <c r="L64" s="100">
        <v>0</v>
      </c>
      <c r="M64" s="96">
        <v>0</v>
      </c>
      <c r="N64" s="95">
        <v>0</v>
      </c>
    </row>
    <row r="65" spans="2:14" x14ac:dyDescent="0.2">
      <c r="B65" s="5611" t="s">
        <v>10</v>
      </c>
      <c r="C65" s="5612"/>
      <c r="D65" s="53"/>
      <c r="E65" s="97"/>
      <c r="F65" s="97"/>
      <c r="G65" s="99"/>
      <c r="H65" s="97"/>
      <c r="I65" s="99"/>
      <c r="J65" s="114"/>
      <c r="K65" s="97"/>
      <c r="L65" s="114"/>
      <c r="M65" s="91"/>
      <c r="N65" s="92"/>
    </row>
    <row r="66" spans="2:14" x14ac:dyDescent="0.2">
      <c r="B66" s="50"/>
      <c r="C66" s="13"/>
      <c r="D66" s="53" t="s">
        <v>26</v>
      </c>
      <c r="E66" s="97">
        <v>0</v>
      </c>
      <c r="F66" s="97">
        <v>0</v>
      </c>
      <c r="G66" s="99">
        <v>0</v>
      </c>
      <c r="H66" s="97">
        <v>0</v>
      </c>
      <c r="I66" s="99">
        <v>0</v>
      </c>
      <c r="J66" s="114">
        <v>0</v>
      </c>
      <c r="K66" s="97">
        <v>0</v>
      </c>
      <c r="L66" s="114">
        <v>0</v>
      </c>
      <c r="M66" s="91">
        <v>0</v>
      </c>
      <c r="N66" s="92">
        <v>0</v>
      </c>
    </row>
    <row r="67" spans="2:14" x14ac:dyDescent="0.2">
      <c r="B67" s="50"/>
      <c r="C67" s="13"/>
      <c r="D67" s="53" t="s">
        <v>27</v>
      </c>
      <c r="E67" s="97">
        <v>6</v>
      </c>
      <c r="F67" s="97">
        <v>6</v>
      </c>
      <c r="G67" s="99">
        <v>0</v>
      </c>
      <c r="H67" s="97">
        <v>6</v>
      </c>
      <c r="I67" s="99">
        <v>14</v>
      </c>
      <c r="J67" s="114">
        <v>14</v>
      </c>
      <c r="K67" s="97">
        <v>19</v>
      </c>
      <c r="L67" s="114">
        <v>33</v>
      </c>
      <c r="M67" s="91">
        <v>0</v>
      </c>
      <c r="N67" s="92">
        <v>19</v>
      </c>
    </row>
    <row r="68" spans="2:14" x14ac:dyDescent="0.2">
      <c r="B68" s="50"/>
      <c r="C68" s="13"/>
      <c r="D68" s="53" t="s">
        <v>28</v>
      </c>
      <c r="E68" s="97">
        <v>1</v>
      </c>
      <c r="F68" s="97">
        <v>1</v>
      </c>
      <c r="G68" s="99">
        <v>0</v>
      </c>
      <c r="H68" s="97">
        <v>1</v>
      </c>
      <c r="I68" s="99">
        <v>0</v>
      </c>
      <c r="J68" s="114">
        <v>0</v>
      </c>
      <c r="K68" s="97">
        <v>0</v>
      </c>
      <c r="L68" s="114">
        <v>0</v>
      </c>
      <c r="M68" s="129">
        <v>0</v>
      </c>
      <c r="N68" s="130">
        <v>0</v>
      </c>
    </row>
    <row r="69" spans="2:14" ht="15" x14ac:dyDescent="0.2">
      <c r="B69" s="6137" t="s">
        <v>32</v>
      </c>
      <c r="C69" s="6138"/>
      <c r="D69" s="6139"/>
      <c r="E69" s="104">
        <v>7</v>
      </c>
      <c r="F69" s="104">
        <v>7</v>
      </c>
      <c r="G69" s="105">
        <v>0</v>
      </c>
      <c r="H69" s="104">
        <v>7</v>
      </c>
      <c r="I69" s="105">
        <v>14</v>
      </c>
      <c r="J69" s="106">
        <v>14</v>
      </c>
      <c r="K69" s="104">
        <v>19</v>
      </c>
      <c r="L69" s="106">
        <v>33</v>
      </c>
      <c r="M69" s="93">
        <v>0</v>
      </c>
      <c r="N69" s="94">
        <v>19</v>
      </c>
    </row>
    <row r="70" spans="2:14" x14ac:dyDescent="0.2">
      <c r="B70" s="50"/>
      <c r="C70" s="18"/>
      <c r="D70" s="53"/>
      <c r="E70" s="97"/>
      <c r="F70" s="97"/>
      <c r="G70" s="99"/>
      <c r="H70" s="97"/>
      <c r="I70" s="99"/>
      <c r="J70" s="114"/>
      <c r="K70" s="97"/>
      <c r="L70" s="114"/>
      <c r="M70" s="131"/>
      <c r="N70" s="132"/>
    </row>
    <row r="71" spans="2:14" x14ac:dyDescent="0.2">
      <c r="B71" s="5611" t="s">
        <v>60</v>
      </c>
      <c r="C71" s="5612"/>
      <c r="D71" s="53" t="s">
        <v>26</v>
      </c>
      <c r="E71" s="97">
        <v>0</v>
      </c>
      <c r="F71" s="97">
        <v>0</v>
      </c>
      <c r="G71" s="99">
        <v>0</v>
      </c>
      <c r="H71" s="97">
        <v>0</v>
      </c>
      <c r="I71" s="99">
        <v>0</v>
      </c>
      <c r="J71" s="114">
        <v>0</v>
      </c>
      <c r="K71" s="97">
        <v>0</v>
      </c>
      <c r="L71" s="114">
        <v>0</v>
      </c>
      <c r="M71" s="91">
        <v>0</v>
      </c>
      <c r="N71" s="92">
        <v>0</v>
      </c>
    </row>
    <row r="72" spans="2:14" x14ac:dyDescent="0.2">
      <c r="B72" s="52"/>
      <c r="C72" s="13"/>
      <c r="D72" s="53" t="s">
        <v>27</v>
      </c>
      <c r="E72" s="97">
        <v>12</v>
      </c>
      <c r="F72" s="97">
        <v>12</v>
      </c>
      <c r="G72" s="99">
        <v>39</v>
      </c>
      <c r="H72" s="97">
        <v>51</v>
      </c>
      <c r="I72" s="99">
        <v>68</v>
      </c>
      <c r="J72" s="114">
        <v>110</v>
      </c>
      <c r="K72" s="97">
        <v>64</v>
      </c>
      <c r="L72" s="114">
        <v>126</v>
      </c>
      <c r="M72" s="91">
        <v>0</v>
      </c>
      <c r="N72" s="92">
        <v>62</v>
      </c>
    </row>
    <row r="73" spans="2:14" x14ac:dyDescent="0.2">
      <c r="B73" s="52"/>
      <c r="C73" s="13"/>
      <c r="D73" s="53" t="s">
        <v>28</v>
      </c>
      <c r="E73" s="97">
        <v>1</v>
      </c>
      <c r="F73" s="97">
        <v>1</v>
      </c>
      <c r="G73" s="99">
        <v>9</v>
      </c>
      <c r="H73" s="97">
        <v>10</v>
      </c>
      <c r="I73" s="99">
        <v>8</v>
      </c>
      <c r="J73" s="114">
        <v>17</v>
      </c>
      <c r="K73" s="97">
        <v>23</v>
      </c>
      <c r="L73" s="114">
        <v>29</v>
      </c>
      <c r="M73" s="129">
        <v>0</v>
      </c>
      <c r="N73" s="130">
        <v>20</v>
      </c>
    </row>
    <row r="74" spans="2:14" s="77" customFormat="1" ht="15" x14ac:dyDescent="0.2">
      <c r="B74" s="6147" t="s">
        <v>76</v>
      </c>
      <c r="C74" s="6148"/>
      <c r="D74" s="6149"/>
      <c r="E74" s="110">
        <v>13</v>
      </c>
      <c r="F74" s="110">
        <v>13</v>
      </c>
      <c r="G74" s="111">
        <v>48</v>
      </c>
      <c r="H74" s="110">
        <v>61</v>
      </c>
      <c r="I74" s="111">
        <v>76</v>
      </c>
      <c r="J74" s="112">
        <v>127</v>
      </c>
      <c r="K74" s="110">
        <v>87</v>
      </c>
      <c r="L74" s="112">
        <v>155</v>
      </c>
      <c r="M74" s="126">
        <v>0</v>
      </c>
      <c r="N74" s="127">
        <v>82</v>
      </c>
    </row>
    <row r="75" spans="2:14" x14ac:dyDescent="0.2">
      <c r="B75" s="86" t="s">
        <v>131</v>
      </c>
    </row>
  </sheetData>
  <mergeCells count="18">
    <mergeCell ref="M5:N5"/>
    <mergeCell ref="B3:N3"/>
    <mergeCell ref="B2:N2"/>
    <mergeCell ref="B23:C23"/>
    <mergeCell ref="E5:F5"/>
    <mergeCell ref="K5:L5"/>
    <mergeCell ref="G5:H5"/>
    <mergeCell ref="I5:J5"/>
    <mergeCell ref="B5:B6"/>
    <mergeCell ref="C5:C6"/>
    <mergeCell ref="D5:D6"/>
    <mergeCell ref="B74:D74"/>
    <mergeCell ref="B69:D69"/>
    <mergeCell ref="B48:D48"/>
    <mergeCell ref="B27:D27"/>
    <mergeCell ref="B71:C71"/>
    <mergeCell ref="B44:C44"/>
    <mergeCell ref="B65:C65"/>
  </mergeCells>
  <phoneticPr fontId="69" type="noConversion"/>
  <printOptions horizontalCentered="1" verticalCentered="1"/>
  <pageMargins left="0.39370078740157483" right="0.39370078740157483" top="0.55118110236220474" bottom="0.59055118110236227" header="0" footer="0.31496062992125984"/>
  <pageSetup scale="50" orientation="landscape" horizontalDpi="1200" verticalDpi="1200" r:id="rId1"/>
  <headerFooter alignWithMargins="0">
    <oddHeader>&amp;LANEXO ESTADÍSTICO 2008&amp;CBECAS&amp;R&amp;G</oddHeader>
    <oddFooter>&amp;R67</oddFooter>
  </headerFooter>
  <legacyDrawingHF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B1:N58"/>
  <sheetViews>
    <sheetView showGridLines="0" topLeftCell="B1" zoomScaleNormal="100" workbookViewId="0">
      <pane xSplit="3" ySplit="4" topLeftCell="E5" activePane="bottomRight" state="frozen"/>
      <selection activeCell="B1" sqref="B1"/>
      <selection pane="topRight" activeCell="E1" sqref="E1"/>
      <selection pane="bottomLeft" activeCell="B5" sqref="B5"/>
      <selection pane="bottomRight" activeCell="Q13" sqref="Q13"/>
    </sheetView>
  </sheetViews>
  <sheetFormatPr baseColWidth="10" defaultRowHeight="15" x14ac:dyDescent="0.25"/>
  <cols>
    <col min="1" max="1" width="11.42578125" style="3068"/>
    <col min="2" max="2" width="12.42578125" style="3068" bestFit="1" customWidth="1"/>
    <col min="3" max="3" width="8.7109375" style="3068" customWidth="1"/>
    <col min="4" max="4" width="51.42578125" style="3068" bestFit="1" customWidth="1"/>
    <col min="5" max="5" width="9.5703125" style="3068" bestFit="1" customWidth="1"/>
    <col min="6" max="6" width="9.28515625" style="3068" bestFit="1" customWidth="1"/>
    <col min="7" max="7" width="9.5703125" style="3068" bestFit="1" customWidth="1"/>
    <col min="8" max="8" width="9.28515625" style="3068" bestFit="1" customWidth="1"/>
    <col min="9" max="9" width="8.85546875" style="3068" customWidth="1"/>
    <col min="10" max="13" width="9.28515625" style="3068" customWidth="1"/>
    <col min="14" max="14" width="8.85546875" style="3068" customWidth="1"/>
    <col min="15" max="16384" width="11.42578125" style="3068"/>
  </cols>
  <sheetData>
    <row r="1" spans="2:14" ht="18.75" x14ac:dyDescent="0.25">
      <c r="B1" s="4138" t="s">
        <v>1281</v>
      </c>
    </row>
    <row r="2" spans="2:14" ht="12.75" customHeight="1" x14ac:dyDescent="0.25">
      <c r="C2" s="3091"/>
      <c r="D2" s="3091"/>
      <c r="E2" s="3091"/>
      <c r="F2" s="3091"/>
      <c r="G2" s="3091"/>
      <c r="H2" s="3091"/>
      <c r="I2" s="3091"/>
    </row>
    <row r="3" spans="2:14" x14ac:dyDescent="0.25">
      <c r="B3" s="6155" t="s">
        <v>51</v>
      </c>
      <c r="C3" s="6155" t="s">
        <v>702</v>
      </c>
      <c r="D3" s="6155" t="s">
        <v>840</v>
      </c>
      <c r="E3" s="6028" t="s">
        <v>675</v>
      </c>
      <c r="F3" s="6156"/>
      <c r="G3" s="6028" t="s">
        <v>676</v>
      </c>
      <c r="H3" s="6156"/>
      <c r="I3" s="6153" t="s">
        <v>873</v>
      </c>
      <c r="J3" s="6028" t="s">
        <v>675</v>
      </c>
      <c r="K3" s="6156"/>
      <c r="L3" s="6028" t="s">
        <v>676</v>
      </c>
      <c r="M3" s="6156"/>
      <c r="N3" s="6153" t="s">
        <v>1517</v>
      </c>
    </row>
    <row r="4" spans="2:14" x14ac:dyDescent="0.25">
      <c r="B4" s="6154"/>
      <c r="C4" s="6154"/>
      <c r="D4" s="6154"/>
      <c r="E4" s="3069" t="s">
        <v>860</v>
      </c>
      <c r="F4" s="3069" t="s">
        <v>861</v>
      </c>
      <c r="G4" s="3069" t="s">
        <v>860</v>
      </c>
      <c r="H4" s="3069" t="s">
        <v>861</v>
      </c>
      <c r="I4" s="6154"/>
      <c r="J4" s="3069" t="s">
        <v>860</v>
      </c>
      <c r="K4" s="3069" t="s">
        <v>861</v>
      </c>
      <c r="L4" s="3069" t="s">
        <v>860</v>
      </c>
      <c r="M4" s="3069" t="s">
        <v>861</v>
      </c>
      <c r="N4" s="6154"/>
    </row>
    <row r="5" spans="2:14" ht="15" customHeight="1" x14ac:dyDescent="0.25">
      <c r="B5" s="6167" t="s">
        <v>161</v>
      </c>
      <c r="C5" s="6157" t="s">
        <v>5</v>
      </c>
      <c r="D5" s="3070" t="s">
        <v>862</v>
      </c>
      <c r="E5" s="3071"/>
      <c r="F5" s="3071">
        <v>1</v>
      </c>
      <c r="G5" s="3071"/>
      <c r="H5" s="3071"/>
      <c r="I5" s="3072">
        <f t="shared" ref="I5:I54" si="0">SUM(E5:H5)</f>
        <v>1</v>
      </c>
      <c r="J5" s="3071">
        <v>1</v>
      </c>
      <c r="K5" s="3071">
        <v>2</v>
      </c>
      <c r="L5" s="3071"/>
      <c r="M5" s="3071"/>
      <c r="N5" s="3072">
        <f>SUM(J5:M5)</f>
        <v>3</v>
      </c>
    </row>
    <row r="6" spans="2:14" ht="15" customHeight="1" x14ac:dyDescent="0.25">
      <c r="B6" s="6168"/>
      <c r="C6" s="6159"/>
      <c r="D6" s="3073" t="s">
        <v>628</v>
      </c>
      <c r="E6" s="3074"/>
      <c r="F6" s="3074"/>
      <c r="G6" s="3074"/>
      <c r="H6" s="3074">
        <v>2</v>
      </c>
      <c r="I6" s="3075">
        <f t="shared" si="0"/>
        <v>2</v>
      </c>
      <c r="J6" s="3074"/>
      <c r="K6" s="3074"/>
      <c r="L6" s="3074"/>
      <c r="M6" s="3074"/>
      <c r="N6" s="3075">
        <f t="shared" ref="N6:N56" si="1">SUM(J6:M6)</f>
        <v>0</v>
      </c>
    </row>
    <row r="7" spans="2:14" ht="15" customHeight="1" x14ac:dyDescent="0.25">
      <c r="B7" s="6168"/>
      <c r="C7" s="6159"/>
      <c r="D7" s="3073" t="s">
        <v>137</v>
      </c>
      <c r="E7" s="3074"/>
      <c r="F7" s="3074"/>
      <c r="G7" s="3074"/>
      <c r="H7" s="3074"/>
      <c r="I7" s="3075">
        <f t="shared" si="0"/>
        <v>0</v>
      </c>
      <c r="J7" s="3074"/>
      <c r="K7" s="3074"/>
      <c r="L7" s="3074"/>
      <c r="M7" s="3074">
        <v>2</v>
      </c>
      <c r="N7" s="3075">
        <f t="shared" si="1"/>
        <v>2</v>
      </c>
    </row>
    <row r="8" spans="2:14" ht="15" customHeight="1" x14ac:dyDescent="0.25">
      <c r="B8" s="6168"/>
      <c r="C8" s="6159"/>
      <c r="D8" s="3073" t="s">
        <v>136</v>
      </c>
      <c r="E8" s="3074"/>
      <c r="F8" s="3074"/>
      <c r="G8" s="3074"/>
      <c r="H8" s="3074">
        <v>9</v>
      </c>
      <c r="I8" s="3075">
        <f t="shared" si="0"/>
        <v>9</v>
      </c>
      <c r="J8" s="3074"/>
      <c r="K8" s="3074">
        <v>3</v>
      </c>
      <c r="L8" s="3074"/>
      <c r="M8" s="3074">
        <v>6</v>
      </c>
      <c r="N8" s="3075">
        <f t="shared" si="1"/>
        <v>9</v>
      </c>
    </row>
    <row r="9" spans="2:14" ht="15" customHeight="1" x14ac:dyDescent="0.25">
      <c r="B9" s="6168"/>
      <c r="C9" s="6159"/>
      <c r="D9" s="3073" t="s">
        <v>412</v>
      </c>
      <c r="E9" s="3074"/>
      <c r="F9" s="3074"/>
      <c r="G9" s="3074"/>
      <c r="H9" s="3074">
        <v>2</v>
      </c>
      <c r="I9" s="3075">
        <f t="shared" si="0"/>
        <v>2</v>
      </c>
      <c r="J9" s="3074"/>
      <c r="K9" s="3074">
        <v>1</v>
      </c>
      <c r="L9" s="3074"/>
      <c r="M9" s="3074">
        <v>2</v>
      </c>
      <c r="N9" s="3075">
        <f t="shared" si="1"/>
        <v>3</v>
      </c>
    </row>
    <row r="10" spans="2:14" ht="15" customHeight="1" x14ac:dyDescent="0.25">
      <c r="B10" s="6168"/>
      <c r="C10" s="6159"/>
      <c r="D10" s="3073" t="s">
        <v>413</v>
      </c>
      <c r="E10" s="3074"/>
      <c r="F10" s="3074"/>
      <c r="G10" s="3074"/>
      <c r="H10" s="3074"/>
      <c r="I10" s="3075">
        <f t="shared" si="0"/>
        <v>0</v>
      </c>
      <c r="J10" s="3074"/>
      <c r="K10" s="3074"/>
      <c r="L10" s="3074"/>
      <c r="M10" s="3074">
        <v>1</v>
      </c>
      <c r="N10" s="3075">
        <f t="shared" si="1"/>
        <v>1</v>
      </c>
    </row>
    <row r="11" spans="2:14" ht="15" customHeight="1" x14ac:dyDescent="0.25">
      <c r="B11" s="6168"/>
      <c r="C11" s="6159"/>
      <c r="D11" s="3073" t="s">
        <v>863</v>
      </c>
      <c r="E11" s="3074"/>
      <c r="F11" s="3074">
        <v>2</v>
      </c>
      <c r="G11" s="3074"/>
      <c r="H11" s="3074"/>
      <c r="I11" s="3075">
        <f t="shared" si="0"/>
        <v>2</v>
      </c>
      <c r="J11" s="3074"/>
      <c r="K11" s="3074">
        <v>4</v>
      </c>
      <c r="L11" s="3074"/>
      <c r="M11" s="3074">
        <v>4</v>
      </c>
      <c r="N11" s="3075">
        <f t="shared" si="1"/>
        <v>8</v>
      </c>
    </row>
    <row r="12" spans="2:14" ht="15" customHeight="1" x14ac:dyDescent="0.25">
      <c r="B12" s="6168"/>
      <c r="C12" s="6158"/>
      <c r="D12" s="4692" t="s">
        <v>1227</v>
      </c>
      <c r="E12" s="4693"/>
      <c r="F12" s="4693"/>
      <c r="G12" s="4693"/>
      <c r="H12" s="4693"/>
      <c r="I12" s="3075">
        <f t="shared" si="0"/>
        <v>0</v>
      </c>
      <c r="J12" s="4693"/>
      <c r="K12" s="4693"/>
      <c r="L12" s="4693"/>
      <c r="M12" s="4693"/>
      <c r="N12" s="3075">
        <f t="shared" si="1"/>
        <v>0</v>
      </c>
    </row>
    <row r="13" spans="2:14" ht="15" customHeight="1" x14ac:dyDescent="0.25">
      <c r="B13" s="6168"/>
      <c r="C13" s="6157" t="s">
        <v>6</v>
      </c>
      <c r="D13" s="4695" t="s">
        <v>141</v>
      </c>
      <c r="E13" s="4693"/>
      <c r="F13" s="4693"/>
      <c r="G13" s="4693"/>
      <c r="H13" s="4693"/>
      <c r="I13" s="3075">
        <f t="shared" si="0"/>
        <v>0</v>
      </c>
      <c r="J13" s="4693"/>
      <c r="K13" s="4693">
        <v>1</v>
      </c>
      <c r="L13" s="4693"/>
      <c r="M13" s="4693">
        <v>1</v>
      </c>
      <c r="N13" s="3075">
        <f t="shared" si="1"/>
        <v>2</v>
      </c>
    </row>
    <row r="14" spans="2:14" ht="15" customHeight="1" x14ac:dyDescent="0.25">
      <c r="B14" s="6168"/>
      <c r="C14" s="6158"/>
      <c r="D14" s="4695" t="s">
        <v>369</v>
      </c>
      <c r="E14" s="4693"/>
      <c r="F14" s="4693"/>
      <c r="G14" s="4693"/>
      <c r="H14" s="4693"/>
      <c r="I14" s="3075">
        <f t="shared" si="0"/>
        <v>0</v>
      </c>
      <c r="J14" s="4693">
        <v>2</v>
      </c>
      <c r="K14" s="4693">
        <v>5</v>
      </c>
      <c r="L14" s="4693"/>
      <c r="M14" s="4693"/>
      <c r="N14" s="3075">
        <f t="shared" si="1"/>
        <v>7</v>
      </c>
    </row>
    <row r="15" spans="2:14" ht="15" customHeight="1" x14ac:dyDescent="0.25">
      <c r="B15" s="6168"/>
      <c r="C15" s="3076" t="s">
        <v>7</v>
      </c>
      <c r="D15" s="3077" t="s">
        <v>404</v>
      </c>
      <c r="E15" s="3078"/>
      <c r="F15" s="3078">
        <v>1</v>
      </c>
      <c r="G15" s="3078"/>
      <c r="H15" s="3078">
        <v>1</v>
      </c>
      <c r="I15" s="3079">
        <f>SUM(E15:H15)</f>
        <v>2</v>
      </c>
      <c r="J15" s="3078"/>
      <c r="K15" s="3078"/>
      <c r="L15" s="3078"/>
      <c r="M15" s="3078"/>
      <c r="N15" s="3079">
        <f t="shared" si="1"/>
        <v>0</v>
      </c>
    </row>
    <row r="16" spans="2:14" ht="15" customHeight="1" x14ac:dyDescent="0.25">
      <c r="B16" s="6169"/>
      <c r="C16" s="6170" t="s">
        <v>450</v>
      </c>
      <c r="D16" s="6171"/>
      <c r="E16" s="3080">
        <f t="shared" ref="E16:J16" si="2">SUM(E5:E15)</f>
        <v>0</v>
      </c>
      <c r="F16" s="3080">
        <f t="shared" si="2"/>
        <v>4</v>
      </c>
      <c r="G16" s="3080">
        <f t="shared" si="2"/>
        <v>0</v>
      </c>
      <c r="H16" s="3080">
        <f t="shared" si="2"/>
        <v>14</v>
      </c>
      <c r="I16" s="3080">
        <f t="shared" si="2"/>
        <v>18</v>
      </c>
      <c r="J16" s="3080">
        <f t="shared" si="2"/>
        <v>3</v>
      </c>
      <c r="K16" s="3080">
        <f t="shared" ref="K16:N16" si="3">SUM(K5:K15)</f>
        <v>16</v>
      </c>
      <c r="L16" s="3080">
        <f t="shared" si="3"/>
        <v>0</v>
      </c>
      <c r="M16" s="3080">
        <f t="shared" si="3"/>
        <v>16</v>
      </c>
      <c r="N16" s="3080">
        <f t="shared" si="3"/>
        <v>35</v>
      </c>
    </row>
    <row r="17" spans="2:14" ht="15" customHeight="1" x14ac:dyDescent="0.25">
      <c r="B17" s="6179" t="s">
        <v>410</v>
      </c>
      <c r="C17" s="6160" t="s">
        <v>6</v>
      </c>
      <c r="D17" s="3070" t="s">
        <v>409</v>
      </c>
      <c r="E17" s="3071"/>
      <c r="F17" s="3071"/>
      <c r="G17" s="3071"/>
      <c r="H17" s="3071"/>
      <c r="I17" s="3075">
        <f t="shared" si="0"/>
        <v>0</v>
      </c>
      <c r="J17" s="3071"/>
      <c r="K17" s="3071">
        <v>1</v>
      </c>
      <c r="L17" s="3071"/>
      <c r="M17" s="3071"/>
      <c r="N17" s="3075">
        <f t="shared" si="1"/>
        <v>1</v>
      </c>
    </row>
    <row r="18" spans="2:14" ht="15" customHeight="1" x14ac:dyDescent="0.25">
      <c r="B18" s="6180"/>
      <c r="C18" s="6161"/>
      <c r="D18" s="3073" t="s">
        <v>402</v>
      </c>
      <c r="E18" s="3074"/>
      <c r="F18" s="3074"/>
      <c r="G18" s="3074"/>
      <c r="H18" s="3074"/>
      <c r="I18" s="3075">
        <f t="shared" si="0"/>
        <v>0</v>
      </c>
      <c r="J18" s="3074"/>
      <c r="K18" s="3074"/>
      <c r="L18" s="3074"/>
      <c r="M18" s="3074">
        <v>1</v>
      </c>
      <c r="N18" s="3075">
        <f t="shared" si="1"/>
        <v>1</v>
      </c>
    </row>
    <row r="19" spans="2:14" ht="15" customHeight="1" x14ac:dyDescent="0.25">
      <c r="B19" s="6180"/>
      <c r="C19" s="4697" t="s">
        <v>9</v>
      </c>
      <c r="D19" s="3073" t="s">
        <v>415</v>
      </c>
      <c r="E19" s="3074"/>
      <c r="F19" s="3074">
        <v>2</v>
      </c>
      <c r="G19" s="3074"/>
      <c r="H19" s="3074">
        <v>2</v>
      </c>
      <c r="I19" s="3075">
        <f t="shared" si="0"/>
        <v>4</v>
      </c>
      <c r="J19" s="3074"/>
      <c r="K19" s="3074">
        <v>4</v>
      </c>
      <c r="L19" s="3074"/>
      <c r="M19" s="3074">
        <v>4</v>
      </c>
      <c r="N19" s="3075">
        <f t="shared" si="1"/>
        <v>8</v>
      </c>
    </row>
    <row r="20" spans="2:14" ht="15" customHeight="1" x14ac:dyDescent="0.25">
      <c r="B20" s="6180"/>
      <c r="C20" s="6162" t="s">
        <v>74</v>
      </c>
      <c r="D20" s="3073" t="s">
        <v>417</v>
      </c>
      <c r="E20" s="4696"/>
      <c r="F20" s="4696"/>
      <c r="G20" s="4696"/>
      <c r="H20" s="4696"/>
      <c r="I20" s="3075">
        <f t="shared" si="0"/>
        <v>0</v>
      </c>
      <c r="J20" s="4696"/>
      <c r="K20" s="4696">
        <v>2</v>
      </c>
      <c r="L20" s="4696"/>
      <c r="M20" s="4696">
        <v>2</v>
      </c>
      <c r="N20" s="3075">
        <f t="shared" si="1"/>
        <v>4</v>
      </c>
    </row>
    <row r="21" spans="2:14" ht="15" customHeight="1" x14ac:dyDescent="0.25">
      <c r="B21" s="6180"/>
      <c r="C21" s="6163"/>
      <c r="D21" s="4692" t="s">
        <v>418</v>
      </c>
      <c r="E21" s="3078"/>
      <c r="F21" s="3078">
        <v>3</v>
      </c>
      <c r="G21" s="3078">
        <v>1</v>
      </c>
      <c r="H21" s="3078">
        <v>2</v>
      </c>
      <c r="I21" s="3079">
        <f t="shared" si="0"/>
        <v>6</v>
      </c>
      <c r="J21" s="3078"/>
      <c r="K21" s="3078">
        <v>2</v>
      </c>
      <c r="L21" s="3078"/>
      <c r="M21" s="3078">
        <v>2</v>
      </c>
      <c r="N21" s="3079">
        <f t="shared" si="1"/>
        <v>4</v>
      </c>
    </row>
    <row r="22" spans="2:14" ht="15" customHeight="1" x14ac:dyDescent="0.25">
      <c r="B22" s="6181"/>
      <c r="C22" s="6172" t="s">
        <v>450</v>
      </c>
      <c r="D22" s="6173"/>
      <c r="E22" s="3081">
        <f t="shared" ref="E22:I22" si="4">SUM(E17:E21)</f>
        <v>0</v>
      </c>
      <c r="F22" s="3081">
        <f t="shared" si="4"/>
        <v>5</v>
      </c>
      <c r="G22" s="3081">
        <f t="shared" si="4"/>
        <v>1</v>
      </c>
      <c r="H22" s="3081">
        <f t="shared" si="4"/>
        <v>4</v>
      </c>
      <c r="I22" s="3081">
        <f t="shared" si="4"/>
        <v>10</v>
      </c>
      <c r="J22" s="3081">
        <f>SUM(J17:J21)</f>
        <v>0</v>
      </c>
      <c r="K22" s="3081">
        <f t="shared" ref="K22:N22" si="5">SUM(K17:K21)</f>
        <v>9</v>
      </c>
      <c r="L22" s="3081">
        <f t="shared" si="5"/>
        <v>0</v>
      </c>
      <c r="M22" s="3081">
        <f t="shared" si="5"/>
        <v>9</v>
      </c>
      <c r="N22" s="3081">
        <f t="shared" si="5"/>
        <v>18</v>
      </c>
    </row>
    <row r="23" spans="2:14" ht="15" customHeight="1" x14ac:dyDescent="0.25">
      <c r="B23" s="6174" t="s">
        <v>162</v>
      </c>
      <c r="C23" s="6177" t="s">
        <v>5</v>
      </c>
      <c r="D23" s="3070" t="s">
        <v>864</v>
      </c>
      <c r="E23" s="3071"/>
      <c r="F23" s="3071">
        <v>4</v>
      </c>
      <c r="G23" s="3071">
        <v>1</v>
      </c>
      <c r="H23" s="3071">
        <v>11</v>
      </c>
      <c r="I23" s="3072">
        <f t="shared" si="0"/>
        <v>16</v>
      </c>
      <c r="J23" s="3071"/>
      <c r="K23" s="3071">
        <v>6</v>
      </c>
      <c r="L23" s="3071"/>
      <c r="M23" s="3071">
        <v>10</v>
      </c>
      <c r="N23" s="3072">
        <f t="shared" si="1"/>
        <v>16</v>
      </c>
    </row>
    <row r="24" spans="2:14" ht="15" customHeight="1" x14ac:dyDescent="0.25">
      <c r="B24" s="6174"/>
      <c r="C24" s="6177"/>
      <c r="D24" s="3073" t="s">
        <v>865</v>
      </c>
      <c r="E24" s="3074">
        <v>1</v>
      </c>
      <c r="F24" s="3074">
        <v>3</v>
      </c>
      <c r="G24" s="3074"/>
      <c r="H24" s="3074">
        <v>9</v>
      </c>
      <c r="I24" s="3075">
        <f t="shared" si="0"/>
        <v>13</v>
      </c>
      <c r="J24" s="3074">
        <v>1</v>
      </c>
      <c r="K24" s="3074">
        <v>1</v>
      </c>
      <c r="L24" s="3074">
        <v>1</v>
      </c>
      <c r="M24" s="3074">
        <v>5</v>
      </c>
      <c r="N24" s="3075">
        <f t="shared" si="1"/>
        <v>8</v>
      </c>
    </row>
    <row r="25" spans="2:14" ht="15" customHeight="1" x14ac:dyDescent="0.25">
      <c r="B25" s="6174"/>
      <c r="C25" s="6177"/>
      <c r="D25" s="3082" t="s">
        <v>374</v>
      </c>
      <c r="E25" s="3074"/>
      <c r="F25" s="3074"/>
      <c r="G25" s="3074"/>
      <c r="H25" s="3074">
        <v>2</v>
      </c>
      <c r="I25" s="3075">
        <f t="shared" si="0"/>
        <v>2</v>
      </c>
      <c r="J25" s="3074"/>
      <c r="K25" s="3074"/>
      <c r="L25" s="3074"/>
      <c r="M25" s="3074">
        <v>1</v>
      </c>
      <c r="N25" s="3075">
        <f t="shared" si="1"/>
        <v>1</v>
      </c>
    </row>
    <row r="26" spans="2:14" ht="15" customHeight="1" x14ac:dyDescent="0.25">
      <c r="B26" s="6174"/>
      <c r="C26" s="6177"/>
      <c r="D26" s="4695" t="s">
        <v>1478</v>
      </c>
      <c r="E26" s="3074"/>
      <c r="F26" s="3074"/>
      <c r="G26" s="3074"/>
      <c r="H26" s="3074"/>
      <c r="I26" s="3075">
        <f t="shared" si="0"/>
        <v>0</v>
      </c>
      <c r="J26" s="3074"/>
      <c r="K26" s="3074">
        <v>1</v>
      </c>
      <c r="L26" s="3074"/>
      <c r="M26" s="3074">
        <v>1</v>
      </c>
      <c r="N26" s="3075">
        <f t="shared" si="1"/>
        <v>2</v>
      </c>
    </row>
    <row r="27" spans="2:14" ht="15" customHeight="1" x14ac:dyDescent="0.25">
      <c r="B27" s="6174"/>
      <c r="C27" s="6177"/>
      <c r="D27" s="3073" t="s">
        <v>866</v>
      </c>
      <c r="E27" s="3074"/>
      <c r="F27" s="3074">
        <v>2</v>
      </c>
      <c r="G27" s="3074"/>
      <c r="H27" s="3074">
        <v>2</v>
      </c>
      <c r="I27" s="3075">
        <f t="shared" si="0"/>
        <v>4</v>
      </c>
      <c r="J27" s="3074"/>
      <c r="K27" s="3074">
        <v>2</v>
      </c>
      <c r="L27" s="3074"/>
      <c r="M27" s="3074">
        <v>1</v>
      </c>
      <c r="N27" s="3075">
        <f t="shared" si="1"/>
        <v>3</v>
      </c>
    </row>
    <row r="28" spans="2:14" ht="15" customHeight="1" x14ac:dyDescent="0.25">
      <c r="B28" s="6174"/>
      <c r="C28" s="6177"/>
      <c r="D28" s="3082" t="s">
        <v>593</v>
      </c>
      <c r="E28" s="3074"/>
      <c r="F28" s="3074">
        <v>2</v>
      </c>
      <c r="G28" s="3074"/>
      <c r="H28" s="3074"/>
      <c r="I28" s="3075">
        <f t="shared" si="0"/>
        <v>2</v>
      </c>
      <c r="J28" s="3074"/>
      <c r="K28" s="3074"/>
      <c r="L28" s="3074"/>
      <c r="M28" s="3074"/>
      <c r="N28" s="3075">
        <f t="shared" si="1"/>
        <v>0</v>
      </c>
    </row>
    <row r="29" spans="2:14" ht="15" customHeight="1" x14ac:dyDescent="0.25">
      <c r="B29" s="6174"/>
      <c r="C29" s="6177"/>
      <c r="D29" s="3073" t="s">
        <v>867</v>
      </c>
      <c r="E29" s="3074"/>
      <c r="F29" s="3074"/>
      <c r="G29" s="3074"/>
      <c r="H29" s="3074">
        <v>1</v>
      </c>
      <c r="I29" s="3075">
        <f t="shared" si="0"/>
        <v>1</v>
      </c>
      <c r="J29" s="3074"/>
      <c r="K29" s="3074"/>
      <c r="L29" s="3074"/>
      <c r="M29" s="3074">
        <v>1</v>
      </c>
      <c r="N29" s="3075">
        <f t="shared" si="1"/>
        <v>1</v>
      </c>
    </row>
    <row r="30" spans="2:14" ht="15" customHeight="1" x14ac:dyDescent="0.25">
      <c r="B30" s="6174"/>
      <c r="C30" s="6177"/>
      <c r="D30" s="3073" t="s">
        <v>868</v>
      </c>
      <c r="E30" s="3074"/>
      <c r="F30" s="3074">
        <v>2</v>
      </c>
      <c r="G30" s="3074"/>
      <c r="H30" s="3074">
        <v>1</v>
      </c>
      <c r="I30" s="3075">
        <f t="shared" si="0"/>
        <v>3</v>
      </c>
      <c r="J30" s="3074"/>
      <c r="K30" s="3074">
        <v>1</v>
      </c>
      <c r="L30" s="3074"/>
      <c r="M30" s="3074"/>
      <c r="N30" s="3075">
        <f t="shared" si="1"/>
        <v>1</v>
      </c>
    </row>
    <row r="31" spans="2:14" ht="15" customHeight="1" x14ac:dyDescent="0.25">
      <c r="B31" s="6174"/>
      <c r="C31" s="6177"/>
      <c r="D31" s="3082" t="s">
        <v>68</v>
      </c>
      <c r="E31" s="3074"/>
      <c r="F31" s="3074"/>
      <c r="G31" s="3074"/>
      <c r="H31" s="3074">
        <v>1</v>
      </c>
      <c r="I31" s="3075">
        <f t="shared" si="0"/>
        <v>1</v>
      </c>
      <c r="J31" s="3074"/>
      <c r="K31" s="3074"/>
      <c r="L31" s="3074"/>
      <c r="M31" s="3074">
        <v>3</v>
      </c>
      <c r="N31" s="3075">
        <f t="shared" si="1"/>
        <v>3</v>
      </c>
    </row>
    <row r="32" spans="2:14" ht="15" customHeight="1" x14ac:dyDescent="0.25">
      <c r="B32" s="6174"/>
      <c r="C32" s="6182" t="s">
        <v>6</v>
      </c>
      <c r="D32" s="3082" t="s">
        <v>84</v>
      </c>
      <c r="E32" s="3074"/>
      <c r="F32" s="3074">
        <v>1</v>
      </c>
      <c r="G32" s="3074"/>
      <c r="H32" s="3074"/>
      <c r="I32" s="3075">
        <f t="shared" si="0"/>
        <v>1</v>
      </c>
      <c r="J32" s="3074">
        <v>1</v>
      </c>
      <c r="K32" s="3074">
        <v>2</v>
      </c>
      <c r="L32" s="3074"/>
      <c r="M32" s="3074"/>
      <c r="N32" s="3075">
        <f t="shared" si="1"/>
        <v>3</v>
      </c>
    </row>
    <row r="33" spans="2:14" ht="15" customHeight="1" x14ac:dyDescent="0.25">
      <c r="B33" s="6174"/>
      <c r="C33" s="6183"/>
      <c r="D33" s="3082" t="s">
        <v>86</v>
      </c>
      <c r="E33" s="3074"/>
      <c r="F33" s="3074">
        <v>3</v>
      </c>
      <c r="G33" s="3074"/>
      <c r="H33" s="3074">
        <v>4</v>
      </c>
      <c r="I33" s="3075">
        <f t="shared" si="0"/>
        <v>7</v>
      </c>
      <c r="J33" s="3074"/>
      <c r="K33" s="3074">
        <v>2</v>
      </c>
      <c r="L33" s="3074"/>
      <c r="M33" s="3074">
        <v>4</v>
      </c>
      <c r="N33" s="3075">
        <f t="shared" si="1"/>
        <v>6</v>
      </c>
    </row>
    <row r="34" spans="2:14" ht="15" customHeight="1" x14ac:dyDescent="0.25">
      <c r="B34" s="6174"/>
      <c r="C34" s="6183"/>
      <c r="D34" s="3082" t="s">
        <v>83</v>
      </c>
      <c r="E34" s="3074"/>
      <c r="F34" s="3074"/>
      <c r="G34" s="3074"/>
      <c r="H34" s="3074">
        <v>3</v>
      </c>
      <c r="I34" s="3075">
        <f t="shared" si="0"/>
        <v>3</v>
      </c>
      <c r="J34" s="3074"/>
      <c r="K34" s="3074"/>
      <c r="L34" s="3074"/>
      <c r="M34" s="3074">
        <v>1</v>
      </c>
      <c r="N34" s="3075">
        <f t="shared" si="1"/>
        <v>1</v>
      </c>
    </row>
    <row r="35" spans="2:14" ht="15" customHeight="1" x14ac:dyDescent="0.25">
      <c r="B35" s="6174"/>
      <c r="C35" s="6183"/>
      <c r="D35" s="3082" t="s">
        <v>143</v>
      </c>
      <c r="E35" s="3074"/>
      <c r="F35" s="3074"/>
      <c r="G35" s="3074"/>
      <c r="H35" s="3074">
        <v>1</v>
      </c>
      <c r="I35" s="3075">
        <f t="shared" si="0"/>
        <v>1</v>
      </c>
      <c r="J35" s="3074"/>
      <c r="K35" s="3074">
        <v>1</v>
      </c>
      <c r="L35" s="3074"/>
      <c r="M35" s="3074">
        <v>1</v>
      </c>
      <c r="N35" s="3075">
        <f t="shared" si="1"/>
        <v>2</v>
      </c>
    </row>
    <row r="36" spans="2:14" ht="15" customHeight="1" x14ac:dyDescent="0.25">
      <c r="B36" s="6174"/>
      <c r="C36" s="6183"/>
      <c r="D36" s="4698" t="s">
        <v>139</v>
      </c>
      <c r="E36" s="3074"/>
      <c r="F36" s="3074"/>
      <c r="G36" s="3074"/>
      <c r="H36" s="3074"/>
      <c r="I36" s="3075">
        <f t="shared" si="0"/>
        <v>0</v>
      </c>
      <c r="J36" s="3074">
        <v>1</v>
      </c>
      <c r="K36" s="3074">
        <v>1</v>
      </c>
      <c r="L36" s="3074">
        <v>1</v>
      </c>
      <c r="M36" s="3074"/>
      <c r="N36" s="3075">
        <f t="shared" si="1"/>
        <v>3</v>
      </c>
    </row>
    <row r="37" spans="2:14" ht="15" customHeight="1" x14ac:dyDescent="0.25">
      <c r="B37" s="6174"/>
      <c r="C37" s="6184"/>
      <c r="D37" s="4698" t="s">
        <v>81</v>
      </c>
      <c r="E37" s="3074"/>
      <c r="F37" s="3074"/>
      <c r="G37" s="3074"/>
      <c r="H37" s="3074"/>
      <c r="I37" s="3075">
        <f t="shared" si="0"/>
        <v>0</v>
      </c>
      <c r="J37" s="3074"/>
      <c r="K37" s="3074"/>
      <c r="L37" s="3074"/>
      <c r="M37" s="3074">
        <v>1</v>
      </c>
      <c r="N37" s="3075">
        <f t="shared" si="1"/>
        <v>1</v>
      </c>
    </row>
    <row r="38" spans="2:14" ht="15" customHeight="1" x14ac:dyDescent="0.25">
      <c r="B38" s="6174"/>
      <c r="C38" s="6177" t="s">
        <v>11</v>
      </c>
      <c r="D38" s="3082" t="s">
        <v>869</v>
      </c>
      <c r="E38" s="3074"/>
      <c r="F38" s="3074">
        <v>1</v>
      </c>
      <c r="G38" s="3074"/>
      <c r="H38" s="3074">
        <v>4</v>
      </c>
      <c r="I38" s="3075">
        <f t="shared" si="0"/>
        <v>5</v>
      </c>
      <c r="J38" s="3074"/>
      <c r="K38" s="3074">
        <v>7</v>
      </c>
      <c r="L38" s="3074"/>
      <c r="M38" s="3074">
        <v>5</v>
      </c>
      <c r="N38" s="3075">
        <f t="shared" si="1"/>
        <v>12</v>
      </c>
    </row>
    <row r="39" spans="2:14" ht="15" customHeight="1" x14ac:dyDescent="0.25">
      <c r="B39" s="6174"/>
      <c r="C39" s="6177"/>
      <c r="D39" s="3082" t="s">
        <v>870</v>
      </c>
      <c r="E39" s="3074"/>
      <c r="F39" s="3074">
        <v>1</v>
      </c>
      <c r="G39" s="3074"/>
      <c r="H39" s="3074">
        <v>4</v>
      </c>
      <c r="I39" s="3075">
        <f t="shared" si="0"/>
        <v>5</v>
      </c>
      <c r="J39" s="3074"/>
      <c r="K39" s="3074">
        <v>5</v>
      </c>
      <c r="L39" s="3074">
        <v>1</v>
      </c>
      <c r="M39" s="3074"/>
      <c r="N39" s="3075">
        <f t="shared" si="1"/>
        <v>6</v>
      </c>
    </row>
    <row r="40" spans="2:14" ht="15" customHeight="1" x14ac:dyDescent="0.25">
      <c r="B40" s="6174"/>
      <c r="C40" s="6177"/>
      <c r="D40" s="3082" t="s">
        <v>361</v>
      </c>
      <c r="E40" s="3074"/>
      <c r="F40" s="3074">
        <v>1</v>
      </c>
      <c r="G40" s="3074"/>
      <c r="H40" s="3074"/>
      <c r="I40" s="3075">
        <f t="shared" si="0"/>
        <v>1</v>
      </c>
      <c r="J40" s="3074"/>
      <c r="K40" s="3074"/>
      <c r="L40" s="3074"/>
      <c r="M40" s="3074"/>
      <c r="N40" s="3075">
        <f t="shared" si="1"/>
        <v>0</v>
      </c>
    </row>
    <row r="41" spans="2:14" ht="15" customHeight="1" x14ac:dyDescent="0.25">
      <c r="B41" s="6174"/>
      <c r="C41" s="6177"/>
      <c r="D41" s="3082" t="s">
        <v>386</v>
      </c>
      <c r="E41" s="3074"/>
      <c r="F41" s="3074">
        <v>1</v>
      </c>
      <c r="G41" s="3074"/>
      <c r="H41" s="3074">
        <v>3</v>
      </c>
      <c r="I41" s="3075">
        <f t="shared" si="0"/>
        <v>4</v>
      </c>
      <c r="J41" s="3074"/>
      <c r="K41" s="3074"/>
      <c r="L41" s="3074"/>
      <c r="M41" s="3074"/>
      <c r="N41" s="3075">
        <f t="shared" si="1"/>
        <v>0</v>
      </c>
    </row>
    <row r="42" spans="2:14" ht="15" customHeight="1" x14ac:dyDescent="0.25">
      <c r="B42" s="6174"/>
      <c r="C42" s="6177"/>
      <c r="D42" s="3082" t="s">
        <v>87</v>
      </c>
      <c r="E42" s="3074"/>
      <c r="F42" s="3074"/>
      <c r="G42" s="3074"/>
      <c r="H42" s="3074">
        <v>1</v>
      </c>
      <c r="I42" s="3075">
        <f t="shared" si="0"/>
        <v>1</v>
      </c>
      <c r="J42" s="3074"/>
      <c r="K42" s="3074">
        <v>1</v>
      </c>
      <c r="L42" s="3074"/>
      <c r="M42" s="3074">
        <v>1</v>
      </c>
      <c r="N42" s="3075">
        <f t="shared" si="1"/>
        <v>2</v>
      </c>
    </row>
    <row r="43" spans="2:14" ht="15" customHeight="1" x14ac:dyDescent="0.25">
      <c r="B43" s="6174"/>
      <c r="C43" s="6177"/>
      <c r="D43" s="4695" t="s">
        <v>555</v>
      </c>
      <c r="E43" s="4693"/>
      <c r="F43" s="4693"/>
      <c r="G43" s="4693"/>
      <c r="H43" s="4693"/>
      <c r="I43" s="3075">
        <f t="shared" si="0"/>
        <v>0</v>
      </c>
      <c r="J43" s="4693"/>
      <c r="K43" s="4693">
        <v>1</v>
      </c>
      <c r="L43" s="4693"/>
      <c r="M43" s="4693"/>
      <c r="N43" s="3075">
        <f t="shared" si="1"/>
        <v>1</v>
      </c>
    </row>
    <row r="44" spans="2:14" ht="15" customHeight="1" x14ac:dyDescent="0.25">
      <c r="B44" s="6175"/>
      <c r="C44" s="6177"/>
      <c r="D44" s="3083" t="s">
        <v>871</v>
      </c>
      <c r="E44" s="3078"/>
      <c r="F44" s="3078">
        <v>3</v>
      </c>
      <c r="G44" s="3078"/>
      <c r="H44" s="3078">
        <v>1</v>
      </c>
      <c r="I44" s="3079">
        <f t="shared" si="0"/>
        <v>4</v>
      </c>
      <c r="J44" s="3078"/>
      <c r="K44" s="3078">
        <v>8</v>
      </c>
      <c r="L44" s="3078"/>
      <c r="M44" s="3078">
        <v>7</v>
      </c>
      <c r="N44" s="3079">
        <f t="shared" si="1"/>
        <v>15</v>
      </c>
    </row>
    <row r="45" spans="2:14" ht="15" customHeight="1" x14ac:dyDescent="0.25">
      <c r="B45" s="6176"/>
      <c r="C45" s="6178" t="s">
        <v>450</v>
      </c>
      <c r="D45" s="6174"/>
      <c r="E45" s="3084">
        <f t="shared" ref="E45" si="6">SUM(E23:E44)</f>
        <v>1</v>
      </c>
      <c r="F45" s="3084">
        <f>SUM(F23:F44)</f>
        <v>24</v>
      </c>
      <c r="G45" s="3084">
        <f t="shared" ref="G45:H45" si="7">SUM(G23:G44)</f>
        <v>1</v>
      </c>
      <c r="H45" s="3084">
        <f t="shared" si="7"/>
        <v>48</v>
      </c>
      <c r="I45" s="3084">
        <f>SUM(I23:I44)</f>
        <v>74</v>
      </c>
      <c r="J45" s="3084">
        <f>SUM(J23:J44)</f>
        <v>3</v>
      </c>
      <c r="K45" s="3084">
        <f t="shared" ref="K45:N45" si="8">SUM(K23:K44)</f>
        <v>39</v>
      </c>
      <c r="L45" s="3084">
        <f t="shared" si="8"/>
        <v>3</v>
      </c>
      <c r="M45" s="3084">
        <f t="shared" si="8"/>
        <v>42</v>
      </c>
      <c r="N45" s="3084">
        <f t="shared" si="8"/>
        <v>87</v>
      </c>
    </row>
    <row r="46" spans="2:14" ht="15" customHeight="1" x14ac:dyDescent="0.25">
      <c r="B46" s="6185" t="s">
        <v>163</v>
      </c>
      <c r="C46" s="6160" t="s">
        <v>6</v>
      </c>
      <c r="D46" s="4695" t="s">
        <v>1480</v>
      </c>
      <c r="E46" s="3074"/>
      <c r="F46" s="3074"/>
      <c r="G46" s="3074"/>
      <c r="H46" s="3074"/>
      <c r="I46" s="3075">
        <f t="shared" si="0"/>
        <v>0</v>
      </c>
      <c r="J46" s="3074"/>
      <c r="K46" s="3074">
        <v>2</v>
      </c>
      <c r="L46" s="3074"/>
      <c r="M46" s="3074"/>
      <c r="N46" s="3075">
        <f t="shared" si="1"/>
        <v>2</v>
      </c>
    </row>
    <row r="47" spans="2:14" ht="15" customHeight="1" x14ac:dyDescent="0.25">
      <c r="B47" s="6186"/>
      <c r="C47" s="6188"/>
      <c r="D47" s="4695" t="s">
        <v>394</v>
      </c>
      <c r="E47" s="3074"/>
      <c r="F47" s="3074"/>
      <c r="G47" s="3074"/>
      <c r="H47" s="3074"/>
      <c r="I47" s="3075">
        <f t="shared" si="0"/>
        <v>0</v>
      </c>
      <c r="J47" s="3074"/>
      <c r="K47" s="3074">
        <v>1</v>
      </c>
      <c r="L47" s="3074">
        <v>1</v>
      </c>
      <c r="M47" s="3074">
        <v>1</v>
      </c>
      <c r="N47" s="3075">
        <f t="shared" si="1"/>
        <v>3</v>
      </c>
    </row>
    <row r="48" spans="2:14" ht="15" customHeight="1" x14ac:dyDescent="0.25">
      <c r="B48" s="6186"/>
      <c r="C48" s="6188"/>
      <c r="D48" s="4695" t="s">
        <v>349</v>
      </c>
      <c r="E48" s="3074"/>
      <c r="F48" s="3074"/>
      <c r="G48" s="3074"/>
      <c r="H48" s="3074"/>
      <c r="I48" s="3075">
        <f t="shared" si="0"/>
        <v>0</v>
      </c>
      <c r="J48" s="3074"/>
      <c r="K48" s="3074">
        <v>1</v>
      </c>
      <c r="L48" s="3074"/>
      <c r="M48" s="3074"/>
      <c r="N48" s="3075">
        <f t="shared" si="1"/>
        <v>1</v>
      </c>
    </row>
    <row r="49" spans="2:14" ht="15" customHeight="1" x14ac:dyDescent="0.25">
      <c r="B49" s="6186"/>
      <c r="C49" s="6161"/>
      <c r="D49" s="4695" t="s">
        <v>419</v>
      </c>
      <c r="E49" s="3074"/>
      <c r="F49" s="3074"/>
      <c r="G49" s="3074"/>
      <c r="H49" s="3074"/>
      <c r="I49" s="3075">
        <f t="shared" si="0"/>
        <v>0</v>
      </c>
      <c r="J49" s="3074"/>
      <c r="K49" s="3074">
        <v>2</v>
      </c>
      <c r="L49" s="3074"/>
      <c r="M49" s="3074">
        <v>7</v>
      </c>
      <c r="N49" s="3075">
        <f t="shared" si="1"/>
        <v>9</v>
      </c>
    </row>
    <row r="50" spans="2:14" ht="15" customHeight="1" x14ac:dyDescent="0.25">
      <c r="B50" s="6186"/>
      <c r="C50" s="6157" t="s">
        <v>11</v>
      </c>
      <c r="D50" s="4695" t="s">
        <v>361</v>
      </c>
      <c r="E50" s="4693"/>
      <c r="F50" s="4693">
        <v>3</v>
      </c>
      <c r="G50" s="4693"/>
      <c r="H50" s="4693">
        <v>2</v>
      </c>
      <c r="I50" s="3075">
        <f t="shared" si="0"/>
        <v>5</v>
      </c>
      <c r="J50" s="4693"/>
      <c r="K50" s="4693">
        <v>4</v>
      </c>
      <c r="L50" s="4693">
        <v>1</v>
      </c>
      <c r="M50" s="4693">
        <v>1</v>
      </c>
      <c r="N50" s="3075">
        <f t="shared" si="1"/>
        <v>6</v>
      </c>
    </row>
    <row r="51" spans="2:14" ht="15" customHeight="1" x14ac:dyDescent="0.25">
      <c r="B51" s="6186"/>
      <c r="C51" s="6159"/>
      <c r="D51" s="3073" t="s">
        <v>94</v>
      </c>
      <c r="E51" s="3074"/>
      <c r="F51" s="3074">
        <v>1</v>
      </c>
      <c r="G51" s="3074"/>
      <c r="H51" s="3074"/>
      <c r="I51" s="3075">
        <f t="shared" si="0"/>
        <v>1</v>
      </c>
      <c r="J51" s="3074"/>
      <c r="K51" s="3074"/>
      <c r="L51" s="3074"/>
      <c r="M51" s="3074"/>
      <c r="N51" s="3075">
        <f t="shared" si="1"/>
        <v>0</v>
      </c>
    </row>
    <row r="52" spans="2:14" ht="15" customHeight="1" x14ac:dyDescent="0.25">
      <c r="B52" s="6186"/>
      <c r="C52" s="6159"/>
      <c r="D52" s="3073" t="s">
        <v>781</v>
      </c>
      <c r="E52" s="3074"/>
      <c r="F52" s="3074"/>
      <c r="G52" s="3074"/>
      <c r="H52" s="3074"/>
      <c r="I52" s="3075">
        <f t="shared" si="0"/>
        <v>0</v>
      </c>
      <c r="J52" s="3074"/>
      <c r="K52" s="3074">
        <v>1</v>
      </c>
      <c r="L52" s="3074"/>
      <c r="M52" s="3074"/>
      <c r="N52" s="3075">
        <f t="shared" si="1"/>
        <v>1</v>
      </c>
    </row>
    <row r="53" spans="2:14" ht="15" customHeight="1" x14ac:dyDescent="0.25">
      <c r="B53" s="6186"/>
      <c r="C53" s="6159"/>
      <c r="D53" s="3073" t="s">
        <v>92</v>
      </c>
      <c r="E53" s="3074"/>
      <c r="F53" s="3074"/>
      <c r="G53" s="3074"/>
      <c r="H53" s="3074"/>
      <c r="I53" s="3075">
        <f t="shared" si="0"/>
        <v>0</v>
      </c>
      <c r="J53" s="3074"/>
      <c r="K53" s="3074"/>
      <c r="L53" s="3074"/>
      <c r="M53" s="3074">
        <v>1</v>
      </c>
      <c r="N53" s="3075">
        <f t="shared" si="1"/>
        <v>1</v>
      </c>
    </row>
    <row r="54" spans="2:14" ht="15" customHeight="1" x14ac:dyDescent="0.25">
      <c r="B54" s="6186"/>
      <c r="C54" s="6159"/>
      <c r="D54" s="3073" t="s">
        <v>872</v>
      </c>
      <c r="E54" s="3074"/>
      <c r="F54" s="3074">
        <v>2</v>
      </c>
      <c r="G54" s="3074"/>
      <c r="H54" s="3074">
        <v>1</v>
      </c>
      <c r="I54" s="3075">
        <f t="shared" si="0"/>
        <v>3</v>
      </c>
      <c r="J54" s="3074"/>
      <c r="K54" s="3074">
        <v>6</v>
      </c>
      <c r="L54" s="3074"/>
      <c r="M54" s="3074">
        <v>4</v>
      </c>
      <c r="N54" s="3075">
        <f t="shared" si="1"/>
        <v>10</v>
      </c>
    </row>
    <row r="55" spans="2:14" ht="15" customHeight="1" x14ac:dyDescent="0.25">
      <c r="B55" s="6186"/>
      <c r="C55" s="6158"/>
      <c r="D55" s="4692" t="s">
        <v>90</v>
      </c>
      <c r="E55" s="4693"/>
      <c r="F55" s="4693"/>
      <c r="G55" s="4693"/>
      <c r="H55" s="4693"/>
      <c r="I55" s="4694"/>
      <c r="J55" s="4693"/>
      <c r="K55" s="4693"/>
      <c r="L55" s="4693"/>
      <c r="M55" s="4693">
        <v>1</v>
      </c>
      <c r="N55" s="3075">
        <f t="shared" si="1"/>
        <v>1</v>
      </c>
    </row>
    <row r="56" spans="2:14" ht="15" customHeight="1" x14ac:dyDescent="0.25">
      <c r="B56" s="6186"/>
      <c r="C56" s="3076" t="s">
        <v>7</v>
      </c>
      <c r="D56" s="3077" t="s">
        <v>2</v>
      </c>
      <c r="E56" s="3078"/>
      <c r="F56" s="3078">
        <v>1</v>
      </c>
      <c r="G56" s="3078">
        <v>1</v>
      </c>
      <c r="H56" s="3078">
        <v>2</v>
      </c>
      <c r="I56" s="3079">
        <f>SUM(E56:H56)</f>
        <v>4</v>
      </c>
      <c r="J56" s="3078"/>
      <c r="K56" s="3078">
        <v>4</v>
      </c>
      <c r="L56" s="3078"/>
      <c r="M56" s="3078">
        <v>7</v>
      </c>
      <c r="N56" s="3079">
        <f t="shared" si="1"/>
        <v>11</v>
      </c>
    </row>
    <row r="57" spans="2:14" ht="15" customHeight="1" x14ac:dyDescent="0.25">
      <c r="B57" s="6187"/>
      <c r="C57" s="6164" t="s">
        <v>450</v>
      </c>
      <c r="D57" s="6165"/>
      <c r="E57" s="3085">
        <f>SUM(E50:E56)</f>
        <v>0</v>
      </c>
      <c r="F57" s="3085">
        <f>SUM(F50:F56)</f>
        <v>7</v>
      </c>
      <c r="G57" s="3085">
        <f>SUM(G50:G56)</f>
        <v>1</v>
      </c>
      <c r="H57" s="3085">
        <f>SUM(H50:H56)</f>
        <v>5</v>
      </c>
      <c r="I57" s="3085">
        <f>SUM(I46:I56)</f>
        <v>13</v>
      </c>
      <c r="J57" s="4601">
        <f>SUM(J46:J56)</f>
        <v>0</v>
      </c>
      <c r="K57" s="4601">
        <f t="shared" ref="K57:N57" si="9">SUM(K46:K56)</f>
        <v>21</v>
      </c>
      <c r="L57" s="4601">
        <f t="shared" si="9"/>
        <v>2</v>
      </c>
      <c r="M57" s="4601">
        <f t="shared" si="9"/>
        <v>22</v>
      </c>
      <c r="N57" s="4601">
        <f t="shared" si="9"/>
        <v>45</v>
      </c>
    </row>
    <row r="58" spans="2:14" ht="20.25" customHeight="1" x14ac:dyDescent="0.25">
      <c r="B58" s="6166" t="s">
        <v>586</v>
      </c>
      <c r="C58" s="6166"/>
      <c r="D58" s="6166"/>
      <c r="E58" s="3086">
        <f t="shared" ref="E58:J58" si="10">SUM(E57,E45,E22,E16)</f>
        <v>1</v>
      </c>
      <c r="F58" s="4600">
        <f t="shared" si="10"/>
        <v>40</v>
      </c>
      <c r="G58" s="4600">
        <f t="shared" si="10"/>
        <v>3</v>
      </c>
      <c r="H58" s="4600">
        <f t="shared" si="10"/>
        <v>71</v>
      </c>
      <c r="I58" s="4600">
        <f t="shared" si="10"/>
        <v>115</v>
      </c>
      <c r="J58" s="4602">
        <f t="shared" si="10"/>
        <v>6</v>
      </c>
      <c r="K58" s="4602">
        <f t="shared" ref="K58:N58" si="11">SUM(K57,K45,K22,K16)</f>
        <v>85</v>
      </c>
      <c r="L58" s="4602">
        <f t="shared" si="11"/>
        <v>5</v>
      </c>
      <c r="M58" s="4602">
        <f t="shared" si="11"/>
        <v>89</v>
      </c>
      <c r="N58" s="4602">
        <f t="shared" si="11"/>
        <v>185</v>
      </c>
    </row>
  </sheetData>
  <mergeCells count="27">
    <mergeCell ref="J3:K3"/>
    <mergeCell ref="L3:M3"/>
    <mergeCell ref="N3:N4"/>
    <mergeCell ref="C50:C55"/>
    <mergeCell ref="B58:D58"/>
    <mergeCell ref="B5:B16"/>
    <mergeCell ref="C16:D16"/>
    <mergeCell ref="C22:D22"/>
    <mergeCell ref="B23:B45"/>
    <mergeCell ref="C23:C31"/>
    <mergeCell ref="C38:C44"/>
    <mergeCell ref="C45:D45"/>
    <mergeCell ref="B17:B22"/>
    <mergeCell ref="C32:C37"/>
    <mergeCell ref="B46:B57"/>
    <mergeCell ref="C46:C49"/>
    <mergeCell ref="C13:C14"/>
    <mergeCell ref="C5:C12"/>
    <mergeCell ref="C17:C18"/>
    <mergeCell ref="C20:C21"/>
    <mergeCell ref="C57:D57"/>
    <mergeCell ref="I3:I4"/>
    <mergeCell ref="B3:B4"/>
    <mergeCell ref="C3:C4"/>
    <mergeCell ref="D3:D4"/>
    <mergeCell ref="E3:F3"/>
    <mergeCell ref="G3:H3"/>
  </mergeCells>
  <pageMargins left="0.70866141732283472" right="0.70866141732283472" top="0.35433070866141736" bottom="0.35433070866141736" header="0.31496062992125984" footer="0.31496062992125984"/>
  <pageSetup scale="95" orientation="landscape" r:id="rId1"/>
  <ignoredErrors>
    <ignoredError sqref="I16 I22 I45 N16 N22 N45" 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B2:AA64"/>
  <sheetViews>
    <sheetView showGridLines="0" zoomScaleNormal="100" zoomScaleSheetLayoutView="70" workbookViewId="0">
      <pane xSplit="3" ySplit="6" topLeftCell="J7" activePane="bottomRight" state="frozen"/>
      <selection pane="topRight" activeCell="D1" sqref="D1"/>
      <selection pane="bottomLeft" activeCell="A7" sqref="A7"/>
      <selection pane="bottomRight" activeCell="AA62" sqref="AA62"/>
    </sheetView>
  </sheetViews>
  <sheetFormatPr baseColWidth="10" defaultRowHeight="12.75" x14ac:dyDescent="0.2"/>
  <cols>
    <col min="1" max="1" width="1.7109375" customWidth="1"/>
    <col min="2" max="2" width="13.7109375" bestFit="1" customWidth="1"/>
    <col min="4" max="27" width="9.140625" customWidth="1"/>
  </cols>
  <sheetData>
    <row r="2" spans="2:27" ht="33.75" customHeight="1" x14ac:dyDescent="0.25">
      <c r="B2" s="5114" t="s">
        <v>1274</v>
      </c>
      <c r="C2" s="5114"/>
    </row>
    <row r="3" spans="2:27" ht="18" x14ac:dyDescent="0.25">
      <c r="W3" s="3873"/>
    </row>
    <row r="4" spans="2:27" ht="15" x14ac:dyDescent="0.2">
      <c r="B4" s="5106" t="s">
        <v>16</v>
      </c>
      <c r="C4" s="5106" t="s">
        <v>4</v>
      </c>
      <c r="D4" s="5094">
        <v>2008</v>
      </c>
      <c r="E4" s="5095"/>
      <c r="F4" s="5096"/>
      <c r="G4" s="5094">
        <v>2009</v>
      </c>
      <c r="H4" s="5095"/>
      <c r="I4" s="5096"/>
      <c r="J4" s="5094">
        <v>2010</v>
      </c>
      <c r="K4" s="5095"/>
      <c r="L4" s="5096"/>
      <c r="M4" s="5094">
        <v>2011</v>
      </c>
      <c r="N4" s="5095"/>
      <c r="O4" s="5096"/>
      <c r="P4" s="5094">
        <v>2012</v>
      </c>
      <c r="Q4" s="5095"/>
      <c r="R4" s="5096"/>
      <c r="S4" s="5094">
        <v>2013</v>
      </c>
      <c r="T4" s="5095"/>
      <c r="U4" s="5096"/>
      <c r="V4" s="5094">
        <v>2014</v>
      </c>
      <c r="W4" s="5095"/>
      <c r="X4" s="5096"/>
      <c r="Y4" s="5094">
        <v>2015</v>
      </c>
      <c r="Z4" s="5095"/>
      <c r="AA4" s="5096"/>
    </row>
    <row r="5" spans="2:27" ht="15" x14ac:dyDescent="0.2">
      <c r="B5" s="5106"/>
      <c r="C5" s="5106"/>
      <c r="D5" s="1839" t="s">
        <v>675</v>
      </c>
      <c r="E5" s="1839" t="s">
        <v>676</v>
      </c>
      <c r="F5" s="1840" t="s">
        <v>160</v>
      </c>
      <c r="G5" s="1839" t="s">
        <v>675</v>
      </c>
      <c r="H5" s="1839" t="s">
        <v>676</v>
      </c>
      <c r="I5" s="1840" t="s">
        <v>160</v>
      </c>
      <c r="J5" s="1839" t="s">
        <v>675</v>
      </c>
      <c r="K5" s="1839" t="s">
        <v>676</v>
      </c>
      <c r="L5" s="1840" t="s">
        <v>160</v>
      </c>
      <c r="M5" s="1839" t="s">
        <v>675</v>
      </c>
      <c r="N5" s="1839" t="s">
        <v>676</v>
      </c>
      <c r="O5" s="1840" t="s">
        <v>160</v>
      </c>
      <c r="P5" s="1839" t="s">
        <v>675</v>
      </c>
      <c r="Q5" s="1839" t="s">
        <v>676</v>
      </c>
      <c r="R5" s="1840" t="s">
        <v>160</v>
      </c>
      <c r="S5" s="1839" t="s">
        <v>675</v>
      </c>
      <c r="T5" s="1839" t="s">
        <v>676</v>
      </c>
      <c r="U5" s="1840" t="s">
        <v>160</v>
      </c>
      <c r="V5" s="1839" t="s">
        <v>675</v>
      </c>
      <c r="W5" s="1839" t="s">
        <v>676</v>
      </c>
      <c r="X5" s="1840" t="s">
        <v>160</v>
      </c>
      <c r="Y5" s="1839" t="s">
        <v>675</v>
      </c>
      <c r="Z5" s="1839" t="s">
        <v>676</v>
      </c>
      <c r="AA5" s="1840" t="s">
        <v>160</v>
      </c>
    </row>
    <row r="6" spans="2:27" ht="15" x14ac:dyDescent="0.2">
      <c r="B6" s="263"/>
      <c r="C6" s="263"/>
    </row>
    <row r="7" spans="2:27" ht="15" customHeight="1" x14ac:dyDescent="0.25">
      <c r="B7" s="5037" t="s">
        <v>161</v>
      </c>
      <c r="C7" s="3870" t="s">
        <v>5</v>
      </c>
      <c r="D7" s="1845">
        <v>521.50904392764858</v>
      </c>
      <c r="E7" s="1846">
        <v>1598.4909560723515</v>
      </c>
      <c r="F7" s="1844">
        <f>SUM(D7:E7)</f>
        <v>2120</v>
      </c>
      <c r="G7" s="1845">
        <v>502.97771739130434</v>
      </c>
      <c r="H7" s="1846">
        <v>1540.0222826086956</v>
      </c>
      <c r="I7" s="1844">
        <f>SUM(G7:H7)</f>
        <v>2043</v>
      </c>
      <c r="J7" s="1845">
        <v>654</v>
      </c>
      <c r="K7" s="1846">
        <v>1731</v>
      </c>
      <c r="L7" s="1844">
        <f>SUM(J7:K7)</f>
        <v>2385</v>
      </c>
      <c r="M7" s="1845">
        <v>512</v>
      </c>
      <c r="N7" s="1846">
        <v>1524</v>
      </c>
      <c r="O7" s="1842">
        <f>SUM(M7:N7)</f>
        <v>2036</v>
      </c>
      <c r="P7" s="1845">
        <v>344</v>
      </c>
      <c r="Q7" s="1846">
        <v>1105</v>
      </c>
      <c r="R7" s="1844">
        <f>SUM(P7:Q7)</f>
        <v>1449</v>
      </c>
      <c r="S7" s="1845">
        <v>399</v>
      </c>
      <c r="T7" s="1846">
        <v>1149</v>
      </c>
      <c r="U7" s="1844">
        <f>SUM(S7:T7)</f>
        <v>1548</v>
      </c>
      <c r="V7" s="1845">
        <v>386</v>
      </c>
      <c r="W7" s="1846">
        <v>1068</v>
      </c>
      <c r="X7" s="1844">
        <f>SUM(V7:W7)</f>
        <v>1454</v>
      </c>
      <c r="Y7" s="1845">
        <v>314</v>
      </c>
      <c r="Z7" s="1846">
        <v>935</v>
      </c>
      <c r="AA7" s="1844">
        <f>SUM(Y7:Z7)</f>
        <v>1249</v>
      </c>
    </row>
    <row r="8" spans="2:27" ht="15" customHeight="1" x14ac:dyDescent="0.25">
      <c r="B8" s="5038"/>
      <c r="C8" s="3871" t="s">
        <v>6</v>
      </c>
      <c r="D8" s="1851">
        <v>721.30599848139707</v>
      </c>
      <c r="E8" s="1852">
        <v>675.69400151860293</v>
      </c>
      <c r="F8" s="1850">
        <f t="shared" ref="F8:F37" si="0">SUM(D8:E8)</f>
        <v>1397</v>
      </c>
      <c r="G8" s="1851">
        <v>790.09119010819165</v>
      </c>
      <c r="H8" s="1852">
        <v>651.90880989180835</v>
      </c>
      <c r="I8" s="1850">
        <f t="shared" ref="I8:I37" si="1">SUM(G8:H8)</f>
        <v>1442</v>
      </c>
      <c r="J8" s="1851">
        <v>708</v>
      </c>
      <c r="K8" s="1852">
        <v>641</v>
      </c>
      <c r="L8" s="1850">
        <f t="shared" ref="L8:L37" si="2">SUM(J8:K8)</f>
        <v>1349</v>
      </c>
      <c r="M8" s="1851">
        <v>725</v>
      </c>
      <c r="N8" s="1852">
        <v>680</v>
      </c>
      <c r="O8" s="1848">
        <f t="shared" ref="O8:O37" si="3">SUM(M8:N8)</f>
        <v>1405</v>
      </c>
      <c r="P8" s="1851">
        <v>801</v>
      </c>
      <c r="Q8" s="1852">
        <v>785</v>
      </c>
      <c r="R8" s="1850">
        <f t="shared" ref="R8:R37" si="4">SUM(P8:Q8)</f>
        <v>1586</v>
      </c>
      <c r="S8" s="1851">
        <v>797</v>
      </c>
      <c r="T8" s="1852">
        <v>715</v>
      </c>
      <c r="U8" s="1850">
        <f t="shared" ref="U8:U37" si="5">SUM(S8:T8)</f>
        <v>1512</v>
      </c>
      <c r="V8" s="1851">
        <v>733</v>
      </c>
      <c r="W8" s="1852">
        <v>721</v>
      </c>
      <c r="X8" s="1850">
        <f>SUM(V8:W8)</f>
        <v>1454</v>
      </c>
      <c r="Y8" s="1851">
        <v>837</v>
      </c>
      <c r="Z8" s="1852">
        <v>779</v>
      </c>
      <c r="AA8" s="1850">
        <f>SUM(Y8:Z8)</f>
        <v>1616</v>
      </c>
    </row>
    <row r="9" spans="2:27" ht="15" customHeight="1" x14ac:dyDescent="0.2">
      <c r="B9" s="5038"/>
      <c r="C9" s="3871" t="s">
        <v>7</v>
      </c>
      <c r="D9" s="1849">
        <v>248.70868824531516</v>
      </c>
      <c r="E9" s="1848">
        <v>367.29131175468484</v>
      </c>
      <c r="F9" s="1850">
        <f t="shared" si="0"/>
        <v>616</v>
      </c>
      <c r="G9" s="1849">
        <v>246.6897746967071</v>
      </c>
      <c r="H9" s="1848">
        <v>400.3102253032929</v>
      </c>
      <c r="I9" s="1850">
        <f t="shared" si="1"/>
        <v>647</v>
      </c>
      <c r="J9" s="1849">
        <v>300</v>
      </c>
      <c r="K9" s="1848">
        <v>322</v>
      </c>
      <c r="L9" s="1850">
        <f t="shared" si="2"/>
        <v>622</v>
      </c>
      <c r="M9" s="1849">
        <v>305</v>
      </c>
      <c r="N9" s="1848">
        <v>353</v>
      </c>
      <c r="O9" s="1848">
        <f t="shared" si="3"/>
        <v>658</v>
      </c>
      <c r="P9" s="1849">
        <v>298</v>
      </c>
      <c r="Q9" s="1848">
        <v>342</v>
      </c>
      <c r="R9" s="1850">
        <f t="shared" si="4"/>
        <v>640</v>
      </c>
      <c r="S9" s="1849">
        <v>327</v>
      </c>
      <c r="T9" s="1848">
        <v>364</v>
      </c>
      <c r="U9" s="1850">
        <f t="shared" si="5"/>
        <v>691</v>
      </c>
      <c r="V9" s="1849">
        <v>308</v>
      </c>
      <c r="W9" s="1848">
        <v>359</v>
      </c>
      <c r="X9" s="1850">
        <f>SUM(V9:W9)</f>
        <v>667</v>
      </c>
      <c r="Y9" s="1849">
        <v>355</v>
      </c>
      <c r="Z9" s="1848">
        <v>370</v>
      </c>
      <c r="AA9" s="1850">
        <f>SUM(Y9:Z9)</f>
        <v>725</v>
      </c>
    </row>
    <row r="10" spans="2:27" ht="15" customHeight="1" x14ac:dyDescent="0.25">
      <c r="B10" s="5108"/>
      <c r="C10" s="2459" t="s">
        <v>12</v>
      </c>
      <c r="D10" s="4342">
        <f t="shared" ref="D10:U10" si="6">SUM(D7:D9)</f>
        <v>1491.5237306543609</v>
      </c>
      <c r="E10" s="4343">
        <f t="shared" si="6"/>
        <v>2641.4762693456396</v>
      </c>
      <c r="F10" s="4343">
        <f t="shared" si="6"/>
        <v>4133</v>
      </c>
      <c r="G10" s="4342">
        <f t="shared" si="6"/>
        <v>1539.7586821962032</v>
      </c>
      <c r="H10" s="4343">
        <f t="shared" si="6"/>
        <v>2592.2413178037968</v>
      </c>
      <c r="I10" s="4343">
        <f t="shared" si="6"/>
        <v>4132</v>
      </c>
      <c r="J10" s="4342">
        <f t="shared" si="6"/>
        <v>1662</v>
      </c>
      <c r="K10" s="4343">
        <f t="shared" si="6"/>
        <v>2694</v>
      </c>
      <c r="L10" s="4343">
        <f t="shared" si="6"/>
        <v>4356</v>
      </c>
      <c r="M10" s="4342">
        <f t="shared" si="6"/>
        <v>1542</v>
      </c>
      <c r="N10" s="4343">
        <f t="shared" si="6"/>
        <v>2557</v>
      </c>
      <c r="O10" s="4343">
        <f t="shared" ref="O10" si="7">SUM(O7:O9)</f>
        <v>4099</v>
      </c>
      <c r="P10" s="4342">
        <f t="shared" ref="P10" si="8">SUM(P7:P9)</f>
        <v>1443</v>
      </c>
      <c r="Q10" s="4343">
        <f t="shared" ref="Q10" si="9">SUM(Q7:Q9)</f>
        <v>2232</v>
      </c>
      <c r="R10" s="4352">
        <f t="shared" ref="R10" si="10">SUM(R7:R9)</f>
        <v>3675</v>
      </c>
      <c r="S10" s="4342">
        <f t="shared" si="6"/>
        <v>1523</v>
      </c>
      <c r="T10" s="4343">
        <f t="shared" si="6"/>
        <v>2228</v>
      </c>
      <c r="U10" s="4343">
        <f t="shared" si="6"/>
        <v>3751</v>
      </c>
      <c r="V10" s="4342">
        <f t="shared" ref="V10:AA10" si="11">SUM(V7:V9)</f>
        <v>1427</v>
      </c>
      <c r="W10" s="4343">
        <f t="shared" si="11"/>
        <v>2148</v>
      </c>
      <c r="X10" s="4352">
        <f t="shared" si="11"/>
        <v>3575</v>
      </c>
      <c r="Y10" s="4342">
        <f t="shared" si="11"/>
        <v>1506</v>
      </c>
      <c r="Z10" s="4343">
        <f t="shared" si="11"/>
        <v>2084</v>
      </c>
      <c r="AA10" s="4352">
        <f t="shared" si="11"/>
        <v>3590</v>
      </c>
    </row>
    <row r="11" spans="2:27" ht="15" customHeight="1" x14ac:dyDescent="0.25">
      <c r="B11" s="1923"/>
      <c r="C11" s="771"/>
      <c r="D11" s="1859"/>
      <c r="E11" s="1859"/>
      <c r="F11" s="1859"/>
      <c r="G11" s="1859"/>
      <c r="H11" s="1859"/>
      <c r="I11" s="1859"/>
      <c r="J11" s="1859"/>
      <c r="K11" s="1859"/>
      <c r="L11" s="1859"/>
      <c r="M11" s="1859"/>
      <c r="N11" s="1859"/>
      <c r="O11" s="1859"/>
      <c r="P11" s="1859"/>
      <c r="Q11" s="1859"/>
      <c r="R11" s="1859"/>
      <c r="S11" s="1859"/>
      <c r="T11" s="1859"/>
      <c r="U11" s="1859"/>
      <c r="V11" s="1859"/>
      <c r="W11" s="1859"/>
      <c r="X11" s="1859"/>
      <c r="Y11" s="1859"/>
      <c r="Z11" s="1859"/>
      <c r="AA11" s="1859"/>
    </row>
    <row r="12" spans="2:27" ht="15" customHeight="1" x14ac:dyDescent="0.25">
      <c r="B12" s="5028" t="s">
        <v>410</v>
      </c>
      <c r="C12" s="3870" t="s">
        <v>6</v>
      </c>
      <c r="D12" s="1845">
        <v>76</v>
      </c>
      <c r="E12" s="1846">
        <v>46</v>
      </c>
      <c r="F12" s="1844">
        <f t="shared" si="0"/>
        <v>122</v>
      </c>
      <c r="G12" s="1845">
        <v>49.879518072289159</v>
      </c>
      <c r="H12" s="1846">
        <v>40.120481927710841</v>
      </c>
      <c r="I12" s="1844">
        <f t="shared" si="1"/>
        <v>90</v>
      </c>
      <c r="J12" s="1845">
        <v>61</v>
      </c>
      <c r="K12" s="1846">
        <v>54</v>
      </c>
      <c r="L12" s="1844">
        <f t="shared" si="2"/>
        <v>115</v>
      </c>
      <c r="M12" s="1845">
        <v>54</v>
      </c>
      <c r="N12" s="1846">
        <v>51</v>
      </c>
      <c r="O12" s="1842">
        <f t="shared" si="3"/>
        <v>105</v>
      </c>
      <c r="P12" s="1845">
        <v>63</v>
      </c>
      <c r="Q12" s="1846">
        <v>43</v>
      </c>
      <c r="R12" s="1844">
        <f t="shared" si="4"/>
        <v>106</v>
      </c>
      <c r="S12" s="1845">
        <v>64</v>
      </c>
      <c r="T12" s="1846">
        <v>59</v>
      </c>
      <c r="U12" s="1844">
        <f t="shared" si="5"/>
        <v>123</v>
      </c>
      <c r="V12" s="1845">
        <v>112</v>
      </c>
      <c r="W12" s="1846">
        <v>115</v>
      </c>
      <c r="X12" s="1844">
        <f>SUM(V12:W12)</f>
        <v>227</v>
      </c>
      <c r="Y12" s="1845">
        <v>149</v>
      </c>
      <c r="Z12" s="1846">
        <v>126</v>
      </c>
      <c r="AA12" s="1844">
        <f>SUM(Y12:Z12)</f>
        <v>275</v>
      </c>
    </row>
    <row r="13" spans="2:27" ht="15" customHeight="1" x14ac:dyDescent="0.25">
      <c r="B13" s="5029"/>
      <c r="C13" s="3871" t="s">
        <v>9</v>
      </c>
      <c r="D13" s="1851">
        <v>60</v>
      </c>
      <c r="E13" s="1852">
        <v>84</v>
      </c>
      <c r="F13" s="1850">
        <f t="shared" si="0"/>
        <v>144</v>
      </c>
      <c r="G13" s="1851">
        <v>49.269230769230774</v>
      </c>
      <c r="H13" s="1852">
        <v>72.730769230769226</v>
      </c>
      <c r="I13" s="1850">
        <f t="shared" si="1"/>
        <v>122</v>
      </c>
      <c r="J13" s="1851">
        <v>52</v>
      </c>
      <c r="K13" s="1852">
        <v>86</v>
      </c>
      <c r="L13" s="1850">
        <f t="shared" si="2"/>
        <v>138</v>
      </c>
      <c r="M13" s="1851">
        <v>72</v>
      </c>
      <c r="N13" s="1852">
        <v>86</v>
      </c>
      <c r="O13" s="1848">
        <f t="shared" si="3"/>
        <v>158</v>
      </c>
      <c r="P13" s="1851">
        <v>62</v>
      </c>
      <c r="Q13" s="1852">
        <v>91</v>
      </c>
      <c r="R13" s="1850">
        <f t="shared" si="4"/>
        <v>153</v>
      </c>
      <c r="S13" s="1851">
        <v>66</v>
      </c>
      <c r="T13" s="1852">
        <v>92</v>
      </c>
      <c r="U13" s="1850">
        <f t="shared" si="5"/>
        <v>158</v>
      </c>
      <c r="V13" s="1851">
        <v>72</v>
      </c>
      <c r="W13" s="1852">
        <v>117</v>
      </c>
      <c r="X13" s="1850">
        <f t="shared" ref="X13:X14" si="12">SUM(V13:W13)</f>
        <v>189</v>
      </c>
      <c r="Y13" s="1851">
        <v>94</v>
      </c>
      <c r="Z13" s="1852">
        <v>140</v>
      </c>
      <c r="AA13" s="1850">
        <f t="shared" ref="AA13:AA14" si="13">SUM(Y13:Z13)</f>
        <v>234</v>
      </c>
    </row>
    <row r="14" spans="2:27" ht="15" customHeight="1" x14ac:dyDescent="0.2">
      <c r="B14" s="5029"/>
      <c r="C14" s="518" t="s">
        <v>74</v>
      </c>
      <c r="D14" s="1849">
        <v>44.118644067796609</v>
      </c>
      <c r="E14" s="1848">
        <v>92.881355932203391</v>
      </c>
      <c r="F14" s="1850">
        <f t="shared" si="0"/>
        <v>137</v>
      </c>
      <c r="G14" s="1849">
        <v>34.719101123595507</v>
      </c>
      <c r="H14" s="1848">
        <v>68.280898876404493</v>
      </c>
      <c r="I14" s="1850">
        <f t="shared" si="1"/>
        <v>103</v>
      </c>
      <c r="J14" s="1849">
        <v>58</v>
      </c>
      <c r="K14" s="1848">
        <v>88</v>
      </c>
      <c r="L14" s="1850">
        <f t="shared" si="2"/>
        <v>146</v>
      </c>
      <c r="M14" s="1849">
        <v>73</v>
      </c>
      <c r="N14" s="1848">
        <v>93</v>
      </c>
      <c r="O14" s="1848">
        <f t="shared" si="3"/>
        <v>166</v>
      </c>
      <c r="P14" s="1849">
        <v>60</v>
      </c>
      <c r="Q14" s="1848">
        <v>115</v>
      </c>
      <c r="R14" s="1850">
        <f t="shared" si="4"/>
        <v>175</v>
      </c>
      <c r="S14" s="1849">
        <v>86</v>
      </c>
      <c r="T14" s="1848">
        <v>136</v>
      </c>
      <c r="U14" s="1850">
        <f t="shared" si="5"/>
        <v>222</v>
      </c>
      <c r="V14" s="1849">
        <v>131</v>
      </c>
      <c r="W14" s="1848">
        <v>162</v>
      </c>
      <c r="X14" s="1850">
        <f t="shared" si="12"/>
        <v>293</v>
      </c>
      <c r="Y14" s="1849">
        <v>110</v>
      </c>
      <c r="Z14" s="1848">
        <v>173</v>
      </c>
      <c r="AA14" s="1850">
        <f t="shared" si="13"/>
        <v>283</v>
      </c>
    </row>
    <row r="15" spans="2:27" ht="15" customHeight="1" x14ac:dyDescent="0.25">
      <c r="B15" s="5030"/>
      <c r="C15" s="2452" t="s">
        <v>12</v>
      </c>
      <c r="D15" s="4344">
        <f t="shared" ref="D15:U15" si="14">SUM(D12:D14)</f>
        <v>180.11864406779659</v>
      </c>
      <c r="E15" s="4345">
        <f t="shared" si="14"/>
        <v>222.88135593220341</v>
      </c>
      <c r="F15" s="4345">
        <f t="shared" si="14"/>
        <v>403</v>
      </c>
      <c r="G15" s="4344">
        <f t="shared" si="14"/>
        <v>133.86784996511545</v>
      </c>
      <c r="H15" s="4345">
        <f t="shared" si="14"/>
        <v>181.13215003488455</v>
      </c>
      <c r="I15" s="4345">
        <f t="shared" si="14"/>
        <v>315</v>
      </c>
      <c r="J15" s="4344">
        <f t="shared" si="14"/>
        <v>171</v>
      </c>
      <c r="K15" s="4345">
        <f t="shared" si="14"/>
        <v>228</v>
      </c>
      <c r="L15" s="4345">
        <f t="shared" si="14"/>
        <v>399</v>
      </c>
      <c r="M15" s="4344">
        <f t="shared" si="14"/>
        <v>199</v>
      </c>
      <c r="N15" s="4345">
        <f t="shared" si="14"/>
        <v>230</v>
      </c>
      <c r="O15" s="4345">
        <f t="shared" ref="O15" si="15">SUM(O12:O14)</f>
        <v>429</v>
      </c>
      <c r="P15" s="4344">
        <f t="shared" ref="P15" si="16">SUM(P12:P14)</f>
        <v>185</v>
      </c>
      <c r="Q15" s="4345">
        <f t="shared" ref="Q15" si="17">SUM(Q12:Q14)</f>
        <v>249</v>
      </c>
      <c r="R15" s="4351">
        <f t="shared" ref="R15" si="18">SUM(R12:R14)</f>
        <v>434</v>
      </c>
      <c r="S15" s="4344">
        <f t="shared" si="14"/>
        <v>216</v>
      </c>
      <c r="T15" s="4345">
        <f t="shared" si="14"/>
        <v>287</v>
      </c>
      <c r="U15" s="4345">
        <f t="shared" si="14"/>
        <v>503</v>
      </c>
      <c r="V15" s="4344">
        <f>SUM(V12:V14)</f>
        <v>315</v>
      </c>
      <c r="W15" s="4345">
        <f t="shared" ref="W15:X15" si="19">SUM(W12:W14)</f>
        <v>394</v>
      </c>
      <c r="X15" s="4351">
        <f t="shared" si="19"/>
        <v>709</v>
      </c>
      <c r="Y15" s="4344">
        <f>SUM(Y12:Y14)</f>
        <v>353</v>
      </c>
      <c r="Z15" s="4345">
        <f t="shared" ref="Z15:AA15" si="20">SUM(Z12:Z14)</f>
        <v>439</v>
      </c>
      <c r="AA15" s="4351">
        <f t="shared" si="20"/>
        <v>792</v>
      </c>
    </row>
    <row r="16" spans="2:27" ht="15" customHeight="1" x14ac:dyDescent="0.25">
      <c r="B16" s="1923"/>
      <c r="C16" s="263"/>
      <c r="D16" s="1838"/>
      <c r="E16" s="1838"/>
      <c r="F16" s="1838"/>
      <c r="G16" s="1838"/>
      <c r="H16" s="1838"/>
      <c r="I16" s="1838"/>
      <c r="J16" s="1838"/>
      <c r="K16" s="1838"/>
      <c r="L16" s="1838"/>
      <c r="M16" s="1838"/>
      <c r="N16" s="1838"/>
      <c r="O16" s="1838"/>
      <c r="P16" s="1838"/>
      <c r="Q16" s="1838"/>
      <c r="R16" s="1838"/>
      <c r="S16" s="1838"/>
      <c r="T16" s="1838"/>
      <c r="U16" s="1838"/>
      <c r="V16" s="1838"/>
      <c r="W16" s="1838"/>
      <c r="X16" s="1838"/>
      <c r="Y16" s="1838"/>
      <c r="Z16" s="1838"/>
      <c r="AA16" s="1838"/>
    </row>
    <row r="17" spans="2:27" ht="15" customHeight="1" x14ac:dyDescent="0.25">
      <c r="B17" s="5040" t="s">
        <v>162</v>
      </c>
      <c r="C17" s="3870" t="s">
        <v>5</v>
      </c>
      <c r="D17" s="1845">
        <v>282.58437146092865</v>
      </c>
      <c r="E17" s="1846">
        <v>631.41562853907135</v>
      </c>
      <c r="F17" s="1844">
        <f t="shared" si="0"/>
        <v>914</v>
      </c>
      <c r="G17" s="1845">
        <v>254.53545232273839</v>
      </c>
      <c r="H17" s="1846">
        <v>631.46454767726163</v>
      </c>
      <c r="I17" s="1844">
        <f t="shared" si="1"/>
        <v>886</v>
      </c>
      <c r="J17" s="1845">
        <v>324</v>
      </c>
      <c r="K17" s="1846">
        <v>732</v>
      </c>
      <c r="L17" s="1844">
        <f t="shared" si="2"/>
        <v>1056</v>
      </c>
      <c r="M17" s="1845">
        <v>314</v>
      </c>
      <c r="N17" s="1846">
        <v>784</v>
      </c>
      <c r="O17" s="1842">
        <f t="shared" si="3"/>
        <v>1098</v>
      </c>
      <c r="P17" s="1845">
        <v>343</v>
      </c>
      <c r="Q17" s="1846">
        <v>776</v>
      </c>
      <c r="R17" s="1844">
        <f t="shared" si="4"/>
        <v>1119</v>
      </c>
      <c r="S17" s="1845">
        <v>374</v>
      </c>
      <c r="T17" s="1846">
        <v>916</v>
      </c>
      <c r="U17" s="1844">
        <f t="shared" si="5"/>
        <v>1290</v>
      </c>
      <c r="V17" s="1845">
        <v>324</v>
      </c>
      <c r="W17" s="1846">
        <v>728</v>
      </c>
      <c r="X17" s="1844">
        <f>SUM(V17:W17)</f>
        <v>1052</v>
      </c>
      <c r="Y17" s="1845">
        <v>294</v>
      </c>
      <c r="Z17" s="1846">
        <v>684</v>
      </c>
      <c r="AA17" s="1844">
        <f>SUM(Y17:Z17)</f>
        <v>978</v>
      </c>
    </row>
    <row r="18" spans="2:27" ht="15" customHeight="1" x14ac:dyDescent="0.25">
      <c r="B18" s="5041"/>
      <c r="C18" s="3871" t="s">
        <v>6</v>
      </c>
      <c r="D18" s="1851">
        <v>695.63090472377894</v>
      </c>
      <c r="E18" s="1852">
        <v>595.36909527622106</v>
      </c>
      <c r="F18" s="1850">
        <f t="shared" si="0"/>
        <v>1291</v>
      </c>
      <c r="G18" s="1851">
        <v>740.68764940239043</v>
      </c>
      <c r="H18" s="1852">
        <v>620.31235059760957</v>
      </c>
      <c r="I18" s="1850">
        <f t="shared" si="1"/>
        <v>1361</v>
      </c>
      <c r="J18" s="1851">
        <v>745</v>
      </c>
      <c r="K18" s="1852">
        <v>647</v>
      </c>
      <c r="L18" s="1850">
        <f t="shared" si="2"/>
        <v>1392</v>
      </c>
      <c r="M18" s="1851">
        <v>749</v>
      </c>
      <c r="N18" s="1852">
        <v>626</v>
      </c>
      <c r="O18" s="1848">
        <f t="shared" si="3"/>
        <v>1375</v>
      </c>
      <c r="P18" s="1851">
        <v>738</v>
      </c>
      <c r="Q18" s="1852">
        <v>647</v>
      </c>
      <c r="R18" s="1850">
        <f t="shared" si="4"/>
        <v>1385</v>
      </c>
      <c r="S18" s="1851">
        <v>693</v>
      </c>
      <c r="T18" s="1852">
        <v>619</v>
      </c>
      <c r="U18" s="1850">
        <f t="shared" si="5"/>
        <v>1312</v>
      </c>
      <c r="V18" s="1851">
        <v>720</v>
      </c>
      <c r="W18" s="1852">
        <v>595</v>
      </c>
      <c r="X18" s="1850">
        <f t="shared" ref="X18:X19" si="21">SUM(V18:W18)</f>
        <v>1315</v>
      </c>
      <c r="Y18" s="1851">
        <v>711</v>
      </c>
      <c r="Z18" s="1852">
        <v>595</v>
      </c>
      <c r="AA18" s="1850">
        <f t="shared" ref="AA18:AA19" si="22">SUM(Y18:Z18)</f>
        <v>1306</v>
      </c>
    </row>
    <row r="19" spans="2:27" ht="15" customHeight="1" x14ac:dyDescent="0.2">
      <c r="B19" s="5041"/>
      <c r="C19" s="3871" t="s">
        <v>11</v>
      </c>
      <c r="D19" s="1849">
        <v>479.5435684647303</v>
      </c>
      <c r="E19" s="1848">
        <v>282.4564315352697</v>
      </c>
      <c r="F19" s="1850">
        <f t="shared" si="0"/>
        <v>762</v>
      </c>
      <c r="G19" s="1849">
        <v>545.35252643948297</v>
      </c>
      <c r="H19" s="1848">
        <v>373.64747356051703</v>
      </c>
      <c r="I19" s="1850">
        <f t="shared" si="1"/>
        <v>919</v>
      </c>
      <c r="J19" s="1849">
        <v>582</v>
      </c>
      <c r="K19" s="1848">
        <v>396</v>
      </c>
      <c r="L19" s="1850">
        <f t="shared" si="2"/>
        <v>978</v>
      </c>
      <c r="M19" s="1849">
        <v>591</v>
      </c>
      <c r="N19" s="1848">
        <v>415</v>
      </c>
      <c r="O19" s="1848">
        <f t="shared" si="3"/>
        <v>1006</v>
      </c>
      <c r="P19" s="1849">
        <v>584</v>
      </c>
      <c r="Q19" s="1848">
        <v>422</v>
      </c>
      <c r="R19" s="1850">
        <f t="shared" si="4"/>
        <v>1006</v>
      </c>
      <c r="S19" s="1849">
        <v>579</v>
      </c>
      <c r="T19" s="1848">
        <v>389</v>
      </c>
      <c r="U19" s="1850">
        <f t="shared" si="5"/>
        <v>968</v>
      </c>
      <c r="V19" s="1849">
        <v>521</v>
      </c>
      <c r="W19" s="1848">
        <v>340</v>
      </c>
      <c r="X19" s="1850">
        <f t="shared" si="21"/>
        <v>861</v>
      </c>
      <c r="Y19" s="1849">
        <v>491</v>
      </c>
      <c r="Z19" s="1848">
        <v>314</v>
      </c>
      <c r="AA19" s="1850">
        <f t="shared" si="22"/>
        <v>805</v>
      </c>
    </row>
    <row r="20" spans="2:27" ht="15" x14ac:dyDescent="0.25">
      <c r="B20" s="5109"/>
      <c r="C20" s="2466" t="s">
        <v>12</v>
      </c>
      <c r="D20" s="4348">
        <f t="shared" ref="D20:U20" si="23">SUM(D17:D19)</f>
        <v>1457.7588446494378</v>
      </c>
      <c r="E20" s="4349">
        <f t="shared" si="23"/>
        <v>1509.2411553505622</v>
      </c>
      <c r="F20" s="4349">
        <f t="shared" si="23"/>
        <v>2967</v>
      </c>
      <c r="G20" s="4348">
        <f t="shared" si="23"/>
        <v>1540.5756281646118</v>
      </c>
      <c r="H20" s="4349">
        <f t="shared" si="23"/>
        <v>1625.4243718353882</v>
      </c>
      <c r="I20" s="4349">
        <f t="shared" si="23"/>
        <v>3166</v>
      </c>
      <c r="J20" s="4348">
        <f t="shared" si="23"/>
        <v>1651</v>
      </c>
      <c r="K20" s="4349">
        <f t="shared" si="23"/>
        <v>1775</v>
      </c>
      <c r="L20" s="4349">
        <f t="shared" si="23"/>
        <v>3426</v>
      </c>
      <c r="M20" s="4348">
        <f t="shared" si="23"/>
        <v>1654</v>
      </c>
      <c r="N20" s="4349">
        <f t="shared" si="23"/>
        <v>1825</v>
      </c>
      <c r="O20" s="4349">
        <f t="shared" ref="O20" si="24">SUM(O17:O19)</f>
        <v>3479</v>
      </c>
      <c r="P20" s="4348">
        <f t="shared" ref="P20" si="25">SUM(P17:P19)</f>
        <v>1665</v>
      </c>
      <c r="Q20" s="4349">
        <f t="shared" ref="Q20" si="26">SUM(Q17:Q19)</f>
        <v>1845</v>
      </c>
      <c r="R20" s="4355">
        <f t="shared" ref="R20" si="27">SUM(R17:R19)</f>
        <v>3510</v>
      </c>
      <c r="S20" s="4348">
        <f t="shared" si="23"/>
        <v>1646</v>
      </c>
      <c r="T20" s="4349">
        <f t="shared" si="23"/>
        <v>1924</v>
      </c>
      <c r="U20" s="4349">
        <f t="shared" si="23"/>
        <v>3570</v>
      </c>
      <c r="V20" s="4348">
        <f>SUM(V17:V19)</f>
        <v>1565</v>
      </c>
      <c r="W20" s="4349">
        <f t="shared" ref="W20:X20" si="28">SUM(W17:W19)</f>
        <v>1663</v>
      </c>
      <c r="X20" s="4355">
        <f t="shared" si="28"/>
        <v>3228</v>
      </c>
      <c r="Y20" s="4348">
        <f>SUM(Y17:Y19)</f>
        <v>1496</v>
      </c>
      <c r="Z20" s="4349">
        <f t="shared" ref="Z20:AA20" si="29">SUM(Z17:Z19)</f>
        <v>1593</v>
      </c>
      <c r="AA20" s="4355">
        <f t="shared" si="29"/>
        <v>3089</v>
      </c>
    </row>
    <row r="21" spans="2:27" ht="15" x14ac:dyDescent="0.2">
      <c r="B21" s="195"/>
      <c r="C21" s="263"/>
      <c r="D21" s="1868"/>
      <c r="E21" s="1868"/>
      <c r="F21" s="1868"/>
      <c r="G21" s="1868"/>
      <c r="H21" s="1868"/>
      <c r="I21" s="1868"/>
      <c r="J21" s="1868"/>
      <c r="K21" s="1868"/>
      <c r="L21" s="1868"/>
      <c r="M21" s="1868"/>
      <c r="N21" s="1868"/>
      <c r="O21" s="1868"/>
      <c r="P21" s="1868"/>
      <c r="Q21" s="1868"/>
      <c r="R21" s="1868"/>
      <c r="S21" s="1868"/>
      <c r="T21" s="1868"/>
      <c r="U21" s="1868"/>
      <c r="V21" s="1868"/>
      <c r="W21" s="1868"/>
      <c r="X21" s="1868"/>
      <c r="Y21" s="1868"/>
      <c r="Z21" s="1868"/>
      <c r="AA21" s="1868"/>
    </row>
    <row r="22" spans="2:27" ht="15" x14ac:dyDescent="0.25">
      <c r="B22" s="5031" t="s">
        <v>411</v>
      </c>
      <c r="C22" s="3870" t="s">
        <v>5</v>
      </c>
      <c r="D22" s="1845"/>
      <c r="E22" s="1846"/>
      <c r="F22" s="1842"/>
      <c r="G22" s="1846"/>
      <c r="H22" s="1846"/>
      <c r="I22" s="1842"/>
      <c r="J22" s="1846"/>
      <c r="K22" s="1846"/>
      <c r="L22" s="1844"/>
      <c r="M22" s="1845">
        <v>24</v>
      </c>
      <c r="N22" s="1846">
        <v>53</v>
      </c>
      <c r="O22" s="1842">
        <f t="shared" si="3"/>
        <v>77</v>
      </c>
      <c r="P22" s="1845">
        <v>15</v>
      </c>
      <c r="Q22" s="1846">
        <v>17</v>
      </c>
      <c r="R22" s="1844">
        <f t="shared" si="4"/>
        <v>32</v>
      </c>
      <c r="S22" s="1845">
        <v>31</v>
      </c>
      <c r="T22" s="1846">
        <v>42</v>
      </c>
      <c r="U22" s="1844">
        <f t="shared" si="5"/>
        <v>73</v>
      </c>
      <c r="V22" s="1845">
        <v>27</v>
      </c>
      <c r="W22" s="1846">
        <v>29</v>
      </c>
      <c r="X22" s="1844">
        <f>SUM(V22:W22)</f>
        <v>56</v>
      </c>
      <c r="Y22" s="1845">
        <v>33</v>
      </c>
      <c r="Z22" s="1846">
        <v>46</v>
      </c>
      <c r="AA22" s="1844">
        <f>SUM(Y22:Z22)</f>
        <v>79</v>
      </c>
    </row>
    <row r="23" spans="2:27" ht="15" x14ac:dyDescent="0.25">
      <c r="B23" s="5032"/>
      <c r="C23" s="3871" t="s">
        <v>6</v>
      </c>
      <c r="D23" s="1851"/>
      <c r="E23" s="1852"/>
      <c r="F23" s="1848"/>
      <c r="G23" s="1852"/>
      <c r="H23" s="1852"/>
      <c r="I23" s="1848"/>
      <c r="J23" s="1852"/>
      <c r="K23" s="1852"/>
      <c r="L23" s="1850"/>
      <c r="M23" s="1851">
        <v>47</v>
      </c>
      <c r="N23" s="1852">
        <v>34</v>
      </c>
      <c r="O23" s="1848">
        <f t="shared" si="3"/>
        <v>81</v>
      </c>
      <c r="P23" s="1851">
        <v>18</v>
      </c>
      <c r="Q23" s="1852">
        <v>19</v>
      </c>
      <c r="R23" s="1850">
        <f t="shared" si="4"/>
        <v>37</v>
      </c>
      <c r="S23" s="1851">
        <v>45</v>
      </c>
      <c r="T23" s="1852">
        <v>43</v>
      </c>
      <c r="U23" s="1850">
        <f t="shared" si="5"/>
        <v>88</v>
      </c>
      <c r="V23" s="1851">
        <v>32</v>
      </c>
      <c r="W23" s="1852">
        <v>33</v>
      </c>
      <c r="X23" s="1850">
        <f t="shared" ref="X23:X24" si="30">SUM(V23:W23)</f>
        <v>65</v>
      </c>
      <c r="Y23" s="1851">
        <v>46</v>
      </c>
      <c r="Z23" s="1852">
        <v>30</v>
      </c>
      <c r="AA23" s="1850">
        <f t="shared" ref="AA23:AA24" si="31">SUM(Y23:Z23)</f>
        <v>76</v>
      </c>
    </row>
    <row r="24" spans="2:27" ht="15" x14ac:dyDescent="0.2">
      <c r="B24" s="5032"/>
      <c r="C24" s="275" t="s">
        <v>11</v>
      </c>
      <c r="D24" s="1849"/>
      <c r="E24" s="1848"/>
      <c r="F24" s="1848"/>
      <c r="G24" s="1848"/>
      <c r="H24" s="1848"/>
      <c r="I24" s="1848"/>
      <c r="J24" s="1848"/>
      <c r="K24" s="1848"/>
      <c r="L24" s="1850"/>
      <c r="M24" s="1849">
        <v>54</v>
      </c>
      <c r="N24" s="1848">
        <v>26</v>
      </c>
      <c r="O24" s="1848">
        <f t="shared" si="3"/>
        <v>80</v>
      </c>
      <c r="P24" s="1849">
        <v>23</v>
      </c>
      <c r="Q24" s="1848">
        <v>15</v>
      </c>
      <c r="R24" s="1850">
        <f t="shared" si="4"/>
        <v>38</v>
      </c>
      <c r="S24" s="1849">
        <v>52</v>
      </c>
      <c r="T24" s="1848">
        <v>21</v>
      </c>
      <c r="U24" s="1850">
        <f t="shared" si="5"/>
        <v>73</v>
      </c>
      <c r="V24" s="1849">
        <v>42</v>
      </c>
      <c r="W24" s="1848">
        <v>24</v>
      </c>
      <c r="X24" s="1850">
        <f t="shared" si="30"/>
        <v>66</v>
      </c>
      <c r="Y24" s="1849">
        <v>59</v>
      </c>
      <c r="Z24" s="1848">
        <v>26</v>
      </c>
      <c r="AA24" s="1850">
        <f t="shared" si="31"/>
        <v>85</v>
      </c>
    </row>
    <row r="25" spans="2:27" ht="15" x14ac:dyDescent="0.25">
      <c r="B25" s="5113"/>
      <c r="C25" s="2397" t="s">
        <v>12</v>
      </c>
      <c r="D25" s="4340"/>
      <c r="E25" s="4341"/>
      <c r="F25" s="4341"/>
      <c r="G25" s="4341"/>
      <c r="H25" s="4341"/>
      <c r="I25" s="4341"/>
      <c r="J25" s="4341"/>
      <c r="K25" s="4341"/>
      <c r="L25" s="4353"/>
      <c r="M25" s="4340">
        <f t="shared" ref="M25:U25" si="32">SUM(M22:M24)</f>
        <v>125</v>
      </c>
      <c r="N25" s="4341">
        <f t="shared" si="32"/>
        <v>113</v>
      </c>
      <c r="O25" s="4341">
        <f t="shared" ref="O25" si="33">SUM(O22:O24)</f>
        <v>238</v>
      </c>
      <c r="P25" s="4340">
        <f t="shared" ref="P25" si="34">SUM(P22:P24)</f>
        <v>56</v>
      </c>
      <c r="Q25" s="4341">
        <f t="shared" ref="Q25" si="35">SUM(Q22:Q24)</f>
        <v>51</v>
      </c>
      <c r="R25" s="4353">
        <f t="shared" ref="R25" si="36">SUM(R22:R24)</f>
        <v>107</v>
      </c>
      <c r="S25" s="4340">
        <f t="shared" si="32"/>
        <v>128</v>
      </c>
      <c r="T25" s="4341">
        <f t="shared" si="32"/>
        <v>106</v>
      </c>
      <c r="U25" s="4341">
        <f t="shared" si="32"/>
        <v>234</v>
      </c>
      <c r="V25" s="4340">
        <f>SUM(V22:V24)</f>
        <v>101</v>
      </c>
      <c r="W25" s="4341">
        <f t="shared" ref="W25:X25" si="37">SUM(W22:W24)</f>
        <v>86</v>
      </c>
      <c r="X25" s="4353">
        <f t="shared" si="37"/>
        <v>187</v>
      </c>
      <c r="Y25" s="4340">
        <f>SUM(Y22:Y24)</f>
        <v>138</v>
      </c>
      <c r="Z25" s="4341">
        <f t="shared" ref="Z25:AA25" si="38">SUM(Z22:Z24)</f>
        <v>102</v>
      </c>
      <c r="AA25" s="4353">
        <f t="shared" si="38"/>
        <v>240</v>
      </c>
    </row>
    <row r="26" spans="2:27" ht="15.75" x14ac:dyDescent="0.25">
      <c r="B26" s="1923"/>
      <c r="C26" s="721"/>
      <c r="D26" s="1838"/>
      <c r="E26" s="1838"/>
      <c r="F26" s="1838"/>
      <c r="G26" s="1838"/>
      <c r="H26" s="1838"/>
      <c r="I26" s="1838"/>
      <c r="J26" s="1838"/>
      <c r="K26" s="1838"/>
      <c r="L26" s="1838"/>
      <c r="M26" s="1838"/>
      <c r="N26" s="1838"/>
      <c r="O26" s="1838"/>
      <c r="P26" s="1838"/>
      <c r="Q26" s="1838"/>
      <c r="R26" s="1838"/>
      <c r="S26" s="1838"/>
      <c r="T26" s="1838"/>
      <c r="U26" s="1838"/>
      <c r="V26" s="1838"/>
      <c r="W26" s="1838"/>
      <c r="X26" s="1838"/>
      <c r="Y26" s="1838"/>
      <c r="Z26" s="1838"/>
      <c r="AA26" s="1838"/>
    </row>
    <row r="27" spans="2:27" ht="15" x14ac:dyDescent="0.25">
      <c r="B27" s="5043" t="s">
        <v>163</v>
      </c>
      <c r="C27" s="3870" t="s">
        <v>6</v>
      </c>
      <c r="D27" s="1845">
        <v>791.92426367461439</v>
      </c>
      <c r="E27" s="1846">
        <v>732.07573632538572</v>
      </c>
      <c r="F27" s="1844">
        <f t="shared" si="0"/>
        <v>1524</v>
      </c>
      <c r="G27" s="1845">
        <v>824.38276113951781</v>
      </c>
      <c r="H27" s="1846">
        <v>721.61723886048208</v>
      </c>
      <c r="I27" s="1844">
        <f t="shared" si="1"/>
        <v>1546</v>
      </c>
      <c r="J27" s="1845">
        <v>822</v>
      </c>
      <c r="K27" s="1846">
        <v>794</v>
      </c>
      <c r="L27" s="1844">
        <f t="shared" si="2"/>
        <v>1616</v>
      </c>
      <c r="M27" s="1845">
        <v>813</v>
      </c>
      <c r="N27" s="1846">
        <v>798</v>
      </c>
      <c r="O27" s="1842">
        <f t="shared" si="3"/>
        <v>1611</v>
      </c>
      <c r="P27" s="1845">
        <v>850</v>
      </c>
      <c r="Q27" s="1846">
        <v>813</v>
      </c>
      <c r="R27" s="1844">
        <f t="shared" si="4"/>
        <v>1663</v>
      </c>
      <c r="S27" s="1845">
        <v>767</v>
      </c>
      <c r="T27" s="1846">
        <v>780</v>
      </c>
      <c r="U27" s="1844">
        <f t="shared" si="5"/>
        <v>1547</v>
      </c>
      <c r="V27" s="1845">
        <v>794</v>
      </c>
      <c r="W27" s="1846">
        <v>778</v>
      </c>
      <c r="X27" s="1844">
        <f>SUM(V27:W27)</f>
        <v>1572</v>
      </c>
      <c r="Y27" s="1845">
        <v>809</v>
      </c>
      <c r="Z27" s="1846">
        <v>797</v>
      </c>
      <c r="AA27" s="1844">
        <f>SUM(Y27:Z27)</f>
        <v>1606</v>
      </c>
    </row>
    <row r="28" spans="2:27" ht="15" x14ac:dyDescent="0.25">
      <c r="B28" s="5044"/>
      <c r="C28" s="3871" t="s">
        <v>11</v>
      </c>
      <c r="D28" s="1851">
        <v>1111.3910073989755</v>
      </c>
      <c r="E28" s="1852">
        <v>782.6089926010244</v>
      </c>
      <c r="F28" s="1850">
        <f t="shared" si="0"/>
        <v>1894</v>
      </c>
      <c r="G28" s="1851">
        <v>1216.7635933806146</v>
      </c>
      <c r="H28" s="1852">
        <v>740.23640661938532</v>
      </c>
      <c r="I28" s="1850">
        <f t="shared" si="1"/>
        <v>1957</v>
      </c>
      <c r="J28" s="1851">
        <v>1321</v>
      </c>
      <c r="K28" s="1852">
        <v>785</v>
      </c>
      <c r="L28" s="1850">
        <f t="shared" si="2"/>
        <v>2106</v>
      </c>
      <c r="M28" s="1851">
        <v>1220</v>
      </c>
      <c r="N28" s="1852">
        <v>861</v>
      </c>
      <c r="O28" s="1848">
        <f t="shared" si="3"/>
        <v>2081</v>
      </c>
      <c r="P28" s="1851">
        <v>1224</v>
      </c>
      <c r="Q28" s="1852">
        <v>843</v>
      </c>
      <c r="R28" s="1850">
        <f t="shared" si="4"/>
        <v>2067</v>
      </c>
      <c r="S28" s="1851">
        <v>1310</v>
      </c>
      <c r="T28" s="1852">
        <v>777</v>
      </c>
      <c r="U28" s="1850">
        <f t="shared" si="5"/>
        <v>2087</v>
      </c>
      <c r="V28" s="1851">
        <v>1220</v>
      </c>
      <c r="W28" s="1852">
        <v>724</v>
      </c>
      <c r="X28" s="1850">
        <f t="shared" ref="X28:X29" si="39">SUM(V28:W28)</f>
        <v>1944</v>
      </c>
      <c r="Y28" s="1851">
        <v>1254</v>
      </c>
      <c r="Z28" s="1852">
        <v>764</v>
      </c>
      <c r="AA28" s="1850">
        <f t="shared" ref="AA28:AA29" si="40">SUM(Y28:Z28)</f>
        <v>2018</v>
      </c>
    </row>
    <row r="29" spans="2:27" ht="15" x14ac:dyDescent="0.2">
      <c r="B29" s="5044"/>
      <c r="C29" s="3871" t="s">
        <v>7</v>
      </c>
      <c r="D29" s="1849">
        <v>310.88156123822341</v>
      </c>
      <c r="E29" s="1848">
        <v>472.11843876177659</v>
      </c>
      <c r="F29" s="1850">
        <f t="shared" si="0"/>
        <v>783</v>
      </c>
      <c r="G29" s="1849">
        <v>288.71406959152802</v>
      </c>
      <c r="H29" s="1848">
        <v>445.28593040847204</v>
      </c>
      <c r="I29" s="1850">
        <f t="shared" si="1"/>
        <v>734</v>
      </c>
      <c r="J29" s="1849">
        <v>285</v>
      </c>
      <c r="K29" s="1848">
        <v>459</v>
      </c>
      <c r="L29" s="1850">
        <f t="shared" si="2"/>
        <v>744</v>
      </c>
      <c r="M29" s="1849">
        <v>325</v>
      </c>
      <c r="N29" s="1848">
        <v>451</v>
      </c>
      <c r="O29" s="1848">
        <f t="shared" si="3"/>
        <v>776</v>
      </c>
      <c r="P29" s="1849">
        <v>300</v>
      </c>
      <c r="Q29" s="1848">
        <v>471</v>
      </c>
      <c r="R29" s="1850">
        <f t="shared" si="4"/>
        <v>771</v>
      </c>
      <c r="S29" s="1849">
        <v>281</v>
      </c>
      <c r="T29" s="1848">
        <v>437</v>
      </c>
      <c r="U29" s="1850">
        <f t="shared" si="5"/>
        <v>718</v>
      </c>
      <c r="V29" s="1849">
        <v>277</v>
      </c>
      <c r="W29" s="1848">
        <v>419</v>
      </c>
      <c r="X29" s="1850">
        <f t="shared" si="39"/>
        <v>696</v>
      </c>
      <c r="Y29" s="1849">
        <v>289</v>
      </c>
      <c r="Z29" s="1848">
        <v>461</v>
      </c>
      <c r="AA29" s="1850">
        <f t="shared" si="40"/>
        <v>750</v>
      </c>
    </row>
    <row r="30" spans="2:27" ht="15" x14ac:dyDescent="0.25">
      <c r="B30" s="5110"/>
      <c r="C30" s="2482" t="s">
        <v>12</v>
      </c>
      <c r="D30" s="4346">
        <f t="shared" ref="D30:U30" si="41">SUM(D27:D29)</f>
        <v>2214.1968323118135</v>
      </c>
      <c r="E30" s="4347">
        <f t="shared" si="41"/>
        <v>1986.8031676881867</v>
      </c>
      <c r="F30" s="4347">
        <f t="shared" si="41"/>
        <v>4201</v>
      </c>
      <c r="G30" s="4346">
        <f t="shared" si="41"/>
        <v>2329.8604241116604</v>
      </c>
      <c r="H30" s="4347">
        <f t="shared" si="41"/>
        <v>1907.1395758883393</v>
      </c>
      <c r="I30" s="4347">
        <f t="shared" si="41"/>
        <v>4237</v>
      </c>
      <c r="J30" s="4346">
        <f t="shared" si="41"/>
        <v>2428</v>
      </c>
      <c r="K30" s="4347">
        <f t="shared" si="41"/>
        <v>2038</v>
      </c>
      <c r="L30" s="4347">
        <f t="shared" si="41"/>
        <v>4466</v>
      </c>
      <c r="M30" s="4346">
        <f t="shared" si="41"/>
        <v>2358</v>
      </c>
      <c r="N30" s="4347">
        <f t="shared" si="41"/>
        <v>2110</v>
      </c>
      <c r="O30" s="4347">
        <f t="shared" ref="O30" si="42">SUM(O27:O29)</f>
        <v>4468</v>
      </c>
      <c r="P30" s="4346">
        <f t="shared" ref="P30" si="43">SUM(P27:P29)</f>
        <v>2374</v>
      </c>
      <c r="Q30" s="4347">
        <f t="shared" ref="Q30" si="44">SUM(Q27:Q29)</f>
        <v>2127</v>
      </c>
      <c r="R30" s="4354">
        <f t="shared" ref="R30" si="45">SUM(R27:R29)</f>
        <v>4501</v>
      </c>
      <c r="S30" s="4346">
        <f t="shared" si="41"/>
        <v>2358</v>
      </c>
      <c r="T30" s="4347">
        <f t="shared" si="41"/>
        <v>1994</v>
      </c>
      <c r="U30" s="4347">
        <f t="shared" si="41"/>
        <v>4352</v>
      </c>
      <c r="V30" s="4346">
        <f>SUM(V27:V29)</f>
        <v>2291</v>
      </c>
      <c r="W30" s="4347">
        <f t="shared" ref="W30:X30" si="46">SUM(W27:W29)</f>
        <v>1921</v>
      </c>
      <c r="X30" s="4354">
        <f t="shared" si="46"/>
        <v>4212</v>
      </c>
      <c r="Y30" s="4346">
        <f>SUM(Y27:Y29)</f>
        <v>2352</v>
      </c>
      <c r="Z30" s="4347">
        <f t="shared" ref="Z30:AA30" si="47">SUM(Z27:Z29)</f>
        <v>2022</v>
      </c>
      <c r="AA30" s="4354">
        <f t="shared" si="47"/>
        <v>4374</v>
      </c>
    </row>
    <row r="31" spans="2:27" ht="15" x14ac:dyDescent="0.25">
      <c r="B31" s="263"/>
      <c r="C31" s="263"/>
      <c r="D31" s="1867"/>
      <c r="E31" s="1867"/>
      <c r="F31" s="1867"/>
      <c r="G31" s="1867"/>
      <c r="H31" s="1867"/>
      <c r="I31" s="1867"/>
      <c r="J31" s="1867"/>
      <c r="K31" s="1867"/>
      <c r="L31" s="1867"/>
      <c r="M31" s="1867"/>
      <c r="N31" s="1867"/>
      <c r="O31" s="1867"/>
      <c r="P31" s="1867"/>
      <c r="Q31" s="1867"/>
      <c r="R31" s="1867"/>
      <c r="S31" s="1867"/>
      <c r="T31" s="1867"/>
      <c r="U31" s="1867"/>
      <c r="V31" s="1867"/>
      <c r="W31" s="1867"/>
      <c r="X31" s="1867"/>
      <c r="Y31" s="1867"/>
      <c r="Z31" s="1867"/>
      <c r="AA31" s="1867"/>
    </row>
    <row r="32" spans="2:27" ht="15" x14ac:dyDescent="0.25">
      <c r="B32" s="5059" t="s">
        <v>60</v>
      </c>
      <c r="C32" s="3870" t="s">
        <v>5</v>
      </c>
      <c r="D32" s="1845">
        <f t="shared" ref="D32:T32" si="48">SUM(D7,D17,D22)</f>
        <v>804.09341538857723</v>
      </c>
      <c r="E32" s="1846">
        <f t="shared" si="48"/>
        <v>2229.9065846114227</v>
      </c>
      <c r="F32" s="1870">
        <f t="shared" si="0"/>
        <v>3034</v>
      </c>
      <c r="G32" s="1845">
        <f t="shared" si="48"/>
        <v>757.51316971404276</v>
      </c>
      <c r="H32" s="1846">
        <f t="shared" si="48"/>
        <v>2171.4868302859572</v>
      </c>
      <c r="I32" s="1870">
        <f t="shared" si="1"/>
        <v>2929</v>
      </c>
      <c r="J32" s="1845">
        <f t="shared" si="48"/>
        <v>978</v>
      </c>
      <c r="K32" s="1846">
        <f t="shared" si="48"/>
        <v>2463</v>
      </c>
      <c r="L32" s="1870">
        <f t="shared" si="2"/>
        <v>3441</v>
      </c>
      <c r="M32" s="1845">
        <f t="shared" si="48"/>
        <v>850</v>
      </c>
      <c r="N32" s="1846">
        <f t="shared" si="48"/>
        <v>2361</v>
      </c>
      <c r="O32" s="1870">
        <f t="shared" si="3"/>
        <v>3211</v>
      </c>
      <c r="P32" s="1845">
        <f t="shared" si="48"/>
        <v>702</v>
      </c>
      <c r="Q32" s="1846">
        <f t="shared" si="48"/>
        <v>1898</v>
      </c>
      <c r="R32" s="1870">
        <f t="shared" si="4"/>
        <v>2600</v>
      </c>
      <c r="S32" s="1845">
        <f t="shared" si="48"/>
        <v>804</v>
      </c>
      <c r="T32" s="1846">
        <f t="shared" si="48"/>
        <v>2107</v>
      </c>
      <c r="U32" s="1870">
        <f t="shared" si="5"/>
        <v>2911</v>
      </c>
      <c r="V32" s="1845">
        <f>SUM(V7,V17,V22)</f>
        <v>737</v>
      </c>
      <c r="W32" s="1846">
        <f t="shared" ref="W32:X32" si="49">SUM(W7,W17,W22)</f>
        <v>1825</v>
      </c>
      <c r="X32" s="1870">
        <f t="shared" si="49"/>
        <v>2562</v>
      </c>
      <c r="Y32" s="1845">
        <f>SUM(Y7,Y17,Y22)</f>
        <v>641</v>
      </c>
      <c r="Z32" s="1846">
        <f t="shared" ref="Z32:AA32" si="50">SUM(Z7,Z17,Z22)</f>
        <v>1665</v>
      </c>
      <c r="AA32" s="1870">
        <f t="shared" si="50"/>
        <v>2306</v>
      </c>
    </row>
    <row r="33" spans="2:27" ht="15" x14ac:dyDescent="0.25">
      <c r="B33" s="5060"/>
      <c r="C33" s="3871" t="s">
        <v>6</v>
      </c>
      <c r="D33" s="1865">
        <f t="shared" ref="D33:T33" si="51">SUM(D8,D12,D18,D23,D27)</f>
        <v>2284.8611668797903</v>
      </c>
      <c r="E33" s="1866">
        <f t="shared" si="51"/>
        <v>2049.1388331202097</v>
      </c>
      <c r="F33" s="1871">
        <f t="shared" si="0"/>
        <v>4334</v>
      </c>
      <c r="G33" s="1865">
        <f t="shared" si="51"/>
        <v>2405.041118722389</v>
      </c>
      <c r="H33" s="1866">
        <f t="shared" si="51"/>
        <v>2033.9588812776108</v>
      </c>
      <c r="I33" s="1871">
        <f t="shared" si="1"/>
        <v>4439</v>
      </c>
      <c r="J33" s="1865">
        <f t="shared" si="51"/>
        <v>2336</v>
      </c>
      <c r="K33" s="1866">
        <f t="shared" si="51"/>
        <v>2136</v>
      </c>
      <c r="L33" s="1871">
        <f t="shared" si="2"/>
        <v>4472</v>
      </c>
      <c r="M33" s="1865">
        <f t="shared" si="51"/>
        <v>2388</v>
      </c>
      <c r="N33" s="1866">
        <f t="shared" si="51"/>
        <v>2189</v>
      </c>
      <c r="O33" s="1871">
        <f t="shared" si="3"/>
        <v>4577</v>
      </c>
      <c r="P33" s="1865">
        <f t="shared" si="51"/>
        <v>2470</v>
      </c>
      <c r="Q33" s="1866">
        <f t="shared" si="51"/>
        <v>2307</v>
      </c>
      <c r="R33" s="1871">
        <f t="shared" si="4"/>
        <v>4777</v>
      </c>
      <c r="S33" s="1865">
        <f t="shared" si="51"/>
        <v>2366</v>
      </c>
      <c r="T33" s="1866">
        <f t="shared" si="51"/>
        <v>2216</v>
      </c>
      <c r="U33" s="1871">
        <f t="shared" si="5"/>
        <v>4582</v>
      </c>
      <c r="V33" s="1865">
        <f>SUM(V8,V12,V18,V23,V27)</f>
        <v>2391</v>
      </c>
      <c r="W33" s="1866">
        <f t="shared" ref="W33:X33" si="52">SUM(W8,W12,W18,W23,W27)</f>
        <v>2242</v>
      </c>
      <c r="X33" s="1871">
        <f t="shared" si="52"/>
        <v>4633</v>
      </c>
      <c r="Y33" s="1865">
        <f>SUM(Y8,Y12,Y18,Y23,Y27)</f>
        <v>2552</v>
      </c>
      <c r="Z33" s="1866">
        <f t="shared" ref="Z33:AA33" si="53">SUM(Z8,Z12,Z18,Z23,Z27)</f>
        <v>2327</v>
      </c>
      <c r="AA33" s="1871">
        <f t="shared" si="53"/>
        <v>4879</v>
      </c>
    </row>
    <row r="34" spans="2:27" ht="15" x14ac:dyDescent="0.25">
      <c r="B34" s="5060"/>
      <c r="C34" s="3871" t="s">
        <v>11</v>
      </c>
      <c r="D34" s="1865">
        <f t="shared" ref="D34:T34" si="54">SUM(D19,D24,D28)</f>
        <v>1590.9345758637057</v>
      </c>
      <c r="E34" s="1866">
        <f t="shared" si="54"/>
        <v>1065.065424136294</v>
      </c>
      <c r="F34" s="1871">
        <f t="shared" si="0"/>
        <v>2656</v>
      </c>
      <c r="G34" s="1865">
        <f t="shared" si="54"/>
        <v>1762.1161198200975</v>
      </c>
      <c r="H34" s="1866">
        <f t="shared" si="54"/>
        <v>1113.8838801799025</v>
      </c>
      <c r="I34" s="1871">
        <f t="shared" si="1"/>
        <v>2876</v>
      </c>
      <c r="J34" s="1865">
        <f t="shared" si="54"/>
        <v>1903</v>
      </c>
      <c r="K34" s="1866">
        <f t="shared" si="54"/>
        <v>1181</v>
      </c>
      <c r="L34" s="1871">
        <f t="shared" si="2"/>
        <v>3084</v>
      </c>
      <c r="M34" s="1865">
        <f t="shared" si="54"/>
        <v>1865</v>
      </c>
      <c r="N34" s="1866">
        <f t="shared" si="54"/>
        <v>1302</v>
      </c>
      <c r="O34" s="1871">
        <f t="shared" si="3"/>
        <v>3167</v>
      </c>
      <c r="P34" s="1865">
        <f t="shared" si="54"/>
        <v>1831</v>
      </c>
      <c r="Q34" s="1866">
        <f t="shared" si="54"/>
        <v>1280</v>
      </c>
      <c r="R34" s="1871">
        <f t="shared" si="4"/>
        <v>3111</v>
      </c>
      <c r="S34" s="1865">
        <f t="shared" si="54"/>
        <v>1941</v>
      </c>
      <c r="T34" s="1866">
        <f t="shared" si="54"/>
        <v>1187</v>
      </c>
      <c r="U34" s="1871">
        <f t="shared" si="5"/>
        <v>3128</v>
      </c>
      <c r="V34" s="1865">
        <f>SUM(V19,V24,V28)</f>
        <v>1783</v>
      </c>
      <c r="W34" s="1866">
        <f t="shared" ref="W34:X34" si="55">SUM(W19,W24,W28)</f>
        <v>1088</v>
      </c>
      <c r="X34" s="1871">
        <f t="shared" si="55"/>
        <v>2871</v>
      </c>
      <c r="Y34" s="1865">
        <f>SUM(Y19,Y24,Y28)</f>
        <v>1804</v>
      </c>
      <c r="Z34" s="1866">
        <f t="shared" ref="Z34:AA34" si="56">SUM(Z19,Z24,Z28)</f>
        <v>1104</v>
      </c>
      <c r="AA34" s="1871">
        <f t="shared" si="56"/>
        <v>2908</v>
      </c>
    </row>
    <row r="35" spans="2:27" ht="15" x14ac:dyDescent="0.25">
      <c r="B35" s="5060"/>
      <c r="C35" s="3871" t="s">
        <v>7</v>
      </c>
      <c r="D35" s="1865">
        <f t="shared" ref="D35:T35" si="57">SUM(D9,D29)</f>
        <v>559.59024948353863</v>
      </c>
      <c r="E35" s="1866">
        <f t="shared" si="57"/>
        <v>839.40975051646137</v>
      </c>
      <c r="F35" s="1871">
        <f t="shared" si="0"/>
        <v>1399</v>
      </c>
      <c r="G35" s="1865">
        <f t="shared" si="57"/>
        <v>535.40384428823518</v>
      </c>
      <c r="H35" s="1866">
        <f t="shared" si="57"/>
        <v>845.59615571176494</v>
      </c>
      <c r="I35" s="1871">
        <f t="shared" si="1"/>
        <v>1381</v>
      </c>
      <c r="J35" s="1865">
        <f t="shared" si="57"/>
        <v>585</v>
      </c>
      <c r="K35" s="1866">
        <f t="shared" si="57"/>
        <v>781</v>
      </c>
      <c r="L35" s="1871">
        <f t="shared" si="2"/>
        <v>1366</v>
      </c>
      <c r="M35" s="1865">
        <f t="shared" si="57"/>
        <v>630</v>
      </c>
      <c r="N35" s="1866">
        <f t="shared" si="57"/>
        <v>804</v>
      </c>
      <c r="O35" s="1871">
        <f t="shared" si="3"/>
        <v>1434</v>
      </c>
      <c r="P35" s="1865">
        <f t="shared" si="57"/>
        <v>598</v>
      </c>
      <c r="Q35" s="1866">
        <f t="shared" si="57"/>
        <v>813</v>
      </c>
      <c r="R35" s="1871">
        <f t="shared" si="4"/>
        <v>1411</v>
      </c>
      <c r="S35" s="1865">
        <f t="shared" si="57"/>
        <v>608</v>
      </c>
      <c r="T35" s="1866">
        <f t="shared" si="57"/>
        <v>801</v>
      </c>
      <c r="U35" s="1871">
        <f t="shared" si="5"/>
        <v>1409</v>
      </c>
      <c r="V35" s="1865">
        <f>SUM(V9,V29)</f>
        <v>585</v>
      </c>
      <c r="W35" s="1866">
        <f t="shared" ref="W35:X35" si="58">SUM(W9,W29)</f>
        <v>778</v>
      </c>
      <c r="X35" s="1871">
        <f t="shared" si="58"/>
        <v>1363</v>
      </c>
      <c r="Y35" s="1865">
        <f>SUM(Y9,Y29)</f>
        <v>644</v>
      </c>
      <c r="Z35" s="1866">
        <f t="shared" ref="Z35:AA35" si="59">SUM(Z9,Z29)</f>
        <v>831</v>
      </c>
      <c r="AA35" s="1871">
        <f t="shared" si="59"/>
        <v>1475</v>
      </c>
    </row>
    <row r="36" spans="2:27" ht="15" x14ac:dyDescent="0.25">
      <c r="B36" s="5060"/>
      <c r="C36" s="3871" t="s">
        <v>9</v>
      </c>
      <c r="D36" s="1865">
        <f t="shared" ref="D36:T36" si="60">SUM(D13)</f>
        <v>60</v>
      </c>
      <c r="E36" s="1866">
        <f t="shared" si="60"/>
        <v>84</v>
      </c>
      <c r="F36" s="1871">
        <f t="shared" si="0"/>
        <v>144</v>
      </c>
      <c r="G36" s="1865">
        <f t="shared" si="60"/>
        <v>49.269230769230774</v>
      </c>
      <c r="H36" s="1866">
        <f t="shared" si="60"/>
        <v>72.730769230769226</v>
      </c>
      <c r="I36" s="1871">
        <f t="shared" si="1"/>
        <v>122</v>
      </c>
      <c r="J36" s="1865">
        <f t="shared" si="60"/>
        <v>52</v>
      </c>
      <c r="K36" s="1866">
        <f t="shared" si="60"/>
        <v>86</v>
      </c>
      <c r="L36" s="1871">
        <f t="shared" si="2"/>
        <v>138</v>
      </c>
      <c r="M36" s="1865">
        <f t="shared" si="60"/>
        <v>72</v>
      </c>
      <c r="N36" s="1866">
        <f t="shared" si="60"/>
        <v>86</v>
      </c>
      <c r="O36" s="1871">
        <f t="shared" si="3"/>
        <v>158</v>
      </c>
      <c r="P36" s="1865">
        <f t="shared" si="60"/>
        <v>62</v>
      </c>
      <c r="Q36" s="1866">
        <f t="shared" si="60"/>
        <v>91</v>
      </c>
      <c r="R36" s="1871">
        <f t="shared" si="4"/>
        <v>153</v>
      </c>
      <c r="S36" s="1865">
        <f t="shared" si="60"/>
        <v>66</v>
      </c>
      <c r="T36" s="1866">
        <f t="shared" si="60"/>
        <v>92</v>
      </c>
      <c r="U36" s="1871">
        <f t="shared" si="5"/>
        <v>158</v>
      </c>
      <c r="V36" s="1865">
        <f>SUM(V13)</f>
        <v>72</v>
      </c>
      <c r="W36" s="1866">
        <f t="shared" ref="W36:X36" si="61">SUM(W13)</f>
        <v>117</v>
      </c>
      <c r="X36" s="1871">
        <f t="shared" si="61"/>
        <v>189</v>
      </c>
      <c r="Y36" s="1865">
        <f>SUM(Y13)</f>
        <v>94</v>
      </c>
      <c r="Z36" s="1866">
        <f t="shared" ref="Z36:AA36" si="62">SUM(Z13)</f>
        <v>140</v>
      </c>
      <c r="AA36" s="1871">
        <f t="shared" si="62"/>
        <v>234</v>
      </c>
    </row>
    <row r="37" spans="2:27" ht="15" x14ac:dyDescent="0.25">
      <c r="B37" s="5061"/>
      <c r="C37" s="3872" t="s">
        <v>74</v>
      </c>
      <c r="D37" s="1872">
        <f t="shared" ref="D37:T37" si="63">SUM(D14)</f>
        <v>44.118644067796609</v>
      </c>
      <c r="E37" s="1873">
        <f t="shared" si="63"/>
        <v>92.881355932203391</v>
      </c>
      <c r="F37" s="1874">
        <f t="shared" si="0"/>
        <v>137</v>
      </c>
      <c r="G37" s="1872">
        <f t="shared" si="63"/>
        <v>34.719101123595507</v>
      </c>
      <c r="H37" s="1873">
        <f t="shared" si="63"/>
        <v>68.280898876404493</v>
      </c>
      <c r="I37" s="1874">
        <f t="shared" si="1"/>
        <v>103</v>
      </c>
      <c r="J37" s="1872">
        <f t="shared" si="63"/>
        <v>58</v>
      </c>
      <c r="K37" s="1873">
        <f t="shared" si="63"/>
        <v>88</v>
      </c>
      <c r="L37" s="1874">
        <f t="shared" si="2"/>
        <v>146</v>
      </c>
      <c r="M37" s="1872">
        <f t="shared" si="63"/>
        <v>73</v>
      </c>
      <c r="N37" s="1873">
        <f t="shared" si="63"/>
        <v>93</v>
      </c>
      <c r="O37" s="1874">
        <f t="shared" si="3"/>
        <v>166</v>
      </c>
      <c r="P37" s="1872">
        <f t="shared" si="63"/>
        <v>60</v>
      </c>
      <c r="Q37" s="1873">
        <f t="shared" si="63"/>
        <v>115</v>
      </c>
      <c r="R37" s="1874">
        <f t="shared" si="4"/>
        <v>175</v>
      </c>
      <c r="S37" s="1872">
        <f t="shared" si="63"/>
        <v>86</v>
      </c>
      <c r="T37" s="1873">
        <f t="shared" si="63"/>
        <v>136</v>
      </c>
      <c r="U37" s="1874">
        <f t="shared" si="5"/>
        <v>222</v>
      </c>
      <c r="V37" s="1872">
        <f>SUM(V14)</f>
        <v>131</v>
      </c>
      <c r="W37" s="1873">
        <f t="shared" ref="W37:X37" si="64">SUM(W14)</f>
        <v>162</v>
      </c>
      <c r="X37" s="1874">
        <f t="shared" si="64"/>
        <v>293</v>
      </c>
      <c r="Y37" s="1872">
        <f>SUM(Y14)</f>
        <v>110</v>
      </c>
      <c r="Z37" s="1873">
        <f t="shared" ref="Z37:AA37" si="65">SUM(Z14)</f>
        <v>173</v>
      </c>
      <c r="AA37" s="1874">
        <f t="shared" si="65"/>
        <v>283</v>
      </c>
    </row>
    <row r="38" spans="2:27" ht="15" x14ac:dyDescent="0.25">
      <c r="B38" s="5025" t="s">
        <v>12</v>
      </c>
      <c r="C38" s="5027"/>
      <c r="D38" s="3877">
        <f t="shared" ref="D38:U38" si="66">SUM(D32:D37)</f>
        <v>5343.5980516834088</v>
      </c>
      <c r="E38" s="3878">
        <f t="shared" si="66"/>
        <v>6360.4019483165912</v>
      </c>
      <c r="F38" s="3879">
        <f t="shared" si="66"/>
        <v>11704</v>
      </c>
      <c r="G38" s="3877">
        <f t="shared" si="66"/>
        <v>5544.06258443759</v>
      </c>
      <c r="H38" s="3878">
        <f t="shared" si="66"/>
        <v>6305.9374155624091</v>
      </c>
      <c r="I38" s="3879">
        <f t="shared" si="66"/>
        <v>11850</v>
      </c>
      <c r="J38" s="3877">
        <f t="shared" si="66"/>
        <v>5912</v>
      </c>
      <c r="K38" s="3878">
        <f t="shared" si="66"/>
        <v>6735</v>
      </c>
      <c r="L38" s="3879">
        <f t="shared" si="66"/>
        <v>12647</v>
      </c>
      <c r="M38" s="3877">
        <f t="shared" si="66"/>
        <v>5878</v>
      </c>
      <c r="N38" s="3878">
        <f t="shared" si="66"/>
        <v>6835</v>
      </c>
      <c r="O38" s="3879">
        <f t="shared" ref="O38" si="67">SUM(O32:O37)</f>
        <v>12713</v>
      </c>
      <c r="P38" s="3878">
        <f t="shared" ref="P38" si="68">SUM(P32:P37)</f>
        <v>5723</v>
      </c>
      <c r="Q38" s="3878">
        <f t="shared" ref="Q38" si="69">SUM(Q32:Q37)</f>
        <v>6504</v>
      </c>
      <c r="R38" s="3879">
        <f t="shared" si="66"/>
        <v>12227</v>
      </c>
      <c r="S38" s="3877">
        <f t="shared" si="66"/>
        <v>5871</v>
      </c>
      <c r="T38" s="3878">
        <f t="shared" si="66"/>
        <v>6539</v>
      </c>
      <c r="U38" s="3879">
        <f t="shared" si="66"/>
        <v>12410</v>
      </c>
      <c r="V38" s="3877">
        <f>SUM(V32:V37)</f>
        <v>5699</v>
      </c>
      <c r="W38" s="3878">
        <f t="shared" ref="W38:X38" si="70">SUM(W32:W37)</f>
        <v>6212</v>
      </c>
      <c r="X38" s="3879">
        <f t="shared" si="70"/>
        <v>11911</v>
      </c>
      <c r="Y38" s="3877">
        <f>SUM(Y32:Y37)</f>
        <v>5845</v>
      </c>
      <c r="Z38" s="3878">
        <f t="shared" ref="Z38:AA38" si="71">SUM(Z32:Z37)</f>
        <v>6240</v>
      </c>
      <c r="AA38" s="3879">
        <f t="shared" si="71"/>
        <v>12085</v>
      </c>
    </row>
    <row r="41" spans="2:27" ht="15" customHeight="1" x14ac:dyDescent="0.2"/>
    <row r="42" spans="2:27" ht="15" customHeight="1" x14ac:dyDescent="0.2"/>
    <row r="43" spans="2:27" ht="15" customHeight="1" x14ac:dyDescent="0.2"/>
    <row r="44" spans="2:27" ht="15" customHeight="1" x14ac:dyDescent="0.2"/>
    <row r="45" spans="2:27" x14ac:dyDescent="0.2">
      <c r="H45" s="4356">
        <v>2008</v>
      </c>
    </row>
    <row r="46" spans="2:27" ht="15" customHeight="1" x14ac:dyDescent="0.2">
      <c r="H46" s="4356">
        <v>2009</v>
      </c>
    </row>
    <row r="47" spans="2:27" ht="15" customHeight="1" x14ac:dyDescent="0.2">
      <c r="H47" s="4356">
        <v>2010</v>
      </c>
    </row>
    <row r="48" spans="2:27" ht="15" customHeight="1" x14ac:dyDescent="0.2">
      <c r="H48" s="4356">
        <v>2011</v>
      </c>
    </row>
    <row r="49" spans="8:8" ht="15" customHeight="1" x14ac:dyDescent="0.2">
      <c r="H49" s="4356">
        <v>2012</v>
      </c>
    </row>
    <row r="50" spans="8:8" x14ac:dyDescent="0.2">
      <c r="H50" s="4356">
        <v>2013</v>
      </c>
    </row>
    <row r="51" spans="8:8" ht="15" customHeight="1" x14ac:dyDescent="0.2">
      <c r="H51" s="4356">
        <v>2014</v>
      </c>
    </row>
    <row r="52" spans="8:8" ht="15" customHeight="1" x14ac:dyDescent="0.2">
      <c r="H52" s="4356">
        <v>2015</v>
      </c>
    </row>
    <row r="53" spans="8:8" ht="15" customHeight="1" x14ac:dyDescent="0.2"/>
    <row r="54" spans="8:8" ht="15" customHeight="1" x14ac:dyDescent="0.2"/>
    <row r="56" spans="8:8" ht="15" customHeight="1" x14ac:dyDescent="0.2"/>
    <row r="57" spans="8:8" ht="15" customHeight="1" x14ac:dyDescent="0.2"/>
    <row r="58" spans="8:8" ht="15" customHeight="1" x14ac:dyDescent="0.2"/>
    <row r="59" spans="8:8" ht="15" customHeight="1" x14ac:dyDescent="0.2"/>
    <row r="61" spans="8:8" ht="15" customHeight="1" x14ac:dyDescent="0.2"/>
    <row r="62" spans="8:8" ht="15" customHeight="1" x14ac:dyDescent="0.2"/>
    <row r="63" spans="8:8" ht="15" customHeight="1" x14ac:dyDescent="0.2"/>
    <row r="64" spans="8:8" ht="15" customHeight="1" x14ac:dyDescent="0.2"/>
  </sheetData>
  <mergeCells count="18">
    <mergeCell ref="B2:C2"/>
    <mergeCell ref="B38:C38"/>
    <mergeCell ref="D4:F4"/>
    <mergeCell ref="B4:B5"/>
    <mergeCell ref="C4:C5"/>
    <mergeCell ref="B7:B10"/>
    <mergeCell ref="B12:B15"/>
    <mergeCell ref="B17:B20"/>
    <mergeCell ref="B22:B25"/>
    <mergeCell ref="S4:U4"/>
    <mergeCell ref="Y4:AA4"/>
    <mergeCell ref="V4:X4"/>
    <mergeCell ref="B27:B30"/>
    <mergeCell ref="B32:B37"/>
    <mergeCell ref="G4:I4"/>
    <mergeCell ref="J4:L4"/>
    <mergeCell ref="M4:O4"/>
    <mergeCell ref="P4:R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55" pageOrder="overThenDown" orientation="landscape" r:id="rId1"/>
  <ignoredErrors>
    <ignoredError sqref="U32:U37 R32:R37 O32:O37 L32:L37 I32:I37 F32:F37" formula="1"/>
  </ignoredError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A1:L32"/>
  <sheetViews>
    <sheetView showGridLines="0" topLeftCell="A7" workbookViewId="0">
      <selection activeCell="M2" sqref="M2"/>
    </sheetView>
  </sheetViews>
  <sheetFormatPr baseColWidth="10" defaultRowHeight="12.75" x14ac:dyDescent="0.2"/>
  <cols>
    <col min="1" max="1" width="15" bestFit="1" customWidth="1"/>
    <col min="2" max="2" width="9.140625" bestFit="1" customWidth="1"/>
    <col min="3" max="3" width="9.5703125" bestFit="1" customWidth="1"/>
    <col min="4" max="4" width="9.28515625" bestFit="1" customWidth="1"/>
    <col min="5" max="5" width="9.5703125" bestFit="1" customWidth="1"/>
    <col min="6" max="6" width="9.28515625" bestFit="1" customWidth="1"/>
    <col min="7" max="7" width="8.85546875" customWidth="1"/>
    <col min="10" max="10" width="9.5703125" bestFit="1" customWidth="1"/>
    <col min="12" max="12" width="8.85546875" customWidth="1"/>
  </cols>
  <sheetData>
    <row r="1" spans="1:12" ht="36.75" customHeight="1" x14ac:dyDescent="0.2">
      <c r="A1" s="6191" t="s">
        <v>1281</v>
      </c>
      <c r="B1" s="6191"/>
      <c r="C1" s="6191"/>
      <c r="D1" s="6191"/>
      <c r="E1" s="6191"/>
      <c r="F1" s="6191"/>
      <c r="G1" s="6191"/>
    </row>
    <row r="3" spans="1:12" ht="15" x14ac:dyDescent="0.2">
      <c r="A3" s="5999" t="s">
        <v>16</v>
      </c>
      <c r="B3" s="5999" t="s">
        <v>4</v>
      </c>
      <c r="C3" s="6028" t="s">
        <v>675</v>
      </c>
      <c r="D3" s="6156"/>
      <c r="E3" s="6028" t="s">
        <v>676</v>
      </c>
      <c r="F3" s="6156"/>
      <c r="G3" s="6189" t="s">
        <v>873</v>
      </c>
      <c r="H3" s="6028" t="s">
        <v>675</v>
      </c>
      <c r="I3" s="6156"/>
      <c r="J3" s="6028" t="s">
        <v>676</v>
      </c>
      <c r="K3" s="6156"/>
      <c r="L3" s="6189" t="s">
        <v>1517</v>
      </c>
    </row>
    <row r="4" spans="1:12" ht="12.75" customHeight="1" x14ac:dyDescent="0.2">
      <c r="A4" s="5993"/>
      <c r="B4" s="5993"/>
      <c r="C4" s="3090" t="s">
        <v>860</v>
      </c>
      <c r="D4" s="3090" t="s">
        <v>861</v>
      </c>
      <c r="E4" s="3090" t="s">
        <v>860</v>
      </c>
      <c r="F4" s="3090" t="s">
        <v>861</v>
      </c>
      <c r="G4" s="6190"/>
      <c r="H4" s="3090" t="s">
        <v>860</v>
      </c>
      <c r="I4" s="3090" t="s">
        <v>861</v>
      </c>
      <c r="J4" s="3090" t="s">
        <v>860</v>
      </c>
      <c r="K4" s="3090" t="s">
        <v>861</v>
      </c>
      <c r="L4" s="6190"/>
    </row>
    <row r="5" spans="1:12" ht="15" x14ac:dyDescent="0.2">
      <c r="A5" s="1432"/>
      <c r="B5" s="1432"/>
      <c r="C5" s="1432"/>
      <c r="D5" s="1432"/>
    </row>
    <row r="6" spans="1:12" ht="15" x14ac:dyDescent="0.2">
      <c r="A6" s="5989" t="s">
        <v>3</v>
      </c>
      <c r="B6" s="1433" t="s">
        <v>5</v>
      </c>
      <c r="C6" s="1632">
        <f>SUM('10 Difusión_plan'!E5:E11)</f>
        <v>0</v>
      </c>
      <c r="D6" s="1633">
        <f>SUM('10 Difusión_plan'!F5:F11)</f>
        <v>3</v>
      </c>
      <c r="E6" s="1632">
        <f>SUM('10 Difusión_plan'!G5:G11)</f>
        <v>0</v>
      </c>
      <c r="F6" s="1633">
        <f>SUM('10 Difusión_plan'!H5:H11)</f>
        <v>13</v>
      </c>
      <c r="G6" s="1633">
        <f>SUM('10 Difusión_plan'!I5:I11)</f>
        <v>16</v>
      </c>
      <c r="H6" s="1632">
        <f>SUM('10 Difusión_plan'!J5:J12)</f>
        <v>1</v>
      </c>
      <c r="I6" s="1633">
        <f>SUM('10 Difusión_plan'!K5:K12)</f>
        <v>10</v>
      </c>
      <c r="J6" s="1632">
        <f>SUM('10 Difusión_plan'!L5:L12)</f>
        <v>0</v>
      </c>
      <c r="K6" s="1633">
        <f>SUM('10 Difusión_plan'!M5:M12)</f>
        <v>15</v>
      </c>
      <c r="L6" s="1633">
        <f>SUM(H6:K6)</f>
        <v>26</v>
      </c>
    </row>
    <row r="7" spans="1:12" ht="15" x14ac:dyDescent="0.2">
      <c r="A7" s="5990"/>
      <c r="B7" s="1434" t="s">
        <v>6</v>
      </c>
      <c r="C7" s="1634"/>
      <c r="D7" s="1635"/>
      <c r="E7" s="1634"/>
      <c r="F7" s="1635"/>
      <c r="G7" s="1635"/>
      <c r="H7" s="1634">
        <f>SUM('10 Difusión_plan'!J13:J14)</f>
        <v>2</v>
      </c>
      <c r="I7" s="1635">
        <f>SUM('10 Difusión_plan'!K13:K14)</f>
        <v>6</v>
      </c>
      <c r="J7" s="1634">
        <f>SUM('10 Difusión_plan'!L13:L14)</f>
        <v>0</v>
      </c>
      <c r="K7" s="1635">
        <f>SUM('10 Difusión_plan'!M13:M14)</f>
        <v>1</v>
      </c>
      <c r="L7" s="1635">
        <f t="shared" ref="L7:L8" si="0">SUM(H7:K7)</f>
        <v>9</v>
      </c>
    </row>
    <row r="8" spans="1:12" ht="15" x14ac:dyDescent="0.2">
      <c r="A8" s="5990"/>
      <c r="B8" s="1434" t="s">
        <v>7</v>
      </c>
      <c r="C8" s="1634">
        <f>SUM('10 Difusión_plan'!E15)</f>
        <v>0</v>
      </c>
      <c r="D8" s="1635">
        <f>SUM('10 Difusión_plan'!F15)</f>
        <v>1</v>
      </c>
      <c r="E8" s="1634">
        <f>SUM('10 Difusión_plan'!G15)</f>
        <v>0</v>
      </c>
      <c r="F8" s="1635">
        <f>SUM('10 Difusión_plan'!H15)</f>
        <v>1</v>
      </c>
      <c r="G8" s="1635">
        <f>SUM('10 Difusión_plan'!I15)</f>
        <v>2</v>
      </c>
      <c r="H8" s="1634">
        <f>SUM('10 Difusión_plan'!K15)</f>
        <v>0</v>
      </c>
      <c r="I8" s="1635">
        <f>SUM('10 Difusión_plan'!L15)</f>
        <v>0</v>
      </c>
      <c r="J8" s="1634">
        <f>SUM('10 Difusión_plan'!M15)</f>
        <v>0</v>
      </c>
      <c r="K8" s="1635">
        <f>SUM('10 Difusión_plan'!N15)</f>
        <v>0</v>
      </c>
      <c r="L8" s="1635">
        <f t="shared" si="0"/>
        <v>0</v>
      </c>
    </row>
    <row r="9" spans="1:12" ht="15" x14ac:dyDescent="0.2">
      <c r="A9" s="5991"/>
      <c r="B9" s="2749" t="s">
        <v>160</v>
      </c>
      <c r="C9" s="2750">
        <f t="shared" ref="C9:G9" si="1">SUM(C6:C8)</f>
        <v>0</v>
      </c>
      <c r="D9" s="2751">
        <f t="shared" si="1"/>
        <v>4</v>
      </c>
      <c r="E9" s="2750">
        <f t="shared" si="1"/>
        <v>0</v>
      </c>
      <c r="F9" s="2751">
        <f t="shared" si="1"/>
        <v>14</v>
      </c>
      <c r="G9" s="2751">
        <f t="shared" si="1"/>
        <v>18</v>
      </c>
      <c r="H9" s="2750">
        <f>SUM(H6:H8)</f>
        <v>3</v>
      </c>
      <c r="I9" s="2751">
        <f t="shared" ref="I9:L9" si="2">SUM(I6:I8)</f>
        <v>16</v>
      </c>
      <c r="J9" s="2750">
        <f t="shared" si="2"/>
        <v>0</v>
      </c>
      <c r="K9" s="2751">
        <f t="shared" si="2"/>
        <v>16</v>
      </c>
      <c r="L9" s="2751">
        <f t="shared" si="2"/>
        <v>35</v>
      </c>
    </row>
    <row r="10" spans="1:12" ht="15" x14ac:dyDescent="0.2">
      <c r="A10" s="1435"/>
      <c r="B10" s="1435"/>
      <c r="C10" s="1435"/>
      <c r="D10" s="1435"/>
    </row>
    <row r="11" spans="1:12" ht="15" x14ac:dyDescent="0.2">
      <c r="A11" s="5974" t="s">
        <v>8</v>
      </c>
      <c r="B11" s="1433" t="s">
        <v>6</v>
      </c>
      <c r="C11" s="1632"/>
      <c r="D11" s="1633"/>
      <c r="E11" s="1632"/>
      <c r="F11" s="1633"/>
      <c r="G11" s="1633"/>
      <c r="H11" s="1632">
        <f>SUM('10 Difusión_plan'!J17:J18)</f>
        <v>0</v>
      </c>
      <c r="I11" s="1633">
        <f>SUM('10 Difusión_plan'!K17:K18)</f>
        <v>1</v>
      </c>
      <c r="J11" s="1632">
        <f>SUM('10 Difusión_plan'!L17:L18)</f>
        <v>0</v>
      </c>
      <c r="K11" s="1633">
        <f>SUM('10 Difusión_plan'!M17:M18)</f>
        <v>1</v>
      </c>
      <c r="L11" s="1633">
        <f>SUM('10 Difusión_plan'!N17:N18)</f>
        <v>2</v>
      </c>
    </row>
    <row r="12" spans="1:12" ht="15" x14ac:dyDescent="0.2">
      <c r="A12" s="5975"/>
      <c r="B12" s="1434" t="s">
        <v>9</v>
      </c>
      <c r="C12" s="1634">
        <f>SUM('10 Difusión_plan'!E19)</f>
        <v>0</v>
      </c>
      <c r="D12" s="1635">
        <f>SUM('10 Difusión_plan'!F19)</f>
        <v>2</v>
      </c>
      <c r="E12" s="1634">
        <f>SUM('10 Difusión_plan'!G19)</f>
        <v>0</v>
      </c>
      <c r="F12" s="1635">
        <f>SUM('10 Difusión_plan'!H19)</f>
        <v>2</v>
      </c>
      <c r="G12" s="1635">
        <f>SUM('10 Difusión_plan'!I19)</f>
        <v>4</v>
      </c>
      <c r="H12" s="1634">
        <f>SUM('10 Difusión_plan'!J19)</f>
        <v>0</v>
      </c>
      <c r="I12" s="1635">
        <f>SUM('10 Difusión_plan'!K19)</f>
        <v>4</v>
      </c>
      <c r="J12" s="1634">
        <f>SUM('10 Difusión_plan'!L19)</f>
        <v>0</v>
      </c>
      <c r="K12" s="1635">
        <f>SUM('10 Difusión_plan'!M19)</f>
        <v>4</v>
      </c>
      <c r="L12" s="1635">
        <f>SUM('10 Difusión_plan'!N19)</f>
        <v>8</v>
      </c>
    </row>
    <row r="13" spans="1:12" ht="15" x14ac:dyDescent="0.2">
      <c r="A13" s="5975"/>
      <c r="B13" s="1434" t="s">
        <v>74</v>
      </c>
      <c r="C13" s="1634">
        <f>SUM('10 Difusión_plan'!E21)</f>
        <v>0</v>
      </c>
      <c r="D13" s="1635">
        <f>SUM('10 Difusión_plan'!F21)</f>
        <v>3</v>
      </c>
      <c r="E13" s="1634">
        <f>SUM('10 Difusión_plan'!G21)</f>
        <v>1</v>
      </c>
      <c r="F13" s="1635">
        <f>SUM('10 Difusión_plan'!H21)</f>
        <v>2</v>
      </c>
      <c r="G13" s="1635">
        <f>SUM('10 Difusión_plan'!I21)</f>
        <v>6</v>
      </c>
      <c r="H13" s="1634">
        <f>SUM('10 Difusión_plan'!J20:J21)</f>
        <v>0</v>
      </c>
      <c r="I13" s="1635">
        <f>SUM('10 Difusión_plan'!K20:K21)</f>
        <v>4</v>
      </c>
      <c r="J13" s="1634">
        <f>SUM('10 Difusión_plan'!L20:L21)</f>
        <v>0</v>
      </c>
      <c r="K13" s="1635">
        <f>SUM('10 Difusión_plan'!M20:M21)</f>
        <v>4</v>
      </c>
      <c r="L13" s="1635">
        <f>SUM('10 Difusión_plan'!N20:N21)</f>
        <v>8</v>
      </c>
    </row>
    <row r="14" spans="1:12" ht="15" x14ac:dyDescent="0.2">
      <c r="A14" s="5976"/>
      <c r="B14" s="2746" t="s">
        <v>160</v>
      </c>
      <c r="C14" s="2747">
        <f t="shared" ref="C14:G14" si="3">SUM(C11:C13)</f>
        <v>0</v>
      </c>
      <c r="D14" s="2748">
        <f t="shared" si="3"/>
        <v>5</v>
      </c>
      <c r="E14" s="2747">
        <f t="shared" si="3"/>
        <v>1</v>
      </c>
      <c r="F14" s="2748">
        <f t="shared" si="3"/>
        <v>4</v>
      </c>
      <c r="G14" s="2746">
        <f t="shared" si="3"/>
        <v>10</v>
      </c>
      <c r="H14" s="2747">
        <f t="shared" ref="H14" si="4">SUM(H11:H13)</f>
        <v>0</v>
      </c>
      <c r="I14" s="2748">
        <f t="shared" ref="I14" si="5">SUM(I11:I13)</f>
        <v>9</v>
      </c>
      <c r="J14" s="2747">
        <f t="shared" ref="J14" si="6">SUM(J11:J13)</f>
        <v>0</v>
      </c>
      <c r="K14" s="2748">
        <f t="shared" ref="K14" si="7">SUM(K11:K13)</f>
        <v>9</v>
      </c>
      <c r="L14" s="2746">
        <f t="shared" ref="L14" si="8">SUM(L11:L13)</f>
        <v>18</v>
      </c>
    </row>
    <row r="15" spans="1:12" ht="15" x14ac:dyDescent="0.2">
      <c r="A15" s="1432"/>
      <c r="B15" s="1432"/>
      <c r="C15" s="1636"/>
      <c r="D15" s="1636"/>
    </row>
    <row r="16" spans="1:12" ht="15" x14ac:dyDescent="0.2">
      <c r="A16" s="5977" t="s">
        <v>75</v>
      </c>
      <c r="B16" s="1433" t="s">
        <v>5</v>
      </c>
      <c r="C16" s="1632">
        <f>SUM('10 Difusión_plan'!E23:E31)</f>
        <v>1</v>
      </c>
      <c r="D16" s="1633">
        <f>SUM('10 Difusión_plan'!F23:F31)</f>
        <v>13</v>
      </c>
      <c r="E16" s="1632">
        <f>SUM('10 Difusión_plan'!G23:G31)</f>
        <v>1</v>
      </c>
      <c r="F16" s="1633">
        <f>SUM('10 Difusión_plan'!H23:H31)</f>
        <v>27</v>
      </c>
      <c r="G16" s="1633">
        <f>SUM('10 Difusión_plan'!I23:I31)</f>
        <v>42</v>
      </c>
      <c r="H16" s="1632">
        <f>SUM('10 Difusión_plan'!J23:J31)</f>
        <v>1</v>
      </c>
      <c r="I16" s="1633">
        <f>SUM('10 Difusión_plan'!K23:K31)</f>
        <v>11</v>
      </c>
      <c r="J16" s="1632">
        <f>SUM('10 Difusión_plan'!L23:L31)</f>
        <v>1</v>
      </c>
      <c r="K16" s="1633">
        <f>SUM('10 Difusión_plan'!M23:M31)</f>
        <v>22</v>
      </c>
      <c r="L16" s="1633">
        <f>SUM('10 Difusión_plan'!N23:N31)</f>
        <v>35</v>
      </c>
    </row>
    <row r="17" spans="1:12" ht="15" x14ac:dyDescent="0.2">
      <c r="A17" s="5978"/>
      <c r="B17" s="1434" t="s">
        <v>6</v>
      </c>
      <c r="C17" s="1634">
        <f>SUM('10 Difusión_plan'!E32:E35)</f>
        <v>0</v>
      </c>
      <c r="D17" s="1635">
        <f>SUM('10 Difusión_plan'!F32:F35)</f>
        <v>4</v>
      </c>
      <c r="E17" s="1634">
        <f>SUM('10 Difusión_plan'!G32:G35)</f>
        <v>0</v>
      </c>
      <c r="F17" s="1635">
        <f>SUM('10 Difusión_plan'!H32:H35)</f>
        <v>8</v>
      </c>
      <c r="G17" s="1635">
        <f>SUM('10 Difusión_plan'!I32:I35)</f>
        <v>12</v>
      </c>
      <c r="H17" s="1634">
        <f>SUM('10 Difusión_plan'!J32:J37)</f>
        <v>2</v>
      </c>
      <c r="I17" s="1635">
        <f>SUM('10 Difusión_plan'!K32:K37)</f>
        <v>6</v>
      </c>
      <c r="J17" s="1634">
        <f>SUM('10 Difusión_plan'!L32:L37)</f>
        <v>1</v>
      </c>
      <c r="K17" s="1635">
        <f>SUM('10 Difusión_plan'!M32:M37)</f>
        <v>7</v>
      </c>
      <c r="L17" s="1635">
        <f>SUM('10 Difusión_plan'!N32:N37)</f>
        <v>16</v>
      </c>
    </row>
    <row r="18" spans="1:12" ht="15" x14ac:dyDescent="0.2">
      <c r="A18" s="5978"/>
      <c r="B18" s="1434" t="s">
        <v>11</v>
      </c>
      <c r="C18" s="1634">
        <f>SUM('10 Difusión_plan'!E38:E44)</f>
        <v>0</v>
      </c>
      <c r="D18" s="1635">
        <f>SUM('10 Difusión_plan'!F38:F44)</f>
        <v>7</v>
      </c>
      <c r="E18" s="1634">
        <f>SUM('10 Difusión_plan'!G38:G44)</f>
        <v>0</v>
      </c>
      <c r="F18" s="1635">
        <f>SUM('10 Difusión_plan'!H38:H44)</f>
        <v>13</v>
      </c>
      <c r="G18" s="1635">
        <f>SUM('10 Difusión_plan'!I38:I44)</f>
        <v>20</v>
      </c>
      <c r="H18" s="1634">
        <f>SUM('10 Difusión_plan'!J38:J44)</f>
        <v>0</v>
      </c>
      <c r="I18" s="1635">
        <f>SUM('10 Difusión_plan'!K38:K44)</f>
        <v>22</v>
      </c>
      <c r="J18" s="1634">
        <f>SUM('10 Difusión_plan'!L38:L44)</f>
        <v>1</v>
      </c>
      <c r="K18" s="1635">
        <f>SUM('10 Difusión_plan'!M38:M44)</f>
        <v>13</v>
      </c>
      <c r="L18" s="1635">
        <f>SUM('10 Difusión_plan'!N38:N44)</f>
        <v>36</v>
      </c>
    </row>
    <row r="19" spans="1:12" ht="15" x14ac:dyDescent="0.2">
      <c r="A19" s="5979"/>
      <c r="B19" s="2743" t="s">
        <v>160</v>
      </c>
      <c r="C19" s="2744">
        <f t="shared" ref="C19:G19" si="9">SUM(C16:C18)</f>
        <v>1</v>
      </c>
      <c r="D19" s="2745">
        <f t="shared" si="9"/>
        <v>24</v>
      </c>
      <c r="E19" s="2744">
        <f t="shared" si="9"/>
        <v>1</v>
      </c>
      <c r="F19" s="2745">
        <f t="shared" si="9"/>
        <v>48</v>
      </c>
      <c r="G19" s="2745">
        <f t="shared" si="9"/>
        <v>74</v>
      </c>
      <c r="H19" s="2744">
        <f t="shared" ref="H19" si="10">SUM(H16:H18)</f>
        <v>3</v>
      </c>
      <c r="I19" s="2745">
        <f t="shared" ref="I19" si="11">SUM(I16:I18)</f>
        <v>39</v>
      </c>
      <c r="J19" s="2744">
        <f t="shared" ref="J19" si="12">SUM(J16:J18)</f>
        <v>3</v>
      </c>
      <c r="K19" s="2745">
        <f t="shared" ref="K19" si="13">SUM(K16:K18)</f>
        <v>42</v>
      </c>
      <c r="L19" s="2745">
        <f t="shared" ref="L19" si="14">SUM(L16:L18)</f>
        <v>87</v>
      </c>
    </row>
    <row r="20" spans="1:12" ht="15" x14ac:dyDescent="0.2">
      <c r="A20" s="1631"/>
      <c r="B20" s="1432"/>
      <c r="C20" s="1636"/>
      <c r="D20" s="1636"/>
    </row>
    <row r="21" spans="1:12" ht="15" x14ac:dyDescent="0.2">
      <c r="A21" s="5980" t="s">
        <v>10</v>
      </c>
      <c r="B21" s="1433" t="s">
        <v>6</v>
      </c>
      <c r="C21" s="1632"/>
      <c r="D21" s="1633"/>
      <c r="E21" s="1632"/>
      <c r="F21" s="1633"/>
      <c r="G21" s="1633"/>
      <c r="H21" s="1632">
        <f>SUM('10 Difusión_plan'!J46:J49)</f>
        <v>0</v>
      </c>
      <c r="I21" s="1633">
        <f>SUM('10 Difusión_plan'!K46:K49)</f>
        <v>6</v>
      </c>
      <c r="J21" s="1632">
        <f>SUM('10 Difusión_plan'!L46:L49)</f>
        <v>1</v>
      </c>
      <c r="K21" s="1633">
        <f>SUM('10 Difusión_plan'!M46:M49)</f>
        <v>8</v>
      </c>
      <c r="L21" s="1633">
        <f>SUM('10 Difusión_plan'!N46:N49)</f>
        <v>15</v>
      </c>
    </row>
    <row r="22" spans="1:12" ht="15" x14ac:dyDescent="0.2">
      <c r="A22" s="5981"/>
      <c r="B22" s="1434" t="s">
        <v>11</v>
      </c>
      <c r="C22" s="1634">
        <f>SUM('10 Difusión_plan'!E50:E54)</f>
        <v>0</v>
      </c>
      <c r="D22" s="1635">
        <f>SUM('10 Difusión_plan'!F50:F54)</f>
        <v>6</v>
      </c>
      <c r="E22" s="1634">
        <f>SUM('10 Difusión_plan'!G50:G54)</f>
        <v>0</v>
      </c>
      <c r="F22" s="1635">
        <f>SUM('10 Difusión_plan'!H50:H54)</f>
        <v>3</v>
      </c>
      <c r="G22" s="1635">
        <f>SUM('10 Difusión_plan'!I50:I54)</f>
        <v>9</v>
      </c>
      <c r="H22" s="1634">
        <f>SUM('10 Difusión_plan'!J50:J55)</f>
        <v>0</v>
      </c>
      <c r="I22" s="1635">
        <f>SUM('10 Difusión_plan'!K50:K55)</f>
        <v>11</v>
      </c>
      <c r="J22" s="1634">
        <f>SUM('10 Difusión_plan'!L50:L55)</f>
        <v>1</v>
      </c>
      <c r="K22" s="1635">
        <f>SUM('10 Difusión_plan'!M50:M55)</f>
        <v>7</v>
      </c>
      <c r="L22" s="1635">
        <f>SUM('10 Difusión_plan'!N50:N55)</f>
        <v>19</v>
      </c>
    </row>
    <row r="23" spans="1:12" ht="15" x14ac:dyDescent="0.2">
      <c r="A23" s="5981"/>
      <c r="B23" s="1434" t="s">
        <v>7</v>
      </c>
      <c r="C23" s="1634">
        <f>SUM('10 Difusión_plan'!E56)</f>
        <v>0</v>
      </c>
      <c r="D23" s="1635">
        <f>SUM('10 Difusión_plan'!F56)</f>
        <v>1</v>
      </c>
      <c r="E23" s="1634">
        <f>SUM('10 Difusión_plan'!G56)</f>
        <v>1</v>
      </c>
      <c r="F23" s="1635">
        <f>SUM('10 Difusión_plan'!H56)</f>
        <v>2</v>
      </c>
      <c r="G23" s="1635">
        <f>SUM('10 Difusión_plan'!I56)</f>
        <v>4</v>
      </c>
      <c r="H23" s="1634">
        <f>SUM('10 Difusión_plan'!J56)</f>
        <v>0</v>
      </c>
      <c r="I23" s="1635">
        <f>SUM('10 Difusión_plan'!K56)</f>
        <v>4</v>
      </c>
      <c r="J23" s="1634">
        <f>SUM('10 Difusión_plan'!L56)</f>
        <v>0</v>
      </c>
      <c r="K23" s="1635">
        <f>SUM('10 Difusión_plan'!M56)</f>
        <v>7</v>
      </c>
      <c r="L23" s="1635">
        <f>SUM('10 Difusión_plan'!N56)</f>
        <v>11</v>
      </c>
    </row>
    <row r="24" spans="1:12" ht="15" x14ac:dyDescent="0.2">
      <c r="A24" s="5982"/>
      <c r="B24" s="2740" t="s">
        <v>160</v>
      </c>
      <c r="C24" s="2741">
        <f>SUM(C21:C23)</f>
        <v>0</v>
      </c>
      <c r="D24" s="2742">
        <f>SUM(D21:D23)</f>
        <v>7</v>
      </c>
      <c r="E24" s="2741">
        <f>SUM(E21:E23)</f>
        <v>1</v>
      </c>
      <c r="F24" s="2742">
        <f>SUM(F21:F23)</f>
        <v>5</v>
      </c>
      <c r="G24" s="2742">
        <f>SUM(G22:G23)</f>
        <v>13</v>
      </c>
      <c r="H24" s="2741">
        <f>SUM(H21:H23)</f>
        <v>0</v>
      </c>
      <c r="I24" s="2742">
        <f t="shared" ref="I24:L24" si="15">SUM(I21:I23)</f>
        <v>21</v>
      </c>
      <c r="J24" s="2741">
        <f t="shared" si="15"/>
        <v>2</v>
      </c>
      <c r="K24" s="2742">
        <f t="shared" si="15"/>
        <v>22</v>
      </c>
      <c r="L24" s="2742">
        <f t="shared" si="15"/>
        <v>45</v>
      </c>
    </row>
    <row r="25" spans="1:12" ht="15" x14ac:dyDescent="0.2">
      <c r="A25" s="1432"/>
      <c r="B25" s="1432"/>
      <c r="C25" s="1636"/>
      <c r="D25" s="1636"/>
    </row>
    <row r="26" spans="1:12" ht="15" x14ac:dyDescent="0.2">
      <c r="A26" s="5983" t="s">
        <v>60</v>
      </c>
      <c r="B26" s="1433" t="s">
        <v>5</v>
      </c>
      <c r="C26" s="1632">
        <f t="shared" ref="C26:H26" si="16">SUM(C6,C16)</f>
        <v>1</v>
      </c>
      <c r="D26" s="1633">
        <f t="shared" si="16"/>
        <v>16</v>
      </c>
      <c r="E26" s="1632">
        <f t="shared" si="16"/>
        <v>1</v>
      </c>
      <c r="F26" s="1633">
        <f t="shared" si="16"/>
        <v>40</v>
      </c>
      <c r="G26" s="1633">
        <f t="shared" si="16"/>
        <v>58</v>
      </c>
      <c r="H26" s="1632">
        <f t="shared" si="16"/>
        <v>2</v>
      </c>
      <c r="I26" s="1633">
        <f t="shared" ref="I26" si="17">SUM(I6,I16)</f>
        <v>21</v>
      </c>
      <c r="J26" s="1632">
        <f t="shared" ref="J26:L26" si="18">SUM(J6,J16)</f>
        <v>1</v>
      </c>
      <c r="K26" s="1633">
        <f t="shared" si="18"/>
        <v>37</v>
      </c>
      <c r="L26" s="1633">
        <f t="shared" si="18"/>
        <v>61</v>
      </c>
    </row>
    <row r="27" spans="1:12" ht="15" x14ac:dyDescent="0.2">
      <c r="A27" s="5984"/>
      <c r="B27" s="1434" t="s">
        <v>6</v>
      </c>
      <c r="C27" s="1634">
        <f>SUM(C7,C17,C21,C11)</f>
        <v>0</v>
      </c>
      <c r="D27" s="1635">
        <f>SUM(D7,D11,D17,D21)</f>
        <v>4</v>
      </c>
      <c r="E27" s="1634">
        <f>SUM(E7,E17,E21,E11)</f>
        <v>0</v>
      </c>
      <c r="F27" s="1635">
        <f>SUM(F7,F11,F17,F21)</f>
        <v>8</v>
      </c>
      <c r="G27" s="1635">
        <f>SUM(G7,G11,G17,G21)</f>
        <v>12</v>
      </c>
      <c r="H27" s="1634">
        <f t="shared" ref="H27:I27" si="19">SUM(H7,H11,H17,H21)</f>
        <v>4</v>
      </c>
      <c r="I27" s="1635">
        <f t="shared" si="19"/>
        <v>19</v>
      </c>
      <c r="J27" s="1634">
        <f t="shared" ref="J27:L27" si="20">SUM(J7,J11,J17,J21)</f>
        <v>2</v>
      </c>
      <c r="K27" s="1635">
        <f t="shared" si="20"/>
        <v>17</v>
      </c>
      <c r="L27" s="1635">
        <f t="shared" si="20"/>
        <v>42</v>
      </c>
    </row>
    <row r="28" spans="1:12" ht="15" x14ac:dyDescent="0.2">
      <c r="A28" s="5984"/>
      <c r="B28" s="1434" t="s">
        <v>11</v>
      </c>
      <c r="C28" s="1634">
        <f t="shared" ref="C28:H28" si="21">SUM(C18,C22)</f>
        <v>0</v>
      </c>
      <c r="D28" s="1635">
        <f t="shared" si="21"/>
        <v>13</v>
      </c>
      <c r="E28" s="1634">
        <f t="shared" si="21"/>
        <v>0</v>
      </c>
      <c r="F28" s="1635">
        <f t="shared" si="21"/>
        <v>16</v>
      </c>
      <c r="G28" s="1635">
        <f t="shared" si="21"/>
        <v>29</v>
      </c>
      <c r="H28" s="1634">
        <f t="shared" si="21"/>
        <v>0</v>
      </c>
      <c r="I28" s="1635">
        <f t="shared" ref="I28" si="22">SUM(I18,I22)</f>
        <v>33</v>
      </c>
      <c r="J28" s="1634">
        <f t="shared" ref="J28:L28" si="23">SUM(J18,J22)</f>
        <v>2</v>
      </c>
      <c r="K28" s="1635">
        <f t="shared" si="23"/>
        <v>20</v>
      </c>
      <c r="L28" s="1635">
        <f t="shared" si="23"/>
        <v>55</v>
      </c>
    </row>
    <row r="29" spans="1:12" ht="15" x14ac:dyDescent="0.2">
      <c r="A29" s="5984"/>
      <c r="B29" s="1434" t="s">
        <v>7</v>
      </c>
      <c r="C29" s="1634">
        <f t="shared" ref="C29:H29" si="24">SUM(C8,C23)</f>
        <v>0</v>
      </c>
      <c r="D29" s="1635">
        <f t="shared" si="24"/>
        <v>2</v>
      </c>
      <c r="E29" s="1634">
        <f t="shared" si="24"/>
        <v>1</v>
      </c>
      <c r="F29" s="1635">
        <f t="shared" si="24"/>
        <v>3</v>
      </c>
      <c r="G29" s="1635">
        <f t="shared" si="24"/>
        <v>6</v>
      </c>
      <c r="H29" s="1634">
        <f t="shared" si="24"/>
        <v>0</v>
      </c>
      <c r="I29" s="1635">
        <f t="shared" ref="I29" si="25">SUM(I8,I23)</f>
        <v>4</v>
      </c>
      <c r="J29" s="1634">
        <f t="shared" ref="J29:L29" si="26">SUM(J8,J23)</f>
        <v>0</v>
      </c>
      <c r="K29" s="1635">
        <f t="shared" si="26"/>
        <v>7</v>
      </c>
      <c r="L29" s="1635">
        <f t="shared" si="26"/>
        <v>11</v>
      </c>
    </row>
    <row r="30" spans="1:12" ht="15" x14ac:dyDescent="0.2">
      <c r="A30" s="5984"/>
      <c r="B30" s="1434" t="s">
        <v>9</v>
      </c>
      <c r="C30" s="1634">
        <f t="shared" ref="C30:D31" si="27">SUM(C12)</f>
        <v>0</v>
      </c>
      <c r="D30" s="1635">
        <f t="shared" si="27"/>
        <v>2</v>
      </c>
      <c r="E30" s="1634">
        <f t="shared" ref="E30:F30" si="28">SUM(E12)</f>
        <v>0</v>
      </c>
      <c r="F30" s="1635">
        <f t="shared" si="28"/>
        <v>2</v>
      </c>
      <c r="G30" s="1635">
        <f t="shared" ref="G30:H30" si="29">SUM(G12)</f>
        <v>4</v>
      </c>
      <c r="H30" s="1634">
        <f t="shared" si="29"/>
        <v>0</v>
      </c>
      <c r="I30" s="1635">
        <f t="shared" ref="I30" si="30">SUM(I12)</f>
        <v>4</v>
      </c>
      <c r="J30" s="1634">
        <f t="shared" ref="J30:L30" si="31">SUM(J12)</f>
        <v>0</v>
      </c>
      <c r="K30" s="1635">
        <f t="shared" si="31"/>
        <v>4</v>
      </c>
      <c r="L30" s="1635">
        <f t="shared" si="31"/>
        <v>8</v>
      </c>
    </row>
    <row r="31" spans="1:12" ht="15" x14ac:dyDescent="0.2">
      <c r="A31" s="5984"/>
      <c r="B31" s="1434" t="s">
        <v>74</v>
      </c>
      <c r="C31" s="1637">
        <f t="shared" si="27"/>
        <v>0</v>
      </c>
      <c r="D31" s="1638">
        <f t="shared" si="27"/>
        <v>3</v>
      </c>
      <c r="E31" s="1637">
        <f t="shared" ref="E31:F31" si="32">SUM(E13)</f>
        <v>1</v>
      </c>
      <c r="F31" s="1638">
        <f t="shared" si="32"/>
        <v>2</v>
      </c>
      <c r="G31" s="1638">
        <f t="shared" ref="G31:H31" si="33">SUM(G13)</f>
        <v>6</v>
      </c>
      <c r="H31" s="1637">
        <f t="shared" si="33"/>
        <v>0</v>
      </c>
      <c r="I31" s="1638">
        <f t="shared" ref="I31" si="34">SUM(I13)</f>
        <v>4</v>
      </c>
      <c r="J31" s="1637">
        <f t="shared" ref="J31:L31" si="35">SUM(J13)</f>
        <v>0</v>
      </c>
      <c r="K31" s="1638">
        <f t="shared" si="35"/>
        <v>4</v>
      </c>
      <c r="L31" s="1638">
        <f t="shared" si="35"/>
        <v>8</v>
      </c>
    </row>
    <row r="32" spans="1:12" ht="15" x14ac:dyDescent="0.2">
      <c r="A32" s="5985"/>
      <c r="B32" s="1799" t="s">
        <v>160</v>
      </c>
      <c r="C32" s="1799">
        <f t="shared" ref="C32:D32" si="36">SUM(C26:C31)</f>
        <v>1</v>
      </c>
      <c r="D32" s="1800">
        <f t="shared" si="36"/>
        <v>40</v>
      </c>
      <c r="E32" s="1799">
        <f t="shared" ref="E32:F32" si="37">SUM(E26:E31)</f>
        <v>3</v>
      </c>
      <c r="F32" s="1800">
        <f t="shared" si="37"/>
        <v>71</v>
      </c>
      <c r="G32" s="1800">
        <f t="shared" ref="G32" si="38">SUM(G26:G31)</f>
        <v>115</v>
      </c>
      <c r="H32" s="1799">
        <f t="shared" ref="H32:L32" si="39">SUM(H26:H31)</f>
        <v>6</v>
      </c>
      <c r="I32" s="1800">
        <f t="shared" si="39"/>
        <v>85</v>
      </c>
      <c r="J32" s="1799">
        <f t="shared" si="39"/>
        <v>5</v>
      </c>
      <c r="K32" s="1800">
        <f t="shared" si="39"/>
        <v>89</v>
      </c>
      <c r="L32" s="1800">
        <f t="shared" si="39"/>
        <v>185</v>
      </c>
    </row>
  </sheetData>
  <mergeCells count="14">
    <mergeCell ref="L3:L4"/>
    <mergeCell ref="A1:G1"/>
    <mergeCell ref="A26:A32"/>
    <mergeCell ref="C3:D3"/>
    <mergeCell ref="E3:F3"/>
    <mergeCell ref="G3:G4"/>
    <mergeCell ref="A3:A4"/>
    <mergeCell ref="B3:B4"/>
    <mergeCell ref="A6:A9"/>
    <mergeCell ref="A11:A14"/>
    <mergeCell ref="A16:A19"/>
    <mergeCell ref="A21:A24"/>
    <mergeCell ref="H3:I3"/>
    <mergeCell ref="J3:K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orientation="landscape" r:id="rId1"/>
  <ignoredErrors>
    <ignoredError sqref="D6:F6 D16:F18 D22:F22 G21:G23 I6:K6 I11:K13 H16:K18 I21:K22" formulaRange="1"/>
    <ignoredError sqref="D27:E27" formula="1"/>
    <ignoredError sqref="G24" formula="1" formulaRange="1"/>
  </ignoredErrors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A1:F59"/>
  <sheetViews>
    <sheetView showGridLines="0" zoomScaleNormal="100" workbookViewId="0">
      <selection activeCell="I21" sqref="I21"/>
    </sheetView>
  </sheetViews>
  <sheetFormatPr baseColWidth="10" defaultRowHeight="15" x14ac:dyDescent="0.25"/>
  <cols>
    <col min="1" max="1" width="18.42578125" style="3894" bestFit="1" customWidth="1"/>
    <col min="2" max="2" width="11.42578125" style="3894"/>
    <col min="3" max="3" width="42.42578125" style="3894" bestFit="1" customWidth="1"/>
    <col min="4" max="16384" width="11.42578125" style="3894"/>
  </cols>
  <sheetData>
    <row r="1" spans="1:6" ht="18.75" x14ac:dyDescent="0.3">
      <c r="A1" s="4147" t="s">
        <v>1578</v>
      </c>
    </row>
    <row r="2" spans="1:6" ht="18.75" x14ac:dyDescent="0.3">
      <c r="A2" s="4147"/>
    </row>
    <row r="3" spans="1:6" ht="18.75" x14ac:dyDescent="0.3">
      <c r="A3" s="4147" t="s">
        <v>1581</v>
      </c>
    </row>
    <row r="5" spans="1:6" ht="33" customHeight="1" x14ac:dyDescent="0.25">
      <c r="A5" s="6195" t="s">
        <v>51</v>
      </c>
      <c r="B5" s="6195" t="s">
        <v>702</v>
      </c>
      <c r="C5" s="6221" t="s">
        <v>701</v>
      </c>
      <c r="D5" s="6227" t="s">
        <v>1583</v>
      </c>
      <c r="E5" s="6024"/>
      <c r="F5" s="6025"/>
    </row>
    <row r="6" spans="1:6" x14ac:dyDescent="0.25">
      <c r="A6" s="6196"/>
      <c r="B6" s="6196"/>
      <c r="C6" s="6196"/>
      <c r="D6" s="3964" t="s">
        <v>1325</v>
      </c>
      <c r="E6" s="3964" t="s">
        <v>343</v>
      </c>
      <c r="F6" s="3965" t="s">
        <v>160</v>
      </c>
    </row>
    <row r="7" spans="1:6" x14ac:dyDescent="0.25">
      <c r="A7" s="6215" t="s">
        <v>161</v>
      </c>
      <c r="B7" s="4983" t="s">
        <v>5</v>
      </c>
      <c r="C7" s="4981" t="s">
        <v>438</v>
      </c>
      <c r="D7" s="3915"/>
      <c r="E7" s="3915">
        <v>2</v>
      </c>
      <c r="F7" s="3915">
        <f>SUM(D7:E7)</f>
        <v>2</v>
      </c>
    </row>
    <row r="8" spans="1:6" x14ac:dyDescent="0.25">
      <c r="A8" s="6216"/>
      <c r="B8" s="6222" t="s">
        <v>6</v>
      </c>
      <c r="C8" s="1452" t="s">
        <v>370</v>
      </c>
      <c r="D8" s="3966">
        <v>1</v>
      </c>
      <c r="E8" s="3966">
        <v>1</v>
      </c>
      <c r="F8" s="3966">
        <f t="shared" ref="F8:F10" si="0">SUM(D8:E8)</f>
        <v>2</v>
      </c>
    </row>
    <row r="9" spans="1:6" x14ac:dyDescent="0.25">
      <c r="A9" s="6216"/>
      <c r="B9" s="6223"/>
      <c r="C9" s="4985" t="s">
        <v>369</v>
      </c>
      <c r="D9" s="3968">
        <v>1</v>
      </c>
      <c r="E9" s="3968"/>
      <c r="F9" s="3968">
        <f t="shared" si="0"/>
        <v>1</v>
      </c>
    </row>
    <row r="10" spans="1:6" x14ac:dyDescent="0.25">
      <c r="A10" s="6216"/>
      <c r="B10" s="4986" t="s">
        <v>7</v>
      </c>
      <c r="C10" s="4984" t="s">
        <v>404</v>
      </c>
      <c r="D10" s="4979"/>
      <c r="E10" s="4979">
        <v>3</v>
      </c>
      <c r="F10" s="4976">
        <f t="shared" si="0"/>
        <v>3</v>
      </c>
    </row>
    <row r="11" spans="1:6" x14ac:dyDescent="0.25">
      <c r="A11" s="6217"/>
      <c r="B11" s="6207" t="s">
        <v>450</v>
      </c>
      <c r="C11" s="6208"/>
      <c r="D11" s="3971">
        <f>SUM(D7:D10)</f>
        <v>2</v>
      </c>
      <c r="E11" s="3971">
        <f t="shared" ref="E11:F11" si="1">SUM(E7:E10)</f>
        <v>6</v>
      </c>
      <c r="F11" s="3971">
        <f t="shared" si="1"/>
        <v>8</v>
      </c>
    </row>
    <row r="12" spans="1:6" x14ac:dyDescent="0.25">
      <c r="A12" s="6228" t="s">
        <v>410</v>
      </c>
      <c r="B12" s="4996" t="s">
        <v>6</v>
      </c>
      <c r="C12" s="4988" t="s">
        <v>401</v>
      </c>
      <c r="D12" s="4976">
        <v>3</v>
      </c>
      <c r="E12" s="4976">
        <v>1</v>
      </c>
      <c r="F12" s="4976">
        <f>SUM(D12:E12)</f>
        <v>4</v>
      </c>
    </row>
    <row r="13" spans="1:6" x14ac:dyDescent="0.25">
      <c r="A13" s="6229"/>
      <c r="B13" s="6224" t="s">
        <v>450</v>
      </c>
      <c r="C13" s="6225"/>
      <c r="D13" s="4989">
        <f>SUM(D12)</f>
        <v>3</v>
      </c>
      <c r="E13" s="4989">
        <f t="shared" ref="E13:F13" si="2">SUM(E12)</f>
        <v>1</v>
      </c>
      <c r="F13" s="4989">
        <f t="shared" si="2"/>
        <v>4</v>
      </c>
    </row>
    <row r="14" spans="1:6" x14ac:dyDescent="0.25">
      <c r="A14" s="6209" t="s">
        <v>162</v>
      </c>
      <c r="B14" s="4979" t="s">
        <v>5</v>
      </c>
      <c r="C14" s="4987" t="s">
        <v>666</v>
      </c>
      <c r="D14" s="4979"/>
      <c r="E14" s="4979">
        <v>2</v>
      </c>
      <c r="F14" s="4979">
        <f t="shared" ref="F14:F57" si="3">SUM(D14:E14)</f>
        <v>2</v>
      </c>
    </row>
    <row r="15" spans="1:6" x14ac:dyDescent="0.25">
      <c r="A15" s="6210"/>
      <c r="B15" s="4990"/>
      <c r="C15" s="4993" t="s">
        <v>81</v>
      </c>
      <c r="D15" s="3966">
        <v>1</v>
      </c>
      <c r="E15" s="3966"/>
      <c r="F15" s="4992">
        <f t="shared" si="3"/>
        <v>1</v>
      </c>
    </row>
    <row r="16" spans="1:6" x14ac:dyDescent="0.25">
      <c r="A16" s="6210"/>
      <c r="B16" s="4990"/>
      <c r="C16" s="4994" t="s">
        <v>82</v>
      </c>
      <c r="D16" s="4992">
        <v>1</v>
      </c>
      <c r="E16" s="4992"/>
      <c r="F16" s="4992">
        <f t="shared" si="3"/>
        <v>1</v>
      </c>
    </row>
    <row r="17" spans="1:6" x14ac:dyDescent="0.25">
      <c r="A17" s="6210"/>
      <c r="B17" s="6230" t="s">
        <v>6</v>
      </c>
      <c r="C17" s="4994" t="s">
        <v>85</v>
      </c>
      <c r="D17" s="4992"/>
      <c r="E17" s="4992">
        <v>1</v>
      </c>
      <c r="F17" s="4992">
        <f t="shared" si="3"/>
        <v>1</v>
      </c>
    </row>
    <row r="18" spans="1:6" x14ac:dyDescent="0.25">
      <c r="A18" s="6210"/>
      <c r="B18" s="6230"/>
      <c r="C18" s="4994" t="s">
        <v>83</v>
      </c>
      <c r="D18" s="4992"/>
      <c r="E18" s="4992">
        <v>1</v>
      </c>
      <c r="F18" s="4992">
        <f t="shared" si="3"/>
        <v>1</v>
      </c>
    </row>
    <row r="19" spans="1:6" x14ac:dyDescent="0.25">
      <c r="A19" s="6210"/>
      <c r="B19" s="6231"/>
      <c r="C19" s="4995" t="s">
        <v>86</v>
      </c>
      <c r="D19" s="3968">
        <v>2</v>
      </c>
      <c r="E19" s="3968"/>
      <c r="F19" s="3968">
        <f t="shared" si="3"/>
        <v>2</v>
      </c>
    </row>
    <row r="20" spans="1:6" x14ac:dyDescent="0.25">
      <c r="A20" s="6218"/>
      <c r="B20" s="6222" t="s">
        <v>11</v>
      </c>
      <c r="C20" s="1452" t="s">
        <v>87</v>
      </c>
      <c r="D20" s="3966">
        <v>1</v>
      </c>
      <c r="E20" s="3966"/>
      <c r="F20" s="3966">
        <f>SUM(D20:E20)</f>
        <v>1</v>
      </c>
    </row>
    <row r="21" spans="1:6" x14ac:dyDescent="0.25">
      <c r="A21" s="6218"/>
      <c r="B21" s="6231"/>
      <c r="C21" s="4985" t="s">
        <v>1580</v>
      </c>
      <c r="D21" s="3968"/>
      <c r="E21" s="3968">
        <v>1</v>
      </c>
      <c r="F21" s="3968">
        <f>SUM(D21:E21)</f>
        <v>1</v>
      </c>
    </row>
    <row r="22" spans="1:6" x14ac:dyDescent="0.25">
      <c r="A22" s="6211"/>
      <c r="B22" s="6198" t="s">
        <v>450</v>
      </c>
      <c r="C22" s="6199"/>
      <c r="D22" s="3972">
        <f>SUM(D14:D21)</f>
        <v>5</v>
      </c>
      <c r="E22" s="3972">
        <f t="shared" ref="E22:F22" si="4">SUM(E14:E21)</f>
        <v>5</v>
      </c>
      <c r="F22" s="3972">
        <f t="shared" si="4"/>
        <v>10</v>
      </c>
    </row>
    <row r="23" spans="1:6" x14ac:dyDescent="0.25">
      <c r="A23" s="6233" t="s">
        <v>163</v>
      </c>
      <c r="B23" s="6232" t="s">
        <v>6</v>
      </c>
      <c r="C23" s="4993" t="s">
        <v>419</v>
      </c>
      <c r="D23" s="3966">
        <v>3</v>
      </c>
      <c r="E23" s="3966">
        <v>5</v>
      </c>
      <c r="F23" s="3966">
        <f t="shared" si="3"/>
        <v>8</v>
      </c>
    </row>
    <row r="24" spans="1:6" x14ac:dyDescent="0.25">
      <c r="A24" s="6234"/>
      <c r="B24" s="6230"/>
      <c r="C24" s="4991" t="s">
        <v>90</v>
      </c>
      <c r="D24" s="4992"/>
      <c r="E24" s="4992">
        <v>1</v>
      </c>
      <c r="F24" s="4992">
        <f t="shared" si="3"/>
        <v>1</v>
      </c>
    </row>
    <row r="25" spans="1:6" x14ac:dyDescent="0.25">
      <c r="A25" s="6234"/>
      <c r="B25" s="6230"/>
      <c r="C25" s="4991" t="s">
        <v>143</v>
      </c>
      <c r="D25" s="4992">
        <v>1</v>
      </c>
      <c r="E25" s="4992"/>
      <c r="F25" s="4992">
        <f t="shared" si="3"/>
        <v>1</v>
      </c>
    </row>
    <row r="26" spans="1:6" x14ac:dyDescent="0.25">
      <c r="A26" s="6234"/>
      <c r="B26" s="6231"/>
      <c r="C26" s="3969" t="s">
        <v>20</v>
      </c>
      <c r="D26" s="3968"/>
      <c r="E26" s="3968">
        <v>1</v>
      </c>
      <c r="F26" s="3968">
        <f t="shared" si="3"/>
        <v>1</v>
      </c>
    </row>
    <row r="27" spans="1:6" x14ac:dyDescent="0.25">
      <c r="A27" s="6234"/>
      <c r="B27" s="4986" t="s">
        <v>11</v>
      </c>
      <c r="C27" s="4982" t="s">
        <v>594</v>
      </c>
      <c r="D27" s="4979"/>
      <c r="E27" s="4979">
        <v>1</v>
      </c>
      <c r="F27" s="4979">
        <f t="shared" si="3"/>
        <v>1</v>
      </c>
    </row>
    <row r="28" spans="1:6" x14ac:dyDescent="0.25">
      <c r="A28" s="6234"/>
      <c r="B28" s="6222" t="s">
        <v>7</v>
      </c>
      <c r="C28" s="1452" t="s">
        <v>1</v>
      </c>
      <c r="D28" s="3966">
        <v>2</v>
      </c>
      <c r="E28" s="3966">
        <v>5</v>
      </c>
      <c r="F28" s="3966">
        <f>SUM(D28:E28)</f>
        <v>7</v>
      </c>
    </row>
    <row r="29" spans="1:6" x14ac:dyDescent="0.25">
      <c r="A29" s="6234"/>
      <c r="B29" s="6231"/>
      <c r="C29" s="4985" t="s">
        <v>2</v>
      </c>
      <c r="D29" s="3968">
        <v>1</v>
      </c>
      <c r="E29" s="3968">
        <v>1</v>
      </c>
      <c r="F29" s="3968">
        <f>SUM(D29:E29)</f>
        <v>2</v>
      </c>
    </row>
    <row r="30" spans="1:6" x14ac:dyDescent="0.25">
      <c r="A30" s="6201"/>
      <c r="B30" s="6202" t="s">
        <v>450</v>
      </c>
      <c r="C30" s="6203"/>
      <c r="D30" s="3973">
        <f>SUM(D23:D29)</f>
        <v>7</v>
      </c>
      <c r="E30" s="3973">
        <f t="shared" ref="E30:F30" si="5">SUM(E23:E29)</f>
        <v>14</v>
      </c>
      <c r="F30" s="3973">
        <f t="shared" si="5"/>
        <v>21</v>
      </c>
    </row>
    <row r="31" spans="1:6" x14ac:dyDescent="0.25">
      <c r="A31" s="6204" t="s">
        <v>586</v>
      </c>
      <c r="B31" s="6205"/>
      <c r="C31" s="6206"/>
      <c r="D31" s="3921">
        <f>SUM(D30,D22,D13,D11)</f>
        <v>17</v>
      </c>
      <c r="E31" s="3921">
        <f>SUM(E30,E22,E13,E11)</f>
        <v>26</v>
      </c>
      <c r="F31" s="3921">
        <f>SUM(F30,F22,F13,F11)</f>
        <v>43</v>
      </c>
    </row>
    <row r="33" spans="1:6" ht="27.75" customHeight="1" x14ac:dyDescent="0.25">
      <c r="A33" s="6195" t="s">
        <v>51</v>
      </c>
      <c r="B33" s="6195" t="s">
        <v>702</v>
      </c>
      <c r="C33" s="6221" t="s">
        <v>701</v>
      </c>
      <c r="D33" s="6197" t="s">
        <v>1525</v>
      </c>
      <c r="E33" s="6024"/>
      <c r="F33" s="6025"/>
    </row>
    <row r="34" spans="1:6" x14ac:dyDescent="0.25">
      <c r="A34" s="6196"/>
      <c r="B34" s="6196"/>
      <c r="C34" s="6196"/>
      <c r="D34" s="3964" t="s">
        <v>1325</v>
      </c>
      <c r="E34" s="3964" t="s">
        <v>343</v>
      </c>
      <c r="F34" s="3965" t="s">
        <v>160</v>
      </c>
    </row>
    <row r="35" spans="1:6" x14ac:dyDescent="0.25">
      <c r="A35" s="6215" t="s">
        <v>161</v>
      </c>
      <c r="B35" s="4976" t="s">
        <v>7</v>
      </c>
      <c r="C35" s="3914" t="s">
        <v>1343</v>
      </c>
      <c r="D35" s="4976">
        <v>1</v>
      </c>
      <c r="E35" s="4976">
        <v>3</v>
      </c>
      <c r="F35" s="4976">
        <f>SUM(D35:E35)</f>
        <v>4</v>
      </c>
    </row>
    <row r="36" spans="1:6" x14ac:dyDescent="0.25">
      <c r="A36" s="6217"/>
      <c r="B36" s="6207" t="s">
        <v>450</v>
      </c>
      <c r="C36" s="6208"/>
      <c r="D36" s="3971">
        <f>SUM(D35)</f>
        <v>1</v>
      </c>
      <c r="E36" s="3971">
        <f t="shared" ref="E36:F36" si="6">SUM(E35)</f>
        <v>3</v>
      </c>
      <c r="F36" s="3971">
        <f t="shared" si="6"/>
        <v>4</v>
      </c>
    </row>
    <row r="37" spans="1:6" x14ac:dyDescent="0.25">
      <c r="A37" s="6209" t="s">
        <v>162</v>
      </c>
      <c r="B37" s="3966" t="s">
        <v>5</v>
      </c>
      <c r="C37" s="3967" t="s">
        <v>866</v>
      </c>
      <c r="D37" s="3966">
        <v>1</v>
      </c>
      <c r="E37" s="3966">
        <v>0</v>
      </c>
      <c r="F37" s="3966">
        <f t="shared" ref="F37:F38" si="7">SUM(D37:E37)</f>
        <v>1</v>
      </c>
    </row>
    <row r="38" spans="1:6" x14ac:dyDescent="0.25">
      <c r="A38" s="6210"/>
      <c r="B38" s="3968" t="s">
        <v>6</v>
      </c>
      <c r="C38" s="3969" t="s">
        <v>84</v>
      </c>
      <c r="D38" s="3968">
        <v>0</v>
      </c>
      <c r="E38" s="3968">
        <v>1</v>
      </c>
      <c r="F38" s="3968">
        <f t="shared" si="7"/>
        <v>1</v>
      </c>
    </row>
    <row r="39" spans="1:6" x14ac:dyDescent="0.25">
      <c r="A39" s="6211"/>
      <c r="B39" s="6198" t="s">
        <v>450</v>
      </c>
      <c r="C39" s="6199"/>
      <c r="D39" s="3972">
        <f>SUM(D37:D38)</f>
        <v>1</v>
      </c>
      <c r="E39" s="3972">
        <f t="shared" ref="E39:F39" si="8">SUM(E37:E38)</f>
        <v>1</v>
      </c>
      <c r="F39" s="3972">
        <f t="shared" si="8"/>
        <v>2</v>
      </c>
    </row>
    <row r="40" spans="1:6" x14ac:dyDescent="0.25">
      <c r="A40" s="6200" t="s">
        <v>163</v>
      </c>
      <c r="B40" s="4976" t="s">
        <v>6</v>
      </c>
      <c r="C40" s="3914" t="s">
        <v>391</v>
      </c>
      <c r="D40" s="4976">
        <v>0</v>
      </c>
      <c r="E40" s="4976">
        <v>2</v>
      </c>
      <c r="F40" s="4976">
        <f t="shared" ref="F40" si="9">SUM(D40:E40)</f>
        <v>2</v>
      </c>
    </row>
    <row r="41" spans="1:6" x14ac:dyDescent="0.25">
      <c r="A41" s="6201"/>
      <c r="B41" s="6202" t="s">
        <v>450</v>
      </c>
      <c r="C41" s="6203"/>
      <c r="D41" s="3973">
        <f>SUM(D40)</f>
        <v>0</v>
      </c>
      <c r="E41" s="3973">
        <f t="shared" ref="E41:F41" si="10">SUM(E40)</f>
        <v>2</v>
      </c>
      <c r="F41" s="3973">
        <f t="shared" si="10"/>
        <v>2</v>
      </c>
    </row>
    <row r="42" spans="1:6" x14ac:dyDescent="0.25">
      <c r="A42" s="6204" t="s">
        <v>586</v>
      </c>
      <c r="B42" s="6205"/>
      <c r="C42" s="6206"/>
      <c r="D42" s="3921">
        <f>SUM(D36,D39,D41)</f>
        <v>2</v>
      </c>
      <c r="E42" s="3921">
        <f>SUM(E36,E39,E41)</f>
        <v>6</v>
      </c>
      <c r="F42" s="3921">
        <f>SUM(F36,F39,F41)</f>
        <v>8</v>
      </c>
    </row>
    <row r="45" spans="1:6" ht="18.75" x14ac:dyDescent="0.3">
      <c r="A45" s="4147" t="s">
        <v>1579</v>
      </c>
    </row>
    <row r="47" spans="1:6" ht="28.5" customHeight="1" x14ac:dyDescent="0.25">
      <c r="A47" s="6195" t="s">
        <v>51</v>
      </c>
      <c r="B47" s="6195" t="s">
        <v>702</v>
      </c>
      <c r="C47" s="6195" t="s">
        <v>701</v>
      </c>
      <c r="D47" s="6226" t="s">
        <v>1582</v>
      </c>
      <c r="E47" s="6193"/>
      <c r="F47" s="6194"/>
    </row>
    <row r="48" spans="1:6" x14ac:dyDescent="0.25">
      <c r="A48" s="6196"/>
      <c r="B48" s="6196"/>
      <c r="C48" s="6196"/>
      <c r="D48" s="3916" t="s">
        <v>1325</v>
      </c>
      <c r="E48" s="3916" t="s">
        <v>343</v>
      </c>
      <c r="F48" s="3920" t="s">
        <v>160</v>
      </c>
    </row>
    <row r="49" spans="1:6" x14ac:dyDescent="0.25">
      <c r="A49" s="6219" t="s">
        <v>162</v>
      </c>
      <c r="B49" s="4980" t="s">
        <v>6</v>
      </c>
      <c r="C49" s="4978" t="s">
        <v>1577</v>
      </c>
      <c r="D49" s="4976">
        <v>1</v>
      </c>
      <c r="E49" s="4976"/>
      <c r="F49" s="4976">
        <f t="shared" ref="F49" si="11">SUM(D49:E49)</f>
        <v>1</v>
      </c>
    </row>
    <row r="50" spans="1:6" x14ac:dyDescent="0.25">
      <c r="A50" s="6211"/>
      <c r="B50" s="6198" t="s">
        <v>450</v>
      </c>
      <c r="C50" s="6199"/>
      <c r="D50" s="3972">
        <f>SUM(D49)</f>
        <v>1</v>
      </c>
      <c r="E50" s="3972">
        <f>SUM(E49)</f>
        <v>0</v>
      </c>
      <c r="F50" s="3972">
        <f>SUM(F49)</f>
        <v>1</v>
      </c>
    </row>
    <row r="51" spans="1:6" x14ac:dyDescent="0.25">
      <c r="A51" s="6212" t="s">
        <v>586</v>
      </c>
      <c r="B51" s="6213"/>
      <c r="C51" s="6214"/>
      <c r="D51" s="3921">
        <f>SUM(D50)</f>
        <v>1</v>
      </c>
      <c r="E51" s="3921">
        <f t="shared" ref="E51:F51" si="12">SUM(E50)</f>
        <v>0</v>
      </c>
      <c r="F51" s="3921">
        <f t="shared" si="12"/>
        <v>1</v>
      </c>
    </row>
    <row r="53" spans="1:6" ht="30" customHeight="1" x14ac:dyDescent="0.25">
      <c r="A53" s="6195" t="s">
        <v>51</v>
      </c>
      <c r="B53" s="6195" t="s">
        <v>702</v>
      </c>
      <c r="C53" s="6195" t="s">
        <v>701</v>
      </c>
      <c r="D53" s="6192" t="s">
        <v>1526</v>
      </c>
      <c r="E53" s="6193"/>
      <c r="F53" s="6194"/>
    </row>
    <row r="54" spans="1:6" x14ac:dyDescent="0.25">
      <c r="A54" s="6196"/>
      <c r="B54" s="6196"/>
      <c r="C54" s="6196"/>
      <c r="D54" s="3916" t="s">
        <v>1325</v>
      </c>
      <c r="E54" s="3916" t="s">
        <v>343</v>
      </c>
      <c r="F54" s="3920" t="s">
        <v>160</v>
      </c>
    </row>
    <row r="55" spans="1:6" x14ac:dyDescent="0.25">
      <c r="A55" s="6219" t="s">
        <v>162</v>
      </c>
      <c r="B55" s="4980" t="s">
        <v>6</v>
      </c>
      <c r="C55" s="4978" t="s">
        <v>84</v>
      </c>
      <c r="D55" s="3915">
        <v>1</v>
      </c>
      <c r="E55" s="3915"/>
      <c r="F55" s="3915">
        <f t="shared" si="3"/>
        <v>1</v>
      </c>
    </row>
    <row r="56" spans="1:6" x14ac:dyDescent="0.25">
      <c r="A56" s="6211"/>
      <c r="B56" s="6198" t="s">
        <v>450</v>
      </c>
      <c r="C56" s="6199"/>
      <c r="D56" s="3972">
        <f>SUM(D55)</f>
        <v>1</v>
      </c>
      <c r="E56" s="3972">
        <f>SUM(E55)</f>
        <v>0</v>
      </c>
      <c r="F56" s="3972">
        <f>SUM(F55)</f>
        <v>1</v>
      </c>
    </row>
    <row r="57" spans="1:6" x14ac:dyDescent="0.25">
      <c r="A57" s="6220" t="s">
        <v>163</v>
      </c>
      <c r="B57" s="3915" t="s">
        <v>6</v>
      </c>
      <c r="C57" s="3970" t="s">
        <v>391</v>
      </c>
      <c r="D57" s="3915">
        <v>2</v>
      </c>
      <c r="E57" s="3915"/>
      <c r="F57" s="3915">
        <f t="shared" si="3"/>
        <v>2</v>
      </c>
    </row>
    <row r="58" spans="1:6" x14ac:dyDescent="0.25">
      <c r="A58" s="6201"/>
      <c r="B58" s="6202" t="s">
        <v>450</v>
      </c>
      <c r="C58" s="6202"/>
      <c r="D58" s="3973">
        <f>SUM(D57)</f>
        <v>2</v>
      </c>
      <c r="E58" s="3973">
        <f t="shared" ref="E58:F58" si="13">SUM(E57)</f>
        <v>0</v>
      </c>
      <c r="F58" s="3973">
        <f t="shared" si="13"/>
        <v>2</v>
      </c>
    </row>
    <row r="59" spans="1:6" x14ac:dyDescent="0.25">
      <c r="A59" s="6212" t="s">
        <v>586</v>
      </c>
      <c r="B59" s="6213"/>
      <c r="C59" s="6214"/>
      <c r="D59" s="3921">
        <f>SUM(D56,D58)</f>
        <v>3</v>
      </c>
      <c r="E59" s="3921">
        <f>SUM(E56,E58)</f>
        <v>0</v>
      </c>
      <c r="F59" s="3921">
        <f>SUM(F56,F58)</f>
        <v>3</v>
      </c>
    </row>
  </sheetData>
  <mergeCells count="45">
    <mergeCell ref="C5:C6"/>
    <mergeCell ref="A51:C51"/>
    <mergeCell ref="A33:A34"/>
    <mergeCell ref="B33:B34"/>
    <mergeCell ref="D5:F5"/>
    <mergeCell ref="A5:A6"/>
    <mergeCell ref="B5:B6"/>
    <mergeCell ref="A49:A50"/>
    <mergeCell ref="B50:C50"/>
    <mergeCell ref="A12:A13"/>
    <mergeCell ref="B17:B19"/>
    <mergeCell ref="B20:B21"/>
    <mergeCell ref="B23:B26"/>
    <mergeCell ref="A23:A30"/>
    <mergeCell ref="B28:B29"/>
    <mergeCell ref="A35:A36"/>
    <mergeCell ref="A59:C59"/>
    <mergeCell ref="A7:A11"/>
    <mergeCell ref="B11:C11"/>
    <mergeCell ref="A14:A22"/>
    <mergeCell ref="B22:C22"/>
    <mergeCell ref="B30:C30"/>
    <mergeCell ref="A31:C31"/>
    <mergeCell ref="A55:A56"/>
    <mergeCell ref="B56:C56"/>
    <mergeCell ref="A57:A58"/>
    <mergeCell ref="B58:C58"/>
    <mergeCell ref="C33:C34"/>
    <mergeCell ref="B8:B9"/>
    <mergeCell ref="B13:C13"/>
    <mergeCell ref="A47:A48"/>
    <mergeCell ref="B47:B48"/>
    <mergeCell ref="D53:F53"/>
    <mergeCell ref="A53:A54"/>
    <mergeCell ref="B53:B54"/>
    <mergeCell ref="C53:C54"/>
    <mergeCell ref="D33:F33"/>
    <mergeCell ref="B39:C39"/>
    <mergeCell ref="A40:A41"/>
    <mergeCell ref="B41:C41"/>
    <mergeCell ref="A42:C42"/>
    <mergeCell ref="B36:C36"/>
    <mergeCell ref="A37:A39"/>
    <mergeCell ref="D47:F47"/>
    <mergeCell ref="C47:C48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orientation="landscape" horizontalDpi="4294967292" verticalDpi="4294967292" r:id="rId1"/>
  <ignoredErrors>
    <ignoredError sqref="F58 F56 F11:F13 F36:F39" formula="1"/>
  </ignoredErrors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A1:F27"/>
  <sheetViews>
    <sheetView showGridLines="0" workbookViewId="0">
      <selection activeCell="H1" sqref="H1"/>
    </sheetView>
  </sheetViews>
  <sheetFormatPr baseColWidth="10" defaultRowHeight="12.75" x14ac:dyDescent="0.2"/>
  <cols>
    <col min="1" max="1" width="15.140625" customWidth="1"/>
    <col min="3" max="3" width="35.42578125" bestFit="1" customWidth="1"/>
    <col min="4" max="4" width="8.85546875" bestFit="1" customWidth="1"/>
    <col min="5" max="5" width="9.140625" bestFit="1" customWidth="1"/>
    <col min="6" max="6" width="9.7109375" customWidth="1"/>
  </cols>
  <sheetData>
    <row r="1" spans="1:6" ht="18.75" x14ac:dyDescent="0.3">
      <c r="A1" s="4144" t="s">
        <v>1484</v>
      </c>
    </row>
    <row r="2" spans="1:6" ht="15" x14ac:dyDescent="0.25">
      <c r="A2" s="5357" t="s">
        <v>51</v>
      </c>
      <c r="B2" s="5357" t="s">
        <v>702</v>
      </c>
      <c r="C2" s="6247" t="s">
        <v>701</v>
      </c>
      <c r="D2" s="6239">
        <v>2015</v>
      </c>
      <c r="E2" s="6239"/>
      <c r="F2" s="6240"/>
    </row>
    <row r="3" spans="1:6" ht="15" x14ac:dyDescent="0.2">
      <c r="A3" s="5357"/>
      <c r="B3" s="5357"/>
      <c r="C3" s="6248"/>
      <c r="D3" s="4744" t="s">
        <v>675</v>
      </c>
      <c r="E3" s="4744" t="s">
        <v>676</v>
      </c>
      <c r="F3" s="3492" t="s">
        <v>160</v>
      </c>
    </row>
    <row r="4" spans="1:6" ht="15" x14ac:dyDescent="0.2">
      <c r="A4" s="6237" t="s">
        <v>3</v>
      </c>
      <c r="B4" s="4713" t="s">
        <v>5</v>
      </c>
      <c r="C4" s="4714" t="s">
        <v>1486</v>
      </c>
      <c r="D4" s="1593">
        <v>1</v>
      </c>
      <c r="E4" s="1593"/>
      <c r="F4" s="1593">
        <f>SUM(D4:E4)</f>
        <v>1</v>
      </c>
    </row>
    <row r="5" spans="1:6" ht="15" x14ac:dyDescent="0.2">
      <c r="A5" s="6237"/>
      <c r="B5" s="6242" t="s">
        <v>450</v>
      </c>
      <c r="C5" s="6242"/>
      <c r="D5" s="4715">
        <f>SUM(D4)</f>
        <v>1</v>
      </c>
      <c r="E5" s="4715">
        <f t="shared" ref="E5:F5" si="0">SUM(E4)</f>
        <v>0</v>
      </c>
      <c r="F5" s="4715">
        <f t="shared" si="0"/>
        <v>1</v>
      </c>
    </row>
    <row r="6" spans="1:6" ht="15" x14ac:dyDescent="0.2">
      <c r="A6" s="1930"/>
      <c r="B6" s="1930"/>
      <c r="C6" s="320"/>
      <c r="D6" s="1930"/>
      <c r="E6" s="1930"/>
      <c r="F6" s="1930"/>
    </row>
    <row r="7" spans="1:6" ht="15" x14ac:dyDescent="0.2">
      <c r="A7" s="6241" t="s">
        <v>8</v>
      </c>
      <c r="B7" s="6241" t="s">
        <v>6</v>
      </c>
      <c r="C7" s="4705" t="s">
        <v>1487</v>
      </c>
      <c r="D7" s="1593"/>
      <c r="E7" s="1593">
        <v>1</v>
      </c>
      <c r="F7" s="1593">
        <f t="shared" ref="F7:F24" si="1">SUM(D7:E7)</f>
        <v>1</v>
      </c>
    </row>
    <row r="8" spans="1:6" ht="15" x14ac:dyDescent="0.2">
      <c r="A8" s="6241"/>
      <c r="B8" s="6241"/>
      <c r="C8" s="4705" t="s">
        <v>1496</v>
      </c>
      <c r="D8" s="1593">
        <v>1</v>
      </c>
      <c r="E8" s="1593"/>
      <c r="F8" s="1593">
        <f t="shared" si="1"/>
        <v>1</v>
      </c>
    </row>
    <row r="9" spans="1:6" ht="15" x14ac:dyDescent="0.2">
      <c r="A9" s="6241"/>
      <c r="B9" s="6243" t="s">
        <v>450</v>
      </c>
      <c r="C9" s="6244"/>
      <c r="D9" s="4716">
        <f>SUM(D7:D8)</f>
        <v>1</v>
      </c>
      <c r="E9" s="4716">
        <f t="shared" ref="E9:F9" si="2">SUM(E7:E8)</f>
        <v>1</v>
      </c>
      <c r="F9" s="4716">
        <f t="shared" si="2"/>
        <v>2</v>
      </c>
    </row>
    <row r="10" spans="1:6" ht="15" x14ac:dyDescent="0.2">
      <c r="A10" s="1930"/>
      <c r="B10" s="1930"/>
      <c r="C10" s="320"/>
      <c r="D10" s="1930"/>
      <c r="E10" s="1930"/>
      <c r="F10" s="1930"/>
    </row>
    <row r="11" spans="1:6" ht="15" x14ac:dyDescent="0.2">
      <c r="A11" s="6241" t="s">
        <v>75</v>
      </c>
      <c r="B11" s="4702" t="s">
        <v>5</v>
      </c>
      <c r="C11" s="4706" t="s">
        <v>474</v>
      </c>
      <c r="D11" s="1593">
        <v>1</v>
      </c>
      <c r="E11" s="1593">
        <v>1</v>
      </c>
      <c r="F11" s="1593">
        <f t="shared" si="1"/>
        <v>2</v>
      </c>
    </row>
    <row r="12" spans="1:6" ht="15" x14ac:dyDescent="0.2">
      <c r="A12" s="6241"/>
      <c r="B12" s="4702" t="s">
        <v>5</v>
      </c>
      <c r="C12" s="4707" t="s">
        <v>469</v>
      </c>
      <c r="D12" s="1593"/>
      <c r="E12" s="1593">
        <v>2</v>
      </c>
      <c r="F12" s="1593">
        <f t="shared" si="1"/>
        <v>2</v>
      </c>
    </row>
    <row r="13" spans="1:6" ht="15" x14ac:dyDescent="0.2">
      <c r="A13" s="6241"/>
      <c r="B13" s="4702" t="s">
        <v>5</v>
      </c>
      <c r="C13" s="4705" t="s">
        <v>1498</v>
      </c>
      <c r="D13" s="1593"/>
      <c r="E13" s="1593">
        <v>1</v>
      </c>
      <c r="F13" s="1593">
        <f t="shared" si="1"/>
        <v>1</v>
      </c>
    </row>
    <row r="14" spans="1:6" ht="15" x14ac:dyDescent="0.2">
      <c r="A14" s="6241"/>
      <c r="B14" s="4702" t="s">
        <v>6</v>
      </c>
      <c r="C14" s="4706" t="s">
        <v>502</v>
      </c>
      <c r="D14" s="1593">
        <v>1</v>
      </c>
      <c r="E14" s="1593"/>
      <c r="F14" s="1593">
        <f>SUM(D14:E14)</f>
        <v>1</v>
      </c>
    </row>
    <row r="15" spans="1:6" ht="15" x14ac:dyDescent="0.2">
      <c r="A15" s="6241"/>
      <c r="B15" s="4701" t="s">
        <v>11</v>
      </c>
      <c r="C15" s="4705" t="s">
        <v>1497</v>
      </c>
      <c r="D15" s="1593"/>
      <c r="E15" s="1593">
        <v>1</v>
      </c>
      <c r="F15" s="1593">
        <f t="shared" si="1"/>
        <v>1</v>
      </c>
    </row>
    <row r="16" spans="1:6" ht="15" x14ac:dyDescent="0.2">
      <c r="A16" s="6241"/>
      <c r="B16" s="6245" t="s">
        <v>450</v>
      </c>
      <c r="C16" s="6246"/>
      <c r="D16" s="4717">
        <f>SUM(D11:D15)</f>
        <v>2</v>
      </c>
      <c r="E16" s="4717">
        <f t="shared" ref="E16:F16" si="3">SUM(E11:E15)</f>
        <v>5</v>
      </c>
      <c r="F16" s="4717">
        <f t="shared" si="3"/>
        <v>7</v>
      </c>
    </row>
    <row r="17" spans="1:6" ht="15" x14ac:dyDescent="0.2">
      <c r="A17" s="1930"/>
      <c r="B17" s="1930"/>
      <c r="C17" s="320"/>
      <c r="D17" s="1930"/>
      <c r="E17" s="1930"/>
      <c r="F17" s="1930"/>
    </row>
    <row r="18" spans="1:6" ht="15" x14ac:dyDescent="0.2">
      <c r="A18" s="6237" t="s">
        <v>10</v>
      </c>
      <c r="B18" s="4700" t="s">
        <v>6</v>
      </c>
      <c r="C18" s="4703" t="s">
        <v>1488</v>
      </c>
      <c r="D18" s="1593">
        <v>1</v>
      </c>
      <c r="E18" s="1593"/>
      <c r="F18" s="1593">
        <f t="shared" si="1"/>
        <v>1</v>
      </c>
    </row>
    <row r="19" spans="1:6" ht="15" x14ac:dyDescent="0.2">
      <c r="A19" s="6237"/>
      <c r="B19" s="4700" t="s">
        <v>6</v>
      </c>
      <c r="C19" s="4708" t="s">
        <v>1489</v>
      </c>
      <c r="D19" s="1593">
        <v>1</v>
      </c>
      <c r="E19" s="1593"/>
      <c r="F19" s="1593">
        <f t="shared" si="1"/>
        <v>1</v>
      </c>
    </row>
    <row r="20" spans="1:6" ht="15" x14ac:dyDescent="0.2">
      <c r="A20" s="6237"/>
      <c r="B20" s="4700" t="s">
        <v>6</v>
      </c>
      <c r="C20" s="4703" t="s">
        <v>1490</v>
      </c>
      <c r="D20" s="1593">
        <v>1</v>
      </c>
      <c r="E20" s="1593">
        <v>1</v>
      </c>
      <c r="F20" s="1593">
        <f t="shared" si="1"/>
        <v>2</v>
      </c>
    </row>
    <row r="21" spans="1:6" ht="15" x14ac:dyDescent="0.2">
      <c r="A21" s="6237"/>
      <c r="B21" s="4704" t="s">
        <v>6</v>
      </c>
      <c r="C21" s="4709" t="s">
        <v>1494</v>
      </c>
      <c r="D21" s="1593">
        <v>3</v>
      </c>
      <c r="E21" s="1593"/>
      <c r="F21" s="1593">
        <f t="shared" si="1"/>
        <v>3</v>
      </c>
    </row>
    <row r="22" spans="1:6" ht="15" x14ac:dyDescent="0.2">
      <c r="A22" s="6237"/>
      <c r="B22" s="4700" t="s">
        <v>11</v>
      </c>
      <c r="C22" s="4710" t="s">
        <v>1493</v>
      </c>
      <c r="D22" s="1593"/>
      <c r="E22" s="1593">
        <v>1</v>
      </c>
      <c r="F22" s="1593">
        <f t="shared" si="1"/>
        <v>1</v>
      </c>
    </row>
    <row r="23" spans="1:6" ht="15" x14ac:dyDescent="0.2">
      <c r="A23" s="6237"/>
      <c r="B23" s="4700" t="s">
        <v>11</v>
      </c>
      <c r="C23" s="4710" t="s">
        <v>1495</v>
      </c>
      <c r="D23" s="1593">
        <v>1</v>
      </c>
      <c r="E23" s="1593">
        <v>1</v>
      </c>
      <c r="F23" s="1593">
        <f t="shared" si="1"/>
        <v>2</v>
      </c>
    </row>
    <row r="24" spans="1:6" ht="15" x14ac:dyDescent="0.2">
      <c r="A24" s="6237"/>
      <c r="B24" s="4700" t="s">
        <v>1491</v>
      </c>
      <c r="C24" s="4710" t="s">
        <v>1492</v>
      </c>
      <c r="D24" s="1593">
        <v>1</v>
      </c>
      <c r="E24" s="1593"/>
      <c r="F24" s="1593">
        <f t="shared" si="1"/>
        <v>1</v>
      </c>
    </row>
    <row r="25" spans="1:6" ht="15" x14ac:dyDescent="0.2">
      <c r="A25" s="6237"/>
      <c r="B25" s="6235" t="s">
        <v>450</v>
      </c>
      <c r="C25" s="6236"/>
      <c r="D25" s="4718">
        <f>SUM(D18:D24)</f>
        <v>8</v>
      </c>
      <c r="E25" s="4718">
        <f t="shared" ref="E25:F25" si="4">SUM(E18:E24)</f>
        <v>3</v>
      </c>
      <c r="F25" s="4718">
        <f t="shared" si="4"/>
        <v>11</v>
      </c>
    </row>
    <row r="26" spans="1:6" ht="15" x14ac:dyDescent="0.2">
      <c r="A26" s="4711"/>
      <c r="B26" s="4711"/>
      <c r="C26" s="4712"/>
    </row>
    <row r="27" spans="1:6" ht="15" x14ac:dyDescent="0.2">
      <c r="A27" s="6238" t="s">
        <v>586</v>
      </c>
      <c r="B27" s="6238"/>
      <c r="C27" s="6238"/>
      <c r="D27" s="4598">
        <f>SUM(D5,D9,D16,D25)</f>
        <v>12</v>
      </c>
      <c r="E27" s="4598">
        <f t="shared" ref="E27:F27" si="5">SUM(E5,E9,E16,E25)</f>
        <v>9</v>
      </c>
      <c r="F27" s="4598">
        <f t="shared" si="5"/>
        <v>21</v>
      </c>
    </row>
  </sheetData>
  <mergeCells count="14">
    <mergeCell ref="B25:C25"/>
    <mergeCell ref="A18:A25"/>
    <mergeCell ref="A27:C27"/>
    <mergeCell ref="D2:F2"/>
    <mergeCell ref="A4:A5"/>
    <mergeCell ref="A7:A9"/>
    <mergeCell ref="A11:A16"/>
    <mergeCell ref="B7:B8"/>
    <mergeCell ref="B5:C5"/>
    <mergeCell ref="B9:C9"/>
    <mergeCell ref="B16:C16"/>
    <mergeCell ref="A2:A3"/>
    <mergeCell ref="B2:B3"/>
    <mergeCell ref="C2:C3"/>
  </mergeCells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A1:I39"/>
  <sheetViews>
    <sheetView showGridLines="0" workbookViewId="0">
      <selection activeCell="D6" sqref="D6:D7"/>
    </sheetView>
  </sheetViews>
  <sheetFormatPr baseColWidth="10" defaultRowHeight="12.75" x14ac:dyDescent="0.2"/>
  <cols>
    <col min="1" max="1" width="14.85546875" customWidth="1"/>
    <col min="3" max="3" width="8.85546875" bestFit="1" customWidth="1"/>
    <col min="4" max="4" width="9.140625" bestFit="1" customWidth="1"/>
    <col min="5" max="5" width="8.7109375" customWidth="1"/>
  </cols>
  <sheetData>
    <row r="1" spans="1:9" ht="18.75" x14ac:dyDescent="0.3">
      <c r="A1" s="4144" t="s">
        <v>1485</v>
      </c>
    </row>
    <row r="2" spans="1:9" ht="15" x14ac:dyDescent="0.25">
      <c r="A2" s="251"/>
      <c r="B2" s="251"/>
      <c r="C2" s="251"/>
      <c r="D2" s="251"/>
      <c r="E2" s="251"/>
      <c r="F2" s="251"/>
      <c r="G2" s="251"/>
      <c r="H2" s="251"/>
      <c r="I2" s="251"/>
    </row>
    <row r="3" spans="1:9" ht="15" x14ac:dyDescent="0.25">
      <c r="A3" s="5357" t="s">
        <v>51</v>
      </c>
      <c r="B3" s="5357" t="s">
        <v>702</v>
      </c>
      <c r="C3" s="6239">
        <v>2015</v>
      </c>
      <c r="D3" s="6239"/>
      <c r="E3" s="6240"/>
      <c r="F3" s="251"/>
      <c r="G3" s="251"/>
      <c r="H3" s="251"/>
      <c r="I3" s="251"/>
    </row>
    <row r="4" spans="1:9" ht="15" x14ac:dyDescent="0.25">
      <c r="A4" s="5357"/>
      <c r="B4" s="5357"/>
      <c r="C4" s="4744" t="s">
        <v>675</v>
      </c>
      <c r="D4" s="4744" t="s">
        <v>676</v>
      </c>
      <c r="E4" s="4597" t="s">
        <v>160</v>
      </c>
      <c r="F4" s="251"/>
      <c r="G4" s="251"/>
      <c r="H4" s="251"/>
      <c r="I4" s="251"/>
    </row>
    <row r="5" spans="1:9" ht="15" x14ac:dyDescent="0.25">
      <c r="A5" s="251"/>
      <c r="B5" s="251"/>
      <c r="C5" s="251"/>
      <c r="D5" s="251"/>
      <c r="E5" s="251"/>
      <c r="F5" s="251"/>
      <c r="G5" s="251"/>
      <c r="H5" s="251"/>
      <c r="I5" s="251"/>
    </row>
    <row r="6" spans="1:9" ht="15" x14ac:dyDescent="0.25">
      <c r="A6" s="6249" t="s">
        <v>3</v>
      </c>
      <c r="B6" s="4860" t="s">
        <v>5</v>
      </c>
      <c r="C6" s="1510"/>
      <c r="D6" s="1510">
        <v>1</v>
      </c>
      <c r="E6" s="1510">
        <f>SUM(C6:D6)</f>
        <v>1</v>
      </c>
      <c r="F6" s="251"/>
      <c r="G6" s="251"/>
      <c r="H6" s="251"/>
      <c r="I6" s="251"/>
    </row>
    <row r="7" spans="1:9" ht="15" x14ac:dyDescent="0.25">
      <c r="A7" s="6249"/>
      <c r="B7" s="4861" t="s">
        <v>7</v>
      </c>
      <c r="C7" s="1512"/>
      <c r="D7" s="1512">
        <v>2</v>
      </c>
      <c r="E7" s="1512">
        <f t="shared" ref="E7:E17" si="0">SUM(C7:D7)</f>
        <v>2</v>
      </c>
      <c r="F7" s="251"/>
      <c r="G7" s="251"/>
      <c r="H7" s="251"/>
      <c r="I7" s="251"/>
    </row>
    <row r="8" spans="1:9" ht="15" x14ac:dyDescent="0.25">
      <c r="A8" s="6249"/>
      <c r="B8" s="4862" t="s">
        <v>160</v>
      </c>
      <c r="C8" s="4863"/>
      <c r="D8" s="4863">
        <f>SUM(D6:D7)</f>
        <v>3</v>
      </c>
      <c r="E8" s="4863">
        <f t="shared" si="0"/>
        <v>3</v>
      </c>
      <c r="F8" s="251"/>
      <c r="G8" s="251"/>
      <c r="H8" s="251"/>
      <c r="I8" s="251"/>
    </row>
    <row r="9" spans="1:9" ht="15" x14ac:dyDescent="0.25">
      <c r="A9" s="251"/>
      <c r="B9" s="251"/>
      <c r="C9" s="1930"/>
      <c r="D9" s="1930"/>
      <c r="E9" s="1930"/>
      <c r="F9" s="251"/>
      <c r="G9" s="251"/>
      <c r="H9" s="251"/>
      <c r="I9" s="251"/>
    </row>
    <row r="10" spans="1:9" ht="15" x14ac:dyDescent="0.25">
      <c r="A10" s="6250" t="s">
        <v>8</v>
      </c>
      <c r="B10" s="4860" t="s">
        <v>6</v>
      </c>
      <c r="C10" s="1510"/>
      <c r="D10" s="1510">
        <v>1</v>
      </c>
      <c r="E10" s="1510">
        <f t="shared" si="0"/>
        <v>1</v>
      </c>
      <c r="F10" s="251"/>
      <c r="G10" s="251"/>
      <c r="H10" s="251"/>
      <c r="I10" s="251"/>
    </row>
    <row r="11" spans="1:9" ht="15" x14ac:dyDescent="0.25">
      <c r="A11" s="6251"/>
      <c r="B11" s="4862" t="s">
        <v>160</v>
      </c>
      <c r="C11" s="4863"/>
      <c r="D11" s="4863">
        <f>SUM(D10)</f>
        <v>1</v>
      </c>
      <c r="E11" s="4863">
        <f t="shared" si="0"/>
        <v>1</v>
      </c>
      <c r="F11" s="251"/>
      <c r="G11" s="251"/>
      <c r="H11" s="251"/>
      <c r="I11" s="251"/>
    </row>
    <row r="12" spans="1:9" ht="15" x14ac:dyDescent="0.25">
      <c r="A12" s="251"/>
      <c r="B12" s="251"/>
      <c r="C12" s="1930"/>
      <c r="D12" s="1930"/>
      <c r="E12" s="1930"/>
      <c r="F12" s="251"/>
      <c r="G12" s="251"/>
      <c r="H12" s="251"/>
      <c r="I12" s="251"/>
    </row>
    <row r="13" spans="1:9" ht="15" x14ac:dyDescent="0.25">
      <c r="A13" s="6252" t="s">
        <v>75</v>
      </c>
      <c r="B13" s="4860" t="s">
        <v>6</v>
      </c>
      <c r="C13" s="1510"/>
      <c r="D13" s="1510">
        <v>2</v>
      </c>
      <c r="E13" s="1510">
        <f t="shared" si="0"/>
        <v>2</v>
      </c>
      <c r="F13" s="251"/>
      <c r="G13" s="251"/>
      <c r="H13" s="251"/>
      <c r="I13" s="251"/>
    </row>
    <row r="14" spans="1:9" ht="15" x14ac:dyDescent="0.25">
      <c r="A14" s="6252"/>
      <c r="B14" s="4862" t="s">
        <v>160</v>
      </c>
      <c r="C14" s="4863"/>
      <c r="D14" s="4863">
        <f>SUM(D13)</f>
        <v>2</v>
      </c>
      <c r="E14" s="4863">
        <f>SUM(E13)</f>
        <v>2</v>
      </c>
      <c r="F14" s="251"/>
      <c r="G14" s="251"/>
      <c r="H14" s="251"/>
      <c r="I14" s="251"/>
    </row>
    <row r="15" spans="1:9" ht="15" x14ac:dyDescent="0.25">
      <c r="A15" s="251"/>
      <c r="B15" s="251"/>
      <c r="C15" s="1930"/>
      <c r="D15" s="1930"/>
      <c r="E15" s="1930"/>
      <c r="F15" s="251"/>
      <c r="G15" s="251"/>
      <c r="H15" s="251"/>
      <c r="I15" s="251"/>
    </row>
    <row r="16" spans="1:9" ht="15" x14ac:dyDescent="0.25">
      <c r="A16" s="6253" t="s">
        <v>10</v>
      </c>
      <c r="B16" s="4860" t="s">
        <v>6</v>
      </c>
      <c r="C16" s="1510">
        <v>1</v>
      </c>
      <c r="D16" s="1510">
        <v>1</v>
      </c>
      <c r="E16" s="1510">
        <f t="shared" si="0"/>
        <v>2</v>
      </c>
      <c r="F16" s="251"/>
      <c r="G16" s="251"/>
      <c r="H16" s="251"/>
      <c r="I16" s="251"/>
    </row>
    <row r="17" spans="1:9" ht="15" x14ac:dyDescent="0.25">
      <c r="A17" s="6253"/>
      <c r="B17" s="4861" t="s">
        <v>11</v>
      </c>
      <c r="C17" s="1512">
        <v>1</v>
      </c>
      <c r="D17" s="1512"/>
      <c r="E17" s="1512">
        <f t="shared" si="0"/>
        <v>1</v>
      </c>
      <c r="F17" s="251"/>
      <c r="G17" s="251"/>
      <c r="H17" s="251"/>
      <c r="I17" s="251"/>
    </row>
    <row r="18" spans="1:9" ht="15" x14ac:dyDescent="0.25">
      <c r="A18" s="6253"/>
      <c r="B18" s="4862" t="s">
        <v>160</v>
      </c>
      <c r="C18" s="4863">
        <f>SUM(C16:C17)</f>
        <v>2</v>
      </c>
      <c r="D18" s="4863">
        <f t="shared" ref="D18:E18" si="1">SUM(D16:D17)</f>
        <v>1</v>
      </c>
      <c r="E18" s="4863">
        <f t="shared" si="1"/>
        <v>3</v>
      </c>
      <c r="F18" s="251"/>
      <c r="G18" s="251"/>
      <c r="H18" s="251"/>
      <c r="I18" s="251"/>
    </row>
    <row r="19" spans="1:9" ht="15" x14ac:dyDescent="0.25">
      <c r="A19" s="251"/>
      <c r="B19" s="251"/>
      <c r="C19" s="1930"/>
      <c r="D19" s="1930"/>
      <c r="E19" s="1930"/>
      <c r="F19" s="251"/>
      <c r="G19" s="251"/>
      <c r="H19" s="251"/>
      <c r="I19" s="251"/>
    </row>
    <row r="20" spans="1:9" ht="15" x14ac:dyDescent="0.25">
      <c r="A20" s="6238" t="s">
        <v>586</v>
      </c>
      <c r="B20" s="6238"/>
      <c r="C20" s="4598">
        <f>SUM(C8,C11,C14,C18)</f>
        <v>2</v>
      </c>
      <c r="D20" s="4598">
        <f t="shared" ref="D20:E20" si="2">SUM(D8,D11,D14,D18)</f>
        <v>7</v>
      </c>
      <c r="E20" s="4598">
        <f t="shared" si="2"/>
        <v>9</v>
      </c>
      <c r="F20" s="251"/>
      <c r="G20" s="251"/>
      <c r="H20" s="251"/>
      <c r="I20" s="251"/>
    </row>
    <row r="21" spans="1:9" ht="15" x14ac:dyDescent="0.25">
      <c r="A21" s="251"/>
      <c r="B21" s="251"/>
      <c r="C21" s="251"/>
      <c r="D21" s="251"/>
      <c r="E21" s="251"/>
      <c r="F21" s="251"/>
      <c r="G21" s="251"/>
      <c r="H21" s="251"/>
      <c r="I21" s="251"/>
    </row>
    <row r="22" spans="1:9" ht="15" x14ac:dyDescent="0.25">
      <c r="A22" s="251"/>
      <c r="B22" s="251"/>
      <c r="C22" s="251"/>
      <c r="D22" s="251"/>
      <c r="E22" s="251"/>
      <c r="F22" s="251"/>
      <c r="G22" s="251"/>
      <c r="H22" s="251"/>
      <c r="I22" s="251"/>
    </row>
    <row r="23" spans="1:9" ht="15" x14ac:dyDescent="0.25">
      <c r="A23" s="251"/>
      <c r="B23" s="251"/>
      <c r="C23" s="251"/>
      <c r="D23" s="251"/>
      <c r="E23" s="251"/>
      <c r="F23" s="251"/>
      <c r="G23" s="251"/>
      <c r="H23" s="251"/>
      <c r="I23" s="251"/>
    </row>
    <row r="24" spans="1:9" ht="15" x14ac:dyDescent="0.25">
      <c r="A24" s="251"/>
      <c r="B24" s="251"/>
      <c r="C24" s="251"/>
      <c r="D24" s="251"/>
      <c r="E24" s="251"/>
      <c r="F24" s="251"/>
      <c r="G24" s="251"/>
      <c r="H24" s="251"/>
      <c r="I24" s="251"/>
    </row>
    <row r="25" spans="1:9" ht="15" x14ac:dyDescent="0.25">
      <c r="A25" s="251"/>
      <c r="B25" s="251"/>
      <c r="C25" s="251"/>
      <c r="D25" s="251"/>
      <c r="E25" s="251"/>
      <c r="F25" s="251"/>
      <c r="G25" s="251"/>
      <c r="H25" s="251"/>
      <c r="I25" s="251"/>
    </row>
    <row r="26" spans="1:9" ht="15" x14ac:dyDescent="0.25">
      <c r="A26" s="251"/>
      <c r="B26" s="251"/>
      <c r="C26" s="251"/>
      <c r="D26" s="251"/>
      <c r="E26" s="251"/>
      <c r="F26" s="251"/>
      <c r="G26" s="251"/>
      <c r="H26" s="251"/>
      <c r="I26" s="251"/>
    </row>
    <row r="27" spans="1:9" ht="15" x14ac:dyDescent="0.25">
      <c r="A27" s="251"/>
      <c r="B27" s="251"/>
      <c r="C27" s="251"/>
      <c r="D27" s="251"/>
      <c r="E27" s="251"/>
      <c r="F27" s="251"/>
      <c r="G27" s="251"/>
      <c r="H27" s="251"/>
      <c r="I27" s="251"/>
    </row>
    <row r="28" spans="1:9" ht="15" x14ac:dyDescent="0.25">
      <c r="A28" s="251"/>
      <c r="B28" s="251"/>
      <c r="C28" s="251"/>
      <c r="D28" s="251"/>
      <c r="E28" s="251"/>
      <c r="F28" s="251"/>
      <c r="G28" s="251"/>
      <c r="H28" s="251"/>
      <c r="I28" s="251"/>
    </row>
    <row r="29" spans="1:9" ht="15" x14ac:dyDescent="0.25">
      <c r="A29" s="251"/>
      <c r="B29" s="251"/>
      <c r="C29" s="251"/>
      <c r="D29" s="251"/>
      <c r="E29" s="251"/>
      <c r="F29" s="251"/>
      <c r="G29" s="251"/>
      <c r="H29" s="251"/>
      <c r="I29" s="251"/>
    </row>
    <row r="30" spans="1:9" ht="15" x14ac:dyDescent="0.25">
      <c r="A30" s="251"/>
      <c r="B30" s="251"/>
      <c r="C30" s="251"/>
      <c r="D30" s="251"/>
      <c r="E30" s="251"/>
      <c r="F30" s="251"/>
      <c r="G30" s="251"/>
      <c r="H30" s="251"/>
      <c r="I30" s="251"/>
    </row>
    <row r="31" spans="1:9" ht="15" x14ac:dyDescent="0.25">
      <c r="A31" s="251"/>
      <c r="B31" s="251"/>
      <c r="C31" s="251"/>
      <c r="D31" s="251"/>
      <c r="E31" s="251"/>
      <c r="F31" s="251"/>
      <c r="G31" s="251"/>
      <c r="H31" s="251"/>
      <c r="I31" s="251"/>
    </row>
    <row r="32" spans="1:9" ht="15" x14ac:dyDescent="0.25">
      <c r="A32" s="251"/>
      <c r="B32" s="251"/>
      <c r="C32" s="251"/>
      <c r="D32" s="251"/>
      <c r="E32" s="251"/>
      <c r="F32" s="251"/>
      <c r="G32" s="251"/>
      <c r="H32" s="251"/>
      <c r="I32" s="251"/>
    </row>
    <row r="33" spans="1:9" ht="15" x14ac:dyDescent="0.25">
      <c r="A33" s="251"/>
      <c r="B33" s="251"/>
      <c r="C33" s="251"/>
      <c r="D33" s="251"/>
      <c r="E33" s="251"/>
      <c r="F33" s="251"/>
      <c r="G33" s="251"/>
      <c r="H33" s="251"/>
      <c r="I33" s="251"/>
    </row>
    <row r="34" spans="1:9" ht="15" x14ac:dyDescent="0.25">
      <c r="A34" s="251"/>
      <c r="B34" s="251"/>
      <c r="C34" s="251"/>
      <c r="D34" s="251"/>
      <c r="E34" s="251"/>
      <c r="F34" s="251"/>
      <c r="G34" s="251"/>
      <c r="H34" s="251"/>
      <c r="I34" s="251"/>
    </row>
    <row r="35" spans="1:9" ht="15" x14ac:dyDescent="0.25">
      <c r="A35" s="251"/>
      <c r="B35" s="251"/>
      <c r="C35" s="251"/>
      <c r="D35" s="251"/>
      <c r="E35" s="251"/>
      <c r="F35" s="251"/>
      <c r="G35" s="251"/>
      <c r="H35" s="251"/>
      <c r="I35" s="251"/>
    </row>
    <row r="36" spans="1:9" ht="15" x14ac:dyDescent="0.25">
      <c r="A36" s="251"/>
      <c r="B36" s="251"/>
      <c r="C36" s="251"/>
      <c r="D36" s="251"/>
      <c r="E36" s="251"/>
      <c r="F36" s="251"/>
      <c r="G36" s="251"/>
      <c r="H36" s="251"/>
      <c r="I36" s="251"/>
    </row>
    <row r="37" spans="1:9" ht="15" x14ac:dyDescent="0.25">
      <c r="A37" s="251"/>
      <c r="B37" s="251"/>
      <c r="C37" s="251"/>
      <c r="D37" s="251"/>
      <c r="E37" s="251"/>
      <c r="F37" s="251"/>
      <c r="G37" s="251"/>
      <c r="H37" s="251"/>
      <c r="I37" s="251"/>
    </row>
    <row r="38" spans="1:9" ht="15" x14ac:dyDescent="0.25">
      <c r="A38" s="251"/>
      <c r="B38" s="251"/>
      <c r="C38" s="251"/>
      <c r="D38" s="251"/>
      <c r="E38" s="251"/>
      <c r="F38" s="251"/>
      <c r="G38" s="251"/>
      <c r="H38" s="251"/>
      <c r="I38" s="251"/>
    </row>
    <row r="39" spans="1:9" ht="15" x14ac:dyDescent="0.25">
      <c r="A39" s="251"/>
      <c r="B39" s="251"/>
      <c r="C39" s="251"/>
      <c r="D39" s="251"/>
      <c r="E39" s="251"/>
      <c r="F39" s="251"/>
      <c r="G39" s="251"/>
      <c r="H39" s="251"/>
      <c r="I39" s="251"/>
    </row>
  </sheetData>
  <mergeCells count="8">
    <mergeCell ref="C3:E3"/>
    <mergeCell ref="A20:B20"/>
    <mergeCell ref="A6:A8"/>
    <mergeCell ref="A10:A11"/>
    <mergeCell ref="A13:A14"/>
    <mergeCell ref="A16:A18"/>
    <mergeCell ref="A3:A4"/>
    <mergeCell ref="B3:B4"/>
  </mergeCells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BB178"/>
  <sheetViews>
    <sheetView showGridLines="0" zoomScaleNormal="100" zoomScaleSheetLayoutView="100" workbookViewId="0">
      <pane xSplit="2" ySplit="4" topLeftCell="AN5" activePane="bottomRight" state="frozen"/>
      <selection activeCell="J14" sqref="J14"/>
      <selection pane="topRight" activeCell="J14" sqref="J14"/>
      <selection pane="bottomLeft" activeCell="J14" sqref="J14"/>
      <selection pane="bottomRight" sqref="A1:B1"/>
    </sheetView>
  </sheetViews>
  <sheetFormatPr baseColWidth="10" defaultColWidth="12.5703125" defaultRowHeight="15" x14ac:dyDescent="0.2"/>
  <cols>
    <col min="1" max="1" width="14.5703125" style="4249" customWidth="1"/>
    <col min="2" max="2" width="9" style="4249" customWidth="1"/>
    <col min="3" max="3" width="8.42578125" style="4249" customWidth="1"/>
    <col min="4" max="4" width="8.140625" style="4249" customWidth="1"/>
    <col min="5" max="7" width="8.42578125" style="4249" customWidth="1"/>
    <col min="8" max="8" width="8.140625" style="4249" customWidth="1"/>
    <col min="9" max="11" width="8.42578125" style="4249" customWidth="1"/>
    <col min="12" max="12" width="8.140625" style="4249" customWidth="1"/>
    <col min="13" max="15" width="8.42578125" style="4249" customWidth="1"/>
    <col min="16" max="16" width="8.140625" style="4249" customWidth="1"/>
    <col min="17" max="19" width="8.42578125" style="4249" customWidth="1"/>
    <col min="20" max="20" width="8.140625" style="4249" customWidth="1"/>
    <col min="21" max="23" width="8.42578125" style="4249" customWidth="1"/>
    <col min="24" max="24" width="8.140625" style="4249" customWidth="1"/>
    <col min="25" max="27" width="8.42578125" style="4249" customWidth="1"/>
    <col min="28" max="28" width="8.140625" style="4249" customWidth="1"/>
    <col min="29" max="31" width="8.42578125" style="4249" customWidth="1"/>
    <col min="32" max="32" width="8.140625" style="4249" customWidth="1"/>
    <col min="33" max="34" width="8.42578125" style="4249" customWidth="1"/>
    <col min="35" max="35" width="8.42578125" style="4249" bestFit="1" customWidth="1"/>
    <col min="36" max="36" width="8.140625" style="4249" bestFit="1" customWidth="1"/>
    <col min="37" max="39" width="8.42578125" style="4249" bestFit="1" customWidth="1"/>
    <col min="40" max="40" width="8.140625" style="4249" bestFit="1" customWidth="1"/>
    <col min="41" max="43" width="8.42578125" style="4249" bestFit="1" customWidth="1"/>
    <col min="44" max="44" width="8.140625" style="4249" bestFit="1" customWidth="1"/>
    <col min="45" max="46" width="8.42578125" style="4249" bestFit="1" customWidth="1"/>
    <col min="47" max="54" width="8.42578125" style="4249" customWidth="1"/>
    <col min="55" max="223" width="12.5703125" style="4249"/>
    <col min="224" max="224" width="0.85546875" style="4249" customWidth="1"/>
    <col min="225" max="225" width="9.42578125" style="4249" customWidth="1"/>
    <col min="226" max="226" width="14.7109375" style="4249" customWidth="1"/>
    <col min="227" max="228" width="10.28515625" style="4249" customWidth="1"/>
    <col min="229" max="229" width="12.42578125" style="4249" bestFit="1" customWidth="1"/>
    <col min="230" max="230" width="11.85546875" style="4249" bestFit="1" customWidth="1"/>
    <col min="231" max="232" width="10.28515625" style="4249" customWidth="1"/>
    <col min="233" max="234" width="12.42578125" style="4249" bestFit="1" customWidth="1"/>
    <col min="235" max="236" width="10.28515625" style="4249" customWidth="1"/>
    <col min="237" max="238" width="12.42578125" style="4249" bestFit="1" customWidth="1"/>
    <col min="239" max="240" width="10.28515625" style="4249" customWidth="1"/>
    <col min="241" max="242" width="12.42578125" style="4249" bestFit="1" customWidth="1"/>
    <col min="243" max="244" width="10.28515625" style="4249" customWidth="1"/>
    <col min="245" max="246" width="12.42578125" style="4249" bestFit="1" customWidth="1"/>
    <col min="247" max="248" width="10.28515625" style="4249" customWidth="1"/>
    <col min="249" max="250" width="12.42578125" style="4249" bestFit="1" customWidth="1"/>
    <col min="251" max="479" width="12.5703125" style="4249"/>
    <col min="480" max="480" width="0.85546875" style="4249" customWidth="1"/>
    <col min="481" max="481" width="9.42578125" style="4249" customWidth="1"/>
    <col min="482" max="482" width="14.7109375" style="4249" customWidth="1"/>
    <col min="483" max="484" width="10.28515625" style="4249" customWidth="1"/>
    <col min="485" max="485" width="12.42578125" style="4249" bestFit="1" customWidth="1"/>
    <col min="486" max="486" width="11.85546875" style="4249" bestFit="1" customWidth="1"/>
    <col min="487" max="488" width="10.28515625" style="4249" customWidth="1"/>
    <col min="489" max="490" width="12.42578125" style="4249" bestFit="1" customWidth="1"/>
    <col min="491" max="492" width="10.28515625" style="4249" customWidth="1"/>
    <col min="493" max="494" width="12.42578125" style="4249" bestFit="1" customWidth="1"/>
    <col min="495" max="496" width="10.28515625" style="4249" customWidth="1"/>
    <col min="497" max="498" width="12.42578125" style="4249" bestFit="1" customWidth="1"/>
    <col min="499" max="500" width="10.28515625" style="4249" customWidth="1"/>
    <col min="501" max="502" width="12.42578125" style="4249" bestFit="1" customWidth="1"/>
    <col min="503" max="504" width="10.28515625" style="4249" customWidth="1"/>
    <col min="505" max="506" width="12.42578125" style="4249" bestFit="1" customWidth="1"/>
    <col min="507" max="735" width="12.5703125" style="4249"/>
    <col min="736" max="736" width="0.85546875" style="4249" customWidth="1"/>
    <col min="737" max="737" width="9.42578125" style="4249" customWidth="1"/>
    <col min="738" max="738" width="14.7109375" style="4249" customWidth="1"/>
    <col min="739" max="740" width="10.28515625" style="4249" customWidth="1"/>
    <col min="741" max="741" width="12.42578125" style="4249" bestFit="1" customWidth="1"/>
    <col min="742" max="742" width="11.85546875" style="4249" bestFit="1" customWidth="1"/>
    <col min="743" max="744" width="10.28515625" style="4249" customWidth="1"/>
    <col min="745" max="746" width="12.42578125" style="4249" bestFit="1" customWidth="1"/>
    <col min="747" max="748" width="10.28515625" style="4249" customWidth="1"/>
    <col min="749" max="750" width="12.42578125" style="4249" bestFit="1" customWidth="1"/>
    <col min="751" max="752" width="10.28515625" style="4249" customWidth="1"/>
    <col min="753" max="754" width="12.42578125" style="4249" bestFit="1" customWidth="1"/>
    <col min="755" max="756" width="10.28515625" style="4249" customWidth="1"/>
    <col min="757" max="758" width="12.42578125" style="4249" bestFit="1" customWidth="1"/>
    <col min="759" max="760" width="10.28515625" style="4249" customWidth="1"/>
    <col min="761" max="762" width="12.42578125" style="4249" bestFit="1" customWidth="1"/>
    <col min="763" max="991" width="12.5703125" style="4249"/>
    <col min="992" max="992" width="0.85546875" style="4249" customWidth="1"/>
    <col min="993" max="993" width="9.42578125" style="4249" customWidth="1"/>
    <col min="994" max="994" width="14.7109375" style="4249" customWidth="1"/>
    <col min="995" max="996" width="10.28515625" style="4249" customWidth="1"/>
    <col min="997" max="997" width="12.42578125" style="4249" bestFit="1" customWidth="1"/>
    <col min="998" max="998" width="11.85546875" style="4249" bestFit="1" customWidth="1"/>
    <col min="999" max="1000" width="10.28515625" style="4249" customWidth="1"/>
    <col min="1001" max="1002" width="12.42578125" style="4249" bestFit="1" customWidth="1"/>
    <col min="1003" max="1004" width="10.28515625" style="4249" customWidth="1"/>
    <col min="1005" max="1006" width="12.42578125" style="4249" bestFit="1" customWidth="1"/>
    <col min="1007" max="1008" width="10.28515625" style="4249" customWidth="1"/>
    <col min="1009" max="1010" width="12.42578125" style="4249" bestFit="1" customWidth="1"/>
    <col min="1011" max="1012" width="10.28515625" style="4249" customWidth="1"/>
    <col min="1013" max="1014" width="12.42578125" style="4249" bestFit="1" customWidth="1"/>
    <col min="1015" max="1016" width="10.28515625" style="4249" customWidth="1"/>
    <col min="1017" max="1018" width="12.42578125" style="4249" bestFit="1" customWidth="1"/>
    <col min="1019" max="1247" width="12.5703125" style="4249"/>
    <col min="1248" max="1248" width="0.85546875" style="4249" customWidth="1"/>
    <col min="1249" max="1249" width="9.42578125" style="4249" customWidth="1"/>
    <col min="1250" max="1250" width="14.7109375" style="4249" customWidth="1"/>
    <col min="1251" max="1252" width="10.28515625" style="4249" customWidth="1"/>
    <col min="1253" max="1253" width="12.42578125" style="4249" bestFit="1" customWidth="1"/>
    <col min="1254" max="1254" width="11.85546875" style="4249" bestFit="1" customWidth="1"/>
    <col min="1255" max="1256" width="10.28515625" style="4249" customWidth="1"/>
    <col min="1257" max="1258" width="12.42578125" style="4249" bestFit="1" customWidth="1"/>
    <col min="1259" max="1260" width="10.28515625" style="4249" customWidth="1"/>
    <col min="1261" max="1262" width="12.42578125" style="4249" bestFit="1" customWidth="1"/>
    <col min="1263" max="1264" width="10.28515625" style="4249" customWidth="1"/>
    <col min="1265" max="1266" width="12.42578125" style="4249" bestFit="1" customWidth="1"/>
    <col min="1267" max="1268" width="10.28515625" style="4249" customWidth="1"/>
    <col min="1269" max="1270" width="12.42578125" style="4249" bestFit="1" customWidth="1"/>
    <col min="1271" max="1272" width="10.28515625" style="4249" customWidth="1"/>
    <col min="1273" max="1274" width="12.42578125" style="4249" bestFit="1" customWidth="1"/>
    <col min="1275" max="1503" width="12.5703125" style="4249"/>
    <col min="1504" max="1504" width="0.85546875" style="4249" customWidth="1"/>
    <col min="1505" max="1505" width="9.42578125" style="4249" customWidth="1"/>
    <col min="1506" max="1506" width="14.7109375" style="4249" customWidth="1"/>
    <col min="1507" max="1508" width="10.28515625" style="4249" customWidth="1"/>
    <col min="1509" max="1509" width="12.42578125" style="4249" bestFit="1" customWidth="1"/>
    <col min="1510" max="1510" width="11.85546875" style="4249" bestFit="1" customWidth="1"/>
    <col min="1511" max="1512" width="10.28515625" style="4249" customWidth="1"/>
    <col min="1513" max="1514" width="12.42578125" style="4249" bestFit="1" customWidth="1"/>
    <col min="1515" max="1516" width="10.28515625" style="4249" customWidth="1"/>
    <col min="1517" max="1518" width="12.42578125" style="4249" bestFit="1" customWidth="1"/>
    <col min="1519" max="1520" width="10.28515625" style="4249" customWidth="1"/>
    <col min="1521" max="1522" width="12.42578125" style="4249" bestFit="1" customWidth="1"/>
    <col min="1523" max="1524" width="10.28515625" style="4249" customWidth="1"/>
    <col min="1525" max="1526" width="12.42578125" style="4249" bestFit="1" customWidth="1"/>
    <col min="1527" max="1528" width="10.28515625" style="4249" customWidth="1"/>
    <col min="1529" max="1530" width="12.42578125" style="4249" bestFit="1" customWidth="1"/>
    <col min="1531" max="1759" width="12.5703125" style="4249"/>
    <col min="1760" max="1760" width="0.85546875" style="4249" customWidth="1"/>
    <col min="1761" max="1761" width="9.42578125" style="4249" customWidth="1"/>
    <col min="1762" max="1762" width="14.7109375" style="4249" customWidth="1"/>
    <col min="1763" max="1764" width="10.28515625" style="4249" customWidth="1"/>
    <col min="1765" max="1765" width="12.42578125" style="4249" bestFit="1" customWidth="1"/>
    <col min="1766" max="1766" width="11.85546875" style="4249" bestFit="1" customWidth="1"/>
    <col min="1767" max="1768" width="10.28515625" style="4249" customWidth="1"/>
    <col min="1769" max="1770" width="12.42578125" style="4249" bestFit="1" customWidth="1"/>
    <col min="1771" max="1772" width="10.28515625" style="4249" customWidth="1"/>
    <col min="1773" max="1774" width="12.42578125" style="4249" bestFit="1" customWidth="1"/>
    <col min="1775" max="1776" width="10.28515625" style="4249" customWidth="1"/>
    <col min="1777" max="1778" width="12.42578125" style="4249" bestFit="1" customWidth="1"/>
    <col min="1779" max="1780" width="10.28515625" style="4249" customWidth="1"/>
    <col min="1781" max="1782" width="12.42578125" style="4249" bestFit="1" customWidth="1"/>
    <col min="1783" max="1784" width="10.28515625" style="4249" customWidth="1"/>
    <col min="1785" max="1786" width="12.42578125" style="4249" bestFit="1" customWidth="1"/>
    <col min="1787" max="2015" width="12.5703125" style="4249"/>
    <col min="2016" max="2016" width="0.85546875" style="4249" customWidth="1"/>
    <col min="2017" max="2017" width="9.42578125" style="4249" customWidth="1"/>
    <col min="2018" max="2018" width="14.7109375" style="4249" customWidth="1"/>
    <col min="2019" max="2020" width="10.28515625" style="4249" customWidth="1"/>
    <col min="2021" max="2021" width="12.42578125" style="4249" bestFit="1" customWidth="1"/>
    <col min="2022" max="2022" width="11.85546875" style="4249" bestFit="1" customWidth="1"/>
    <col min="2023" max="2024" width="10.28515625" style="4249" customWidth="1"/>
    <col min="2025" max="2026" width="12.42578125" style="4249" bestFit="1" customWidth="1"/>
    <col min="2027" max="2028" width="10.28515625" style="4249" customWidth="1"/>
    <col min="2029" max="2030" width="12.42578125" style="4249" bestFit="1" customWidth="1"/>
    <col min="2031" max="2032" width="10.28515625" style="4249" customWidth="1"/>
    <col min="2033" max="2034" width="12.42578125" style="4249" bestFit="1" customWidth="1"/>
    <col min="2035" max="2036" width="10.28515625" style="4249" customWidth="1"/>
    <col min="2037" max="2038" width="12.42578125" style="4249" bestFit="1" customWidth="1"/>
    <col min="2039" max="2040" width="10.28515625" style="4249" customWidth="1"/>
    <col min="2041" max="2042" width="12.42578125" style="4249" bestFit="1" customWidth="1"/>
    <col min="2043" max="2271" width="12.5703125" style="4249"/>
    <col min="2272" max="2272" width="0.85546875" style="4249" customWidth="1"/>
    <col min="2273" max="2273" width="9.42578125" style="4249" customWidth="1"/>
    <col min="2274" max="2274" width="14.7109375" style="4249" customWidth="1"/>
    <col min="2275" max="2276" width="10.28515625" style="4249" customWidth="1"/>
    <col min="2277" max="2277" width="12.42578125" style="4249" bestFit="1" customWidth="1"/>
    <col min="2278" max="2278" width="11.85546875" style="4249" bestFit="1" customWidth="1"/>
    <col min="2279" max="2280" width="10.28515625" style="4249" customWidth="1"/>
    <col min="2281" max="2282" width="12.42578125" style="4249" bestFit="1" customWidth="1"/>
    <col min="2283" max="2284" width="10.28515625" style="4249" customWidth="1"/>
    <col min="2285" max="2286" width="12.42578125" style="4249" bestFit="1" customWidth="1"/>
    <col min="2287" max="2288" width="10.28515625" style="4249" customWidth="1"/>
    <col min="2289" max="2290" width="12.42578125" style="4249" bestFit="1" customWidth="1"/>
    <col min="2291" max="2292" width="10.28515625" style="4249" customWidth="1"/>
    <col min="2293" max="2294" width="12.42578125" style="4249" bestFit="1" customWidth="1"/>
    <col min="2295" max="2296" width="10.28515625" style="4249" customWidth="1"/>
    <col min="2297" max="2298" width="12.42578125" style="4249" bestFit="1" customWidth="1"/>
    <col min="2299" max="2527" width="12.5703125" style="4249"/>
    <col min="2528" max="2528" width="0.85546875" style="4249" customWidth="1"/>
    <col min="2529" max="2529" width="9.42578125" style="4249" customWidth="1"/>
    <col min="2530" max="2530" width="14.7109375" style="4249" customWidth="1"/>
    <col min="2531" max="2532" width="10.28515625" style="4249" customWidth="1"/>
    <col min="2533" max="2533" width="12.42578125" style="4249" bestFit="1" customWidth="1"/>
    <col min="2534" max="2534" width="11.85546875" style="4249" bestFit="1" customWidth="1"/>
    <col min="2535" max="2536" width="10.28515625" style="4249" customWidth="1"/>
    <col min="2537" max="2538" width="12.42578125" style="4249" bestFit="1" customWidth="1"/>
    <col min="2539" max="2540" width="10.28515625" style="4249" customWidth="1"/>
    <col min="2541" max="2542" width="12.42578125" style="4249" bestFit="1" customWidth="1"/>
    <col min="2543" max="2544" width="10.28515625" style="4249" customWidth="1"/>
    <col min="2545" max="2546" width="12.42578125" style="4249" bestFit="1" customWidth="1"/>
    <col min="2547" max="2548" width="10.28515625" style="4249" customWidth="1"/>
    <col min="2549" max="2550" width="12.42578125" style="4249" bestFit="1" customWidth="1"/>
    <col min="2551" max="2552" width="10.28515625" style="4249" customWidth="1"/>
    <col min="2553" max="2554" width="12.42578125" style="4249" bestFit="1" customWidth="1"/>
    <col min="2555" max="2783" width="12.5703125" style="4249"/>
    <col min="2784" max="2784" width="0.85546875" style="4249" customWidth="1"/>
    <col min="2785" max="2785" width="9.42578125" style="4249" customWidth="1"/>
    <col min="2786" max="2786" width="14.7109375" style="4249" customWidth="1"/>
    <col min="2787" max="2788" width="10.28515625" style="4249" customWidth="1"/>
    <col min="2789" max="2789" width="12.42578125" style="4249" bestFit="1" customWidth="1"/>
    <col min="2790" max="2790" width="11.85546875" style="4249" bestFit="1" customWidth="1"/>
    <col min="2791" max="2792" width="10.28515625" style="4249" customWidth="1"/>
    <col min="2793" max="2794" width="12.42578125" style="4249" bestFit="1" customWidth="1"/>
    <col min="2795" max="2796" width="10.28515625" style="4249" customWidth="1"/>
    <col min="2797" max="2798" width="12.42578125" style="4249" bestFit="1" customWidth="1"/>
    <col min="2799" max="2800" width="10.28515625" style="4249" customWidth="1"/>
    <col min="2801" max="2802" width="12.42578125" style="4249" bestFit="1" customWidth="1"/>
    <col min="2803" max="2804" width="10.28515625" style="4249" customWidth="1"/>
    <col min="2805" max="2806" width="12.42578125" style="4249" bestFit="1" customWidth="1"/>
    <col min="2807" max="2808" width="10.28515625" style="4249" customWidth="1"/>
    <col min="2809" max="2810" width="12.42578125" style="4249" bestFit="1" customWidth="1"/>
    <col min="2811" max="3039" width="12.5703125" style="4249"/>
    <col min="3040" max="3040" width="0.85546875" style="4249" customWidth="1"/>
    <col min="3041" max="3041" width="9.42578125" style="4249" customWidth="1"/>
    <col min="3042" max="3042" width="14.7109375" style="4249" customWidth="1"/>
    <col min="3043" max="3044" width="10.28515625" style="4249" customWidth="1"/>
    <col min="3045" max="3045" width="12.42578125" style="4249" bestFit="1" customWidth="1"/>
    <col min="3046" max="3046" width="11.85546875" style="4249" bestFit="1" customWidth="1"/>
    <col min="3047" max="3048" width="10.28515625" style="4249" customWidth="1"/>
    <col min="3049" max="3050" width="12.42578125" style="4249" bestFit="1" customWidth="1"/>
    <col min="3051" max="3052" width="10.28515625" style="4249" customWidth="1"/>
    <col min="3053" max="3054" width="12.42578125" style="4249" bestFit="1" customWidth="1"/>
    <col min="3055" max="3056" width="10.28515625" style="4249" customWidth="1"/>
    <col min="3057" max="3058" width="12.42578125" style="4249" bestFit="1" customWidth="1"/>
    <col min="3059" max="3060" width="10.28515625" style="4249" customWidth="1"/>
    <col min="3061" max="3062" width="12.42578125" style="4249" bestFit="1" customWidth="1"/>
    <col min="3063" max="3064" width="10.28515625" style="4249" customWidth="1"/>
    <col min="3065" max="3066" width="12.42578125" style="4249" bestFit="1" customWidth="1"/>
    <col min="3067" max="3295" width="12.5703125" style="4249"/>
    <col min="3296" max="3296" width="0.85546875" style="4249" customWidth="1"/>
    <col min="3297" max="3297" width="9.42578125" style="4249" customWidth="1"/>
    <col min="3298" max="3298" width="14.7109375" style="4249" customWidth="1"/>
    <col min="3299" max="3300" width="10.28515625" style="4249" customWidth="1"/>
    <col min="3301" max="3301" width="12.42578125" style="4249" bestFit="1" customWidth="1"/>
    <col min="3302" max="3302" width="11.85546875" style="4249" bestFit="1" customWidth="1"/>
    <col min="3303" max="3304" width="10.28515625" style="4249" customWidth="1"/>
    <col min="3305" max="3306" width="12.42578125" style="4249" bestFit="1" customWidth="1"/>
    <col min="3307" max="3308" width="10.28515625" style="4249" customWidth="1"/>
    <col min="3309" max="3310" width="12.42578125" style="4249" bestFit="1" customWidth="1"/>
    <col min="3311" max="3312" width="10.28515625" style="4249" customWidth="1"/>
    <col min="3313" max="3314" width="12.42578125" style="4249" bestFit="1" customWidth="1"/>
    <col min="3315" max="3316" width="10.28515625" style="4249" customWidth="1"/>
    <col min="3317" max="3318" width="12.42578125" style="4249" bestFit="1" customWidth="1"/>
    <col min="3319" max="3320" width="10.28515625" style="4249" customWidth="1"/>
    <col min="3321" max="3322" width="12.42578125" style="4249" bestFit="1" customWidth="1"/>
    <col min="3323" max="3551" width="12.5703125" style="4249"/>
    <col min="3552" max="3552" width="0.85546875" style="4249" customWidth="1"/>
    <col min="3553" max="3553" width="9.42578125" style="4249" customWidth="1"/>
    <col min="3554" max="3554" width="14.7109375" style="4249" customWidth="1"/>
    <col min="3555" max="3556" width="10.28515625" style="4249" customWidth="1"/>
    <col min="3557" max="3557" width="12.42578125" style="4249" bestFit="1" customWidth="1"/>
    <col min="3558" max="3558" width="11.85546875" style="4249" bestFit="1" customWidth="1"/>
    <col min="3559" max="3560" width="10.28515625" style="4249" customWidth="1"/>
    <col min="3561" max="3562" width="12.42578125" style="4249" bestFit="1" customWidth="1"/>
    <col min="3563" max="3564" width="10.28515625" style="4249" customWidth="1"/>
    <col min="3565" max="3566" width="12.42578125" style="4249" bestFit="1" customWidth="1"/>
    <col min="3567" max="3568" width="10.28515625" style="4249" customWidth="1"/>
    <col min="3569" max="3570" width="12.42578125" style="4249" bestFit="1" customWidth="1"/>
    <col min="3571" max="3572" width="10.28515625" style="4249" customWidth="1"/>
    <col min="3573" max="3574" width="12.42578125" style="4249" bestFit="1" customWidth="1"/>
    <col min="3575" max="3576" width="10.28515625" style="4249" customWidth="1"/>
    <col min="3577" max="3578" width="12.42578125" style="4249" bestFit="1" customWidth="1"/>
    <col min="3579" max="3807" width="12.5703125" style="4249"/>
    <col min="3808" max="3808" width="0.85546875" style="4249" customWidth="1"/>
    <col min="3809" max="3809" width="9.42578125" style="4249" customWidth="1"/>
    <col min="3810" max="3810" width="14.7109375" style="4249" customWidth="1"/>
    <col min="3811" max="3812" width="10.28515625" style="4249" customWidth="1"/>
    <col min="3813" max="3813" width="12.42578125" style="4249" bestFit="1" customWidth="1"/>
    <col min="3814" max="3814" width="11.85546875" style="4249" bestFit="1" customWidth="1"/>
    <col min="3815" max="3816" width="10.28515625" style="4249" customWidth="1"/>
    <col min="3817" max="3818" width="12.42578125" style="4249" bestFit="1" customWidth="1"/>
    <col min="3819" max="3820" width="10.28515625" style="4249" customWidth="1"/>
    <col min="3821" max="3822" width="12.42578125" style="4249" bestFit="1" customWidth="1"/>
    <col min="3823" max="3824" width="10.28515625" style="4249" customWidth="1"/>
    <col min="3825" max="3826" width="12.42578125" style="4249" bestFit="1" customWidth="1"/>
    <col min="3827" max="3828" width="10.28515625" style="4249" customWidth="1"/>
    <col min="3829" max="3830" width="12.42578125" style="4249" bestFit="1" customWidth="1"/>
    <col min="3831" max="3832" width="10.28515625" style="4249" customWidth="1"/>
    <col min="3833" max="3834" width="12.42578125" style="4249" bestFit="1" customWidth="1"/>
    <col min="3835" max="4063" width="12.5703125" style="4249"/>
    <col min="4064" max="4064" width="0.85546875" style="4249" customWidth="1"/>
    <col min="4065" max="4065" width="9.42578125" style="4249" customWidth="1"/>
    <col min="4066" max="4066" width="14.7109375" style="4249" customWidth="1"/>
    <col min="4067" max="4068" width="10.28515625" style="4249" customWidth="1"/>
    <col min="4069" max="4069" width="12.42578125" style="4249" bestFit="1" customWidth="1"/>
    <col min="4070" max="4070" width="11.85546875" style="4249" bestFit="1" customWidth="1"/>
    <col min="4071" max="4072" width="10.28515625" style="4249" customWidth="1"/>
    <col min="4073" max="4074" width="12.42578125" style="4249" bestFit="1" customWidth="1"/>
    <col min="4075" max="4076" width="10.28515625" style="4249" customWidth="1"/>
    <col min="4077" max="4078" width="12.42578125" style="4249" bestFit="1" customWidth="1"/>
    <col min="4079" max="4080" width="10.28515625" style="4249" customWidth="1"/>
    <col min="4081" max="4082" width="12.42578125" style="4249" bestFit="1" customWidth="1"/>
    <col min="4083" max="4084" width="10.28515625" style="4249" customWidth="1"/>
    <col min="4085" max="4086" width="12.42578125" style="4249" bestFit="1" customWidth="1"/>
    <col min="4087" max="4088" width="10.28515625" style="4249" customWidth="1"/>
    <col min="4089" max="4090" width="12.42578125" style="4249" bestFit="1" customWidth="1"/>
    <col min="4091" max="4319" width="12.5703125" style="4249"/>
    <col min="4320" max="4320" width="0.85546875" style="4249" customWidth="1"/>
    <col min="4321" max="4321" width="9.42578125" style="4249" customWidth="1"/>
    <col min="4322" max="4322" width="14.7109375" style="4249" customWidth="1"/>
    <col min="4323" max="4324" width="10.28515625" style="4249" customWidth="1"/>
    <col min="4325" max="4325" width="12.42578125" style="4249" bestFit="1" customWidth="1"/>
    <col min="4326" max="4326" width="11.85546875" style="4249" bestFit="1" customWidth="1"/>
    <col min="4327" max="4328" width="10.28515625" style="4249" customWidth="1"/>
    <col min="4329" max="4330" width="12.42578125" style="4249" bestFit="1" customWidth="1"/>
    <col min="4331" max="4332" width="10.28515625" style="4249" customWidth="1"/>
    <col min="4333" max="4334" width="12.42578125" style="4249" bestFit="1" customWidth="1"/>
    <col min="4335" max="4336" width="10.28515625" style="4249" customWidth="1"/>
    <col min="4337" max="4338" width="12.42578125" style="4249" bestFit="1" customWidth="1"/>
    <col min="4339" max="4340" width="10.28515625" style="4249" customWidth="1"/>
    <col min="4341" max="4342" width="12.42578125" style="4249" bestFit="1" customWidth="1"/>
    <col min="4343" max="4344" width="10.28515625" style="4249" customWidth="1"/>
    <col min="4345" max="4346" width="12.42578125" style="4249" bestFit="1" customWidth="1"/>
    <col min="4347" max="4575" width="12.5703125" style="4249"/>
    <col min="4576" max="4576" width="0.85546875" style="4249" customWidth="1"/>
    <col min="4577" max="4577" width="9.42578125" style="4249" customWidth="1"/>
    <col min="4578" max="4578" width="14.7109375" style="4249" customWidth="1"/>
    <col min="4579" max="4580" width="10.28515625" style="4249" customWidth="1"/>
    <col min="4581" max="4581" width="12.42578125" style="4249" bestFit="1" customWidth="1"/>
    <col min="4582" max="4582" width="11.85546875" style="4249" bestFit="1" customWidth="1"/>
    <col min="4583" max="4584" width="10.28515625" style="4249" customWidth="1"/>
    <col min="4585" max="4586" width="12.42578125" style="4249" bestFit="1" customWidth="1"/>
    <col min="4587" max="4588" width="10.28515625" style="4249" customWidth="1"/>
    <col min="4589" max="4590" width="12.42578125" style="4249" bestFit="1" customWidth="1"/>
    <col min="4591" max="4592" width="10.28515625" style="4249" customWidth="1"/>
    <col min="4593" max="4594" width="12.42578125" style="4249" bestFit="1" customWidth="1"/>
    <col min="4595" max="4596" width="10.28515625" style="4249" customWidth="1"/>
    <col min="4597" max="4598" width="12.42578125" style="4249" bestFit="1" customWidth="1"/>
    <col min="4599" max="4600" width="10.28515625" style="4249" customWidth="1"/>
    <col min="4601" max="4602" width="12.42578125" style="4249" bestFit="1" customWidth="1"/>
    <col min="4603" max="4831" width="12.5703125" style="4249"/>
    <col min="4832" max="4832" width="0.85546875" style="4249" customWidth="1"/>
    <col min="4833" max="4833" width="9.42578125" style="4249" customWidth="1"/>
    <col min="4834" max="4834" width="14.7109375" style="4249" customWidth="1"/>
    <col min="4835" max="4836" width="10.28515625" style="4249" customWidth="1"/>
    <col min="4837" max="4837" width="12.42578125" style="4249" bestFit="1" customWidth="1"/>
    <col min="4838" max="4838" width="11.85546875" style="4249" bestFit="1" customWidth="1"/>
    <col min="4839" max="4840" width="10.28515625" style="4249" customWidth="1"/>
    <col min="4841" max="4842" width="12.42578125" style="4249" bestFit="1" customWidth="1"/>
    <col min="4843" max="4844" width="10.28515625" style="4249" customWidth="1"/>
    <col min="4845" max="4846" width="12.42578125" style="4249" bestFit="1" customWidth="1"/>
    <col min="4847" max="4848" width="10.28515625" style="4249" customWidth="1"/>
    <col min="4849" max="4850" width="12.42578125" style="4249" bestFit="1" customWidth="1"/>
    <col min="4851" max="4852" width="10.28515625" style="4249" customWidth="1"/>
    <col min="4853" max="4854" width="12.42578125" style="4249" bestFit="1" customWidth="1"/>
    <col min="4855" max="4856" width="10.28515625" style="4249" customWidth="1"/>
    <col min="4857" max="4858" width="12.42578125" style="4249" bestFit="1" customWidth="1"/>
    <col min="4859" max="5087" width="12.5703125" style="4249"/>
    <col min="5088" max="5088" width="0.85546875" style="4249" customWidth="1"/>
    <col min="5089" max="5089" width="9.42578125" style="4249" customWidth="1"/>
    <col min="5090" max="5090" width="14.7109375" style="4249" customWidth="1"/>
    <col min="5091" max="5092" width="10.28515625" style="4249" customWidth="1"/>
    <col min="5093" max="5093" width="12.42578125" style="4249" bestFit="1" customWidth="1"/>
    <col min="5094" max="5094" width="11.85546875" style="4249" bestFit="1" customWidth="1"/>
    <col min="5095" max="5096" width="10.28515625" style="4249" customWidth="1"/>
    <col min="5097" max="5098" width="12.42578125" style="4249" bestFit="1" customWidth="1"/>
    <col min="5099" max="5100" width="10.28515625" style="4249" customWidth="1"/>
    <col min="5101" max="5102" width="12.42578125" style="4249" bestFit="1" customWidth="1"/>
    <col min="5103" max="5104" width="10.28515625" style="4249" customWidth="1"/>
    <col min="5105" max="5106" width="12.42578125" style="4249" bestFit="1" customWidth="1"/>
    <col min="5107" max="5108" width="10.28515625" style="4249" customWidth="1"/>
    <col min="5109" max="5110" width="12.42578125" style="4249" bestFit="1" customWidth="1"/>
    <col min="5111" max="5112" width="10.28515625" style="4249" customWidth="1"/>
    <col min="5113" max="5114" width="12.42578125" style="4249" bestFit="1" customWidth="1"/>
    <col min="5115" max="5343" width="12.5703125" style="4249"/>
    <col min="5344" max="5344" width="0.85546875" style="4249" customWidth="1"/>
    <col min="5345" max="5345" width="9.42578125" style="4249" customWidth="1"/>
    <col min="5346" max="5346" width="14.7109375" style="4249" customWidth="1"/>
    <col min="5347" max="5348" width="10.28515625" style="4249" customWidth="1"/>
    <col min="5349" max="5349" width="12.42578125" style="4249" bestFit="1" customWidth="1"/>
    <col min="5350" max="5350" width="11.85546875" style="4249" bestFit="1" customWidth="1"/>
    <col min="5351" max="5352" width="10.28515625" style="4249" customWidth="1"/>
    <col min="5353" max="5354" width="12.42578125" style="4249" bestFit="1" customWidth="1"/>
    <col min="5355" max="5356" width="10.28515625" style="4249" customWidth="1"/>
    <col min="5357" max="5358" width="12.42578125" style="4249" bestFit="1" customWidth="1"/>
    <col min="5359" max="5360" width="10.28515625" style="4249" customWidth="1"/>
    <col min="5361" max="5362" width="12.42578125" style="4249" bestFit="1" customWidth="1"/>
    <col min="5363" max="5364" width="10.28515625" style="4249" customWidth="1"/>
    <col min="5365" max="5366" width="12.42578125" style="4249" bestFit="1" customWidth="1"/>
    <col min="5367" max="5368" width="10.28515625" style="4249" customWidth="1"/>
    <col min="5369" max="5370" width="12.42578125" style="4249" bestFit="1" customWidth="1"/>
    <col min="5371" max="5599" width="12.5703125" style="4249"/>
    <col min="5600" max="5600" width="0.85546875" style="4249" customWidth="1"/>
    <col min="5601" max="5601" width="9.42578125" style="4249" customWidth="1"/>
    <col min="5602" max="5602" width="14.7109375" style="4249" customWidth="1"/>
    <col min="5603" max="5604" width="10.28515625" style="4249" customWidth="1"/>
    <col min="5605" max="5605" width="12.42578125" style="4249" bestFit="1" customWidth="1"/>
    <col min="5606" max="5606" width="11.85546875" style="4249" bestFit="1" customWidth="1"/>
    <col min="5607" max="5608" width="10.28515625" style="4249" customWidth="1"/>
    <col min="5609" max="5610" width="12.42578125" style="4249" bestFit="1" customWidth="1"/>
    <col min="5611" max="5612" width="10.28515625" style="4249" customWidth="1"/>
    <col min="5613" max="5614" width="12.42578125" style="4249" bestFit="1" customWidth="1"/>
    <col min="5615" max="5616" width="10.28515625" style="4249" customWidth="1"/>
    <col min="5617" max="5618" width="12.42578125" style="4249" bestFit="1" customWidth="1"/>
    <col min="5619" max="5620" width="10.28515625" style="4249" customWidth="1"/>
    <col min="5621" max="5622" width="12.42578125" style="4249" bestFit="1" customWidth="1"/>
    <col min="5623" max="5624" width="10.28515625" style="4249" customWidth="1"/>
    <col min="5625" max="5626" width="12.42578125" style="4249" bestFit="1" customWidth="1"/>
    <col min="5627" max="5855" width="12.5703125" style="4249"/>
    <col min="5856" max="5856" width="0.85546875" style="4249" customWidth="1"/>
    <col min="5857" max="5857" width="9.42578125" style="4249" customWidth="1"/>
    <col min="5858" max="5858" width="14.7109375" style="4249" customWidth="1"/>
    <col min="5859" max="5860" width="10.28515625" style="4249" customWidth="1"/>
    <col min="5861" max="5861" width="12.42578125" style="4249" bestFit="1" customWidth="1"/>
    <col min="5862" max="5862" width="11.85546875" style="4249" bestFit="1" customWidth="1"/>
    <col min="5863" max="5864" width="10.28515625" style="4249" customWidth="1"/>
    <col min="5865" max="5866" width="12.42578125" style="4249" bestFit="1" customWidth="1"/>
    <col min="5867" max="5868" width="10.28515625" style="4249" customWidth="1"/>
    <col min="5869" max="5870" width="12.42578125" style="4249" bestFit="1" customWidth="1"/>
    <col min="5871" max="5872" width="10.28515625" style="4249" customWidth="1"/>
    <col min="5873" max="5874" width="12.42578125" style="4249" bestFit="1" customWidth="1"/>
    <col min="5875" max="5876" width="10.28515625" style="4249" customWidth="1"/>
    <col min="5877" max="5878" width="12.42578125" style="4249" bestFit="1" customWidth="1"/>
    <col min="5879" max="5880" width="10.28515625" style="4249" customWidth="1"/>
    <col min="5881" max="5882" width="12.42578125" style="4249" bestFit="1" customWidth="1"/>
    <col min="5883" max="6111" width="12.5703125" style="4249"/>
    <col min="6112" max="6112" width="0.85546875" style="4249" customWidth="1"/>
    <col min="6113" max="6113" width="9.42578125" style="4249" customWidth="1"/>
    <col min="6114" max="6114" width="14.7109375" style="4249" customWidth="1"/>
    <col min="6115" max="6116" width="10.28515625" style="4249" customWidth="1"/>
    <col min="6117" max="6117" width="12.42578125" style="4249" bestFit="1" customWidth="1"/>
    <col min="6118" max="6118" width="11.85546875" style="4249" bestFit="1" customWidth="1"/>
    <col min="6119" max="6120" width="10.28515625" style="4249" customWidth="1"/>
    <col min="6121" max="6122" width="12.42578125" style="4249" bestFit="1" customWidth="1"/>
    <col min="6123" max="6124" width="10.28515625" style="4249" customWidth="1"/>
    <col min="6125" max="6126" width="12.42578125" style="4249" bestFit="1" customWidth="1"/>
    <col min="6127" max="6128" width="10.28515625" style="4249" customWidth="1"/>
    <col min="6129" max="6130" width="12.42578125" style="4249" bestFit="1" customWidth="1"/>
    <col min="6131" max="6132" width="10.28515625" style="4249" customWidth="1"/>
    <col min="6133" max="6134" width="12.42578125" style="4249" bestFit="1" customWidth="1"/>
    <col min="6135" max="6136" width="10.28515625" style="4249" customWidth="1"/>
    <col min="6137" max="6138" width="12.42578125" style="4249" bestFit="1" customWidth="1"/>
    <col min="6139" max="6367" width="12.5703125" style="4249"/>
    <col min="6368" max="6368" width="0.85546875" style="4249" customWidth="1"/>
    <col min="6369" max="6369" width="9.42578125" style="4249" customWidth="1"/>
    <col min="6370" max="6370" width="14.7109375" style="4249" customWidth="1"/>
    <col min="6371" max="6372" width="10.28515625" style="4249" customWidth="1"/>
    <col min="6373" max="6373" width="12.42578125" style="4249" bestFit="1" customWidth="1"/>
    <col min="6374" max="6374" width="11.85546875" style="4249" bestFit="1" customWidth="1"/>
    <col min="6375" max="6376" width="10.28515625" style="4249" customWidth="1"/>
    <col min="6377" max="6378" width="12.42578125" style="4249" bestFit="1" customWidth="1"/>
    <col min="6379" max="6380" width="10.28515625" style="4249" customWidth="1"/>
    <col min="6381" max="6382" width="12.42578125" style="4249" bestFit="1" customWidth="1"/>
    <col min="6383" max="6384" width="10.28515625" style="4249" customWidth="1"/>
    <col min="6385" max="6386" width="12.42578125" style="4249" bestFit="1" customWidth="1"/>
    <col min="6387" max="6388" width="10.28515625" style="4249" customWidth="1"/>
    <col min="6389" max="6390" width="12.42578125" style="4249" bestFit="1" customWidth="1"/>
    <col min="6391" max="6392" width="10.28515625" style="4249" customWidth="1"/>
    <col min="6393" max="6394" width="12.42578125" style="4249" bestFit="1" customWidth="1"/>
    <col min="6395" max="6623" width="12.5703125" style="4249"/>
    <col min="6624" max="6624" width="0.85546875" style="4249" customWidth="1"/>
    <col min="6625" max="6625" width="9.42578125" style="4249" customWidth="1"/>
    <col min="6626" max="6626" width="14.7109375" style="4249" customWidth="1"/>
    <col min="6627" max="6628" width="10.28515625" style="4249" customWidth="1"/>
    <col min="6629" max="6629" width="12.42578125" style="4249" bestFit="1" customWidth="1"/>
    <col min="6630" max="6630" width="11.85546875" style="4249" bestFit="1" customWidth="1"/>
    <col min="6631" max="6632" width="10.28515625" style="4249" customWidth="1"/>
    <col min="6633" max="6634" width="12.42578125" style="4249" bestFit="1" customWidth="1"/>
    <col min="6635" max="6636" width="10.28515625" style="4249" customWidth="1"/>
    <col min="6637" max="6638" width="12.42578125" style="4249" bestFit="1" customWidth="1"/>
    <col min="6639" max="6640" width="10.28515625" style="4249" customWidth="1"/>
    <col min="6641" max="6642" width="12.42578125" style="4249" bestFit="1" customWidth="1"/>
    <col min="6643" max="6644" width="10.28515625" style="4249" customWidth="1"/>
    <col min="6645" max="6646" width="12.42578125" style="4249" bestFit="1" customWidth="1"/>
    <col min="6647" max="6648" width="10.28515625" style="4249" customWidth="1"/>
    <col min="6649" max="6650" width="12.42578125" style="4249" bestFit="1" customWidth="1"/>
    <col min="6651" max="6879" width="12.5703125" style="4249"/>
    <col min="6880" max="6880" width="0.85546875" style="4249" customWidth="1"/>
    <col min="6881" max="6881" width="9.42578125" style="4249" customWidth="1"/>
    <col min="6882" max="6882" width="14.7109375" style="4249" customWidth="1"/>
    <col min="6883" max="6884" width="10.28515625" style="4249" customWidth="1"/>
    <col min="6885" max="6885" width="12.42578125" style="4249" bestFit="1" customWidth="1"/>
    <col min="6886" max="6886" width="11.85546875" style="4249" bestFit="1" customWidth="1"/>
    <col min="6887" max="6888" width="10.28515625" style="4249" customWidth="1"/>
    <col min="6889" max="6890" width="12.42578125" style="4249" bestFit="1" customWidth="1"/>
    <col min="6891" max="6892" width="10.28515625" style="4249" customWidth="1"/>
    <col min="6893" max="6894" width="12.42578125" style="4249" bestFit="1" customWidth="1"/>
    <col min="6895" max="6896" width="10.28515625" style="4249" customWidth="1"/>
    <col min="6897" max="6898" width="12.42578125" style="4249" bestFit="1" customWidth="1"/>
    <col min="6899" max="6900" width="10.28515625" style="4249" customWidth="1"/>
    <col min="6901" max="6902" width="12.42578125" style="4249" bestFit="1" customWidth="1"/>
    <col min="6903" max="6904" width="10.28515625" style="4249" customWidth="1"/>
    <col min="6905" max="6906" width="12.42578125" style="4249" bestFit="1" customWidth="1"/>
    <col min="6907" max="7135" width="12.5703125" style="4249"/>
    <col min="7136" max="7136" width="0.85546875" style="4249" customWidth="1"/>
    <col min="7137" max="7137" width="9.42578125" style="4249" customWidth="1"/>
    <col min="7138" max="7138" width="14.7109375" style="4249" customWidth="1"/>
    <col min="7139" max="7140" width="10.28515625" style="4249" customWidth="1"/>
    <col min="7141" max="7141" width="12.42578125" style="4249" bestFit="1" customWidth="1"/>
    <col min="7142" max="7142" width="11.85546875" style="4249" bestFit="1" customWidth="1"/>
    <col min="7143" max="7144" width="10.28515625" style="4249" customWidth="1"/>
    <col min="7145" max="7146" width="12.42578125" style="4249" bestFit="1" customWidth="1"/>
    <col min="7147" max="7148" width="10.28515625" style="4249" customWidth="1"/>
    <col min="7149" max="7150" width="12.42578125" style="4249" bestFit="1" customWidth="1"/>
    <col min="7151" max="7152" width="10.28515625" style="4249" customWidth="1"/>
    <col min="7153" max="7154" width="12.42578125" style="4249" bestFit="1" customWidth="1"/>
    <col min="7155" max="7156" width="10.28515625" style="4249" customWidth="1"/>
    <col min="7157" max="7158" width="12.42578125" style="4249" bestFit="1" customWidth="1"/>
    <col min="7159" max="7160" width="10.28515625" style="4249" customWidth="1"/>
    <col min="7161" max="7162" width="12.42578125" style="4249" bestFit="1" customWidth="1"/>
    <col min="7163" max="7391" width="12.5703125" style="4249"/>
    <col min="7392" max="7392" width="0.85546875" style="4249" customWidth="1"/>
    <col min="7393" max="7393" width="9.42578125" style="4249" customWidth="1"/>
    <col min="7394" max="7394" width="14.7109375" style="4249" customWidth="1"/>
    <col min="7395" max="7396" width="10.28515625" style="4249" customWidth="1"/>
    <col min="7397" max="7397" width="12.42578125" style="4249" bestFit="1" customWidth="1"/>
    <col min="7398" max="7398" width="11.85546875" style="4249" bestFit="1" customWidth="1"/>
    <col min="7399" max="7400" width="10.28515625" style="4249" customWidth="1"/>
    <col min="7401" max="7402" width="12.42578125" style="4249" bestFit="1" customWidth="1"/>
    <col min="7403" max="7404" width="10.28515625" style="4249" customWidth="1"/>
    <col min="7405" max="7406" width="12.42578125" style="4249" bestFit="1" customWidth="1"/>
    <col min="7407" max="7408" width="10.28515625" style="4249" customWidth="1"/>
    <col min="7409" max="7410" width="12.42578125" style="4249" bestFit="1" customWidth="1"/>
    <col min="7411" max="7412" width="10.28515625" style="4249" customWidth="1"/>
    <col min="7413" max="7414" width="12.42578125" style="4249" bestFit="1" customWidth="1"/>
    <col min="7415" max="7416" width="10.28515625" style="4249" customWidth="1"/>
    <col min="7417" max="7418" width="12.42578125" style="4249" bestFit="1" customWidth="1"/>
    <col min="7419" max="7647" width="12.5703125" style="4249"/>
    <col min="7648" max="7648" width="0.85546875" style="4249" customWidth="1"/>
    <col min="7649" max="7649" width="9.42578125" style="4249" customWidth="1"/>
    <col min="7650" max="7650" width="14.7109375" style="4249" customWidth="1"/>
    <col min="7651" max="7652" width="10.28515625" style="4249" customWidth="1"/>
    <col min="7653" max="7653" width="12.42578125" style="4249" bestFit="1" customWidth="1"/>
    <col min="7654" max="7654" width="11.85546875" style="4249" bestFit="1" customWidth="1"/>
    <col min="7655" max="7656" width="10.28515625" style="4249" customWidth="1"/>
    <col min="7657" max="7658" width="12.42578125" style="4249" bestFit="1" customWidth="1"/>
    <col min="7659" max="7660" width="10.28515625" style="4249" customWidth="1"/>
    <col min="7661" max="7662" width="12.42578125" style="4249" bestFit="1" customWidth="1"/>
    <col min="7663" max="7664" width="10.28515625" style="4249" customWidth="1"/>
    <col min="7665" max="7666" width="12.42578125" style="4249" bestFit="1" customWidth="1"/>
    <col min="7667" max="7668" width="10.28515625" style="4249" customWidth="1"/>
    <col min="7669" max="7670" width="12.42578125" style="4249" bestFit="1" customWidth="1"/>
    <col min="7671" max="7672" width="10.28515625" style="4249" customWidth="1"/>
    <col min="7673" max="7674" width="12.42578125" style="4249" bestFit="1" customWidth="1"/>
    <col min="7675" max="7903" width="12.5703125" style="4249"/>
    <col min="7904" max="7904" width="0.85546875" style="4249" customWidth="1"/>
    <col min="7905" max="7905" width="9.42578125" style="4249" customWidth="1"/>
    <col min="7906" max="7906" width="14.7109375" style="4249" customWidth="1"/>
    <col min="7907" max="7908" width="10.28515625" style="4249" customWidth="1"/>
    <col min="7909" max="7909" width="12.42578125" style="4249" bestFit="1" customWidth="1"/>
    <col min="7910" max="7910" width="11.85546875" style="4249" bestFit="1" customWidth="1"/>
    <col min="7911" max="7912" width="10.28515625" style="4249" customWidth="1"/>
    <col min="7913" max="7914" width="12.42578125" style="4249" bestFit="1" customWidth="1"/>
    <col min="7915" max="7916" width="10.28515625" style="4249" customWidth="1"/>
    <col min="7917" max="7918" width="12.42578125" style="4249" bestFit="1" customWidth="1"/>
    <col min="7919" max="7920" width="10.28515625" style="4249" customWidth="1"/>
    <col min="7921" max="7922" width="12.42578125" style="4249" bestFit="1" customWidth="1"/>
    <col min="7923" max="7924" width="10.28515625" style="4249" customWidth="1"/>
    <col min="7925" max="7926" width="12.42578125" style="4249" bestFit="1" customWidth="1"/>
    <col min="7927" max="7928" width="10.28515625" style="4249" customWidth="1"/>
    <col min="7929" max="7930" width="12.42578125" style="4249" bestFit="1" customWidth="1"/>
    <col min="7931" max="8159" width="12.5703125" style="4249"/>
    <col min="8160" max="8160" width="0.85546875" style="4249" customWidth="1"/>
    <col min="8161" max="8161" width="9.42578125" style="4249" customWidth="1"/>
    <col min="8162" max="8162" width="14.7109375" style="4249" customWidth="1"/>
    <col min="8163" max="8164" width="10.28515625" style="4249" customWidth="1"/>
    <col min="8165" max="8165" width="12.42578125" style="4249" bestFit="1" customWidth="1"/>
    <col min="8166" max="8166" width="11.85546875" style="4249" bestFit="1" customWidth="1"/>
    <col min="8167" max="8168" width="10.28515625" style="4249" customWidth="1"/>
    <col min="8169" max="8170" width="12.42578125" style="4249" bestFit="1" customWidth="1"/>
    <col min="8171" max="8172" width="10.28515625" style="4249" customWidth="1"/>
    <col min="8173" max="8174" width="12.42578125" style="4249" bestFit="1" customWidth="1"/>
    <col min="8175" max="8176" width="10.28515625" style="4249" customWidth="1"/>
    <col min="8177" max="8178" width="12.42578125" style="4249" bestFit="1" customWidth="1"/>
    <col min="8179" max="8180" width="10.28515625" style="4249" customWidth="1"/>
    <col min="8181" max="8182" width="12.42578125" style="4249" bestFit="1" customWidth="1"/>
    <col min="8183" max="8184" width="10.28515625" style="4249" customWidth="1"/>
    <col min="8185" max="8186" width="12.42578125" style="4249" bestFit="1" customWidth="1"/>
    <col min="8187" max="8415" width="12.5703125" style="4249"/>
    <col min="8416" max="8416" width="0.85546875" style="4249" customWidth="1"/>
    <col min="8417" max="8417" width="9.42578125" style="4249" customWidth="1"/>
    <col min="8418" max="8418" width="14.7109375" style="4249" customWidth="1"/>
    <col min="8419" max="8420" width="10.28515625" style="4249" customWidth="1"/>
    <col min="8421" max="8421" width="12.42578125" style="4249" bestFit="1" customWidth="1"/>
    <col min="8422" max="8422" width="11.85546875" style="4249" bestFit="1" customWidth="1"/>
    <col min="8423" max="8424" width="10.28515625" style="4249" customWidth="1"/>
    <col min="8425" max="8426" width="12.42578125" style="4249" bestFit="1" customWidth="1"/>
    <col min="8427" max="8428" width="10.28515625" style="4249" customWidth="1"/>
    <col min="8429" max="8430" width="12.42578125" style="4249" bestFit="1" customWidth="1"/>
    <col min="8431" max="8432" width="10.28515625" style="4249" customWidth="1"/>
    <col min="8433" max="8434" width="12.42578125" style="4249" bestFit="1" customWidth="1"/>
    <col min="8435" max="8436" width="10.28515625" style="4249" customWidth="1"/>
    <col min="8437" max="8438" width="12.42578125" style="4249" bestFit="1" customWidth="1"/>
    <col min="8439" max="8440" width="10.28515625" style="4249" customWidth="1"/>
    <col min="8441" max="8442" width="12.42578125" style="4249" bestFit="1" customWidth="1"/>
    <col min="8443" max="8671" width="12.5703125" style="4249"/>
    <col min="8672" max="8672" width="0.85546875" style="4249" customWidth="1"/>
    <col min="8673" max="8673" width="9.42578125" style="4249" customWidth="1"/>
    <col min="8674" max="8674" width="14.7109375" style="4249" customWidth="1"/>
    <col min="8675" max="8676" width="10.28515625" style="4249" customWidth="1"/>
    <col min="8677" max="8677" width="12.42578125" style="4249" bestFit="1" customWidth="1"/>
    <col min="8678" max="8678" width="11.85546875" style="4249" bestFit="1" customWidth="1"/>
    <col min="8679" max="8680" width="10.28515625" style="4249" customWidth="1"/>
    <col min="8681" max="8682" width="12.42578125" style="4249" bestFit="1" customWidth="1"/>
    <col min="8683" max="8684" width="10.28515625" style="4249" customWidth="1"/>
    <col min="8685" max="8686" width="12.42578125" style="4249" bestFit="1" customWidth="1"/>
    <col min="8687" max="8688" width="10.28515625" style="4249" customWidth="1"/>
    <col min="8689" max="8690" width="12.42578125" style="4249" bestFit="1" customWidth="1"/>
    <col min="8691" max="8692" width="10.28515625" style="4249" customWidth="1"/>
    <col min="8693" max="8694" width="12.42578125" style="4249" bestFit="1" customWidth="1"/>
    <col min="8695" max="8696" width="10.28515625" style="4249" customWidth="1"/>
    <col min="8697" max="8698" width="12.42578125" style="4249" bestFit="1" customWidth="1"/>
    <col min="8699" max="8927" width="12.5703125" style="4249"/>
    <col min="8928" max="8928" width="0.85546875" style="4249" customWidth="1"/>
    <col min="8929" max="8929" width="9.42578125" style="4249" customWidth="1"/>
    <col min="8930" max="8930" width="14.7109375" style="4249" customWidth="1"/>
    <col min="8931" max="8932" width="10.28515625" style="4249" customWidth="1"/>
    <col min="8933" max="8933" width="12.42578125" style="4249" bestFit="1" customWidth="1"/>
    <col min="8934" max="8934" width="11.85546875" style="4249" bestFit="1" customWidth="1"/>
    <col min="8935" max="8936" width="10.28515625" style="4249" customWidth="1"/>
    <col min="8937" max="8938" width="12.42578125" style="4249" bestFit="1" customWidth="1"/>
    <col min="8939" max="8940" width="10.28515625" style="4249" customWidth="1"/>
    <col min="8941" max="8942" width="12.42578125" style="4249" bestFit="1" customWidth="1"/>
    <col min="8943" max="8944" width="10.28515625" style="4249" customWidth="1"/>
    <col min="8945" max="8946" width="12.42578125" style="4249" bestFit="1" customWidth="1"/>
    <col min="8947" max="8948" width="10.28515625" style="4249" customWidth="1"/>
    <col min="8949" max="8950" width="12.42578125" style="4249" bestFit="1" customWidth="1"/>
    <col min="8951" max="8952" width="10.28515625" style="4249" customWidth="1"/>
    <col min="8953" max="8954" width="12.42578125" style="4249" bestFit="1" customWidth="1"/>
    <col min="8955" max="9183" width="12.5703125" style="4249"/>
    <col min="9184" max="9184" width="0.85546875" style="4249" customWidth="1"/>
    <col min="9185" max="9185" width="9.42578125" style="4249" customWidth="1"/>
    <col min="9186" max="9186" width="14.7109375" style="4249" customWidth="1"/>
    <col min="9187" max="9188" width="10.28515625" style="4249" customWidth="1"/>
    <col min="9189" max="9189" width="12.42578125" style="4249" bestFit="1" customWidth="1"/>
    <col min="9190" max="9190" width="11.85546875" style="4249" bestFit="1" customWidth="1"/>
    <col min="9191" max="9192" width="10.28515625" style="4249" customWidth="1"/>
    <col min="9193" max="9194" width="12.42578125" style="4249" bestFit="1" customWidth="1"/>
    <col min="9195" max="9196" width="10.28515625" style="4249" customWidth="1"/>
    <col min="9197" max="9198" width="12.42578125" style="4249" bestFit="1" customWidth="1"/>
    <col min="9199" max="9200" width="10.28515625" style="4249" customWidth="1"/>
    <col min="9201" max="9202" width="12.42578125" style="4249" bestFit="1" customWidth="1"/>
    <col min="9203" max="9204" width="10.28515625" style="4249" customWidth="1"/>
    <col min="9205" max="9206" width="12.42578125" style="4249" bestFit="1" customWidth="1"/>
    <col min="9207" max="9208" width="10.28515625" style="4249" customWidth="1"/>
    <col min="9209" max="9210" width="12.42578125" style="4249" bestFit="1" customWidth="1"/>
    <col min="9211" max="9439" width="12.5703125" style="4249"/>
    <col min="9440" max="9440" width="0.85546875" style="4249" customWidth="1"/>
    <col min="9441" max="9441" width="9.42578125" style="4249" customWidth="1"/>
    <col min="9442" max="9442" width="14.7109375" style="4249" customWidth="1"/>
    <col min="9443" max="9444" width="10.28515625" style="4249" customWidth="1"/>
    <col min="9445" max="9445" width="12.42578125" style="4249" bestFit="1" customWidth="1"/>
    <col min="9446" max="9446" width="11.85546875" style="4249" bestFit="1" customWidth="1"/>
    <col min="9447" max="9448" width="10.28515625" style="4249" customWidth="1"/>
    <col min="9449" max="9450" width="12.42578125" style="4249" bestFit="1" customWidth="1"/>
    <col min="9451" max="9452" width="10.28515625" style="4249" customWidth="1"/>
    <col min="9453" max="9454" width="12.42578125" style="4249" bestFit="1" customWidth="1"/>
    <col min="9455" max="9456" width="10.28515625" style="4249" customWidth="1"/>
    <col min="9457" max="9458" width="12.42578125" style="4249" bestFit="1" customWidth="1"/>
    <col min="9459" max="9460" width="10.28515625" style="4249" customWidth="1"/>
    <col min="9461" max="9462" width="12.42578125" style="4249" bestFit="1" customWidth="1"/>
    <col min="9463" max="9464" width="10.28515625" style="4249" customWidth="1"/>
    <col min="9465" max="9466" width="12.42578125" style="4249" bestFit="1" customWidth="1"/>
    <col min="9467" max="9695" width="12.5703125" style="4249"/>
    <col min="9696" max="9696" width="0.85546875" style="4249" customWidth="1"/>
    <col min="9697" max="9697" width="9.42578125" style="4249" customWidth="1"/>
    <col min="9698" max="9698" width="14.7109375" style="4249" customWidth="1"/>
    <col min="9699" max="9700" width="10.28515625" style="4249" customWidth="1"/>
    <col min="9701" max="9701" width="12.42578125" style="4249" bestFit="1" customWidth="1"/>
    <col min="9702" max="9702" width="11.85546875" style="4249" bestFit="1" customWidth="1"/>
    <col min="9703" max="9704" width="10.28515625" style="4249" customWidth="1"/>
    <col min="9705" max="9706" width="12.42578125" style="4249" bestFit="1" customWidth="1"/>
    <col min="9707" max="9708" width="10.28515625" style="4249" customWidth="1"/>
    <col min="9709" max="9710" width="12.42578125" style="4249" bestFit="1" customWidth="1"/>
    <col min="9711" max="9712" width="10.28515625" style="4249" customWidth="1"/>
    <col min="9713" max="9714" width="12.42578125" style="4249" bestFit="1" customWidth="1"/>
    <col min="9715" max="9716" width="10.28515625" style="4249" customWidth="1"/>
    <col min="9717" max="9718" width="12.42578125" style="4249" bestFit="1" customWidth="1"/>
    <col min="9719" max="9720" width="10.28515625" style="4249" customWidth="1"/>
    <col min="9721" max="9722" width="12.42578125" style="4249" bestFit="1" customWidth="1"/>
    <col min="9723" max="9951" width="12.5703125" style="4249"/>
    <col min="9952" max="9952" width="0.85546875" style="4249" customWidth="1"/>
    <col min="9953" max="9953" width="9.42578125" style="4249" customWidth="1"/>
    <col min="9954" max="9954" width="14.7109375" style="4249" customWidth="1"/>
    <col min="9955" max="9956" width="10.28515625" style="4249" customWidth="1"/>
    <col min="9957" max="9957" width="12.42578125" style="4249" bestFit="1" customWidth="1"/>
    <col min="9958" max="9958" width="11.85546875" style="4249" bestFit="1" customWidth="1"/>
    <col min="9959" max="9960" width="10.28515625" style="4249" customWidth="1"/>
    <col min="9961" max="9962" width="12.42578125" style="4249" bestFit="1" customWidth="1"/>
    <col min="9963" max="9964" width="10.28515625" style="4249" customWidth="1"/>
    <col min="9965" max="9966" width="12.42578125" style="4249" bestFit="1" customWidth="1"/>
    <col min="9967" max="9968" width="10.28515625" style="4249" customWidth="1"/>
    <col min="9969" max="9970" width="12.42578125" style="4249" bestFit="1" customWidth="1"/>
    <col min="9971" max="9972" width="10.28515625" style="4249" customWidth="1"/>
    <col min="9973" max="9974" width="12.42578125" style="4249" bestFit="1" customWidth="1"/>
    <col min="9975" max="9976" width="10.28515625" style="4249" customWidth="1"/>
    <col min="9977" max="9978" width="12.42578125" style="4249" bestFit="1" customWidth="1"/>
    <col min="9979" max="10207" width="12.5703125" style="4249"/>
    <col min="10208" max="10208" width="0.85546875" style="4249" customWidth="1"/>
    <col min="10209" max="10209" width="9.42578125" style="4249" customWidth="1"/>
    <col min="10210" max="10210" width="14.7109375" style="4249" customWidth="1"/>
    <col min="10211" max="10212" width="10.28515625" style="4249" customWidth="1"/>
    <col min="10213" max="10213" width="12.42578125" style="4249" bestFit="1" customWidth="1"/>
    <col min="10214" max="10214" width="11.85546875" style="4249" bestFit="1" customWidth="1"/>
    <col min="10215" max="10216" width="10.28515625" style="4249" customWidth="1"/>
    <col min="10217" max="10218" width="12.42578125" style="4249" bestFit="1" customWidth="1"/>
    <col min="10219" max="10220" width="10.28515625" style="4249" customWidth="1"/>
    <col min="10221" max="10222" width="12.42578125" style="4249" bestFit="1" customWidth="1"/>
    <col min="10223" max="10224" width="10.28515625" style="4249" customWidth="1"/>
    <col min="10225" max="10226" width="12.42578125" style="4249" bestFit="1" customWidth="1"/>
    <col min="10227" max="10228" width="10.28515625" style="4249" customWidth="1"/>
    <col min="10229" max="10230" width="12.42578125" style="4249" bestFit="1" customWidth="1"/>
    <col min="10231" max="10232" width="10.28515625" style="4249" customWidth="1"/>
    <col min="10233" max="10234" width="12.42578125" style="4249" bestFit="1" customWidth="1"/>
    <col min="10235" max="10463" width="12.5703125" style="4249"/>
    <col min="10464" max="10464" width="0.85546875" style="4249" customWidth="1"/>
    <col min="10465" max="10465" width="9.42578125" style="4249" customWidth="1"/>
    <col min="10466" max="10466" width="14.7109375" style="4249" customWidth="1"/>
    <col min="10467" max="10468" width="10.28515625" style="4249" customWidth="1"/>
    <col min="10469" max="10469" width="12.42578125" style="4249" bestFit="1" customWidth="1"/>
    <col min="10470" max="10470" width="11.85546875" style="4249" bestFit="1" customWidth="1"/>
    <col min="10471" max="10472" width="10.28515625" style="4249" customWidth="1"/>
    <col min="10473" max="10474" width="12.42578125" style="4249" bestFit="1" customWidth="1"/>
    <col min="10475" max="10476" width="10.28515625" style="4249" customWidth="1"/>
    <col min="10477" max="10478" width="12.42578125" style="4249" bestFit="1" customWidth="1"/>
    <col min="10479" max="10480" width="10.28515625" style="4249" customWidth="1"/>
    <col min="10481" max="10482" width="12.42578125" style="4249" bestFit="1" customWidth="1"/>
    <col min="10483" max="10484" width="10.28515625" style="4249" customWidth="1"/>
    <col min="10485" max="10486" width="12.42578125" style="4249" bestFit="1" customWidth="1"/>
    <col min="10487" max="10488" width="10.28515625" style="4249" customWidth="1"/>
    <col min="10489" max="10490" width="12.42578125" style="4249" bestFit="1" customWidth="1"/>
    <col min="10491" max="10719" width="12.5703125" style="4249"/>
    <col min="10720" max="10720" width="0.85546875" style="4249" customWidth="1"/>
    <col min="10721" max="10721" width="9.42578125" style="4249" customWidth="1"/>
    <col min="10722" max="10722" width="14.7109375" style="4249" customWidth="1"/>
    <col min="10723" max="10724" width="10.28515625" style="4249" customWidth="1"/>
    <col min="10725" max="10725" width="12.42578125" style="4249" bestFit="1" customWidth="1"/>
    <col min="10726" max="10726" width="11.85546875" style="4249" bestFit="1" customWidth="1"/>
    <col min="10727" max="10728" width="10.28515625" style="4249" customWidth="1"/>
    <col min="10729" max="10730" width="12.42578125" style="4249" bestFit="1" customWidth="1"/>
    <col min="10731" max="10732" width="10.28515625" style="4249" customWidth="1"/>
    <col min="10733" max="10734" width="12.42578125" style="4249" bestFit="1" customWidth="1"/>
    <col min="10735" max="10736" width="10.28515625" style="4249" customWidth="1"/>
    <col min="10737" max="10738" width="12.42578125" style="4249" bestFit="1" customWidth="1"/>
    <col min="10739" max="10740" width="10.28515625" style="4249" customWidth="1"/>
    <col min="10741" max="10742" width="12.42578125" style="4249" bestFit="1" customWidth="1"/>
    <col min="10743" max="10744" width="10.28515625" style="4249" customWidth="1"/>
    <col min="10745" max="10746" width="12.42578125" style="4249" bestFit="1" customWidth="1"/>
    <col min="10747" max="10975" width="12.5703125" style="4249"/>
    <col min="10976" max="10976" width="0.85546875" style="4249" customWidth="1"/>
    <col min="10977" max="10977" width="9.42578125" style="4249" customWidth="1"/>
    <col min="10978" max="10978" width="14.7109375" style="4249" customWidth="1"/>
    <col min="10979" max="10980" width="10.28515625" style="4249" customWidth="1"/>
    <col min="10981" max="10981" width="12.42578125" style="4249" bestFit="1" customWidth="1"/>
    <col min="10982" max="10982" width="11.85546875" style="4249" bestFit="1" customWidth="1"/>
    <col min="10983" max="10984" width="10.28515625" style="4249" customWidth="1"/>
    <col min="10985" max="10986" width="12.42578125" style="4249" bestFit="1" customWidth="1"/>
    <col min="10987" max="10988" width="10.28515625" style="4249" customWidth="1"/>
    <col min="10989" max="10990" width="12.42578125" style="4249" bestFit="1" customWidth="1"/>
    <col min="10991" max="10992" width="10.28515625" style="4249" customWidth="1"/>
    <col min="10993" max="10994" width="12.42578125" style="4249" bestFit="1" customWidth="1"/>
    <col min="10995" max="10996" width="10.28515625" style="4249" customWidth="1"/>
    <col min="10997" max="10998" width="12.42578125" style="4249" bestFit="1" customWidth="1"/>
    <col min="10999" max="11000" width="10.28515625" style="4249" customWidth="1"/>
    <col min="11001" max="11002" width="12.42578125" style="4249" bestFit="1" customWidth="1"/>
    <col min="11003" max="11231" width="12.5703125" style="4249"/>
    <col min="11232" max="11232" width="0.85546875" style="4249" customWidth="1"/>
    <col min="11233" max="11233" width="9.42578125" style="4249" customWidth="1"/>
    <col min="11234" max="11234" width="14.7109375" style="4249" customWidth="1"/>
    <col min="11235" max="11236" width="10.28515625" style="4249" customWidth="1"/>
    <col min="11237" max="11237" width="12.42578125" style="4249" bestFit="1" customWidth="1"/>
    <col min="11238" max="11238" width="11.85546875" style="4249" bestFit="1" customWidth="1"/>
    <col min="11239" max="11240" width="10.28515625" style="4249" customWidth="1"/>
    <col min="11241" max="11242" width="12.42578125" style="4249" bestFit="1" customWidth="1"/>
    <col min="11243" max="11244" width="10.28515625" style="4249" customWidth="1"/>
    <col min="11245" max="11246" width="12.42578125" style="4249" bestFit="1" customWidth="1"/>
    <col min="11247" max="11248" width="10.28515625" style="4249" customWidth="1"/>
    <col min="11249" max="11250" width="12.42578125" style="4249" bestFit="1" customWidth="1"/>
    <col min="11251" max="11252" width="10.28515625" style="4249" customWidth="1"/>
    <col min="11253" max="11254" width="12.42578125" style="4249" bestFit="1" customWidth="1"/>
    <col min="11255" max="11256" width="10.28515625" style="4249" customWidth="1"/>
    <col min="11257" max="11258" width="12.42578125" style="4249" bestFit="1" customWidth="1"/>
    <col min="11259" max="11487" width="12.5703125" style="4249"/>
    <col min="11488" max="11488" width="0.85546875" style="4249" customWidth="1"/>
    <col min="11489" max="11489" width="9.42578125" style="4249" customWidth="1"/>
    <col min="11490" max="11490" width="14.7109375" style="4249" customWidth="1"/>
    <col min="11491" max="11492" width="10.28515625" style="4249" customWidth="1"/>
    <col min="11493" max="11493" width="12.42578125" style="4249" bestFit="1" customWidth="1"/>
    <col min="11494" max="11494" width="11.85546875" style="4249" bestFit="1" customWidth="1"/>
    <col min="11495" max="11496" width="10.28515625" style="4249" customWidth="1"/>
    <col min="11497" max="11498" width="12.42578125" style="4249" bestFit="1" customWidth="1"/>
    <col min="11499" max="11500" width="10.28515625" style="4249" customWidth="1"/>
    <col min="11501" max="11502" width="12.42578125" style="4249" bestFit="1" customWidth="1"/>
    <col min="11503" max="11504" width="10.28515625" style="4249" customWidth="1"/>
    <col min="11505" max="11506" width="12.42578125" style="4249" bestFit="1" customWidth="1"/>
    <col min="11507" max="11508" width="10.28515625" style="4249" customWidth="1"/>
    <col min="11509" max="11510" width="12.42578125" style="4249" bestFit="1" customWidth="1"/>
    <col min="11511" max="11512" width="10.28515625" style="4249" customWidth="1"/>
    <col min="11513" max="11514" width="12.42578125" style="4249" bestFit="1" customWidth="1"/>
    <col min="11515" max="11743" width="12.5703125" style="4249"/>
    <col min="11744" max="11744" width="0.85546875" style="4249" customWidth="1"/>
    <col min="11745" max="11745" width="9.42578125" style="4249" customWidth="1"/>
    <col min="11746" max="11746" width="14.7109375" style="4249" customWidth="1"/>
    <col min="11747" max="11748" width="10.28515625" style="4249" customWidth="1"/>
    <col min="11749" max="11749" width="12.42578125" style="4249" bestFit="1" customWidth="1"/>
    <col min="11750" max="11750" width="11.85546875" style="4249" bestFit="1" customWidth="1"/>
    <col min="11751" max="11752" width="10.28515625" style="4249" customWidth="1"/>
    <col min="11753" max="11754" width="12.42578125" style="4249" bestFit="1" customWidth="1"/>
    <col min="11755" max="11756" width="10.28515625" style="4249" customWidth="1"/>
    <col min="11757" max="11758" width="12.42578125" style="4249" bestFit="1" customWidth="1"/>
    <col min="11759" max="11760" width="10.28515625" style="4249" customWidth="1"/>
    <col min="11761" max="11762" width="12.42578125" style="4249" bestFit="1" customWidth="1"/>
    <col min="11763" max="11764" width="10.28515625" style="4249" customWidth="1"/>
    <col min="11765" max="11766" width="12.42578125" style="4249" bestFit="1" customWidth="1"/>
    <col min="11767" max="11768" width="10.28515625" style="4249" customWidth="1"/>
    <col min="11769" max="11770" width="12.42578125" style="4249" bestFit="1" customWidth="1"/>
    <col min="11771" max="11999" width="12.5703125" style="4249"/>
    <col min="12000" max="12000" width="0.85546875" style="4249" customWidth="1"/>
    <col min="12001" max="12001" width="9.42578125" style="4249" customWidth="1"/>
    <col min="12002" max="12002" width="14.7109375" style="4249" customWidth="1"/>
    <col min="12003" max="12004" width="10.28515625" style="4249" customWidth="1"/>
    <col min="12005" max="12005" width="12.42578125" style="4249" bestFit="1" customWidth="1"/>
    <col min="12006" max="12006" width="11.85546875" style="4249" bestFit="1" customWidth="1"/>
    <col min="12007" max="12008" width="10.28515625" style="4249" customWidth="1"/>
    <col min="12009" max="12010" width="12.42578125" style="4249" bestFit="1" customWidth="1"/>
    <col min="12011" max="12012" width="10.28515625" style="4249" customWidth="1"/>
    <col min="12013" max="12014" width="12.42578125" style="4249" bestFit="1" customWidth="1"/>
    <col min="12015" max="12016" width="10.28515625" style="4249" customWidth="1"/>
    <col min="12017" max="12018" width="12.42578125" style="4249" bestFit="1" customWidth="1"/>
    <col min="12019" max="12020" width="10.28515625" style="4249" customWidth="1"/>
    <col min="12021" max="12022" width="12.42578125" style="4249" bestFit="1" customWidth="1"/>
    <col min="12023" max="12024" width="10.28515625" style="4249" customWidth="1"/>
    <col min="12025" max="12026" width="12.42578125" style="4249" bestFit="1" customWidth="1"/>
    <col min="12027" max="12255" width="12.5703125" style="4249"/>
    <col min="12256" max="12256" width="0.85546875" style="4249" customWidth="1"/>
    <col min="12257" max="12257" width="9.42578125" style="4249" customWidth="1"/>
    <col min="12258" max="12258" width="14.7109375" style="4249" customWidth="1"/>
    <col min="12259" max="12260" width="10.28515625" style="4249" customWidth="1"/>
    <col min="12261" max="12261" width="12.42578125" style="4249" bestFit="1" customWidth="1"/>
    <col min="12262" max="12262" width="11.85546875" style="4249" bestFit="1" customWidth="1"/>
    <col min="12263" max="12264" width="10.28515625" style="4249" customWidth="1"/>
    <col min="12265" max="12266" width="12.42578125" style="4249" bestFit="1" customWidth="1"/>
    <col min="12267" max="12268" width="10.28515625" style="4249" customWidth="1"/>
    <col min="12269" max="12270" width="12.42578125" style="4249" bestFit="1" customWidth="1"/>
    <col min="12271" max="12272" width="10.28515625" style="4249" customWidth="1"/>
    <col min="12273" max="12274" width="12.42578125" style="4249" bestFit="1" customWidth="1"/>
    <col min="12275" max="12276" width="10.28515625" style="4249" customWidth="1"/>
    <col min="12277" max="12278" width="12.42578125" style="4249" bestFit="1" customWidth="1"/>
    <col min="12279" max="12280" width="10.28515625" style="4249" customWidth="1"/>
    <col min="12281" max="12282" width="12.42578125" style="4249" bestFit="1" customWidth="1"/>
    <col min="12283" max="12511" width="12.5703125" style="4249"/>
    <col min="12512" max="12512" width="0.85546875" style="4249" customWidth="1"/>
    <col min="12513" max="12513" width="9.42578125" style="4249" customWidth="1"/>
    <col min="12514" max="12514" width="14.7109375" style="4249" customWidth="1"/>
    <col min="12515" max="12516" width="10.28515625" style="4249" customWidth="1"/>
    <col min="12517" max="12517" width="12.42578125" style="4249" bestFit="1" customWidth="1"/>
    <col min="12518" max="12518" width="11.85546875" style="4249" bestFit="1" customWidth="1"/>
    <col min="12519" max="12520" width="10.28515625" style="4249" customWidth="1"/>
    <col min="12521" max="12522" width="12.42578125" style="4249" bestFit="1" customWidth="1"/>
    <col min="12523" max="12524" width="10.28515625" style="4249" customWidth="1"/>
    <col min="12525" max="12526" width="12.42578125" style="4249" bestFit="1" customWidth="1"/>
    <col min="12527" max="12528" width="10.28515625" style="4249" customWidth="1"/>
    <col min="12529" max="12530" width="12.42578125" style="4249" bestFit="1" customWidth="1"/>
    <col min="12531" max="12532" width="10.28515625" style="4249" customWidth="1"/>
    <col min="12533" max="12534" width="12.42578125" style="4249" bestFit="1" customWidth="1"/>
    <col min="12535" max="12536" width="10.28515625" style="4249" customWidth="1"/>
    <col min="12537" max="12538" width="12.42578125" style="4249" bestFit="1" customWidth="1"/>
    <col min="12539" max="12767" width="12.5703125" style="4249"/>
    <col min="12768" max="12768" width="0.85546875" style="4249" customWidth="1"/>
    <col min="12769" max="12769" width="9.42578125" style="4249" customWidth="1"/>
    <col min="12770" max="12770" width="14.7109375" style="4249" customWidth="1"/>
    <col min="12771" max="12772" width="10.28515625" style="4249" customWidth="1"/>
    <col min="12773" max="12773" width="12.42578125" style="4249" bestFit="1" customWidth="1"/>
    <col min="12774" max="12774" width="11.85546875" style="4249" bestFit="1" customWidth="1"/>
    <col min="12775" max="12776" width="10.28515625" style="4249" customWidth="1"/>
    <col min="12777" max="12778" width="12.42578125" style="4249" bestFit="1" customWidth="1"/>
    <col min="12779" max="12780" width="10.28515625" style="4249" customWidth="1"/>
    <col min="12781" max="12782" width="12.42578125" style="4249" bestFit="1" customWidth="1"/>
    <col min="12783" max="12784" width="10.28515625" style="4249" customWidth="1"/>
    <col min="12785" max="12786" width="12.42578125" style="4249" bestFit="1" customWidth="1"/>
    <col min="12787" max="12788" width="10.28515625" style="4249" customWidth="1"/>
    <col min="12789" max="12790" width="12.42578125" style="4249" bestFit="1" customWidth="1"/>
    <col min="12791" max="12792" width="10.28515625" style="4249" customWidth="1"/>
    <col min="12793" max="12794" width="12.42578125" style="4249" bestFit="1" customWidth="1"/>
    <col min="12795" max="13023" width="12.5703125" style="4249"/>
    <col min="13024" max="13024" width="0.85546875" style="4249" customWidth="1"/>
    <col min="13025" max="13025" width="9.42578125" style="4249" customWidth="1"/>
    <col min="13026" max="13026" width="14.7109375" style="4249" customWidth="1"/>
    <col min="13027" max="13028" width="10.28515625" style="4249" customWidth="1"/>
    <col min="13029" max="13029" width="12.42578125" style="4249" bestFit="1" customWidth="1"/>
    <col min="13030" max="13030" width="11.85546875" style="4249" bestFit="1" customWidth="1"/>
    <col min="13031" max="13032" width="10.28515625" style="4249" customWidth="1"/>
    <col min="13033" max="13034" width="12.42578125" style="4249" bestFit="1" customWidth="1"/>
    <col min="13035" max="13036" width="10.28515625" style="4249" customWidth="1"/>
    <col min="13037" max="13038" width="12.42578125" style="4249" bestFit="1" customWidth="1"/>
    <col min="13039" max="13040" width="10.28515625" style="4249" customWidth="1"/>
    <col min="13041" max="13042" width="12.42578125" style="4249" bestFit="1" customWidth="1"/>
    <col min="13043" max="13044" width="10.28515625" style="4249" customWidth="1"/>
    <col min="13045" max="13046" width="12.42578125" style="4249" bestFit="1" customWidth="1"/>
    <col min="13047" max="13048" width="10.28515625" style="4249" customWidth="1"/>
    <col min="13049" max="13050" width="12.42578125" style="4249" bestFit="1" customWidth="1"/>
    <col min="13051" max="13279" width="12.5703125" style="4249"/>
    <col min="13280" max="13280" width="0.85546875" style="4249" customWidth="1"/>
    <col min="13281" max="13281" width="9.42578125" style="4249" customWidth="1"/>
    <col min="13282" max="13282" width="14.7109375" style="4249" customWidth="1"/>
    <col min="13283" max="13284" width="10.28515625" style="4249" customWidth="1"/>
    <col min="13285" max="13285" width="12.42578125" style="4249" bestFit="1" customWidth="1"/>
    <col min="13286" max="13286" width="11.85546875" style="4249" bestFit="1" customWidth="1"/>
    <col min="13287" max="13288" width="10.28515625" style="4249" customWidth="1"/>
    <col min="13289" max="13290" width="12.42578125" style="4249" bestFit="1" customWidth="1"/>
    <col min="13291" max="13292" width="10.28515625" style="4249" customWidth="1"/>
    <col min="13293" max="13294" width="12.42578125" style="4249" bestFit="1" customWidth="1"/>
    <col min="13295" max="13296" width="10.28515625" style="4249" customWidth="1"/>
    <col min="13297" max="13298" width="12.42578125" style="4249" bestFit="1" customWidth="1"/>
    <col min="13299" max="13300" width="10.28515625" style="4249" customWidth="1"/>
    <col min="13301" max="13302" width="12.42578125" style="4249" bestFit="1" customWidth="1"/>
    <col min="13303" max="13304" width="10.28515625" style="4249" customWidth="1"/>
    <col min="13305" max="13306" width="12.42578125" style="4249" bestFit="1" customWidth="1"/>
    <col min="13307" max="13535" width="12.5703125" style="4249"/>
    <col min="13536" max="13536" width="0.85546875" style="4249" customWidth="1"/>
    <col min="13537" max="13537" width="9.42578125" style="4249" customWidth="1"/>
    <col min="13538" max="13538" width="14.7109375" style="4249" customWidth="1"/>
    <col min="13539" max="13540" width="10.28515625" style="4249" customWidth="1"/>
    <col min="13541" max="13541" width="12.42578125" style="4249" bestFit="1" customWidth="1"/>
    <col min="13542" max="13542" width="11.85546875" style="4249" bestFit="1" customWidth="1"/>
    <col min="13543" max="13544" width="10.28515625" style="4249" customWidth="1"/>
    <col min="13545" max="13546" width="12.42578125" style="4249" bestFit="1" customWidth="1"/>
    <col min="13547" max="13548" width="10.28515625" style="4249" customWidth="1"/>
    <col min="13549" max="13550" width="12.42578125" style="4249" bestFit="1" customWidth="1"/>
    <col min="13551" max="13552" width="10.28515625" style="4249" customWidth="1"/>
    <col min="13553" max="13554" width="12.42578125" style="4249" bestFit="1" customWidth="1"/>
    <col min="13555" max="13556" width="10.28515625" style="4249" customWidth="1"/>
    <col min="13557" max="13558" width="12.42578125" style="4249" bestFit="1" customWidth="1"/>
    <col min="13559" max="13560" width="10.28515625" style="4249" customWidth="1"/>
    <col min="13561" max="13562" width="12.42578125" style="4249" bestFit="1" customWidth="1"/>
    <col min="13563" max="13791" width="12.5703125" style="4249"/>
    <col min="13792" max="13792" width="0.85546875" style="4249" customWidth="1"/>
    <col min="13793" max="13793" width="9.42578125" style="4249" customWidth="1"/>
    <col min="13794" max="13794" width="14.7109375" style="4249" customWidth="1"/>
    <col min="13795" max="13796" width="10.28515625" style="4249" customWidth="1"/>
    <col min="13797" max="13797" width="12.42578125" style="4249" bestFit="1" customWidth="1"/>
    <col min="13798" max="13798" width="11.85546875" style="4249" bestFit="1" customWidth="1"/>
    <col min="13799" max="13800" width="10.28515625" style="4249" customWidth="1"/>
    <col min="13801" max="13802" width="12.42578125" style="4249" bestFit="1" customWidth="1"/>
    <col min="13803" max="13804" width="10.28515625" style="4249" customWidth="1"/>
    <col min="13805" max="13806" width="12.42578125" style="4249" bestFit="1" customWidth="1"/>
    <col min="13807" max="13808" width="10.28515625" style="4249" customWidth="1"/>
    <col min="13809" max="13810" width="12.42578125" style="4249" bestFit="1" customWidth="1"/>
    <col min="13811" max="13812" width="10.28515625" style="4249" customWidth="1"/>
    <col min="13813" max="13814" width="12.42578125" style="4249" bestFit="1" customWidth="1"/>
    <col min="13815" max="13816" width="10.28515625" style="4249" customWidth="1"/>
    <col min="13817" max="13818" width="12.42578125" style="4249" bestFit="1" customWidth="1"/>
    <col min="13819" max="14047" width="12.5703125" style="4249"/>
    <col min="14048" max="14048" width="0.85546875" style="4249" customWidth="1"/>
    <col min="14049" max="14049" width="9.42578125" style="4249" customWidth="1"/>
    <col min="14050" max="14050" width="14.7109375" style="4249" customWidth="1"/>
    <col min="14051" max="14052" width="10.28515625" style="4249" customWidth="1"/>
    <col min="14053" max="14053" width="12.42578125" style="4249" bestFit="1" customWidth="1"/>
    <col min="14054" max="14054" width="11.85546875" style="4249" bestFit="1" customWidth="1"/>
    <col min="14055" max="14056" width="10.28515625" style="4249" customWidth="1"/>
    <col min="14057" max="14058" width="12.42578125" style="4249" bestFit="1" customWidth="1"/>
    <col min="14059" max="14060" width="10.28515625" style="4249" customWidth="1"/>
    <col min="14061" max="14062" width="12.42578125" style="4249" bestFit="1" customWidth="1"/>
    <col min="14063" max="14064" width="10.28515625" style="4249" customWidth="1"/>
    <col min="14065" max="14066" width="12.42578125" style="4249" bestFit="1" customWidth="1"/>
    <col min="14067" max="14068" width="10.28515625" style="4249" customWidth="1"/>
    <col min="14069" max="14070" width="12.42578125" style="4249" bestFit="1" customWidth="1"/>
    <col min="14071" max="14072" width="10.28515625" style="4249" customWidth="1"/>
    <col min="14073" max="14074" width="12.42578125" style="4249" bestFit="1" customWidth="1"/>
    <col min="14075" max="14303" width="12.5703125" style="4249"/>
    <col min="14304" max="14304" width="0.85546875" style="4249" customWidth="1"/>
    <col min="14305" max="14305" width="9.42578125" style="4249" customWidth="1"/>
    <col min="14306" max="14306" width="14.7109375" style="4249" customWidth="1"/>
    <col min="14307" max="14308" width="10.28515625" style="4249" customWidth="1"/>
    <col min="14309" max="14309" width="12.42578125" style="4249" bestFit="1" customWidth="1"/>
    <col min="14310" max="14310" width="11.85546875" style="4249" bestFit="1" customWidth="1"/>
    <col min="14311" max="14312" width="10.28515625" style="4249" customWidth="1"/>
    <col min="14313" max="14314" width="12.42578125" style="4249" bestFit="1" customWidth="1"/>
    <col min="14315" max="14316" width="10.28515625" style="4249" customWidth="1"/>
    <col min="14317" max="14318" width="12.42578125" style="4249" bestFit="1" customWidth="1"/>
    <col min="14319" max="14320" width="10.28515625" style="4249" customWidth="1"/>
    <col min="14321" max="14322" width="12.42578125" style="4249" bestFit="1" customWidth="1"/>
    <col min="14323" max="14324" width="10.28515625" style="4249" customWidth="1"/>
    <col min="14325" max="14326" width="12.42578125" style="4249" bestFit="1" customWidth="1"/>
    <col min="14327" max="14328" width="10.28515625" style="4249" customWidth="1"/>
    <col min="14329" max="14330" width="12.42578125" style="4249" bestFit="1" customWidth="1"/>
    <col min="14331" max="14559" width="12.5703125" style="4249"/>
    <col min="14560" max="14560" width="0.85546875" style="4249" customWidth="1"/>
    <col min="14561" max="14561" width="9.42578125" style="4249" customWidth="1"/>
    <col min="14562" max="14562" width="14.7109375" style="4249" customWidth="1"/>
    <col min="14563" max="14564" width="10.28515625" style="4249" customWidth="1"/>
    <col min="14565" max="14565" width="12.42578125" style="4249" bestFit="1" customWidth="1"/>
    <col min="14566" max="14566" width="11.85546875" style="4249" bestFit="1" customWidth="1"/>
    <col min="14567" max="14568" width="10.28515625" style="4249" customWidth="1"/>
    <col min="14569" max="14570" width="12.42578125" style="4249" bestFit="1" customWidth="1"/>
    <col min="14571" max="14572" width="10.28515625" style="4249" customWidth="1"/>
    <col min="14573" max="14574" width="12.42578125" style="4249" bestFit="1" customWidth="1"/>
    <col min="14575" max="14576" width="10.28515625" style="4249" customWidth="1"/>
    <col min="14577" max="14578" width="12.42578125" style="4249" bestFit="1" customWidth="1"/>
    <col min="14579" max="14580" width="10.28515625" style="4249" customWidth="1"/>
    <col min="14581" max="14582" width="12.42578125" style="4249" bestFit="1" customWidth="1"/>
    <col min="14583" max="14584" width="10.28515625" style="4249" customWidth="1"/>
    <col min="14585" max="14586" width="12.42578125" style="4249" bestFit="1" customWidth="1"/>
    <col min="14587" max="14815" width="12.5703125" style="4249"/>
    <col min="14816" max="14816" width="0.85546875" style="4249" customWidth="1"/>
    <col min="14817" max="14817" width="9.42578125" style="4249" customWidth="1"/>
    <col min="14818" max="14818" width="14.7109375" style="4249" customWidth="1"/>
    <col min="14819" max="14820" width="10.28515625" style="4249" customWidth="1"/>
    <col min="14821" max="14821" width="12.42578125" style="4249" bestFit="1" customWidth="1"/>
    <col min="14822" max="14822" width="11.85546875" style="4249" bestFit="1" customWidth="1"/>
    <col min="14823" max="14824" width="10.28515625" style="4249" customWidth="1"/>
    <col min="14825" max="14826" width="12.42578125" style="4249" bestFit="1" customWidth="1"/>
    <col min="14827" max="14828" width="10.28515625" style="4249" customWidth="1"/>
    <col min="14829" max="14830" width="12.42578125" style="4249" bestFit="1" customWidth="1"/>
    <col min="14831" max="14832" width="10.28515625" style="4249" customWidth="1"/>
    <col min="14833" max="14834" width="12.42578125" style="4249" bestFit="1" customWidth="1"/>
    <col min="14835" max="14836" width="10.28515625" style="4249" customWidth="1"/>
    <col min="14837" max="14838" width="12.42578125" style="4249" bestFit="1" customWidth="1"/>
    <col min="14839" max="14840" width="10.28515625" style="4249" customWidth="1"/>
    <col min="14841" max="14842" width="12.42578125" style="4249" bestFit="1" customWidth="1"/>
    <col min="14843" max="15071" width="12.5703125" style="4249"/>
    <col min="15072" max="15072" width="0.85546875" style="4249" customWidth="1"/>
    <col min="15073" max="15073" width="9.42578125" style="4249" customWidth="1"/>
    <col min="15074" max="15074" width="14.7109375" style="4249" customWidth="1"/>
    <col min="15075" max="15076" width="10.28515625" style="4249" customWidth="1"/>
    <col min="15077" max="15077" width="12.42578125" style="4249" bestFit="1" customWidth="1"/>
    <col min="15078" max="15078" width="11.85546875" style="4249" bestFit="1" customWidth="1"/>
    <col min="15079" max="15080" width="10.28515625" style="4249" customWidth="1"/>
    <col min="15081" max="15082" width="12.42578125" style="4249" bestFit="1" customWidth="1"/>
    <col min="15083" max="15084" width="10.28515625" style="4249" customWidth="1"/>
    <col min="15085" max="15086" width="12.42578125" style="4249" bestFit="1" customWidth="1"/>
    <col min="15087" max="15088" width="10.28515625" style="4249" customWidth="1"/>
    <col min="15089" max="15090" width="12.42578125" style="4249" bestFit="1" customWidth="1"/>
    <col min="15091" max="15092" width="10.28515625" style="4249" customWidth="1"/>
    <col min="15093" max="15094" width="12.42578125" style="4249" bestFit="1" customWidth="1"/>
    <col min="15095" max="15096" width="10.28515625" style="4249" customWidth="1"/>
    <col min="15097" max="15098" width="12.42578125" style="4249" bestFit="1" customWidth="1"/>
    <col min="15099" max="15327" width="12.5703125" style="4249"/>
    <col min="15328" max="15328" width="0.85546875" style="4249" customWidth="1"/>
    <col min="15329" max="15329" width="9.42578125" style="4249" customWidth="1"/>
    <col min="15330" max="15330" width="14.7109375" style="4249" customWidth="1"/>
    <col min="15331" max="15332" width="10.28515625" style="4249" customWidth="1"/>
    <col min="15333" max="15333" width="12.42578125" style="4249" bestFit="1" customWidth="1"/>
    <col min="15334" max="15334" width="11.85546875" style="4249" bestFit="1" customWidth="1"/>
    <col min="15335" max="15336" width="10.28515625" style="4249" customWidth="1"/>
    <col min="15337" max="15338" width="12.42578125" style="4249" bestFit="1" customWidth="1"/>
    <col min="15339" max="15340" width="10.28515625" style="4249" customWidth="1"/>
    <col min="15341" max="15342" width="12.42578125" style="4249" bestFit="1" customWidth="1"/>
    <col min="15343" max="15344" width="10.28515625" style="4249" customWidth="1"/>
    <col min="15345" max="15346" width="12.42578125" style="4249" bestFit="1" customWidth="1"/>
    <col min="15347" max="15348" width="10.28515625" style="4249" customWidth="1"/>
    <col min="15349" max="15350" width="12.42578125" style="4249" bestFit="1" customWidth="1"/>
    <col min="15351" max="15352" width="10.28515625" style="4249" customWidth="1"/>
    <col min="15353" max="15354" width="12.42578125" style="4249" bestFit="1" customWidth="1"/>
    <col min="15355" max="15583" width="12.5703125" style="4249"/>
    <col min="15584" max="15584" width="0.85546875" style="4249" customWidth="1"/>
    <col min="15585" max="15585" width="9.42578125" style="4249" customWidth="1"/>
    <col min="15586" max="15586" width="14.7109375" style="4249" customWidth="1"/>
    <col min="15587" max="15588" width="10.28515625" style="4249" customWidth="1"/>
    <col min="15589" max="15589" width="12.42578125" style="4249" bestFit="1" customWidth="1"/>
    <col min="15590" max="15590" width="11.85546875" style="4249" bestFit="1" customWidth="1"/>
    <col min="15591" max="15592" width="10.28515625" style="4249" customWidth="1"/>
    <col min="15593" max="15594" width="12.42578125" style="4249" bestFit="1" customWidth="1"/>
    <col min="15595" max="15596" width="10.28515625" style="4249" customWidth="1"/>
    <col min="15597" max="15598" width="12.42578125" style="4249" bestFit="1" customWidth="1"/>
    <col min="15599" max="15600" width="10.28515625" style="4249" customWidth="1"/>
    <col min="15601" max="15602" width="12.42578125" style="4249" bestFit="1" customWidth="1"/>
    <col min="15603" max="15604" width="10.28515625" style="4249" customWidth="1"/>
    <col min="15605" max="15606" width="12.42578125" style="4249" bestFit="1" customWidth="1"/>
    <col min="15607" max="15608" width="10.28515625" style="4249" customWidth="1"/>
    <col min="15609" max="15610" width="12.42578125" style="4249" bestFit="1" customWidth="1"/>
    <col min="15611" max="15839" width="12.5703125" style="4249"/>
    <col min="15840" max="15840" width="0.85546875" style="4249" customWidth="1"/>
    <col min="15841" max="15841" width="9.42578125" style="4249" customWidth="1"/>
    <col min="15842" max="15842" width="14.7109375" style="4249" customWidth="1"/>
    <col min="15843" max="15844" width="10.28515625" style="4249" customWidth="1"/>
    <col min="15845" max="15845" width="12.42578125" style="4249" bestFit="1" customWidth="1"/>
    <col min="15846" max="15846" width="11.85546875" style="4249" bestFit="1" customWidth="1"/>
    <col min="15847" max="15848" width="10.28515625" style="4249" customWidth="1"/>
    <col min="15849" max="15850" width="12.42578125" style="4249" bestFit="1" customWidth="1"/>
    <col min="15851" max="15852" width="10.28515625" style="4249" customWidth="1"/>
    <col min="15853" max="15854" width="12.42578125" style="4249" bestFit="1" customWidth="1"/>
    <col min="15855" max="15856" width="10.28515625" style="4249" customWidth="1"/>
    <col min="15857" max="15858" width="12.42578125" style="4249" bestFit="1" customWidth="1"/>
    <col min="15859" max="15860" width="10.28515625" style="4249" customWidth="1"/>
    <col min="15861" max="15862" width="12.42578125" style="4249" bestFit="1" customWidth="1"/>
    <col min="15863" max="15864" width="10.28515625" style="4249" customWidth="1"/>
    <col min="15865" max="15866" width="12.42578125" style="4249" bestFit="1" customWidth="1"/>
    <col min="15867" max="16095" width="12.5703125" style="4249"/>
    <col min="16096" max="16096" width="0.85546875" style="4249" customWidth="1"/>
    <col min="16097" max="16097" width="9.42578125" style="4249" customWidth="1"/>
    <col min="16098" max="16098" width="14.7109375" style="4249" customWidth="1"/>
    <col min="16099" max="16100" width="10.28515625" style="4249" customWidth="1"/>
    <col min="16101" max="16101" width="12.42578125" style="4249" bestFit="1" customWidth="1"/>
    <col min="16102" max="16102" width="11.85546875" style="4249" bestFit="1" customWidth="1"/>
    <col min="16103" max="16104" width="10.28515625" style="4249" customWidth="1"/>
    <col min="16105" max="16106" width="12.42578125" style="4249" bestFit="1" customWidth="1"/>
    <col min="16107" max="16108" width="10.28515625" style="4249" customWidth="1"/>
    <col min="16109" max="16110" width="12.42578125" style="4249" bestFit="1" customWidth="1"/>
    <col min="16111" max="16112" width="10.28515625" style="4249" customWidth="1"/>
    <col min="16113" max="16114" width="12.42578125" style="4249" bestFit="1" customWidth="1"/>
    <col min="16115" max="16116" width="10.28515625" style="4249" customWidth="1"/>
    <col min="16117" max="16118" width="12.42578125" style="4249" bestFit="1" customWidth="1"/>
    <col min="16119" max="16120" width="10.28515625" style="4249" customWidth="1"/>
    <col min="16121" max="16122" width="12.42578125" style="4249" bestFit="1" customWidth="1"/>
    <col min="16123" max="16384" width="12.5703125" style="4249"/>
  </cols>
  <sheetData>
    <row r="1" spans="1:54" ht="73.5" customHeight="1" x14ac:dyDescent="0.2">
      <c r="A1" s="6271" t="s">
        <v>1393</v>
      </c>
      <c r="B1" s="6271"/>
      <c r="D1" s="4251"/>
      <c r="E1" s="4251"/>
      <c r="F1" s="4251"/>
      <c r="G1" s="4251"/>
      <c r="H1" s="4251"/>
      <c r="I1" s="4251"/>
      <c r="J1" s="4251"/>
      <c r="K1" s="4251"/>
      <c r="L1" s="4251"/>
      <c r="M1" s="4251"/>
      <c r="N1" s="4251"/>
      <c r="O1" s="4251"/>
      <c r="P1" s="4251"/>
      <c r="Q1" s="4251"/>
      <c r="R1" s="4251"/>
      <c r="S1" s="4251"/>
      <c r="T1" s="4251"/>
      <c r="U1" s="4251"/>
      <c r="V1" s="4251"/>
      <c r="X1" s="4251"/>
      <c r="Y1" s="4251"/>
      <c r="Z1" s="4251"/>
      <c r="AB1" s="4251"/>
      <c r="AC1" s="4251"/>
      <c r="AD1" s="4251"/>
      <c r="AE1" s="4251"/>
      <c r="AF1" s="4251"/>
      <c r="AG1" s="4251"/>
      <c r="AH1" s="4251"/>
      <c r="AI1" s="4251"/>
      <c r="AJ1" s="4251"/>
      <c r="AK1" s="4251"/>
      <c r="AL1" s="4251"/>
      <c r="AM1" s="4251"/>
      <c r="AN1" s="4251"/>
      <c r="AO1" s="4251"/>
      <c r="AP1" s="4251"/>
      <c r="AQ1" s="4251"/>
      <c r="AR1" s="4251"/>
      <c r="AS1" s="4251"/>
      <c r="AT1" s="4251"/>
      <c r="AU1" s="4251"/>
      <c r="AV1" s="4251"/>
      <c r="AW1" s="4251"/>
      <c r="AX1" s="4335"/>
      <c r="BB1" s="4335" t="s">
        <v>160</v>
      </c>
    </row>
    <row r="2" spans="1:54" ht="11.25" customHeight="1" x14ac:dyDescent="0.2">
      <c r="A2" s="4334"/>
      <c r="B2" s="4252"/>
      <c r="C2" s="4252"/>
      <c r="D2" s="4252"/>
      <c r="E2" s="4252"/>
      <c r="F2" s="4252"/>
      <c r="G2" s="4252"/>
      <c r="H2" s="4252"/>
      <c r="I2" s="4252"/>
      <c r="J2" s="4252"/>
      <c r="K2" s="4252"/>
      <c r="L2" s="4252"/>
      <c r="M2" s="4252"/>
      <c r="N2" s="4252"/>
      <c r="O2" s="4252"/>
      <c r="P2" s="4252"/>
      <c r="Q2" s="4252"/>
      <c r="R2" s="4252"/>
      <c r="S2" s="4252"/>
      <c r="T2" s="4252"/>
      <c r="U2" s="4252"/>
      <c r="V2" s="4252"/>
    </row>
    <row r="3" spans="1:54" x14ac:dyDescent="0.2">
      <c r="A3" s="6258" t="s">
        <v>16</v>
      </c>
      <c r="B3" s="6260" t="s">
        <v>4</v>
      </c>
      <c r="C3" s="6254">
        <v>2003</v>
      </c>
      <c r="D3" s="6255"/>
      <c r="E3" s="6255"/>
      <c r="F3" s="6256"/>
      <c r="G3" s="6254">
        <v>2004</v>
      </c>
      <c r="H3" s="6255"/>
      <c r="I3" s="6255"/>
      <c r="J3" s="6256"/>
      <c r="K3" s="6254">
        <v>2005</v>
      </c>
      <c r="L3" s="6255"/>
      <c r="M3" s="6255"/>
      <c r="N3" s="6256"/>
      <c r="O3" s="6254">
        <v>2006</v>
      </c>
      <c r="P3" s="6255"/>
      <c r="Q3" s="6255"/>
      <c r="R3" s="6256"/>
      <c r="S3" s="6254">
        <v>2007</v>
      </c>
      <c r="T3" s="6255"/>
      <c r="U3" s="6255"/>
      <c r="V3" s="6256"/>
      <c r="W3" s="6254">
        <v>2008</v>
      </c>
      <c r="X3" s="6255"/>
      <c r="Y3" s="6255"/>
      <c r="Z3" s="6256"/>
      <c r="AA3" s="6254">
        <v>2009</v>
      </c>
      <c r="AB3" s="6255"/>
      <c r="AC3" s="6255"/>
      <c r="AD3" s="6256"/>
      <c r="AE3" s="6254">
        <v>2010</v>
      </c>
      <c r="AF3" s="6255"/>
      <c r="AG3" s="6255"/>
      <c r="AH3" s="6256"/>
      <c r="AI3" s="6254">
        <v>2011</v>
      </c>
      <c r="AJ3" s="6255"/>
      <c r="AK3" s="6255"/>
      <c r="AL3" s="6256"/>
      <c r="AM3" s="6254">
        <v>2012</v>
      </c>
      <c r="AN3" s="6255"/>
      <c r="AO3" s="6255"/>
      <c r="AP3" s="6256"/>
      <c r="AQ3" s="6254">
        <v>2013</v>
      </c>
      <c r="AR3" s="6255"/>
      <c r="AS3" s="6255"/>
      <c r="AT3" s="6256"/>
      <c r="AU3" s="6254">
        <v>2014</v>
      </c>
      <c r="AV3" s="6255"/>
      <c r="AW3" s="6255"/>
      <c r="AX3" s="6256"/>
      <c r="AY3" s="6254">
        <v>2015</v>
      </c>
      <c r="AZ3" s="6255"/>
      <c r="BA3" s="6255"/>
      <c r="BB3" s="6256"/>
    </row>
    <row r="4" spans="1:54" x14ac:dyDescent="0.2">
      <c r="A4" s="6259"/>
      <c r="B4" s="6261"/>
      <c r="C4" s="4253" t="s">
        <v>1379</v>
      </c>
      <c r="D4" s="4254" t="s">
        <v>1380</v>
      </c>
      <c r="E4" s="4255" t="s">
        <v>1381</v>
      </c>
      <c r="F4" s="4256" t="s">
        <v>12</v>
      </c>
      <c r="G4" s="4253" t="s">
        <v>1379</v>
      </c>
      <c r="H4" s="4254" t="s">
        <v>1380</v>
      </c>
      <c r="I4" s="4255" t="s">
        <v>1381</v>
      </c>
      <c r="J4" s="4256" t="s">
        <v>12</v>
      </c>
      <c r="K4" s="4253" t="s">
        <v>1379</v>
      </c>
      <c r="L4" s="4254" t="s">
        <v>1380</v>
      </c>
      <c r="M4" s="4255" t="s">
        <v>1381</v>
      </c>
      <c r="N4" s="4256" t="s">
        <v>12</v>
      </c>
      <c r="O4" s="4253" t="s">
        <v>1379</v>
      </c>
      <c r="P4" s="4254" t="s">
        <v>1380</v>
      </c>
      <c r="Q4" s="4255" t="s">
        <v>1381</v>
      </c>
      <c r="R4" s="4256" t="s">
        <v>12</v>
      </c>
      <c r="S4" s="4253" t="s">
        <v>1379</v>
      </c>
      <c r="T4" s="4254" t="s">
        <v>1380</v>
      </c>
      <c r="U4" s="4255" t="s">
        <v>1381</v>
      </c>
      <c r="V4" s="4256" t="s">
        <v>12</v>
      </c>
      <c r="W4" s="4253" t="s">
        <v>1379</v>
      </c>
      <c r="X4" s="4254" t="s">
        <v>1380</v>
      </c>
      <c r="Y4" s="4255" t="s">
        <v>1381</v>
      </c>
      <c r="Z4" s="4256" t="s">
        <v>12</v>
      </c>
      <c r="AA4" s="4253" t="s">
        <v>1379</v>
      </c>
      <c r="AB4" s="4254" t="s">
        <v>1380</v>
      </c>
      <c r="AC4" s="4255" t="s">
        <v>1381</v>
      </c>
      <c r="AD4" s="4256" t="s">
        <v>12</v>
      </c>
      <c r="AE4" s="4253" t="s">
        <v>1379</v>
      </c>
      <c r="AF4" s="4254" t="s">
        <v>1380</v>
      </c>
      <c r="AG4" s="4255" t="s">
        <v>1381</v>
      </c>
      <c r="AH4" s="4256" t="s">
        <v>12</v>
      </c>
      <c r="AI4" s="4253" t="s">
        <v>1379</v>
      </c>
      <c r="AJ4" s="4254" t="s">
        <v>1380</v>
      </c>
      <c r="AK4" s="4255" t="s">
        <v>1381</v>
      </c>
      <c r="AL4" s="4256" t="s">
        <v>12</v>
      </c>
      <c r="AM4" s="4253" t="s">
        <v>1379</v>
      </c>
      <c r="AN4" s="4254" t="s">
        <v>1380</v>
      </c>
      <c r="AO4" s="4255" t="s">
        <v>1381</v>
      </c>
      <c r="AP4" s="4256" t="s">
        <v>12</v>
      </c>
      <c r="AQ4" s="4253" t="s">
        <v>1379</v>
      </c>
      <c r="AR4" s="4254" t="s">
        <v>1380</v>
      </c>
      <c r="AS4" s="4255" t="s">
        <v>1381</v>
      </c>
      <c r="AT4" s="4256" t="s">
        <v>12</v>
      </c>
      <c r="AU4" s="4253" t="s">
        <v>1379</v>
      </c>
      <c r="AV4" s="4254" t="s">
        <v>1380</v>
      </c>
      <c r="AW4" s="4255" t="s">
        <v>1381</v>
      </c>
      <c r="AX4" s="4256" t="s">
        <v>12</v>
      </c>
      <c r="AY4" s="4253" t="s">
        <v>1379</v>
      </c>
      <c r="AZ4" s="4254" t="s">
        <v>1380</v>
      </c>
      <c r="BA4" s="4255" t="s">
        <v>1381</v>
      </c>
      <c r="BB4" s="4256" t="s">
        <v>12</v>
      </c>
    </row>
    <row r="5" spans="1:54" ht="11.25" customHeight="1" x14ac:dyDescent="0.2">
      <c r="A5" s="1925"/>
      <c r="B5" s="1925"/>
      <c r="C5" s="1925"/>
      <c r="D5" s="1925"/>
      <c r="E5" s="1925"/>
      <c r="F5" s="1925"/>
      <c r="G5" s="1925"/>
      <c r="H5" s="1925"/>
      <c r="I5" s="1925"/>
      <c r="J5" s="1925"/>
      <c r="K5" s="1925"/>
      <c r="L5" s="1925"/>
      <c r="M5" s="1925"/>
      <c r="N5" s="1925"/>
      <c r="O5" s="1925"/>
      <c r="P5" s="1925"/>
      <c r="Q5" s="1925"/>
      <c r="R5" s="1925"/>
      <c r="S5" s="1925"/>
      <c r="T5" s="1925"/>
      <c r="U5" s="1925"/>
      <c r="V5" s="1925"/>
      <c r="W5" s="1925"/>
      <c r="X5" s="1925"/>
      <c r="Y5" s="1925"/>
      <c r="Z5" s="1925"/>
      <c r="AA5" s="1925"/>
      <c r="AB5" s="1925"/>
      <c r="AC5" s="1925"/>
      <c r="AD5" s="1925"/>
      <c r="AE5" s="1925"/>
      <c r="AF5" s="1925"/>
      <c r="AG5" s="1925"/>
      <c r="AH5" s="1925"/>
      <c r="AI5" s="1925"/>
      <c r="AJ5" s="1925"/>
      <c r="AK5" s="1925"/>
      <c r="AL5" s="1925"/>
      <c r="AM5" s="1925"/>
      <c r="AN5" s="1925"/>
      <c r="AO5" s="1925"/>
      <c r="AP5" s="1925"/>
      <c r="AQ5" s="1925"/>
      <c r="AR5" s="1925"/>
      <c r="AS5" s="1925"/>
      <c r="AT5" s="1925"/>
      <c r="AU5" s="1925"/>
      <c r="AV5" s="1925"/>
      <c r="AW5" s="1925"/>
      <c r="AX5" s="1925"/>
      <c r="AY5" s="1925"/>
      <c r="AZ5" s="1925"/>
      <c r="BA5" s="1925"/>
      <c r="BB5" s="1925"/>
    </row>
    <row r="6" spans="1:54" ht="18" customHeight="1" x14ac:dyDescent="0.2">
      <c r="A6" s="6262" t="s">
        <v>161</v>
      </c>
      <c r="B6" s="4148" t="s">
        <v>5</v>
      </c>
      <c r="C6" s="4257">
        <v>10</v>
      </c>
      <c r="D6" s="4258">
        <v>66</v>
      </c>
      <c r="E6" s="4258">
        <v>314</v>
      </c>
      <c r="F6" s="4259">
        <f>SUM(C6:E6)</f>
        <v>390</v>
      </c>
      <c r="G6" s="4257">
        <v>10</v>
      </c>
      <c r="H6" s="4258">
        <v>43</v>
      </c>
      <c r="I6" s="4258">
        <v>347</v>
      </c>
      <c r="J6" s="4259">
        <v>400</v>
      </c>
      <c r="K6" s="4257">
        <v>14</v>
      </c>
      <c r="L6" s="4258">
        <v>42</v>
      </c>
      <c r="M6" s="4258">
        <v>348</v>
      </c>
      <c r="N6" s="4260">
        <v>404</v>
      </c>
      <c r="O6" s="4257">
        <v>12</v>
      </c>
      <c r="P6" s="4258">
        <v>48</v>
      </c>
      <c r="Q6" s="4258">
        <v>347</v>
      </c>
      <c r="R6" s="4259">
        <v>407</v>
      </c>
      <c r="S6" s="4258">
        <v>12</v>
      </c>
      <c r="T6" s="4258">
        <v>55</v>
      </c>
      <c r="U6" s="4258">
        <v>352</v>
      </c>
      <c r="V6" s="4259">
        <v>419</v>
      </c>
      <c r="W6" s="4258">
        <v>13</v>
      </c>
      <c r="X6" s="4258">
        <v>56</v>
      </c>
      <c r="Y6" s="4258">
        <v>345</v>
      </c>
      <c r="Z6" s="4259">
        <f>SUM(W6:Y6)</f>
        <v>414</v>
      </c>
      <c r="AA6" s="4258">
        <v>14</v>
      </c>
      <c r="AB6" s="4258">
        <v>58</v>
      </c>
      <c r="AC6" s="4258">
        <v>342</v>
      </c>
      <c r="AD6" s="4259">
        <f>SUM(AA6:AC6)</f>
        <v>414</v>
      </c>
      <c r="AE6" s="4258">
        <v>12</v>
      </c>
      <c r="AF6" s="4258">
        <v>58</v>
      </c>
      <c r="AG6" s="4258">
        <v>339</v>
      </c>
      <c r="AH6" s="4259">
        <v>409</v>
      </c>
      <c r="AI6" s="4258">
        <v>10</v>
      </c>
      <c r="AJ6" s="4258">
        <v>52</v>
      </c>
      <c r="AK6" s="4258">
        <v>343</v>
      </c>
      <c r="AL6" s="4259">
        <f>SUM(AI6:AK6)</f>
        <v>405</v>
      </c>
      <c r="AM6" s="4258">
        <v>13</v>
      </c>
      <c r="AN6" s="4258">
        <v>52</v>
      </c>
      <c r="AO6" s="4258">
        <v>343</v>
      </c>
      <c r="AP6" s="4259">
        <f>SUM(AM6:AO6)</f>
        <v>408</v>
      </c>
      <c r="AQ6" s="4258">
        <f>SUM(AQ41,AQ76,AQ111)</f>
        <v>11</v>
      </c>
      <c r="AR6" s="4258">
        <f>SUM(AR41,AR76,AR111)</f>
        <v>57</v>
      </c>
      <c r="AS6" s="4258">
        <f>SUM(AS41,AS76,AS111)</f>
        <v>339</v>
      </c>
      <c r="AT6" s="4259">
        <f>SUM(AQ6:AS6)</f>
        <v>407</v>
      </c>
      <c r="AU6" s="4258">
        <f t="shared" ref="AU6:AW8" si="0">SUM(AU41,AU76,AU111)</f>
        <v>15</v>
      </c>
      <c r="AV6" s="4258">
        <f t="shared" si="0"/>
        <v>60</v>
      </c>
      <c r="AW6" s="4258">
        <f t="shared" si="0"/>
        <v>339</v>
      </c>
      <c r="AX6" s="4259">
        <f>SUM(AU6:AW6)</f>
        <v>414</v>
      </c>
      <c r="AY6" s="4258">
        <f t="shared" ref="AY6:BA6" si="1">SUM(AY41,AY76,AY111)</f>
        <v>13</v>
      </c>
      <c r="AZ6" s="4258">
        <f t="shared" si="1"/>
        <v>56</v>
      </c>
      <c r="BA6" s="4258">
        <f t="shared" si="1"/>
        <v>334</v>
      </c>
      <c r="BB6" s="4259">
        <f>SUM(AY6:BA6)</f>
        <v>403</v>
      </c>
    </row>
    <row r="7" spans="1:54" ht="18" customHeight="1" x14ac:dyDescent="0.2">
      <c r="A7" s="5038"/>
      <c r="B7" s="1926" t="s">
        <v>6</v>
      </c>
      <c r="C7" s="4261">
        <v>12</v>
      </c>
      <c r="D7" s="4262">
        <v>54</v>
      </c>
      <c r="E7" s="4262">
        <v>288</v>
      </c>
      <c r="F7" s="4263">
        <f>SUM(C7:E7)</f>
        <v>354</v>
      </c>
      <c r="G7" s="4261">
        <v>5</v>
      </c>
      <c r="H7" s="4262">
        <v>33</v>
      </c>
      <c r="I7" s="4262">
        <v>310</v>
      </c>
      <c r="J7" s="4263">
        <v>348</v>
      </c>
      <c r="K7" s="4261">
        <v>5</v>
      </c>
      <c r="L7" s="4262">
        <v>36</v>
      </c>
      <c r="M7" s="4262">
        <v>310</v>
      </c>
      <c r="N7" s="4264">
        <v>351</v>
      </c>
      <c r="O7" s="4261">
        <v>9</v>
      </c>
      <c r="P7" s="4262">
        <v>45</v>
      </c>
      <c r="Q7" s="4262">
        <v>307</v>
      </c>
      <c r="R7" s="4263">
        <v>361</v>
      </c>
      <c r="S7" s="4262">
        <v>6</v>
      </c>
      <c r="T7" s="4262">
        <v>46</v>
      </c>
      <c r="U7" s="4262">
        <v>313</v>
      </c>
      <c r="V7" s="4263">
        <v>365</v>
      </c>
      <c r="W7" s="4262">
        <v>7</v>
      </c>
      <c r="X7" s="4262">
        <v>46</v>
      </c>
      <c r="Y7" s="4262">
        <v>311</v>
      </c>
      <c r="Z7" s="4263">
        <f>SUM(W7:Y7)</f>
        <v>364</v>
      </c>
      <c r="AA7" s="4262">
        <v>9</v>
      </c>
      <c r="AB7" s="4262">
        <v>43</v>
      </c>
      <c r="AC7" s="4262">
        <v>309</v>
      </c>
      <c r="AD7" s="4263">
        <f>SUM(AA7:AC7)</f>
        <v>361</v>
      </c>
      <c r="AE7" s="4262">
        <v>8</v>
      </c>
      <c r="AF7" s="4262">
        <v>44</v>
      </c>
      <c r="AG7" s="4262">
        <v>306</v>
      </c>
      <c r="AH7" s="4263">
        <v>358</v>
      </c>
      <c r="AI7" s="4262">
        <v>6</v>
      </c>
      <c r="AJ7" s="4262">
        <v>54</v>
      </c>
      <c r="AK7" s="4262">
        <v>307</v>
      </c>
      <c r="AL7" s="4263">
        <f>SUM(AI7:AK7)</f>
        <v>367</v>
      </c>
      <c r="AM7" s="4262">
        <v>6</v>
      </c>
      <c r="AN7" s="4262">
        <v>57</v>
      </c>
      <c r="AO7" s="4262">
        <v>302</v>
      </c>
      <c r="AP7" s="4263">
        <f>SUM(AM7:AO7)</f>
        <v>365</v>
      </c>
      <c r="AQ7" s="4262">
        <f t="shared" ref="AQ7:AS8" si="2">SUM(AQ42,AQ77,AQ112)</f>
        <v>11</v>
      </c>
      <c r="AR7" s="4262">
        <f t="shared" si="2"/>
        <v>60</v>
      </c>
      <c r="AS7" s="4262">
        <f t="shared" si="2"/>
        <v>303</v>
      </c>
      <c r="AT7" s="4263">
        <f>SUM(AQ7:AS7)</f>
        <v>374</v>
      </c>
      <c r="AU7" s="4262">
        <f t="shared" si="0"/>
        <v>10</v>
      </c>
      <c r="AV7" s="4262">
        <f t="shared" si="0"/>
        <v>61</v>
      </c>
      <c r="AW7" s="4262">
        <f t="shared" si="0"/>
        <v>303</v>
      </c>
      <c r="AX7" s="4263">
        <f>SUM(AU7:AW7)</f>
        <v>374</v>
      </c>
      <c r="AY7" s="4262">
        <f t="shared" ref="AY7:BA7" si="3">SUM(AY42,AY77,AY112)</f>
        <v>7</v>
      </c>
      <c r="AZ7" s="4262">
        <f t="shared" si="3"/>
        <v>61</v>
      </c>
      <c r="BA7" s="4262">
        <f t="shared" si="3"/>
        <v>299</v>
      </c>
      <c r="BB7" s="4263">
        <f>SUM(AY7:BA7)</f>
        <v>367</v>
      </c>
    </row>
    <row r="8" spans="1:54" ht="18" customHeight="1" x14ac:dyDescent="0.2">
      <c r="A8" s="5038"/>
      <c r="B8" s="4265" t="s">
        <v>7</v>
      </c>
      <c r="C8" s="4261">
        <v>4</v>
      </c>
      <c r="D8" s="4262">
        <v>25</v>
      </c>
      <c r="E8" s="4262">
        <v>196</v>
      </c>
      <c r="F8" s="4263">
        <f>SUM(C8:E8)</f>
        <v>225</v>
      </c>
      <c r="G8" s="4261">
        <v>4</v>
      </c>
      <c r="H8" s="4262">
        <v>15</v>
      </c>
      <c r="I8" s="4262">
        <v>205</v>
      </c>
      <c r="J8" s="4263">
        <v>224</v>
      </c>
      <c r="K8" s="4261">
        <v>5</v>
      </c>
      <c r="L8" s="4262">
        <v>17</v>
      </c>
      <c r="M8" s="4262">
        <v>210</v>
      </c>
      <c r="N8" s="4264">
        <v>232</v>
      </c>
      <c r="O8" s="4261">
        <v>7</v>
      </c>
      <c r="P8" s="4262">
        <v>13</v>
      </c>
      <c r="Q8" s="4262">
        <v>206</v>
      </c>
      <c r="R8" s="4263">
        <v>226</v>
      </c>
      <c r="S8" s="4262">
        <v>9</v>
      </c>
      <c r="T8" s="4262">
        <v>18</v>
      </c>
      <c r="U8" s="4262">
        <v>194</v>
      </c>
      <c r="V8" s="4263">
        <v>221</v>
      </c>
      <c r="W8" s="4262">
        <v>7</v>
      </c>
      <c r="X8" s="4262">
        <v>25</v>
      </c>
      <c r="Y8" s="4262">
        <v>187</v>
      </c>
      <c r="Z8" s="4263">
        <f>SUM(W8:Y8)</f>
        <v>219</v>
      </c>
      <c r="AA8" s="4262">
        <v>7</v>
      </c>
      <c r="AB8" s="4262">
        <v>30</v>
      </c>
      <c r="AC8" s="4262">
        <v>188</v>
      </c>
      <c r="AD8" s="4263">
        <f>SUM(AA8:AC8)</f>
        <v>225</v>
      </c>
      <c r="AE8" s="4266">
        <v>8</v>
      </c>
      <c r="AF8" s="4266">
        <v>34</v>
      </c>
      <c r="AG8" s="4266">
        <v>191</v>
      </c>
      <c r="AH8" s="4267">
        <v>233</v>
      </c>
      <c r="AI8" s="4266">
        <v>5</v>
      </c>
      <c r="AJ8" s="4266">
        <v>33</v>
      </c>
      <c r="AK8" s="4266">
        <v>198</v>
      </c>
      <c r="AL8" s="4267">
        <f>SUM(AI8:AK8)</f>
        <v>236</v>
      </c>
      <c r="AM8" s="4266">
        <v>2</v>
      </c>
      <c r="AN8" s="4266">
        <v>32</v>
      </c>
      <c r="AO8" s="4266">
        <v>202</v>
      </c>
      <c r="AP8" s="4267">
        <f>SUM(AM8:AO8)</f>
        <v>236</v>
      </c>
      <c r="AQ8" s="4266">
        <f t="shared" si="2"/>
        <v>2</v>
      </c>
      <c r="AR8" s="4266">
        <f t="shared" si="2"/>
        <v>30</v>
      </c>
      <c r="AS8" s="4266">
        <f t="shared" si="2"/>
        <v>206</v>
      </c>
      <c r="AT8" s="4267">
        <f>SUM(AQ8:AS8)</f>
        <v>238</v>
      </c>
      <c r="AU8" s="4266">
        <f t="shared" si="0"/>
        <v>2</v>
      </c>
      <c r="AV8" s="4266">
        <f t="shared" si="0"/>
        <v>37</v>
      </c>
      <c r="AW8" s="4266">
        <f t="shared" si="0"/>
        <v>212</v>
      </c>
      <c r="AX8" s="4267">
        <f>SUM(AU8:AW8)</f>
        <v>251</v>
      </c>
      <c r="AY8" s="4266">
        <f t="shared" ref="AY8:BA8" si="4">SUM(AY43,AY78,AY113)</f>
        <v>2</v>
      </c>
      <c r="AZ8" s="4266">
        <f t="shared" si="4"/>
        <v>34</v>
      </c>
      <c r="BA8" s="4266">
        <f t="shared" si="4"/>
        <v>210</v>
      </c>
      <c r="BB8" s="4267">
        <f>SUM(AY8:BA8)</f>
        <v>246</v>
      </c>
    </row>
    <row r="9" spans="1:54" ht="18" customHeight="1" x14ac:dyDescent="0.2">
      <c r="A9" s="5108"/>
      <c r="B9" s="4268" t="s">
        <v>12</v>
      </c>
      <c r="C9" s="4269">
        <f>SUM(C6:C8)</f>
        <v>26</v>
      </c>
      <c r="D9" s="4270">
        <f>SUM(D6:D8)</f>
        <v>145</v>
      </c>
      <c r="E9" s="4270">
        <f>SUM(E6:E8)</f>
        <v>798</v>
      </c>
      <c r="F9" s="4271">
        <f>SUM(F6:F8)</f>
        <v>969</v>
      </c>
      <c r="G9" s="4269">
        <v>19</v>
      </c>
      <c r="H9" s="4270">
        <v>91</v>
      </c>
      <c r="I9" s="4270">
        <v>862</v>
      </c>
      <c r="J9" s="4271">
        <v>972</v>
      </c>
      <c r="K9" s="4269">
        <v>24</v>
      </c>
      <c r="L9" s="4270">
        <v>95</v>
      </c>
      <c r="M9" s="4270">
        <v>868</v>
      </c>
      <c r="N9" s="4270">
        <v>987</v>
      </c>
      <c r="O9" s="4269">
        <v>28</v>
      </c>
      <c r="P9" s="4270">
        <v>106</v>
      </c>
      <c r="Q9" s="4270">
        <v>860</v>
      </c>
      <c r="R9" s="4271">
        <v>994</v>
      </c>
      <c r="S9" s="4270">
        <v>27</v>
      </c>
      <c r="T9" s="4270">
        <v>119</v>
      </c>
      <c r="U9" s="4270">
        <v>859</v>
      </c>
      <c r="V9" s="4271">
        <v>1005</v>
      </c>
      <c r="W9" s="4269">
        <f t="shared" ref="W9:AD9" si="5">SUM(W6:W8)</f>
        <v>27</v>
      </c>
      <c r="X9" s="4270">
        <f t="shared" si="5"/>
        <v>127</v>
      </c>
      <c r="Y9" s="4270">
        <f t="shared" si="5"/>
        <v>843</v>
      </c>
      <c r="Z9" s="4271">
        <f t="shared" si="5"/>
        <v>997</v>
      </c>
      <c r="AA9" s="4269">
        <f t="shared" si="5"/>
        <v>30</v>
      </c>
      <c r="AB9" s="4270">
        <f t="shared" si="5"/>
        <v>131</v>
      </c>
      <c r="AC9" s="4270">
        <f t="shared" si="5"/>
        <v>839</v>
      </c>
      <c r="AD9" s="4271">
        <f t="shared" si="5"/>
        <v>1000</v>
      </c>
      <c r="AE9" s="4269">
        <v>28</v>
      </c>
      <c r="AF9" s="4270">
        <v>136</v>
      </c>
      <c r="AG9" s="4270">
        <v>836</v>
      </c>
      <c r="AH9" s="4271">
        <v>1000</v>
      </c>
      <c r="AI9" s="4269">
        <f t="shared" ref="AI9:AX9" si="6">SUM(AI6:AI8)</f>
        <v>21</v>
      </c>
      <c r="AJ9" s="4270">
        <f t="shared" si="6"/>
        <v>139</v>
      </c>
      <c r="AK9" s="4270">
        <f t="shared" si="6"/>
        <v>848</v>
      </c>
      <c r="AL9" s="4271">
        <f t="shared" si="6"/>
        <v>1008</v>
      </c>
      <c r="AM9" s="4269">
        <f t="shared" si="6"/>
        <v>21</v>
      </c>
      <c r="AN9" s="4270">
        <f t="shared" si="6"/>
        <v>141</v>
      </c>
      <c r="AO9" s="4270">
        <f t="shared" si="6"/>
        <v>847</v>
      </c>
      <c r="AP9" s="4271">
        <f t="shared" si="6"/>
        <v>1009</v>
      </c>
      <c r="AQ9" s="4269">
        <f t="shared" si="6"/>
        <v>24</v>
      </c>
      <c r="AR9" s="4270">
        <f t="shared" si="6"/>
        <v>147</v>
      </c>
      <c r="AS9" s="4270">
        <f t="shared" si="6"/>
        <v>848</v>
      </c>
      <c r="AT9" s="4271">
        <f t="shared" si="6"/>
        <v>1019</v>
      </c>
      <c r="AU9" s="4269">
        <f t="shared" si="6"/>
        <v>27</v>
      </c>
      <c r="AV9" s="4270">
        <f t="shared" si="6"/>
        <v>158</v>
      </c>
      <c r="AW9" s="4270">
        <f t="shared" si="6"/>
        <v>854</v>
      </c>
      <c r="AX9" s="4271">
        <f t="shared" si="6"/>
        <v>1039</v>
      </c>
      <c r="AY9" s="4269">
        <f t="shared" ref="AY9:BB9" si="7">SUM(AY6:AY8)</f>
        <v>22</v>
      </c>
      <c r="AZ9" s="4270">
        <f t="shared" si="7"/>
        <v>151</v>
      </c>
      <c r="BA9" s="4270">
        <f t="shared" si="7"/>
        <v>843</v>
      </c>
      <c r="BB9" s="4271">
        <f t="shared" si="7"/>
        <v>1016</v>
      </c>
    </row>
    <row r="10" spans="1:54" ht="18" customHeight="1" x14ac:dyDescent="0.25">
      <c r="A10" s="1923"/>
      <c r="B10" s="1925"/>
      <c r="C10" s="1925"/>
      <c r="D10" s="1925"/>
      <c r="E10" s="1925"/>
      <c r="F10" s="1925"/>
      <c r="G10" s="1925"/>
      <c r="H10" s="1925"/>
      <c r="I10" s="1925"/>
      <c r="J10" s="1925"/>
      <c r="K10" s="1925"/>
      <c r="L10" s="1925"/>
      <c r="M10" s="1925"/>
      <c r="N10" s="1925"/>
      <c r="O10" s="1925"/>
      <c r="P10" s="1925"/>
      <c r="Q10" s="1925"/>
      <c r="R10" s="1925"/>
      <c r="S10" s="1925"/>
      <c r="T10" s="1925"/>
      <c r="U10" s="1925"/>
      <c r="V10" s="1925"/>
      <c r="W10" s="1925"/>
      <c r="X10" s="1925"/>
      <c r="Y10" s="1925"/>
      <c r="Z10" s="1925"/>
      <c r="AA10" s="1925"/>
      <c r="AB10" s="1925"/>
      <c r="AC10" s="1925"/>
      <c r="AD10" s="1925"/>
      <c r="AE10" s="1925"/>
      <c r="AF10" s="1925"/>
      <c r="AG10" s="1925"/>
      <c r="AH10" s="1925"/>
      <c r="AI10" s="1925"/>
      <c r="AJ10" s="1925"/>
      <c r="AK10" s="1925"/>
      <c r="AL10" s="1925"/>
      <c r="AM10" s="1925"/>
      <c r="AN10" s="1925"/>
      <c r="AO10" s="1925"/>
      <c r="AP10" s="1925"/>
      <c r="AQ10" s="1925"/>
      <c r="AR10" s="1925"/>
      <c r="AS10" s="1925"/>
      <c r="AT10" s="1925"/>
      <c r="AU10" s="1925"/>
      <c r="AV10" s="1925"/>
      <c r="AW10" s="1925"/>
      <c r="AX10" s="1925"/>
      <c r="AY10" s="1925"/>
      <c r="AZ10" s="1925"/>
      <c r="BA10" s="1925"/>
      <c r="BB10" s="1925"/>
    </row>
    <row r="11" spans="1:54" ht="18" customHeight="1" x14ac:dyDescent="0.2">
      <c r="A11" s="6263" t="s">
        <v>410</v>
      </c>
      <c r="B11" s="4148" t="s">
        <v>6</v>
      </c>
      <c r="C11" s="4272"/>
      <c r="D11" s="4273"/>
      <c r="E11" s="4273"/>
      <c r="F11" s="4274"/>
      <c r="G11" s="4272"/>
      <c r="H11" s="4273"/>
      <c r="I11" s="4273"/>
      <c r="J11" s="4274"/>
      <c r="K11" s="4272"/>
      <c r="L11" s="4273"/>
      <c r="M11" s="4258">
        <v>4</v>
      </c>
      <c r="N11" s="4260">
        <v>4</v>
      </c>
      <c r="O11" s="4272"/>
      <c r="P11" s="4273"/>
      <c r="Q11" s="4258">
        <v>7</v>
      </c>
      <c r="R11" s="4259">
        <v>7</v>
      </c>
      <c r="S11" s="4258"/>
      <c r="T11" s="4258">
        <v>1</v>
      </c>
      <c r="U11" s="4258">
        <v>21</v>
      </c>
      <c r="V11" s="4259">
        <v>22</v>
      </c>
      <c r="W11" s="4258"/>
      <c r="X11" s="4258">
        <v>2</v>
      </c>
      <c r="Y11" s="4258">
        <v>23</v>
      </c>
      <c r="Z11" s="4259">
        <f>SUM(X11:Y11)</f>
        <v>25</v>
      </c>
      <c r="AA11" s="4258"/>
      <c r="AB11" s="4258">
        <v>3</v>
      </c>
      <c r="AC11" s="4258">
        <v>28</v>
      </c>
      <c r="AD11" s="4259">
        <f>SUM(AA11:AC11)</f>
        <v>31</v>
      </c>
      <c r="AE11" s="4258"/>
      <c r="AF11" s="4258">
        <v>3</v>
      </c>
      <c r="AG11" s="4258">
        <v>38</v>
      </c>
      <c r="AH11" s="4259">
        <v>41</v>
      </c>
      <c r="AI11" s="4258"/>
      <c r="AJ11" s="4258">
        <v>4</v>
      </c>
      <c r="AK11" s="4258">
        <v>45</v>
      </c>
      <c r="AL11" s="4259">
        <f>SUM(AI11:AK11)</f>
        <v>49</v>
      </c>
      <c r="AM11" s="4258"/>
      <c r="AN11" s="4258">
        <v>4</v>
      </c>
      <c r="AO11" s="4258">
        <v>41</v>
      </c>
      <c r="AP11" s="4259">
        <f>SUM(AM11:AO11)</f>
        <v>45</v>
      </c>
      <c r="AQ11" s="4258">
        <f>SUM(AQ46,AQ81,AQ116)</f>
        <v>0</v>
      </c>
      <c r="AR11" s="4258">
        <f>SUM(AR46,AR81,AR116)</f>
        <v>4</v>
      </c>
      <c r="AS11" s="4258">
        <f>SUM(AS46,AS81,AS116)</f>
        <v>45</v>
      </c>
      <c r="AT11" s="4259">
        <f>SUM(AQ11:AS11)</f>
        <v>49</v>
      </c>
      <c r="AU11" s="4258">
        <f t="shared" ref="AU11:AW13" si="8">SUM(AU46,AU81,AU116)</f>
        <v>0</v>
      </c>
      <c r="AV11" s="4258">
        <f t="shared" si="8"/>
        <v>3</v>
      </c>
      <c r="AW11" s="4258">
        <f t="shared" si="8"/>
        <v>48</v>
      </c>
      <c r="AX11" s="4259">
        <f>SUM(AU11:AW11)</f>
        <v>51</v>
      </c>
      <c r="AY11" s="4258">
        <f t="shared" ref="AY11:BA11" si="9">SUM(AY46,AY81,AY116)</f>
        <v>0</v>
      </c>
      <c r="AZ11" s="4258">
        <f t="shared" si="9"/>
        <v>3</v>
      </c>
      <c r="BA11" s="4258">
        <f t="shared" si="9"/>
        <v>48</v>
      </c>
      <c r="BB11" s="4259">
        <f>SUM(AY11:BA11)</f>
        <v>51</v>
      </c>
    </row>
    <row r="12" spans="1:54" ht="18" customHeight="1" x14ac:dyDescent="0.2">
      <c r="A12" s="5029"/>
      <c r="B12" s="1926" t="s">
        <v>9</v>
      </c>
      <c r="C12" s="4275"/>
      <c r="D12" s="4276"/>
      <c r="E12" s="4276"/>
      <c r="F12" s="4277"/>
      <c r="G12" s="4275"/>
      <c r="H12" s="4276"/>
      <c r="I12" s="4276"/>
      <c r="J12" s="4277"/>
      <c r="K12" s="4275"/>
      <c r="L12" s="4276"/>
      <c r="M12" s="4262">
        <v>3</v>
      </c>
      <c r="N12" s="4264">
        <v>3</v>
      </c>
      <c r="O12" s="4275"/>
      <c r="P12" s="4262">
        <v>1</v>
      </c>
      <c r="Q12" s="4262">
        <v>8</v>
      </c>
      <c r="R12" s="4263">
        <v>9</v>
      </c>
      <c r="S12" s="4262"/>
      <c r="T12" s="4262"/>
      <c r="U12" s="4262">
        <v>13</v>
      </c>
      <c r="V12" s="4263">
        <v>13</v>
      </c>
      <c r="W12" s="4262"/>
      <c r="X12" s="4262">
        <v>5</v>
      </c>
      <c r="Y12" s="4262">
        <v>19</v>
      </c>
      <c r="Z12" s="4263">
        <f>SUM(X12:Y12)</f>
        <v>24</v>
      </c>
      <c r="AA12" s="4262"/>
      <c r="AB12" s="4262">
        <v>6</v>
      </c>
      <c r="AC12" s="4262">
        <v>24</v>
      </c>
      <c r="AD12" s="4263">
        <f>SUM(AA12:AC12)</f>
        <v>30</v>
      </c>
      <c r="AE12" s="4262"/>
      <c r="AF12" s="4262">
        <v>7</v>
      </c>
      <c r="AG12" s="4262">
        <v>31</v>
      </c>
      <c r="AH12" s="4263">
        <v>38</v>
      </c>
      <c r="AI12" s="4262"/>
      <c r="AJ12" s="4262">
        <v>7</v>
      </c>
      <c r="AK12" s="4262">
        <v>35</v>
      </c>
      <c r="AL12" s="4263">
        <f>SUM(AI12:AK12)</f>
        <v>42</v>
      </c>
      <c r="AM12" s="4262"/>
      <c r="AN12" s="4262">
        <v>13</v>
      </c>
      <c r="AO12" s="4262">
        <v>40</v>
      </c>
      <c r="AP12" s="4263">
        <f>SUM(AM12:AO12)</f>
        <v>53</v>
      </c>
      <c r="AQ12" s="4262">
        <f t="shared" ref="AQ12:AS13" si="10">SUM(AQ47,AQ82,AQ117)</f>
        <v>0</v>
      </c>
      <c r="AR12" s="4262">
        <f t="shared" si="10"/>
        <v>14</v>
      </c>
      <c r="AS12" s="4262">
        <f t="shared" si="10"/>
        <v>39</v>
      </c>
      <c r="AT12" s="4263">
        <f>SUM(AQ12:AS12)</f>
        <v>53</v>
      </c>
      <c r="AU12" s="4262">
        <f t="shared" si="8"/>
        <v>0</v>
      </c>
      <c r="AV12" s="4262">
        <f t="shared" si="8"/>
        <v>14</v>
      </c>
      <c r="AW12" s="4262">
        <f t="shared" si="8"/>
        <v>39</v>
      </c>
      <c r="AX12" s="4263">
        <f>SUM(AU12:AW12)</f>
        <v>53</v>
      </c>
      <c r="AY12" s="4262">
        <f t="shared" ref="AY12:BA12" si="11">SUM(AY47,AY82,AY117)</f>
        <v>0</v>
      </c>
      <c r="AZ12" s="4262">
        <f t="shared" si="11"/>
        <v>13</v>
      </c>
      <c r="BA12" s="4262">
        <f t="shared" si="11"/>
        <v>42</v>
      </c>
      <c r="BB12" s="4263">
        <f>SUM(AY12:BA12)</f>
        <v>55</v>
      </c>
    </row>
    <row r="13" spans="1:54" ht="18" customHeight="1" x14ac:dyDescent="0.2">
      <c r="A13" s="5029"/>
      <c r="B13" s="4265" t="s">
        <v>74</v>
      </c>
      <c r="C13" s="4275"/>
      <c r="D13" s="4276"/>
      <c r="E13" s="4276"/>
      <c r="F13" s="4277"/>
      <c r="G13" s="4275"/>
      <c r="H13" s="4276"/>
      <c r="I13" s="4276"/>
      <c r="J13" s="4277"/>
      <c r="K13" s="4275"/>
      <c r="L13" s="4276"/>
      <c r="M13" s="4262">
        <v>6</v>
      </c>
      <c r="N13" s="4264">
        <v>6</v>
      </c>
      <c r="O13" s="4275"/>
      <c r="P13" s="4276"/>
      <c r="Q13" s="4262">
        <v>6</v>
      </c>
      <c r="R13" s="4263">
        <v>6</v>
      </c>
      <c r="S13" s="4262"/>
      <c r="T13" s="4262">
        <v>4</v>
      </c>
      <c r="U13" s="4262">
        <v>14</v>
      </c>
      <c r="V13" s="4263">
        <v>18</v>
      </c>
      <c r="W13" s="4262"/>
      <c r="X13" s="4262">
        <v>4</v>
      </c>
      <c r="Y13" s="4262">
        <v>19</v>
      </c>
      <c r="Z13" s="4263">
        <f>SUM(X13:Y13)</f>
        <v>23</v>
      </c>
      <c r="AA13" s="4262"/>
      <c r="AB13" s="4262">
        <v>5</v>
      </c>
      <c r="AC13" s="4262">
        <v>19</v>
      </c>
      <c r="AD13" s="4263">
        <f>SUM(AA13:AC13)</f>
        <v>24</v>
      </c>
      <c r="AE13" s="4266"/>
      <c r="AF13" s="4266">
        <v>7</v>
      </c>
      <c r="AG13" s="4266">
        <v>20</v>
      </c>
      <c r="AH13" s="4267">
        <v>27</v>
      </c>
      <c r="AI13" s="4266"/>
      <c r="AJ13" s="4266">
        <v>7</v>
      </c>
      <c r="AK13" s="4266">
        <v>26</v>
      </c>
      <c r="AL13" s="4267">
        <f>SUM(AI13:AK13)</f>
        <v>33</v>
      </c>
      <c r="AM13" s="4266"/>
      <c r="AN13" s="4266">
        <v>9</v>
      </c>
      <c r="AO13" s="4266">
        <v>28</v>
      </c>
      <c r="AP13" s="4267">
        <f>SUM(AM13:AO13)</f>
        <v>37</v>
      </c>
      <c r="AQ13" s="4266">
        <f t="shared" si="10"/>
        <v>0</v>
      </c>
      <c r="AR13" s="4266">
        <f t="shared" si="10"/>
        <v>8</v>
      </c>
      <c r="AS13" s="4266">
        <f t="shared" si="10"/>
        <v>30</v>
      </c>
      <c r="AT13" s="4267">
        <f>SUM(AQ13:AS13)</f>
        <v>38</v>
      </c>
      <c r="AU13" s="4266">
        <f t="shared" si="8"/>
        <v>0</v>
      </c>
      <c r="AV13" s="4266">
        <f t="shared" si="8"/>
        <v>10</v>
      </c>
      <c r="AW13" s="4266">
        <f t="shared" si="8"/>
        <v>36</v>
      </c>
      <c r="AX13" s="4267">
        <f>SUM(AU13:AW13)</f>
        <v>46</v>
      </c>
      <c r="AY13" s="4266">
        <f t="shared" ref="AY13:BA13" si="12">SUM(AY48,AY83,AY118)</f>
        <v>0</v>
      </c>
      <c r="AZ13" s="4266">
        <f t="shared" si="12"/>
        <v>10</v>
      </c>
      <c r="BA13" s="4266">
        <f t="shared" si="12"/>
        <v>39</v>
      </c>
      <c r="BB13" s="4267">
        <f>SUM(AY13:BA13)</f>
        <v>49</v>
      </c>
    </row>
    <row r="14" spans="1:54" ht="18" customHeight="1" x14ac:dyDescent="0.2">
      <c r="A14" s="5030"/>
      <c r="B14" s="4278" t="s">
        <v>12</v>
      </c>
      <c r="C14" s="4279"/>
      <c r="D14" s="4280"/>
      <c r="E14" s="4280"/>
      <c r="F14" s="4281"/>
      <c r="G14" s="4279"/>
      <c r="H14" s="4280"/>
      <c r="I14" s="4280"/>
      <c r="J14" s="4281"/>
      <c r="K14" s="4279"/>
      <c r="L14" s="4280"/>
      <c r="M14" s="4282">
        <f>SUM(M11:M13)</f>
        <v>13</v>
      </c>
      <c r="N14" s="4282">
        <v>13</v>
      </c>
      <c r="O14" s="4279"/>
      <c r="P14" s="4282">
        <v>1</v>
      </c>
      <c r="Q14" s="4282">
        <v>21</v>
      </c>
      <c r="R14" s="4283">
        <v>22</v>
      </c>
      <c r="S14" s="4282"/>
      <c r="T14" s="4282">
        <v>5</v>
      </c>
      <c r="U14" s="4282">
        <v>48</v>
      </c>
      <c r="V14" s="4283">
        <f>SUM(V11:V13)</f>
        <v>53</v>
      </c>
      <c r="W14" s="4284"/>
      <c r="X14" s="4282">
        <f>SUM(X11:X13)</f>
        <v>11</v>
      </c>
      <c r="Y14" s="4282">
        <f>SUM(Y11:Y13)</f>
        <v>61</v>
      </c>
      <c r="Z14" s="4283">
        <f>SUM(Z11:Z13)</f>
        <v>72</v>
      </c>
      <c r="AA14" s="4284"/>
      <c r="AB14" s="4282">
        <f>SUM(AB11:AB13)</f>
        <v>14</v>
      </c>
      <c r="AC14" s="4282">
        <f>SUM(AC11:AC13)</f>
        <v>71</v>
      </c>
      <c r="AD14" s="4283">
        <f>SUM(AD11:AD13)</f>
        <v>85</v>
      </c>
      <c r="AE14" s="4284"/>
      <c r="AF14" s="4282">
        <v>17</v>
      </c>
      <c r="AG14" s="4282">
        <v>89</v>
      </c>
      <c r="AH14" s="4283">
        <v>106</v>
      </c>
      <c r="AI14" s="4284"/>
      <c r="AJ14" s="4282">
        <f>SUM(AJ11:AJ13)</f>
        <v>18</v>
      </c>
      <c r="AK14" s="4282">
        <f>SUM(AK11:AK13)</f>
        <v>106</v>
      </c>
      <c r="AL14" s="4283">
        <f>SUM(AL11:AL13)</f>
        <v>124</v>
      </c>
      <c r="AM14" s="4284"/>
      <c r="AN14" s="4282">
        <f>SUM(AN11:AN13)</f>
        <v>26</v>
      </c>
      <c r="AO14" s="4282">
        <f>SUM(AO11:AO13)</f>
        <v>109</v>
      </c>
      <c r="AP14" s="4283">
        <f>SUM(AP11:AP13)</f>
        <v>135</v>
      </c>
      <c r="AQ14" s="4284"/>
      <c r="AR14" s="4282">
        <f>SUM(AR11:AR13)</f>
        <v>26</v>
      </c>
      <c r="AS14" s="4282">
        <f>SUM(AS11:AS13)</f>
        <v>114</v>
      </c>
      <c r="AT14" s="4283">
        <f>SUM(AT11:AT13)</f>
        <v>140</v>
      </c>
      <c r="AU14" s="4284"/>
      <c r="AV14" s="4282">
        <f>SUM(AV11:AV13)</f>
        <v>27</v>
      </c>
      <c r="AW14" s="4282">
        <f>SUM(AW11:AW13)</f>
        <v>123</v>
      </c>
      <c r="AX14" s="4283">
        <f>SUM(AX11:AX13)</f>
        <v>150</v>
      </c>
      <c r="AY14" s="4284"/>
      <c r="AZ14" s="4282">
        <f>SUM(AZ11:AZ13)</f>
        <v>26</v>
      </c>
      <c r="BA14" s="4282">
        <f>SUM(BA11:BA13)</f>
        <v>129</v>
      </c>
      <c r="BB14" s="4283">
        <f>SUM(BB11:BB13)</f>
        <v>155</v>
      </c>
    </row>
    <row r="15" spans="1:54" ht="15.75" x14ac:dyDescent="0.25">
      <c r="A15" s="1923"/>
      <c r="B15" s="1925"/>
      <c r="C15" s="1925"/>
      <c r="D15" s="1925"/>
      <c r="E15" s="1925"/>
      <c r="F15" s="1925"/>
      <c r="G15" s="1925"/>
      <c r="H15" s="1925"/>
      <c r="I15" s="1925"/>
      <c r="J15" s="1925"/>
      <c r="K15" s="1925"/>
      <c r="L15" s="1925"/>
      <c r="M15" s="1925"/>
      <c r="N15" s="1925"/>
      <c r="O15" s="1925"/>
      <c r="P15" s="1925"/>
      <c r="Q15" s="1925"/>
      <c r="R15" s="1925"/>
      <c r="S15" s="1925"/>
      <c r="T15" s="1925"/>
      <c r="U15" s="1925"/>
      <c r="V15" s="1925"/>
      <c r="W15" s="1925"/>
      <c r="X15" s="1925"/>
      <c r="Y15" s="1925"/>
      <c r="Z15" s="1925"/>
      <c r="AA15" s="1925"/>
      <c r="AB15" s="1925"/>
      <c r="AC15" s="1925"/>
      <c r="AD15" s="1925"/>
      <c r="AE15" s="1925"/>
      <c r="AF15" s="1925"/>
      <c r="AG15" s="1925"/>
      <c r="AH15" s="1925"/>
      <c r="AI15" s="1925"/>
      <c r="AJ15" s="1925"/>
      <c r="AK15" s="1925"/>
      <c r="AL15" s="1925"/>
      <c r="AM15" s="1925"/>
      <c r="AN15" s="1925"/>
      <c r="AO15" s="1925"/>
      <c r="AP15" s="1925"/>
      <c r="AQ15" s="1925"/>
      <c r="AR15" s="1925"/>
      <c r="AS15" s="1925"/>
      <c r="AT15" s="1925"/>
      <c r="AU15" s="1925"/>
      <c r="AV15" s="1925"/>
      <c r="AW15" s="1925"/>
      <c r="AX15" s="1925"/>
      <c r="AY15" s="1925"/>
      <c r="AZ15" s="1925"/>
      <c r="BA15" s="1925"/>
      <c r="BB15" s="1925"/>
    </row>
    <row r="16" spans="1:54" ht="18" customHeight="1" x14ac:dyDescent="0.2">
      <c r="A16" s="6264" t="s">
        <v>162</v>
      </c>
      <c r="B16" s="4148" t="s">
        <v>5</v>
      </c>
      <c r="C16" s="4257">
        <v>2</v>
      </c>
      <c r="D16" s="4258">
        <v>21</v>
      </c>
      <c r="E16" s="4258">
        <v>259</v>
      </c>
      <c r="F16" s="4259">
        <v>282</v>
      </c>
      <c r="G16" s="4257">
        <v>1</v>
      </c>
      <c r="H16" s="4258">
        <v>16</v>
      </c>
      <c r="I16" s="4258">
        <v>269</v>
      </c>
      <c r="J16" s="4259">
        <v>286</v>
      </c>
      <c r="K16" s="4257">
        <v>1</v>
      </c>
      <c r="L16" s="4258">
        <v>18</v>
      </c>
      <c r="M16" s="4258">
        <v>277</v>
      </c>
      <c r="N16" s="4260">
        <v>296</v>
      </c>
      <c r="O16" s="4257">
        <v>1</v>
      </c>
      <c r="P16" s="4258">
        <v>19</v>
      </c>
      <c r="Q16" s="4258">
        <v>276</v>
      </c>
      <c r="R16" s="4259">
        <v>296</v>
      </c>
      <c r="S16" s="4258">
        <v>1</v>
      </c>
      <c r="T16" s="4258">
        <v>19</v>
      </c>
      <c r="U16" s="4258">
        <v>278</v>
      </c>
      <c r="V16" s="4259">
        <v>298</v>
      </c>
      <c r="W16" s="4258">
        <v>1</v>
      </c>
      <c r="X16" s="4258">
        <v>19</v>
      </c>
      <c r="Y16" s="4258">
        <v>278</v>
      </c>
      <c r="Z16" s="4259">
        <f>SUM(W16:Y16)</f>
        <v>298</v>
      </c>
      <c r="AA16" s="4258">
        <v>1</v>
      </c>
      <c r="AB16" s="4258">
        <v>16</v>
      </c>
      <c r="AC16" s="4258">
        <v>279</v>
      </c>
      <c r="AD16" s="4259">
        <f>SUM(AA16:AC16)</f>
        <v>296</v>
      </c>
      <c r="AE16" s="4258">
        <v>1</v>
      </c>
      <c r="AF16" s="4258">
        <v>15</v>
      </c>
      <c r="AG16" s="4258">
        <v>277</v>
      </c>
      <c r="AH16" s="4259">
        <v>293</v>
      </c>
      <c r="AI16" s="4258">
        <v>1</v>
      </c>
      <c r="AJ16" s="4258">
        <v>15</v>
      </c>
      <c r="AK16" s="4258">
        <v>278</v>
      </c>
      <c r="AL16" s="4259">
        <f>SUM(AI16:AK16)</f>
        <v>294</v>
      </c>
      <c r="AM16" s="4258">
        <v>1</v>
      </c>
      <c r="AN16" s="4258">
        <v>14</v>
      </c>
      <c r="AO16" s="4258">
        <v>279</v>
      </c>
      <c r="AP16" s="4259">
        <f>SUM(AM16:AO16)</f>
        <v>294</v>
      </c>
      <c r="AQ16" s="4258">
        <f>SUM(AQ51,AQ86,AQ121)</f>
        <v>1</v>
      </c>
      <c r="AR16" s="4258">
        <f>SUM(AR51,AR86,AR121)</f>
        <v>15</v>
      </c>
      <c r="AS16" s="4258">
        <f>SUM(AS51,AS86,AS121)</f>
        <v>283</v>
      </c>
      <c r="AT16" s="4259">
        <f>SUM(AQ16:AS16)</f>
        <v>299</v>
      </c>
      <c r="AU16" s="4258">
        <f t="shared" ref="AU16:AW18" si="13">SUM(AU51,AU86,AU121)</f>
        <v>1</v>
      </c>
      <c r="AV16" s="4258">
        <f t="shared" si="13"/>
        <v>17</v>
      </c>
      <c r="AW16" s="4258">
        <f t="shared" si="13"/>
        <v>283</v>
      </c>
      <c r="AX16" s="4259">
        <f>SUM(AU16:AW16)</f>
        <v>301</v>
      </c>
      <c r="AY16" s="4258">
        <f t="shared" ref="AY16:BA16" si="14">SUM(AY51,AY86,AY121)</f>
        <v>1</v>
      </c>
      <c r="AZ16" s="4258">
        <f t="shared" si="14"/>
        <v>16</v>
      </c>
      <c r="BA16" s="4258">
        <f t="shared" si="14"/>
        <v>282</v>
      </c>
      <c r="BB16" s="4259">
        <f>SUM(AY16:BA16)</f>
        <v>299</v>
      </c>
    </row>
    <row r="17" spans="1:54" ht="18" customHeight="1" x14ac:dyDescent="0.2">
      <c r="A17" s="5041"/>
      <c r="B17" s="1926" t="s">
        <v>6</v>
      </c>
      <c r="C17" s="4261">
        <v>4</v>
      </c>
      <c r="D17" s="4262">
        <v>35</v>
      </c>
      <c r="E17" s="4262">
        <v>315</v>
      </c>
      <c r="F17" s="4263">
        <v>354</v>
      </c>
      <c r="G17" s="4261">
        <v>1</v>
      </c>
      <c r="H17" s="4262">
        <v>31</v>
      </c>
      <c r="I17" s="4262">
        <v>330</v>
      </c>
      <c r="J17" s="4263">
        <v>362</v>
      </c>
      <c r="K17" s="4261">
        <v>1</v>
      </c>
      <c r="L17" s="4262">
        <v>30</v>
      </c>
      <c r="M17" s="4262">
        <v>319</v>
      </c>
      <c r="N17" s="4264">
        <v>350</v>
      </c>
      <c r="O17" s="4261">
        <v>1</v>
      </c>
      <c r="P17" s="4262">
        <v>31</v>
      </c>
      <c r="Q17" s="4262">
        <v>320</v>
      </c>
      <c r="R17" s="4263">
        <v>352</v>
      </c>
      <c r="S17" s="4262"/>
      <c r="T17" s="4262">
        <v>32</v>
      </c>
      <c r="U17" s="4262">
        <v>317</v>
      </c>
      <c r="V17" s="4263">
        <v>349</v>
      </c>
      <c r="W17" s="4262"/>
      <c r="X17" s="4262">
        <v>33</v>
      </c>
      <c r="Y17" s="4262">
        <v>317</v>
      </c>
      <c r="Z17" s="4263">
        <f>SUM(W17:Y17)</f>
        <v>350</v>
      </c>
      <c r="AA17" s="4262"/>
      <c r="AB17" s="4262">
        <v>27</v>
      </c>
      <c r="AC17" s="4262">
        <v>323</v>
      </c>
      <c r="AD17" s="4263">
        <f>SUM(AA17:AC17)</f>
        <v>350</v>
      </c>
      <c r="AE17" s="4262"/>
      <c r="AF17" s="4262">
        <v>37</v>
      </c>
      <c r="AG17" s="4262">
        <v>327</v>
      </c>
      <c r="AH17" s="4263">
        <v>364</v>
      </c>
      <c r="AI17" s="4262">
        <v>1</v>
      </c>
      <c r="AJ17" s="4262">
        <v>36</v>
      </c>
      <c r="AK17" s="4262">
        <v>321</v>
      </c>
      <c r="AL17" s="4263">
        <f>SUM(AI17:AK17)</f>
        <v>358</v>
      </c>
      <c r="AM17" s="4262">
        <v>1</v>
      </c>
      <c r="AN17" s="4262">
        <v>32</v>
      </c>
      <c r="AO17" s="4262">
        <v>318</v>
      </c>
      <c r="AP17" s="4263">
        <f>SUM(AM17:AO17)</f>
        <v>351</v>
      </c>
      <c r="AQ17" s="4262">
        <f t="shared" ref="AQ17:AS18" si="15">SUM(AQ52,AQ87,AQ122)</f>
        <v>1</v>
      </c>
      <c r="AR17" s="4262">
        <f t="shared" si="15"/>
        <v>33</v>
      </c>
      <c r="AS17" s="4262">
        <f t="shared" si="15"/>
        <v>323</v>
      </c>
      <c r="AT17" s="4263">
        <f>SUM(AQ17:AS17)</f>
        <v>357</v>
      </c>
      <c r="AU17" s="4262">
        <f t="shared" si="13"/>
        <v>0</v>
      </c>
      <c r="AV17" s="4262">
        <f t="shared" si="13"/>
        <v>38</v>
      </c>
      <c r="AW17" s="4262">
        <f t="shared" si="13"/>
        <v>324</v>
      </c>
      <c r="AX17" s="4263">
        <f>SUM(AU17:AW17)</f>
        <v>362</v>
      </c>
      <c r="AY17" s="4262">
        <f t="shared" ref="AY17:BA17" si="16">SUM(AY52,AY87,AY122)</f>
        <v>0</v>
      </c>
      <c r="AZ17" s="4262">
        <f t="shared" si="16"/>
        <v>31</v>
      </c>
      <c r="BA17" s="4262">
        <f t="shared" si="16"/>
        <v>319</v>
      </c>
      <c r="BB17" s="4263">
        <f>SUM(AY17:BA17)</f>
        <v>350</v>
      </c>
    </row>
    <row r="18" spans="1:54" ht="18" customHeight="1" x14ac:dyDescent="0.2">
      <c r="A18" s="5041"/>
      <c r="B18" s="1926" t="s">
        <v>11</v>
      </c>
      <c r="C18" s="4261">
        <v>6</v>
      </c>
      <c r="D18" s="4262">
        <v>17</v>
      </c>
      <c r="E18" s="4262">
        <v>242</v>
      </c>
      <c r="F18" s="4263">
        <v>265</v>
      </c>
      <c r="G18" s="4261">
        <v>6</v>
      </c>
      <c r="H18" s="4262">
        <v>17</v>
      </c>
      <c r="I18" s="4262">
        <v>241</v>
      </c>
      <c r="J18" s="4263">
        <v>264</v>
      </c>
      <c r="K18" s="4261">
        <v>5</v>
      </c>
      <c r="L18" s="4262">
        <v>16</v>
      </c>
      <c r="M18" s="4262">
        <v>241</v>
      </c>
      <c r="N18" s="4264">
        <v>262</v>
      </c>
      <c r="O18" s="4261">
        <v>4</v>
      </c>
      <c r="P18" s="4262">
        <v>16</v>
      </c>
      <c r="Q18" s="4262">
        <v>238</v>
      </c>
      <c r="R18" s="4263">
        <v>258</v>
      </c>
      <c r="S18" s="4262">
        <v>4</v>
      </c>
      <c r="T18" s="4262">
        <v>18</v>
      </c>
      <c r="U18" s="4262">
        <v>236</v>
      </c>
      <c r="V18" s="4263">
        <v>258</v>
      </c>
      <c r="W18" s="4262">
        <v>3</v>
      </c>
      <c r="X18" s="4262">
        <v>17</v>
      </c>
      <c r="Y18" s="4262">
        <v>230</v>
      </c>
      <c r="Z18" s="4263">
        <f>SUM(W18:Y18)</f>
        <v>250</v>
      </c>
      <c r="AA18" s="4262">
        <v>3</v>
      </c>
      <c r="AB18" s="4262">
        <v>15</v>
      </c>
      <c r="AC18" s="4262">
        <v>228</v>
      </c>
      <c r="AD18" s="4263">
        <f>SUM(AA18:AC18)</f>
        <v>246</v>
      </c>
      <c r="AE18" s="4266">
        <v>2</v>
      </c>
      <c r="AF18" s="4266">
        <v>14</v>
      </c>
      <c r="AG18" s="4266">
        <v>225</v>
      </c>
      <c r="AH18" s="4267">
        <v>241</v>
      </c>
      <c r="AI18" s="4266">
        <v>3</v>
      </c>
      <c r="AJ18" s="4266">
        <v>16</v>
      </c>
      <c r="AK18" s="4266">
        <v>229</v>
      </c>
      <c r="AL18" s="4267">
        <f>SUM(AI18:AK18)</f>
        <v>248</v>
      </c>
      <c r="AM18" s="4266">
        <v>2</v>
      </c>
      <c r="AN18" s="4266">
        <v>18</v>
      </c>
      <c r="AO18" s="4266">
        <v>234</v>
      </c>
      <c r="AP18" s="4267">
        <f>SUM(AM18:AO18)</f>
        <v>254</v>
      </c>
      <c r="AQ18" s="4266">
        <f t="shared" si="15"/>
        <v>3</v>
      </c>
      <c r="AR18" s="4266">
        <f t="shared" si="15"/>
        <v>21</v>
      </c>
      <c r="AS18" s="4266">
        <f t="shared" si="15"/>
        <v>226</v>
      </c>
      <c r="AT18" s="4267">
        <f>SUM(AQ18:AS18)</f>
        <v>250</v>
      </c>
      <c r="AU18" s="4266">
        <f t="shared" si="13"/>
        <v>4</v>
      </c>
      <c r="AV18" s="4266">
        <f t="shared" si="13"/>
        <v>22</v>
      </c>
      <c r="AW18" s="4266">
        <f t="shared" si="13"/>
        <v>228</v>
      </c>
      <c r="AX18" s="4267">
        <f>SUM(AU18:AW18)</f>
        <v>254</v>
      </c>
      <c r="AY18" s="4266">
        <f t="shared" ref="AY18:BA18" si="17">SUM(AY53,AY88,AY123)</f>
        <v>3</v>
      </c>
      <c r="AZ18" s="4266">
        <f t="shared" si="17"/>
        <v>19</v>
      </c>
      <c r="BA18" s="4266">
        <f t="shared" si="17"/>
        <v>233</v>
      </c>
      <c r="BB18" s="4267">
        <f>SUM(AY18:BA18)</f>
        <v>255</v>
      </c>
    </row>
    <row r="19" spans="1:54" ht="18" customHeight="1" x14ac:dyDescent="0.2">
      <c r="A19" s="5109"/>
      <c r="B19" s="4285" t="s">
        <v>12</v>
      </c>
      <c r="C19" s="4286">
        <v>12</v>
      </c>
      <c r="D19" s="4287">
        <v>73</v>
      </c>
      <c r="E19" s="4287">
        <v>816</v>
      </c>
      <c r="F19" s="4288">
        <v>901</v>
      </c>
      <c r="G19" s="4286">
        <v>8</v>
      </c>
      <c r="H19" s="4287">
        <v>64</v>
      </c>
      <c r="I19" s="4287">
        <v>840</v>
      </c>
      <c r="J19" s="4288">
        <v>912</v>
      </c>
      <c r="K19" s="4286">
        <v>7</v>
      </c>
      <c r="L19" s="4287">
        <v>64</v>
      </c>
      <c r="M19" s="4287">
        <v>837</v>
      </c>
      <c r="N19" s="4287">
        <v>908</v>
      </c>
      <c r="O19" s="4286">
        <v>6</v>
      </c>
      <c r="P19" s="4287">
        <v>66</v>
      </c>
      <c r="Q19" s="4287">
        <v>834</v>
      </c>
      <c r="R19" s="4288">
        <f>SUM(R16:R18)</f>
        <v>906</v>
      </c>
      <c r="S19" s="4287">
        <v>5</v>
      </c>
      <c r="T19" s="4287">
        <v>69</v>
      </c>
      <c r="U19" s="4287">
        <v>831</v>
      </c>
      <c r="V19" s="4288">
        <f t="shared" ref="V19:AX19" si="18">SUM(V16:V18)</f>
        <v>905</v>
      </c>
      <c r="W19" s="4286">
        <f t="shared" si="18"/>
        <v>4</v>
      </c>
      <c r="X19" s="4287">
        <f t="shared" si="18"/>
        <v>69</v>
      </c>
      <c r="Y19" s="4287">
        <f t="shared" si="18"/>
        <v>825</v>
      </c>
      <c r="Z19" s="4288">
        <f t="shared" si="18"/>
        <v>898</v>
      </c>
      <c r="AA19" s="4286">
        <f t="shared" si="18"/>
        <v>4</v>
      </c>
      <c r="AB19" s="4287">
        <f t="shared" si="18"/>
        <v>58</v>
      </c>
      <c r="AC19" s="4287">
        <f t="shared" si="18"/>
        <v>830</v>
      </c>
      <c r="AD19" s="4288">
        <f t="shared" si="18"/>
        <v>892</v>
      </c>
      <c r="AE19" s="4286">
        <f t="shared" si="18"/>
        <v>3</v>
      </c>
      <c r="AF19" s="4287">
        <f t="shared" si="18"/>
        <v>66</v>
      </c>
      <c r="AG19" s="4287">
        <f t="shared" si="18"/>
        <v>829</v>
      </c>
      <c r="AH19" s="4288">
        <f t="shared" si="18"/>
        <v>898</v>
      </c>
      <c r="AI19" s="4286">
        <f t="shared" si="18"/>
        <v>5</v>
      </c>
      <c r="AJ19" s="4287">
        <f t="shared" si="18"/>
        <v>67</v>
      </c>
      <c r="AK19" s="4287">
        <f t="shared" si="18"/>
        <v>828</v>
      </c>
      <c r="AL19" s="4288">
        <f t="shared" si="18"/>
        <v>900</v>
      </c>
      <c r="AM19" s="4286">
        <f t="shared" si="18"/>
        <v>4</v>
      </c>
      <c r="AN19" s="4287">
        <f t="shared" si="18"/>
        <v>64</v>
      </c>
      <c r="AO19" s="4287">
        <f t="shared" si="18"/>
        <v>831</v>
      </c>
      <c r="AP19" s="4288">
        <f t="shared" si="18"/>
        <v>899</v>
      </c>
      <c r="AQ19" s="4286">
        <f t="shared" si="18"/>
        <v>5</v>
      </c>
      <c r="AR19" s="4287">
        <f t="shared" si="18"/>
        <v>69</v>
      </c>
      <c r="AS19" s="4287">
        <f t="shared" si="18"/>
        <v>832</v>
      </c>
      <c r="AT19" s="4288">
        <f t="shared" si="18"/>
        <v>906</v>
      </c>
      <c r="AU19" s="4286">
        <f t="shared" si="18"/>
        <v>5</v>
      </c>
      <c r="AV19" s="4287">
        <f t="shared" si="18"/>
        <v>77</v>
      </c>
      <c r="AW19" s="4287">
        <f t="shared" si="18"/>
        <v>835</v>
      </c>
      <c r="AX19" s="4288">
        <f t="shared" si="18"/>
        <v>917</v>
      </c>
      <c r="AY19" s="4286">
        <f t="shared" ref="AY19:BB19" si="19">SUM(AY16:AY18)</f>
        <v>4</v>
      </c>
      <c r="AZ19" s="4287">
        <f t="shared" si="19"/>
        <v>66</v>
      </c>
      <c r="BA19" s="4287">
        <f t="shared" si="19"/>
        <v>834</v>
      </c>
      <c r="BB19" s="4288">
        <f t="shared" si="19"/>
        <v>904</v>
      </c>
    </row>
    <row r="20" spans="1:54" x14ac:dyDescent="0.2">
      <c r="A20" s="195"/>
      <c r="B20" s="1925"/>
      <c r="C20" s="1925"/>
      <c r="D20" s="1925"/>
      <c r="E20" s="1925"/>
      <c r="F20" s="1925"/>
      <c r="G20" s="1925"/>
      <c r="H20" s="1925"/>
      <c r="I20" s="1925"/>
      <c r="J20" s="1925"/>
      <c r="K20" s="1925"/>
      <c r="L20" s="1925"/>
      <c r="M20" s="1925"/>
      <c r="N20" s="1925"/>
      <c r="O20" s="1925"/>
      <c r="P20" s="1925"/>
      <c r="Q20" s="1925"/>
      <c r="R20" s="1925"/>
      <c r="S20" s="1925"/>
      <c r="T20" s="1925"/>
      <c r="U20" s="1925"/>
      <c r="V20" s="1925"/>
      <c r="W20" s="1925"/>
      <c r="X20" s="1925"/>
      <c r="Y20" s="1925"/>
      <c r="Z20" s="1925"/>
      <c r="AA20" s="1925"/>
      <c r="AB20" s="1925"/>
      <c r="AC20" s="1925"/>
      <c r="AD20" s="1925"/>
      <c r="AE20" s="1925"/>
      <c r="AF20" s="1925"/>
      <c r="AG20" s="1925"/>
      <c r="AH20" s="1925"/>
      <c r="AI20" s="1925"/>
      <c r="AJ20" s="1925"/>
      <c r="AK20" s="1925"/>
      <c r="AL20" s="1925"/>
      <c r="AM20" s="1925"/>
      <c r="AN20" s="1925"/>
      <c r="AO20" s="1925"/>
      <c r="AP20" s="1925"/>
      <c r="AQ20" s="1925"/>
      <c r="AR20" s="1925"/>
      <c r="AS20" s="1925"/>
      <c r="AT20" s="1925"/>
      <c r="AU20" s="1925"/>
      <c r="AV20" s="1925"/>
      <c r="AW20" s="1925"/>
      <c r="AX20" s="1925"/>
      <c r="AY20" s="1925"/>
      <c r="AZ20" s="1925"/>
      <c r="BA20" s="1925"/>
      <c r="BB20" s="1925"/>
    </row>
    <row r="21" spans="1:54" ht="18" customHeight="1" x14ac:dyDescent="0.2">
      <c r="A21" s="6257" t="s">
        <v>411</v>
      </c>
      <c r="B21" s="4148" t="s">
        <v>5</v>
      </c>
      <c r="C21" s="4272"/>
      <c r="D21" s="4273"/>
      <c r="E21" s="4273"/>
      <c r="F21" s="4274"/>
      <c r="G21" s="4272"/>
      <c r="H21" s="4273"/>
      <c r="I21" s="4273"/>
      <c r="J21" s="4274"/>
      <c r="K21" s="4272"/>
      <c r="L21" s="4273"/>
      <c r="M21" s="4273"/>
      <c r="N21" s="4274"/>
      <c r="O21" s="4272"/>
      <c r="P21" s="4273"/>
      <c r="Q21" s="4273"/>
      <c r="R21" s="4274"/>
      <c r="S21" s="4257"/>
      <c r="T21" s="4258"/>
      <c r="U21" s="4258"/>
      <c r="V21" s="4259"/>
      <c r="W21" s="4257"/>
      <c r="X21" s="4258"/>
      <c r="Y21" s="4258"/>
      <c r="Z21" s="4259"/>
      <c r="AA21" s="4257"/>
      <c r="AB21" s="4258"/>
      <c r="AC21" s="4258"/>
      <c r="AD21" s="4259"/>
      <c r="AE21" s="4257"/>
      <c r="AF21" s="4258"/>
      <c r="AG21" s="4258">
        <v>3</v>
      </c>
      <c r="AH21" s="4259">
        <v>3</v>
      </c>
      <c r="AI21" s="4257"/>
      <c r="AJ21" s="4258"/>
      <c r="AK21" s="4258">
        <v>4</v>
      </c>
      <c r="AL21" s="4259">
        <f>SUM(AI21:AK21)</f>
        <v>4</v>
      </c>
      <c r="AM21" s="4257"/>
      <c r="AN21" s="4258"/>
      <c r="AO21" s="4258">
        <v>7</v>
      </c>
      <c r="AP21" s="4259">
        <f>SUM(AM21:AO21)</f>
        <v>7</v>
      </c>
      <c r="AQ21" s="4257">
        <f>SUM(AQ56,AQ91,AQ126)</f>
        <v>0</v>
      </c>
      <c r="AR21" s="4258">
        <f>SUM(AR56,AR91,AR126)</f>
        <v>1</v>
      </c>
      <c r="AS21" s="4258">
        <f>SUM(AS56,AS91,AS126)</f>
        <v>7</v>
      </c>
      <c r="AT21" s="4259">
        <f>SUM(AQ21:AS21)</f>
        <v>8</v>
      </c>
      <c r="AU21" s="4258">
        <f t="shared" ref="AU21:AW23" si="20">SUM(AU56,AU91,AU126)</f>
        <v>0</v>
      </c>
      <c r="AV21" s="4258">
        <f t="shared" si="20"/>
        <v>1</v>
      </c>
      <c r="AW21" s="4258">
        <f t="shared" si="20"/>
        <v>9</v>
      </c>
      <c r="AX21" s="4259">
        <f>SUM(AU21:AW21)</f>
        <v>10</v>
      </c>
      <c r="AY21" s="4258">
        <f t="shared" ref="AY21:BA21" si="21">SUM(AY56,AY91,AY126)</f>
        <v>0</v>
      </c>
      <c r="AZ21" s="4258">
        <f t="shared" si="21"/>
        <v>4</v>
      </c>
      <c r="BA21" s="4258">
        <f t="shared" si="21"/>
        <v>11</v>
      </c>
      <c r="BB21" s="4259">
        <f>SUM(AY21:BA21)</f>
        <v>15</v>
      </c>
    </row>
    <row r="22" spans="1:54" ht="18" customHeight="1" x14ac:dyDescent="0.2">
      <c r="A22" s="5032"/>
      <c r="B22" s="1926" t="s">
        <v>6</v>
      </c>
      <c r="C22" s="4275"/>
      <c r="D22" s="4276"/>
      <c r="E22" s="4276"/>
      <c r="F22" s="4277"/>
      <c r="G22" s="4275"/>
      <c r="H22" s="4276"/>
      <c r="I22" s="4276"/>
      <c r="J22" s="4277"/>
      <c r="K22" s="4275"/>
      <c r="L22" s="4276"/>
      <c r="M22" s="4276"/>
      <c r="N22" s="4277"/>
      <c r="O22" s="4275"/>
      <c r="P22" s="4276"/>
      <c r="Q22" s="4276"/>
      <c r="R22" s="4277"/>
      <c r="S22" s="4261"/>
      <c r="T22" s="4262"/>
      <c r="U22" s="4262"/>
      <c r="V22" s="4263"/>
      <c r="W22" s="4261"/>
      <c r="X22" s="4262"/>
      <c r="Y22" s="4262"/>
      <c r="Z22" s="4263"/>
      <c r="AA22" s="4261"/>
      <c r="AB22" s="4262"/>
      <c r="AC22" s="4262"/>
      <c r="AD22" s="4263"/>
      <c r="AE22" s="4261"/>
      <c r="AF22" s="4262"/>
      <c r="AG22" s="4262">
        <v>2</v>
      </c>
      <c r="AH22" s="4263">
        <v>5</v>
      </c>
      <c r="AI22" s="4261"/>
      <c r="AJ22" s="4262"/>
      <c r="AK22" s="4262">
        <v>3</v>
      </c>
      <c r="AL22" s="4263">
        <f>SUM(AI22:AK22)</f>
        <v>3</v>
      </c>
      <c r="AM22" s="4261"/>
      <c r="AN22" s="4262"/>
      <c r="AO22" s="4262">
        <v>6</v>
      </c>
      <c r="AP22" s="4263">
        <f>SUM(AM22:AO22)</f>
        <v>6</v>
      </c>
      <c r="AQ22" s="4261">
        <f t="shared" ref="AQ22:AS23" si="22">SUM(AQ57,AQ92,AQ127)</f>
        <v>0</v>
      </c>
      <c r="AR22" s="4262">
        <f t="shared" si="22"/>
        <v>1</v>
      </c>
      <c r="AS22" s="4262">
        <f t="shared" si="22"/>
        <v>6</v>
      </c>
      <c r="AT22" s="4263">
        <f>SUM(AQ22:AS22)</f>
        <v>7</v>
      </c>
      <c r="AU22" s="4262">
        <f t="shared" si="20"/>
        <v>0</v>
      </c>
      <c r="AV22" s="4262">
        <f t="shared" si="20"/>
        <v>6</v>
      </c>
      <c r="AW22" s="4262">
        <f t="shared" si="20"/>
        <v>7</v>
      </c>
      <c r="AX22" s="4263">
        <f>SUM(AU22:AW22)</f>
        <v>13</v>
      </c>
      <c r="AY22" s="4262">
        <f t="shared" ref="AY22:BA22" si="23">SUM(AY57,AY92,AY127)</f>
        <v>0</v>
      </c>
      <c r="AZ22" s="4262">
        <f t="shared" si="23"/>
        <v>4</v>
      </c>
      <c r="BA22" s="4262">
        <f t="shared" si="23"/>
        <v>9</v>
      </c>
      <c r="BB22" s="4263">
        <f>SUM(AY22:BA22)</f>
        <v>13</v>
      </c>
    </row>
    <row r="23" spans="1:54" ht="18" customHeight="1" x14ac:dyDescent="0.2">
      <c r="A23" s="5032"/>
      <c r="B23" s="1926" t="s">
        <v>11</v>
      </c>
      <c r="C23" s="4289"/>
      <c r="D23" s="4290"/>
      <c r="E23" s="4290"/>
      <c r="F23" s="4291"/>
      <c r="G23" s="4289"/>
      <c r="H23" s="4290"/>
      <c r="I23" s="4290"/>
      <c r="J23" s="4291"/>
      <c r="K23" s="4289"/>
      <c r="L23" s="4290"/>
      <c r="M23" s="4290"/>
      <c r="N23" s="4291"/>
      <c r="O23" s="4289"/>
      <c r="P23" s="4290"/>
      <c r="Q23" s="4290"/>
      <c r="R23" s="4291"/>
      <c r="S23" s="4292"/>
      <c r="T23" s="4266"/>
      <c r="U23" s="4266"/>
      <c r="V23" s="4267"/>
      <c r="W23" s="4292"/>
      <c r="X23" s="4266"/>
      <c r="Y23" s="4266"/>
      <c r="Z23" s="4267"/>
      <c r="AA23" s="4292"/>
      <c r="AB23" s="4266"/>
      <c r="AC23" s="4266">
        <v>1</v>
      </c>
      <c r="AD23" s="4267">
        <f>SUM(AC23)</f>
        <v>1</v>
      </c>
      <c r="AE23" s="4261"/>
      <c r="AF23" s="4262"/>
      <c r="AG23" s="4262">
        <v>5</v>
      </c>
      <c r="AH23" s="4263">
        <v>2</v>
      </c>
      <c r="AI23" s="4261"/>
      <c r="AJ23" s="4262"/>
      <c r="AK23" s="4262">
        <v>6</v>
      </c>
      <c r="AL23" s="4267">
        <f>SUM(AI23:AK23)</f>
        <v>6</v>
      </c>
      <c r="AM23" s="4261"/>
      <c r="AN23" s="4262"/>
      <c r="AO23" s="4262">
        <v>9</v>
      </c>
      <c r="AP23" s="4267">
        <f>SUM(AM23:AO23)</f>
        <v>9</v>
      </c>
      <c r="AQ23" s="4261">
        <f t="shared" si="22"/>
        <v>0</v>
      </c>
      <c r="AR23" s="4262">
        <f t="shared" si="22"/>
        <v>0</v>
      </c>
      <c r="AS23" s="4262">
        <f t="shared" si="22"/>
        <v>13</v>
      </c>
      <c r="AT23" s="4267">
        <f>SUM(AQ23:AS23)</f>
        <v>13</v>
      </c>
      <c r="AU23" s="4266">
        <f t="shared" si="20"/>
        <v>0</v>
      </c>
      <c r="AV23" s="4266">
        <f t="shared" si="20"/>
        <v>0</v>
      </c>
      <c r="AW23" s="4266">
        <f t="shared" si="20"/>
        <v>13</v>
      </c>
      <c r="AX23" s="4267">
        <f>SUM(AU23:AW23)</f>
        <v>13</v>
      </c>
      <c r="AY23" s="4266">
        <f t="shared" ref="AY23:BA23" si="24">SUM(AY58,AY93,AY128)</f>
        <v>0</v>
      </c>
      <c r="AZ23" s="4266">
        <f t="shared" si="24"/>
        <v>1</v>
      </c>
      <c r="BA23" s="4266">
        <f t="shared" si="24"/>
        <v>13</v>
      </c>
      <c r="BB23" s="4267">
        <f>SUM(AY23:BA23)</f>
        <v>14</v>
      </c>
    </row>
    <row r="24" spans="1:54" ht="18" customHeight="1" x14ac:dyDescent="0.2">
      <c r="A24" s="5113"/>
      <c r="B24" s="4293" t="s">
        <v>12</v>
      </c>
      <c r="C24" s="4294"/>
      <c r="D24" s="4295"/>
      <c r="E24" s="4295"/>
      <c r="F24" s="4296"/>
      <c r="G24" s="4294"/>
      <c r="H24" s="4295"/>
      <c r="I24" s="4295"/>
      <c r="J24" s="4296"/>
      <c r="K24" s="4294"/>
      <c r="L24" s="4295"/>
      <c r="M24" s="4295"/>
      <c r="N24" s="4295"/>
      <c r="O24" s="4294"/>
      <c r="P24" s="4295"/>
      <c r="Q24" s="4295"/>
      <c r="R24" s="4296"/>
      <c r="S24" s="4297"/>
      <c r="T24" s="4297"/>
      <c r="U24" s="4297"/>
      <c r="V24" s="4298"/>
      <c r="W24" s="4299"/>
      <c r="X24" s="4297"/>
      <c r="Y24" s="4297"/>
      <c r="Z24" s="4298"/>
      <c r="AA24" s="4299"/>
      <c r="AB24" s="4297"/>
      <c r="AC24" s="4297">
        <f>SUM(AC21:AC23)</f>
        <v>1</v>
      </c>
      <c r="AD24" s="4298">
        <f>SUM(AD21:AD23)</f>
        <v>1</v>
      </c>
      <c r="AE24" s="4299"/>
      <c r="AF24" s="4297"/>
      <c r="AG24" s="4297">
        <f>SUM(AG21:AG23)</f>
        <v>10</v>
      </c>
      <c r="AH24" s="4298">
        <f>SUM(AH21:AH23)</f>
        <v>10</v>
      </c>
      <c r="AI24" s="4299"/>
      <c r="AJ24" s="4297"/>
      <c r="AK24" s="4297">
        <f>SUM(AK21:AK23)</f>
        <v>13</v>
      </c>
      <c r="AL24" s="4298">
        <f>SUM(AL21:AL23)</f>
        <v>13</v>
      </c>
      <c r="AM24" s="4299"/>
      <c r="AN24" s="4297"/>
      <c r="AO24" s="4297">
        <f>SUM(AO21:AO23)</f>
        <v>22</v>
      </c>
      <c r="AP24" s="4298">
        <f>SUM(AP21:AP23)</f>
        <v>22</v>
      </c>
      <c r="AQ24" s="4299"/>
      <c r="AR24" s="4297">
        <f>SUM(AR21:AR23)</f>
        <v>2</v>
      </c>
      <c r="AS24" s="4297">
        <f>SUM(AS21:AS23)</f>
        <v>26</v>
      </c>
      <c r="AT24" s="4298">
        <f>SUM(AT21:AT23)</f>
        <v>28</v>
      </c>
      <c r="AU24" s="4299"/>
      <c r="AV24" s="4297">
        <f>SUM(AV21:AV23)</f>
        <v>7</v>
      </c>
      <c r="AW24" s="4297">
        <f>SUM(AW21:AW23)</f>
        <v>29</v>
      </c>
      <c r="AX24" s="4298">
        <f>SUM(AX21:AX23)</f>
        <v>36</v>
      </c>
      <c r="AY24" s="4299"/>
      <c r="AZ24" s="4297">
        <f>SUM(AZ21:AZ23)</f>
        <v>9</v>
      </c>
      <c r="BA24" s="4297">
        <f>SUM(BA21:BA23)</f>
        <v>33</v>
      </c>
      <c r="BB24" s="4298">
        <f>SUM(BB21:BB23)</f>
        <v>42</v>
      </c>
    </row>
    <row r="25" spans="1:54" ht="18" customHeight="1" x14ac:dyDescent="0.25">
      <c r="A25" s="1923"/>
      <c r="B25" s="1925"/>
      <c r="C25" s="1925"/>
      <c r="D25" s="1925"/>
      <c r="E25" s="1925"/>
      <c r="F25" s="1925"/>
      <c r="G25" s="1925"/>
      <c r="H25" s="1925"/>
      <c r="I25" s="1925"/>
      <c r="J25" s="1925"/>
      <c r="K25" s="1925"/>
      <c r="L25" s="1925"/>
      <c r="M25" s="1925"/>
      <c r="N25" s="1925"/>
      <c r="O25" s="1925"/>
      <c r="P25" s="1925"/>
      <c r="Q25" s="1925"/>
      <c r="R25" s="1925"/>
      <c r="S25" s="1925"/>
      <c r="T25" s="1925"/>
      <c r="U25" s="1925"/>
      <c r="V25" s="1925"/>
      <c r="W25" s="1925"/>
      <c r="X25" s="1925"/>
      <c r="Y25" s="1925"/>
      <c r="Z25" s="1925"/>
      <c r="AA25" s="1925"/>
      <c r="AB25" s="1925"/>
      <c r="AC25" s="1925"/>
      <c r="AD25" s="1925"/>
      <c r="AE25" s="1925"/>
      <c r="AF25" s="1925"/>
      <c r="AG25" s="1925"/>
      <c r="AH25" s="1925"/>
      <c r="AI25" s="1925"/>
      <c r="AJ25" s="1925"/>
      <c r="AK25" s="1925"/>
      <c r="AL25" s="1925"/>
      <c r="AM25" s="1925"/>
      <c r="AN25" s="1925"/>
      <c r="AO25" s="1925"/>
      <c r="AP25" s="1925"/>
      <c r="AQ25" s="1925"/>
      <c r="AR25" s="1925"/>
      <c r="AS25" s="1925"/>
      <c r="AT25" s="1925"/>
      <c r="AU25" s="1925"/>
      <c r="AV25" s="1925"/>
      <c r="AW25" s="1925"/>
      <c r="AX25" s="1925"/>
      <c r="AY25" s="1925"/>
      <c r="AZ25" s="1925"/>
      <c r="BA25" s="1925"/>
      <c r="BB25" s="1925"/>
    </row>
    <row r="26" spans="1:54" ht="18" customHeight="1" x14ac:dyDescent="0.2">
      <c r="A26" s="6268" t="s">
        <v>163</v>
      </c>
      <c r="B26" s="4148" t="s">
        <v>6</v>
      </c>
      <c r="C26" s="4257">
        <v>1</v>
      </c>
      <c r="D26" s="4258">
        <v>37</v>
      </c>
      <c r="E26" s="4258">
        <v>351</v>
      </c>
      <c r="F26" s="4259">
        <v>389</v>
      </c>
      <c r="G26" s="4272"/>
      <c r="H26" s="4258">
        <v>26</v>
      </c>
      <c r="I26" s="4258">
        <v>358</v>
      </c>
      <c r="J26" s="4259">
        <v>384</v>
      </c>
      <c r="K26" s="4257">
        <v>2</v>
      </c>
      <c r="L26" s="4258">
        <v>29</v>
      </c>
      <c r="M26" s="4258">
        <v>356</v>
      </c>
      <c r="N26" s="4259">
        <v>387</v>
      </c>
      <c r="O26" s="4257">
        <v>1</v>
      </c>
      <c r="P26" s="4258">
        <v>35</v>
      </c>
      <c r="Q26" s="4258">
        <v>350</v>
      </c>
      <c r="R26" s="4259">
        <v>386</v>
      </c>
      <c r="S26" s="4257">
        <v>1</v>
      </c>
      <c r="T26" s="4258">
        <v>30</v>
      </c>
      <c r="U26" s="4258">
        <v>337</v>
      </c>
      <c r="V26" s="4259">
        <v>368</v>
      </c>
      <c r="W26" s="4257">
        <v>1</v>
      </c>
      <c r="X26" s="4258">
        <v>42</v>
      </c>
      <c r="Y26" s="4258">
        <v>333</v>
      </c>
      <c r="Z26" s="4259">
        <f>SUM(W26:Y26)</f>
        <v>376</v>
      </c>
      <c r="AA26" s="4257">
        <v>2</v>
      </c>
      <c r="AB26" s="4258">
        <v>48</v>
      </c>
      <c r="AC26" s="4258">
        <v>333</v>
      </c>
      <c r="AD26" s="4259">
        <f>SUM(AA26:AC26)</f>
        <v>383</v>
      </c>
      <c r="AE26" s="4257">
        <v>2</v>
      </c>
      <c r="AF26" s="4258">
        <v>56</v>
      </c>
      <c r="AG26" s="4258">
        <v>332</v>
      </c>
      <c r="AH26" s="4259">
        <v>390</v>
      </c>
      <c r="AI26" s="4257">
        <v>4</v>
      </c>
      <c r="AJ26" s="4258">
        <v>59</v>
      </c>
      <c r="AK26" s="4258">
        <v>340</v>
      </c>
      <c r="AL26" s="4259">
        <f>SUM(AI26:AK26)</f>
        <v>403</v>
      </c>
      <c r="AM26" s="4257">
        <v>4</v>
      </c>
      <c r="AN26" s="4258">
        <v>53</v>
      </c>
      <c r="AO26" s="4258">
        <v>346</v>
      </c>
      <c r="AP26" s="4259">
        <f>SUM(AM26:AO26)</f>
        <v>403</v>
      </c>
      <c r="AQ26" s="4257">
        <f>SUM(AQ61,AQ96,AQ131)</f>
        <v>3</v>
      </c>
      <c r="AR26" s="4258">
        <f>SUM(AR61,AR96,AR131)</f>
        <v>48</v>
      </c>
      <c r="AS26" s="4258">
        <f>SUM(AS61,AS96,AS131)</f>
        <v>348</v>
      </c>
      <c r="AT26" s="4259">
        <f>SUM(AQ26:AS26)</f>
        <v>399</v>
      </c>
      <c r="AU26" s="4258">
        <f t="shared" ref="AU26:AW28" si="25">SUM(AU61,AU96,AU131)</f>
        <v>3</v>
      </c>
      <c r="AV26" s="4258">
        <f t="shared" si="25"/>
        <v>48</v>
      </c>
      <c r="AW26" s="4258">
        <f t="shared" si="25"/>
        <v>347</v>
      </c>
      <c r="AX26" s="4259">
        <f>SUM(AU26:AW26)</f>
        <v>398</v>
      </c>
      <c r="AY26" s="4258">
        <f t="shared" ref="AY26:BA26" si="26">SUM(AY61,AY96,AY131)</f>
        <v>3</v>
      </c>
      <c r="AZ26" s="4258">
        <f t="shared" si="26"/>
        <v>46</v>
      </c>
      <c r="BA26" s="4258">
        <f t="shared" si="26"/>
        <v>344</v>
      </c>
      <c r="BB26" s="4259">
        <f>SUM(AY26:BA26)</f>
        <v>393</v>
      </c>
    </row>
    <row r="27" spans="1:54" ht="18" customHeight="1" x14ac:dyDescent="0.2">
      <c r="A27" s="5044"/>
      <c r="B27" s="1926" t="s">
        <v>11</v>
      </c>
      <c r="C27" s="4261">
        <v>1</v>
      </c>
      <c r="D27" s="4262">
        <v>33</v>
      </c>
      <c r="E27" s="4262">
        <v>350</v>
      </c>
      <c r="F27" s="4263">
        <v>384</v>
      </c>
      <c r="G27" s="4275"/>
      <c r="H27" s="4262">
        <v>22</v>
      </c>
      <c r="I27" s="4262">
        <v>359</v>
      </c>
      <c r="J27" s="4263">
        <v>381</v>
      </c>
      <c r="K27" s="4275"/>
      <c r="L27" s="4262">
        <v>25</v>
      </c>
      <c r="M27" s="4262">
        <v>364</v>
      </c>
      <c r="N27" s="4263">
        <v>389</v>
      </c>
      <c r="O27" s="4275"/>
      <c r="P27" s="4262">
        <v>28</v>
      </c>
      <c r="Q27" s="4262">
        <v>359</v>
      </c>
      <c r="R27" s="4263">
        <v>387</v>
      </c>
      <c r="S27" s="4261"/>
      <c r="T27" s="4262">
        <v>27</v>
      </c>
      <c r="U27" s="4262">
        <v>355</v>
      </c>
      <c r="V27" s="4263">
        <v>382</v>
      </c>
      <c r="W27" s="4261"/>
      <c r="X27" s="4262">
        <v>30</v>
      </c>
      <c r="Y27" s="4262">
        <v>350</v>
      </c>
      <c r="Z27" s="4263">
        <f>SUM(W27:Y27)</f>
        <v>380</v>
      </c>
      <c r="AA27" s="4261"/>
      <c r="AB27" s="4262">
        <v>32</v>
      </c>
      <c r="AC27" s="4262">
        <v>339</v>
      </c>
      <c r="AD27" s="4263">
        <f>SUM(AA27:AC27)</f>
        <v>371</v>
      </c>
      <c r="AE27" s="4261"/>
      <c r="AF27" s="4262">
        <v>34</v>
      </c>
      <c r="AG27" s="4262">
        <v>341</v>
      </c>
      <c r="AH27" s="4263">
        <v>375</v>
      </c>
      <c r="AI27" s="4261"/>
      <c r="AJ27" s="4262">
        <v>28</v>
      </c>
      <c r="AK27" s="4262">
        <v>345</v>
      </c>
      <c r="AL27" s="4263">
        <f>SUM(AI27:AK27)</f>
        <v>373</v>
      </c>
      <c r="AM27" s="4261"/>
      <c r="AN27" s="4262">
        <v>37</v>
      </c>
      <c r="AO27" s="4262">
        <v>341</v>
      </c>
      <c r="AP27" s="4263">
        <f>SUM(AM27:AO27)</f>
        <v>378</v>
      </c>
      <c r="AQ27" s="4261">
        <f t="shared" ref="AQ27:AS28" si="27">SUM(AQ62,AQ97,AQ132)</f>
        <v>0</v>
      </c>
      <c r="AR27" s="4262">
        <f t="shared" si="27"/>
        <v>50</v>
      </c>
      <c r="AS27" s="4262">
        <f t="shared" si="27"/>
        <v>336</v>
      </c>
      <c r="AT27" s="4263">
        <f>SUM(AQ27:AS27)</f>
        <v>386</v>
      </c>
      <c r="AU27" s="4262">
        <f t="shared" si="25"/>
        <v>0</v>
      </c>
      <c r="AV27" s="4262">
        <f t="shared" si="25"/>
        <v>61</v>
      </c>
      <c r="AW27" s="4262">
        <f t="shared" si="25"/>
        <v>339</v>
      </c>
      <c r="AX27" s="4263">
        <f>SUM(AU27:AW27)</f>
        <v>400</v>
      </c>
      <c r="AY27" s="4262">
        <f t="shared" ref="AY27:BA27" si="28">SUM(AY62,AY97,AY132)</f>
        <v>0</v>
      </c>
      <c r="AZ27" s="4262">
        <f t="shared" si="28"/>
        <v>63</v>
      </c>
      <c r="BA27" s="4262">
        <f t="shared" si="28"/>
        <v>336</v>
      </c>
      <c r="BB27" s="4263">
        <f>SUM(AY27:BA27)</f>
        <v>399</v>
      </c>
    </row>
    <row r="28" spans="1:54" ht="18" customHeight="1" x14ac:dyDescent="0.2">
      <c r="A28" s="5044"/>
      <c r="B28" s="1926" t="s">
        <v>7</v>
      </c>
      <c r="C28" s="4292">
        <v>1</v>
      </c>
      <c r="D28" s="4266">
        <v>17</v>
      </c>
      <c r="E28" s="4266">
        <v>154</v>
      </c>
      <c r="F28" s="4267">
        <v>172</v>
      </c>
      <c r="G28" s="4292">
        <v>1</v>
      </c>
      <c r="H28" s="4266">
        <v>15</v>
      </c>
      <c r="I28" s="4266">
        <v>152</v>
      </c>
      <c r="J28" s="4267">
        <v>168</v>
      </c>
      <c r="K28" s="4292">
        <v>1</v>
      </c>
      <c r="L28" s="4266">
        <v>13</v>
      </c>
      <c r="M28" s="4266">
        <v>155</v>
      </c>
      <c r="N28" s="4267">
        <v>169</v>
      </c>
      <c r="O28" s="4292">
        <v>1</v>
      </c>
      <c r="P28" s="4266">
        <v>15</v>
      </c>
      <c r="Q28" s="4266">
        <v>154</v>
      </c>
      <c r="R28" s="4267">
        <v>170</v>
      </c>
      <c r="S28" s="4292">
        <v>1</v>
      </c>
      <c r="T28" s="4266">
        <v>17</v>
      </c>
      <c r="U28" s="4266">
        <v>151</v>
      </c>
      <c r="V28" s="4267">
        <v>169</v>
      </c>
      <c r="W28" s="4292">
        <v>1</v>
      </c>
      <c r="X28" s="4266">
        <v>17</v>
      </c>
      <c r="Y28" s="4266">
        <v>151</v>
      </c>
      <c r="Z28" s="4263">
        <f>SUM(W28:Y28)</f>
        <v>169</v>
      </c>
      <c r="AA28" s="4292">
        <v>1</v>
      </c>
      <c r="AB28" s="4266">
        <v>21</v>
      </c>
      <c r="AC28" s="4266">
        <v>157</v>
      </c>
      <c r="AD28" s="4267">
        <f>SUM(AA28:AC28)</f>
        <v>179</v>
      </c>
      <c r="AE28" s="4261">
        <v>1</v>
      </c>
      <c r="AF28" s="4262">
        <v>20</v>
      </c>
      <c r="AG28" s="4262">
        <v>158</v>
      </c>
      <c r="AH28" s="4263">
        <v>179</v>
      </c>
      <c r="AI28" s="4261">
        <v>1</v>
      </c>
      <c r="AJ28" s="4262">
        <v>24</v>
      </c>
      <c r="AK28" s="4262">
        <v>158</v>
      </c>
      <c r="AL28" s="4263">
        <f>SUM(AI28:AK28)</f>
        <v>183</v>
      </c>
      <c r="AM28" s="4261">
        <v>1</v>
      </c>
      <c r="AN28" s="4262">
        <v>24</v>
      </c>
      <c r="AO28" s="4262">
        <v>155</v>
      </c>
      <c r="AP28" s="4263">
        <f>SUM(AM28:AO28)</f>
        <v>180</v>
      </c>
      <c r="AQ28" s="4261">
        <f t="shared" si="27"/>
        <v>1</v>
      </c>
      <c r="AR28" s="4262">
        <f t="shared" si="27"/>
        <v>25</v>
      </c>
      <c r="AS28" s="4262">
        <f t="shared" si="27"/>
        <v>153</v>
      </c>
      <c r="AT28" s="4263">
        <f>SUM(AQ28:AS28)</f>
        <v>179</v>
      </c>
      <c r="AU28" s="4266">
        <f t="shared" si="25"/>
        <v>1</v>
      </c>
      <c r="AV28" s="4266">
        <f t="shared" si="25"/>
        <v>30</v>
      </c>
      <c r="AW28" s="4266">
        <f t="shared" si="25"/>
        <v>153</v>
      </c>
      <c r="AX28" s="4267">
        <f>SUM(AU28:AW28)</f>
        <v>184</v>
      </c>
      <c r="AY28" s="4266">
        <f t="shared" ref="AY28:BA28" si="29">SUM(AY63,AY98,AY133)</f>
        <v>1</v>
      </c>
      <c r="AZ28" s="4266">
        <f t="shared" si="29"/>
        <v>29</v>
      </c>
      <c r="BA28" s="4266">
        <f t="shared" si="29"/>
        <v>151</v>
      </c>
      <c r="BB28" s="4267">
        <f>SUM(AY28:BA28)</f>
        <v>181</v>
      </c>
    </row>
    <row r="29" spans="1:54" ht="18" customHeight="1" x14ac:dyDescent="0.2">
      <c r="A29" s="5110"/>
      <c r="B29" s="4300" t="s">
        <v>12</v>
      </c>
      <c r="C29" s="4301">
        <v>3</v>
      </c>
      <c r="D29" s="4302">
        <v>87</v>
      </c>
      <c r="E29" s="4302">
        <v>855</v>
      </c>
      <c r="F29" s="4303">
        <f>SUM(F26:F28)</f>
        <v>945</v>
      </c>
      <c r="G29" s="4301">
        <v>1</v>
      </c>
      <c r="H29" s="4302">
        <v>63</v>
      </c>
      <c r="I29" s="4302">
        <v>869</v>
      </c>
      <c r="J29" s="4303">
        <v>933</v>
      </c>
      <c r="K29" s="4301">
        <v>3</v>
      </c>
      <c r="L29" s="4302">
        <v>67</v>
      </c>
      <c r="M29" s="4302">
        <v>875</v>
      </c>
      <c r="N29" s="4302">
        <f>SUM(N26:N28)</f>
        <v>945</v>
      </c>
      <c r="O29" s="4301">
        <v>2</v>
      </c>
      <c r="P29" s="4302">
        <v>78</v>
      </c>
      <c r="Q29" s="4302">
        <v>863</v>
      </c>
      <c r="R29" s="4303">
        <f>SUM(R26:R28)</f>
        <v>943</v>
      </c>
      <c r="S29" s="4302">
        <v>2</v>
      </c>
      <c r="T29" s="4302">
        <v>74</v>
      </c>
      <c r="U29" s="4302">
        <v>843</v>
      </c>
      <c r="V29" s="4303">
        <f t="shared" ref="V29:AX29" si="30">SUM(V26:V28)</f>
        <v>919</v>
      </c>
      <c r="W29" s="4301">
        <f t="shared" si="30"/>
        <v>2</v>
      </c>
      <c r="X29" s="4302">
        <f t="shared" si="30"/>
        <v>89</v>
      </c>
      <c r="Y29" s="4302">
        <f t="shared" si="30"/>
        <v>834</v>
      </c>
      <c r="Z29" s="4303">
        <f t="shared" si="30"/>
        <v>925</v>
      </c>
      <c r="AA29" s="4301">
        <f t="shared" si="30"/>
        <v>3</v>
      </c>
      <c r="AB29" s="4302">
        <f t="shared" si="30"/>
        <v>101</v>
      </c>
      <c r="AC29" s="4302">
        <f t="shared" si="30"/>
        <v>829</v>
      </c>
      <c r="AD29" s="4303">
        <f t="shared" si="30"/>
        <v>933</v>
      </c>
      <c r="AE29" s="4301">
        <f t="shared" si="30"/>
        <v>3</v>
      </c>
      <c r="AF29" s="4302">
        <f t="shared" si="30"/>
        <v>110</v>
      </c>
      <c r="AG29" s="4302">
        <f t="shared" si="30"/>
        <v>831</v>
      </c>
      <c r="AH29" s="4303">
        <f t="shared" si="30"/>
        <v>944</v>
      </c>
      <c r="AI29" s="4301">
        <f t="shared" si="30"/>
        <v>5</v>
      </c>
      <c r="AJ29" s="4302">
        <f t="shared" si="30"/>
        <v>111</v>
      </c>
      <c r="AK29" s="4302">
        <f t="shared" si="30"/>
        <v>843</v>
      </c>
      <c r="AL29" s="4303">
        <f t="shared" si="30"/>
        <v>959</v>
      </c>
      <c r="AM29" s="4301">
        <f t="shared" si="30"/>
        <v>5</v>
      </c>
      <c r="AN29" s="4302">
        <f t="shared" si="30"/>
        <v>114</v>
      </c>
      <c r="AO29" s="4302">
        <f t="shared" si="30"/>
        <v>842</v>
      </c>
      <c r="AP29" s="4303">
        <f t="shared" si="30"/>
        <v>961</v>
      </c>
      <c r="AQ29" s="4301">
        <f t="shared" si="30"/>
        <v>4</v>
      </c>
      <c r="AR29" s="4302">
        <f t="shared" si="30"/>
        <v>123</v>
      </c>
      <c r="AS29" s="4302">
        <f t="shared" si="30"/>
        <v>837</v>
      </c>
      <c r="AT29" s="4303">
        <f t="shared" si="30"/>
        <v>964</v>
      </c>
      <c r="AU29" s="4301">
        <f t="shared" si="30"/>
        <v>4</v>
      </c>
      <c r="AV29" s="4302">
        <f t="shared" si="30"/>
        <v>139</v>
      </c>
      <c r="AW29" s="4302">
        <f t="shared" si="30"/>
        <v>839</v>
      </c>
      <c r="AX29" s="4303">
        <f t="shared" si="30"/>
        <v>982</v>
      </c>
      <c r="AY29" s="4301">
        <f t="shared" ref="AY29:BB29" si="31">SUM(AY26:AY28)</f>
        <v>4</v>
      </c>
      <c r="AZ29" s="4302">
        <f t="shared" si="31"/>
        <v>138</v>
      </c>
      <c r="BA29" s="4302">
        <f t="shared" si="31"/>
        <v>831</v>
      </c>
      <c r="BB29" s="4303">
        <f t="shared" si="31"/>
        <v>973</v>
      </c>
    </row>
    <row r="30" spans="1:54" x14ac:dyDescent="0.2">
      <c r="A30" s="1925"/>
      <c r="B30" s="1925"/>
      <c r="C30" s="1925"/>
      <c r="D30" s="1925"/>
      <c r="E30" s="1925"/>
      <c r="F30" s="1925"/>
      <c r="G30" s="1925"/>
      <c r="H30" s="1925"/>
      <c r="I30" s="1925"/>
      <c r="J30" s="1925"/>
      <c r="K30" s="1925"/>
      <c r="L30" s="1925"/>
      <c r="M30" s="1925"/>
      <c r="N30" s="1925"/>
      <c r="O30" s="1925"/>
      <c r="P30" s="1925"/>
      <c r="Q30" s="1925"/>
      <c r="R30" s="1925"/>
      <c r="S30" s="1925"/>
      <c r="T30" s="1925"/>
      <c r="U30" s="1925"/>
      <c r="V30" s="1925"/>
      <c r="W30" s="1925"/>
      <c r="X30" s="1925"/>
      <c r="Y30" s="1925"/>
      <c r="Z30" s="1925"/>
      <c r="AA30" s="1925"/>
      <c r="AB30" s="1925"/>
      <c r="AC30" s="1925"/>
      <c r="AD30" s="1925"/>
      <c r="AE30" s="4264"/>
      <c r="AF30" s="4264"/>
      <c r="AG30" s="4264"/>
      <c r="AH30" s="1925"/>
      <c r="AI30" s="4264"/>
      <c r="AJ30" s="4264"/>
      <c r="AK30" s="4264"/>
      <c r="AL30" s="1925"/>
      <c r="AM30" s="4264"/>
      <c r="AN30" s="4264"/>
      <c r="AO30" s="4264"/>
      <c r="AP30" s="1925"/>
      <c r="AQ30" s="4264"/>
      <c r="AR30" s="4264"/>
      <c r="AS30" s="4264"/>
      <c r="AT30" s="1925"/>
      <c r="AU30" s="4264"/>
      <c r="AV30" s="4264"/>
      <c r="AW30" s="4264"/>
      <c r="AX30" s="1925"/>
      <c r="AY30" s="4264"/>
      <c r="AZ30" s="4264"/>
      <c r="BA30" s="4264"/>
      <c r="BB30" s="1925"/>
    </row>
    <row r="31" spans="1:54" ht="21.75" customHeight="1" x14ac:dyDescent="0.2">
      <c r="A31" s="4149" t="s">
        <v>60</v>
      </c>
      <c r="B31" s="4150"/>
      <c r="C31" s="4304">
        <v>41</v>
      </c>
      <c r="D31" s="4305">
        <v>305</v>
      </c>
      <c r="E31" s="4305">
        <v>2469</v>
      </c>
      <c r="F31" s="4306">
        <v>2815</v>
      </c>
      <c r="G31" s="4304">
        <v>28</v>
      </c>
      <c r="H31" s="4305">
        <v>218</v>
      </c>
      <c r="I31" s="4305">
        <v>2571</v>
      </c>
      <c r="J31" s="4306">
        <v>2817</v>
      </c>
      <c r="K31" s="4304">
        <v>34</v>
      </c>
      <c r="L31" s="4305">
        <v>226</v>
      </c>
      <c r="M31" s="4305">
        <v>2593</v>
      </c>
      <c r="N31" s="4305">
        <v>2853</v>
      </c>
      <c r="O31" s="4304">
        <v>36</v>
      </c>
      <c r="P31" s="4305">
        <v>251</v>
      </c>
      <c r="Q31" s="4305">
        <v>2578</v>
      </c>
      <c r="R31" s="4306">
        <v>2865</v>
      </c>
      <c r="S31" s="4305">
        <v>34</v>
      </c>
      <c r="T31" s="4305">
        <v>267</v>
      </c>
      <c r="U31" s="4305">
        <v>2581</v>
      </c>
      <c r="V31" s="4306">
        <v>2882</v>
      </c>
      <c r="W31" s="4304">
        <f>W9+W14+W19+W29</f>
        <v>33</v>
      </c>
      <c r="X31" s="4305">
        <f>X9+X14+X19+X29</f>
        <v>296</v>
      </c>
      <c r="Y31" s="4305">
        <f>Y9+Y14+Y19+Y29</f>
        <v>2563</v>
      </c>
      <c r="Z31" s="4306">
        <f>Z9+Z14+Z19+Z29</f>
        <v>2892</v>
      </c>
      <c r="AA31" s="4304">
        <f t="shared" ref="AA31:AH31" si="32">AA9+AA14+AA19+AA24+AA29</f>
        <v>37</v>
      </c>
      <c r="AB31" s="4305">
        <f t="shared" si="32"/>
        <v>304</v>
      </c>
      <c r="AC31" s="4305">
        <f t="shared" si="32"/>
        <v>2570</v>
      </c>
      <c r="AD31" s="4306">
        <f t="shared" si="32"/>
        <v>2911</v>
      </c>
      <c r="AE31" s="4304">
        <f t="shared" si="32"/>
        <v>34</v>
      </c>
      <c r="AF31" s="4305">
        <f t="shared" si="32"/>
        <v>329</v>
      </c>
      <c r="AG31" s="4305">
        <f t="shared" si="32"/>
        <v>2595</v>
      </c>
      <c r="AH31" s="4306">
        <f t="shared" si="32"/>
        <v>2958</v>
      </c>
      <c r="AI31" s="4304">
        <f t="shared" ref="AI31:AX31" si="33">SUM(AI9,AI14,AI19,AI24,AI29)</f>
        <v>31</v>
      </c>
      <c r="AJ31" s="4305">
        <f t="shared" si="33"/>
        <v>335</v>
      </c>
      <c r="AK31" s="4305">
        <f t="shared" si="33"/>
        <v>2638</v>
      </c>
      <c r="AL31" s="4306">
        <f t="shared" si="33"/>
        <v>3004</v>
      </c>
      <c r="AM31" s="4304">
        <f t="shared" si="33"/>
        <v>30</v>
      </c>
      <c r="AN31" s="4305">
        <f t="shared" si="33"/>
        <v>345</v>
      </c>
      <c r="AO31" s="4305">
        <f t="shared" si="33"/>
        <v>2651</v>
      </c>
      <c r="AP31" s="4306">
        <f t="shared" si="33"/>
        <v>3026</v>
      </c>
      <c r="AQ31" s="4304">
        <f t="shared" si="33"/>
        <v>33</v>
      </c>
      <c r="AR31" s="4305">
        <f t="shared" si="33"/>
        <v>367</v>
      </c>
      <c r="AS31" s="4305">
        <f t="shared" si="33"/>
        <v>2657</v>
      </c>
      <c r="AT31" s="4306">
        <f t="shared" si="33"/>
        <v>3057</v>
      </c>
      <c r="AU31" s="4304">
        <f t="shared" si="33"/>
        <v>36</v>
      </c>
      <c r="AV31" s="4305">
        <f t="shared" si="33"/>
        <v>408</v>
      </c>
      <c r="AW31" s="4305">
        <f t="shared" si="33"/>
        <v>2680</v>
      </c>
      <c r="AX31" s="4306">
        <f t="shared" si="33"/>
        <v>3124</v>
      </c>
      <c r="AY31" s="4304">
        <f t="shared" ref="AY31:BB31" si="34">SUM(AY9,AY14,AY19,AY24,AY29)</f>
        <v>30</v>
      </c>
      <c r="AZ31" s="4305">
        <f t="shared" si="34"/>
        <v>390</v>
      </c>
      <c r="BA31" s="4305">
        <f t="shared" si="34"/>
        <v>2670</v>
      </c>
      <c r="BB31" s="4306">
        <f t="shared" si="34"/>
        <v>3090</v>
      </c>
    </row>
    <row r="32" spans="1:54" x14ac:dyDescent="0.25">
      <c r="A32" s="4307" t="s">
        <v>1382</v>
      </c>
      <c r="B32" s="4308"/>
      <c r="C32" s="4308"/>
      <c r="D32" s="4308"/>
      <c r="E32" s="4308"/>
      <c r="F32" s="4308"/>
      <c r="G32" s="4308"/>
      <c r="H32" s="4308"/>
      <c r="I32" s="4308"/>
      <c r="J32" s="4308"/>
      <c r="K32" s="4308"/>
      <c r="L32" s="4308"/>
      <c r="M32" s="4308"/>
      <c r="N32" s="4308"/>
      <c r="O32" s="4308"/>
      <c r="P32" s="4308"/>
      <c r="Q32" s="4308"/>
      <c r="R32" s="4308"/>
      <c r="S32" s="4308"/>
      <c r="T32" s="4308"/>
      <c r="U32" s="4308"/>
      <c r="V32" s="4308"/>
      <c r="W32" s="1925"/>
      <c r="X32" s="1925"/>
      <c r="Y32" s="1925"/>
      <c r="Z32" s="1925"/>
      <c r="AA32" s="1925"/>
      <c r="AB32" s="1925"/>
      <c r="AC32" s="1925"/>
      <c r="AD32" s="1925"/>
      <c r="AE32" s="1925"/>
      <c r="AF32" s="1925"/>
      <c r="AG32" s="1925"/>
      <c r="AH32" s="1925"/>
      <c r="AI32" s="1925"/>
      <c r="AJ32" s="1925"/>
      <c r="AK32" s="1925"/>
      <c r="AL32" s="1925"/>
      <c r="AM32" s="1925"/>
      <c r="AN32" s="1925"/>
      <c r="AO32" s="1925"/>
      <c r="AP32" s="1925"/>
      <c r="AQ32" s="1925"/>
      <c r="AR32" s="1925"/>
      <c r="AS32" s="1925"/>
      <c r="AT32" s="1925"/>
      <c r="AU32" s="1925"/>
      <c r="AV32" s="1925"/>
      <c r="AW32" s="1925"/>
      <c r="AX32" s="1925"/>
      <c r="AY32" s="1925"/>
      <c r="AZ32" s="1925"/>
      <c r="BA32" s="1925"/>
      <c r="BB32" s="1925"/>
    </row>
    <row r="33" spans="1:54" x14ac:dyDescent="0.25">
      <c r="A33" s="4307" t="s">
        <v>116</v>
      </c>
      <c r="B33" s="4308"/>
      <c r="C33" s="4308"/>
      <c r="D33" s="4308"/>
      <c r="E33" s="4308"/>
      <c r="F33" s="4308"/>
      <c r="G33" s="4308"/>
      <c r="H33" s="4308"/>
      <c r="I33" s="4308"/>
      <c r="J33" s="4308"/>
      <c r="K33" s="4308"/>
      <c r="L33" s="4308"/>
      <c r="M33" s="4308"/>
      <c r="N33" s="4308"/>
      <c r="O33" s="4308"/>
      <c r="P33" s="4308"/>
      <c r="Q33" s="4308"/>
      <c r="R33" s="4308"/>
      <c r="S33" s="4308"/>
      <c r="T33" s="4308"/>
      <c r="U33" s="4308"/>
      <c r="V33" s="4308"/>
      <c r="W33" s="1925"/>
      <c r="X33" s="1925"/>
      <c r="Y33" s="1925"/>
      <c r="Z33" s="1925"/>
      <c r="AA33" s="1925"/>
      <c r="AB33" s="1925"/>
      <c r="AC33" s="1925"/>
      <c r="AD33" s="1925"/>
      <c r="AE33" s="1925"/>
      <c r="AF33" s="1925"/>
      <c r="AG33" s="1925"/>
      <c r="AH33" s="1925"/>
      <c r="AI33" s="1925"/>
      <c r="AJ33" s="1925"/>
      <c r="AK33" s="1925"/>
      <c r="AL33" s="1925"/>
      <c r="AM33" s="1925"/>
      <c r="AN33" s="1925"/>
      <c r="AO33" s="1925"/>
      <c r="AP33" s="1925"/>
      <c r="AQ33" s="1925"/>
      <c r="AR33" s="1925"/>
      <c r="AS33" s="1925"/>
      <c r="AT33" s="1925"/>
      <c r="AU33" s="1925"/>
      <c r="AV33" s="1925"/>
      <c r="AW33" s="1925"/>
      <c r="AX33" s="1925"/>
      <c r="AY33" s="1925"/>
      <c r="AZ33" s="1925"/>
      <c r="BA33" s="1925"/>
      <c r="BB33" s="1925"/>
    </row>
    <row r="34" spans="1:54" x14ac:dyDescent="0.25">
      <c r="A34" s="4307"/>
      <c r="B34" s="4308"/>
      <c r="C34" s="4308"/>
      <c r="D34" s="4308"/>
      <c r="E34" s="4308"/>
      <c r="F34" s="4308"/>
      <c r="G34" s="4308"/>
      <c r="H34" s="4308"/>
      <c r="I34" s="4308"/>
      <c r="J34" s="4308"/>
      <c r="K34" s="4308"/>
      <c r="L34" s="4308"/>
      <c r="M34" s="4308"/>
      <c r="N34" s="4308"/>
      <c r="O34" s="4308"/>
      <c r="P34" s="4308"/>
      <c r="Q34" s="4308"/>
      <c r="R34" s="4308"/>
      <c r="S34" s="4308"/>
      <c r="T34" s="4308"/>
      <c r="U34" s="4308"/>
      <c r="V34" s="4308"/>
      <c r="W34" s="1925"/>
      <c r="X34" s="1925"/>
      <c r="Y34" s="1925"/>
      <c r="Z34" s="1925"/>
      <c r="AA34" s="1925"/>
      <c r="AB34" s="1925"/>
      <c r="AC34" s="1925"/>
      <c r="AD34" s="1925"/>
      <c r="AE34" s="1925"/>
      <c r="AF34" s="1925"/>
      <c r="AG34" s="1925"/>
      <c r="AH34" s="1925"/>
      <c r="AI34" s="1925"/>
      <c r="AJ34" s="1925"/>
      <c r="AK34" s="1925"/>
      <c r="AL34" s="1925"/>
      <c r="AM34" s="1925"/>
      <c r="AN34" s="1925"/>
      <c r="AO34" s="1925"/>
      <c r="AP34" s="1925"/>
      <c r="AQ34" s="1925"/>
      <c r="AR34" s="1925"/>
      <c r="AS34" s="1925"/>
      <c r="AT34" s="1925"/>
      <c r="AU34" s="1925"/>
      <c r="AV34" s="1925"/>
      <c r="AW34" s="1925"/>
      <c r="AX34" s="1925"/>
      <c r="AY34" s="1925"/>
      <c r="AZ34" s="1925"/>
      <c r="BA34" s="1925"/>
      <c r="BB34" s="1925"/>
    </row>
    <row r="35" spans="1:54" x14ac:dyDescent="0.2">
      <c r="A35" s="4309"/>
      <c r="B35" s="4309"/>
      <c r="C35" s="4309"/>
      <c r="D35" s="4309"/>
      <c r="E35" s="4309"/>
      <c r="F35" s="4309"/>
      <c r="G35" s="4309"/>
      <c r="H35" s="4309"/>
      <c r="I35" s="4309"/>
      <c r="J35" s="4309"/>
      <c r="K35" s="4309"/>
      <c r="L35" s="4309"/>
      <c r="M35" s="4309"/>
      <c r="N35" s="4309"/>
      <c r="O35" s="4309"/>
      <c r="P35" s="4309"/>
      <c r="Q35" s="4309"/>
      <c r="R35" s="4309"/>
      <c r="S35" s="4309"/>
      <c r="T35" s="4309"/>
      <c r="U35" s="4309"/>
      <c r="V35" s="4309"/>
      <c r="W35" s="4309"/>
      <c r="X35" s="4309"/>
      <c r="Y35" s="4309"/>
      <c r="Z35" s="4309"/>
      <c r="AA35" s="1925"/>
      <c r="AB35" s="1925"/>
      <c r="AC35" s="1925"/>
      <c r="AD35" s="1925"/>
      <c r="AE35" s="1925"/>
      <c r="AF35" s="1925"/>
      <c r="AG35" s="1925"/>
      <c r="AH35" s="1925"/>
      <c r="AI35" s="1925"/>
      <c r="AJ35" s="1925"/>
      <c r="AK35" s="1925"/>
      <c r="AL35" s="1925"/>
      <c r="AM35" s="1925"/>
      <c r="AN35" s="1925"/>
      <c r="AO35" s="1925"/>
      <c r="AP35" s="1925"/>
      <c r="AQ35" s="1925"/>
      <c r="AR35" s="1925"/>
      <c r="AS35" s="1925"/>
      <c r="AT35" s="1925"/>
      <c r="AU35" s="1925"/>
      <c r="AV35" s="1925"/>
      <c r="AW35" s="1925"/>
      <c r="AX35" s="1925"/>
      <c r="AY35" s="1925"/>
      <c r="AZ35" s="1925"/>
      <c r="BA35" s="1925"/>
      <c r="BB35" s="1925"/>
    </row>
    <row r="36" spans="1:54" ht="59.25" customHeight="1" x14ac:dyDescent="0.2">
      <c r="A36" s="6272" t="s">
        <v>1390</v>
      </c>
      <c r="B36" s="6272"/>
      <c r="D36" s="4250"/>
      <c r="E36" s="4250"/>
      <c r="F36" s="4250"/>
      <c r="G36" s="4250"/>
      <c r="H36" s="4250"/>
      <c r="I36" s="4250"/>
      <c r="J36" s="4250"/>
      <c r="K36" s="4250"/>
      <c r="L36" s="4250"/>
      <c r="M36" s="4250"/>
      <c r="N36" s="4250"/>
      <c r="O36" s="4250"/>
      <c r="P36" s="4250"/>
      <c r="Q36" s="4250"/>
      <c r="R36" s="4250"/>
      <c r="S36" s="4250"/>
      <c r="T36" s="4250"/>
      <c r="U36" s="4250"/>
      <c r="V36" s="4250"/>
      <c r="W36" s="4250"/>
      <c r="X36" s="4250"/>
      <c r="Y36" s="4250"/>
      <c r="Z36" s="4250"/>
      <c r="AB36" s="4250"/>
      <c r="AC36" s="4250"/>
      <c r="AD36" s="4250"/>
      <c r="AE36" s="4250"/>
      <c r="AF36" s="4250"/>
      <c r="AG36" s="4250"/>
      <c r="AH36" s="4250"/>
      <c r="AI36" s="4250"/>
      <c r="AJ36" s="4250"/>
      <c r="AK36" s="4250"/>
      <c r="AL36" s="4250"/>
      <c r="AM36" s="4250"/>
      <c r="AN36" s="4250"/>
      <c r="AO36" s="4250"/>
      <c r="AP36" s="4250"/>
      <c r="AQ36" s="4250"/>
      <c r="AR36" s="4250"/>
      <c r="AS36" s="4250"/>
      <c r="AT36" s="4250"/>
      <c r="AU36" s="4250"/>
      <c r="AV36" s="4250"/>
      <c r="AW36" s="4250"/>
      <c r="AX36" s="4311"/>
      <c r="AY36" s="4250"/>
      <c r="AZ36" s="4250"/>
      <c r="BA36" s="4250"/>
      <c r="BB36" s="4311" t="s">
        <v>809</v>
      </c>
    </row>
    <row r="37" spans="1:54" ht="11.25" customHeight="1" x14ac:dyDescent="0.2">
      <c r="A37" s="1925"/>
      <c r="B37" s="1925"/>
      <c r="C37" s="1925"/>
      <c r="D37" s="1925"/>
      <c r="E37" s="1925"/>
      <c r="F37" s="1925"/>
      <c r="G37" s="1925"/>
      <c r="H37" s="1925"/>
      <c r="I37" s="1925"/>
      <c r="J37" s="1925"/>
      <c r="K37" s="1925"/>
      <c r="L37" s="1925"/>
      <c r="M37" s="1925"/>
      <c r="N37" s="1925"/>
      <c r="O37" s="1925"/>
      <c r="P37" s="1925"/>
      <c r="Q37" s="1925"/>
      <c r="R37" s="1925"/>
      <c r="S37" s="1925"/>
      <c r="T37" s="1925"/>
      <c r="U37" s="1925"/>
      <c r="V37" s="1925"/>
      <c r="W37" s="1925"/>
      <c r="X37" s="1925"/>
      <c r="Y37" s="1925"/>
      <c r="Z37" s="1925"/>
      <c r="AA37" s="1925"/>
      <c r="AB37" s="1925"/>
      <c r="AC37" s="1925"/>
      <c r="AD37" s="1925"/>
      <c r="AE37" s="1925"/>
      <c r="AF37" s="1925"/>
      <c r="AG37" s="1925"/>
      <c r="AH37" s="1925"/>
      <c r="AI37" s="1925"/>
      <c r="AJ37" s="1925"/>
      <c r="AK37" s="1925"/>
      <c r="AL37" s="1925"/>
      <c r="AM37" s="1925"/>
      <c r="AN37" s="1925"/>
      <c r="AO37" s="1925"/>
      <c r="AP37" s="1925"/>
      <c r="AQ37" s="1925"/>
      <c r="AR37" s="1925"/>
      <c r="AS37" s="1925"/>
      <c r="AT37" s="1925"/>
      <c r="AU37" s="1925"/>
      <c r="AV37" s="1925"/>
      <c r="AW37" s="1925"/>
      <c r="AX37" s="1925"/>
      <c r="AY37" s="1925"/>
      <c r="AZ37" s="1925"/>
      <c r="BA37" s="1925"/>
      <c r="BB37" s="1925"/>
    </row>
    <row r="38" spans="1:54" x14ac:dyDescent="0.2">
      <c r="A38" s="6258" t="s">
        <v>16</v>
      </c>
      <c r="B38" s="6258" t="s">
        <v>4</v>
      </c>
      <c r="C38" s="6254">
        <v>2003</v>
      </c>
      <c r="D38" s="6255"/>
      <c r="E38" s="6255"/>
      <c r="F38" s="6256"/>
      <c r="G38" s="6254">
        <v>2004</v>
      </c>
      <c r="H38" s="6255"/>
      <c r="I38" s="6255"/>
      <c r="J38" s="6256"/>
      <c r="K38" s="6254">
        <v>2005</v>
      </c>
      <c r="L38" s="6255"/>
      <c r="M38" s="6255"/>
      <c r="N38" s="6256"/>
      <c r="O38" s="6254">
        <v>2006</v>
      </c>
      <c r="P38" s="6255"/>
      <c r="Q38" s="6255"/>
      <c r="R38" s="6256"/>
      <c r="S38" s="6254">
        <v>2007</v>
      </c>
      <c r="T38" s="6255"/>
      <c r="U38" s="6255"/>
      <c r="V38" s="6256"/>
      <c r="W38" s="6254">
        <v>2008</v>
      </c>
      <c r="X38" s="6255"/>
      <c r="Y38" s="6255"/>
      <c r="Z38" s="6256"/>
      <c r="AA38" s="6254">
        <v>2009</v>
      </c>
      <c r="AB38" s="6255"/>
      <c r="AC38" s="6255"/>
      <c r="AD38" s="6256"/>
      <c r="AE38" s="6254">
        <v>2010</v>
      </c>
      <c r="AF38" s="6255"/>
      <c r="AG38" s="6255"/>
      <c r="AH38" s="6256"/>
      <c r="AI38" s="6254">
        <v>2011</v>
      </c>
      <c r="AJ38" s="6255"/>
      <c r="AK38" s="6255"/>
      <c r="AL38" s="6256"/>
      <c r="AM38" s="6254">
        <v>2012</v>
      </c>
      <c r="AN38" s="6255"/>
      <c r="AO38" s="6255"/>
      <c r="AP38" s="6256"/>
      <c r="AQ38" s="6254">
        <v>2013</v>
      </c>
      <c r="AR38" s="6255"/>
      <c r="AS38" s="6255"/>
      <c r="AT38" s="6256"/>
      <c r="AU38" s="6254">
        <v>2014</v>
      </c>
      <c r="AV38" s="6255"/>
      <c r="AW38" s="6255"/>
      <c r="AX38" s="6256"/>
      <c r="AY38" s="6254">
        <v>2015</v>
      </c>
      <c r="AZ38" s="6255"/>
      <c r="BA38" s="6255"/>
      <c r="BB38" s="6256"/>
    </row>
    <row r="39" spans="1:54" x14ac:dyDescent="0.2">
      <c r="A39" s="6265"/>
      <c r="B39" s="6265"/>
      <c r="C39" s="4253" t="s">
        <v>1379</v>
      </c>
      <c r="D39" s="4254" t="s">
        <v>1380</v>
      </c>
      <c r="E39" s="4255" t="s">
        <v>1381</v>
      </c>
      <c r="F39" s="4256" t="s">
        <v>12</v>
      </c>
      <c r="G39" s="4253" t="s">
        <v>1379</v>
      </c>
      <c r="H39" s="4254" t="s">
        <v>1380</v>
      </c>
      <c r="I39" s="4255" t="s">
        <v>1381</v>
      </c>
      <c r="J39" s="4256" t="s">
        <v>12</v>
      </c>
      <c r="K39" s="4253" t="s">
        <v>1379</v>
      </c>
      <c r="L39" s="4254" t="s">
        <v>1380</v>
      </c>
      <c r="M39" s="4255" t="s">
        <v>1381</v>
      </c>
      <c r="N39" s="4256" t="s">
        <v>12</v>
      </c>
      <c r="O39" s="4253" t="s">
        <v>1379</v>
      </c>
      <c r="P39" s="4254" t="s">
        <v>1380</v>
      </c>
      <c r="Q39" s="4255" t="s">
        <v>1381</v>
      </c>
      <c r="R39" s="4256" t="s">
        <v>12</v>
      </c>
      <c r="S39" s="4253" t="s">
        <v>1379</v>
      </c>
      <c r="T39" s="4254" t="s">
        <v>1380</v>
      </c>
      <c r="U39" s="4255" t="s">
        <v>1381</v>
      </c>
      <c r="V39" s="4256" t="s">
        <v>12</v>
      </c>
      <c r="W39" s="4253" t="s">
        <v>1379</v>
      </c>
      <c r="X39" s="4254" t="s">
        <v>1380</v>
      </c>
      <c r="Y39" s="4255" t="s">
        <v>1381</v>
      </c>
      <c r="Z39" s="4256" t="s">
        <v>12</v>
      </c>
      <c r="AA39" s="4253" t="s">
        <v>1379</v>
      </c>
      <c r="AB39" s="4254" t="s">
        <v>1380</v>
      </c>
      <c r="AC39" s="4255" t="s">
        <v>1381</v>
      </c>
      <c r="AD39" s="4256" t="s">
        <v>12</v>
      </c>
      <c r="AE39" s="4253" t="s">
        <v>1379</v>
      </c>
      <c r="AF39" s="4254" t="s">
        <v>1380</v>
      </c>
      <c r="AG39" s="4255" t="s">
        <v>1381</v>
      </c>
      <c r="AH39" s="4256" t="s">
        <v>12</v>
      </c>
      <c r="AI39" s="4253" t="s">
        <v>1379</v>
      </c>
      <c r="AJ39" s="4254" t="s">
        <v>1380</v>
      </c>
      <c r="AK39" s="4255" t="s">
        <v>1381</v>
      </c>
      <c r="AL39" s="4256" t="s">
        <v>12</v>
      </c>
      <c r="AM39" s="4253" t="s">
        <v>1379</v>
      </c>
      <c r="AN39" s="4254" t="s">
        <v>1380</v>
      </c>
      <c r="AO39" s="4255" t="s">
        <v>1381</v>
      </c>
      <c r="AP39" s="4256" t="s">
        <v>12</v>
      </c>
      <c r="AQ39" s="4253" t="s">
        <v>1379</v>
      </c>
      <c r="AR39" s="4254" t="s">
        <v>1380</v>
      </c>
      <c r="AS39" s="4255" t="s">
        <v>1381</v>
      </c>
      <c r="AT39" s="4256" t="s">
        <v>12</v>
      </c>
      <c r="AU39" s="4253" t="s">
        <v>1379</v>
      </c>
      <c r="AV39" s="4254" t="s">
        <v>1380</v>
      </c>
      <c r="AW39" s="4255" t="s">
        <v>1381</v>
      </c>
      <c r="AX39" s="4256" t="s">
        <v>12</v>
      </c>
      <c r="AY39" s="4253" t="s">
        <v>1379</v>
      </c>
      <c r="AZ39" s="4254" t="s">
        <v>1380</v>
      </c>
      <c r="BA39" s="4255" t="s">
        <v>1381</v>
      </c>
      <c r="BB39" s="4256" t="s">
        <v>12</v>
      </c>
    </row>
    <row r="40" spans="1:54" x14ac:dyDescent="0.2">
      <c r="A40" s="1925"/>
      <c r="B40" s="1925"/>
      <c r="C40" s="1925"/>
      <c r="D40" s="1925"/>
      <c r="E40" s="1925"/>
      <c r="F40" s="1925"/>
      <c r="G40" s="1925"/>
      <c r="H40" s="1925"/>
      <c r="I40" s="1925"/>
      <c r="J40" s="1925"/>
      <c r="K40" s="1925"/>
      <c r="L40" s="1925"/>
      <c r="M40" s="1925"/>
      <c r="N40" s="1925"/>
      <c r="O40" s="1925"/>
      <c r="P40" s="1925"/>
      <c r="Q40" s="1925"/>
      <c r="R40" s="1925"/>
      <c r="S40" s="1925"/>
      <c r="T40" s="1925"/>
      <c r="U40" s="1925"/>
      <c r="V40" s="1925"/>
      <c r="W40" s="1925"/>
      <c r="X40" s="1925"/>
      <c r="Y40" s="1925"/>
      <c r="Z40" s="1925"/>
      <c r="AA40" s="1925"/>
      <c r="AB40" s="1925"/>
      <c r="AC40" s="1925"/>
      <c r="AD40" s="1925"/>
      <c r="AE40" s="1925"/>
      <c r="AF40" s="1925"/>
      <c r="AG40" s="1925"/>
      <c r="AH40" s="1925"/>
      <c r="AI40" s="1925"/>
      <c r="AJ40" s="1925"/>
      <c r="AK40" s="1925"/>
      <c r="AL40" s="1925"/>
      <c r="AM40" s="1925"/>
      <c r="AN40" s="1925"/>
      <c r="AO40" s="1925"/>
      <c r="AP40" s="1925"/>
      <c r="AQ40" s="1925"/>
      <c r="AR40" s="1925"/>
      <c r="AS40" s="1925"/>
      <c r="AT40" s="1925"/>
      <c r="AU40" s="1925"/>
      <c r="AV40" s="1925"/>
      <c r="AW40" s="1925"/>
      <c r="AX40" s="1925"/>
      <c r="AY40" s="1925"/>
      <c r="AZ40" s="1925"/>
      <c r="BA40" s="1925"/>
      <c r="BB40" s="1925"/>
    </row>
    <row r="41" spans="1:54" ht="18" customHeight="1" x14ac:dyDescent="0.2">
      <c r="A41" s="6262" t="s">
        <v>161</v>
      </c>
      <c r="B41" s="4148" t="s">
        <v>5</v>
      </c>
      <c r="C41" s="4257">
        <v>1</v>
      </c>
      <c r="D41" s="4258">
        <v>31</v>
      </c>
      <c r="E41" s="4258">
        <v>279</v>
      </c>
      <c r="F41" s="4259">
        <v>311</v>
      </c>
      <c r="G41" s="4257">
        <v>6</v>
      </c>
      <c r="H41" s="4258">
        <v>17</v>
      </c>
      <c r="I41" s="4258">
        <v>299</v>
      </c>
      <c r="J41" s="4259">
        <v>322</v>
      </c>
      <c r="K41" s="4257">
        <v>8</v>
      </c>
      <c r="L41" s="4258">
        <v>18</v>
      </c>
      <c r="M41" s="4258">
        <v>303</v>
      </c>
      <c r="N41" s="4260">
        <v>329</v>
      </c>
      <c r="O41" s="4257">
        <v>6</v>
      </c>
      <c r="P41" s="4258">
        <v>22</v>
      </c>
      <c r="Q41" s="4258">
        <v>299</v>
      </c>
      <c r="R41" s="4259">
        <v>327</v>
      </c>
      <c r="S41" s="4258">
        <v>5</v>
      </c>
      <c r="T41" s="4258">
        <v>29</v>
      </c>
      <c r="U41" s="4258">
        <v>306</v>
      </c>
      <c r="V41" s="4259">
        <v>340</v>
      </c>
      <c r="W41" s="4258">
        <v>7</v>
      </c>
      <c r="X41" s="4258">
        <v>31</v>
      </c>
      <c r="Y41" s="4258">
        <v>303</v>
      </c>
      <c r="Z41" s="4259">
        <v>341</v>
      </c>
      <c r="AA41" s="4258">
        <v>10</v>
      </c>
      <c r="AB41" s="4258">
        <v>34</v>
      </c>
      <c r="AC41" s="4258">
        <v>300</v>
      </c>
      <c r="AD41" s="4259">
        <v>344</v>
      </c>
      <c r="AE41" s="4258">
        <v>8</v>
      </c>
      <c r="AF41" s="4258">
        <v>35</v>
      </c>
      <c r="AG41" s="4258">
        <v>299</v>
      </c>
      <c r="AH41" s="4259">
        <v>342</v>
      </c>
      <c r="AI41" s="4258">
        <v>6</v>
      </c>
      <c r="AJ41" s="4258">
        <v>32</v>
      </c>
      <c r="AK41" s="4258">
        <v>304</v>
      </c>
      <c r="AL41" s="4259">
        <f>SUM(AI41:AK41)</f>
        <v>342</v>
      </c>
      <c r="AM41" s="4258">
        <v>9</v>
      </c>
      <c r="AN41" s="4258">
        <v>34</v>
      </c>
      <c r="AO41" s="4258">
        <v>305</v>
      </c>
      <c r="AP41" s="4259">
        <f>SUM(AM41:AO41)</f>
        <v>348</v>
      </c>
      <c r="AQ41" s="4258">
        <v>7</v>
      </c>
      <c r="AR41" s="4258">
        <v>39</v>
      </c>
      <c r="AS41" s="4258">
        <v>303</v>
      </c>
      <c r="AT41" s="4259">
        <f>SUM(AQ41:AS41)</f>
        <v>349</v>
      </c>
      <c r="AU41" s="4258">
        <v>11</v>
      </c>
      <c r="AV41" s="4258">
        <v>41</v>
      </c>
      <c r="AW41" s="4258">
        <v>305</v>
      </c>
      <c r="AX41" s="4259">
        <f>SUM(AU41:AW41)</f>
        <v>357</v>
      </c>
      <c r="AY41" s="4258">
        <v>9</v>
      </c>
      <c r="AZ41" s="4258">
        <v>39</v>
      </c>
      <c r="BA41" s="4258">
        <v>303</v>
      </c>
      <c r="BB41" s="4259">
        <f>SUM(AY41:BA41)</f>
        <v>351</v>
      </c>
    </row>
    <row r="42" spans="1:54" ht="18" customHeight="1" x14ac:dyDescent="0.2">
      <c r="A42" s="5038"/>
      <c r="B42" s="1926" t="s">
        <v>6</v>
      </c>
      <c r="C42" s="4261">
        <v>7</v>
      </c>
      <c r="D42" s="4262">
        <v>27</v>
      </c>
      <c r="E42" s="4262">
        <v>271</v>
      </c>
      <c r="F42" s="4263">
        <v>305</v>
      </c>
      <c r="G42" s="4261">
        <v>2</v>
      </c>
      <c r="H42" s="4262">
        <v>16</v>
      </c>
      <c r="I42" s="4262">
        <v>286</v>
      </c>
      <c r="J42" s="4263">
        <v>304</v>
      </c>
      <c r="K42" s="4261">
        <v>2</v>
      </c>
      <c r="L42" s="4262">
        <v>18</v>
      </c>
      <c r="M42" s="4262">
        <v>285</v>
      </c>
      <c r="N42" s="4264">
        <v>305</v>
      </c>
      <c r="O42" s="4261">
        <v>6</v>
      </c>
      <c r="P42" s="4262">
        <v>25</v>
      </c>
      <c r="Q42" s="4262">
        <v>279</v>
      </c>
      <c r="R42" s="4263">
        <v>310</v>
      </c>
      <c r="S42" s="4262">
        <v>3</v>
      </c>
      <c r="T42" s="4262">
        <v>26</v>
      </c>
      <c r="U42" s="4262">
        <v>285</v>
      </c>
      <c r="V42" s="4263">
        <v>314</v>
      </c>
      <c r="W42" s="4262">
        <v>4</v>
      </c>
      <c r="X42" s="4262">
        <v>27</v>
      </c>
      <c r="Y42" s="4262">
        <v>283</v>
      </c>
      <c r="Z42" s="4263">
        <v>314</v>
      </c>
      <c r="AA42" s="4262">
        <v>6</v>
      </c>
      <c r="AB42" s="4262">
        <v>24</v>
      </c>
      <c r="AC42" s="4262">
        <v>282</v>
      </c>
      <c r="AD42" s="4263">
        <v>312</v>
      </c>
      <c r="AE42" s="4262">
        <v>5</v>
      </c>
      <c r="AF42" s="4262">
        <v>23</v>
      </c>
      <c r="AG42" s="4262">
        <v>280</v>
      </c>
      <c r="AH42" s="4263">
        <v>308</v>
      </c>
      <c r="AI42" s="4262">
        <v>3</v>
      </c>
      <c r="AJ42" s="4262">
        <v>32</v>
      </c>
      <c r="AK42" s="4262">
        <v>280</v>
      </c>
      <c r="AL42" s="4263">
        <f>SUM(AI42:AK42)</f>
        <v>315</v>
      </c>
      <c r="AM42" s="4262">
        <v>3</v>
      </c>
      <c r="AN42" s="4262">
        <v>36</v>
      </c>
      <c r="AO42" s="4262">
        <v>275</v>
      </c>
      <c r="AP42" s="4263">
        <f>SUM(AM42:AO42)</f>
        <v>314</v>
      </c>
      <c r="AQ42" s="4262">
        <v>8</v>
      </c>
      <c r="AR42" s="4262">
        <v>40</v>
      </c>
      <c r="AS42" s="4262">
        <v>278</v>
      </c>
      <c r="AT42" s="4263">
        <f>SUM(AQ42:AS42)</f>
        <v>326</v>
      </c>
      <c r="AU42" s="4262">
        <v>7</v>
      </c>
      <c r="AV42" s="4262">
        <v>40</v>
      </c>
      <c r="AW42" s="4262">
        <v>278</v>
      </c>
      <c r="AX42" s="4263">
        <f>SUM(AU42:AW42)</f>
        <v>325</v>
      </c>
      <c r="AY42" s="4262">
        <v>4</v>
      </c>
      <c r="AZ42" s="4262">
        <v>40</v>
      </c>
      <c r="BA42" s="4262">
        <v>275</v>
      </c>
      <c r="BB42" s="4263">
        <f>SUM(AY42:BA42)</f>
        <v>319</v>
      </c>
    </row>
    <row r="43" spans="1:54" ht="18" customHeight="1" x14ac:dyDescent="0.2">
      <c r="A43" s="5038"/>
      <c r="B43" s="4265" t="s">
        <v>7</v>
      </c>
      <c r="C43" s="4292">
        <v>2</v>
      </c>
      <c r="D43" s="4266">
        <v>10</v>
      </c>
      <c r="E43" s="4266">
        <v>172</v>
      </c>
      <c r="F43" s="4267">
        <v>184</v>
      </c>
      <c r="G43" s="4292">
        <v>3</v>
      </c>
      <c r="H43" s="4266">
        <v>6</v>
      </c>
      <c r="I43" s="4266">
        <v>174</v>
      </c>
      <c r="J43" s="4267">
        <v>183</v>
      </c>
      <c r="K43" s="4292">
        <v>5</v>
      </c>
      <c r="L43" s="4266">
        <v>6</v>
      </c>
      <c r="M43" s="4266">
        <v>178</v>
      </c>
      <c r="N43" s="4312">
        <v>189</v>
      </c>
      <c r="O43" s="4292">
        <v>7</v>
      </c>
      <c r="P43" s="4266">
        <v>6</v>
      </c>
      <c r="Q43" s="4266">
        <v>175</v>
      </c>
      <c r="R43" s="4267">
        <v>188</v>
      </c>
      <c r="S43" s="4266">
        <v>9</v>
      </c>
      <c r="T43" s="4266">
        <v>9</v>
      </c>
      <c r="U43" s="4266">
        <v>164</v>
      </c>
      <c r="V43" s="4267">
        <v>182</v>
      </c>
      <c r="W43" s="4266">
        <v>7</v>
      </c>
      <c r="X43" s="4266">
        <v>16</v>
      </c>
      <c r="Y43" s="4266">
        <v>160</v>
      </c>
      <c r="Z43" s="4267">
        <v>183</v>
      </c>
      <c r="AA43" s="4266">
        <v>7</v>
      </c>
      <c r="AB43" s="4266">
        <v>23</v>
      </c>
      <c r="AC43" s="4266">
        <v>160</v>
      </c>
      <c r="AD43" s="4267">
        <v>190</v>
      </c>
      <c r="AE43" s="4266">
        <v>8</v>
      </c>
      <c r="AF43" s="4266">
        <v>27</v>
      </c>
      <c r="AG43" s="4266">
        <v>164</v>
      </c>
      <c r="AH43" s="4267">
        <v>199</v>
      </c>
      <c r="AI43" s="4266">
        <v>5</v>
      </c>
      <c r="AJ43" s="4266">
        <v>24</v>
      </c>
      <c r="AK43" s="4266">
        <v>172</v>
      </c>
      <c r="AL43" s="4267">
        <f>SUM(AI43:AK43)</f>
        <v>201</v>
      </c>
      <c r="AM43" s="4266">
        <v>2</v>
      </c>
      <c r="AN43" s="4266">
        <v>24</v>
      </c>
      <c r="AO43" s="4266">
        <v>180</v>
      </c>
      <c r="AP43" s="4267">
        <f>SUM(AM43:AO43)</f>
        <v>206</v>
      </c>
      <c r="AQ43" s="4266">
        <v>2</v>
      </c>
      <c r="AR43" s="4266">
        <v>23</v>
      </c>
      <c r="AS43" s="4266">
        <v>186</v>
      </c>
      <c r="AT43" s="4267">
        <f>SUM(AQ43:AS43)</f>
        <v>211</v>
      </c>
      <c r="AU43" s="4266">
        <v>2</v>
      </c>
      <c r="AV43" s="4266">
        <v>28</v>
      </c>
      <c r="AW43" s="4266">
        <v>191</v>
      </c>
      <c r="AX43" s="4267">
        <f>SUM(AU43:AW43)</f>
        <v>221</v>
      </c>
      <c r="AY43" s="4266">
        <v>2</v>
      </c>
      <c r="AZ43" s="4266">
        <v>24</v>
      </c>
      <c r="BA43" s="4266">
        <v>189</v>
      </c>
      <c r="BB43" s="4267">
        <f>SUM(AY43:BA43)</f>
        <v>215</v>
      </c>
    </row>
    <row r="44" spans="1:54" ht="18" customHeight="1" x14ac:dyDescent="0.2">
      <c r="A44" s="5108"/>
      <c r="B44" s="4268" t="s">
        <v>12</v>
      </c>
      <c r="C44" s="4269">
        <v>10</v>
      </c>
      <c r="D44" s="4270">
        <v>68</v>
      </c>
      <c r="E44" s="4270">
        <v>722</v>
      </c>
      <c r="F44" s="4271">
        <v>800</v>
      </c>
      <c r="G44" s="4269">
        <v>11</v>
      </c>
      <c r="H44" s="4270">
        <v>39</v>
      </c>
      <c r="I44" s="4270">
        <v>759</v>
      </c>
      <c r="J44" s="4271">
        <v>809</v>
      </c>
      <c r="K44" s="4269">
        <v>15</v>
      </c>
      <c r="L44" s="4270">
        <v>42</v>
      </c>
      <c r="M44" s="4270">
        <v>766</v>
      </c>
      <c r="N44" s="4270">
        <v>823</v>
      </c>
      <c r="O44" s="4269">
        <v>19</v>
      </c>
      <c r="P44" s="4270">
        <v>53</v>
      </c>
      <c r="Q44" s="4270">
        <v>753</v>
      </c>
      <c r="R44" s="4271">
        <v>825</v>
      </c>
      <c r="S44" s="4270">
        <v>17</v>
      </c>
      <c r="T44" s="4270">
        <v>64</v>
      </c>
      <c r="U44" s="4270">
        <v>755</v>
      </c>
      <c r="V44" s="4271">
        <v>836</v>
      </c>
      <c r="W44" s="4269">
        <v>18</v>
      </c>
      <c r="X44" s="4270">
        <v>74</v>
      </c>
      <c r="Y44" s="4270">
        <v>746</v>
      </c>
      <c r="Z44" s="4271">
        <v>838</v>
      </c>
      <c r="AA44" s="4269">
        <v>23</v>
      </c>
      <c r="AB44" s="4270">
        <v>81</v>
      </c>
      <c r="AC44" s="4270">
        <v>742</v>
      </c>
      <c r="AD44" s="4271">
        <v>846</v>
      </c>
      <c r="AE44" s="4269">
        <v>21</v>
      </c>
      <c r="AF44" s="4270">
        <v>85</v>
      </c>
      <c r="AG44" s="4270">
        <v>743</v>
      </c>
      <c r="AH44" s="4271">
        <v>849</v>
      </c>
      <c r="AI44" s="4269">
        <f t="shared" ref="AI44:AX44" si="35">SUM(AI41:AI43)</f>
        <v>14</v>
      </c>
      <c r="AJ44" s="4270">
        <f t="shared" si="35"/>
        <v>88</v>
      </c>
      <c r="AK44" s="4270">
        <f t="shared" si="35"/>
        <v>756</v>
      </c>
      <c r="AL44" s="4271">
        <f t="shared" si="35"/>
        <v>858</v>
      </c>
      <c r="AM44" s="4269">
        <f t="shared" si="35"/>
        <v>14</v>
      </c>
      <c r="AN44" s="4270">
        <f t="shared" si="35"/>
        <v>94</v>
      </c>
      <c r="AO44" s="4270">
        <f t="shared" si="35"/>
        <v>760</v>
      </c>
      <c r="AP44" s="4271">
        <f t="shared" si="35"/>
        <v>868</v>
      </c>
      <c r="AQ44" s="4269">
        <f t="shared" si="35"/>
        <v>17</v>
      </c>
      <c r="AR44" s="4270">
        <f t="shared" si="35"/>
        <v>102</v>
      </c>
      <c r="AS44" s="4270">
        <f t="shared" si="35"/>
        <v>767</v>
      </c>
      <c r="AT44" s="4271">
        <f t="shared" si="35"/>
        <v>886</v>
      </c>
      <c r="AU44" s="4269">
        <f t="shared" si="35"/>
        <v>20</v>
      </c>
      <c r="AV44" s="4270">
        <f t="shared" si="35"/>
        <v>109</v>
      </c>
      <c r="AW44" s="4270">
        <f t="shared" si="35"/>
        <v>774</v>
      </c>
      <c r="AX44" s="4271">
        <f t="shared" si="35"/>
        <v>903</v>
      </c>
      <c r="AY44" s="4269">
        <f t="shared" ref="AY44:BB44" si="36">SUM(AY41:AY43)</f>
        <v>15</v>
      </c>
      <c r="AZ44" s="4270">
        <f t="shared" si="36"/>
        <v>103</v>
      </c>
      <c r="BA44" s="4270">
        <f t="shared" si="36"/>
        <v>767</v>
      </c>
      <c r="BB44" s="4271">
        <f t="shared" si="36"/>
        <v>885</v>
      </c>
    </row>
    <row r="45" spans="1:54" ht="18" customHeight="1" x14ac:dyDescent="0.25">
      <c r="A45" s="1923"/>
      <c r="B45" s="1925"/>
      <c r="C45" s="1925"/>
      <c r="D45" s="1925"/>
      <c r="E45" s="1925"/>
      <c r="F45" s="1925"/>
      <c r="G45" s="1925"/>
      <c r="H45" s="1925"/>
      <c r="I45" s="1925"/>
      <c r="J45" s="1925"/>
      <c r="K45" s="1925"/>
      <c r="L45" s="1925"/>
      <c r="M45" s="1925"/>
      <c r="N45" s="1925"/>
      <c r="O45" s="1925"/>
      <c r="P45" s="1925"/>
      <c r="Q45" s="1925"/>
      <c r="R45" s="1925"/>
      <c r="S45" s="1925"/>
      <c r="T45" s="1925"/>
      <c r="U45" s="1925"/>
      <c r="V45" s="1925"/>
      <c r="W45" s="1925"/>
      <c r="X45" s="1925"/>
      <c r="Y45" s="1925"/>
      <c r="Z45" s="1925"/>
      <c r="AA45" s="1925"/>
      <c r="AB45" s="1925"/>
      <c r="AC45" s="1925"/>
      <c r="AD45" s="1925"/>
      <c r="AE45" s="1925"/>
      <c r="AF45" s="1925"/>
      <c r="AG45" s="1925"/>
      <c r="AH45" s="1925"/>
      <c r="AI45" s="1925"/>
      <c r="AJ45" s="1925"/>
      <c r="AK45" s="1925"/>
      <c r="AL45" s="1925"/>
      <c r="AM45" s="1925"/>
      <c r="AN45" s="1925"/>
      <c r="AO45" s="1925"/>
      <c r="AP45" s="1925"/>
      <c r="AQ45" s="1925"/>
      <c r="AR45" s="1925"/>
      <c r="AS45" s="1925"/>
      <c r="AT45" s="1925"/>
      <c r="AU45" s="1925"/>
      <c r="AV45" s="1925"/>
      <c r="AW45" s="1925"/>
      <c r="AX45" s="1925"/>
      <c r="AY45" s="1925"/>
      <c r="AZ45" s="1925"/>
      <c r="BA45" s="1925"/>
      <c r="BB45" s="1925"/>
    </row>
    <row r="46" spans="1:54" ht="18" customHeight="1" x14ac:dyDescent="0.2">
      <c r="A46" s="6263" t="s">
        <v>410</v>
      </c>
      <c r="B46" s="4148" t="s">
        <v>6</v>
      </c>
      <c r="C46" s="4272"/>
      <c r="D46" s="4273"/>
      <c r="E46" s="4273"/>
      <c r="F46" s="4274"/>
      <c r="G46" s="4272"/>
      <c r="H46" s="4273"/>
      <c r="I46" s="4273"/>
      <c r="J46" s="4274"/>
      <c r="K46" s="4272"/>
      <c r="L46" s="4273"/>
      <c r="M46" s="4258">
        <v>4</v>
      </c>
      <c r="N46" s="4260">
        <v>4</v>
      </c>
      <c r="O46" s="4257"/>
      <c r="P46" s="4258"/>
      <c r="Q46" s="4258">
        <v>7</v>
      </c>
      <c r="R46" s="4259">
        <v>7</v>
      </c>
      <c r="S46" s="4258"/>
      <c r="T46" s="4258"/>
      <c r="U46" s="4258">
        <v>21</v>
      </c>
      <c r="V46" s="4259">
        <v>21</v>
      </c>
      <c r="W46" s="4258"/>
      <c r="X46" s="4258"/>
      <c r="Y46" s="4258">
        <v>23</v>
      </c>
      <c r="Z46" s="4259">
        <f>SUM(W46:Y46)</f>
        <v>23</v>
      </c>
      <c r="AA46" s="4258"/>
      <c r="AB46" s="4258"/>
      <c r="AC46" s="4258">
        <v>28</v>
      </c>
      <c r="AD46" s="4259">
        <v>28</v>
      </c>
      <c r="AE46" s="4258"/>
      <c r="AF46" s="4258"/>
      <c r="AG46" s="4258">
        <v>38</v>
      </c>
      <c r="AH46" s="4259">
        <v>38</v>
      </c>
      <c r="AI46" s="4258"/>
      <c r="AJ46" s="4258"/>
      <c r="AK46" s="4258">
        <v>45</v>
      </c>
      <c r="AL46" s="4259">
        <f>SUM(AI46:AK46)</f>
        <v>45</v>
      </c>
      <c r="AM46" s="4258"/>
      <c r="AN46" s="4258">
        <v>1</v>
      </c>
      <c r="AO46" s="4258">
        <v>41</v>
      </c>
      <c r="AP46" s="4259">
        <f>SUM(AM46:AO46)</f>
        <v>42</v>
      </c>
      <c r="AQ46" s="4258"/>
      <c r="AR46" s="4258">
        <v>1</v>
      </c>
      <c r="AS46" s="4258">
        <v>45</v>
      </c>
      <c r="AT46" s="4259">
        <f>SUM(AQ46:AS46)</f>
        <v>46</v>
      </c>
      <c r="AU46" s="4258"/>
      <c r="AV46" s="4258">
        <v>1</v>
      </c>
      <c r="AW46" s="4258">
        <v>48</v>
      </c>
      <c r="AX46" s="4259">
        <f>SUM(AU46:AW46)</f>
        <v>49</v>
      </c>
      <c r="AY46" s="4258"/>
      <c r="AZ46" s="4258">
        <v>2</v>
      </c>
      <c r="BA46" s="4258">
        <v>48</v>
      </c>
      <c r="BB46" s="4259">
        <f>SUM(AY46:BA46)</f>
        <v>50</v>
      </c>
    </row>
    <row r="47" spans="1:54" ht="18" customHeight="1" x14ac:dyDescent="0.2">
      <c r="A47" s="5029"/>
      <c r="B47" s="1926" t="s">
        <v>9</v>
      </c>
      <c r="C47" s="4275"/>
      <c r="D47" s="4276"/>
      <c r="E47" s="4276"/>
      <c r="F47" s="4277"/>
      <c r="G47" s="4275"/>
      <c r="H47" s="4276"/>
      <c r="I47" s="4276"/>
      <c r="J47" s="4277"/>
      <c r="K47" s="4275"/>
      <c r="L47" s="4276"/>
      <c r="M47" s="4262">
        <v>3</v>
      </c>
      <c r="N47" s="4264">
        <v>3</v>
      </c>
      <c r="O47" s="4261"/>
      <c r="P47" s="4262">
        <v>1</v>
      </c>
      <c r="Q47" s="4262">
        <v>8</v>
      </c>
      <c r="R47" s="4263">
        <v>9</v>
      </c>
      <c r="S47" s="4262"/>
      <c r="T47" s="4262"/>
      <c r="U47" s="4262">
        <v>13</v>
      </c>
      <c r="V47" s="4263">
        <v>13</v>
      </c>
      <c r="W47" s="4262"/>
      <c r="X47" s="4262">
        <v>5</v>
      </c>
      <c r="Y47" s="4262">
        <v>19</v>
      </c>
      <c r="Z47" s="4263">
        <f>SUM(W47:Y47)</f>
        <v>24</v>
      </c>
      <c r="AA47" s="4262"/>
      <c r="AB47" s="4262">
        <v>6</v>
      </c>
      <c r="AC47" s="4262">
        <v>24</v>
      </c>
      <c r="AD47" s="4263">
        <v>30</v>
      </c>
      <c r="AE47" s="4262"/>
      <c r="AF47" s="4262">
        <v>7</v>
      </c>
      <c r="AG47" s="4262">
        <v>31</v>
      </c>
      <c r="AH47" s="4263">
        <v>38</v>
      </c>
      <c r="AI47" s="4262"/>
      <c r="AJ47" s="4262">
        <v>6</v>
      </c>
      <c r="AK47" s="4262">
        <v>35</v>
      </c>
      <c r="AL47" s="4263">
        <f>SUM(AI47:AK47)</f>
        <v>41</v>
      </c>
      <c r="AM47" s="4262"/>
      <c r="AN47" s="4262">
        <v>12</v>
      </c>
      <c r="AO47" s="4262">
        <v>40</v>
      </c>
      <c r="AP47" s="4263">
        <f>SUM(AM47:AO47)</f>
        <v>52</v>
      </c>
      <c r="AQ47" s="4262"/>
      <c r="AR47" s="4262">
        <v>13</v>
      </c>
      <c r="AS47" s="4262">
        <v>38</v>
      </c>
      <c r="AT47" s="4263">
        <f>SUM(AQ47:AS47)</f>
        <v>51</v>
      </c>
      <c r="AU47" s="4262"/>
      <c r="AV47" s="4262">
        <v>13</v>
      </c>
      <c r="AW47" s="4262">
        <v>39</v>
      </c>
      <c r="AX47" s="4263">
        <f>SUM(AU47:AW47)</f>
        <v>52</v>
      </c>
      <c r="AY47" s="4262">
        <v>0</v>
      </c>
      <c r="AZ47" s="4262">
        <v>12</v>
      </c>
      <c r="BA47" s="4262">
        <v>42</v>
      </c>
      <c r="BB47" s="4263">
        <f>SUM(AY47:BA47)</f>
        <v>54</v>
      </c>
    </row>
    <row r="48" spans="1:54" ht="18" customHeight="1" x14ac:dyDescent="0.2">
      <c r="A48" s="5029"/>
      <c r="B48" s="4265" t="s">
        <v>74</v>
      </c>
      <c r="C48" s="4289"/>
      <c r="D48" s="4290"/>
      <c r="E48" s="4290"/>
      <c r="F48" s="4291"/>
      <c r="G48" s="4289"/>
      <c r="H48" s="4290"/>
      <c r="I48" s="4290"/>
      <c r="J48" s="4291"/>
      <c r="K48" s="4289"/>
      <c r="L48" s="4290"/>
      <c r="M48" s="4266">
        <v>6</v>
      </c>
      <c r="N48" s="4312">
        <v>6</v>
      </c>
      <c r="O48" s="4292"/>
      <c r="P48" s="4266"/>
      <c r="Q48" s="4266">
        <v>6</v>
      </c>
      <c r="R48" s="4267">
        <v>6</v>
      </c>
      <c r="S48" s="4266"/>
      <c r="T48" s="4266">
        <v>4</v>
      </c>
      <c r="U48" s="4266">
        <v>14</v>
      </c>
      <c r="V48" s="4267">
        <v>18</v>
      </c>
      <c r="W48" s="4266"/>
      <c r="X48" s="4266">
        <v>4</v>
      </c>
      <c r="Y48" s="4266">
        <v>19</v>
      </c>
      <c r="Z48" s="4267">
        <f>SUM(W48:Y48)</f>
        <v>23</v>
      </c>
      <c r="AA48" s="4266"/>
      <c r="AB48" s="4266">
        <v>5</v>
      </c>
      <c r="AC48" s="4266">
        <v>19</v>
      </c>
      <c r="AD48" s="4267">
        <v>24</v>
      </c>
      <c r="AE48" s="4266"/>
      <c r="AF48" s="4266">
        <v>7</v>
      </c>
      <c r="AG48" s="4266">
        <v>20</v>
      </c>
      <c r="AH48" s="4267">
        <v>27</v>
      </c>
      <c r="AI48" s="4266"/>
      <c r="AJ48" s="4266">
        <v>7</v>
      </c>
      <c r="AK48" s="4266">
        <v>26</v>
      </c>
      <c r="AL48" s="4267">
        <f>SUM(AI48:AK48)</f>
        <v>33</v>
      </c>
      <c r="AM48" s="4266"/>
      <c r="AN48" s="4266">
        <v>8</v>
      </c>
      <c r="AO48" s="4266">
        <v>28</v>
      </c>
      <c r="AP48" s="4267">
        <f>SUM(AM48:AO48)</f>
        <v>36</v>
      </c>
      <c r="AQ48" s="4266"/>
      <c r="AR48" s="4266">
        <v>8</v>
      </c>
      <c r="AS48" s="4266">
        <v>29</v>
      </c>
      <c r="AT48" s="4267">
        <f>SUM(AQ48:AS48)</f>
        <v>37</v>
      </c>
      <c r="AU48" s="4266"/>
      <c r="AV48" s="4266">
        <v>9</v>
      </c>
      <c r="AW48" s="4266">
        <v>33</v>
      </c>
      <c r="AX48" s="4267">
        <f>SUM(AU48:AW48)</f>
        <v>42</v>
      </c>
      <c r="AY48" s="4266">
        <v>0</v>
      </c>
      <c r="AZ48" s="4266">
        <v>9</v>
      </c>
      <c r="BA48" s="4266">
        <v>34</v>
      </c>
      <c r="BB48" s="4267">
        <f>SUM(AY48:BA48)</f>
        <v>43</v>
      </c>
    </row>
    <row r="49" spans="1:54" ht="18" customHeight="1" x14ac:dyDescent="0.2">
      <c r="A49" s="5030"/>
      <c r="B49" s="4278" t="s">
        <v>12</v>
      </c>
      <c r="C49" s="4279"/>
      <c r="D49" s="4280"/>
      <c r="E49" s="4280"/>
      <c r="F49" s="4281"/>
      <c r="G49" s="4279"/>
      <c r="H49" s="4280"/>
      <c r="I49" s="4280"/>
      <c r="J49" s="4281"/>
      <c r="K49" s="4279"/>
      <c r="L49" s="4280"/>
      <c r="M49" s="4282">
        <v>13</v>
      </c>
      <c r="N49" s="4282">
        <v>13</v>
      </c>
      <c r="O49" s="4279"/>
      <c r="P49" s="4282">
        <v>1</v>
      </c>
      <c r="Q49" s="4282">
        <v>21</v>
      </c>
      <c r="R49" s="4283">
        <v>22</v>
      </c>
      <c r="S49" s="4282"/>
      <c r="T49" s="4282">
        <v>4</v>
      </c>
      <c r="U49" s="4282">
        <v>48</v>
      </c>
      <c r="V49" s="4283">
        <v>52</v>
      </c>
      <c r="W49" s="4284"/>
      <c r="X49" s="4282">
        <v>9</v>
      </c>
      <c r="Y49" s="4282">
        <v>61</v>
      </c>
      <c r="Z49" s="4283">
        <f>SUM(Z46:Z48)</f>
        <v>70</v>
      </c>
      <c r="AA49" s="4284"/>
      <c r="AB49" s="4282">
        <v>11</v>
      </c>
      <c r="AC49" s="4282">
        <v>71</v>
      </c>
      <c r="AD49" s="4283">
        <v>82</v>
      </c>
      <c r="AE49" s="4284"/>
      <c r="AF49" s="4282">
        <v>14</v>
      </c>
      <c r="AG49" s="4282">
        <v>89</v>
      </c>
      <c r="AH49" s="4283">
        <v>103</v>
      </c>
      <c r="AI49" s="4284"/>
      <c r="AJ49" s="4282">
        <f>SUM(AJ46:AJ48)</f>
        <v>13</v>
      </c>
      <c r="AK49" s="4282">
        <f>SUM(AK46:AK48)</f>
        <v>106</v>
      </c>
      <c r="AL49" s="4283">
        <f>SUM(AL46:AL48)</f>
        <v>119</v>
      </c>
      <c r="AM49" s="4284"/>
      <c r="AN49" s="4282">
        <f>SUM(AN46:AN48)</f>
        <v>21</v>
      </c>
      <c r="AO49" s="4282">
        <f>SUM(AO46:AO48)</f>
        <v>109</v>
      </c>
      <c r="AP49" s="4283">
        <f>SUM(AP46:AP48)</f>
        <v>130</v>
      </c>
      <c r="AQ49" s="4284"/>
      <c r="AR49" s="4282">
        <f>SUM(AR46:AR48)</f>
        <v>22</v>
      </c>
      <c r="AS49" s="4282">
        <f>SUM(AS46:AS48)</f>
        <v>112</v>
      </c>
      <c r="AT49" s="4283">
        <f>SUM(AT46:AT48)</f>
        <v>134</v>
      </c>
      <c r="AU49" s="4284"/>
      <c r="AV49" s="4282">
        <f>SUM(AV46:AV48)</f>
        <v>23</v>
      </c>
      <c r="AW49" s="4282">
        <f>SUM(AW46:AW48)</f>
        <v>120</v>
      </c>
      <c r="AX49" s="4283">
        <f>SUM(AX46:AX48)</f>
        <v>143</v>
      </c>
      <c r="AY49" s="4284"/>
      <c r="AZ49" s="4282">
        <f>SUM(AZ46:AZ48)</f>
        <v>23</v>
      </c>
      <c r="BA49" s="4282">
        <f>SUM(BA46:BA48)</f>
        <v>124</v>
      </c>
      <c r="BB49" s="4283">
        <f>SUM(BB46:BB48)</f>
        <v>147</v>
      </c>
    </row>
    <row r="50" spans="1:54" ht="15.75" x14ac:dyDescent="0.25">
      <c r="A50" s="1923"/>
      <c r="B50" s="1925"/>
      <c r="C50" s="1925"/>
      <c r="D50" s="1925"/>
      <c r="E50" s="1925"/>
      <c r="F50" s="1925"/>
      <c r="G50" s="1925"/>
      <c r="H50" s="1925"/>
      <c r="I50" s="1925"/>
      <c r="J50" s="1925"/>
      <c r="K50" s="1925"/>
      <c r="L50" s="1925"/>
      <c r="M50" s="1925"/>
      <c r="N50" s="1925"/>
      <c r="O50" s="1925"/>
      <c r="P50" s="1925"/>
      <c r="Q50" s="1925"/>
      <c r="R50" s="1925"/>
      <c r="S50" s="1925"/>
      <c r="T50" s="1925"/>
      <c r="U50" s="1925"/>
      <c r="V50" s="1925"/>
      <c r="W50" s="1925"/>
      <c r="X50" s="1925"/>
      <c r="Y50" s="1925"/>
      <c r="Z50" s="1925"/>
      <c r="AA50" s="1925"/>
      <c r="AB50" s="1925"/>
      <c r="AC50" s="1925"/>
      <c r="AD50" s="1925"/>
      <c r="AE50" s="1925"/>
      <c r="AF50" s="1925"/>
      <c r="AG50" s="1925"/>
      <c r="AH50" s="1925"/>
      <c r="AI50" s="1925"/>
      <c r="AJ50" s="1925"/>
      <c r="AK50" s="1925"/>
      <c r="AL50" s="1925"/>
      <c r="AM50" s="1925"/>
      <c r="AN50" s="1925"/>
      <c r="AO50" s="1925"/>
      <c r="AP50" s="1925"/>
      <c r="AQ50" s="1925"/>
      <c r="AR50" s="1925"/>
      <c r="AS50" s="1925"/>
      <c r="AT50" s="1925"/>
      <c r="AU50" s="1925"/>
      <c r="AV50" s="1925"/>
      <c r="AW50" s="1925"/>
      <c r="AX50" s="1925"/>
      <c r="AY50" s="1925"/>
      <c r="AZ50" s="1925"/>
      <c r="BA50" s="1925"/>
      <c r="BB50" s="1925"/>
    </row>
    <row r="51" spans="1:54" ht="18" customHeight="1" x14ac:dyDescent="0.2">
      <c r="A51" s="6264" t="s">
        <v>162</v>
      </c>
      <c r="B51" s="4148" t="s">
        <v>5</v>
      </c>
      <c r="C51" s="4257"/>
      <c r="D51" s="4258">
        <v>11</v>
      </c>
      <c r="E51" s="4258">
        <v>252</v>
      </c>
      <c r="F51" s="4259">
        <v>263</v>
      </c>
      <c r="G51" s="4257"/>
      <c r="H51" s="4258">
        <v>5</v>
      </c>
      <c r="I51" s="4258">
        <v>261</v>
      </c>
      <c r="J51" s="4259">
        <v>266</v>
      </c>
      <c r="K51" s="4257"/>
      <c r="L51" s="4258">
        <v>5</v>
      </c>
      <c r="M51" s="4258">
        <v>269</v>
      </c>
      <c r="N51" s="4260">
        <v>274</v>
      </c>
      <c r="O51" s="4257"/>
      <c r="P51" s="4258">
        <v>7</v>
      </c>
      <c r="Q51" s="4258">
        <v>268</v>
      </c>
      <c r="R51" s="4259">
        <v>275</v>
      </c>
      <c r="S51" s="4258"/>
      <c r="T51" s="4258">
        <v>7</v>
      </c>
      <c r="U51" s="4258">
        <v>270</v>
      </c>
      <c r="V51" s="4259">
        <v>277</v>
      </c>
      <c r="W51" s="4258"/>
      <c r="X51" s="4258">
        <v>8</v>
      </c>
      <c r="Y51" s="4258">
        <v>271</v>
      </c>
      <c r="Z51" s="4259">
        <v>279</v>
      </c>
      <c r="AA51" s="4258"/>
      <c r="AB51" s="4258">
        <v>6</v>
      </c>
      <c r="AC51" s="4258">
        <v>272</v>
      </c>
      <c r="AD51" s="4259">
        <v>278</v>
      </c>
      <c r="AE51" s="4258"/>
      <c r="AF51" s="4258">
        <v>7</v>
      </c>
      <c r="AG51" s="4258">
        <v>269</v>
      </c>
      <c r="AH51" s="4259">
        <v>276</v>
      </c>
      <c r="AI51" s="4258"/>
      <c r="AJ51" s="4258">
        <v>7</v>
      </c>
      <c r="AK51" s="4258">
        <v>271</v>
      </c>
      <c r="AL51" s="4259">
        <f>SUM(AI51:AK51)</f>
        <v>278</v>
      </c>
      <c r="AM51" s="4258"/>
      <c r="AN51" s="4258">
        <v>6</v>
      </c>
      <c r="AO51" s="4258">
        <v>273</v>
      </c>
      <c r="AP51" s="4259">
        <f>SUM(AM51:AO51)</f>
        <v>279</v>
      </c>
      <c r="AQ51" s="4258"/>
      <c r="AR51" s="4258">
        <v>7</v>
      </c>
      <c r="AS51" s="4258">
        <v>277</v>
      </c>
      <c r="AT51" s="4259">
        <f>SUM(AQ51:AS51)</f>
        <v>284</v>
      </c>
      <c r="AU51" s="4258"/>
      <c r="AV51" s="4258">
        <v>9</v>
      </c>
      <c r="AW51" s="4258">
        <v>277</v>
      </c>
      <c r="AX51" s="4259">
        <f>SUM(AU51:AW51)</f>
        <v>286</v>
      </c>
      <c r="AY51" s="4258">
        <v>0</v>
      </c>
      <c r="AZ51" s="4258">
        <v>7</v>
      </c>
      <c r="BA51" s="4258">
        <v>276</v>
      </c>
      <c r="BB51" s="4259">
        <f>SUM(AY51:BA51)</f>
        <v>283</v>
      </c>
    </row>
    <row r="52" spans="1:54" ht="18" customHeight="1" x14ac:dyDescent="0.2">
      <c r="A52" s="5041"/>
      <c r="B52" s="1926" t="s">
        <v>6</v>
      </c>
      <c r="C52" s="4261">
        <v>3</v>
      </c>
      <c r="D52" s="4262">
        <v>12</v>
      </c>
      <c r="E52" s="4262">
        <v>283</v>
      </c>
      <c r="F52" s="4263">
        <v>298</v>
      </c>
      <c r="G52" s="4261">
        <v>1</v>
      </c>
      <c r="H52" s="4262">
        <v>8</v>
      </c>
      <c r="I52" s="4262">
        <v>292</v>
      </c>
      <c r="J52" s="4263">
        <v>301</v>
      </c>
      <c r="K52" s="4261">
        <v>1</v>
      </c>
      <c r="L52" s="4262">
        <v>8</v>
      </c>
      <c r="M52" s="4262">
        <v>285</v>
      </c>
      <c r="N52" s="4264">
        <v>294</v>
      </c>
      <c r="O52" s="4261">
        <v>1</v>
      </c>
      <c r="P52" s="4262">
        <v>10</v>
      </c>
      <c r="Q52" s="4262">
        <v>285</v>
      </c>
      <c r="R52" s="4263">
        <v>296</v>
      </c>
      <c r="S52" s="4262"/>
      <c r="T52" s="4262">
        <v>12</v>
      </c>
      <c r="U52" s="4262">
        <v>282</v>
      </c>
      <c r="V52" s="4263">
        <v>294</v>
      </c>
      <c r="W52" s="4262"/>
      <c r="X52" s="4262">
        <v>14</v>
      </c>
      <c r="Y52" s="4262">
        <v>285</v>
      </c>
      <c r="Z52" s="4263">
        <v>299</v>
      </c>
      <c r="AA52" s="4262"/>
      <c r="AB52" s="4262">
        <v>12</v>
      </c>
      <c r="AC52" s="4262">
        <v>289</v>
      </c>
      <c r="AD52" s="4263">
        <v>301</v>
      </c>
      <c r="AE52" s="4262"/>
      <c r="AF52" s="4262">
        <v>15</v>
      </c>
      <c r="AG52" s="4262">
        <v>292</v>
      </c>
      <c r="AH52" s="4263">
        <v>307</v>
      </c>
      <c r="AI52" s="4262">
        <v>1</v>
      </c>
      <c r="AJ52" s="4262">
        <v>16</v>
      </c>
      <c r="AK52" s="4262">
        <v>285</v>
      </c>
      <c r="AL52" s="4263">
        <f>SUM(AI52:AK52)</f>
        <v>302</v>
      </c>
      <c r="AM52" s="4262">
        <v>1</v>
      </c>
      <c r="AN52" s="4262">
        <v>8</v>
      </c>
      <c r="AO52" s="4262">
        <v>289</v>
      </c>
      <c r="AP52" s="4263">
        <f>SUM(AM52:AO52)</f>
        <v>298</v>
      </c>
      <c r="AQ52" s="4262">
        <v>1</v>
      </c>
      <c r="AR52" s="4262">
        <v>9</v>
      </c>
      <c r="AS52" s="4262">
        <v>289</v>
      </c>
      <c r="AT52" s="4263">
        <f>SUM(AQ52:AS52)</f>
        <v>299</v>
      </c>
      <c r="AU52" s="4262"/>
      <c r="AV52" s="4262">
        <v>12</v>
      </c>
      <c r="AW52" s="4262">
        <v>291</v>
      </c>
      <c r="AX52" s="4263">
        <f>SUM(AU52:AW52)</f>
        <v>303</v>
      </c>
      <c r="AY52" s="4262">
        <v>0</v>
      </c>
      <c r="AZ52" s="4262">
        <v>12</v>
      </c>
      <c r="BA52" s="4262">
        <v>289</v>
      </c>
      <c r="BB52" s="4263">
        <f>SUM(AY52:BA52)</f>
        <v>301</v>
      </c>
    </row>
    <row r="53" spans="1:54" ht="18" customHeight="1" x14ac:dyDescent="0.2">
      <c r="A53" s="5041"/>
      <c r="B53" s="4265" t="s">
        <v>11</v>
      </c>
      <c r="C53" s="4292"/>
      <c r="D53" s="4266">
        <v>10</v>
      </c>
      <c r="E53" s="4266">
        <v>206</v>
      </c>
      <c r="F53" s="4267">
        <v>216</v>
      </c>
      <c r="G53" s="4292"/>
      <c r="H53" s="4266">
        <v>10</v>
      </c>
      <c r="I53" s="4266">
        <v>205</v>
      </c>
      <c r="J53" s="4267">
        <v>215</v>
      </c>
      <c r="K53" s="4292"/>
      <c r="L53" s="4266">
        <v>11</v>
      </c>
      <c r="M53" s="4266">
        <v>208</v>
      </c>
      <c r="N53" s="4312">
        <v>219</v>
      </c>
      <c r="O53" s="4292"/>
      <c r="P53" s="4266">
        <v>11</v>
      </c>
      <c r="Q53" s="4266">
        <v>205</v>
      </c>
      <c r="R53" s="4267">
        <v>216</v>
      </c>
      <c r="S53" s="4266"/>
      <c r="T53" s="4266">
        <v>14</v>
      </c>
      <c r="U53" s="4266">
        <v>206</v>
      </c>
      <c r="V53" s="4267">
        <v>220</v>
      </c>
      <c r="W53" s="4266"/>
      <c r="X53" s="4266">
        <v>13</v>
      </c>
      <c r="Y53" s="4266">
        <v>202</v>
      </c>
      <c r="Z53" s="4267">
        <v>215</v>
      </c>
      <c r="AA53" s="4266"/>
      <c r="AB53" s="4266">
        <v>11</v>
      </c>
      <c r="AC53" s="4266">
        <v>199</v>
      </c>
      <c r="AD53" s="4267">
        <v>210</v>
      </c>
      <c r="AE53" s="4266"/>
      <c r="AF53" s="4266">
        <v>10</v>
      </c>
      <c r="AG53" s="4266">
        <v>196</v>
      </c>
      <c r="AH53" s="4267">
        <v>206</v>
      </c>
      <c r="AI53" s="4266">
        <v>1</v>
      </c>
      <c r="AJ53" s="4266">
        <v>13</v>
      </c>
      <c r="AK53" s="4266">
        <v>200</v>
      </c>
      <c r="AL53" s="4267">
        <f>SUM(AI53:AK53)</f>
        <v>214</v>
      </c>
      <c r="AM53" s="4266"/>
      <c r="AN53" s="4266">
        <v>15</v>
      </c>
      <c r="AO53" s="4266">
        <v>199</v>
      </c>
      <c r="AP53" s="4267">
        <f>SUM(AM53:AO53)</f>
        <v>214</v>
      </c>
      <c r="AQ53" s="4266">
        <v>1</v>
      </c>
      <c r="AR53" s="4266">
        <v>18</v>
      </c>
      <c r="AS53" s="4266">
        <v>202</v>
      </c>
      <c r="AT53" s="4267">
        <f>SUM(AQ53:AS53)</f>
        <v>221</v>
      </c>
      <c r="AU53" s="4266">
        <v>2</v>
      </c>
      <c r="AV53" s="4266">
        <v>20</v>
      </c>
      <c r="AW53" s="4266">
        <v>206</v>
      </c>
      <c r="AX53" s="4267">
        <f>SUM(AU53:AW53)</f>
        <v>228</v>
      </c>
      <c r="AY53" s="4266">
        <v>1</v>
      </c>
      <c r="AZ53" s="4266">
        <v>17</v>
      </c>
      <c r="BA53" s="4266">
        <v>211</v>
      </c>
      <c r="BB53" s="4267">
        <f>SUM(AY53:BA53)</f>
        <v>229</v>
      </c>
    </row>
    <row r="54" spans="1:54" ht="18" customHeight="1" x14ac:dyDescent="0.2">
      <c r="A54" s="5109"/>
      <c r="B54" s="4285" t="s">
        <v>12</v>
      </c>
      <c r="C54" s="4286">
        <v>3</v>
      </c>
      <c r="D54" s="4287">
        <v>33</v>
      </c>
      <c r="E54" s="4287">
        <v>741</v>
      </c>
      <c r="F54" s="4288">
        <v>777</v>
      </c>
      <c r="G54" s="4286">
        <v>1</v>
      </c>
      <c r="H54" s="4287">
        <v>23</v>
      </c>
      <c r="I54" s="4287">
        <v>758</v>
      </c>
      <c r="J54" s="4288">
        <v>782</v>
      </c>
      <c r="K54" s="4286">
        <v>1</v>
      </c>
      <c r="L54" s="4287">
        <v>24</v>
      </c>
      <c r="M54" s="4287">
        <v>762</v>
      </c>
      <c r="N54" s="4287">
        <v>787</v>
      </c>
      <c r="O54" s="4286">
        <v>1</v>
      </c>
      <c r="P54" s="4287">
        <v>28</v>
      </c>
      <c r="Q54" s="4287">
        <v>758</v>
      </c>
      <c r="R54" s="4288">
        <v>787</v>
      </c>
      <c r="S54" s="4313"/>
      <c r="T54" s="4287">
        <v>33</v>
      </c>
      <c r="U54" s="4287">
        <v>758</v>
      </c>
      <c r="V54" s="4288">
        <v>791</v>
      </c>
      <c r="W54" s="4286"/>
      <c r="X54" s="4287">
        <v>35</v>
      </c>
      <c r="Y54" s="4287">
        <v>758</v>
      </c>
      <c r="Z54" s="4288">
        <v>793</v>
      </c>
      <c r="AA54" s="4286"/>
      <c r="AB54" s="4287">
        <v>29</v>
      </c>
      <c r="AC54" s="4287">
        <v>760</v>
      </c>
      <c r="AD54" s="4288">
        <v>789</v>
      </c>
      <c r="AE54" s="4286"/>
      <c r="AF54" s="4287">
        <v>32</v>
      </c>
      <c r="AG54" s="4287">
        <v>757</v>
      </c>
      <c r="AH54" s="4288">
        <v>789</v>
      </c>
      <c r="AI54" s="4286">
        <f t="shared" ref="AI54:AX54" si="37">SUM(AI51:AI53)</f>
        <v>2</v>
      </c>
      <c r="AJ54" s="4287">
        <f t="shared" si="37"/>
        <v>36</v>
      </c>
      <c r="AK54" s="4287">
        <f t="shared" si="37"/>
        <v>756</v>
      </c>
      <c r="AL54" s="4288">
        <f t="shared" si="37"/>
        <v>794</v>
      </c>
      <c r="AM54" s="4286">
        <f t="shared" si="37"/>
        <v>1</v>
      </c>
      <c r="AN54" s="4287">
        <f t="shared" si="37"/>
        <v>29</v>
      </c>
      <c r="AO54" s="4287">
        <f t="shared" si="37"/>
        <v>761</v>
      </c>
      <c r="AP54" s="4288">
        <f t="shared" si="37"/>
        <v>791</v>
      </c>
      <c r="AQ54" s="4286">
        <f t="shared" si="37"/>
        <v>2</v>
      </c>
      <c r="AR54" s="4287">
        <f t="shared" si="37"/>
        <v>34</v>
      </c>
      <c r="AS54" s="4287">
        <f t="shared" si="37"/>
        <v>768</v>
      </c>
      <c r="AT54" s="4288">
        <f t="shared" si="37"/>
        <v>804</v>
      </c>
      <c r="AU54" s="4286">
        <f t="shared" si="37"/>
        <v>2</v>
      </c>
      <c r="AV54" s="4287">
        <f t="shared" si="37"/>
        <v>41</v>
      </c>
      <c r="AW54" s="4287">
        <f t="shared" si="37"/>
        <v>774</v>
      </c>
      <c r="AX54" s="4288">
        <f t="shared" si="37"/>
        <v>817</v>
      </c>
      <c r="AY54" s="4286">
        <f t="shared" ref="AY54:BB54" si="38">SUM(AY51:AY53)</f>
        <v>1</v>
      </c>
      <c r="AZ54" s="4287">
        <f t="shared" si="38"/>
        <v>36</v>
      </c>
      <c r="BA54" s="4287">
        <f t="shared" si="38"/>
        <v>776</v>
      </c>
      <c r="BB54" s="4288">
        <f t="shared" si="38"/>
        <v>813</v>
      </c>
    </row>
    <row r="55" spans="1:54" ht="18" customHeight="1" x14ac:dyDescent="0.2">
      <c r="A55" s="195"/>
      <c r="B55" s="1925"/>
      <c r="C55" s="1925"/>
      <c r="D55" s="1925"/>
      <c r="E55" s="1925"/>
      <c r="F55" s="1925"/>
      <c r="G55" s="1925"/>
      <c r="H55" s="1925"/>
      <c r="I55" s="1925"/>
      <c r="J55" s="1925"/>
      <c r="K55" s="1925"/>
      <c r="L55" s="1925"/>
      <c r="M55" s="1925"/>
      <c r="N55" s="1925"/>
      <c r="O55" s="1925"/>
      <c r="P55" s="1925"/>
      <c r="Q55" s="1925"/>
      <c r="R55" s="1925"/>
      <c r="S55" s="1925"/>
      <c r="T55" s="1925"/>
      <c r="U55" s="1925"/>
      <c r="V55" s="1925"/>
      <c r="W55" s="1925"/>
      <c r="X55" s="1925"/>
      <c r="Y55" s="1925"/>
      <c r="Z55" s="1925"/>
      <c r="AA55" s="1925"/>
      <c r="AB55" s="1925"/>
      <c r="AC55" s="1925"/>
      <c r="AD55" s="1925"/>
      <c r="AE55" s="1925"/>
      <c r="AF55" s="1925"/>
      <c r="AG55" s="1925"/>
      <c r="AH55" s="1925"/>
      <c r="AI55" s="1925"/>
      <c r="AJ55" s="1925"/>
      <c r="AK55" s="1925"/>
      <c r="AL55" s="1925"/>
      <c r="AM55" s="1925"/>
      <c r="AN55" s="1925"/>
      <c r="AO55" s="1925"/>
      <c r="AP55" s="1925"/>
      <c r="AQ55" s="1925"/>
      <c r="AR55" s="1925"/>
      <c r="AS55" s="1925"/>
      <c r="AT55" s="1925"/>
      <c r="AU55" s="1925"/>
      <c r="AV55" s="1925"/>
      <c r="AW55" s="1925"/>
      <c r="AX55" s="1925"/>
      <c r="AY55" s="1925"/>
      <c r="AZ55" s="1925"/>
      <c r="BA55" s="1925"/>
      <c r="BB55" s="1925"/>
    </row>
    <row r="56" spans="1:54" ht="18" customHeight="1" x14ac:dyDescent="0.2">
      <c r="A56" s="6257" t="s">
        <v>411</v>
      </c>
      <c r="B56" s="4148" t="s">
        <v>5</v>
      </c>
      <c r="C56" s="4314"/>
      <c r="D56" s="4314"/>
      <c r="E56" s="4314"/>
      <c r="F56" s="4315"/>
      <c r="G56" s="4314"/>
      <c r="H56" s="4314"/>
      <c r="I56" s="4314"/>
      <c r="J56" s="4315"/>
      <c r="K56" s="4314"/>
      <c r="L56" s="4314"/>
      <c r="M56" s="4314"/>
      <c r="N56" s="4315"/>
      <c r="O56" s="4314"/>
      <c r="P56" s="4314"/>
      <c r="Q56" s="4314"/>
      <c r="R56" s="4315"/>
      <c r="S56" s="4258"/>
      <c r="T56" s="4258"/>
      <c r="U56" s="4258"/>
      <c r="V56" s="4259"/>
      <c r="W56" s="4258"/>
      <c r="X56" s="4258"/>
      <c r="Y56" s="4258"/>
      <c r="Z56" s="4259"/>
      <c r="AA56" s="4258"/>
      <c r="AB56" s="4258"/>
      <c r="AC56" s="4258"/>
      <c r="AD56" s="4259"/>
      <c r="AE56" s="4258"/>
      <c r="AF56" s="4258"/>
      <c r="AG56" s="4258">
        <v>3</v>
      </c>
      <c r="AH56" s="4259">
        <v>3</v>
      </c>
      <c r="AI56" s="4258"/>
      <c r="AJ56" s="4258"/>
      <c r="AK56" s="4258">
        <v>4</v>
      </c>
      <c r="AL56" s="4259">
        <f>SUM(AI56:AK56)</f>
        <v>4</v>
      </c>
      <c r="AM56" s="4258"/>
      <c r="AN56" s="4258"/>
      <c r="AO56" s="4258">
        <v>7</v>
      </c>
      <c r="AP56" s="4259">
        <f>SUM(AM56:AO56)</f>
        <v>7</v>
      </c>
      <c r="AQ56" s="4258"/>
      <c r="AR56" s="4258">
        <v>1</v>
      </c>
      <c r="AS56" s="4258">
        <v>7</v>
      </c>
      <c r="AT56" s="4259">
        <f>SUM(AQ56:AS56)</f>
        <v>8</v>
      </c>
      <c r="AU56" s="4258"/>
      <c r="AV56" s="4258">
        <v>1</v>
      </c>
      <c r="AW56" s="4258">
        <v>9</v>
      </c>
      <c r="AX56" s="4259">
        <f>SUM(AU56:AW56)</f>
        <v>10</v>
      </c>
      <c r="AY56" s="4258">
        <v>0</v>
      </c>
      <c r="AZ56" s="4258">
        <v>4</v>
      </c>
      <c r="BA56" s="4258">
        <v>11</v>
      </c>
      <c r="BB56" s="4259">
        <f>SUM(AY56:BA56)</f>
        <v>15</v>
      </c>
    </row>
    <row r="57" spans="1:54" ht="18" customHeight="1" x14ac:dyDescent="0.2">
      <c r="A57" s="5032"/>
      <c r="B57" s="1926" t="s">
        <v>6</v>
      </c>
      <c r="C57" s="4316"/>
      <c r="D57" s="4316"/>
      <c r="E57" s="4316"/>
      <c r="F57" s="4317"/>
      <c r="G57" s="4316"/>
      <c r="H57" s="4316"/>
      <c r="I57" s="4316"/>
      <c r="J57" s="4317"/>
      <c r="K57" s="4316"/>
      <c r="L57" s="4316"/>
      <c r="M57" s="4316"/>
      <c r="N57" s="4317"/>
      <c r="O57" s="4316"/>
      <c r="P57" s="4316"/>
      <c r="Q57" s="4316"/>
      <c r="R57" s="4317"/>
      <c r="S57" s="4262"/>
      <c r="T57" s="4262"/>
      <c r="U57" s="4262"/>
      <c r="V57" s="4263"/>
      <c r="W57" s="4262"/>
      <c r="X57" s="4262"/>
      <c r="Y57" s="4262"/>
      <c r="Z57" s="4263"/>
      <c r="AA57" s="4262"/>
      <c r="AB57" s="4262"/>
      <c r="AC57" s="4262"/>
      <c r="AD57" s="4263"/>
      <c r="AE57" s="4262"/>
      <c r="AF57" s="4262"/>
      <c r="AG57" s="4262">
        <v>2</v>
      </c>
      <c r="AH57" s="4263">
        <v>2</v>
      </c>
      <c r="AI57" s="4262"/>
      <c r="AJ57" s="4262"/>
      <c r="AK57" s="4262">
        <v>3</v>
      </c>
      <c r="AL57" s="4263">
        <f>SUM(AI57:AK57)</f>
        <v>3</v>
      </c>
      <c r="AM57" s="4262"/>
      <c r="AN57" s="4262"/>
      <c r="AO57" s="4262">
        <v>6</v>
      </c>
      <c r="AP57" s="4263">
        <f>SUM(AM57:AO57)</f>
        <v>6</v>
      </c>
      <c r="AQ57" s="4262"/>
      <c r="AR57" s="4262">
        <v>1</v>
      </c>
      <c r="AS57" s="4262">
        <v>6</v>
      </c>
      <c r="AT57" s="4263">
        <f>SUM(AQ57:AS57)</f>
        <v>7</v>
      </c>
      <c r="AU57" s="4262"/>
      <c r="AV57" s="4262">
        <v>6</v>
      </c>
      <c r="AW57" s="4262">
        <v>7</v>
      </c>
      <c r="AX57" s="4263">
        <f>SUM(AU57:AW57)</f>
        <v>13</v>
      </c>
      <c r="AY57" s="4262">
        <v>0</v>
      </c>
      <c r="AZ57" s="4262">
        <v>4</v>
      </c>
      <c r="BA57" s="4262">
        <v>9</v>
      </c>
      <c r="BB57" s="4263">
        <f>SUM(AY57:BA57)</f>
        <v>13</v>
      </c>
    </row>
    <row r="58" spans="1:54" ht="18" customHeight="1" x14ac:dyDescent="0.2">
      <c r="A58" s="5032"/>
      <c r="B58" s="4265" t="s">
        <v>11</v>
      </c>
      <c r="C58" s="4318"/>
      <c r="D58" s="4318"/>
      <c r="E58" s="4318"/>
      <c r="F58" s="4319"/>
      <c r="G58" s="4318"/>
      <c r="H58" s="4318"/>
      <c r="I58" s="4318"/>
      <c r="J58" s="4319"/>
      <c r="K58" s="4318"/>
      <c r="L58" s="4318"/>
      <c r="M58" s="4318"/>
      <c r="N58" s="4319"/>
      <c r="O58" s="4318"/>
      <c r="P58" s="4318"/>
      <c r="Q58" s="4318"/>
      <c r="R58" s="4319"/>
      <c r="S58" s="4266"/>
      <c r="T58" s="4266"/>
      <c r="U58" s="4266"/>
      <c r="V58" s="4267"/>
      <c r="W58" s="4266"/>
      <c r="X58" s="4266"/>
      <c r="Y58" s="4266"/>
      <c r="Z58" s="4267"/>
      <c r="AA58" s="4266"/>
      <c r="AB58" s="4266"/>
      <c r="AC58" s="4266">
        <v>1</v>
      </c>
      <c r="AD58" s="4267">
        <v>1</v>
      </c>
      <c r="AE58" s="4266"/>
      <c r="AF58" s="4266"/>
      <c r="AG58" s="4266">
        <v>5</v>
      </c>
      <c r="AH58" s="4267">
        <v>5</v>
      </c>
      <c r="AI58" s="4266"/>
      <c r="AJ58" s="4266"/>
      <c r="AK58" s="4266">
        <v>6</v>
      </c>
      <c r="AL58" s="4267">
        <f>SUM(AI58:AK58)</f>
        <v>6</v>
      </c>
      <c r="AM58" s="4266"/>
      <c r="AN58" s="4266"/>
      <c r="AO58" s="4266">
        <v>9</v>
      </c>
      <c r="AP58" s="4267">
        <f>SUM(AM58:AO58)</f>
        <v>9</v>
      </c>
      <c r="AQ58" s="4266"/>
      <c r="AR58" s="4266"/>
      <c r="AS58" s="4266">
        <v>13</v>
      </c>
      <c r="AT58" s="4267">
        <f>SUM(AQ58:AS58)</f>
        <v>13</v>
      </c>
      <c r="AU58" s="4266"/>
      <c r="AV58" s="4266"/>
      <c r="AW58" s="4266">
        <v>13</v>
      </c>
      <c r="AX58" s="4267">
        <f>SUM(AU58:AW58)</f>
        <v>13</v>
      </c>
      <c r="AY58" s="4266"/>
      <c r="AZ58" s="4266">
        <v>1</v>
      </c>
      <c r="BA58" s="4266">
        <v>13</v>
      </c>
      <c r="BB58" s="4267">
        <f>SUM(AY58:BA58)</f>
        <v>14</v>
      </c>
    </row>
    <row r="59" spans="1:54" ht="18" customHeight="1" x14ac:dyDescent="0.2">
      <c r="A59" s="5113"/>
      <c r="B59" s="4293" t="s">
        <v>12</v>
      </c>
      <c r="C59" s="4320"/>
      <c r="D59" s="4320"/>
      <c r="E59" s="4320"/>
      <c r="F59" s="4321"/>
      <c r="G59" s="4320"/>
      <c r="H59" s="4320"/>
      <c r="I59" s="4320"/>
      <c r="J59" s="4321"/>
      <c r="K59" s="4320"/>
      <c r="L59" s="4320"/>
      <c r="M59" s="4320"/>
      <c r="N59" s="4321"/>
      <c r="O59" s="4320"/>
      <c r="P59" s="4320"/>
      <c r="Q59" s="4320"/>
      <c r="R59" s="4321"/>
      <c r="S59" s="4297"/>
      <c r="T59" s="4297"/>
      <c r="U59" s="4297"/>
      <c r="V59" s="4298"/>
      <c r="W59" s="4299"/>
      <c r="X59" s="4297"/>
      <c r="Y59" s="4297"/>
      <c r="Z59" s="4298"/>
      <c r="AA59" s="4299"/>
      <c r="AB59" s="4297"/>
      <c r="AC59" s="4297">
        <v>1</v>
      </c>
      <c r="AD59" s="4298">
        <v>1</v>
      </c>
      <c r="AE59" s="4299"/>
      <c r="AF59" s="4297"/>
      <c r="AG59" s="4297">
        <v>10</v>
      </c>
      <c r="AH59" s="4298">
        <v>10</v>
      </c>
      <c r="AI59" s="4299"/>
      <c r="AJ59" s="4297"/>
      <c r="AK59" s="4297">
        <f>SUM(AK56:AK58)</f>
        <v>13</v>
      </c>
      <c r="AL59" s="4298">
        <f>SUM(AL56:AL58)</f>
        <v>13</v>
      </c>
      <c r="AM59" s="4299"/>
      <c r="AN59" s="4297"/>
      <c r="AO59" s="4297">
        <f>SUM(AO56:AO58)</f>
        <v>22</v>
      </c>
      <c r="AP59" s="4298">
        <f>SUM(AP56:AP58)</f>
        <v>22</v>
      </c>
      <c r="AQ59" s="4299"/>
      <c r="AR59" s="4297">
        <f>SUM(AR56:AR58)</f>
        <v>2</v>
      </c>
      <c r="AS59" s="4297">
        <f>SUM(AS56:AS58)</f>
        <v>26</v>
      </c>
      <c r="AT59" s="4298">
        <f>SUM(AT56:AT58)</f>
        <v>28</v>
      </c>
      <c r="AU59" s="4299"/>
      <c r="AV59" s="4297">
        <f>SUM(AV56:AV58)</f>
        <v>7</v>
      </c>
      <c r="AW59" s="4297">
        <f>SUM(AW56:AW58)</f>
        <v>29</v>
      </c>
      <c r="AX59" s="4298">
        <f>SUM(AX56:AX58)</f>
        <v>36</v>
      </c>
      <c r="AY59" s="4299"/>
      <c r="AZ59" s="4297">
        <f>SUM(AZ56:AZ58)</f>
        <v>9</v>
      </c>
      <c r="BA59" s="4297">
        <f>SUM(BA56:BA58)</f>
        <v>33</v>
      </c>
      <c r="BB59" s="4298">
        <f>SUM(BB56:BB58)</f>
        <v>42</v>
      </c>
    </row>
    <row r="60" spans="1:54" ht="18" customHeight="1" x14ac:dyDescent="0.25">
      <c r="A60" s="1923"/>
      <c r="B60" s="4322"/>
      <c r="C60" s="4322"/>
      <c r="D60" s="4322"/>
      <c r="E60" s="4322"/>
      <c r="F60" s="4322"/>
      <c r="G60" s="4322"/>
      <c r="H60" s="4322"/>
      <c r="I60" s="4322"/>
      <c r="J60" s="4322"/>
      <c r="K60" s="4322"/>
      <c r="L60" s="4322"/>
      <c r="M60" s="4322"/>
      <c r="N60" s="4322"/>
      <c r="O60" s="4322"/>
      <c r="P60" s="4322"/>
      <c r="Q60" s="4322"/>
      <c r="R60" s="4322"/>
      <c r="S60" s="4322"/>
      <c r="T60" s="4322"/>
      <c r="U60" s="4322"/>
      <c r="V60" s="4322"/>
      <c r="W60" s="4322"/>
      <c r="X60" s="4322"/>
      <c r="Y60" s="4322"/>
      <c r="Z60" s="4322"/>
      <c r="AA60" s="4322"/>
      <c r="AB60" s="4322"/>
      <c r="AC60" s="4322"/>
      <c r="AD60" s="4322"/>
      <c r="AE60" s="4322"/>
      <c r="AF60" s="4322"/>
      <c r="AG60" s="4322"/>
      <c r="AH60" s="4322"/>
      <c r="AI60" s="4322"/>
      <c r="AJ60" s="4322"/>
      <c r="AK60" s="4322"/>
      <c r="AL60" s="4322"/>
      <c r="AM60" s="4322"/>
      <c r="AN60" s="4322"/>
      <c r="AO60" s="4322"/>
      <c r="AP60" s="4322"/>
      <c r="AQ60" s="4322"/>
      <c r="AR60" s="4322"/>
      <c r="AS60" s="4322"/>
      <c r="AT60" s="4322"/>
      <c r="AU60" s="4322"/>
      <c r="AV60" s="4322"/>
      <c r="AW60" s="4322"/>
      <c r="AX60" s="4322"/>
      <c r="AY60" s="4322"/>
      <c r="AZ60" s="4322"/>
      <c r="BA60" s="4322"/>
      <c r="BB60" s="4322"/>
    </row>
    <row r="61" spans="1:54" ht="18" customHeight="1" x14ac:dyDescent="0.2">
      <c r="A61" s="6268" t="s">
        <v>163</v>
      </c>
      <c r="B61" s="4148" t="s">
        <v>6</v>
      </c>
      <c r="C61" s="4257">
        <v>1</v>
      </c>
      <c r="D61" s="4258">
        <v>17</v>
      </c>
      <c r="E61" s="4258">
        <v>330</v>
      </c>
      <c r="F61" s="4259">
        <v>348</v>
      </c>
      <c r="G61" s="4257"/>
      <c r="H61" s="4258">
        <v>12</v>
      </c>
      <c r="I61" s="4258">
        <v>335</v>
      </c>
      <c r="J61" s="4259">
        <v>347</v>
      </c>
      <c r="K61" s="4257">
        <v>1</v>
      </c>
      <c r="L61" s="4258">
        <v>13</v>
      </c>
      <c r="M61" s="4258">
        <v>333</v>
      </c>
      <c r="N61" s="4260">
        <v>347</v>
      </c>
      <c r="O61" s="4257"/>
      <c r="P61" s="4258">
        <v>13</v>
      </c>
      <c r="Q61" s="4258">
        <v>327</v>
      </c>
      <c r="R61" s="4259">
        <v>340</v>
      </c>
      <c r="S61" s="4258"/>
      <c r="T61" s="4258">
        <v>12</v>
      </c>
      <c r="U61" s="4258">
        <v>314</v>
      </c>
      <c r="V61" s="4259">
        <v>326</v>
      </c>
      <c r="W61" s="4258"/>
      <c r="X61" s="4258">
        <v>24</v>
      </c>
      <c r="Y61" s="4258">
        <v>311</v>
      </c>
      <c r="Z61" s="4259">
        <v>335</v>
      </c>
      <c r="AA61" s="4258">
        <v>1</v>
      </c>
      <c r="AB61" s="4258">
        <v>29</v>
      </c>
      <c r="AC61" s="4258">
        <v>314</v>
      </c>
      <c r="AD61" s="4259">
        <v>344</v>
      </c>
      <c r="AE61" s="4258">
        <v>1</v>
      </c>
      <c r="AF61" s="4258">
        <v>27</v>
      </c>
      <c r="AG61" s="4258">
        <v>314</v>
      </c>
      <c r="AH61" s="4259">
        <v>342</v>
      </c>
      <c r="AI61" s="4258">
        <v>3</v>
      </c>
      <c r="AJ61" s="4258">
        <v>31</v>
      </c>
      <c r="AK61" s="4258">
        <v>322</v>
      </c>
      <c r="AL61" s="4259">
        <f>SUM(AI61:AK61)</f>
        <v>356</v>
      </c>
      <c r="AM61" s="4258">
        <v>3</v>
      </c>
      <c r="AN61" s="4258">
        <v>31</v>
      </c>
      <c r="AO61" s="4258">
        <v>329</v>
      </c>
      <c r="AP61" s="4259">
        <f>SUM(AM61:AO61)</f>
        <v>363</v>
      </c>
      <c r="AQ61" s="4258">
        <v>2</v>
      </c>
      <c r="AR61" s="4258">
        <v>29</v>
      </c>
      <c r="AS61" s="4258">
        <v>332</v>
      </c>
      <c r="AT61" s="4259">
        <f>SUM(AQ61:AS61)</f>
        <v>363</v>
      </c>
      <c r="AU61" s="4258">
        <v>2</v>
      </c>
      <c r="AV61" s="4258">
        <v>28</v>
      </c>
      <c r="AW61" s="4258">
        <v>331</v>
      </c>
      <c r="AX61" s="4259">
        <f>SUM(AU61:AW61)</f>
        <v>361</v>
      </c>
      <c r="AY61" s="4258">
        <v>2</v>
      </c>
      <c r="AZ61" s="4258">
        <v>29</v>
      </c>
      <c r="BA61" s="4258">
        <v>327</v>
      </c>
      <c r="BB61" s="4259">
        <f>SUM(AY61:BA61)</f>
        <v>358</v>
      </c>
    </row>
    <row r="62" spans="1:54" ht="18" customHeight="1" x14ac:dyDescent="0.2">
      <c r="A62" s="5044"/>
      <c r="B62" s="1926" t="s">
        <v>11</v>
      </c>
      <c r="C62" s="4261"/>
      <c r="D62" s="4262">
        <v>25</v>
      </c>
      <c r="E62" s="4262">
        <v>331</v>
      </c>
      <c r="F62" s="4263">
        <v>356</v>
      </c>
      <c r="G62" s="4261"/>
      <c r="H62" s="4262">
        <v>12</v>
      </c>
      <c r="I62" s="4262">
        <v>340</v>
      </c>
      <c r="J62" s="4263">
        <v>352</v>
      </c>
      <c r="K62" s="4261"/>
      <c r="L62" s="4262">
        <v>13</v>
      </c>
      <c r="M62" s="4262">
        <v>345</v>
      </c>
      <c r="N62" s="4264">
        <v>358</v>
      </c>
      <c r="O62" s="4261"/>
      <c r="P62" s="4262">
        <v>15</v>
      </c>
      <c r="Q62" s="4262">
        <v>340</v>
      </c>
      <c r="R62" s="4263">
        <v>355</v>
      </c>
      <c r="S62" s="4262"/>
      <c r="T62" s="4262">
        <v>15</v>
      </c>
      <c r="U62" s="4262">
        <v>336</v>
      </c>
      <c r="V62" s="4263">
        <v>351</v>
      </c>
      <c r="W62" s="4262"/>
      <c r="X62" s="4262">
        <v>15</v>
      </c>
      <c r="Y62" s="4262">
        <v>331</v>
      </c>
      <c r="Z62" s="4263">
        <v>346</v>
      </c>
      <c r="AA62" s="4262"/>
      <c r="AB62" s="4262">
        <v>16</v>
      </c>
      <c r="AC62" s="4262">
        <v>320</v>
      </c>
      <c r="AD62" s="4263">
        <v>336</v>
      </c>
      <c r="AE62" s="4262"/>
      <c r="AF62" s="4262">
        <v>17</v>
      </c>
      <c r="AG62" s="4262">
        <v>323</v>
      </c>
      <c r="AH62" s="4263">
        <v>340</v>
      </c>
      <c r="AI62" s="4262"/>
      <c r="AJ62" s="4262">
        <v>12</v>
      </c>
      <c r="AK62" s="4262">
        <v>328</v>
      </c>
      <c r="AL62" s="4263">
        <f>SUM(AI62:AK62)</f>
        <v>340</v>
      </c>
      <c r="AM62" s="4262"/>
      <c r="AN62" s="4262">
        <v>23</v>
      </c>
      <c r="AO62" s="4262">
        <v>325</v>
      </c>
      <c r="AP62" s="4263">
        <f>SUM(AM62:AO62)</f>
        <v>348</v>
      </c>
      <c r="AQ62" s="4262"/>
      <c r="AR62" s="4262">
        <v>29</v>
      </c>
      <c r="AS62" s="4262">
        <v>320</v>
      </c>
      <c r="AT62" s="4263">
        <f>SUM(AQ62:AS62)</f>
        <v>349</v>
      </c>
      <c r="AU62" s="4262"/>
      <c r="AV62" s="4262">
        <v>30</v>
      </c>
      <c r="AW62" s="4262">
        <v>323</v>
      </c>
      <c r="AX62" s="4263">
        <f>SUM(AU62:AW62)</f>
        <v>353</v>
      </c>
      <c r="AY62" s="4262">
        <v>0</v>
      </c>
      <c r="AZ62" s="4262">
        <v>34</v>
      </c>
      <c r="BA62" s="4262">
        <v>321</v>
      </c>
      <c r="BB62" s="4263">
        <f>SUM(AY62:BA62)</f>
        <v>355</v>
      </c>
    </row>
    <row r="63" spans="1:54" ht="18" customHeight="1" x14ac:dyDescent="0.2">
      <c r="A63" s="5044"/>
      <c r="B63" s="4265" t="s">
        <v>7</v>
      </c>
      <c r="C63" s="4292">
        <v>1</v>
      </c>
      <c r="D63" s="4266">
        <v>5</v>
      </c>
      <c r="E63" s="4266">
        <v>134</v>
      </c>
      <c r="F63" s="4267">
        <v>140</v>
      </c>
      <c r="G63" s="4292">
        <v>1</v>
      </c>
      <c r="H63" s="4266">
        <v>7</v>
      </c>
      <c r="I63" s="4266">
        <v>131</v>
      </c>
      <c r="J63" s="4267">
        <v>139</v>
      </c>
      <c r="K63" s="4292">
        <v>1</v>
      </c>
      <c r="L63" s="4266">
        <v>6</v>
      </c>
      <c r="M63" s="4266">
        <v>132</v>
      </c>
      <c r="N63" s="4312">
        <v>139</v>
      </c>
      <c r="O63" s="4292">
        <v>1</v>
      </c>
      <c r="P63" s="4266">
        <v>6</v>
      </c>
      <c r="Q63" s="4266">
        <v>132</v>
      </c>
      <c r="R63" s="4267">
        <v>139</v>
      </c>
      <c r="S63" s="4266">
        <v>1</v>
      </c>
      <c r="T63" s="4266">
        <v>10</v>
      </c>
      <c r="U63" s="4266">
        <v>128</v>
      </c>
      <c r="V63" s="4267">
        <v>139</v>
      </c>
      <c r="W63" s="4266">
        <v>1</v>
      </c>
      <c r="X63" s="4266">
        <v>10</v>
      </c>
      <c r="Y63" s="4266">
        <v>127</v>
      </c>
      <c r="Z63" s="4267">
        <v>138</v>
      </c>
      <c r="AA63" s="4266">
        <v>1</v>
      </c>
      <c r="AB63" s="4266">
        <v>10</v>
      </c>
      <c r="AC63" s="4266">
        <v>129</v>
      </c>
      <c r="AD63" s="4267">
        <v>140</v>
      </c>
      <c r="AE63" s="4266">
        <v>1</v>
      </c>
      <c r="AF63" s="4266">
        <v>8</v>
      </c>
      <c r="AG63" s="4266">
        <v>133</v>
      </c>
      <c r="AH63" s="4267">
        <v>142</v>
      </c>
      <c r="AI63" s="4266">
        <v>1</v>
      </c>
      <c r="AJ63" s="4266">
        <v>10</v>
      </c>
      <c r="AK63" s="4266">
        <v>132</v>
      </c>
      <c r="AL63" s="4267">
        <f>SUM(AI63:AK63)</f>
        <v>143</v>
      </c>
      <c r="AM63" s="4266">
        <v>1</v>
      </c>
      <c r="AN63" s="4266">
        <v>10</v>
      </c>
      <c r="AO63" s="4266">
        <v>130</v>
      </c>
      <c r="AP63" s="4267">
        <f>SUM(AM63:AO63)</f>
        <v>141</v>
      </c>
      <c r="AQ63" s="4266">
        <v>1</v>
      </c>
      <c r="AR63" s="4266">
        <v>11</v>
      </c>
      <c r="AS63" s="4266">
        <v>129</v>
      </c>
      <c r="AT63" s="4267">
        <f>SUM(AQ63:AS63)</f>
        <v>141</v>
      </c>
      <c r="AU63" s="4266">
        <v>1</v>
      </c>
      <c r="AV63" s="4266">
        <v>14</v>
      </c>
      <c r="AW63" s="4266">
        <v>131</v>
      </c>
      <c r="AX63" s="4267">
        <f>SUM(AU63:AW63)</f>
        <v>146</v>
      </c>
      <c r="AY63" s="4266">
        <v>1</v>
      </c>
      <c r="AZ63" s="4266">
        <v>13</v>
      </c>
      <c r="BA63" s="4266">
        <v>129</v>
      </c>
      <c r="BB63" s="4267">
        <f>SUM(AY63:BA63)</f>
        <v>143</v>
      </c>
    </row>
    <row r="64" spans="1:54" ht="18" customHeight="1" x14ac:dyDescent="0.2">
      <c r="A64" s="5110"/>
      <c r="B64" s="4300" t="s">
        <v>12</v>
      </c>
      <c r="C64" s="4301">
        <v>2</v>
      </c>
      <c r="D64" s="4302">
        <v>47</v>
      </c>
      <c r="E64" s="4302">
        <v>795</v>
      </c>
      <c r="F64" s="4303">
        <v>844</v>
      </c>
      <c r="G64" s="4301">
        <v>1</v>
      </c>
      <c r="H64" s="4302">
        <v>31</v>
      </c>
      <c r="I64" s="4302">
        <v>806</v>
      </c>
      <c r="J64" s="4303">
        <v>838</v>
      </c>
      <c r="K64" s="4301">
        <v>2</v>
      </c>
      <c r="L64" s="4302">
        <v>32</v>
      </c>
      <c r="M64" s="4302">
        <v>810</v>
      </c>
      <c r="N64" s="4302">
        <v>844</v>
      </c>
      <c r="O64" s="4301">
        <v>1</v>
      </c>
      <c r="P64" s="4302">
        <v>34</v>
      </c>
      <c r="Q64" s="4302">
        <v>799</v>
      </c>
      <c r="R64" s="4303">
        <v>834</v>
      </c>
      <c r="S64" s="4302">
        <v>1</v>
      </c>
      <c r="T64" s="4302">
        <v>37</v>
      </c>
      <c r="U64" s="4302">
        <v>778</v>
      </c>
      <c r="V64" s="4303">
        <v>816</v>
      </c>
      <c r="W64" s="4301">
        <v>1</v>
      </c>
      <c r="X64" s="4302">
        <v>49</v>
      </c>
      <c r="Y64" s="4302">
        <v>769</v>
      </c>
      <c r="Z64" s="4303">
        <v>819</v>
      </c>
      <c r="AA64" s="4301">
        <v>2</v>
      </c>
      <c r="AB64" s="4302">
        <v>55</v>
      </c>
      <c r="AC64" s="4302">
        <v>763</v>
      </c>
      <c r="AD64" s="4303">
        <v>820</v>
      </c>
      <c r="AE64" s="4301">
        <v>2</v>
      </c>
      <c r="AF64" s="4302">
        <v>52</v>
      </c>
      <c r="AG64" s="4302">
        <v>770</v>
      </c>
      <c r="AH64" s="4303">
        <v>824</v>
      </c>
      <c r="AI64" s="4301">
        <f t="shared" ref="AI64:AX64" si="39">SUM(AI61:AI63)</f>
        <v>4</v>
      </c>
      <c r="AJ64" s="4302">
        <f t="shared" si="39"/>
        <v>53</v>
      </c>
      <c r="AK64" s="4302">
        <f t="shared" si="39"/>
        <v>782</v>
      </c>
      <c r="AL64" s="4303">
        <f t="shared" si="39"/>
        <v>839</v>
      </c>
      <c r="AM64" s="4301">
        <f t="shared" si="39"/>
        <v>4</v>
      </c>
      <c r="AN64" s="4302">
        <f t="shared" si="39"/>
        <v>64</v>
      </c>
      <c r="AO64" s="4302">
        <f t="shared" si="39"/>
        <v>784</v>
      </c>
      <c r="AP64" s="4303">
        <f t="shared" si="39"/>
        <v>852</v>
      </c>
      <c r="AQ64" s="4301">
        <f t="shared" si="39"/>
        <v>3</v>
      </c>
      <c r="AR64" s="4302">
        <f t="shared" si="39"/>
        <v>69</v>
      </c>
      <c r="AS64" s="4302">
        <f t="shared" si="39"/>
        <v>781</v>
      </c>
      <c r="AT64" s="4303">
        <f t="shared" si="39"/>
        <v>853</v>
      </c>
      <c r="AU64" s="4301">
        <f t="shared" si="39"/>
        <v>3</v>
      </c>
      <c r="AV64" s="4302">
        <f t="shared" si="39"/>
        <v>72</v>
      </c>
      <c r="AW64" s="4302">
        <f t="shared" si="39"/>
        <v>785</v>
      </c>
      <c r="AX64" s="4303">
        <f t="shared" si="39"/>
        <v>860</v>
      </c>
      <c r="AY64" s="4301">
        <f t="shared" ref="AY64:BB64" si="40">SUM(AY61:AY63)</f>
        <v>3</v>
      </c>
      <c r="AZ64" s="4302">
        <f t="shared" si="40"/>
        <v>76</v>
      </c>
      <c r="BA64" s="4302">
        <f t="shared" si="40"/>
        <v>777</v>
      </c>
      <c r="BB64" s="4303">
        <f t="shared" si="40"/>
        <v>856</v>
      </c>
    </row>
    <row r="65" spans="1:54" x14ac:dyDescent="0.2">
      <c r="A65" s="1925"/>
      <c r="B65" s="1925"/>
      <c r="C65" s="1925"/>
      <c r="D65" s="1925"/>
      <c r="E65" s="1925"/>
      <c r="F65" s="1925"/>
      <c r="G65" s="1925"/>
      <c r="H65" s="1925"/>
      <c r="I65" s="1925"/>
      <c r="J65" s="1925"/>
      <c r="K65" s="1925"/>
      <c r="L65" s="1925"/>
      <c r="M65" s="1925"/>
      <c r="N65" s="1925"/>
      <c r="O65" s="1925"/>
      <c r="P65" s="1925"/>
      <c r="Q65" s="1925"/>
      <c r="R65" s="1925"/>
      <c r="S65" s="1925"/>
      <c r="T65" s="1925"/>
      <c r="U65" s="1925"/>
      <c r="V65" s="1925"/>
      <c r="W65" s="1925"/>
      <c r="X65" s="1925"/>
      <c r="Y65" s="1925"/>
      <c r="Z65" s="1925"/>
      <c r="AA65" s="1925"/>
      <c r="AB65" s="1925"/>
      <c r="AC65" s="1925"/>
      <c r="AD65" s="1925"/>
      <c r="AE65" s="1925"/>
      <c r="AF65" s="1925"/>
      <c r="AG65" s="1925"/>
      <c r="AH65" s="1925"/>
      <c r="AI65" s="1925"/>
      <c r="AJ65" s="1925"/>
      <c r="AK65" s="1925"/>
      <c r="AL65" s="1925"/>
      <c r="AM65" s="1925"/>
      <c r="AN65" s="1925"/>
      <c r="AO65" s="1925"/>
      <c r="AP65" s="1925"/>
      <c r="AQ65" s="1925"/>
      <c r="AR65" s="1925"/>
      <c r="AS65" s="1925"/>
      <c r="AT65" s="1925"/>
      <c r="AU65" s="1925"/>
      <c r="AV65" s="1925"/>
      <c r="AW65" s="1925"/>
      <c r="AX65" s="1925"/>
      <c r="AY65" s="1925"/>
      <c r="AZ65" s="1925"/>
      <c r="BA65" s="1925"/>
      <c r="BB65" s="1925"/>
    </row>
    <row r="66" spans="1:54" ht="21.75" customHeight="1" x14ac:dyDescent="0.2">
      <c r="A66" s="4149" t="s">
        <v>60</v>
      </c>
      <c r="B66" s="4150"/>
      <c r="C66" s="4304">
        <v>15</v>
      </c>
      <c r="D66" s="4305">
        <v>148</v>
      </c>
      <c r="E66" s="4305">
        <v>2258</v>
      </c>
      <c r="F66" s="4306">
        <v>2421</v>
      </c>
      <c r="G66" s="4304">
        <v>13</v>
      </c>
      <c r="H66" s="4305">
        <v>93</v>
      </c>
      <c r="I66" s="4305">
        <v>2323</v>
      </c>
      <c r="J66" s="4306">
        <v>2429</v>
      </c>
      <c r="K66" s="4304">
        <v>18</v>
      </c>
      <c r="L66" s="4305">
        <v>98</v>
      </c>
      <c r="M66" s="4305">
        <v>2351</v>
      </c>
      <c r="N66" s="4305">
        <v>2467</v>
      </c>
      <c r="O66" s="4304">
        <v>21</v>
      </c>
      <c r="P66" s="4305">
        <v>116</v>
      </c>
      <c r="Q66" s="4305">
        <v>2331</v>
      </c>
      <c r="R66" s="4306">
        <v>2468</v>
      </c>
      <c r="S66" s="4305">
        <v>18</v>
      </c>
      <c r="T66" s="4305">
        <v>138</v>
      </c>
      <c r="U66" s="4305">
        <v>2339</v>
      </c>
      <c r="V66" s="4306">
        <v>2495</v>
      </c>
      <c r="W66" s="4305">
        <v>19</v>
      </c>
      <c r="X66" s="4305">
        <v>167</v>
      </c>
      <c r="Y66" s="4305">
        <v>2334</v>
      </c>
      <c r="Z66" s="4306">
        <v>2520</v>
      </c>
      <c r="AA66" s="4305">
        <v>25</v>
      </c>
      <c r="AB66" s="4305">
        <v>176</v>
      </c>
      <c r="AC66" s="4305">
        <v>2337</v>
      </c>
      <c r="AD66" s="4306">
        <v>2538</v>
      </c>
      <c r="AE66" s="4305">
        <v>23</v>
      </c>
      <c r="AF66" s="4305">
        <v>183</v>
      </c>
      <c r="AG66" s="4305">
        <v>2369</v>
      </c>
      <c r="AH66" s="4306">
        <v>2575</v>
      </c>
      <c r="AI66" s="4305">
        <f t="shared" ref="AI66:AX66" si="41">SUM(AI44,AI49,AI54,AI59,AI64)</f>
        <v>20</v>
      </c>
      <c r="AJ66" s="4305">
        <f t="shared" si="41"/>
        <v>190</v>
      </c>
      <c r="AK66" s="4305">
        <f t="shared" si="41"/>
        <v>2413</v>
      </c>
      <c r="AL66" s="4306">
        <f t="shared" si="41"/>
        <v>2623</v>
      </c>
      <c r="AM66" s="4305">
        <f t="shared" si="41"/>
        <v>19</v>
      </c>
      <c r="AN66" s="4305">
        <f t="shared" si="41"/>
        <v>208</v>
      </c>
      <c r="AO66" s="4305">
        <f t="shared" si="41"/>
        <v>2436</v>
      </c>
      <c r="AP66" s="4306">
        <f t="shared" si="41"/>
        <v>2663</v>
      </c>
      <c r="AQ66" s="4305">
        <f t="shared" si="41"/>
        <v>22</v>
      </c>
      <c r="AR66" s="4305">
        <f t="shared" si="41"/>
        <v>229</v>
      </c>
      <c r="AS66" s="4305">
        <f t="shared" si="41"/>
        <v>2454</v>
      </c>
      <c r="AT66" s="4306">
        <f t="shared" si="41"/>
        <v>2705</v>
      </c>
      <c r="AU66" s="4305">
        <f t="shared" si="41"/>
        <v>25</v>
      </c>
      <c r="AV66" s="4305">
        <f t="shared" si="41"/>
        <v>252</v>
      </c>
      <c r="AW66" s="4305">
        <f t="shared" si="41"/>
        <v>2482</v>
      </c>
      <c r="AX66" s="4306">
        <f t="shared" si="41"/>
        <v>2759</v>
      </c>
      <c r="AY66" s="4305">
        <f t="shared" ref="AY66:BB66" si="42">SUM(AY44,AY49,AY54,AY59,AY64)</f>
        <v>19</v>
      </c>
      <c r="AZ66" s="4305">
        <f t="shared" si="42"/>
        <v>247</v>
      </c>
      <c r="BA66" s="4305">
        <f t="shared" si="42"/>
        <v>2477</v>
      </c>
      <c r="BB66" s="4306">
        <f t="shared" si="42"/>
        <v>2743</v>
      </c>
    </row>
    <row r="67" spans="1:54" ht="15" customHeight="1" x14ac:dyDescent="0.25">
      <c r="A67" s="4307" t="s">
        <v>1382</v>
      </c>
      <c r="B67" s="4308"/>
      <c r="C67" s="1925"/>
      <c r="D67" s="1925"/>
      <c r="E67" s="1925"/>
      <c r="F67" s="1925"/>
      <c r="G67" s="1925"/>
      <c r="H67" s="1925"/>
      <c r="I67" s="1925"/>
      <c r="J67" s="1925"/>
      <c r="K67" s="1925"/>
      <c r="L67" s="1925"/>
      <c r="M67" s="1925"/>
      <c r="N67" s="1925"/>
      <c r="O67" s="1925"/>
      <c r="P67" s="1925"/>
      <c r="Q67" s="1925"/>
      <c r="R67" s="1925"/>
      <c r="S67" s="1925"/>
      <c r="T67" s="1925"/>
      <c r="U67" s="1925"/>
      <c r="V67" s="1925"/>
      <c r="W67" s="1925"/>
      <c r="X67" s="1925"/>
      <c r="Y67" s="1925"/>
      <c r="Z67" s="1925"/>
      <c r="AA67" s="1925"/>
      <c r="AB67" s="1925"/>
      <c r="AC67" s="1925"/>
      <c r="AD67" s="1925"/>
      <c r="AE67" s="1925"/>
      <c r="AF67" s="1925"/>
      <c r="AG67" s="1925"/>
      <c r="AH67" s="1925"/>
      <c r="AI67" s="1925"/>
      <c r="AJ67" s="1925"/>
      <c r="AK67" s="1925"/>
      <c r="AL67" s="1925"/>
      <c r="AM67" s="1925"/>
      <c r="AN67" s="1925"/>
      <c r="AO67" s="1925"/>
      <c r="AP67" s="1925"/>
      <c r="AQ67" s="1925"/>
      <c r="AR67" s="1925"/>
      <c r="AS67" s="1925"/>
      <c r="AT67" s="1925"/>
      <c r="AU67" s="1925"/>
      <c r="AV67" s="1925"/>
      <c r="AW67" s="1925"/>
      <c r="AX67" s="1925"/>
      <c r="AY67" s="1925"/>
      <c r="AZ67" s="1925"/>
      <c r="BA67" s="1925"/>
      <c r="BB67" s="1925"/>
    </row>
    <row r="68" spans="1:54" ht="15" customHeight="1" x14ac:dyDescent="0.25">
      <c r="A68" s="4307" t="s">
        <v>116</v>
      </c>
      <c r="B68" s="4308"/>
      <c r="C68" s="1925"/>
      <c r="D68" s="1925"/>
      <c r="E68" s="1925"/>
      <c r="F68" s="1925"/>
      <c r="G68" s="1925"/>
      <c r="H68" s="1925"/>
      <c r="I68" s="1925"/>
      <c r="J68" s="1925"/>
      <c r="K68" s="1925"/>
      <c r="L68" s="1925"/>
      <c r="M68" s="1925"/>
      <c r="N68" s="1925"/>
      <c r="O68" s="1925"/>
      <c r="P68" s="1925"/>
      <c r="Q68" s="1925"/>
      <c r="R68" s="1925"/>
      <c r="S68" s="1925"/>
      <c r="T68" s="1925"/>
      <c r="U68" s="1925"/>
      <c r="V68" s="1925"/>
      <c r="W68" s="1925"/>
      <c r="X68" s="1925"/>
      <c r="Y68" s="1925"/>
      <c r="Z68" s="1925"/>
      <c r="AA68" s="1925"/>
      <c r="AB68" s="1925"/>
      <c r="AC68" s="1925"/>
      <c r="AD68" s="1925"/>
      <c r="AE68" s="1925"/>
      <c r="AF68" s="1925"/>
      <c r="AG68" s="1925"/>
      <c r="AH68" s="1925"/>
      <c r="AI68" s="1925"/>
      <c r="AJ68" s="1925"/>
      <c r="AK68" s="1925"/>
      <c r="AL68" s="1925"/>
      <c r="AM68" s="1925"/>
      <c r="AN68" s="1925"/>
      <c r="AO68" s="1925"/>
      <c r="AP68" s="1925"/>
      <c r="AQ68" s="1925"/>
      <c r="AR68" s="1925"/>
      <c r="AS68" s="1925"/>
      <c r="AT68" s="1925"/>
      <c r="AU68" s="1925"/>
      <c r="AV68" s="1925"/>
      <c r="AW68" s="1925"/>
      <c r="AX68" s="1925"/>
      <c r="AY68" s="1925"/>
      <c r="AZ68" s="1925"/>
      <c r="BA68" s="1925"/>
      <c r="BB68" s="1925"/>
    </row>
    <row r="69" spans="1:54" x14ac:dyDescent="0.2">
      <c r="A69" s="4308"/>
      <c r="B69" s="4308"/>
      <c r="C69" s="4308"/>
      <c r="D69" s="4308"/>
      <c r="E69" s="4308"/>
      <c r="F69" s="4308"/>
      <c r="G69" s="4308"/>
      <c r="H69" s="4308"/>
      <c r="I69" s="4308"/>
      <c r="J69" s="4308"/>
      <c r="K69" s="4308"/>
      <c r="L69" s="4308"/>
      <c r="M69" s="4308"/>
      <c r="N69" s="4308"/>
      <c r="O69" s="4308"/>
      <c r="P69" s="4308"/>
      <c r="Q69" s="4308"/>
      <c r="R69" s="4308"/>
      <c r="S69" s="4308"/>
      <c r="T69" s="4308"/>
      <c r="U69" s="4308"/>
      <c r="V69" s="4308"/>
      <c r="W69" s="1925"/>
      <c r="X69" s="1925"/>
      <c r="Y69" s="1925"/>
      <c r="Z69" s="1925"/>
      <c r="AA69" s="1925"/>
      <c r="AB69" s="1925"/>
      <c r="AC69" s="1925"/>
      <c r="AD69" s="1925"/>
      <c r="AE69" s="1925"/>
      <c r="AF69" s="1925"/>
      <c r="AG69" s="1925"/>
      <c r="AH69" s="1925"/>
      <c r="AI69" s="1925"/>
      <c r="AJ69" s="1925"/>
      <c r="AK69" s="1925"/>
      <c r="AL69" s="1925"/>
      <c r="AM69" s="1925"/>
      <c r="AN69" s="1925"/>
      <c r="AO69" s="1925"/>
      <c r="AP69" s="1925"/>
      <c r="AQ69" s="1925"/>
      <c r="AR69" s="1925"/>
      <c r="AS69" s="1925"/>
      <c r="AT69" s="1925"/>
      <c r="AU69" s="1925"/>
      <c r="AV69" s="1925"/>
      <c r="AW69" s="1925"/>
      <c r="AX69" s="1925"/>
      <c r="AY69" s="1925"/>
      <c r="AZ69" s="1925"/>
      <c r="BA69" s="1925"/>
      <c r="BB69" s="1925"/>
    </row>
    <row r="70" spans="1:54" x14ac:dyDescent="0.2">
      <c r="A70" s="4308"/>
      <c r="B70" s="4308"/>
      <c r="C70" s="4308"/>
      <c r="D70" s="4308"/>
      <c r="E70" s="4308"/>
      <c r="F70" s="4308"/>
      <c r="G70" s="4308"/>
      <c r="H70" s="4308"/>
      <c r="I70" s="4308"/>
      <c r="J70" s="4308"/>
      <c r="K70" s="4308"/>
      <c r="L70" s="4308"/>
      <c r="M70" s="4308"/>
      <c r="N70" s="4308"/>
      <c r="O70" s="4308"/>
      <c r="P70" s="4308"/>
      <c r="Q70" s="4308"/>
      <c r="R70" s="4308"/>
      <c r="S70" s="4308"/>
      <c r="T70" s="4308"/>
      <c r="U70" s="4308"/>
      <c r="V70" s="4308"/>
      <c r="W70" s="1925"/>
      <c r="X70" s="1925"/>
      <c r="Y70" s="1925"/>
      <c r="Z70" s="1925"/>
      <c r="AA70" s="1925"/>
      <c r="AB70" s="1925"/>
      <c r="AC70" s="1925"/>
      <c r="AD70" s="1925"/>
      <c r="AE70" s="1925"/>
      <c r="AF70" s="1925"/>
      <c r="AG70" s="1925"/>
      <c r="AH70" s="1925"/>
      <c r="AI70" s="1925"/>
      <c r="AJ70" s="1925"/>
      <c r="AK70" s="1925"/>
      <c r="AL70" s="1925"/>
      <c r="AM70" s="1925"/>
      <c r="AN70" s="1925"/>
      <c r="AO70" s="1925"/>
      <c r="AP70" s="1925"/>
      <c r="AQ70" s="1925"/>
      <c r="AR70" s="1925"/>
      <c r="AS70" s="1925"/>
      <c r="AT70" s="1925"/>
      <c r="AU70" s="1925"/>
      <c r="AV70" s="1925"/>
      <c r="AW70" s="1925"/>
      <c r="AX70" s="1925"/>
      <c r="AY70" s="1925"/>
      <c r="AZ70" s="1925"/>
      <c r="BA70" s="1925"/>
      <c r="BB70" s="1925"/>
    </row>
    <row r="71" spans="1:54" ht="62.25" customHeight="1" x14ac:dyDescent="0.2">
      <c r="A71" s="6271" t="s">
        <v>1391</v>
      </c>
      <c r="B71" s="6271"/>
      <c r="D71" s="4310"/>
      <c r="E71" s="4310"/>
      <c r="F71" s="4310"/>
      <c r="G71" s="4310"/>
      <c r="H71" s="4310"/>
      <c r="I71" s="4310"/>
      <c r="J71" s="4310"/>
      <c r="K71" s="4310"/>
      <c r="L71" s="4310"/>
      <c r="M71" s="4310"/>
      <c r="N71" s="4310"/>
      <c r="O71" s="4310"/>
      <c r="P71" s="4310"/>
      <c r="Q71" s="4310"/>
      <c r="R71" s="4310"/>
      <c r="S71" s="4310"/>
      <c r="T71" s="4310"/>
      <c r="U71" s="4310"/>
      <c r="V71" s="4310"/>
      <c r="W71" s="4310"/>
      <c r="X71" s="4310"/>
      <c r="Y71" s="4310"/>
      <c r="Z71" s="4310"/>
      <c r="AB71" s="4310"/>
      <c r="AC71" s="4310"/>
      <c r="AD71" s="4310"/>
      <c r="AE71" s="4310"/>
      <c r="AF71" s="4310"/>
      <c r="AG71" s="4310"/>
      <c r="AH71" s="4310"/>
      <c r="AI71" s="4310"/>
      <c r="AJ71" s="4310"/>
      <c r="AK71" s="4310"/>
      <c r="AL71" s="4310"/>
      <c r="AM71" s="4310"/>
      <c r="AN71" s="4310"/>
      <c r="AO71" s="4310"/>
      <c r="AP71" s="4310"/>
      <c r="AQ71" s="4310"/>
      <c r="AR71" s="4310"/>
      <c r="AS71" s="4310"/>
      <c r="AT71" s="4310"/>
      <c r="AU71" s="4310"/>
      <c r="AV71" s="4310"/>
      <c r="AW71" s="4310"/>
      <c r="AX71" s="4311"/>
      <c r="AY71" s="4310"/>
      <c r="AZ71" s="4310"/>
      <c r="BA71" s="4310"/>
      <c r="BB71" s="4311" t="s">
        <v>810</v>
      </c>
    </row>
    <row r="72" spans="1:54" x14ac:dyDescent="0.2">
      <c r="A72" s="4308"/>
      <c r="B72" s="4308"/>
      <c r="C72" s="4308"/>
      <c r="D72" s="4308"/>
      <c r="E72" s="4308"/>
      <c r="F72" s="4308"/>
      <c r="G72" s="4308"/>
      <c r="H72" s="4308"/>
      <c r="I72" s="4308"/>
      <c r="J72" s="4308"/>
      <c r="K72" s="4308"/>
      <c r="L72" s="4308"/>
      <c r="M72" s="4308"/>
      <c r="N72" s="4308"/>
      <c r="O72" s="4308"/>
      <c r="P72" s="4308"/>
      <c r="Q72" s="4308"/>
      <c r="R72" s="4308"/>
      <c r="S72" s="4308"/>
      <c r="T72" s="4308"/>
      <c r="U72" s="4308"/>
      <c r="V72" s="4308"/>
      <c r="W72" s="1925"/>
      <c r="X72" s="1925"/>
      <c r="Y72" s="1925"/>
      <c r="Z72" s="1925"/>
      <c r="AA72" s="1925"/>
      <c r="AB72" s="1925"/>
      <c r="AC72" s="1925"/>
      <c r="AD72" s="1925"/>
      <c r="AE72" s="1925"/>
      <c r="AF72" s="1925"/>
      <c r="AG72" s="1925"/>
      <c r="AH72" s="1925"/>
      <c r="AI72" s="1925"/>
      <c r="AJ72" s="1925"/>
      <c r="AK72" s="1925"/>
      <c r="AL72" s="1925"/>
      <c r="AM72" s="1925"/>
      <c r="AN72" s="1925"/>
      <c r="AO72" s="1925"/>
      <c r="AP72" s="1925"/>
      <c r="AQ72" s="1925"/>
      <c r="AR72" s="1925"/>
      <c r="AS72" s="1925"/>
      <c r="AT72" s="1925"/>
      <c r="AU72" s="1925"/>
      <c r="AV72" s="1925"/>
      <c r="AW72" s="1925"/>
      <c r="AX72" s="1925"/>
      <c r="AY72" s="1925"/>
      <c r="AZ72" s="1925"/>
      <c r="BA72" s="1925"/>
      <c r="BB72" s="1925"/>
    </row>
    <row r="73" spans="1:54" x14ac:dyDescent="0.2">
      <c r="A73" s="6258" t="s">
        <v>16</v>
      </c>
      <c r="B73" s="6266" t="s">
        <v>4</v>
      </c>
      <c r="C73" s="6254">
        <v>2003</v>
      </c>
      <c r="D73" s="6255"/>
      <c r="E73" s="6255"/>
      <c r="F73" s="6256"/>
      <c r="G73" s="6254">
        <v>2004</v>
      </c>
      <c r="H73" s="6255"/>
      <c r="I73" s="6255"/>
      <c r="J73" s="6256"/>
      <c r="K73" s="6254">
        <v>2005</v>
      </c>
      <c r="L73" s="6255"/>
      <c r="M73" s="6255"/>
      <c r="N73" s="6256"/>
      <c r="O73" s="6254">
        <v>2006</v>
      </c>
      <c r="P73" s="6255"/>
      <c r="Q73" s="6255"/>
      <c r="R73" s="6256"/>
      <c r="S73" s="6254">
        <v>2007</v>
      </c>
      <c r="T73" s="6255"/>
      <c r="U73" s="6255"/>
      <c r="V73" s="6256"/>
      <c r="W73" s="6254">
        <v>2008</v>
      </c>
      <c r="X73" s="6255"/>
      <c r="Y73" s="6255"/>
      <c r="Z73" s="6256"/>
      <c r="AA73" s="6254">
        <v>2009</v>
      </c>
      <c r="AB73" s="6255"/>
      <c r="AC73" s="6255"/>
      <c r="AD73" s="6256"/>
      <c r="AE73" s="6254">
        <v>2010</v>
      </c>
      <c r="AF73" s="6255"/>
      <c r="AG73" s="6255"/>
      <c r="AH73" s="6256"/>
      <c r="AI73" s="6254">
        <v>2011</v>
      </c>
      <c r="AJ73" s="6255"/>
      <c r="AK73" s="6255"/>
      <c r="AL73" s="6256"/>
      <c r="AM73" s="6254">
        <v>2012</v>
      </c>
      <c r="AN73" s="6255"/>
      <c r="AO73" s="6255"/>
      <c r="AP73" s="6256"/>
      <c r="AQ73" s="6254">
        <v>2013</v>
      </c>
      <c r="AR73" s="6255"/>
      <c r="AS73" s="6255"/>
      <c r="AT73" s="6256"/>
      <c r="AU73" s="6254">
        <v>2014</v>
      </c>
      <c r="AV73" s="6255"/>
      <c r="AW73" s="6255"/>
      <c r="AX73" s="6256"/>
      <c r="AY73" s="6254">
        <v>2015</v>
      </c>
      <c r="AZ73" s="6255"/>
      <c r="BA73" s="6255"/>
      <c r="BB73" s="6256"/>
    </row>
    <row r="74" spans="1:54" x14ac:dyDescent="0.2">
      <c r="A74" s="6259"/>
      <c r="B74" s="6267"/>
      <c r="C74" s="4253" t="s">
        <v>1379</v>
      </c>
      <c r="D74" s="4254" t="s">
        <v>1380</v>
      </c>
      <c r="E74" s="4255" t="s">
        <v>1381</v>
      </c>
      <c r="F74" s="4256" t="s">
        <v>12</v>
      </c>
      <c r="G74" s="4253" t="s">
        <v>1379</v>
      </c>
      <c r="H74" s="4254" t="s">
        <v>1380</v>
      </c>
      <c r="I74" s="4255" t="s">
        <v>1381</v>
      </c>
      <c r="J74" s="4256" t="s">
        <v>12</v>
      </c>
      <c r="K74" s="4253" t="s">
        <v>1379</v>
      </c>
      <c r="L74" s="4254" t="s">
        <v>1380</v>
      </c>
      <c r="M74" s="4255" t="s">
        <v>1381</v>
      </c>
      <c r="N74" s="4256" t="s">
        <v>12</v>
      </c>
      <c r="O74" s="4253" t="s">
        <v>1379</v>
      </c>
      <c r="P74" s="4254" t="s">
        <v>1380</v>
      </c>
      <c r="Q74" s="4255" t="s">
        <v>1381</v>
      </c>
      <c r="R74" s="4256" t="s">
        <v>12</v>
      </c>
      <c r="S74" s="4253" t="s">
        <v>1379</v>
      </c>
      <c r="T74" s="4254" t="s">
        <v>1380</v>
      </c>
      <c r="U74" s="4255" t="s">
        <v>1381</v>
      </c>
      <c r="V74" s="4256" t="s">
        <v>12</v>
      </c>
      <c r="W74" s="4253" t="s">
        <v>1379</v>
      </c>
      <c r="X74" s="4254" t="s">
        <v>1380</v>
      </c>
      <c r="Y74" s="4255" t="s">
        <v>1381</v>
      </c>
      <c r="Z74" s="4256" t="s">
        <v>12</v>
      </c>
      <c r="AA74" s="4253" t="s">
        <v>1379</v>
      </c>
      <c r="AB74" s="4254" t="s">
        <v>1380</v>
      </c>
      <c r="AC74" s="4255" t="s">
        <v>1381</v>
      </c>
      <c r="AD74" s="4256" t="s">
        <v>12</v>
      </c>
      <c r="AE74" s="4253" t="s">
        <v>1379</v>
      </c>
      <c r="AF74" s="4254" t="s">
        <v>1380</v>
      </c>
      <c r="AG74" s="4255" t="s">
        <v>1381</v>
      </c>
      <c r="AH74" s="4256" t="s">
        <v>12</v>
      </c>
      <c r="AI74" s="4253" t="s">
        <v>1379</v>
      </c>
      <c r="AJ74" s="4254" t="s">
        <v>1380</v>
      </c>
      <c r="AK74" s="4255" t="s">
        <v>1381</v>
      </c>
      <c r="AL74" s="4256" t="s">
        <v>12</v>
      </c>
      <c r="AM74" s="4253" t="s">
        <v>1379</v>
      </c>
      <c r="AN74" s="4254" t="s">
        <v>1380</v>
      </c>
      <c r="AO74" s="4255" t="s">
        <v>1381</v>
      </c>
      <c r="AP74" s="4256" t="s">
        <v>12</v>
      </c>
      <c r="AQ74" s="4253" t="s">
        <v>1379</v>
      </c>
      <c r="AR74" s="4254" t="s">
        <v>1380</v>
      </c>
      <c r="AS74" s="4255" t="s">
        <v>1381</v>
      </c>
      <c r="AT74" s="4256" t="s">
        <v>12</v>
      </c>
      <c r="AU74" s="4253" t="s">
        <v>1379</v>
      </c>
      <c r="AV74" s="4254" t="s">
        <v>1380</v>
      </c>
      <c r="AW74" s="4255" t="s">
        <v>1381</v>
      </c>
      <c r="AX74" s="4256" t="s">
        <v>12</v>
      </c>
      <c r="AY74" s="4253" t="s">
        <v>1379</v>
      </c>
      <c r="AZ74" s="4254" t="s">
        <v>1380</v>
      </c>
      <c r="BA74" s="4255" t="s">
        <v>1381</v>
      </c>
      <c r="BB74" s="4256" t="s">
        <v>12</v>
      </c>
    </row>
    <row r="75" spans="1:54" x14ac:dyDescent="0.2">
      <c r="A75" s="1925"/>
      <c r="B75" s="4323"/>
      <c r="C75" s="1925"/>
      <c r="D75" s="1925"/>
      <c r="E75" s="1925"/>
      <c r="F75" s="1925"/>
      <c r="G75" s="1925"/>
      <c r="H75" s="1925"/>
      <c r="I75" s="1925"/>
      <c r="J75" s="1925"/>
      <c r="K75" s="1925"/>
      <c r="L75" s="1925"/>
      <c r="M75" s="1925"/>
      <c r="N75" s="1925"/>
      <c r="O75" s="1925"/>
      <c r="P75" s="1925"/>
      <c r="Q75" s="1925"/>
      <c r="R75" s="1925"/>
      <c r="S75" s="1925"/>
      <c r="T75" s="1925"/>
      <c r="U75" s="1925"/>
      <c r="V75" s="1925"/>
      <c r="W75" s="1925"/>
      <c r="X75" s="1925"/>
      <c r="Y75" s="1925"/>
      <c r="Z75" s="1925"/>
      <c r="AA75" s="1925"/>
      <c r="AB75" s="1925"/>
      <c r="AC75" s="1925"/>
      <c r="AD75" s="1925"/>
      <c r="AE75" s="1925"/>
      <c r="AF75" s="1925"/>
      <c r="AG75" s="1925"/>
      <c r="AH75" s="1925"/>
      <c r="AI75" s="1925"/>
      <c r="AJ75" s="1925"/>
      <c r="AK75" s="1925"/>
      <c r="AL75" s="1925"/>
      <c r="AM75" s="1925"/>
      <c r="AN75" s="1925"/>
      <c r="AO75" s="1925"/>
      <c r="AP75" s="1925"/>
      <c r="AQ75" s="1925"/>
      <c r="AR75" s="1925"/>
      <c r="AS75" s="1925"/>
      <c r="AT75" s="1925"/>
      <c r="AU75" s="1925"/>
      <c r="AV75" s="1925"/>
      <c r="AW75" s="1925"/>
      <c r="AX75" s="1925"/>
      <c r="AY75" s="1925"/>
      <c r="AZ75" s="1925"/>
      <c r="BA75" s="1925"/>
      <c r="BB75" s="1925"/>
    </row>
    <row r="76" spans="1:54" x14ac:dyDescent="0.2">
      <c r="A76" s="6262" t="s">
        <v>161</v>
      </c>
      <c r="B76" s="4148" t="s">
        <v>5</v>
      </c>
      <c r="C76" s="4257">
        <v>3</v>
      </c>
      <c r="D76" s="4258">
        <v>17</v>
      </c>
      <c r="E76" s="4258">
        <v>15</v>
      </c>
      <c r="F76" s="4259">
        <v>35</v>
      </c>
      <c r="G76" s="4257">
        <v>2</v>
      </c>
      <c r="H76" s="4258">
        <v>9</v>
      </c>
      <c r="I76" s="4258">
        <v>23</v>
      </c>
      <c r="J76" s="4259">
        <v>34</v>
      </c>
      <c r="K76" s="4257">
        <v>1</v>
      </c>
      <c r="L76" s="4258">
        <v>8</v>
      </c>
      <c r="M76" s="4258">
        <v>22</v>
      </c>
      <c r="N76" s="4260">
        <v>31</v>
      </c>
      <c r="O76" s="4257">
        <v>2</v>
      </c>
      <c r="P76" s="4258">
        <v>10</v>
      </c>
      <c r="Q76" s="4258">
        <v>22</v>
      </c>
      <c r="R76" s="4259">
        <v>34</v>
      </c>
      <c r="S76" s="4258">
        <v>2</v>
      </c>
      <c r="T76" s="4258">
        <v>9</v>
      </c>
      <c r="U76" s="4258">
        <v>22</v>
      </c>
      <c r="V76" s="4259">
        <v>33</v>
      </c>
      <c r="W76" s="4258">
        <v>2</v>
      </c>
      <c r="X76" s="4258">
        <v>8</v>
      </c>
      <c r="Y76" s="4258">
        <v>20</v>
      </c>
      <c r="Z76" s="4259">
        <v>30</v>
      </c>
      <c r="AA76" s="4258">
        <v>1</v>
      </c>
      <c r="AB76" s="4258">
        <v>8</v>
      </c>
      <c r="AC76" s="4258">
        <v>19</v>
      </c>
      <c r="AD76" s="4259">
        <f>SUM(AA76:AC76)</f>
        <v>28</v>
      </c>
      <c r="AE76" s="4258">
        <v>1</v>
      </c>
      <c r="AF76" s="4258">
        <v>8</v>
      </c>
      <c r="AG76" s="4258">
        <v>19</v>
      </c>
      <c r="AH76" s="4259">
        <f>SUM(AE76:AG76)</f>
        <v>28</v>
      </c>
      <c r="AI76" s="4258">
        <v>1</v>
      </c>
      <c r="AJ76" s="4258">
        <v>5</v>
      </c>
      <c r="AK76" s="4258">
        <v>18</v>
      </c>
      <c r="AL76" s="4259">
        <f>SUM(AI76:AK76)</f>
        <v>24</v>
      </c>
      <c r="AM76" s="4258">
        <v>1</v>
      </c>
      <c r="AN76" s="4258">
        <v>3</v>
      </c>
      <c r="AO76" s="4258">
        <v>18</v>
      </c>
      <c r="AP76" s="4259">
        <f>SUM(AM76:AO76)</f>
        <v>22</v>
      </c>
      <c r="AQ76" s="4258">
        <v>1</v>
      </c>
      <c r="AR76" s="4258">
        <v>3</v>
      </c>
      <c r="AS76" s="4258">
        <v>17</v>
      </c>
      <c r="AT76" s="4259">
        <f>SUM(AQ76:AS76)</f>
        <v>21</v>
      </c>
      <c r="AU76" s="4258">
        <v>1</v>
      </c>
      <c r="AV76" s="4258">
        <v>4</v>
      </c>
      <c r="AW76" s="4258">
        <v>16</v>
      </c>
      <c r="AX76" s="4259">
        <f>SUM(AU76:AW76)</f>
        <v>21</v>
      </c>
      <c r="AY76" s="4258">
        <v>1</v>
      </c>
      <c r="AZ76" s="4258">
        <v>3</v>
      </c>
      <c r="BA76" s="4258">
        <v>14</v>
      </c>
      <c r="BB76" s="4259">
        <f>SUM(AY76:BA76)</f>
        <v>18</v>
      </c>
    </row>
    <row r="77" spans="1:54" x14ac:dyDescent="0.2">
      <c r="A77" s="5038"/>
      <c r="B77" s="1926" t="s">
        <v>6</v>
      </c>
      <c r="C77" s="4261">
        <v>4</v>
      </c>
      <c r="D77" s="4262">
        <v>22</v>
      </c>
      <c r="E77" s="4262">
        <v>17</v>
      </c>
      <c r="F77" s="4263">
        <v>43</v>
      </c>
      <c r="G77" s="4261">
        <v>2</v>
      </c>
      <c r="H77" s="4262">
        <v>13</v>
      </c>
      <c r="I77" s="4262">
        <v>23</v>
      </c>
      <c r="J77" s="4263">
        <v>38</v>
      </c>
      <c r="K77" s="4261">
        <v>2</v>
      </c>
      <c r="L77" s="4262">
        <v>14</v>
      </c>
      <c r="M77" s="4262">
        <v>24</v>
      </c>
      <c r="N77" s="4264">
        <v>40</v>
      </c>
      <c r="O77" s="4261">
        <v>2</v>
      </c>
      <c r="P77" s="4262">
        <v>16</v>
      </c>
      <c r="Q77" s="4262">
        <v>28</v>
      </c>
      <c r="R77" s="4263">
        <v>46</v>
      </c>
      <c r="S77" s="4262">
        <v>2</v>
      </c>
      <c r="T77" s="4262">
        <v>16</v>
      </c>
      <c r="U77" s="4262">
        <v>28</v>
      </c>
      <c r="V77" s="4263">
        <v>46</v>
      </c>
      <c r="W77" s="4262">
        <v>2</v>
      </c>
      <c r="X77" s="4262">
        <v>16</v>
      </c>
      <c r="Y77" s="4262">
        <v>28</v>
      </c>
      <c r="Z77" s="4263">
        <v>46</v>
      </c>
      <c r="AA77" s="4262">
        <v>2</v>
      </c>
      <c r="AB77" s="4262">
        <v>16</v>
      </c>
      <c r="AC77" s="4262">
        <v>27</v>
      </c>
      <c r="AD77" s="4263">
        <f>SUM(AA77:AC77)</f>
        <v>45</v>
      </c>
      <c r="AE77" s="4262">
        <v>2</v>
      </c>
      <c r="AF77" s="4262">
        <v>16</v>
      </c>
      <c r="AG77" s="4262">
        <v>26</v>
      </c>
      <c r="AH77" s="4263">
        <f>SUM(AE77:AG77)</f>
        <v>44</v>
      </c>
      <c r="AI77" s="4262">
        <v>2</v>
      </c>
      <c r="AJ77" s="4262">
        <v>13</v>
      </c>
      <c r="AK77" s="4262">
        <v>27</v>
      </c>
      <c r="AL77" s="4263">
        <f>SUM(AI77:AK77)</f>
        <v>42</v>
      </c>
      <c r="AM77" s="4262">
        <v>2</v>
      </c>
      <c r="AN77" s="4262">
        <v>10</v>
      </c>
      <c r="AO77" s="4262">
        <v>27</v>
      </c>
      <c r="AP77" s="4263">
        <f>SUM(AM77:AO77)</f>
        <v>39</v>
      </c>
      <c r="AQ77" s="4262">
        <v>2</v>
      </c>
      <c r="AR77" s="4262">
        <v>10</v>
      </c>
      <c r="AS77" s="4262">
        <v>25</v>
      </c>
      <c r="AT77" s="4263">
        <f>SUM(AQ77:AS77)</f>
        <v>37</v>
      </c>
      <c r="AU77" s="4262">
        <v>2</v>
      </c>
      <c r="AV77" s="4262">
        <v>10</v>
      </c>
      <c r="AW77" s="4262">
        <v>25</v>
      </c>
      <c r="AX77" s="4263">
        <f>SUM(AU77:AW77)</f>
        <v>37</v>
      </c>
      <c r="AY77" s="4262">
        <v>2</v>
      </c>
      <c r="AZ77" s="4262">
        <v>7</v>
      </c>
      <c r="BA77" s="4262">
        <v>24</v>
      </c>
      <c r="BB77" s="4263">
        <f>SUM(AY77:BA77)</f>
        <v>33</v>
      </c>
    </row>
    <row r="78" spans="1:54" x14ac:dyDescent="0.2">
      <c r="A78" s="5038"/>
      <c r="B78" s="1926" t="s">
        <v>7</v>
      </c>
      <c r="C78" s="4261">
        <v>2</v>
      </c>
      <c r="D78" s="4262">
        <v>12</v>
      </c>
      <c r="E78" s="4262">
        <v>20</v>
      </c>
      <c r="F78" s="4263">
        <v>34</v>
      </c>
      <c r="G78" s="4261"/>
      <c r="H78" s="4262">
        <v>9</v>
      </c>
      <c r="I78" s="4262">
        <v>25</v>
      </c>
      <c r="J78" s="4263">
        <v>34</v>
      </c>
      <c r="K78" s="4261"/>
      <c r="L78" s="4262">
        <v>10</v>
      </c>
      <c r="M78" s="4262">
        <v>25</v>
      </c>
      <c r="N78" s="4264">
        <v>35</v>
      </c>
      <c r="O78" s="4261"/>
      <c r="P78" s="4262">
        <v>7</v>
      </c>
      <c r="Q78" s="4262">
        <v>25</v>
      </c>
      <c r="R78" s="4263">
        <v>32</v>
      </c>
      <c r="S78" s="4262"/>
      <c r="T78" s="4262">
        <v>8</v>
      </c>
      <c r="U78" s="4262">
        <v>24</v>
      </c>
      <c r="V78" s="4263">
        <v>32</v>
      </c>
      <c r="W78" s="4276"/>
      <c r="X78" s="4262">
        <v>8</v>
      </c>
      <c r="Y78" s="4262">
        <v>23</v>
      </c>
      <c r="Z78" s="4263">
        <v>31</v>
      </c>
      <c r="AA78" s="4262"/>
      <c r="AB78" s="4262">
        <v>6</v>
      </c>
      <c r="AC78" s="4262">
        <v>24</v>
      </c>
      <c r="AD78" s="4263">
        <f>SUM(AA78:AC78)</f>
        <v>30</v>
      </c>
      <c r="AE78" s="4262"/>
      <c r="AF78" s="4262">
        <v>6</v>
      </c>
      <c r="AG78" s="4262">
        <v>23</v>
      </c>
      <c r="AH78" s="4263">
        <f>SUM(AE78:AG78)</f>
        <v>29</v>
      </c>
      <c r="AI78" s="4262">
        <v>0</v>
      </c>
      <c r="AJ78" s="4262">
        <v>7</v>
      </c>
      <c r="AK78" s="4262">
        <v>22</v>
      </c>
      <c r="AL78" s="4263">
        <f>SUM(AI78:AK78)</f>
        <v>29</v>
      </c>
      <c r="AM78" s="4262"/>
      <c r="AN78" s="4262">
        <v>6</v>
      </c>
      <c r="AO78" s="4262">
        <v>18</v>
      </c>
      <c r="AP78" s="4263">
        <f>SUM(AM78:AO78)</f>
        <v>24</v>
      </c>
      <c r="AQ78" s="4262"/>
      <c r="AR78" s="4262">
        <v>5</v>
      </c>
      <c r="AS78" s="4262">
        <v>16</v>
      </c>
      <c r="AT78" s="4263">
        <f>SUM(AQ78:AS78)</f>
        <v>21</v>
      </c>
      <c r="AU78" s="4262"/>
      <c r="AV78" s="4262">
        <v>7</v>
      </c>
      <c r="AW78" s="4262">
        <v>15</v>
      </c>
      <c r="AX78" s="4263">
        <f>SUM(AU78:AW78)</f>
        <v>22</v>
      </c>
      <c r="AY78" s="4262">
        <v>0</v>
      </c>
      <c r="AZ78" s="4262">
        <v>8</v>
      </c>
      <c r="BA78" s="4262">
        <v>15</v>
      </c>
      <c r="BB78" s="4263">
        <f>SUM(AY78:BA78)</f>
        <v>23</v>
      </c>
    </row>
    <row r="79" spans="1:54" x14ac:dyDescent="0.2">
      <c r="A79" s="5108"/>
      <c r="B79" s="4268" t="s">
        <v>12</v>
      </c>
      <c r="C79" s="4269">
        <v>9</v>
      </c>
      <c r="D79" s="4270">
        <v>51</v>
      </c>
      <c r="E79" s="4270">
        <v>52</v>
      </c>
      <c r="F79" s="4271">
        <v>112</v>
      </c>
      <c r="G79" s="4269">
        <v>4</v>
      </c>
      <c r="H79" s="4270">
        <v>31</v>
      </c>
      <c r="I79" s="4270">
        <v>71</v>
      </c>
      <c r="J79" s="4271">
        <v>106</v>
      </c>
      <c r="K79" s="4269">
        <v>3</v>
      </c>
      <c r="L79" s="4270">
        <v>32</v>
      </c>
      <c r="M79" s="4270">
        <v>71</v>
      </c>
      <c r="N79" s="4270">
        <v>106</v>
      </c>
      <c r="O79" s="4269">
        <v>4</v>
      </c>
      <c r="P79" s="4270">
        <v>33</v>
      </c>
      <c r="Q79" s="4270">
        <v>75</v>
      </c>
      <c r="R79" s="4271">
        <v>112</v>
      </c>
      <c r="S79" s="4270">
        <v>4</v>
      </c>
      <c r="T79" s="4270">
        <v>33</v>
      </c>
      <c r="U79" s="4270">
        <v>74</v>
      </c>
      <c r="V79" s="4271">
        <v>111</v>
      </c>
      <c r="W79" s="4269">
        <v>4</v>
      </c>
      <c r="X79" s="4270">
        <v>32</v>
      </c>
      <c r="Y79" s="4270">
        <v>71</v>
      </c>
      <c r="Z79" s="4271">
        <v>107</v>
      </c>
      <c r="AA79" s="4269">
        <f t="shared" ref="AA79:AX79" si="43">SUM(AA76:AA78)</f>
        <v>3</v>
      </c>
      <c r="AB79" s="4270">
        <f t="shared" si="43"/>
        <v>30</v>
      </c>
      <c r="AC79" s="4270">
        <f t="shared" si="43"/>
        <v>70</v>
      </c>
      <c r="AD79" s="4271">
        <f t="shared" si="43"/>
        <v>103</v>
      </c>
      <c r="AE79" s="4269">
        <f t="shared" si="43"/>
        <v>3</v>
      </c>
      <c r="AF79" s="4270">
        <f t="shared" si="43"/>
        <v>30</v>
      </c>
      <c r="AG79" s="4270">
        <f t="shared" si="43"/>
        <v>68</v>
      </c>
      <c r="AH79" s="4271">
        <f t="shared" si="43"/>
        <v>101</v>
      </c>
      <c r="AI79" s="4269">
        <f t="shared" si="43"/>
        <v>3</v>
      </c>
      <c r="AJ79" s="4270">
        <f t="shared" si="43"/>
        <v>25</v>
      </c>
      <c r="AK79" s="4270">
        <f t="shared" si="43"/>
        <v>67</v>
      </c>
      <c r="AL79" s="4271">
        <f t="shared" si="43"/>
        <v>95</v>
      </c>
      <c r="AM79" s="4269">
        <f t="shared" si="43"/>
        <v>3</v>
      </c>
      <c r="AN79" s="4270">
        <f t="shared" si="43"/>
        <v>19</v>
      </c>
      <c r="AO79" s="4270">
        <f t="shared" si="43"/>
        <v>63</v>
      </c>
      <c r="AP79" s="4271">
        <f t="shared" si="43"/>
        <v>85</v>
      </c>
      <c r="AQ79" s="4269">
        <f t="shared" si="43"/>
        <v>3</v>
      </c>
      <c r="AR79" s="4270">
        <f t="shared" si="43"/>
        <v>18</v>
      </c>
      <c r="AS79" s="4270">
        <f t="shared" si="43"/>
        <v>58</v>
      </c>
      <c r="AT79" s="4271">
        <f t="shared" si="43"/>
        <v>79</v>
      </c>
      <c r="AU79" s="4269">
        <f t="shared" si="43"/>
        <v>3</v>
      </c>
      <c r="AV79" s="4270">
        <f t="shared" si="43"/>
        <v>21</v>
      </c>
      <c r="AW79" s="4270">
        <f t="shared" si="43"/>
        <v>56</v>
      </c>
      <c r="AX79" s="4271">
        <f t="shared" si="43"/>
        <v>80</v>
      </c>
      <c r="AY79" s="4269">
        <f t="shared" ref="AY79:BB79" si="44">SUM(AY76:AY78)</f>
        <v>3</v>
      </c>
      <c r="AZ79" s="4270">
        <f t="shared" si="44"/>
        <v>18</v>
      </c>
      <c r="BA79" s="4270">
        <f t="shared" si="44"/>
        <v>53</v>
      </c>
      <c r="BB79" s="4271">
        <f t="shared" si="44"/>
        <v>74</v>
      </c>
    </row>
    <row r="80" spans="1:54" ht="15.75" x14ac:dyDescent="0.25">
      <c r="A80" s="1923"/>
      <c r="B80" s="1925"/>
      <c r="C80" s="1925"/>
      <c r="D80" s="1925"/>
      <c r="E80" s="1925"/>
      <c r="F80" s="1925"/>
      <c r="G80" s="1925"/>
      <c r="H80" s="1925"/>
      <c r="I80" s="1925"/>
      <c r="J80" s="1925"/>
      <c r="K80" s="1925"/>
      <c r="L80" s="1925"/>
      <c r="M80" s="1925"/>
      <c r="N80" s="1925"/>
      <c r="O80" s="1925"/>
      <c r="P80" s="1925"/>
      <c r="Q80" s="1925"/>
      <c r="R80" s="1925"/>
      <c r="S80" s="1925"/>
      <c r="T80" s="1925"/>
      <c r="U80" s="1925"/>
      <c r="V80" s="1925"/>
      <c r="W80" s="1925"/>
      <c r="X80" s="1925"/>
      <c r="Y80" s="1925"/>
      <c r="Z80" s="1925"/>
      <c r="AA80" s="1925"/>
      <c r="AB80" s="1925"/>
      <c r="AC80" s="1925"/>
      <c r="AD80" s="1925"/>
      <c r="AE80" s="1925"/>
      <c r="AF80" s="1925"/>
      <c r="AG80" s="1925"/>
      <c r="AH80" s="1925"/>
      <c r="AI80" s="1925"/>
      <c r="AJ80" s="1925"/>
      <c r="AK80" s="1925"/>
      <c r="AL80" s="1925"/>
      <c r="AM80" s="1925"/>
      <c r="AN80" s="1925"/>
      <c r="AO80" s="1925"/>
      <c r="AP80" s="1925"/>
      <c r="AQ80" s="1925"/>
      <c r="AR80" s="1925"/>
      <c r="AS80" s="1925"/>
      <c r="AT80" s="1925"/>
      <c r="AU80" s="1925"/>
      <c r="AV80" s="1925"/>
      <c r="AW80" s="1925"/>
      <c r="AX80" s="1925"/>
      <c r="AY80" s="1925"/>
      <c r="AZ80" s="1925"/>
      <c r="BA80" s="1925"/>
      <c r="BB80" s="1925"/>
    </row>
    <row r="81" spans="1:54" x14ac:dyDescent="0.2">
      <c r="A81" s="6263" t="s">
        <v>410</v>
      </c>
      <c r="B81" s="4148" t="s">
        <v>6</v>
      </c>
      <c r="C81" s="4272"/>
      <c r="D81" s="4273"/>
      <c r="E81" s="4273"/>
      <c r="F81" s="4274"/>
      <c r="G81" s="4272"/>
      <c r="H81" s="4273"/>
      <c r="I81" s="4273"/>
      <c r="J81" s="4274"/>
      <c r="K81" s="4272"/>
      <c r="L81" s="4273"/>
      <c r="M81" s="4273"/>
      <c r="N81" s="4324"/>
      <c r="O81" s="4272"/>
      <c r="P81" s="4273"/>
      <c r="Q81" s="4273"/>
      <c r="R81" s="4274"/>
      <c r="S81" s="4258"/>
      <c r="T81" s="4258">
        <v>1</v>
      </c>
      <c r="U81" s="4258"/>
      <c r="V81" s="4259">
        <v>1</v>
      </c>
      <c r="W81" s="4258"/>
      <c r="X81" s="4258">
        <v>2</v>
      </c>
      <c r="Y81" s="4258"/>
      <c r="Z81" s="4259">
        <v>2</v>
      </c>
      <c r="AA81" s="4258"/>
      <c r="AB81" s="4258">
        <v>3</v>
      </c>
      <c r="AC81" s="4258"/>
      <c r="AD81" s="4259">
        <f>SUM(AA81:AC81)</f>
        <v>3</v>
      </c>
      <c r="AE81" s="4258"/>
      <c r="AF81" s="4258">
        <v>3</v>
      </c>
      <c r="AG81" s="4258"/>
      <c r="AH81" s="4259">
        <f>SUM(AE81:AG81)</f>
        <v>3</v>
      </c>
      <c r="AI81" s="4258"/>
      <c r="AJ81" s="4258">
        <v>3</v>
      </c>
      <c r="AK81" s="4258"/>
      <c r="AL81" s="4259">
        <f>SUM(AI81:AK81)</f>
        <v>3</v>
      </c>
      <c r="AM81" s="4258"/>
      <c r="AN81" s="4258">
        <v>2</v>
      </c>
      <c r="AO81" s="4258"/>
      <c r="AP81" s="4259">
        <f>SUM(AM81:AO81)</f>
        <v>2</v>
      </c>
      <c r="AQ81" s="4258"/>
      <c r="AR81" s="4258">
        <v>2</v>
      </c>
      <c r="AS81" s="4258"/>
      <c r="AT81" s="4259">
        <f>SUM(AQ81:AS81)</f>
        <v>2</v>
      </c>
      <c r="AU81" s="4258"/>
      <c r="AV81" s="4258">
        <v>2</v>
      </c>
      <c r="AW81" s="4258"/>
      <c r="AX81" s="4259">
        <f>SUM(AU81:AW81)</f>
        <v>2</v>
      </c>
      <c r="AY81" s="4258">
        <v>0</v>
      </c>
      <c r="AZ81" s="4258">
        <v>1</v>
      </c>
      <c r="BA81" s="4258">
        <v>0</v>
      </c>
      <c r="BB81" s="4259">
        <f>SUM(AY81:BA81)</f>
        <v>1</v>
      </c>
    </row>
    <row r="82" spans="1:54" x14ac:dyDescent="0.2">
      <c r="A82" s="5029"/>
      <c r="B82" s="1926" t="s">
        <v>9</v>
      </c>
      <c r="C82" s="4275"/>
      <c r="D82" s="4276"/>
      <c r="E82" s="4276"/>
      <c r="F82" s="4277"/>
      <c r="G82" s="4275"/>
      <c r="H82" s="4276"/>
      <c r="I82" s="4276"/>
      <c r="J82" s="4277"/>
      <c r="K82" s="4275"/>
      <c r="L82" s="4276"/>
      <c r="M82" s="4276"/>
      <c r="N82" s="4325"/>
      <c r="O82" s="4275"/>
      <c r="P82" s="4276"/>
      <c r="Q82" s="4276"/>
      <c r="R82" s="4277"/>
      <c r="S82" s="4262"/>
      <c r="T82" s="4262"/>
      <c r="U82" s="4262"/>
      <c r="V82" s="4263"/>
      <c r="W82" s="4262"/>
      <c r="X82" s="4262"/>
      <c r="Y82" s="4262"/>
      <c r="Z82" s="4263"/>
      <c r="AA82" s="4262"/>
      <c r="AB82" s="4262"/>
      <c r="AC82" s="4262"/>
      <c r="AD82" s="4263"/>
      <c r="AE82" s="4262"/>
      <c r="AF82" s="4262"/>
      <c r="AG82" s="4262"/>
      <c r="AH82" s="4263"/>
      <c r="AI82" s="4262"/>
      <c r="AJ82" s="4262"/>
      <c r="AK82" s="4262"/>
      <c r="AL82" s="4263"/>
      <c r="AM82" s="4262"/>
      <c r="AN82" s="4262"/>
      <c r="AO82" s="4262"/>
      <c r="AP82" s="4263"/>
      <c r="AQ82" s="4262"/>
      <c r="AR82" s="4262"/>
      <c r="AS82" s="4262"/>
      <c r="AT82" s="4263"/>
      <c r="AU82" s="4262"/>
      <c r="AV82" s="4262"/>
      <c r="AW82" s="4262"/>
      <c r="AX82" s="4263"/>
      <c r="AY82" s="4262"/>
      <c r="AZ82" s="4262"/>
      <c r="BA82" s="4262"/>
      <c r="BB82" s="4263"/>
    </row>
    <row r="83" spans="1:54" x14ac:dyDescent="0.2">
      <c r="A83" s="5029"/>
      <c r="B83" s="1926" t="s">
        <v>74</v>
      </c>
      <c r="C83" s="4275"/>
      <c r="D83" s="4276"/>
      <c r="E83" s="4276"/>
      <c r="F83" s="4277"/>
      <c r="G83" s="4275"/>
      <c r="H83" s="4276"/>
      <c r="I83" s="4276"/>
      <c r="J83" s="4277"/>
      <c r="K83" s="4275"/>
      <c r="L83" s="4276"/>
      <c r="M83" s="4276"/>
      <c r="N83" s="4325"/>
      <c r="O83" s="4275"/>
      <c r="P83" s="4276"/>
      <c r="Q83" s="4276"/>
      <c r="R83" s="4277"/>
      <c r="S83" s="4262"/>
      <c r="T83" s="4262"/>
      <c r="U83" s="4262"/>
      <c r="V83" s="4263"/>
      <c r="W83" s="4262"/>
      <c r="X83" s="4262"/>
      <c r="Y83" s="4262"/>
      <c r="Z83" s="4263"/>
      <c r="AA83" s="4262"/>
      <c r="AB83" s="4262"/>
      <c r="AC83" s="4262"/>
      <c r="AD83" s="4263"/>
      <c r="AE83" s="4262"/>
      <c r="AF83" s="4262"/>
      <c r="AG83" s="4262"/>
      <c r="AH83" s="4263"/>
      <c r="AI83" s="4262"/>
      <c r="AJ83" s="4262"/>
      <c r="AK83" s="4262"/>
      <c r="AL83" s="4263"/>
      <c r="AM83" s="4262"/>
      <c r="AN83" s="4262"/>
      <c r="AO83" s="4262"/>
      <c r="AP83" s="4263"/>
      <c r="AQ83" s="4262"/>
      <c r="AR83" s="4262"/>
      <c r="AS83" s="4262">
        <v>1</v>
      </c>
      <c r="AT83" s="4263">
        <f>SUM(AQ83:AS83)</f>
        <v>1</v>
      </c>
      <c r="AU83" s="4262"/>
      <c r="AV83" s="4262"/>
      <c r="AW83" s="4262">
        <v>1</v>
      </c>
      <c r="AX83" s="4263">
        <f>SUM(AU83:AW83)</f>
        <v>1</v>
      </c>
      <c r="AY83" s="4262"/>
      <c r="AZ83" s="4262"/>
      <c r="BA83" s="4262">
        <v>1</v>
      </c>
      <c r="BB83" s="4263">
        <f>SUM(AY83:BA83)</f>
        <v>1</v>
      </c>
    </row>
    <row r="84" spans="1:54" x14ac:dyDescent="0.2">
      <c r="A84" s="5030"/>
      <c r="B84" s="4278" t="s">
        <v>12</v>
      </c>
      <c r="C84" s="4279"/>
      <c r="D84" s="4280"/>
      <c r="E84" s="4280"/>
      <c r="F84" s="4281"/>
      <c r="G84" s="4279"/>
      <c r="H84" s="4280"/>
      <c r="I84" s="4280"/>
      <c r="J84" s="4281"/>
      <c r="K84" s="4279"/>
      <c r="L84" s="4280"/>
      <c r="M84" s="4280"/>
      <c r="N84" s="4280"/>
      <c r="O84" s="4279"/>
      <c r="P84" s="4280"/>
      <c r="Q84" s="4280"/>
      <c r="R84" s="4281"/>
      <c r="S84" s="4282"/>
      <c r="T84" s="4282">
        <v>1</v>
      </c>
      <c r="U84" s="4282"/>
      <c r="V84" s="4283">
        <v>1</v>
      </c>
      <c r="W84" s="4284"/>
      <c r="X84" s="4282">
        <v>2</v>
      </c>
      <c r="Y84" s="4282"/>
      <c r="Z84" s="4283">
        <v>2</v>
      </c>
      <c r="AA84" s="4284"/>
      <c r="AB84" s="4282">
        <f t="shared" ref="AB84:AH84" si="45">SUM(AB81:AB81)</f>
        <v>3</v>
      </c>
      <c r="AC84" s="4282"/>
      <c r="AD84" s="4283">
        <f t="shared" si="45"/>
        <v>3</v>
      </c>
      <c r="AE84" s="4284"/>
      <c r="AF84" s="4282">
        <f t="shared" si="45"/>
        <v>3</v>
      </c>
      <c r="AG84" s="4282"/>
      <c r="AH84" s="4283">
        <f t="shared" si="45"/>
        <v>3</v>
      </c>
      <c r="AI84" s="4284"/>
      <c r="AJ84" s="4282">
        <f>SUM(AJ81:AJ81)</f>
        <v>3</v>
      </c>
      <c r="AK84" s="4282"/>
      <c r="AL84" s="4283">
        <f>SUM(AL81:AL81)</f>
        <v>3</v>
      </c>
      <c r="AM84" s="4284"/>
      <c r="AN84" s="4282">
        <f>SUM(AN81:AN81)</f>
        <v>2</v>
      </c>
      <c r="AO84" s="4282"/>
      <c r="AP84" s="4283">
        <f>SUM(AP81:AP81)</f>
        <v>2</v>
      </c>
      <c r="AQ84" s="4284"/>
      <c r="AR84" s="4282">
        <f>SUM(AR81:AR81)</f>
        <v>2</v>
      </c>
      <c r="AS84" s="4282">
        <f>SUM(AS81:AS83)</f>
        <v>1</v>
      </c>
      <c r="AT84" s="4283">
        <f>SUM(AT81:AT83)</f>
        <v>3</v>
      </c>
      <c r="AU84" s="4284"/>
      <c r="AV84" s="4282">
        <f>SUM(AV81:AV81)</f>
        <v>2</v>
      </c>
      <c r="AW84" s="4282">
        <f>SUM(AW81:AW83)</f>
        <v>1</v>
      </c>
      <c r="AX84" s="4283">
        <f>SUM(AX81:AX83)</f>
        <v>3</v>
      </c>
      <c r="AY84" s="4284"/>
      <c r="AZ84" s="4282">
        <f>SUM(AZ81:AZ81)</f>
        <v>1</v>
      </c>
      <c r="BA84" s="4282">
        <f>SUM(BA81:BA83)</f>
        <v>1</v>
      </c>
      <c r="BB84" s="4283">
        <f>SUM(BB81:BB83)</f>
        <v>2</v>
      </c>
    </row>
    <row r="85" spans="1:54" ht="15.75" x14ac:dyDescent="0.25">
      <c r="A85" s="1923"/>
      <c r="B85" s="1925"/>
      <c r="C85" s="1925"/>
      <c r="D85" s="1925"/>
      <c r="E85" s="1925"/>
      <c r="F85" s="1925"/>
      <c r="G85" s="1925"/>
      <c r="H85" s="1925"/>
      <c r="I85" s="1925"/>
      <c r="J85" s="1925"/>
      <c r="K85" s="1925"/>
      <c r="L85" s="1925"/>
      <c r="M85" s="1925"/>
      <c r="N85" s="1925"/>
      <c r="O85" s="1925"/>
      <c r="P85" s="1925"/>
      <c r="Q85" s="1925"/>
      <c r="R85" s="1925"/>
      <c r="S85" s="1925"/>
      <c r="T85" s="1925"/>
      <c r="U85" s="1925"/>
      <c r="V85" s="1925"/>
      <c r="W85" s="1925"/>
      <c r="X85" s="1925"/>
      <c r="Y85" s="1925"/>
      <c r="Z85" s="1925"/>
      <c r="AA85" s="1925"/>
      <c r="AB85" s="1925"/>
      <c r="AC85" s="1925"/>
      <c r="AD85" s="1925"/>
      <c r="AE85" s="1925"/>
      <c r="AF85" s="1925"/>
      <c r="AG85" s="1925"/>
      <c r="AH85" s="1925"/>
      <c r="AI85" s="1925"/>
      <c r="AJ85" s="1925"/>
      <c r="AK85" s="1925"/>
      <c r="AL85" s="1925"/>
      <c r="AM85" s="1925"/>
      <c r="AN85" s="1925"/>
      <c r="AO85" s="1925"/>
      <c r="AP85" s="1925"/>
      <c r="AQ85" s="1925"/>
      <c r="AR85" s="1925"/>
      <c r="AS85" s="1925"/>
      <c r="AT85" s="1925"/>
      <c r="AU85" s="1925"/>
      <c r="AV85" s="1925"/>
      <c r="AW85" s="1925"/>
      <c r="AX85" s="1925"/>
      <c r="AY85" s="1925"/>
      <c r="AZ85" s="1925"/>
      <c r="BA85" s="1925"/>
      <c r="BB85" s="1925"/>
    </row>
    <row r="86" spans="1:54" x14ac:dyDescent="0.2">
      <c r="A86" s="6264" t="s">
        <v>162</v>
      </c>
      <c r="B86" s="4148" t="s">
        <v>5</v>
      </c>
      <c r="C86" s="4257">
        <v>1</v>
      </c>
      <c r="D86" s="4258">
        <v>1</v>
      </c>
      <c r="E86" s="4258"/>
      <c r="F86" s="4259">
        <v>2</v>
      </c>
      <c r="G86" s="4257">
        <v>1</v>
      </c>
      <c r="H86" s="4258">
        <v>1</v>
      </c>
      <c r="I86" s="4258"/>
      <c r="J86" s="4259">
        <v>2</v>
      </c>
      <c r="K86" s="4257">
        <v>1</v>
      </c>
      <c r="L86" s="4258">
        <v>1</v>
      </c>
      <c r="M86" s="4258"/>
      <c r="N86" s="4260">
        <v>2</v>
      </c>
      <c r="O86" s="4257">
        <v>1</v>
      </c>
      <c r="P86" s="4258">
        <v>1</v>
      </c>
      <c r="Q86" s="4258"/>
      <c r="R86" s="4259">
        <v>2</v>
      </c>
      <c r="S86" s="4258">
        <v>1</v>
      </c>
      <c r="T86" s="4258">
        <v>1</v>
      </c>
      <c r="U86" s="4258"/>
      <c r="V86" s="4259">
        <v>2</v>
      </c>
      <c r="W86" s="4258">
        <v>1</v>
      </c>
      <c r="X86" s="4258">
        <v>1</v>
      </c>
      <c r="Y86" s="4258"/>
      <c r="Z86" s="4259">
        <v>2</v>
      </c>
      <c r="AA86" s="4258">
        <v>1</v>
      </c>
      <c r="AB86" s="4258"/>
      <c r="AC86" s="4258"/>
      <c r="AD86" s="4259">
        <f>SUM(AA86:AC86)</f>
        <v>1</v>
      </c>
      <c r="AE86" s="4258">
        <v>1</v>
      </c>
      <c r="AF86" s="4258"/>
      <c r="AG86" s="4258"/>
      <c r="AH86" s="4259">
        <f>SUM(AE86:AG86)</f>
        <v>1</v>
      </c>
      <c r="AI86" s="4258">
        <v>1</v>
      </c>
      <c r="AJ86" s="4258"/>
      <c r="AK86" s="4258"/>
      <c r="AL86" s="4259">
        <f>SUM(AI86:AK86)</f>
        <v>1</v>
      </c>
      <c r="AM86" s="4258">
        <v>1</v>
      </c>
      <c r="AN86" s="4258"/>
      <c r="AO86" s="4258"/>
      <c r="AP86" s="4259">
        <f>SUM(AM86:AO86)</f>
        <v>1</v>
      </c>
      <c r="AQ86" s="4258">
        <v>1</v>
      </c>
      <c r="AR86" s="4258"/>
      <c r="AS86" s="4258"/>
      <c r="AT86" s="4259">
        <f>SUM(AQ86:AS86)</f>
        <v>1</v>
      </c>
      <c r="AU86" s="4258">
        <v>1</v>
      </c>
      <c r="AV86" s="4258"/>
      <c r="AW86" s="4258"/>
      <c r="AX86" s="4259">
        <f>SUM(AU86:AW86)</f>
        <v>1</v>
      </c>
      <c r="AY86" s="4258">
        <v>1</v>
      </c>
      <c r="AZ86" s="4258">
        <v>0</v>
      </c>
      <c r="BA86" s="4258">
        <v>0</v>
      </c>
      <c r="BB86" s="4259">
        <f>SUM(AY86:BA86)</f>
        <v>1</v>
      </c>
    </row>
    <row r="87" spans="1:54" x14ac:dyDescent="0.2">
      <c r="A87" s="5041"/>
      <c r="B87" s="1926" t="s">
        <v>6</v>
      </c>
      <c r="C87" s="4261"/>
      <c r="D87" s="4262">
        <v>2</v>
      </c>
      <c r="E87" s="4262">
        <v>13</v>
      </c>
      <c r="F87" s="4263">
        <v>15</v>
      </c>
      <c r="G87" s="4261"/>
      <c r="H87" s="4262">
        <v>2</v>
      </c>
      <c r="I87" s="4262">
        <v>14</v>
      </c>
      <c r="J87" s="4263">
        <v>16</v>
      </c>
      <c r="K87" s="4261"/>
      <c r="L87" s="4262">
        <v>3</v>
      </c>
      <c r="M87" s="4262">
        <v>11</v>
      </c>
      <c r="N87" s="4264">
        <v>14</v>
      </c>
      <c r="O87" s="4261"/>
      <c r="P87" s="4262">
        <v>3</v>
      </c>
      <c r="Q87" s="4262">
        <v>12</v>
      </c>
      <c r="R87" s="4263">
        <v>15</v>
      </c>
      <c r="S87" s="4262"/>
      <c r="T87" s="4262">
        <v>2</v>
      </c>
      <c r="U87" s="4262">
        <v>12</v>
      </c>
      <c r="V87" s="4263">
        <v>14</v>
      </c>
      <c r="W87" s="4262"/>
      <c r="X87" s="4262">
        <v>2</v>
      </c>
      <c r="Y87" s="4262">
        <v>9</v>
      </c>
      <c r="Z87" s="4263">
        <v>11</v>
      </c>
      <c r="AA87" s="4262"/>
      <c r="AB87" s="4262">
        <v>1</v>
      </c>
      <c r="AC87" s="4262">
        <v>11</v>
      </c>
      <c r="AD87" s="4263">
        <f>SUM(AA87:AC87)</f>
        <v>12</v>
      </c>
      <c r="AE87" s="4262"/>
      <c r="AF87" s="4262">
        <v>2</v>
      </c>
      <c r="AG87" s="4262">
        <v>12</v>
      </c>
      <c r="AH87" s="4263">
        <f>SUM(AE87:AG87)</f>
        <v>14</v>
      </c>
      <c r="AI87" s="4262"/>
      <c r="AJ87" s="4262">
        <v>2</v>
      </c>
      <c r="AK87" s="4262">
        <v>12</v>
      </c>
      <c r="AL87" s="4263">
        <f>SUM(AI87:AK87)</f>
        <v>14</v>
      </c>
      <c r="AM87" s="4262"/>
      <c r="AN87" s="4262">
        <v>2</v>
      </c>
      <c r="AO87" s="4262">
        <v>12</v>
      </c>
      <c r="AP87" s="4263">
        <f>SUM(AM87:AO87)</f>
        <v>14</v>
      </c>
      <c r="AQ87" s="4262"/>
      <c r="AR87" s="4262">
        <v>3</v>
      </c>
      <c r="AS87" s="4262">
        <v>12</v>
      </c>
      <c r="AT87" s="4263">
        <f>SUM(AQ87:AS87)</f>
        <v>15</v>
      </c>
      <c r="AU87" s="4262"/>
      <c r="AV87" s="4262">
        <v>3</v>
      </c>
      <c r="AW87" s="4262">
        <v>8</v>
      </c>
      <c r="AX87" s="4263">
        <f>SUM(AU87:AW87)</f>
        <v>11</v>
      </c>
      <c r="AY87" s="4262">
        <v>0</v>
      </c>
      <c r="AZ87" s="4262">
        <v>3</v>
      </c>
      <c r="BA87" s="4262">
        <v>7</v>
      </c>
      <c r="BB87" s="4263">
        <f>SUM(AY87:BA87)</f>
        <v>10</v>
      </c>
    </row>
    <row r="88" spans="1:54" x14ac:dyDescent="0.2">
      <c r="A88" s="5041"/>
      <c r="B88" s="1926" t="s">
        <v>11</v>
      </c>
      <c r="C88" s="4261">
        <v>1</v>
      </c>
      <c r="D88" s="4262">
        <v>1</v>
      </c>
      <c r="E88" s="4262">
        <v>4</v>
      </c>
      <c r="F88" s="4263">
        <v>6</v>
      </c>
      <c r="G88" s="4261">
        <v>1</v>
      </c>
      <c r="H88" s="4262">
        <v>1</v>
      </c>
      <c r="I88" s="4262">
        <v>4</v>
      </c>
      <c r="J88" s="4263">
        <v>6</v>
      </c>
      <c r="K88" s="4261">
        <v>1</v>
      </c>
      <c r="L88" s="4262">
        <v>1</v>
      </c>
      <c r="M88" s="4262">
        <v>3</v>
      </c>
      <c r="N88" s="4264">
        <v>5</v>
      </c>
      <c r="O88" s="4261">
        <v>1</v>
      </c>
      <c r="P88" s="4262">
        <v>1</v>
      </c>
      <c r="Q88" s="4262">
        <v>4</v>
      </c>
      <c r="R88" s="4263">
        <v>6</v>
      </c>
      <c r="S88" s="4262">
        <v>1</v>
      </c>
      <c r="T88" s="4262">
        <v>2</v>
      </c>
      <c r="U88" s="4262">
        <v>4</v>
      </c>
      <c r="V88" s="4263">
        <v>7</v>
      </c>
      <c r="W88" s="4262">
        <v>1</v>
      </c>
      <c r="X88" s="4262">
        <v>2</v>
      </c>
      <c r="Y88" s="4262">
        <v>4</v>
      </c>
      <c r="Z88" s="4263">
        <v>7</v>
      </c>
      <c r="AA88" s="4262">
        <v>1</v>
      </c>
      <c r="AB88" s="4262">
        <v>2</v>
      </c>
      <c r="AC88" s="4262">
        <v>6</v>
      </c>
      <c r="AD88" s="4263">
        <f>SUM(AA88:AC88)</f>
        <v>9</v>
      </c>
      <c r="AE88" s="4262"/>
      <c r="AF88" s="4262">
        <v>2</v>
      </c>
      <c r="AG88" s="4262">
        <v>6</v>
      </c>
      <c r="AH88" s="4263">
        <f>SUM(AE88:AG88)</f>
        <v>8</v>
      </c>
      <c r="AI88" s="4262"/>
      <c r="AJ88" s="4262">
        <v>2</v>
      </c>
      <c r="AK88" s="4262">
        <v>6</v>
      </c>
      <c r="AL88" s="4263">
        <f>SUM(AI88:AK88)</f>
        <v>8</v>
      </c>
      <c r="AM88" s="4262"/>
      <c r="AN88" s="4262">
        <v>2</v>
      </c>
      <c r="AO88" s="4262">
        <v>6</v>
      </c>
      <c r="AP88" s="4263">
        <f>SUM(AM88:AO88)</f>
        <v>8</v>
      </c>
      <c r="AQ88" s="4262"/>
      <c r="AR88" s="4262">
        <v>2</v>
      </c>
      <c r="AS88" s="4262">
        <v>5</v>
      </c>
      <c r="AT88" s="4263">
        <f>SUM(AQ88:AS88)</f>
        <v>7</v>
      </c>
      <c r="AU88" s="4262"/>
      <c r="AV88" s="4262">
        <v>1</v>
      </c>
      <c r="AW88" s="4262">
        <v>6</v>
      </c>
      <c r="AX88" s="4263">
        <f>SUM(AU88:AW88)</f>
        <v>7</v>
      </c>
      <c r="AY88" s="4262"/>
      <c r="AZ88" s="4262">
        <v>1</v>
      </c>
      <c r="BA88" s="4262">
        <v>6</v>
      </c>
      <c r="BB88" s="4263">
        <f>SUM(AY88:BA88)</f>
        <v>7</v>
      </c>
    </row>
    <row r="89" spans="1:54" x14ac:dyDescent="0.2">
      <c r="A89" s="5109"/>
      <c r="B89" s="4285" t="s">
        <v>12</v>
      </c>
      <c r="C89" s="4286">
        <v>2</v>
      </c>
      <c r="D89" s="4287">
        <v>4</v>
      </c>
      <c r="E89" s="4287">
        <v>17</v>
      </c>
      <c r="F89" s="4288">
        <v>23</v>
      </c>
      <c r="G89" s="4286">
        <v>2</v>
      </c>
      <c r="H89" s="4287">
        <v>4</v>
      </c>
      <c r="I89" s="4287">
        <v>18</v>
      </c>
      <c r="J89" s="4288">
        <v>24</v>
      </c>
      <c r="K89" s="4286">
        <v>2</v>
      </c>
      <c r="L89" s="4287">
        <v>5</v>
      </c>
      <c r="M89" s="4287">
        <v>14</v>
      </c>
      <c r="N89" s="4287">
        <v>21</v>
      </c>
      <c r="O89" s="4286">
        <v>2</v>
      </c>
      <c r="P89" s="4287">
        <v>5</v>
      </c>
      <c r="Q89" s="4287">
        <v>16</v>
      </c>
      <c r="R89" s="4288">
        <v>23</v>
      </c>
      <c r="S89" s="4287">
        <v>2</v>
      </c>
      <c r="T89" s="4287">
        <v>5</v>
      </c>
      <c r="U89" s="4287">
        <v>16</v>
      </c>
      <c r="V89" s="4288">
        <v>23</v>
      </c>
      <c r="W89" s="4286">
        <v>2</v>
      </c>
      <c r="X89" s="4287">
        <v>5</v>
      </c>
      <c r="Y89" s="4287">
        <v>13</v>
      </c>
      <c r="Z89" s="4288">
        <v>20</v>
      </c>
      <c r="AA89" s="4286">
        <f t="shared" ref="AA89:AX89" si="46">SUM(AA86:AA88)</f>
        <v>2</v>
      </c>
      <c r="AB89" s="4287">
        <f t="shared" si="46"/>
        <v>3</v>
      </c>
      <c r="AC89" s="4287">
        <f t="shared" si="46"/>
        <v>17</v>
      </c>
      <c r="AD89" s="4288">
        <f t="shared" si="46"/>
        <v>22</v>
      </c>
      <c r="AE89" s="4286">
        <f t="shared" si="46"/>
        <v>1</v>
      </c>
      <c r="AF89" s="4287">
        <f t="shared" si="46"/>
        <v>4</v>
      </c>
      <c r="AG89" s="4287">
        <f t="shared" si="46"/>
        <v>18</v>
      </c>
      <c r="AH89" s="4288">
        <f t="shared" si="46"/>
        <v>23</v>
      </c>
      <c r="AI89" s="4286">
        <f t="shared" si="46"/>
        <v>1</v>
      </c>
      <c r="AJ89" s="4287">
        <f t="shared" si="46"/>
        <v>4</v>
      </c>
      <c r="AK89" s="4287">
        <f t="shared" si="46"/>
        <v>18</v>
      </c>
      <c r="AL89" s="4288">
        <f t="shared" si="46"/>
        <v>23</v>
      </c>
      <c r="AM89" s="4286">
        <f t="shared" si="46"/>
        <v>1</v>
      </c>
      <c r="AN89" s="4287">
        <f t="shared" si="46"/>
        <v>4</v>
      </c>
      <c r="AO89" s="4287">
        <f t="shared" si="46"/>
        <v>18</v>
      </c>
      <c r="AP89" s="4288">
        <f t="shared" si="46"/>
        <v>23</v>
      </c>
      <c r="AQ89" s="4286">
        <f t="shared" si="46"/>
        <v>1</v>
      </c>
      <c r="AR89" s="4287">
        <f t="shared" si="46"/>
        <v>5</v>
      </c>
      <c r="AS89" s="4287">
        <f t="shared" si="46"/>
        <v>17</v>
      </c>
      <c r="AT89" s="4288">
        <f t="shared" si="46"/>
        <v>23</v>
      </c>
      <c r="AU89" s="4286">
        <f t="shared" si="46"/>
        <v>1</v>
      </c>
      <c r="AV89" s="4287">
        <f t="shared" si="46"/>
        <v>4</v>
      </c>
      <c r="AW89" s="4287">
        <f t="shared" si="46"/>
        <v>14</v>
      </c>
      <c r="AX89" s="4288">
        <f t="shared" si="46"/>
        <v>19</v>
      </c>
      <c r="AY89" s="4286">
        <f t="shared" ref="AY89:BB89" si="47">SUM(AY86:AY88)</f>
        <v>1</v>
      </c>
      <c r="AZ89" s="4287">
        <f t="shared" si="47"/>
        <v>4</v>
      </c>
      <c r="BA89" s="4287">
        <f t="shared" si="47"/>
        <v>13</v>
      </c>
      <c r="BB89" s="4288">
        <f t="shared" si="47"/>
        <v>18</v>
      </c>
    </row>
    <row r="90" spans="1:54" ht="15" hidden="1" customHeight="1" x14ac:dyDescent="0.2">
      <c r="A90" s="195"/>
      <c r="B90" s="1925"/>
      <c r="C90" s="1925"/>
      <c r="D90" s="1925"/>
      <c r="E90" s="1925"/>
      <c r="F90" s="1925"/>
      <c r="G90" s="1925"/>
      <c r="H90" s="1925"/>
      <c r="I90" s="1925"/>
      <c r="J90" s="1925"/>
      <c r="K90" s="1925"/>
      <c r="L90" s="1925"/>
      <c r="M90" s="1925"/>
      <c r="N90" s="1925"/>
      <c r="O90" s="1925"/>
      <c r="P90" s="1925"/>
      <c r="Q90" s="1925"/>
      <c r="R90" s="1925"/>
      <c r="S90" s="1925"/>
      <c r="T90" s="1925"/>
      <c r="U90" s="1925"/>
      <c r="V90" s="1925"/>
      <c r="W90" s="1925"/>
      <c r="X90" s="1925"/>
      <c r="Y90" s="1925"/>
      <c r="Z90" s="1925"/>
      <c r="AA90" s="1925"/>
      <c r="AB90" s="1925"/>
      <c r="AC90" s="1925"/>
      <c r="AD90" s="1925"/>
      <c r="AE90" s="1925"/>
      <c r="AF90" s="1925"/>
      <c r="AG90" s="1925"/>
      <c r="AH90" s="1925"/>
      <c r="AI90" s="1925"/>
      <c r="AJ90" s="1925"/>
      <c r="AK90" s="1925"/>
      <c r="AL90" s="1925"/>
      <c r="AM90" s="1925"/>
      <c r="AN90" s="1925"/>
      <c r="AO90" s="1925"/>
      <c r="AP90" s="1925"/>
      <c r="AQ90" s="1925"/>
      <c r="AR90" s="1925"/>
      <c r="AS90" s="1925"/>
      <c r="AT90" s="1925"/>
      <c r="AU90" s="1925"/>
      <c r="AV90" s="1925"/>
      <c r="AW90" s="1925"/>
      <c r="AX90" s="1925"/>
      <c r="AY90" s="1925"/>
      <c r="AZ90" s="1925"/>
      <c r="BA90" s="1925"/>
      <c r="BB90" s="1925"/>
    </row>
    <row r="91" spans="1:54" ht="15" hidden="1" customHeight="1" x14ac:dyDescent="0.2">
      <c r="A91" s="6257" t="s">
        <v>411</v>
      </c>
      <c r="B91" s="4148" t="s">
        <v>5</v>
      </c>
      <c r="C91" s="4272"/>
      <c r="D91" s="4273"/>
      <c r="E91" s="4273"/>
      <c r="F91" s="4274"/>
      <c r="G91" s="4272"/>
      <c r="H91" s="4273"/>
      <c r="I91" s="4273"/>
      <c r="J91" s="4274"/>
      <c r="K91" s="4272"/>
      <c r="L91" s="4273"/>
      <c r="M91" s="4273"/>
      <c r="N91" s="4324"/>
      <c r="O91" s="4272"/>
      <c r="P91" s="4273"/>
      <c r="Q91" s="4273"/>
      <c r="R91" s="4274"/>
      <c r="S91" s="4273"/>
      <c r="T91" s="4273"/>
      <c r="U91" s="4273"/>
      <c r="V91" s="4274"/>
      <c r="W91" s="4273"/>
      <c r="X91" s="4273"/>
      <c r="Y91" s="4273"/>
      <c r="Z91" s="4274"/>
      <c r="AA91" s="4273"/>
      <c r="AB91" s="4273"/>
      <c r="AC91" s="4273"/>
      <c r="AD91" s="4274"/>
      <c r="AE91" s="4273"/>
      <c r="AF91" s="4273"/>
      <c r="AG91" s="4273"/>
      <c r="AH91" s="4274"/>
      <c r="AI91" s="4273"/>
      <c r="AJ91" s="4258"/>
      <c r="AK91" s="4258"/>
      <c r="AL91" s="4259"/>
      <c r="AM91" s="4326"/>
      <c r="AN91" s="4258"/>
      <c r="AO91" s="4258"/>
      <c r="AP91" s="4259"/>
      <c r="AQ91" s="4326"/>
      <c r="AR91" s="4258"/>
      <c r="AS91" s="4258"/>
      <c r="AT91" s="4259"/>
      <c r="AU91" s="4326"/>
      <c r="AV91" s="4258"/>
      <c r="AW91" s="4258"/>
      <c r="AX91" s="4259"/>
      <c r="AY91" s="4326"/>
      <c r="AZ91" s="4258"/>
      <c r="BA91" s="4258"/>
      <c r="BB91" s="4259"/>
    </row>
    <row r="92" spans="1:54" ht="15" hidden="1" customHeight="1" x14ac:dyDescent="0.2">
      <c r="A92" s="5032"/>
      <c r="B92" s="1926" t="s">
        <v>6</v>
      </c>
      <c r="C92" s="4275"/>
      <c r="D92" s="4276"/>
      <c r="E92" s="4276"/>
      <c r="F92" s="4277"/>
      <c r="G92" s="4275"/>
      <c r="H92" s="4276"/>
      <c r="I92" s="4276"/>
      <c r="J92" s="4277"/>
      <c r="K92" s="4275"/>
      <c r="L92" s="4276"/>
      <c r="M92" s="4276"/>
      <c r="N92" s="4325"/>
      <c r="O92" s="4275"/>
      <c r="P92" s="4276"/>
      <c r="Q92" s="4276"/>
      <c r="R92" s="4277"/>
      <c r="S92" s="4276"/>
      <c r="T92" s="4276"/>
      <c r="U92" s="4276"/>
      <c r="V92" s="4277"/>
      <c r="W92" s="4276"/>
      <c r="X92" s="4276"/>
      <c r="Y92" s="4276"/>
      <c r="Z92" s="4277"/>
      <c r="AA92" s="4276"/>
      <c r="AB92" s="4276"/>
      <c r="AC92" s="4276"/>
      <c r="AD92" s="4277"/>
      <c r="AE92" s="4276"/>
      <c r="AF92" s="4276"/>
      <c r="AG92" s="4276"/>
      <c r="AH92" s="4277"/>
      <c r="AI92" s="4276"/>
      <c r="AJ92" s="4262"/>
      <c r="AK92" s="4262"/>
      <c r="AL92" s="4263"/>
      <c r="AM92" s="4327"/>
      <c r="AN92" s="4262"/>
      <c r="AO92" s="4262"/>
      <c r="AP92" s="4263"/>
      <c r="AQ92" s="4327"/>
      <c r="AR92" s="4262"/>
      <c r="AS92" s="4262"/>
      <c r="AT92" s="4263"/>
      <c r="AU92" s="4327"/>
      <c r="AV92" s="4262"/>
      <c r="AW92" s="4262"/>
      <c r="AX92" s="4263"/>
      <c r="AY92" s="4327"/>
      <c r="AZ92" s="4262"/>
      <c r="BA92" s="4262"/>
      <c r="BB92" s="4263"/>
    </row>
    <row r="93" spans="1:54" ht="15" hidden="1" customHeight="1" x14ac:dyDescent="0.2">
      <c r="A93" s="5032"/>
      <c r="B93" s="1926" t="s">
        <v>11</v>
      </c>
      <c r="C93" s="4275"/>
      <c r="D93" s="4276"/>
      <c r="E93" s="4276"/>
      <c r="F93" s="4277"/>
      <c r="G93" s="4275"/>
      <c r="H93" s="4276"/>
      <c r="I93" s="4276"/>
      <c r="J93" s="4277"/>
      <c r="K93" s="4275"/>
      <c r="L93" s="4276"/>
      <c r="M93" s="4276"/>
      <c r="N93" s="4325"/>
      <c r="O93" s="4275"/>
      <c r="P93" s="4276"/>
      <c r="Q93" s="4276"/>
      <c r="R93" s="4277"/>
      <c r="S93" s="4276"/>
      <c r="T93" s="4276"/>
      <c r="U93" s="4276"/>
      <c r="V93" s="4277"/>
      <c r="W93" s="4276"/>
      <c r="X93" s="4276"/>
      <c r="Y93" s="4276"/>
      <c r="Z93" s="4277"/>
      <c r="AA93" s="4276"/>
      <c r="AB93" s="4276"/>
      <c r="AC93" s="4276"/>
      <c r="AD93" s="4277"/>
      <c r="AE93" s="4276"/>
      <c r="AF93" s="4276"/>
      <c r="AG93" s="4276"/>
      <c r="AH93" s="4277"/>
      <c r="AI93" s="4276"/>
      <c r="AJ93" s="4262"/>
      <c r="AK93" s="4262"/>
      <c r="AL93" s="4263"/>
      <c r="AM93" s="4327"/>
      <c r="AN93" s="4262"/>
      <c r="AO93" s="4262"/>
      <c r="AP93" s="4263"/>
      <c r="AQ93" s="4327"/>
      <c r="AR93" s="4262"/>
      <c r="AS93" s="4262"/>
      <c r="AT93" s="4263"/>
      <c r="AU93" s="4327"/>
      <c r="AV93" s="4262"/>
      <c r="AW93" s="4262"/>
      <c r="AX93" s="4263"/>
      <c r="AY93" s="4327"/>
      <c r="AZ93" s="4262"/>
      <c r="BA93" s="4262"/>
      <c r="BB93" s="4263"/>
    </row>
    <row r="94" spans="1:54" ht="15" hidden="1" customHeight="1" x14ac:dyDescent="0.2">
      <c r="A94" s="5113"/>
      <c r="B94" s="4293" t="s">
        <v>12</v>
      </c>
      <c r="C94" s="4294"/>
      <c r="D94" s="4295"/>
      <c r="E94" s="4295"/>
      <c r="F94" s="4296"/>
      <c r="G94" s="4294"/>
      <c r="H94" s="4295"/>
      <c r="I94" s="4295"/>
      <c r="J94" s="4296"/>
      <c r="K94" s="4294"/>
      <c r="L94" s="4295"/>
      <c r="M94" s="4295"/>
      <c r="N94" s="4295"/>
      <c r="O94" s="4294"/>
      <c r="P94" s="4295"/>
      <c r="Q94" s="4295"/>
      <c r="R94" s="4296"/>
      <c r="S94" s="4295"/>
      <c r="T94" s="4295"/>
      <c r="U94" s="4295"/>
      <c r="V94" s="4296"/>
      <c r="W94" s="4294"/>
      <c r="X94" s="4295"/>
      <c r="Y94" s="4295"/>
      <c r="Z94" s="4296"/>
      <c r="AA94" s="4294"/>
      <c r="AB94" s="4295"/>
      <c r="AC94" s="4295"/>
      <c r="AD94" s="4296"/>
      <c r="AE94" s="4294"/>
      <c r="AF94" s="4295"/>
      <c r="AG94" s="4295"/>
      <c r="AH94" s="4296"/>
      <c r="AI94" s="4294"/>
      <c r="AJ94" s="4297"/>
      <c r="AK94" s="4297"/>
      <c r="AL94" s="4298"/>
      <c r="AM94" s="4328"/>
      <c r="AN94" s="4297"/>
      <c r="AO94" s="4297"/>
      <c r="AP94" s="4298"/>
      <c r="AQ94" s="4328"/>
      <c r="AR94" s="4297"/>
      <c r="AS94" s="4297"/>
      <c r="AT94" s="4298"/>
      <c r="AU94" s="4328"/>
      <c r="AV94" s="4297"/>
      <c r="AW94" s="4297"/>
      <c r="AX94" s="4298"/>
      <c r="AY94" s="4328"/>
      <c r="AZ94" s="4297"/>
      <c r="BA94" s="4297"/>
      <c r="BB94" s="4298"/>
    </row>
    <row r="95" spans="1:54" ht="15.75" x14ac:dyDescent="0.25">
      <c r="A95" s="1923"/>
      <c r="B95" s="1925"/>
      <c r="C95" s="1925"/>
      <c r="D95" s="1925"/>
      <c r="E95" s="1925"/>
      <c r="F95" s="1925"/>
      <c r="G95" s="1925"/>
      <c r="H95" s="1925"/>
      <c r="I95" s="1925"/>
      <c r="J95" s="1925"/>
      <c r="K95" s="1925"/>
      <c r="L95" s="1925"/>
      <c r="M95" s="1925"/>
      <c r="N95" s="1925"/>
      <c r="O95" s="1925"/>
      <c r="P95" s="1925"/>
      <c r="Q95" s="1925"/>
      <c r="R95" s="1925"/>
      <c r="S95" s="1925"/>
      <c r="T95" s="1925"/>
      <c r="U95" s="1925"/>
      <c r="V95" s="1925"/>
      <c r="W95" s="1925"/>
      <c r="X95" s="1925"/>
      <c r="Y95" s="1925"/>
      <c r="Z95" s="1925"/>
      <c r="AA95" s="1925"/>
      <c r="AB95" s="1925"/>
      <c r="AC95" s="1925"/>
      <c r="AD95" s="1925"/>
      <c r="AE95" s="1925"/>
      <c r="AF95" s="1925"/>
      <c r="AG95" s="1925"/>
      <c r="AH95" s="1925"/>
      <c r="AI95" s="1925"/>
      <c r="AJ95" s="1925"/>
      <c r="AK95" s="1925"/>
      <c r="AL95" s="1925"/>
      <c r="AM95" s="4329"/>
      <c r="AN95" s="1925"/>
      <c r="AO95" s="1925"/>
      <c r="AP95" s="1925"/>
      <c r="AQ95" s="4329"/>
      <c r="AR95" s="1925"/>
      <c r="AS95" s="1925"/>
      <c r="AT95" s="1925"/>
      <c r="AU95" s="4329"/>
      <c r="AV95" s="1925"/>
      <c r="AW95" s="1925"/>
      <c r="AX95" s="1925"/>
      <c r="AY95" s="4329"/>
      <c r="AZ95" s="1925"/>
      <c r="BA95" s="1925"/>
      <c r="BB95" s="1925"/>
    </row>
    <row r="96" spans="1:54" x14ac:dyDescent="0.2">
      <c r="A96" s="6268" t="s">
        <v>163</v>
      </c>
      <c r="B96" s="4148" t="s">
        <v>6</v>
      </c>
      <c r="C96" s="4257"/>
      <c r="D96" s="4258">
        <v>16</v>
      </c>
      <c r="E96" s="4258">
        <v>20</v>
      </c>
      <c r="F96" s="4259">
        <v>36</v>
      </c>
      <c r="G96" s="4257"/>
      <c r="H96" s="4258">
        <v>11</v>
      </c>
      <c r="I96" s="4258">
        <v>21</v>
      </c>
      <c r="J96" s="4259">
        <v>32</v>
      </c>
      <c r="K96" s="4257"/>
      <c r="L96" s="4258">
        <v>13</v>
      </c>
      <c r="M96" s="4258">
        <v>21</v>
      </c>
      <c r="N96" s="4260">
        <v>34</v>
      </c>
      <c r="O96" s="4257"/>
      <c r="P96" s="4258">
        <v>19</v>
      </c>
      <c r="Q96" s="4258">
        <v>21</v>
      </c>
      <c r="R96" s="4259">
        <v>40</v>
      </c>
      <c r="S96" s="4258"/>
      <c r="T96" s="4258">
        <v>15</v>
      </c>
      <c r="U96" s="4258">
        <v>22</v>
      </c>
      <c r="V96" s="4259">
        <v>37</v>
      </c>
      <c r="W96" s="4258"/>
      <c r="X96" s="4258">
        <v>14</v>
      </c>
      <c r="Y96" s="4258">
        <v>20</v>
      </c>
      <c r="Z96" s="4259">
        <v>34</v>
      </c>
      <c r="AA96" s="4258"/>
      <c r="AB96" s="4258">
        <v>16</v>
      </c>
      <c r="AC96" s="4258">
        <v>17</v>
      </c>
      <c r="AD96" s="4259">
        <f>SUM(AA96:AC96)</f>
        <v>33</v>
      </c>
      <c r="AE96" s="4258"/>
      <c r="AF96" s="4258">
        <v>17</v>
      </c>
      <c r="AG96" s="4258">
        <v>16</v>
      </c>
      <c r="AH96" s="4259">
        <f>SUM(AE96:AG96)</f>
        <v>33</v>
      </c>
      <c r="AI96" s="4258"/>
      <c r="AJ96" s="4258">
        <v>15</v>
      </c>
      <c r="AK96" s="4258">
        <v>16</v>
      </c>
      <c r="AL96" s="4259">
        <f>SUM(AI96:AK96)</f>
        <v>31</v>
      </c>
      <c r="AM96" s="4258"/>
      <c r="AN96" s="4258">
        <v>11</v>
      </c>
      <c r="AO96" s="4258">
        <v>15</v>
      </c>
      <c r="AP96" s="4259">
        <f>SUM(AM96:AO96)</f>
        <v>26</v>
      </c>
      <c r="AQ96" s="4258"/>
      <c r="AR96" s="4258">
        <v>8</v>
      </c>
      <c r="AS96" s="4258">
        <v>15</v>
      </c>
      <c r="AT96" s="4259">
        <f>SUM(AQ96:AS96)</f>
        <v>23</v>
      </c>
      <c r="AU96" s="4258"/>
      <c r="AV96" s="4258">
        <v>8</v>
      </c>
      <c r="AW96" s="4258">
        <v>15</v>
      </c>
      <c r="AX96" s="4259">
        <f>SUM(AU96:AW96)</f>
        <v>23</v>
      </c>
      <c r="AY96" s="4258">
        <v>0</v>
      </c>
      <c r="AZ96" s="4258">
        <v>9</v>
      </c>
      <c r="BA96" s="4258">
        <v>15</v>
      </c>
      <c r="BB96" s="4259">
        <f>SUM(AY96:BA96)</f>
        <v>24</v>
      </c>
    </row>
    <row r="97" spans="1:54" x14ac:dyDescent="0.2">
      <c r="A97" s="5044"/>
      <c r="B97" s="1926" t="s">
        <v>11</v>
      </c>
      <c r="C97" s="4261">
        <v>1</v>
      </c>
      <c r="D97" s="4262">
        <v>6</v>
      </c>
      <c r="E97" s="4262">
        <v>19</v>
      </c>
      <c r="F97" s="4263">
        <v>26</v>
      </c>
      <c r="G97" s="4261"/>
      <c r="H97" s="4262">
        <v>8</v>
      </c>
      <c r="I97" s="4262">
        <v>19</v>
      </c>
      <c r="J97" s="4263">
        <v>27</v>
      </c>
      <c r="K97" s="4261"/>
      <c r="L97" s="4262">
        <v>10</v>
      </c>
      <c r="M97" s="4262">
        <v>19</v>
      </c>
      <c r="N97" s="4264">
        <v>29</v>
      </c>
      <c r="O97" s="4261"/>
      <c r="P97" s="4262">
        <v>11</v>
      </c>
      <c r="Q97" s="4262">
        <v>19</v>
      </c>
      <c r="R97" s="4263">
        <v>30</v>
      </c>
      <c r="S97" s="4262"/>
      <c r="T97" s="4262">
        <v>10</v>
      </c>
      <c r="U97" s="4262">
        <v>19</v>
      </c>
      <c r="V97" s="4263">
        <v>29</v>
      </c>
      <c r="W97" s="4262"/>
      <c r="X97" s="4262">
        <v>13</v>
      </c>
      <c r="Y97" s="4262">
        <v>19</v>
      </c>
      <c r="Z97" s="4263">
        <v>32</v>
      </c>
      <c r="AA97" s="4262"/>
      <c r="AB97" s="4262">
        <v>14</v>
      </c>
      <c r="AC97" s="4262">
        <v>19</v>
      </c>
      <c r="AD97" s="4263">
        <f>SUM(AA97:AC97)</f>
        <v>33</v>
      </c>
      <c r="AE97" s="4262"/>
      <c r="AF97" s="4262">
        <v>14</v>
      </c>
      <c r="AG97" s="4262">
        <v>18</v>
      </c>
      <c r="AH97" s="4263">
        <f>SUM(AE97:AG97)</f>
        <v>32</v>
      </c>
      <c r="AI97" s="4262"/>
      <c r="AJ97" s="4262">
        <v>14</v>
      </c>
      <c r="AK97" s="4262">
        <v>17</v>
      </c>
      <c r="AL97" s="4263">
        <f>SUM(AI97:AK97)</f>
        <v>31</v>
      </c>
      <c r="AM97" s="4262"/>
      <c r="AN97" s="4262">
        <v>12</v>
      </c>
      <c r="AO97" s="4262">
        <v>16</v>
      </c>
      <c r="AP97" s="4263">
        <f>SUM(AM97:AO97)</f>
        <v>28</v>
      </c>
      <c r="AQ97" s="4262"/>
      <c r="AR97" s="4262">
        <v>17</v>
      </c>
      <c r="AS97" s="4262">
        <v>16</v>
      </c>
      <c r="AT97" s="4263">
        <f>SUM(AQ97:AS97)</f>
        <v>33</v>
      </c>
      <c r="AU97" s="4262"/>
      <c r="AV97" s="4262">
        <v>22</v>
      </c>
      <c r="AW97" s="4262">
        <v>16</v>
      </c>
      <c r="AX97" s="4263">
        <f>SUM(AU97:AW97)</f>
        <v>38</v>
      </c>
      <c r="AY97" s="4262">
        <v>0</v>
      </c>
      <c r="AZ97" s="4262">
        <v>22</v>
      </c>
      <c r="BA97" s="4262">
        <v>15</v>
      </c>
      <c r="BB97" s="4263">
        <f>SUM(AY97:BA97)</f>
        <v>37</v>
      </c>
    </row>
    <row r="98" spans="1:54" x14ac:dyDescent="0.2">
      <c r="A98" s="5044"/>
      <c r="B98" s="1926" t="s">
        <v>7</v>
      </c>
      <c r="C98" s="4261"/>
      <c r="D98" s="4262">
        <v>11</v>
      </c>
      <c r="E98" s="4262">
        <v>15</v>
      </c>
      <c r="F98" s="4263">
        <v>26</v>
      </c>
      <c r="G98" s="4261"/>
      <c r="H98" s="4262">
        <v>7</v>
      </c>
      <c r="I98" s="4262">
        <v>17</v>
      </c>
      <c r="J98" s="4263">
        <v>24</v>
      </c>
      <c r="K98" s="4261"/>
      <c r="L98" s="4262">
        <v>7</v>
      </c>
      <c r="M98" s="4262">
        <v>19</v>
      </c>
      <c r="N98" s="4264">
        <v>26</v>
      </c>
      <c r="O98" s="4261"/>
      <c r="P98" s="4262">
        <v>9</v>
      </c>
      <c r="Q98" s="4262">
        <v>18</v>
      </c>
      <c r="R98" s="4263">
        <v>27</v>
      </c>
      <c r="S98" s="4262"/>
      <c r="T98" s="4262">
        <v>7</v>
      </c>
      <c r="U98" s="4262">
        <v>19</v>
      </c>
      <c r="V98" s="4263">
        <v>26</v>
      </c>
      <c r="W98" s="4262"/>
      <c r="X98" s="4262">
        <v>7</v>
      </c>
      <c r="Y98" s="4262">
        <v>19</v>
      </c>
      <c r="Z98" s="4263">
        <v>26</v>
      </c>
      <c r="AA98" s="4262"/>
      <c r="AB98" s="4262">
        <v>9</v>
      </c>
      <c r="AC98" s="4262">
        <v>22</v>
      </c>
      <c r="AD98" s="4263">
        <f>SUM(AA98:AC98)</f>
        <v>31</v>
      </c>
      <c r="AE98" s="4262"/>
      <c r="AF98" s="4262">
        <v>10</v>
      </c>
      <c r="AG98" s="4262">
        <v>19</v>
      </c>
      <c r="AH98" s="4263">
        <f>SUM(AE98:AG98)</f>
        <v>29</v>
      </c>
      <c r="AI98" s="4262"/>
      <c r="AJ98" s="4262">
        <v>12</v>
      </c>
      <c r="AK98" s="4262">
        <v>20</v>
      </c>
      <c r="AL98" s="4263">
        <f>SUM(AI98:AK98)</f>
        <v>32</v>
      </c>
      <c r="AM98" s="4262"/>
      <c r="AN98" s="4262">
        <v>12</v>
      </c>
      <c r="AO98" s="4262">
        <v>20</v>
      </c>
      <c r="AP98" s="4263">
        <f>SUM(AM98:AO98)</f>
        <v>32</v>
      </c>
      <c r="AQ98" s="4262"/>
      <c r="AR98" s="4262">
        <v>12</v>
      </c>
      <c r="AS98" s="4262">
        <v>19</v>
      </c>
      <c r="AT98" s="4263">
        <f>SUM(AQ98:AS98)</f>
        <v>31</v>
      </c>
      <c r="AU98" s="4262"/>
      <c r="AV98" s="4262">
        <v>14</v>
      </c>
      <c r="AW98" s="4262">
        <v>17</v>
      </c>
      <c r="AX98" s="4263">
        <f>SUM(AU98:AW98)</f>
        <v>31</v>
      </c>
      <c r="AY98" s="4262">
        <v>0</v>
      </c>
      <c r="AZ98" s="4262">
        <v>15</v>
      </c>
      <c r="BA98" s="4262">
        <v>17</v>
      </c>
      <c r="BB98" s="4263">
        <f>SUM(AY98:BA98)</f>
        <v>32</v>
      </c>
    </row>
    <row r="99" spans="1:54" x14ac:dyDescent="0.2">
      <c r="A99" s="5110"/>
      <c r="B99" s="4300" t="s">
        <v>12</v>
      </c>
      <c r="C99" s="4301">
        <v>1</v>
      </c>
      <c r="D99" s="4302">
        <v>33</v>
      </c>
      <c r="E99" s="4302">
        <v>54</v>
      </c>
      <c r="F99" s="4303">
        <v>88</v>
      </c>
      <c r="G99" s="4330"/>
      <c r="H99" s="4302">
        <v>26</v>
      </c>
      <c r="I99" s="4302">
        <v>57</v>
      </c>
      <c r="J99" s="4303">
        <v>83</v>
      </c>
      <c r="K99" s="4330"/>
      <c r="L99" s="4302">
        <v>30</v>
      </c>
      <c r="M99" s="4302">
        <v>59</v>
      </c>
      <c r="N99" s="4302">
        <v>89</v>
      </c>
      <c r="O99" s="4330"/>
      <c r="P99" s="4302">
        <v>39</v>
      </c>
      <c r="Q99" s="4302">
        <v>58</v>
      </c>
      <c r="R99" s="4303">
        <v>97</v>
      </c>
      <c r="S99" s="4302"/>
      <c r="T99" s="4302">
        <v>32</v>
      </c>
      <c r="U99" s="4302">
        <v>60</v>
      </c>
      <c r="V99" s="4303">
        <v>92</v>
      </c>
      <c r="W99" s="4301"/>
      <c r="X99" s="4302">
        <v>34</v>
      </c>
      <c r="Y99" s="4302">
        <v>58</v>
      </c>
      <c r="Z99" s="4303">
        <v>92</v>
      </c>
      <c r="AA99" s="4301"/>
      <c r="AB99" s="4302">
        <f t="shared" ref="AB99:AH99" si="48">SUM(AB96:AB98)</f>
        <v>39</v>
      </c>
      <c r="AC99" s="4302">
        <f t="shared" si="48"/>
        <v>58</v>
      </c>
      <c r="AD99" s="4303">
        <f t="shared" si="48"/>
        <v>97</v>
      </c>
      <c r="AE99" s="4301"/>
      <c r="AF99" s="4302">
        <f t="shared" si="48"/>
        <v>41</v>
      </c>
      <c r="AG99" s="4302">
        <f t="shared" si="48"/>
        <v>53</v>
      </c>
      <c r="AH99" s="4303">
        <f t="shared" si="48"/>
        <v>94</v>
      </c>
      <c r="AI99" s="4301"/>
      <c r="AJ99" s="4302">
        <f>SUM(AJ96:AJ98)</f>
        <v>41</v>
      </c>
      <c r="AK99" s="4302">
        <f>SUM(AK96:AK98)</f>
        <v>53</v>
      </c>
      <c r="AL99" s="4303">
        <f>SUM(AL96:AL98)</f>
        <v>94</v>
      </c>
      <c r="AM99" s="4301"/>
      <c r="AN99" s="4302">
        <f>SUM(AN96:AN98)</f>
        <v>35</v>
      </c>
      <c r="AO99" s="4302">
        <f>SUM(AO96:AO98)</f>
        <v>51</v>
      </c>
      <c r="AP99" s="4303">
        <f>SUM(AP96:AP98)</f>
        <v>86</v>
      </c>
      <c r="AQ99" s="4301"/>
      <c r="AR99" s="4302">
        <f>SUM(AR96:AR98)</f>
        <v>37</v>
      </c>
      <c r="AS99" s="4302">
        <f>SUM(AS96:AS98)</f>
        <v>50</v>
      </c>
      <c r="AT99" s="4303">
        <f>SUM(AT96:AT98)</f>
        <v>87</v>
      </c>
      <c r="AU99" s="4301"/>
      <c r="AV99" s="4302">
        <f>SUM(AV96:AV98)</f>
        <v>44</v>
      </c>
      <c r="AW99" s="4302">
        <f>SUM(AW96:AW98)</f>
        <v>48</v>
      </c>
      <c r="AX99" s="4303">
        <f>SUM(AX96:AX98)</f>
        <v>92</v>
      </c>
      <c r="AY99" s="4301"/>
      <c r="AZ99" s="4302">
        <f>SUM(AZ96:AZ98)</f>
        <v>46</v>
      </c>
      <c r="BA99" s="4302">
        <f>SUM(BA96:BA98)</f>
        <v>47</v>
      </c>
      <c r="BB99" s="4303">
        <f>SUM(BB96:BB98)</f>
        <v>93</v>
      </c>
    </row>
    <row r="100" spans="1:54" x14ac:dyDescent="0.2">
      <c r="A100" s="1925"/>
      <c r="B100" s="1925"/>
      <c r="C100" s="1925"/>
      <c r="D100" s="1925"/>
      <c r="E100" s="1925"/>
      <c r="F100" s="1925"/>
      <c r="G100" s="1925"/>
      <c r="H100" s="1925"/>
      <c r="I100" s="1925"/>
      <c r="J100" s="1925"/>
      <c r="K100" s="1925"/>
      <c r="L100" s="1925"/>
      <c r="M100" s="1925"/>
      <c r="N100" s="1925"/>
      <c r="O100" s="1925"/>
      <c r="P100" s="1925"/>
      <c r="Q100" s="1925"/>
      <c r="R100" s="1925"/>
      <c r="S100" s="1925"/>
      <c r="T100" s="1925"/>
      <c r="U100" s="1925"/>
      <c r="V100" s="1925"/>
      <c r="W100" s="1925"/>
      <c r="X100" s="1925"/>
      <c r="Y100" s="1925"/>
      <c r="Z100" s="1925"/>
      <c r="AA100" s="1925"/>
      <c r="AB100" s="1925"/>
      <c r="AC100" s="1925"/>
      <c r="AD100" s="1925"/>
      <c r="AE100" s="1925"/>
      <c r="AF100" s="1925"/>
      <c r="AG100" s="1925"/>
      <c r="AH100" s="1925"/>
      <c r="AI100" s="1925"/>
      <c r="AJ100" s="1925"/>
      <c r="AK100" s="1925"/>
      <c r="AL100" s="1925"/>
      <c r="AM100" s="1925"/>
      <c r="AN100" s="1925"/>
      <c r="AO100" s="1925"/>
      <c r="AP100" s="1925"/>
      <c r="AQ100" s="1925"/>
      <c r="AR100" s="1925"/>
      <c r="AS100" s="1925"/>
      <c r="AT100" s="1925"/>
      <c r="AU100" s="1925"/>
      <c r="AV100" s="1925"/>
      <c r="AW100" s="1925"/>
      <c r="AX100" s="1925"/>
      <c r="AY100" s="1925"/>
      <c r="AZ100" s="1925"/>
      <c r="BA100" s="1925"/>
      <c r="BB100" s="1925"/>
    </row>
    <row r="101" spans="1:54" ht="24.95" customHeight="1" x14ac:dyDescent="0.2">
      <c r="A101" s="6269" t="s">
        <v>60</v>
      </c>
      <c r="B101" s="6270"/>
      <c r="C101" s="4304">
        <v>12</v>
      </c>
      <c r="D101" s="4305">
        <v>88</v>
      </c>
      <c r="E101" s="4305">
        <v>123</v>
      </c>
      <c r="F101" s="4306">
        <v>223</v>
      </c>
      <c r="G101" s="4304">
        <v>6</v>
      </c>
      <c r="H101" s="4305">
        <v>61</v>
      </c>
      <c r="I101" s="4305">
        <v>146</v>
      </c>
      <c r="J101" s="4306">
        <v>213</v>
      </c>
      <c r="K101" s="4304">
        <v>5</v>
      </c>
      <c r="L101" s="4305">
        <v>67</v>
      </c>
      <c r="M101" s="4305">
        <v>144</v>
      </c>
      <c r="N101" s="4305">
        <v>216</v>
      </c>
      <c r="O101" s="4304">
        <v>6</v>
      </c>
      <c r="P101" s="4305">
        <v>77</v>
      </c>
      <c r="Q101" s="4305">
        <v>149</v>
      </c>
      <c r="R101" s="4306">
        <v>232</v>
      </c>
      <c r="S101" s="4305">
        <v>6</v>
      </c>
      <c r="T101" s="4305">
        <v>71</v>
      </c>
      <c r="U101" s="4305">
        <v>150</v>
      </c>
      <c r="V101" s="4306">
        <v>227</v>
      </c>
      <c r="W101" s="4305">
        <v>6</v>
      </c>
      <c r="X101" s="4305">
        <v>73</v>
      </c>
      <c r="Y101" s="4305">
        <v>142</v>
      </c>
      <c r="Z101" s="4306">
        <v>221</v>
      </c>
      <c r="AA101" s="4305">
        <f t="shared" ref="AA101:AX101" si="49">AA79+AA84+AA89+AA94+AA99</f>
        <v>5</v>
      </c>
      <c r="AB101" s="4305">
        <f t="shared" si="49"/>
        <v>75</v>
      </c>
      <c r="AC101" s="4305">
        <f t="shared" si="49"/>
        <v>145</v>
      </c>
      <c r="AD101" s="4306">
        <f t="shared" si="49"/>
        <v>225</v>
      </c>
      <c r="AE101" s="4305">
        <f t="shared" si="49"/>
        <v>4</v>
      </c>
      <c r="AF101" s="4305">
        <f t="shared" si="49"/>
        <v>78</v>
      </c>
      <c r="AG101" s="4305">
        <f t="shared" si="49"/>
        <v>139</v>
      </c>
      <c r="AH101" s="4306">
        <f t="shared" si="49"/>
        <v>221</v>
      </c>
      <c r="AI101" s="4305">
        <f t="shared" si="49"/>
        <v>4</v>
      </c>
      <c r="AJ101" s="4305">
        <f t="shared" si="49"/>
        <v>73</v>
      </c>
      <c r="AK101" s="4305">
        <f t="shared" si="49"/>
        <v>138</v>
      </c>
      <c r="AL101" s="4306">
        <f t="shared" si="49"/>
        <v>215</v>
      </c>
      <c r="AM101" s="4305">
        <f t="shared" si="49"/>
        <v>4</v>
      </c>
      <c r="AN101" s="4305">
        <f t="shared" si="49"/>
        <v>60</v>
      </c>
      <c r="AO101" s="4305">
        <f t="shared" si="49"/>
        <v>132</v>
      </c>
      <c r="AP101" s="4306">
        <f t="shared" si="49"/>
        <v>196</v>
      </c>
      <c r="AQ101" s="4305">
        <f t="shared" si="49"/>
        <v>4</v>
      </c>
      <c r="AR101" s="4305">
        <f t="shared" si="49"/>
        <v>62</v>
      </c>
      <c r="AS101" s="4305">
        <f t="shared" si="49"/>
        <v>126</v>
      </c>
      <c r="AT101" s="4306">
        <f t="shared" si="49"/>
        <v>192</v>
      </c>
      <c r="AU101" s="4305">
        <f t="shared" si="49"/>
        <v>4</v>
      </c>
      <c r="AV101" s="4305">
        <f t="shared" si="49"/>
        <v>71</v>
      </c>
      <c r="AW101" s="4305">
        <f t="shared" si="49"/>
        <v>119</v>
      </c>
      <c r="AX101" s="4306">
        <f t="shared" si="49"/>
        <v>194</v>
      </c>
      <c r="AY101" s="4305">
        <f t="shared" ref="AY101:BB101" si="50">AY79+AY84+AY89+AY94+AY99</f>
        <v>4</v>
      </c>
      <c r="AZ101" s="4305">
        <f t="shared" si="50"/>
        <v>69</v>
      </c>
      <c r="BA101" s="4305">
        <f t="shared" si="50"/>
        <v>114</v>
      </c>
      <c r="BB101" s="4306">
        <f t="shared" si="50"/>
        <v>187</v>
      </c>
    </row>
    <row r="102" spans="1:54" x14ac:dyDescent="0.25">
      <c r="A102" s="4307" t="s">
        <v>1382</v>
      </c>
      <c r="B102" s="4308"/>
      <c r="C102" s="4308"/>
      <c r="D102" s="4308"/>
      <c r="E102" s="4308"/>
      <c r="F102" s="4308"/>
      <c r="G102" s="4308"/>
      <c r="H102" s="4308"/>
      <c r="I102" s="4308"/>
      <c r="J102" s="4308"/>
      <c r="K102" s="4308"/>
      <c r="L102" s="4308"/>
      <c r="M102" s="4308"/>
      <c r="N102" s="4308"/>
      <c r="O102" s="4308"/>
      <c r="P102" s="4308"/>
      <c r="Q102" s="4308"/>
      <c r="R102" s="4308"/>
      <c r="S102" s="4308"/>
      <c r="T102" s="4308"/>
      <c r="U102" s="4308"/>
      <c r="V102" s="4308"/>
      <c r="W102" s="1925"/>
      <c r="X102" s="1925"/>
      <c r="Y102" s="1925"/>
      <c r="Z102" s="1925"/>
      <c r="AA102" s="1925"/>
      <c r="AB102" s="1925"/>
      <c r="AC102" s="1925"/>
      <c r="AD102" s="1925"/>
      <c r="AE102" s="1925"/>
      <c r="AF102" s="1925"/>
      <c r="AG102" s="1925"/>
      <c r="AH102" s="1925"/>
      <c r="AI102" s="1925"/>
      <c r="AJ102" s="1925"/>
      <c r="AK102" s="1925"/>
      <c r="AL102" s="1925"/>
      <c r="AM102" s="1925"/>
      <c r="AN102" s="1925"/>
      <c r="AO102" s="1925"/>
      <c r="AP102" s="1925"/>
      <c r="AQ102" s="1925"/>
      <c r="AR102" s="1925"/>
      <c r="AS102" s="1925"/>
      <c r="AT102" s="1925"/>
      <c r="AU102" s="1925"/>
      <c r="AV102" s="1925"/>
      <c r="AW102" s="1925"/>
      <c r="AX102" s="1925"/>
      <c r="AY102" s="1925"/>
      <c r="AZ102" s="1925"/>
      <c r="BA102" s="1925"/>
      <c r="BB102" s="1925"/>
    </row>
    <row r="103" spans="1:54" x14ac:dyDescent="0.25">
      <c r="A103" s="4307" t="s">
        <v>116</v>
      </c>
      <c r="B103" s="4308"/>
      <c r="C103" s="4308"/>
      <c r="D103" s="4308"/>
      <c r="E103" s="4308"/>
      <c r="F103" s="4308"/>
      <c r="G103" s="4308"/>
      <c r="H103" s="4308"/>
      <c r="I103" s="4308"/>
      <c r="J103" s="4308"/>
      <c r="K103" s="4308"/>
      <c r="L103" s="4308"/>
      <c r="M103" s="4308"/>
      <c r="N103" s="4308"/>
      <c r="O103" s="4308"/>
      <c r="P103" s="4308"/>
      <c r="Q103" s="4308"/>
      <c r="R103" s="4308"/>
      <c r="S103" s="4308"/>
      <c r="T103" s="4308"/>
      <c r="U103" s="4308"/>
      <c r="V103" s="4308"/>
      <c r="W103" s="1925"/>
      <c r="X103" s="1925"/>
      <c r="Y103" s="1925"/>
      <c r="Z103" s="1925"/>
      <c r="AA103" s="1925"/>
      <c r="AB103" s="1925"/>
      <c r="AC103" s="1925"/>
      <c r="AD103" s="1925"/>
      <c r="AE103" s="1925"/>
      <c r="AF103" s="1925"/>
      <c r="AG103" s="1925"/>
      <c r="AH103" s="1925"/>
      <c r="AI103" s="1925"/>
      <c r="AJ103" s="1925"/>
      <c r="AK103" s="1925"/>
      <c r="AL103" s="1925"/>
      <c r="AM103" s="1925"/>
      <c r="AN103" s="1925"/>
      <c r="AO103" s="1925"/>
      <c r="AP103" s="1925"/>
      <c r="AQ103" s="1925"/>
      <c r="AR103" s="1925"/>
      <c r="AS103" s="1925"/>
      <c r="AT103" s="1925"/>
      <c r="AU103" s="1925"/>
      <c r="AV103" s="1925"/>
      <c r="AW103" s="1925"/>
      <c r="AX103" s="1925"/>
      <c r="AY103" s="1925"/>
      <c r="AZ103" s="1925"/>
      <c r="BA103" s="1925"/>
      <c r="BB103" s="1925"/>
    </row>
    <row r="104" spans="1:54" x14ac:dyDescent="0.2">
      <c r="A104" s="4308"/>
      <c r="B104" s="4308"/>
      <c r="C104" s="4308"/>
      <c r="D104" s="4308"/>
      <c r="E104" s="4308"/>
      <c r="F104" s="4308"/>
      <c r="G104" s="4308"/>
      <c r="H104" s="4308"/>
      <c r="I104" s="4308"/>
      <c r="J104" s="4308"/>
      <c r="K104" s="4308"/>
      <c r="L104" s="4308"/>
      <c r="M104" s="4308"/>
      <c r="N104" s="4308"/>
      <c r="O104" s="4308"/>
      <c r="P104" s="4308"/>
      <c r="Q104" s="4308"/>
      <c r="R104" s="4308"/>
      <c r="S104" s="4308"/>
      <c r="T104" s="4308"/>
      <c r="U104" s="4308"/>
      <c r="V104" s="4308"/>
      <c r="W104" s="1925"/>
      <c r="X104" s="1925"/>
      <c r="Y104" s="1925"/>
      <c r="Z104" s="1925"/>
      <c r="AA104" s="1925"/>
      <c r="AB104" s="1925"/>
      <c r="AC104" s="1925"/>
      <c r="AD104" s="1925"/>
      <c r="AE104" s="1925"/>
      <c r="AF104" s="1925"/>
      <c r="AG104" s="1925"/>
      <c r="AH104" s="1925"/>
      <c r="AI104" s="1925"/>
      <c r="AJ104" s="1925"/>
      <c r="AK104" s="1925"/>
      <c r="AL104" s="1925"/>
      <c r="AM104" s="1925"/>
      <c r="AN104" s="1925"/>
      <c r="AO104" s="1925"/>
      <c r="AP104" s="1925"/>
      <c r="AQ104" s="1925"/>
      <c r="AR104" s="1925"/>
      <c r="AS104" s="1925"/>
      <c r="AT104" s="1925"/>
      <c r="AU104" s="1925"/>
      <c r="AV104" s="1925"/>
      <c r="AW104" s="1925"/>
      <c r="AX104" s="1925"/>
      <c r="AY104" s="1925"/>
      <c r="AZ104" s="1925"/>
      <c r="BA104" s="1925"/>
      <c r="BB104" s="1925"/>
    </row>
    <row r="105" spans="1:54" x14ac:dyDescent="0.2">
      <c r="A105" s="4309"/>
      <c r="B105" s="4309"/>
      <c r="C105" s="4309"/>
      <c r="D105" s="4309"/>
      <c r="E105" s="4309"/>
      <c r="F105" s="4309"/>
      <c r="G105" s="4309"/>
      <c r="H105" s="4309"/>
      <c r="I105" s="4309"/>
      <c r="J105" s="4309"/>
      <c r="K105" s="4309"/>
      <c r="L105" s="4309"/>
      <c r="M105" s="4309"/>
      <c r="N105" s="4309"/>
      <c r="O105" s="4309"/>
      <c r="P105" s="4309"/>
      <c r="Q105" s="4309"/>
      <c r="R105" s="4309"/>
      <c r="S105" s="4309"/>
      <c r="T105" s="4309"/>
      <c r="U105" s="4309"/>
      <c r="V105" s="4309"/>
      <c r="W105" s="4309"/>
      <c r="X105" s="4309"/>
      <c r="Y105" s="4309"/>
      <c r="Z105" s="4309"/>
      <c r="AA105" s="1925"/>
      <c r="AB105" s="1925"/>
      <c r="AC105" s="1925"/>
      <c r="AD105" s="1925"/>
      <c r="AE105" s="1925"/>
      <c r="AF105" s="1925"/>
      <c r="AG105" s="1925"/>
      <c r="AH105" s="1925"/>
      <c r="AI105" s="1925"/>
      <c r="AJ105" s="1925"/>
      <c r="AK105" s="1925"/>
      <c r="AL105" s="1925"/>
      <c r="AM105" s="1925"/>
      <c r="AN105" s="1925"/>
      <c r="AO105" s="1925"/>
      <c r="AP105" s="1925"/>
      <c r="AQ105" s="1925"/>
      <c r="AR105" s="1925"/>
      <c r="AS105" s="1925"/>
      <c r="AT105" s="1925"/>
      <c r="AU105" s="1925"/>
      <c r="AV105" s="1925"/>
      <c r="AW105" s="1925"/>
      <c r="AX105" s="1925"/>
      <c r="AY105" s="1925"/>
      <c r="AZ105" s="1925"/>
      <c r="BA105" s="1925"/>
      <c r="BB105" s="1925"/>
    </row>
    <row r="106" spans="1:54" ht="62.25" customHeight="1" x14ac:dyDescent="0.2">
      <c r="A106" s="6271" t="s">
        <v>1392</v>
      </c>
      <c r="B106" s="6271"/>
      <c r="D106" s="4310"/>
      <c r="E106" s="4310"/>
      <c r="F106" s="4310"/>
      <c r="G106" s="4310"/>
      <c r="H106" s="4310"/>
      <c r="I106" s="4310"/>
      <c r="J106" s="4310"/>
      <c r="K106" s="4310"/>
      <c r="L106" s="4310"/>
      <c r="M106" s="4310"/>
      <c r="N106" s="4310"/>
      <c r="O106" s="4310"/>
      <c r="P106" s="4310"/>
      <c r="Q106" s="4310"/>
      <c r="R106" s="4310"/>
      <c r="S106" s="4310"/>
      <c r="T106" s="4310"/>
      <c r="U106" s="4310"/>
      <c r="V106" s="4310"/>
      <c r="W106" s="4310"/>
      <c r="X106" s="4310"/>
      <c r="Y106" s="4310"/>
      <c r="Z106" s="4310"/>
      <c r="AB106" s="4310"/>
      <c r="AC106" s="4310"/>
      <c r="AD106" s="4310"/>
      <c r="AE106" s="4310"/>
      <c r="AF106" s="4310"/>
      <c r="AG106" s="4310"/>
      <c r="AH106" s="4310"/>
      <c r="AI106" s="4310"/>
      <c r="AJ106" s="4310"/>
      <c r="AK106" s="4310"/>
      <c r="AL106" s="4310"/>
      <c r="AM106" s="4310"/>
      <c r="AN106" s="4310"/>
      <c r="AO106" s="4310"/>
      <c r="AP106" s="4310"/>
      <c r="AQ106" s="4310"/>
      <c r="AR106" s="4310"/>
      <c r="AS106" s="4310"/>
      <c r="AT106" s="4310"/>
      <c r="AU106" s="4310"/>
      <c r="AV106" s="4310"/>
      <c r="AW106" s="4310"/>
      <c r="AX106" s="4311"/>
      <c r="AY106" s="4310"/>
      <c r="AZ106" s="4310"/>
      <c r="BA106" s="4310"/>
      <c r="BB106" s="4311" t="s">
        <v>811</v>
      </c>
    </row>
    <row r="107" spans="1:54" x14ac:dyDescent="0.2">
      <c r="A107" s="4308"/>
      <c r="B107" s="4308"/>
      <c r="C107" s="4308"/>
      <c r="D107" s="4308"/>
      <c r="E107" s="4308"/>
      <c r="F107" s="4308"/>
      <c r="G107" s="4308"/>
      <c r="H107" s="4308"/>
      <c r="I107" s="4308"/>
      <c r="J107" s="4308"/>
      <c r="K107" s="4308"/>
      <c r="L107" s="4308"/>
      <c r="M107" s="4308"/>
      <c r="N107" s="4308"/>
      <c r="O107" s="4308"/>
      <c r="P107" s="4308"/>
      <c r="Q107" s="4308"/>
      <c r="R107" s="4308"/>
      <c r="S107" s="4308"/>
      <c r="T107" s="4308"/>
      <c r="U107" s="4308"/>
      <c r="V107" s="4308"/>
      <c r="W107" s="1925"/>
      <c r="X107" s="1925"/>
      <c r="Y107" s="1925"/>
      <c r="Z107" s="1925"/>
      <c r="AA107" s="1925"/>
      <c r="AB107" s="1925"/>
      <c r="AC107" s="1925"/>
      <c r="AD107" s="1925"/>
      <c r="AE107" s="1925"/>
      <c r="AF107" s="1925"/>
      <c r="AG107" s="1925"/>
      <c r="AH107" s="1925"/>
      <c r="AI107" s="1925"/>
      <c r="AJ107" s="1925"/>
      <c r="AK107" s="1925"/>
      <c r="AL107" s="1925"/>
      <c r="AM107" s="1925"/>
      <c r="AN107" s="1925"/>
      <c r="AO107" s="1925"/>
      <c r="AP107" s="1925"/>
      <c r="AQ107" s="1925"/>
      <c r="AR107" s="1925"/>
      <c r="AS107" s="1925"/>
      <c r="AT107" s="1925"/>
      <c r="AU107" s="1925"/>
      <c r="AV107" s="1925"/>
      <c r="AW107" s="1925"/>
      <c r="AX107" s="1925"/>
      <c r="AY107" s="1925"/>
      <c r="AZ107" s="1925"/>
      <c r="BA107" s="1925"/>
      <c r="BB107" s="1925"/>
    </row>
    <row r="108" spans="1:54" x14ac:dyDescent="0.2">
      <c r="A108" s="6258" t="s">
        <v>16</v>
      </c>
      <c r="B108" s="6266" t="s">
        <v>4</v>
      </c>
      <c r="C108" s="6254">
        <v>2003</v>
      </c>
      <c r="D108" s="6255"/>
      <c r="E108" s="6255"/>
      <c r="F108" s="6256"/>
      <c r="G108" s="6254">
        <v>2004</v>
      </c>
      <c r="H108" s="6255"/>
      <c r="I108" s="6255"/>
      <c r="J108" s="6256"/>
      <c r="K108" s="6254">
        <v>2005</v>
      </c>
      <c r="L108" s="6255"/>
      <c r="M108" s="6255"/>
      <c r="N108" s="6256"/>
      <c r="O108" s="6254">
        <v>2006</v>
      </c>
      <c r="P108" s="6255"/>
      <c r="Q108" s="6255"/>
      <c r="R108" s="6256"/>
      <c r="S108" s="6254">
        <v>2007</v>
      </c>
      <c r="T108" s="6255"/>
      <c r="U108" s="6255"/>
      <c r="V108" s="6256"/>
      <c r="W108" s="6254">
        <v>2008</v>
      </c>
      <c r="X108" s="6255"/>
      <c r="Y108" s="6255"/>
      <c r="Z108" s="6256"/>
      <c r="AA108" s="6254">
        <v>2009</v>
      </c>
      <c r="AB108" s="6255"/>
      <c r="AC108" s="6255"/>
      <c r="AD108" s="6256"/>
      <c r="AE108" s="6254">
        <v>2010</v>
      </c>
      <c r="AF108" s="6255"/>
      <c r="AG108" s="6255"/>
      <c r="AH108" s="6256"/>
      <c r="AI108" s="6254">
        <v>2011</v>
      </c>
      <c r="AJ108" s="6255"/>
      <c r="AK108" s="6255"/>
      <c r="AL108" s="6256"/>
      <c r="AM108" s="6254">
        <v>2012</v>
      </c>
      <c r="AN108" s="6255"/>
      <c r="AO108" s="6255"/>
      <c r="AP108" s="6256"/>
      <c r="AQ108" s="6254">
        <v>2013</v>
      </c>
      <c r="AR108" s="6255"/>
      <c r="AS108" s="6255"/>
      <c r="AT108" s="6256"/>
      <c r="AU108" s="6254">
        <v>2014</v>
      </c>
      <c r="AV108" s="6255"/>
      <c r="AW108" s="6255"/>
      <c r="AX108" s="6256"/>
      <c r="AY108" s="6254">
        <v>2015</v>
      </c>
      <c r="AZ108" s="6255"/>
      <c r="BA108" s="6255"/>
      <c r="BB108" s="6256"/>
    </row>
    <row r="109" spans="1:54" x14ac:dyDescent="0.2">
      <c r="A109" s="6259"/>
      <c r="B109" s="6267"/>
      <c r="C109" s="4253" t="s">
        <v>1379</v>
      </c>
      <c r="D109" s="4254" t="s">
        <v>1380</v>
      </c>
      <c r="E109" s="4255" t="s">
        <v>1381</v>
      </c>
      <c r="F109" s="4256" t="s">
        <v>12</v>
      </c>
      <c r="G109" s="4253" t="s">
        <v>1379</v>
      </c>
      <c r="H109" s="4254" t="s">
        <v>1380</v>
      </c>
      <c r="I109" s="4255" t="s">
        <v>1381</v>
      </c>
      <c r="J109" s="4256" t="s">
        <v>12</v>
      </c>
      <c r="K109" s="4253" t="s">
        <v>1379</v>
      </c>
      <c r="L109" s="4254" t="s">
        <v>1380</v>
      </c>
      <c r="M109" s="4255" t="s">
        <v>1381</v>
      </c>
      <c r="N109" s="4256" t="s">
        <v>12</v>
      </c>
      <c r="O109" s="4253" t="s">
        <v>1379</v>
      </c>
      <c r="P109" s="4254" t="s">
        <v>1380</v>
      </c>
      <c r="Q109" s="4255" t="s">
        <v>1381</v>
      </c>
      <c r="R109" s="4256" t="s">
        <v>12</v>
      </c>
      <c r="S109" s="4253" t="s">
        <v>1379</v>
      </c>
      <c r="T109" s="4254" t="s">
        <v>1380</v>
      </c>
      <c r="U109" s="4255" t="s">
        <v>1381</v>
      </c>
      <c r="V109" s="4256" t="s">
        <v>12</v>
      </c>
      <c r="W109" s="4253" t="s">
        <v>1379</v>
      </c>
      <c r="X109" s="4254" t="s">
        <v>1380</v>
      </c>
      <c r="Y109" s="4255" t="s">
        <v>1381</v>
      </c>
      <c r="Z109" s="4256" t="s">
        <v>12</v>
      </c>
      <c r="AA109" s="4253" t="s">
        <v>1379</v>
      </c>
      <c r="AB109" s="4254" t="s">
        <v>1380</v>
      </c>
      <c r="AC109" s="4255" t="s">
        <v>1381</v>
      </c>
      <c r="AD109" s="4256" t="s">
        <v>12</v>
      </c>
      <c r="AE109" s="4253" t="s">
        <v>1379</v>
      </c>
      <c r="AF109" s="4254" t="s">
        <v>1380</v>
      </c>
      <c r="AG109" s="4255" t="s">
        <v>1381</v>
      </c>
      <c r="AH109" s="4256" t="s">
        <v>12</v>
      </c>
      <c r="AI109" s="4253" t="s">
        <v>1379</v>
      </c>
      <c r="AJ109" s="4254" t="s">
        <v>1380</v>
      </c>
      <c r="AK109" s="4255" t="s">
        <v>1381</v>
      </c>
      <c r="AL109" s="4256" t="s">
        <v>12</v>
      </c>
      <c r="AM109" s="4253" t="s">
        <v>1379</v>
      </c>
      <c r="AN109" s="4254" t="s">
        <v>1380</v>
      </c>
      <c r="AO109" s="4255" t="s">
        <v>1381</v>
      </c>
      <c r="AP109" s="4256" t="s">
        <v>12</v>
      </c>
      <c r="AQ109" s="4253" t="s">
        <v>1379</v>
      </c>
      <c r="AR109" s="4254" t="s">
        <v>1380</v>
      </c>
      <c r="AS109" s="4255" t="s">
        <v>1381</v>
      </c>
      <c r="AT109" s="4256" t="s">
        <v>12</v>
      </c>
      <c r="AU109" s="4253" t="s">
        <v>1379</v>
      </c>
      <c r="AV109" s="4254" t="s">
        <v>1380</v>
      </c>
      <c r="AW109" s="4255" t="s">
        <v>1381</v>
      </c>
      <c r="AX109" s="4256" t="s">
        <v>12</v>
      </c>
      <c r="AY109" s="4253" t="s">
        <v>1379</v>
      </c>
      <c r="AZ109" s="4254" t="s">
        <v>1380</v>
      </c>
      <c r="BA109" s="4255" t="s">
        <v>1381</v>
      </c>
      <c r="BB109" s="4256" t="s">
        <v>12</v>
      </c>
    </row>
    <row r="110" spans="1:54" x14ac:dyDescent="0.2">
      <c r="A110" s="1925"/>
      <c r="B110" s="1925"/>
      <c r="C110" s="1925"/>
      <c r="D110" s="1925"/>
      <c r="E110" s="1925"/>
      <c r="F110" s="1925"/>
      <c r="G110" s="1925"/>
      <c r="H110" s="1925"/>
      <c r="I110" s="1925"/>
      <c r="J110" s="1925"/>
      <c r="K110" s="1925"/>
      <c r="L110" s="1925"/>
      <c r="M110" s="1925"/>
      <c r="N110" s="1925"/>
      <c r="O110" s="1925"/>
      <c r="P110" s="1925"/>
      <c r="Q110" s="1925"/>
      <c r="R110" s="1925"/>
      <c r="S110" s="1925"/>
      <c r="T110" s="1925"/>
      <c r="U110" s="1925"/>
      <c r="V110" s="1925"/>
      <c r="W110" s="1925"/>
      <c r="X110" s="1925"/>
      <c r="Y110" s="1925"/>
      <c r="Z110" s="1925"/>
      <c r="AA110" s="1925"/>
      <c r="AB110" s="1925"/>
      <c r="AC110" s="1925"/>
      <c r="AD110" s="1925"/>
      <c r="AE110" s="1925"/>
      <c r="AF110" s="1925"/>
      <c r="AG110" s="1925"/>
      <c r="AH110" s="1925"/>
      <c r="AI110" s="1925"/>
      <c r="AJ110" s="1925"/>
      <c r="AK110" s="1925"/>
      <c r="AL110" s="1925"/>
      <c r="AM110" s="1925"/>
      <c r="AN110" s="1925"/>
      <c r="AO110" s="1925"/>
      <c r="AP110" s="1925"/>
      <c r="AQ110" s="1925"/>
      <c r="AR110" s="1925"/>
      <c r="AS110" s="1925"/>
      <c r="AT110" s="1925"/>
      <c r="AU110" s="1925"/>
      <c r="AV110" s="1925"/>
      <c r="AW110" s="1925"/>
      <c r="AX110" s="1925"/>
      <c r="AY110" s="1925"/>
      <c r="AZ110" s="1925"/>
      <c r="BA110" s="1925"/>
      <c r="BB110" s="1925"/>
    </row>
    <row r="111" spans="1:54" x14ac:dyDescent="0.2">
      <c r="A111" s="6262" t="s">
        <v>161</v>
      </c>
      <c r="B111" s="4148" t="s">
        <v>5</v>
      </c>
      <c r="C111" s="4257">
        <v>6</v>
      </c>
      <c r="D111" s="4258">
        <v>18</v>
      </c>
      <c r="E111" s="4258">
        <v>20</v>
      </c>
      <c r="F111" s="4259">
        <v>44</v>
      </c>
      <c r="G111" s="4257">
        <v>2</v>
      </c>
      <c r="H111" s="4258">
        <v>17</v>
      </c>
      <c r="I111" s="4258">
        <v>25</v>
      </c>
      <c r="J111" s="4259">
        <v>44</v>
      </c>
      <c r="K111" s="4257">
        <v>5</v>
      </c>
      <c r="L111" s="4258">
        <v>16</v>
      </c>
      <c r="M111" s="4258">
        <v>23</v>
      </c>
      <c r="N111" s="4260">
        <v>44</v>
      </c>
      <c r="O111" s="4257">
        <v>4</v>
      </c>
      <c r="P111" s="4258">
        <v>16</v>
      </c>
      <c r="Q111" s="4258">
        <v>26</v>
      </c>
      <c r="R111" s="4259">
        <v>46</v>
      </c>
      <c r="S111" s="4258">
        <v>5</v>
      </c>
      <c r="T111" s="4258">
        <v>17</v>
      </c>
      <c r="U111" s="4258">
        <v>24</v>
      </c>
      <c r="V111" s="4259">
        <v>46</v>
      </c>
      <c r="W111" s="4258">
        <v>4</v>
      </c>
      <c r="X111" s="4258">
        <v>17</v>
      </c>
      <c r="Y111" s="4258">
        <v>22</v>
      </c>
      <c r="Z111" s="4259">
        <v>43</v>
      </c>
      <c r="AA111" s="4258">
        <v>3</v>
      </c>
      <c r="AB111" s="4258">
        <v>16</v>
      </c>
      <c r="AC111" s="4258">
        <v>23</v>
      </c>
      <c r="AD111" s="4259">
        <v>42</v>
      </c>
      <c r="AE111" s="4258">
        <v>3</v>
      </c>
      <c r="AF111" s="4258">
        <v>15</v>
      </c>
      <c r="AG111" s="4258">
        <v>21</v>
      </c>
      <c r="AH111" s="4259">
        <v>39</v>
      </c>
      <c r="AI111" s="4258">
        <v>3</v>
      </c>
      <c r="AJ111" s="4258">
        <v>15</v>
      </c>
      <c r="AK111" s="4258">
        <v>21</v>
      </c>
      <c r="AL111" s="4259">
        <f>SUM(AI111:AK111)</f>
        <v>39</v>
      </c>
      <c r="AM111" s="4258">
        <v>3</v>
      </c>
      <c r="AN111" s="4258">
        <v>15</v>
      </c>
      <c r="AO111" s="4258">
        <v>20</v>
      </c>
      <c r="AP111" s="4259">
        <f>SUM(AM111:AO111)</f>
        <v>38</v>
      </c>
      <c r="AQ111" s="4258">
        <v>3</v>
      </c>
      <c r="AR111" s="4258">
        <v>15</v>
      </c>
      <c r="AS111" s="4258">
        <v>19</v>
      </c>
      <c r="AT111" s="4259">
        <f>SUM(AQ111:AS111)</f>
        <v>37</v>
      </c>
      <c r="AU111" s="4258">
        <v>3</v>
      </c>
      <c r="AV111" s="4258">
        <v>15</v>
      </c>
      <c r="AW111" s="4258">
        <v>18</v>
      </c>
      <c r="AX111" s="4259">
        <f>SUM(AU111:AW111)</f>
        <v>36</v>
      </c>
      <c r="AY111" s="4258">
        <v>3</v>
      </c>
      <c r="AZ111" s="4258">
        <v>14</v>
      </c>
      <c r="BA111" s="4258">
        <v>17</v>
      </c>
      <c r="BB111" s="4259">
        <f>SUM(AY111:BA111)</f>
        <v>34</v>
      </c>
    </row>
    <row r="112" spans="1:54" x14ac:dyDescent="0.2">
      <c r="A112" s="5038"/>
      <c r="B112" s="1926" t="s">
        <v>6</v>
      </c>
      <c r="C112" s="4261">
        <v>1</v>
      </c>
      <c r="D112" s="4262">
        <v>5</v>
      </c>
      <c r="E112" s="4262"/>
      <c r="F112" s="4263">
        <v>6</v>
      </c>
      <c r="G112" s="4261">
        <v>1</v>
      </c>
      <c r="H112" s="4262">
        <v>4</v>
      </c>
      <c r="I112" s="4262">
        <v>1</v>
      </c>
      <c r="J112" s="4263">
        <v>6</v>
      </c>
      <c r="K112" s="4261">
        <v>1</v>
      </c>
      <c r="L112" s="4262">
        <v>4</v>
      </c>
      <c r="M112" s="4262">
        <v>1</v>
      </c>
      <c r="N112" s="4264">
        <v>6</v>
      </c>
      <c r="O112" s="4261">
        <v>1</v>
      </c>
      <c r="P112" s="4262">
        <v>4</v>
      </c>
      <c r="Q112" s="4262"/>
      <c r="R112" s="4263">
        <v>5</v>
      </c>
      <c r="S112" s="4262">
        <v>1</v>
      </c>
      <c r="T112" s="4262">
        <v>4</v>
      </c>
      <c r="U112" s="4262"/>
      <c r="V112" s="4263">
        <v>5</v>
      </c>
      <c r="W112" s="4262">
        <v>1</v>
      </c>
      <c r="X112" s="4262">
        <v>3</v>
      </c>
      <c r="Y112" s="4262"/>
      <c r="Z112" s="4263">
        <v>4</v>
      </c>
      <c r="AA112" s="4262">
        <v>1</v>
      </c>
      <c r="AB112" s="4262">
        <v>3</v>
      </c>
      <c r="AC112" s="4262"/>
      <c r="AD112" s="4263">
        <v>4</v>
      </c>
      <c r="AE112" s="4262">
        <v>1</v>
      </c>
      <c r="AF112" s="4262">
        <v>5</v>
      </c>
      <c r="AG112" s="4262"/>
      <c r="AH112" s="4263">
        <v>6</v>
      </c>
      <c r="AI112" s="4262">
        <v>1</v>
      </c>
      <c r="AJ112" s="4262">
        <v>9</v>
      </c>
      <c r="AK112" s="4262"/>
      <c r="AL112" s="4263">
        <f>SUM(AI112:AK112)</f>
        <v>10</v>
      </c>
      <c r="AM112" s="4262">
        <v>1</v>
      </c>
      <c r="AN112" s="4262">
        <v>11</v>
      </c>
      <c r="AO112" s="4262"/>
      <c r="AP112" s="4263">
        <f>SUM(AM112:AO112)</f>
        <v>12</v>
      </c>
      <c r="AQ112" s="4262">
        <v>1</v>
      </c>
      <c r="AR112" s="4262">
        <v>10</v>
      </c>
      <c r="AS112" s="4262"/>
      <c r="AT112" s="4263">
        <f>SUM(AQ112:AS112)</f>
        <v>11</v>
      </c>
      <c r="AU112" s="4262">
        <v>1</v>
      </c>
      <c r="AV112" s="4262">
        <v>11</v>
      </c>
      <c r="AW112" s="4262"/>
      <c r="AX112" s="4263">
        <f>SUM(AU112:AW112)</f>
        <v>12</v>
      </c>
      <c r="AY112" s="4262">
        <v>1</v>
      </c>
      <c r="AZ112" s="4262">
        <v>14</v>
      </c>
      <c r="BA112" s="4262">
        <v>0</v>
      </c>
      <c r="BB112" s="4263">
        <f>SUM(AY112:BA112)</f>
        <v>15</v>
      </c>
    </row>
    <row r="113" spans="1:54" x14ac:dyDescent="0.2">
      <c r="A113" s="5038"/>
      <c r="B113" s="1926" t="s">
        <v>7</v>
      </c>
      <c r="C113" s="4261"/>
      <c r="D113" s="4262">
        <v>3</v>
      </c>
      <c r="E113" s="4262">
        <v>4</v>
      </c>
      <c r="F113" s="4263">
        <v>7</v>
      </c>
      <c r="G113" s="4261">
        <v>1</v>
      </c>
      <c r="H113" s="4262"/>
      <c r="I113" s="4262">
        <v>6</v>
      </c>
      <c r="J113" s="4263">
        <v>7</v>
      </c>
      <c r="K113" s="4261"/>
      <c r="L113" s="4262">
        <v>1</v>
      </c>
      <c r="M113" s="4262">
        <v>7</v>
      </c>
      <c r="N113" s="4264">
        <v>8</v>
      </c>
      <c r="O113" s="4261"/>
      <c r="P113" s="4262"/>
      <c r="Q113" s="4262">
        <v>6</v>
      </c>
      <c r="R113" s="4263">
        <v>6</v>
      </c>
      <c r="S113" s="4262"/>
      <c r="T113" s="4262">
        <v>1</v>
      </c>
      <c r="U113" s="4262">
        <v>6</v>
      </c>
      <c r="V113" s="4263">
        <v>7</v>
      </c>
      <c r="W113" s="4262"/>
      <c r="X113" s="4262">
        <v>1</v>
      </c>
      <c r="Y113" s="4262">
        <v>4</v>
      </c>
      <c r="Z113" s="4263">
        <v>5</v>
      </c>
      <c r="AA113" s="4262"/>
      <c r="AB113" s="4262">
        <v>1</v>
      </c>
      <c r="AC113" s="4262">
        <v>4</v>
      </c>
      <c r="AD113" s="4263">
        <v>5</v>
      </c>
      <c r="AE113" s="4262"/>
      <c r="AF113" s="4262">
        <v>1</v>
      </c>
      <c r="AG113" s="4262">
        <v>4</v>
      </c>
      <c r="AH113" s="4263">
        <v>5</v>
      </c>
      <c r="AI113" s="4262"/>
      <c r="AJ113" s="4262">
        <v>2</v>
      </c>
      <c r="AK113" s="4262">
        <v>4</v>
      </c>
      <c r="AL113" s="4263">
        <f>SUM(AI113:AK113)</f>
        <v>6</v>
      </c>
      <c r="AM113" s="4262"/>
      <c r="AN113" s="4262">
        <v>2</v>
      </c>
      <c r="AO113" s="4262">
        <v>4</v>
      </c>
      <c r="AP113" s="4263">
        <f>SUM(AM113:AO113)</f>
        <v>6</v>
      </c>
      <c r="AQ113" s="4262"/>
      <c r="AR113" s="4262">
        <v>2</v>
      </c>
      <c r="AS113" s="4262">
        <v>4</v>
      </c>
      <c r="AT113" s="4263">
        <f>SUM(AQ113:AS113)</f>
        <v>6</v>
      </c>
      <c r="AU113" s="4262"/>
      <c r="AV113" s="4262">
        <v>2</v>
      </c>
      <c r="AW113" s="4262">
        <v>6</v>
      </c>
      <c r="AX113" s="4263">
        <f>SUM(AU113:AW113)</f>
        <v>8</v>
      </c>
      <c r="AY113" s="4262">
        <v>0</v>
      </c>
      <c r="AZ113" s="4262">
        <v>2</v>
      </c>
      <c r="BA113" s="4262">
        <v>6</v>
      </c>
      <c r="BB113" s="4263">
        <f>SUM(AY113:BA113)</f>
        <v>8</v>
      </c>
    </row>
    <row r="114" spans="1:54" x14ac:dyDescent="0.2">
      <c r="A114" s="5108"/>
      <c r="B114" s="4268" t="s">
        <v>12</v>
      </c>
      <c r="C114" s="4269">
        <v>7</v>
      </c>
      <c r="D114" s="4270">
        <v>26</v>
      </c>
      <c r="E114" s="4270">
        <v>24</v>
      </c>
      <c r="F114" s="4271">
        <v>57</v>
      </c>
      <c r="G114" s="4269">
        <v>4</v>
      </c>
      <c r="H114" s="4270">
        <v>21</v>
      </c>
      <c r="I114" s="4270">
        <v>32</v>
      </c>
      <c r="J114" s="4271">
        <v>57</v>
      </c>
      <c r="K114" s="4269">
        <v>6</v>
      </c>
      <c r="L114" s="4270">
        <v>21</v>
      </c>
      <c r="M114" s="4270">
        <v>31</v>
      </c>
      <c r="N114" s="4270">
        <v>58</v>
      </c>
      <c r="O114" s="4269">
        <v>5</v>
      </c>
      <c r="P114" s="4270">
        <v>20</v>
      </c>
      <c r="Q114" s="4270">
        <v>32</v>
      </c>
      <c r="R114" s="4271">
        <v>57</v>
      </c>
      <c r="S114" s="4270">
        <v>6</v>
      </c>
      <c r="T114" s="4270">
        <v>22</v>
      </c>
      <c r="U114" s="4270">
        <v>30</v>
      </c>
      <c r="V114" s="4271">
        <v>58</v>
      </c>
      <c r="W114" s="4269">
        <v>5</v>
      </c>
      <c r="X114" s="4270">
        <v>21</v>
      </c>
      <c r="Y114" s="4270">
        <v>26</v>
      </c>
      <c r="Z114" s="4271">
        <v>52</v>
      </c>
      <c r="AA114" s="4269">
        <v>4</v>
      </c>
      <c r="AB114" s="4270">
        <v>20</v>
      </c>
      <c r="AC114" s="4270">
        <v>27</v>
      </c>
      <c r="AD114" s="4271">
        <v>51</v>
      </c>
      <c r="AE114" s="4269">
        <v>4</v>
      </c>
      <c r="AF114" s="4270">
        <v>21</v>
      </c>
      <c r="AG114" s="4270">
        <v>25</v>
      </c>
      <c r="AH114" s="4271">
        <v>50</v>
      </c>
      <c r="AI114" s="4269">
        <f t="shared" ref="AI114:AX114" si="51">SUM(AI111:AI113)</f>
        <v>4</v>
      </c>
      <c r="AJ114" s="4270">
        <f t="shared" si="51"/>
        <v>26</v>
      </c>
      <c r="AK114" s="4270">
        <f t="shared" si="51"/>
        <v>25</v>
      </c>
      <c r="AL114" s="4271">
        <f t="shared" si="51"/>
        <v>55</v>
      </c>
      <c r="AM114" s="4269">
        <f t="shared" si="51"/>
        <v>4</v>
      </c>
      <c r="AN114" s="4270">
        <f t="shared" si="51"/>
        <v>28</v>
      </c>
      <c r="AO114" s="4270">
        <f t="shared" si="51"/>
        <v>24</v>
      </c>
      <c r="AP114" s="4271">
        <f t="shared" si="51"/>
        <v>56</v>
      </c>
      <c r="AQ114" s="4269">
        <f t="shared" si="51"/>
        <v>4</v>
      </c>
      <c r="AR114" s="4270">
        <f t="shared" si="51"/>
        <v>27</v>
      </c>
      <c r="AS114" s="4270">
        <f t="shared" si="51"/>
        <v>23</v>
      </c>
      <c r="AT114" s="4271">
        <f t="shared" si="51"/>
        <v>54</v>
      </c>
      <c r="AU114" s="4269">
        <f t="shared" si="51"/>
        <v>4</v>
      </c>
      <c r="AV114" s="4270">
        <f t="shared" si="51"/>
        <v>28</v>
      </c>
      <c r="AW114" s="4270">
        <f t="shared" si="51"/>
        <v>24</v>
      </c>
      <c r="AX114" s="4271">
        <f t="shared" si="51"/>
        <v>56</v>
      </c>
      <c r="AY114" s="4269">
        <f t="shared" ref="AY114:BB114" si="52">SUM(AY111:AY113)</f>
        <v>4</v>
      </c>
      <c r="AZ114" s="4270">
        <f t="shared" si="52"/>
        <v>30</v>
      </c>
      <c r="BA114" s="4270">
        <f t="shared" si="52"/>
        <v>23</v>
      </c>
      <c r="BB114" s="4271">
        <f t="shared" si="52"/>
        <v>57</v>
      </c>
    </row>
    <row r="115" spans="1:54" ht="15.75" x14ac:dyDescent="0.25">
      <c r="A115" s="1923"/>
      <c r="B115" s="1925"/>
      <c r="C115" s="1925"/>
      <c r="D115" s="1925"/>
      <c r="E115" s="1925"/>
      <c r="F115" s="1925"/>
      <c r="G115" s="1925"/>
      <c r="H115" s="1925"/>
      <c r="I115" s="1925"/>
      <c r="J115" s="1925"/>
      <c r="K115" s="1925"/>
      <c r="L115" s="1925"/>
      <c r="M115" s="1925"/>
      <c r="N115" s="1925"/>
      <c r="O115" s="1925"/>
      <c r="P115" s="1925"/>
      <c r="Q115" s="1925"/>
      <c r="R115" s="1925"/>
      <c r="S115" s="1925"/>
      <c r="T115" s="1925"/>
      <c r="U115" s="1925"/>
      <c r="V115" s="1925"/>
      <c r="W115" s="1925"/>
      <c r="X115" s="1925"/>
      <c r="Y115" s="1925"/>
      <c r="Z115" s="1925"/>
      <c r="AA115" s="1925"/>
      <c r="AB115" s="1925"/>
      <c r="AC115" s="1925"/>
      <c r="AD115" s="1925"/>
      <c r="AE115" s="1925"/>
      <c r="AF115" s="1925"/>
      <c r="AG115" s="1925"/>
      <c r="AH115" s="1925"/>
      <c r="AI115" s="1925"/>
      <c r="AJ115" s="1925"/>
      <c r="AK115" s="1925"/>
      <c r="AL115" s="1925"/>
      <c r="AM115" s="1925"/>
      <c r="AN115" s="1925"/>
      <c r="AO115" s="1925"/>
      <c r="AP115" s="1925"/>
      <c r="AQ115" s="1925"/>
      <c r="AR115" s="1925"/>
      <c r="AS115" s="1925"/>
      <c r="AT115" s="1925"/>
      <c r="AU115" s="1925"/>
      <c r="AV115" s="1925"/>
      <c r="AW115" s="1925"/>
      <c r="AX115" s="1925"/>
      <c r="AY115" s="1925"/>
      <c r="AZ115" s="1925"/>
      <c r="BA115" s="1925"/>
      <c r="BB115" s="1925"/>
    </row>
    <row r="116" spans="1:54" x14ac:dyDescent="0.2">
      <c r="A116" s="6263" t="s">
        <v>410</v>
      </c>
      <c r="B116" s="4148" t="s">
        <v>6</v>
      </c>
      <c r="C116" s="4272"/>
      <c r="D116" s="4273"/>
      <c r="E116" s="4273"/>
      <c r="F116" s="4274"/>
      <c r="G116" s="4272"/>
      <c r="H116" s="4273"/>
      <c r="I116" s="4273"/>
      <c r="J116" s="4274"/>
      <c r="K116" s="4272"/>
      <c r="L116" s="4273"/>
      <c r="M116" s="4273"/>
      <c r="N116" s="4324"/>
      <c r="O116" s="4272"/>
      <c r="P116" s="4273"/>
      <c r="Q116" s="4273"/>
      <c r="R116" s="4274"/>
      <c r="S116" s="4258"/>
      <c r="T116" s="4258"/>
      <c r="U116" s="4258"/>
      <c r="V116" s="4259"/>
      <c r="W116" s="4258"/>
      <c r="X116" s="4258"/>
      <c r="Y116" s="4258"/>
      <c r="Z116" s="4259"/>
      <c r="AA116" s="4258"/>
      <c r="AB116" s="4258"/>
      <c r="AC116" s="4258"/>
      <c r="AD116" s="4259"/>
      <c r="AE116" s="4258"/>
      <c r="AF116" s="4258"/>
      <c r="AG116" s="4258"/>
      <c r="AH116" s="4259"/>
      <c r="AI116" s="4258"/>
      <c r="AJ116" s="4258">
        <v>1</v>
      </c>
      <c r="AK116" s="4258"/>
      <c r="AL116" s="4259">
        <f>SUM(AI116:AK116)</f>
        <v>1</v>
      </c>
      <c r="AM116" s="4258"/>
      <c r="AN116" s="4258">
        <v>1</v>
      </c>
      <c r="AO116" s="4258"/>
      <c r="AP116" s="4259">
        <f>SUM(AM116:AO116)</f>
        <v>1</v>
      </c>
      <c r="AQ116" s="4258"/>
      <c r="AR116" s="4258">
        <v>1</v>
      </c>
      <c r="AS116" s="4258"/>
      <c r="AT116" s="4259">
        <f>SUM(AQ116:AS116)</f>
        <v>1</v>
      </c>
      <c r="AU116" s="4258"/>
      <c r="AV116" s="4258"/>
      <c r="AW116" s="4258"/>
      <c r="AX116" s="4259"/>
      <c r="AY116" s="4258"/>
      <c r="AZ116" s="4258"/>
      <c r="BA116" s="4258"/>
      <c r="BB116" s="4259"/>
    </row>
    <row r="117" spans="1:54" x14ac:dyDescent="0.2">
      <c r="A117" s="5029"/>
      <c r="B117" s="1926" t="s">
        <v>9</v>
      </c>
      <c r="C117" s="4275"/>
      <c r="D117" s="4276"/>
      <c r="E117" s="4276"/>
      <c r="F117" s="4277"/>
      <c r="G117" s="4275"/>
      <c r="H117" s="4276"/>
      <c r="I117" s="4276"/>
      <c r="J117" s="4277"/>
      <c r="K117" s="4275"/>
      <c r="L117" s="4276"/>
      <c r="M117" s="4276"/>
      <c r="N117" s="4325"/>
      <c r="O117" s="4275"/>
      <c r="P117" s="4276"/>
      <c r="Q117" s="4276"/>
      <c r="R117" s="4277"/>
      <c r="S117" s="4262"/>
      <c r="T117" s="4262"/>
      <c r="U117" s="4262"/>
      <c r="V117" s="4263"/>
      <c r="W117" s="4262"/>
      <c r="X117" s="4262"/>
      <c r="Y117" s="4262"/>
      <c r="Z117" s="4263"/>
      <c r="AA117" s="4262"/>
      <c r="AB117" s="4262"/>
      <c r="AC117" s="4262"/>
      <c r="AD117" s="4263"/>
      <c r="AE117" s="4262"/>
      <c r="AF117" s="4262"/>
      <c r="AG117" s="4262"/>
      <c r="AH117" s="4263"/>
      <c r="AI117" s="4262"/>
      <c r="AJ117" s="4262">
        <v>1</v>
      </c>
      <c r="AK117" s="4262"/>
      <c r="AL117" s="4263">
        <f>SUM(AI117:AK117)</f>
        <v>1</v>
      </c>
      <c r="AM117" s="4262"/>
      <c r="AN117" s="4262">
        <v>1</v>
      </c>
      <c r="AO117" s="4262"/>
      <c r="AP117" s="4263">
        <f>SUM(AM117:AO117)</f>
        <v>1</v>
      </c>
      <c r="AQ117" s="4262"/>
      <c r="AR117" s="4262">
        <v>1</v>
      </c>
      <c r="AS117" s="4262">
        <v>1</v>
      </c>
      <c r="AT117" s="4263">
        <f>SUM(AQ117:AS117)</f>
        <v>2</v>
      </c>
      <c r="AU117" s="4262"/>
      <c r="AV117" s="4262">
        <v>1</v>
      </c>
      <c r="AW117" s="4262"/>
      <c r="AX117" s="4263">
        <f>SUM(AU117:AW117)</f>
        <v>1</v>
      </c>
      <c r="AY117" s="4262">
        <v>0</v>
      </c>
      <c r="AZ117" s="4262">
        <v>1</v>
      </c>
      <c r="BA117" s="4262">
        <v>0</v>
      </c>
      <c r="BB117" s="4263">
        <f>SUM(AY117:BA117)</f>
        <v>1</v>
      </c>
    </row>
    <row r="118" spans="1:54" x14ac:dyDescent="0.2">
      <c r="A118" s="5029"/>
      <c r="B118" s="1926" t="s">
        <v>74</v>
      </c>
      <c r="C118" s="4275"/>
      <c r="D118" s="4276"/>
      <c r="E118" s="4276"/>
      <c r="F118" s="4277"/>
      <c r="G118" s="4275"/>
      <c r="H118" s="4276"/>
      <c r="I118" s="4276"/>
      <c r="J118" s="4277"/>
      <c r="K118" s="4275"/>
      <c r="L118" s="4276"/>
      <c r="M118" s="4276"/>
      <c r="N118" s="4325"/>
      <c r="O118" s="4275"/>
      <c r="P118" s="4276"/>
      <c r="Q118" s="4276"/>
      <c r="R118" s="4277"/>
      <c r="S118" s="4262"/>
      <c r="T118" s="4262"/>
      <c r="U118" s="4262"/>
      <c r="V118" s="4263"/>
      <c r="W118" s="4262"/>
      <c r="X118" s="4262"/>
      <c r="Y118" s="4262"/>
      <c r="Z118" s="4263"/>
      <c r="AA118" s="4262"/>
      <c r="AB118" s="4262"/>
      <c r="AC118" s="4262"/>
      <c r="AD118" s="4263"/>
      <c r="AE118" s="4262"/>
      <c r="AF118" s="4262"/>
      <c r="AG118" s="4262"/>
      <c r="AH118" s="4263"/>
      <c r="AI118" s="4262"/>
      <c r="AJ118" s="4262"/>
      <c r="AK118" s="4262"/>
      <c r="AL118" s="4263"/>
      <c r="AM118" s="4262"/>
      <c r="AN118" s="4262">
        <v>1</v>
      </c>
      <c r="AO118" s="4262"/>
      <c r="AP118" s="4263">
        <f>SUM(AM118:AO118)</f>
        <v>1</v>
      </c>
      <c r="AQ118" s="4262"/>
      <c r="AR118" s="4262"/>
      <c r="AS118" s="4262"/>
      <c r="AT118" s="4263"/>
      <c r="AU118" s="4262"/>
      <c r="AV118" s="4262">
        <v>1</v>
      </c>
      <c r="AW118" s="4262">
        <v>2</v>
      </c>
      <c r="AX118" s="4263">
        <f>SUM(AU118:AW118)</f>
        <v>3</v>
      </c>
      <c r="AY118" s="4262">
        <v>0</v>
      </c>
      <c r="AZ118" s="4262">
        <v>1</v>
      </c>
      <c r="BA118" s="4262">
        <v>4</v>
      </c>
      <c r="BB118" s="4263">
        <f>SUM(AY118:BA118)</f>
        <v>5</v>
      </c>
    </row>
    <row r="119" spans="1:54" x14ac:dyDescent="0.2">
      <c r="A119" s="5030"/>
      <c r="B119" s="4278" t="s">
        <v>12</v>
      </c>
      <c r="C119" s="4279"/>
      <c r="D119" s="4280"/>
      <c r="E119" s="4280"/>
      <c r="F119" s="4281"/>
      <c r="G119" s="4279"/>
      <c r="H119" s="4280"/>
      <c r="I119" s="4280"/>
      <c r="J119" s="4281"/>
      <c r="K119" s="4279"/>
      <c r="L119" s="4280"/>
      <c r="M119" s="4280"/>
      <c r="N119" s="4280"/>
      <c r="O119" s="4279"/>
      <c r="P119" s="4280"/>
      <c r="Q119" s="4280"/>
      <c r="R119" s="4281"/>
      <c r="S119" s="4282"/>
      <c r="T119" s="4282"/>
      <c r="U119" s="4282"/>
      <c r="V119" s="4283"/>
      <c r="W119" s="4284"/>
      <c r="X119" s="4282"/>
      <c r="Y119" s="4282"/>
      <c r="Z119" s="4283"/>
      <c r="AA119" s="4284"/>
      <c r="AB119" s="4282"/>
      <c r="AC119" s="4282"/>
      <c r="AD119" s="4283"/>
      <c r="AE119" s="4284"/>
      <c r="AF119" s="4282"/>
      <c r="AG119" s="4282"/>
      <c r="AH119" s="4283"/>
      <c r="AI119" s="4284"/>
      <c r="AJ119" s="4282">
        <f>SUM(AJ116:AJ118)</f>
        <v>2</v>
      </c>
      <c r="AK119" s="4282"/>
      <c r="AL119" s="4283">
        <f>SUM(AL116:AL118)</f>
        <v>2</v>
      </c>
      <c r="AM119" s="4284"/>
      <c r="AN119" s="4282">
        <f>SUM(AN116:AN118)</f>
        <v>3</v>
      </c>
      <c r="AO119" s="4282"/>
      <c r="AP119" s="4283">
        <f>SUM(AP116:AP118)</f>
        <v>3</v>
      </c>
      <c r="AQ119" s="4284"/>
      <c r="AR119" s="4282">
        <f>SUM(AR116:AR118)</f>
        <v>2</v>
      </c>
      <c r="AS119" s="4282">
        <f>SUM(AS116:AS118)</f>
        <v>1</v>
      </c>
      <c r="AT119" s="4283">
        <f>SUM(AT116:AT118)</f>
        <v>3</v>
      </c>
      <c r="AU119" s="4284"/>
      <c r="AV119" s="4282">
        <f>SUM(AV116:AV118)</f>
        <v>2</v>
      </c>
      <c r="AW119" s="4282">
        <f>SUM(AW116:AW118)</f>
        <v>2</v>
      </c>
      <c r="AX119" s="4283">
        <f>SUM(AX116:AX118)</f>
        <v>4</v>
      </c>
      <c r="AY119" s="4284"/>
      <c r="AZ119" s="4282">
        <f>SUM(AZ116:AZ118)</f>
        <v>2</v>
      </c>
      <c r="BA119" s="4282">
        <f>SUM(BA116:BA118)</f>
        <v>4</v>
      </c>
      <c r="BB119" s="4283">
        <f>SUM(BB116:BB118)</f>
        <v>6</v>
      </c>
    </row>
    <row r="120" spans="1:54" ht="15.75" x14ac:dyDescent="0.25">
      <c r="A120" s="1923"/>
      <c r="B120" s="1925"/>
      <c r="C120" s="1925"/>
      <c r="D120" s="1925"/>
      <c r="E120" s="1925"/>
      <c r="F120" s="1925"/>
      <c r="G120" s="1925"/>
      <c r="H120" s="1925"/>
      <c r="I120" s="1925"/>
      <c r="J120" s="1925"/>
      <c r="K120" s="1925"/>
      <c r="L120" s="1925"/>
      <c r="M120" s="1925"/>
      <c r="N120" s="1925"/>
      <c r="O120" s="1925"/>
      <c r="P120" s="1925"/>
      <c r="Q120" s="1925"/>
      <c r="R120" s="1925"/>
      <c r="S120" s="1925"/>
      <c r="T120" s="1925"/>
      <c r="U120" s="1925"/>
      <c r="V120" s="1925"/>
      <c r="W120" s="1925"/>
      <c r="X120" s="1925"/>
      <c r="Y120" s="1925"/>
      <c r="Z120" s="1925"/>
      <c r="AA120" s="1925"/>
      <c r="AB120" s="1925"/>
      <c r="AC120" s="1925"/>
      <c r="AD120" s="1925"/>
      <c r="AE120" s="1925"/>
      <c r="AF120" s="1925"/>
      <c r="AG120" s="1925"/>
      <c r="AH120" s="1925"/>
      <c r="AI120" s="1925"/>
      <c r="AJ120" s="1925"/>
      <c r="AK120" s="1925"/>
      <c r="AL120" s="1925"/>
      <c r="AM120" s="1925"/>
      <c r="AN120" s="1925"/>
      <c r="AO120" s="1925"/>
      <c r="AP120" s="1925"/>
      <c r="AQ120" s="1925"/>
      <c r="AR120" s="1925"/>
      <c r="AS120" s="1925"/>
      <c r="AT120" s="1925"/>
      <c r="AU120" s="1925"/>
      <c r="AV120" s="1925"/>
      <c r="AW120" s="1925"/>
      <c r="AX120" s="1925"/>
      <c r="AY120" s="1925"/>
      <c r="AZ120" s="1925"/>
      <c r="BA120" s="1925"/>
      <c r="BB120" s="1925"/>
    </row>
    <row r="121" spans="1:54" x14ac:dyDescent="0.2">
      <c r="A121" s="6264" t="s">
        <v>162</v>
      </c>
      <c r="B121" s="4148" t="s">
        <v>5</v>
      </c>
      <c r="C121" s="4257">
        <v>1</v>
      </c>
      <c r="D121" s="4258">
        <v>9</v>
      </c>
      <c r="E121" s="4258">
        <v>7</v>
      </c>
      <c r="F121" s="4259">
        <v>17</v>
      </c>
      <c r="G121" s="4257"/>
      <c r="H121" s="4258">
        <v>10</v>
      </c>
      <c r="I121" s="4258">
        <v>8</v>
      </c>
      <c r="J121" s="4259">
        <v>18</v>
      </c>
      <c r="K121" s="4257"/>
      <c r="L121" s="4258">
        <v>12</v>
      </c>
      <c r="M121" s="4258">
        <v>8</v>
      </c>
      <c r="N121" s="4260">
        <v>20</v>
      </c>
      <c r="O121" s="4257"/>
      <c r="P121" s="4258">
        <v>11</v>
      </c>
      <c r="Q121" s="4258">
        <v>8</v>
      </c>
      <c r="R121" s="4259">
        <v>19</v>
      </c>
      <c r="S121" s="4258"/>
      <c r="T121" s="4258">
        <v>11</v>
      </c>
      <c r="U121" s="4258">
        <v>8</v>
      </c>
      <c r="V121" s="4259">
        <v>19</v>
      </c>
      <c r="W121" s="4258"/>
      <c r="X121" s="4258">
        <v>10</v>
      </c>
      <c r="Y121" s="4258">
        <v>7</v>
      </c>
      <c r="Z121" s="4259">
        <v>17</v>
      </c>
      <c r="AA121" s="4258"/>
      <c r="AB121" s="4258">
        <v>10</v>
      </c>
      <c r="AC121" s="4258">
        <v>7</v>
      </c>
      <c r="AD121" s="4259">
        <v>17</v>
      </c>
      <c r="AE121" s="4258"/>
      <c r="AF121" s="4258">
        <v>8</v>
      </c>
      <c r="AG121" s="4258">
        <v>8</v>
      </c>
      <c r="AH121" s="4259">
        <v>16</v>
      </c>
      <c r="AI121" s="4258"/>
      <c r="AJ121" s="4258">
        <v>8</v>
      </c>
      <c r="AK121" s="4258">
        <v>7</v>
      </c>
      <c r="AL121" s="4259">
        <f>SUM(AI121:AK121)</f>
        <v>15</v>
      </c>
      <c r="AM121" s="4258"/>
      <c r="AN121" s="4258">
        <v>8</v>
      </c>
      <c r="AO121" s="4258">
        <v>6</v>
      </c>
      <c r="AP121" s="4259">
        <f>SUM(AM121:AO121)</f>
        <v>14</v>
      </c>
      <c r="AQ121" s="4258"/>
      <c r="AR121" s="4258">
        <v>8</v>
      </c>
      <c r="AS121" s="4258">
        <v>6</v>
      </c>
      <c r="AT121" s="4259">
        <f>SUM(AQ121:AS121)</f>
        <v>14</v>
      </c>
      <c r="AU121" s="4258"/>
      <c r="AV121" s="4258">
        <v>8</v>
      </c>
      <c r="AW121" s="4258">
        <v>6</v>
      </c>
      <c r="AX121" s="4259">
        <f>SUM(AU121:AW121)</f>
        <v>14</v>
      </c>
      <c r="AY121" s="4258">
        <v>0</v>
      </c>
      <c r="AZ121" s="4258">
        <v>9</v>
      </c>
      <c r="BA121" s="4258">
        <v>6</v>
      </c>
      <c r="BB121" s="4259">
        <f>SUM(AY121:BA121)</f>
        <v>15</v>
      </c>
    </row>
    <row r="122" spans="1:54" x14ac:dyDescent="0.2">
      <c r="A122" s="5041"/>
      <c r="B122" s="1926" t="s">
        <v>6</v>
      </c>
      <c r="C122" s="4261">
        <v>1</v>
      </c>
      <c r="D122" s="4262">
        <v>21</v>
      </c>
      <c r="E122" s="4262">
        <v>19</v>
      </c>
      <c r="F122" s="4263">
        <v>41</v>
      </c>
      <c r="G122" s="4261"/>
      <c r="H122" s="4262">
        <v>21</v>
      </c>
      <c r="I122" s="4262">
        <v>24</v>
      </c>
      <c r="J122" s="4263">
        <v>45</v>
      </c>
      <c r="K122" s="4261"/>
      <c r="L122" s="4262">
        <v>19</v>
      </c>
      <c r="M122" s="4262">
        <v>23</v>
      </c>
      <c r="N122" s="4264">
        <v>42</v>
      </c>
      <c r="O122" s="4261"/>
      <c r="P122" s="4262">
        <v>18</v>
      </c>
      <c r="Q122" s="4262">
        <v>23</v>
      </c>
      <c r="R122" s="4263">
        <v>41</v>
      </c>
      <c r="S122" s="4262"/>
      <c r="T122" s="4262">
        <v>18</v>
      </c>
      <c r="U122" s="4262">
        <v>23</v>
      </c>
      <c r="V122" s="4263">
        <v>41</v>
      </c>
      <c r="W122" s="4262"/>
      <c r="X122" s="4262">
        <v>17</v>
      </c>
      <c r="Y122" s="4262">
        <v>23</v>
      </c>
      <c r="Z122" s="4263">
        <v>40</v>
      </c>
      <c r="AA122" s="4262"/>
      <c r="AB122" s="4262">
        <v>14</v>
      </c>
      <c r="AC122" s="4262">
        <v>23</v>
      </c>
      <c r="AD122" s="4263">
        <v>37</v>
      </c>
      <c r="AE122" s="4262"/>
      <c r="AF122" s="4262">
        <v>20</v>
      </c>
      <c r="AG122" s="4262">
        <v>23</v>
      </c>
      <c r="AH122" s="4263">
        <v>43</v>
      </c>
      <c r="AI122" s="4262"/>
      <c r="AJ122" s="4262">
        <v>18</v>
      </c>
      <c r="AK122" s="4262">
        <v>24</v>
      </c>
      <c r="AL122" s="4263">
        <f>SUM(AI122:AK122)</f>
        <v>42</v>
      </c>
      <c r="AM122" s="4262"/>
      <c r="AN122" s="4262">
        <v>22</v>
      </c>
      <c r="AO122" s="4262">
        <v>23</v>
      </c>
      <c r="AP122" s="4263">
        <f>SUM(AM122:AO122)</f>
        <v>45</v>
      </c>
      <c r="AQ122" s="4262"/>
      <c r="AR122" s="4262">
        <v>21</v>
      </c>
      <c r="AS122" s="4262">
        <v>22</v>
      </c>
      <c r="AT122" s="4263">
        <f>SUM(AQ122:AS122)</f>
        <v>43</v>
      </c>
      <c r="AU122" s="4262"/>
      <c r="AV122" s="4262">
        <v>23</v>
      </c>
      <c r="AW122" s="4262">
        <v>25</v>
      </c>
      <c r="AX122" s="4263">
        <f>SUM(AU122:AW122)</f>
        <v>48</v>
      </c>
      <c r="AY122" s="4262">
        <v>0</v>
      </c>
      <c r="AZ122" s="4262">
        <v>16</v>
      </c>
      <c r="BA122" s="4262">
        <v>23</v>
      </c>
      <c r="BB122" s="4263">
        <f>SUM(AY122:BA122)</f>
        <v>39</v>
      </c>
    </row>
    <row r="123" spans="1:54" x14ac:dyDescent="0.2">
      <c r="A123" s="5041"/>
      <c r="B123" s="1926" t="s">
        <v>11</v>
      </c>
      <c r="C123" s="4261">
        <v>5</v>
      </c>
      <c r="D123" s="4262">
        <v>6</v>
      </c>
      <c r="E123" s="4262">
        <v>32</v>
      </c>
      <c r="F123" s="4263">
        <v>43</v>
      </c>
      <c r="G123" s="4261">
        <v>5</v>
      </c>
      <c r="H123" s="4262">
        <v>6</v>
      </c>
      <c r="I123" s="4262">
        <v>32</v>
      </c>
      <c r="J123" s="4263">
        <v>43</v>
      </c>
      <c r="K123" s="4261">
        <v>4</v>
      </c>
      <c r="L123" s="4262">
        <v>4</v>
      </c>
      <c r="M123" s="4262">
        <v>30</v>
      </c>
      <c r="N123" s="4264">
        <v>38</v>
      </c>
      <c r="O123" s="4261">
        <v>3</v>
      </c>
      <c r="P123" s="4262">
        <v>4</v>
      </c>
      <c r="Q123" s="4262">
        <v>29</v>
      </c>
      <c r="R123" s="4263">
        <v>36</v>
      </c>
      <c r="S123" s="4262">
        <v>3</v>
      </c>
      <c r="T123" s="4262">
        <v>2</v>
      </c>
      <c r="U123" s="4262">
        <v>26</v>
      </c>
      <c r="V123" s="4263">
        <v>31</v>
      </c>
      <c r="W123" s="4262">
        <v>2</v>
      </c>
      <c r="X123" s="4262">
        <v>2</v>
      </c>
      <c r="Y123" s="4262">
        <v>24</v>
      </c>
      <c r="Z123" s="4263">
        <v>28</v>
      </c>
      <c r="AA123" s="4262">
        <v>2</v>
      </c>
      <c r="AB123" s="4262">
        <v>2</v>
      </c>
      <c r="AC123" s="4262">
        <v>23</v>
      </c>
      <c r="AD123" s="4263">
        <v>27</v>
      </c>
      <c r="AE123" s="4262">
        <v>2</v>
      </c>
      <c r="AF123" s="4262">
        <v>2</v>
      </c>
      <c r="AG123" s="4262">
        <v>23</v>
      </c>
      <c r="AH123" s="4263">
        <v>27</v>
      </c>
      <c r="AI123" s="4262">
        <v>2</v>
      </c>
      <c r="AJ123" s="4262">
        <v>1</v>
      </c>
      <c r="AK123" s="4262">
        <v>23</v>
      </c>
      <c r="AL123" s="4263">
        <f>SUM(AI123:AK123)</f>
        <v>26</v>
      </c>
      <c r="AM123" s="4262">
        <v>2</v>
      </c>
      <c r="AN123" s="4262">
        <v>1</v>
      </c>
      <c r="AO123" s="4262">
        <v>23</v>
      </c>
      <c r="AP123" s="4263">
        <f>SUM(AM123:AO123)</f>
        <v>26</v>
      </c>
      <c r="AQ123" s="4262">
        <v>2</v>
      </c>
      <c r="AR123" s="4262">
        <v>1</v>
      </c>
      <c r="AS123" s="4262">
        <v>19</v>
      </c>
      <c r="AT123" s="4263">
        <f>SUM(AQ123:AS123)</f>
        <v>22</v>
      </c>
      <c r="AU123" s="4262">
        <v>2</v>
      </c>
      <c r="AV123" s="4262">
        <v>1</v>
      </c>
      <c r="AW123" s="4262">
        <v>16</v>
      </c>
      <c r="AX123" s="4263">
        <f>SUM(AU123:AW123)</f>
        <v>19</v>
      </c>
      <c r="AY123" s="4262">
        <v>2</v>
      </c>
      <c r="AZ123" s="4262">
        <v>1</v>
      </c>
      <c r="BA123" s="4262">
        <v>16</v>
      </c>
      <c r="BB123" s="4263">
        <f>SUM(AY123:BA123)</f>
        <v>19</v>
      </c>
    </row>
    <row r="124" spans="1:54" x14ac:dyDescent="0.2">
      <c r="A124" s="5109"/>
      <c r="B124" s="4285" t="s">
        <v>12</v>
      </c>
      <c r="C124" s="4286">
        <v>7</v>
      </c>
      <c r="D124" s="4287">
        <v>36</v>
      </c>
      <c r="E124" s="4287">
        <v>58</v>
      </c>
      <c r="F124" s="4288">
        <v>101</v>
      </c>
      <c r="G124" s="4286">
        <v>5</v>
      </c>
      <c r="H124" s="4287">
        <v>37</v>
      </c>
      <c r="I124" s="4287">
        <v>64</v>
      </c>
      <c r="J124" s="4288">
        <v>106</v>
      </c>
      <c r="K124" s="4286">
        <v>4</v>
      </c>
      <c r="L124" s="4287">
        <v>35</v>
      </c>
      <c r="M124" s="4287">
        <v>61</v>
      </c>
      <c r="N124" s="4287">
        <v>100</v>
      </c>
      <c r="O124" s="4286">
        <v>3</v>
      </c>
      <c r="P124" s="4287">
        <v>33</v>
      </c>
      <c r="Q124" s="4287">
        <v>60</v>
      </c>
      <c r="R124" s="4288">
        <v>96</v>
      </c>
      <c r="S124" s="4287">
        <v>3</v>
      </c>
      <c r="T124" s="4287">
        <v>31</v>
      </c>
      <c r="U124" s="4287">
        <v>57</v>
      </c>
      <c r="V124" s="4288">
        <v>91</v>
      </c>
      <c r="W124" s="4286">
        <v>2</v>
      </c>
      <c r="X124" s="4287">
        <v>29</v>
      </c>
      <c r="Y124" s="4287">
        <v>54</v>
      </c>
      <c r="Z124" s="4288">
        <v>85</v>
      </c>
      <c r="AA124" s="4286">
        <v>2</v>
      </c>
      <c r="AB124" s="4287">
        <v>26</v>
      </c>
      <c r="AC124" s="4287">
        <v>53</v>
      </c>
      <c r="AD124" s="4288">
        <v>81</v>
      </c>
      <c r="AE124" s="4286">
        <v>2</v>
      </c>
      <c r="AF124" s="4287">
        <v>30</v>
      </c>
      <c r="AG124" s="4287">
        <v>54</v>
      </c>
      <c r="AH124" s="4288">
        <v>86</v>
      </c>
      <c r="AI124" s="4286">
        <f t="shared" ref="AI124:AX124" si="53">SUM(AI121:AI123)</f>
        <v>2</v>
      </c>
      <c r="AJ124" s="4287">
        <f t="shared" si="53"/>
        <v>27</v>
      </c>
      <c r="AK124" s="4287">
        <f t="shared" si="53"/>
        <v>54</v>
      </c>
      <c r="AL124" s="4288">
        <f t="shared" si="53"/>
        <v>83</v>
      </c>
      <c r="AM124" s="4286">
        <f t="shared" si="53"/>
        <v>2</v>
      </c>
      <c r="AN124" s="4287">
        <f t="shared" si="53"/>
        <v>31</v>
      </c>
      <c r="AO124" s="4287">
        <f t="shared" si="53"/>
        <v>52</v>
      </c>
      <c r="AP124" s="4288">
        <f t="shared" si="53"/>
        <v>85</v>
      </c>
      <c r="AQ124" s="4286">
        <f t="shared" si="53"/>
        <v>2</v>
      </c>
      <c r="AR124" s="4287">
        <f t="shared" si="53"/>
        <v>30</v>
      </c>
      <c r="AS124" s="4287">
        <f t="shared" si="53"/>
        <v>47</v>
      </c>
      <c r="AT124" s="4288">
        <f t="shared" si="53"/>
        <v>79</v>
      </c>
      <c r="AU124" s="4286">
        <f t="shared" si="53"/>
        <v>2</v>
      </c>
      <c r="AV124" s="4287">
        <f t="shared" si="53"/>
        <v>32</v>
      </c>
      <c r="AW124" s="4287">
        <f t="shared" si="53"/>
        <v>47</v>
      </c>
      <c r="AX124" s="4288">
        <f t="shared" si="53"/>
        <v>81</v>
      </c>
      <c r="AY124" s="4286">
        <f t="shared" ref="AY124:BB124" si="54">SUM(AY121:AY123)</f>
        <v>2</v>
      </c>
      <c r="AZ124" s="4287">
        <f t="shared" si="54"/>
        <v>26</v>
      </c>
      <c r="BA124" s="4287">
        <f t="shared" si="54"/>
        <v>45</v>
      </c>
      <c r="BB124" s="4288">
        <f t="shared" si="54"/>
        <v>73</v>
      </c>
    </row>
    <row r="125" spans="1:54" ht="15" hidden="1" customHeight="1" x14ac:dyDescent="0.2">
      <c r="A125" s="195"/>
      <c r="B125" s="1925"/>
      <c r="C125" s="1925"/>
      <c r="D125" s="1925"/>
      <c r="E125" s="1925"/>
      <c r="F125" s="1925"/>
      <c r="G125" s="1925"/>
      <c r="H125" s="1925"/>
      <c r="I125" s="1925"/>
      <c r="J125" s="1925"/>
      <c r="K125" s="1925"/>
      <c r="L125" s="1925"/>
      <c r="M125" s="1925"/>
      <c r="N125" s="1925"/>
      <c r="O125" s="1925"/>
      <c r="P125" s="1925"/>
      <c r="Q125" s="1925"/>
      <c r="R125" s="1925"/>
      <c r="S125" s="1925"/>
      <c r="T125" s="1925"/>
      <c r="U125" s="1925"/>
      <c r="V125" s="1925"/>
      <c r="W125" s="1925"/>
      <c r="X125" s="1925"/>
      <c r="Y125" s="1925"/>
      <c r="Z125" s="1925"/>
      <c r="AA125" s="1925"/>
      <c r="AB125" s="1925"/>
      <c r="AC125" s="1925"/>
      <c r="AD125" s="1925"/>
      <c r="AE125" s="1925"/>
      <c r="AF125" s="1925"/>
      <c r="AG125" s="1925"/>
      <c r="AH125" s="1925"/>
      <c r="AI125" s="1925"/>
      <c r="AJ125" s="1925"/>
      <c r="AK125" s="1925"/>
      <c r="AL125" s="1925"/>
      <c r="AM125" s="1925"/>
      <c r="AN125" s="1925"/>
      <c r="AO125" s="1925"/>
      <c r="AP125" s="1925"/>
      <c r="AQ125" s="1925"/>
      <c r="AR125" s="1925"/>
      <c r="AS125" s="1925"/>
      <c r="AT125" s="1925"/>
      <c r="AU125" s="1925"/>
      <c r="AV125" s="1925"/>
      <c r="AW125" s="1925"/>
      <c r="AX125" s="1925"/>
      <c r="AY125" s="1925"/>
      <c r="AZ125" s="1925"/>
      <c r="BA125" s="1925"/>
      <c r="BB125" s="1925"/>
    </row>
    <row r="126" spans="1:54" ht="15" hidden="1" customHeight="1" x14ac:dyDescent="0.2">
      <c r="A126" s="6257" t="s">
        <v>411</v>
      </c>
      <c r="B126" s="4148" t="s">
        <v>5</v>
      </c>
      <c r="C126" s="4272"/>
      <c r="D126" s="4273"/>
      <c r="E126" s="4273"/>
      <c r="F126" s="4274"/>
      <c r="G126" s="4272"/>
      <c r="H126" s="4273"/>
      <c r="I126" s="4273"/>
      <c r="J126" s="4274"/>
      <c r="K126" s="4272"/>
      <c r="L126" s="4273"/>
      <c r="M126" s="4273"/>
      <c r="N126" s="4324"/>
      <c r="O126" s="4272"/>
      <c r="P126" s="4273"/>
      <c r="Q126" s="4273"/>
      <c r="R126" s="4274"/>
      <c r="S126" s="4273"/>
      <c r="T126" s="4273"/>
      <c r="U126" s="4273"/>
      <c r="V126" s="4274"/>
      <c r="W126" s="4273"/>
      <c r="X126" s="4273"/>
      <c r="Y126" s="4273"/>
      <c r="Z126" s="4274"/>
      <c r="AA126" s="4273"/>
      <c r="AB126" s="4273"/>
      <c r="AC126" s="4273"/>
      <c r="AD126" s="4274"/>
      <c r="AE126" s="4273"/>
      <c r="AF126" s="4273"/>
      <c r="AG126" s="4273"/>
      <c r="AH126" s="4274"/>
      <c r="AI126" s="4258"/>
      <c r="AJ126" s="4258"/>
      <c r="AK126" s="4258"/>
      <c r="AL126" s="4259"/>
      <c r="AM126" s="4258"/>
      <c r="AN126" s="4258"/>
      <c r="AO126" s="4258"/>
      <c r="AP126" s="4259"/>
      <c r="AQ126" s="4258"/>
      <c r="AR126" s="4258"/>
      <c r="AS126" s="4258"/>
      <c r="AT126" s="4259"/>
      <c r="AU126" s="4258"/>
      <c r="AV126" s="4258"/>
      <c r="AW126" s="4258"/>
      <c r="AX126" s="4259"/>
      <c r="AY126" s="4258"/>
      <c r="AZ126" s="4258"/>
      <c r="BA126" s="4258"/>
      <c r="BB126" s="4259"/>
    </row>
    <row r="127" spans="1:54" ht="15" hidden="1" customHeight="1" x14ac:dyDescent="0.2">
      <c r="A127" s="5032"/>
      <c r="B127" s="1926" t="s">
        <v>6</v>
      </c>
      <c r="C127" s="4275"/>
      <c r="D127" s="4276"/>
      <c r="E127" s="4276"/>
      <c r="F127" s="4277"/>
      <c r="G127" s="4275"/>
      <c r="H127" s="4276"/>
      <c r="I127" s="4276"/>
      <c r="J127" s="4277"/>
      <c r="K127" s="4275"/>
      <c r="L127" s="4276"/>
      <c r="M127" s="4276"/>
      <c r="N127" s="4325"/>
      <c r="O127" s="4275"/>
      <c r="P127" s="4276"/>
      <c r="Q127" s="4276"/>
      <c r="R127" s="4277"/>
      <c r="S127" s="4276"/>
      <c r="T127" s="4276"/>
      <c r="U127" s="4276"/>
      <c r="V127" s="4277"/>
      <c r="W127" s="4276"/>
      <c r="X127" s="4276"/>
      <c r="Y127" s="4276"/>
      <c r="Z127" s="4277"/>
      <c r="AA127" s="4276"/>
      <c r="AB127" s="4276"/>
      <c r="AC127" s="4276"/>
      <c r="AD127" s="4277"/>
      <c r="AE127" s="4276"/>
      <c r="AF127" s="4276"/>
      <c r="AG127" s="4276"/>
      <c r="AH127" s="4277"/>
      <c r="AI127" s="4262"/>
      <c r="AJ127" s="4262"/>
      <c r="AK127" s="4262"/>
      <c r="AL127" s="4263"/>
      <c r="AM127" s="4262"/>
      <c r="AN127" s="4262"/>
      <c r="AO127" s="4262"/>
      <c r="AP127" s="4263"/>
      <c r="AQ127" s="4262"/>
      <c r="AR127" s="4262"/>
      <c r="AS127" s="4262"/>
      <c r="AT127" s="4263"/>
      <c r="AU127" s="4262"/>
      <c r="AV127" s="4262"/>
      <c r="AW127" s="4262"/>
      <c r="AX127" s="4263"/>
      <c r="AY127" s="4262"/>
      <c r="AZ127" s="4262"/>
      <c r="BA127" s="4262"/>
      <c r="BB127" s="4263"/>
    </row>
    <row r="128" spans="1:54" ht="15" hidden="1" customHeight="1" x14ac:dyDescent="0.2">
      <c r="A128" s="5032"/>
      <c r="B128" s="1926" t="s">
        <v>11</v>
      </c>
      <c r="C128" s="4275"/>
      <c r="D128" s="4276"/>
      <c r="E128" s="4276"/>
      <c r="F128" s="4277"/>
      <c r="G128" s="4275"/>
      <c r="H128" s="4276"/>
      <c r="I128" s="4276"/>
      <c r="J128" s="4277"/>
      <c r="K128" s="4275"/>
      <c r="L128" s="4276"/>
      <c r="M128" s="4276"/>
      <c r="N128" s="4325"/>
      <c r="O128" s="4275"/>
      <c r="P128" s="4276"/>
      <c r="Q128" s="4276"/>
      <c r="R128" s="4277"/>
      <c r="S128" s="4276"/>
      <c r="T128" s="4276"/>
      <c r="U128" s="4276"/>
      <c r="V128" s="4277"/>
      <c r="W128" s="4276"/>
      <c r="X128" s="4276"/>
      <c r="Y128" s="4276"/>
      <c r="Z128" s="4277"/>
      <c r="AA128" s="4276"/>
      <c r="AB128" s="4276"/>
      <c r="AC128" s="4276"/>
      <c r="AD128" s="4277"/>
      <c r="AE128" s="4276"/>
      <c r="AF128" s="4276"/>
      <c r="AG128" s="4276"/>
      <c r="AH128" s="4277"/>
      <c r="AI128" s="4262"/>
      <c r="AJ128" s="4262"/>
      <c r="AK128" s="4262"/>
      <c r="AL128" s="4263"/>
      <c r="AM128" s="4262"/>
      <c r="AN128" s="4262"/>
      <c r="AO128" s="4262"/>
      <c r="AP128" s="4263"/>
      <c r="AQ128" s="4262"/>
      <c r="AR128" s="4262"/>
      <c r="AS128" s="4262"/>
      <c r="AT128" s="4263"/>
      <c r="AU128" s="4262"/>
      <c r="AV128" s="4262"/>
      <c r="AW128" s="4262"/>
      <c r="AX128" s="4263"/>
      <c r="AY128" s="4262"/>
      <c r="AZ128" s="4262"/>
      <c r="BA128" s="4262"/>
      <c r="BB128" s="4263"/>
    </row>
    <row r="129" spans="1:54" ht="15" hidden="1" customHeight="1" x14ac:dyDescent="0.2">
      <c r="A129" s="5113"/>
      <c r="B129" s="4293" t="s">
        <v>12</v>
      </c>
      <c r="C129" s="4294"/>
      <c r="D129" s="4295"/>
      <c r="E129" s="4295"/>
      <c r="F129" s="4296"/>
      <c r="G129" s="4294"/>
      <c r="H129" s="4295"/>
      <c r="I129" s="4295"/>
      <c r="J129" s="4296"/>
      <c r="K129" s="4294"/>
      <c r="L129" s="4295"/>
      <c r="M129" s="4295"/>
      <c r="N129" s="4295"/>
      <c r="O129" s="4294"/>
      <c r="P129" s="4295"/>
      <c r="Q129" s="4295"/>
      <c r="R129" s="4296"/>
      <c r="S129" s="4295"/>
      <c r="T129" s="4295"/>
      <c r="U129" s="4295"/>
      <c r="V129" s="4296"/>
      <c r="W129" s="4294"/>
      <c r="X129" s="4295"/>
      <c r="Y129" s="4295"/>
      <c r="Z129" s="4296"/>
      <c r="AA129" s="4294"/>
      <c r="AB129" s="4295"/>
      <c r="AC129" s="4295"/>
      <c r="AD129" s="4296"/>
      <c r="AE129" s="4294"/>
      <c r="AF129" s="4295"/>
      <c r="AG129" s="4295"/>
      <c r="AH129" s="4296"/>
      <c r="AI129" s="4299"/>
      <c r="AJ129" s="4297"/>
      <c r="AK129" s="4297"/>
      <c r="AL129" s="4298"/>
      <c r="AM129" s="4299"/>
      <c r="AN129" s="4297"/>
      <c r="AO129" s="4297"/>
      <c r="AP129" s="4298"/>
      <c r="AQ129" s="4299"/>
      <c r="AR129" s="4297"/>
      <c r="AS129" s="4297"/>
      <c r="AT129" s="4298"/>
      <c r="AU129" s="4299"/>
      <c r="AV129" s="4297"/>
      <c r="AW129" s="4297"/>
      <c r="AX129" s="4298"/>
      <c r="AY129" s="4299"/>
      <c r="AZ129" s="4297"/>
      <c r="BA129" s="4297"/>
      <c r="BB129" s="4298"/>
    </row>
    <row r="130" spans="1:54" ht="15.75" x14ac:dyDescent="0.25">
      <c r="A130" s="1923"/>
      <c r="B130" s="1925"/>
      <c r="C130" s="1925"/>
      <c r="D130" s="1925"/>
      <c r="E130" s="1925"/>
      <c r="F130" s="1925"/>
      <c r="G130" s="1925"/>
      <c r="H130" s="1925"/>
      <c r="I130" s="1925"/>
      <c r="J130" s="1925"/>
      <c r="K130" s="1925"/>
      <c r="L130" s="1925"/>
      <c r="M130" s="1925"/>
      <c r="N130" s="1925"/>
      <c r="O130" s="1925"/>
      <c r="P130" s="1925"/>
      <c r="Q130" s="1925"/>
      <c r="R130" s="1925"/>
      <c r="S130" s="1925"/>
      <c r="T130" s="1925"/>
      <c r="U130" s="1925"/>
      <c r="V130" s="1925"/>
      <c r="W130" s="1925"/>
      <c r="X130" s="1925"/>
      <c r="Y130" s="1925"/>
      <c r="Z130" s="1925"/>
      <c r="AA130" s="1925"/>
      <c r="AB130" s="1925"/>
      <c r="AC130" s="1925"/>
      <c r="AD130" s="1925"/>
      <c r="AE130" s="1925"/>
      <c r="AF130" s="1925"/>
      <c r="AG130" s="1925"/>
      <c r="AH130" s="1925"/>
      <c r="AI130" s="1925"/>
      <c r="AJ130" s="1925"/>
      <c r="AK130" s="1925"/>
      <c r="AL130" s="1925"/>
      <c r="AM130" s="1925"/>
      <c r="AN130" s="1925"/>
      <c r="AO130" s="1925"/>
      <c r="AP130" s="1925"/>
      <c r="AQ130" s="1925"/>
      <c r="AR130" s="1925"/>
      <c r="AS130" s="1925"/>
      <c r="AT130" s="1925"/>
      <c r="AU130" s="1925"/>
      <c r="AV130" s="1925"/>
      <c r="AW130" s="1925"/>
      <c r="AX130" s="1925"/>
      <c r="AY130" s="1925"/>
      <c r="AZ130" s="1925"/>
      <c r="BA130" s="1925"/>
      <c r="BB130" s="1925"/>
    </row>
    <row r="131" spans="1:54" x14ac:dyDescent="0.2">
      <c r="A131" s="6268" t="s">
        <v>163</v>
      </c>
      <c r="B131" s="4148" t="s">
        <v>6</v>
      </c>
      <c r="C131" s="4257"/>
      <c r="D131" s="4258">
        <v>4</v>
      </c>
      <c r="E131" s="4258">
        <v>1</v>
      </c>
      <c r="F131" s="4259">
        <v>5</v>
      </c>
      <c r="G131" s="4257"/>
      <c r="H131" s="4258">
        <v>3</v>
      </c>
      <c r="I131" s="4258">
        <v>2</v>
      </c>
      <c r="J131" s="4259">
        <v>5</v>
      </c>
      <c r="K131" s="4257">
        <v>1</v>
      </c>
      <c r="L131" s="4258">
        <v>3</v>
      </c>
      <c r="M131" s="4258">
        <v>2</v>
      </c>
      <c r="N131" s="4260">
        <v>6</v>
      </c>
      <c r="O131" s="4257">
        <v>1</v>
      </c>
      <c r="P131" s="4258">
        <v>3</v>
      </c>
      <c r="Q131" s="4258">
        <v>2</v>
      </c>
      <c r="R131" s="4259">
        <v>6</v>
      </c>
      <c r="S131" s="4258">
        <v>1</v>
      </c>
      <c r="T131" s="4258">
        <v>3</v>
      </c>
      <c r="U131" s="4258">
        <v>1</v>
      </c>
      <c r="V131" s="4259">
        <v>5</v>
      </c>
      <c r="W131" s="4258">
        <v>1</v>
      </c>
      <c r="X131" s="4258">
        <v>4</v>
      </c>
      <c r="Y131" s="4258">
        <v>2</v>
      </c>
      <c r="Z131" s="4259">
        <v>7</v>
      </c>
      <c r="AA131" s="4258">
        <v>1</v>
      </c>
      <c r="AB131" s="4258">
        <v>3</v>
      </c>
      <c r="AC131" s="4258">
        <v>2</v>
      </c>
      <c r="AD131" s="4259">
        <v>6</v>
      </c>
      <c r="AE131" s="4258">
        <v>1</v>
      </c>
      <c r="AF131" s="4258">
        <v>12</v>
      </c>
      <c r="AG131" s="4258">
        <v>2</v>
      </c>
      <c r="AH131" s="4259">
        <v>15</v>
      </c>
      <c r="AI131" s="4258">
        <v>1</v>
      </c>
      <c r="AJ131" s="4258">
        <v>13</v>
      </c>
      <c r="AK131" s="4258">
        <v>2</v>
      </c>
      <c r="AL131" s="4259">
        <f>SUM(AI131:AK131)</f>
        <v>16</v>
      </c>
      <c r="AM131" s="4258">
        <v>1</v>
      </c>
      <c r="AN131" s="4258">
        <v>11</v>
      </c>
      <c r="AO131" s="4258">
        <v>2</v>
      </c>
      <c r="AP131" s="4259">
        <f>SUM(AM131:AO131)</f>
        <v>14</v>
      </c>
      <c r="AQ131" s="4258">
        <v>1</v>
      </c>
      <c r="AR131" s="4258">
        <v>11</v>
      </c>
      <c r="AS131" s="4258">
        <v>1</v>
      </c>
      <c r="AT131" s="4259">
        <f>SUM(AQ131:AS131)</f>
        <v>13</v>
      </c>
      <c r="AU131" s="4258">
        <v>1</v>
      </c>
      <c r="AV131" s="4258">
        <v>12</v>
      </c>
      <c r="AW131" s="4258">
        <v>1</v>
      </c>
      <c r="AX131" s="4259">
        <f>SUM(AU131:AW131)</f>
        <v>14</v>
      </c>
      <c r="AY131" s="4258">
        <v>1</v>
      </c>
      <c r="AZ131" s="4258">
        <v>8</v>
      </c>
      <c r="BA131" s="4258">
        <v>2</v>
      </c>
      <c r="BB131" s="4259">
        <f>SUM(AY131:BA131)</f>
        <v>11</v>
      </c>
    </row>
    <row r="132" spans="1:54" x14ac:dyDescent="0.2">
      <c r="A132" s="5044"/>
      <c r="B132" s="1926" t="s">
        <v>11</v>
      </c>
      <c r="C132" s="4261"/>
      <c r="D132" s="4262">
        <v>2</v>
      </c>
      <c r="E132" s="4262"/>
      <c r="F132" s="4263">
        <v>2</v>
      </c>
      <c r="G132" s="4261"/>
      <c r="H132" s="4262">
        <v>2</v>
      </c>
      <c r="I132" s="4262"/>
      <c r="J132" s="4263">
        <v>2</v>
      </c>
      <c r="K132" s="4261"/>
      <c r="L132" s="4262">
        <v>2</v>
      </c>
      <c r="M132" s="4262"/>
      <c r="N132" s="4264">
        <v>2</v>
      </c>
      <c r="O132" s="4261"/>
      <c r="P132" s="4262">
        <v>2</v>
      </c>
      <c r="Q132" s="4262"/>
      <c r="R132" s="4263">
        <v>2</v>
      </c>
      <c r="S132" s="4262"/>
      <c r="T132" s="4262">
        <v>2</v>
      </c>
      <c r="U132" s="4262"/>
      <c r="V132" s="4263">
        <v>2</v>
      </c>
      <c r="W132" s="4262"/>
      <c r="X132" s="4262">
        <v>2</v>
      </c>
      <c r="Y132" s="4262"/>
      <c r="Z132" s="4263">
        <v>2</v>
      </c>
      <c r="AA132" s="4262"/>
      <c r="AB132" s="4262">
        <v>2</v>
      </c>
      <c r="AC132" s="4262">
        <v>0</v>
      </c>
      <c r="AD132" s="4263">
        <v>2</v>
      </c>
      <c r="AE132" s="4262"/>
      <c r="AF132" s="4262">
        <v>3</v>
      </c>
      <c r="AG132" s="4262"/>
      <c r="AH132" s="4263">
        <v>3</v>
      </c>
      <c r="AI132" s="4262"/>
      <c r="AJ132" s="4262">
        <v>2</v>
      </c>
      <c r="AK132" s="4262"/>
      <c r="AL132" s="4263">
        <f>SUM(AI132:AK132)</f>
        <v>2</v>
      </c>
      <c r="AM132" s="4262"/>
      <c r="AN132" s="4262">
        <v>2</v>
      </c>
      <c r="AO132" s="4262"/>
      <c r="AP132" s="4263">
        <f>SUM(AM132:AO132)</f>
        <v>2</v>
      </c>
      <c r="AQ132" s="4262"/>
      <c r="AR132" s="4262">
        <v>4</v>
      </c>
      <c r="AS132" s="4262"/>
      <c r="AT132" s="4263">
        <f>SUM(AQ132:AS132)</f>
        <v>4</v>
      </c>
      <c r="AU132" s="4262"/>
      <c r="AV132" s="4262">
        <v>9</v>
      </c>
      <c r="AW132" s="4262"/>
      <c r="AX132" s="4263">
        <f>SUM(AU132:AW132)</f>
        <v>9</v>
      </c>
      <c r="AY132" s="4262">
        <v>0</v>
      </c>
      <c r="AZ132" s="4262">
        <v>7</v>
      </c>
      <c r="BA132" s="4262">
        <v>0</v>
      </c>
      <c r="BB132" s="4263">
        <f>SUM(AY132:BA132)</f>
        <v>7</v>
      </c>
    </row>
    <row r="133" spans="1:54" x14ac:dyDescent="0.2">
      <c r="A133" s="5044"/>
      <c r="B133" s="1926" t="s">
        <v>7</v>
      </c>
      <c r="C133" s="4261"/>
      <c r="D133" s="4262">
        <v>1</v>
      </c>
      <c r="E133" s="4262">
        <v>5</v>
      </c>
      <c r="F133" s="4263">
        <v>6</v>
      </c>
      <c r="G133" s="4261"/>
      <c r="H133" s="4262">
        <v>1</v>
      </c>
      <c r="I133" s="4262">
        <v>4</v>
      </c>
      <c r="J133" s="4263">
        <v>5</v>
      </c>
      <c r="K133" s="4261"/>
      <c r="L133" s="4262"/>
      <c r="M133" s="4262">
        <v>4</v>
      </c>
      <c r="N133" s="4264">
        <v>4</v>
      </c>
      <c r="O133" s="4261"/>
      <c r="P133" s="4262"/>
      <c r="Q133" s="4262">
        <v>4</v>
      </c>
      <c r="R133" s="4263">
        <v>4</v>
      </c>
      <c r="S133" s="4262"/>
      <c r="T133" s="4262"/>
      <c r="U133" s="4262">
        <v>4</v>
      </c>
      <c r="V133" s="4263">
        <v>4</v>
      </c>
      <c r="W133" s="4262"/>
      <c r="X133" s="4262"/>
      <c r="Y133" s="4262">
        <v>5</v>
      </c>
      <c r="Z133" s="4263">
        <v>5</v>
      </c>
      <c r="AA133" s="4262"/>
      <c r="AB133" s="4262">
        <v>2</v>
      </c>
      <c r="AC133" s="4262">
        <v>6</v>
      </c>
      <c r="AD133" s="4263">
        <v>8</v>
      </c>
      <c r="AE133" s="4262"/>
      <c r="AF133" s="4262">
        <v>2</v>
      </c>
      <c r="AG133" s="4262">
        <v>6</v>
      </c>
      <c r="AH133" s="4263">
        <v>8</v>
      </c>
      <c r="AI133" s="4262"/>
      <c r="AJ133" s="4262">
        <v>2</v>
      </c>
      <c r="AK133" s="4262">
        <v>6</v>
      </c>
      <c r="AL133" s="4263">
        <f>SUM(AI133:AK133)</f>
        <v>8</v>
      </c>
      <c r="AM133" s="4262"/>
      <c r="AN133" s="4262">
        <v>2</v>
      </c>
      <c r="AO133" s="4262">
        <v>5</v>
      </c>
      <c r="AP133" s="4263">
        <f>SUM(AM133:AO133)</f>
        <v>7</v>
      </c>
      <c r="AQ133" s="4262"/>
      <c r="AR133" s="4262">
        <v>2</v>
      </c>
      <c r="AS133" s="4262">
        <v>5</v>
      </c>
      <c r="AT133" s="4263">
        <f>SUM(AQ133:AS133)</f>
        <v>7</v>
      </c>
      <c r="AU133" s="4262"/>
      <c r="AV133" s="4262">
        <v>2</v>
      </c>
      <c r="AW133" s="4262">
        <v>5</v>
      </c>
      <c r="AX133" s="4263">
        <f>SUM(AU133:AW133)</f>
        <v>7</v>
      </c>
      <c r="AY133" s="4262">
        <v>0</v>
      </c>
      <c r="AZ133" s="4262">
        <v>1</v>
      </c>
      <c r="BA133" s="4262">
        <v>5</v>
      </c>
      <c r="BB133" s="4263">
        <f>SUM(AY133:BA133)</f>
        <v>6</v>
      </c>
    </row>
    <row r="134" spans="1:54" x14ac:dyDescent="0.2">
      <c r="A134" s="5110"/>
      <c r="B134" s="4300" t="s">
        <v>12</v>
      </c>
      <c r="C134" s="4330"/>
      <c r="D134" s="4302">
        <v>7</v>
      </c>
      <c r="E134" s="4302">
        <v>6</v>
      </c>
      <c r="F134" s="4303">
        <v>13</v>
      </c>
      <c r="G134" s="4330"/>
      <c r="H134" s="4302">
        <v>6</v>
      </c>
      <c r="I134" s="4302">
        <v>6</v>
      </c>
      <c r="J134" s="4303">
        <v>12</v>
      </c>
      <c r="K134" s="4301">
        <v>1</v>
      </c>
      <c r="L134" s="4302">
        <v>5</v>
      </c>
      <c r="M134" s="4302">
        <v>6</v>
      </c>
      <c r="N134" s="4302">
        <v>12</v>
      </c>
      <c r="O134" s="4301">
        <v>1</v>
      </c>
      <c r="P134" s="4302">
        <v>5</v>
      </c>
      <c r="Q134" s="4302">
        <v>6</v>
      </c>
      <c r="R134" s="4303">
        <v>12</v>
      </c>
      <c r="S134" s="4302">
        <v>1</v>
      </c>
      <c r="T134" s="4302">
        <v>5</v>
      </c>
      <c r="U134" s="4302">
        <v>5</v>
      </c>
      <c r="V134" s="4303">
        <v>11</v>
      </c>
      <c r="W134" s="4301">
        <v>1</v>
      </c>
      <c r="X134" s="4302">
        <v>6</v>
      </c>
      <c r="Y134" s="4302">
        <v>7</v>
      </c>
      <c r="Z134" s="4303">
        <v>14</v>
      </c>
      <c r="AA134" s="4301">
        <v>1</v>
      </c>
      <c r="AB134" s="4302">
        <v>7</v>
      </c>
      <c r="AC134" s="4302">
        <v>8</v>
      </c>
      <c r="AD134" s="4303">
        <v>16</v>
      </c>
      <c r="AE134" s="4301">
        <v>1</v>
      </c>
      <c r="AF134" s="4302">
        <v>17</v>
      </c>
      <c r="AG134" s="4302">
        <v>8</v>
      </c>
      <c r="AH134" s="4303">
        <v>26</v>
      </c>
      <c r="AI134" s="4301">
        <f>SUM(AI131:AI133)</f>
        <v>1</v>
      </c>
      <c r="AJ134" s="4302">
        <f>SUM(AJ131:AJ133)</f>
        <v>17</v>
      </c>
      <c r="AK134" s="4302">
        <f>SUM(AK131:AK133)</f>
        <v>8</v>
      </c>
      <c r="AL134" s="4303">
        <f>SUM(AL131:AL133)</f>
        <v>26</v>
      </c>
      <c r="AM134" s="4301">
        <v>1</v>
      </c>
      <c r="AN134" s="4302">
        <v>15</v>
      </c>
      <c r="AO134" s="4302">
        <v>7</v>
      </c>
      <c r="AP134" s="4303">
        <f>SUM(AP131:AP133)</f>
        <v>23</v>
      </c>
      <c r="AQ134" s="4301">
        <v>1</v>
      </c>
      <c r="AR134" s="4302">
        <f>SUM(AR131:AR133)</f>
        <v>17</v>
      </c>
      <c r="AS134" s="4302">
        <f>SUM(AS131:AS133)</f>
        <v>6</v>
      </c>
      <c r="AT134" s="4303">
        <f>SUM(AT131:AT133)</f>
        <v>24</v>
      </c>
      <c r="AU134" s="4301">
        <v>1</v>
      </c>
      <c r="AV134" s="4302">
        <f>SUM(AV131:AV133)</f>
        <v>23</v>
      </c>
      <c r="AW134" s="4302">
        <f>SUM(AW131:AW133)</f>
        <v>6</v>
      </c>
      <c r="AX134" s="4303">
        <f>SUM(AX131:AX133)</f>
        <v>30</v>
      </c>
      <c r="AY134" s="4301">
        <v>1</v>
      </c>
      <c r="AZ134" s="4302">
        <f>SUM(AZ131:AZ133)</f>
        <v>16</v>
      </c>
      <c r="BA134" s="4302">
        <f>SUM(BA131:BA133)</f>
        <v>7</v>
      </c>
      <c r="BB134" s="4303">
        <f>SUM(BB131:BB133)</f>
        <v>24</v>
      </c>
    </row>
    <row r="135" spans="1:54" x14ac:dyDescent="0.2">
      <c r="A135" s="1925"/>
      <c r="B135" s="1925"/>
      <c r="C135" s="1925"/>
      <c r="D135" s="1925"/>
      <c r="E135" s="1925"/>
      <c r="F135" s="1925"/>
      <c r="G135" s="1925"/>
      <c r="H135" s="1925"/>
      <c r="I135" s="1925"/>
      <c r="J135" s="1925"/>
      <c r="K135" s="1925"/>
      <c r="L135" s="1925"/>
      <c r="M135" s="1925"/>
      <c r="N135" s="1925"/>
      <c r="O135" s="1925"/>
      <c r="P135" s="1925"/>
      <c r="Q135" s="1925"/>
      <c r="R135" s="1925"/>
      <c r="S135" s="1925"/>
      <c r="T135" s="1925"/>
      <c r="U135" s="1925"/>
      <c r="V135" s="1925"/>
      <c r="W135" s="1925"/>
      <c r="X135" s="1925"/>
      <c r="Y135" s="1925"/>
      <c r="Z135" s="1925"/>
      <c r="AA135" s="1925"/>
      <c r="AB135" s="1925"/>
      <c r="AC135" s="1925"/>
      <c r="AD135" s="1925"/>
      <c r="AE135" s="1925"/>
      <c r="AF135" s="1925"/>
      <c r="AG135" s="1925"/>
      <c r="AH135" s="1925"/>
      <c r="AI135" s="1925"/>
      <c r="AJ135" s="1925"/>
      <c r="AK135" s="1925"/>
      <c r="AL135" s="1925"/>
      <c r="AM135" s="1925"/>
      <c r="AN135" s="1925"/>
      <c r="AO135" s="1925"/>
      <c r="AP135" s="1925"/>
      <c r="AQ135" s="1925"/>
      <c r="AR135" s="1925"/>
      <c r="AS135" s="1925"/>
      <c r="AT135" s="1925"/>
      <c r="AU135" s="1925"/>
      <c r="AV135" s="1925"/>
      <c r="AW135" s="1925"/>
      <c r="AX135" s="1925"/>
      <c r="AY135" s="1925"/>
      <c r="AZ135" s="1925"/>
      <c r="BA135" s="1925"/>
      <c r="BB135" s="1925"/>
    </row>
    <row r="136" spans="1:54" ht="24.95" customHeight="1" x14ac:dyDescent="0.2">
      <c r="A136" s="6269" t="s">
        <v>60</v>
      </c>
      <c r="B136" s="6270"/>
      <c r="C136" s="4304">
        <v>14</v>
      </c>
      <c r="D136" s="4305">
        <v>69</v>
      </c>
      <c r="E136" s="4305">
        <v>88</v>
      </c>
      <c r="F136" s="4306">
        <v>171</v>
      </c>
      <c r="G136" s="4304">
        <v>9</v>
      </c>
      <c r="H136" s="4305">
        <v>64</v>
      </c>
      <c r="I136" s="4305">
        <v>102</v>
      </c>
      <c r="J136" s="4306">
        <v>175</v>
      </c>
      <c r="K136" s="4304">
        <v>11</v>
      </c>
      <c r="L136" s="4305">
        <v>61</v>
      </c>
      <c r="M136" s="4305">
        <v>98</v>
      </c>
      <c r="N136" s="4305">
        <v>170</v>
      </c>
      <c r="O136" s="4304">
        <v>9</v>
      </c>
      <c r="P136" s="4305">
        <v>58</v>
      </c>
      <c r="Q136" s="4305">
        <v>98</v>
      </c>
      <c r="R136" s="4306">
        <v>165</v>
      </c>
      <c r="S136" s="4305">
        <v>10</v>
      </c>
      <c r="T136" s="4305">
        <v>58</v>
      </c>
      <c r="U136" s="4305">
        <v>92</v>
      </c>
      <c r="V136" s="4306">
        <v>160</v>
      </c>
      <c r="W136" s="4305">
        <v>8</v>
      </c>
      <c r="X136" s="4305">
        <v>56</v>
      </c>
      <c r="Y136" s="4305">
        <v>87</v>
      </c>
      <c r="Z136" s="4306">
        <v>151</v>
      </c>
      <c r="AA136" s="4305">
        <v>7</v>
      </c>
      <c r="AB136" s="4305">
        <v>53</v>
      </c>
      <c r="AC136" s="4305">
        <v>88</v>
      </c>
      <c r="AD136" s="4306">
        <v>148</v>
      </c>
      <c r="AE136" s="4305">
        <v>7</v>
      </c>
      <c r="AF136" s="4305">
        <v>68</v>
      </c>
      <c r="AG136" s="4305">
        <v>87</v>
      </c>
      <c r="AH136" s="4306">
        <v>162</v>
      </c>
      <c r="AI136" s="4304">
        <f t="shared" ref="AI136:AW136" si="55">SUM(AI114,AI119,AI124,AI134)</f>
        <v>7</v>
      </c>
      <c r="AJ136" s="4305">
        <f t="shared" si="55"/>
        <v>72</v>
      </c>
      <c r="AK136" s="4305">
        <f t="shared" si="55"/>
        <v>87</v>
      </c>
      <c r="AL136" s="4306">
        <f t="shared" si="55"/>
        <v>166</v>
      </c>
      <c r="AM136" s="4304">
        <f t="shared" si="55"/>
        <v>7</v>
      </c>
      <c r="AN136" s="4305">
        <f t="shared" si="55"/>
        <v>77</v>
      </c>
      <c r="AO136" s="4305">
        <f t="shared" si="55"/>
        <v>83</v>
      </c>
      <c r="AP136" s="4306">
        <f t="shared" si="55"/>
        <v>167</v>
      </c>
      <c r="AQ136" s="4304">
        <f t="shared" si="55"/>
        <v>7</v>
      </c>
      <c r="AR136" s="4305">
        <f t="shared" si="55"/>
        <v>76</v>
      </c>
      <c r="AS136" s="4305">
        <f t="shared" si="55"/>
        <v>77</v>
      </c>
      <c r="AT136" s="4306">
        <f t="shared" si="55"/>
        <v>160</v>
      </c>
      <c r="AU136" s="4304">
        <f t="shared" si="55"/>
        <v>7</v>
      </c>
      <c r="AV136" s="4305">
        <f t="shared" si="55"/>
        <v>85</v>
      </c>
      <c r="AW136" s="4305">
        <f t="shared" si="55"/>
        <v>79</v>
      </c>
      <c r="AX136" s="4306">
        <f>SUM(AX114,AX119,AX124,AX129,AX134)</f>
        <v>171</v>
      </c>
      <c r="AY136" s="4304">
        <f t="shared" ref="AY136:BA136" si="56">SUM(AY114,AY119,AY124,AY134)</f>
        <v>7</v>
      </c>
      <c r="AZ136" s="4305">
        <f t="shared" si="56"/>
        <v>74</v>
      </c>
      <c r="BA136" s="4305">
        <f t="shared" si="56"/>
        <v>79</v>
      </c>
      <c r="BB136" s="4306">
        <f>SUM(BB114,BB119,BB124,BB129,BB134)</f>
        <v>160</v>
      </c>
    </row>
    <row r="137" spans="1:54" x14ac:dyDescent="0.2">
      <c r="A137" s="4331" t="s">
        <v>1382</v>
      </c>
      <c r="B137" s="4332"/>
      <c r="C137" s="4252"/>
      <c r="D137" s="4252"/>
      <c r="E137" s="4252"/>
      <c r="F137" s="4252"/>
      <c r="G137" s="4252"/>
      <c r="H137" s="4252"/>
      <c r="I137" s="4252"/>
      <c r="J137" s="4252"/>
      <c r="K137" s="4252"/>
      <c r="L137" s="4252"/>
      <c r="M137" s="4252"/>
      <c r="N137" s="4252"/>
      <c r="O137" s="4252"/>
      <c r="P137" s="4252"/>
      <c r="Q137" s="4252"/>
      <c r="R137" s="4252"/>
      <c r="S137" s="4252"/>
      <c r="T137" s="4252"/>
      <c r="U137" s="4252"/>
      <c r="V137" s="4252"/>
    </row>
    <row r="138" spans="1:54" x14ac:dyDescent="0.2">
      <c r="A138" s="4333" t="s">
        <v>116</v>
      </c>
      <c r="B138" s="4332"/>
      <c r="C138" s="4252"/>
      <c r="D138" s="4252"/>
      <c r="E138" s="4252"/>
      <c r="F138" s="4252"/>
      <c r="G138" s="4252"/>
      <c r="H138" s="4252"/>
      <c r="I138" s="4252"/>
      <c r="J138" s="4252"/>
      <c r="K138" s="4252"/>
      <c r="L138" s="4252"/>
      <c r="M138" s="4252"/>
      <c r="N138" s="4252"/>
      <c r="O138" s="4252"/>
      <c r="P138" s="4252"/>
      <c r="Q138" s="4252"/>
      <c r="R138" s="4252"/>
      <c r="S138" s="4252"/>
      <c r="T138" s="4252"/>
      <c r="U138" s="4252"/>
      <c r="V138" s="4252"/>
    </row>
    <row r="140" spans="1:54" x14ac:dyDescent="0.2">
      <c r="A140" s="4249" t="s">
        <v>1383</v>
      </c>
    </row>
    <row r="148" spans="30:30" x14ac:dyDescent="0.2">
      <c r="AD148" s="4370">
        <v>2003</v>
      </c>
    </row>
    <row r="149" spans="30:30" x14ac:dyDescent="0.2">
      <c r="AD149" s="4370">
        <v>2004</v>
      </c>
    </row>
    <row r="150" spans="30:30" x14ac:dyDescent="0.2">
      <c r="AD150" s="4370">
        <v>2005</v>
      </c>
    </row>
    <row r="151" spans="30:30" x14ac:dyDescent="0.2">
      <c r="AD151" s="4370">
        <v>2006</v>
      </c>
    </row>
    <row r="152" spans="30:30" x14ac:dyDescent="0.2">
      <c r="AD152" s="4370">
        <v>2007</v>
      </c>
    </row>
    <row r="153" spans="30:30" x14ac:dyDescent="0.2">
      <c r="AD153" s="4370">
        <v>2008</v>
      </c>
    </row>
    <row r="154" spans="30:30" x14ac:dyDescent="0.2">
      <c r="AD154" s="4370">
        <v>2009</v>
      </c>
    </row>
    <row r="155" spans="30:30" x14ac:dyDescent="0.2">
      <c r="AD155" s="4370">
        <v>2010</v>
      </c>
    </row>
    <row r="156" spans="30:30" x14ac:dyDescent="0.2">
      <c r="AD156" s="4370">
        <v>2011</v>
      </c>
    </row>
    <row r="157" spans="30:30" x14ac:dyDescent="0.2">
      <c r="AD157" s="4370">
        <v>2012</v>
      </c>
    </row>
    <row r="158" spans="30:30" x14ac:dyDescent="0.2">
      <c r="AD158" s="4370">
        <v>2013</v>
      </c>
    </row>
    <row r="159" spans="30:30" x14ac:dyDescent="0.2">
      <c r="AD159" s="4370">
        <v>2014</v>
      </c>
    </row>
    <row r="160" spans="30:30" x14ac:dyDescent="0.2">
      <c r="AD160" s="4370">
        <v>2015</v>
      </c>
    </row>
    <row r="161" spans="30:30" x14ac:dyDescent="0.2">
      <c r="AD161" s="4370"/>
    </row>
    <row r="162" spans="30:30" x14ac:dyDescent="0.2">
      <c r="AD162" s="4370"/>
    </row>
    <row r="163" spans="30:30" x14ac:dyDescent="0.2">
      <c r="AD163" s="4370"/>
    </row>
    <row r="164" spans="30:30" x14ac:dyDescent="0.2">
      <c r="AD164" s="4370" t="s">
        <v>1384</v>
      </c>
    </row>
    <row r="165" spans="30:30" x14ac:dyDescent="0.2">
      <c r="AD165" s="4370" t="s">
        <v>1385</v>
      </c>
    </row>
    <row r="166" spans="30:30" x14ac:dyDescent="0.2">
      <c r="AD166" s="4370" t="s">
        <v>1386</v>
      </c>
    </row>
    <row r="176" spans="30:30" x14ac:dyDescent="0.2">
      <c r="AD176" s="4249" t="s">
        <v>1387</v>
      </c>
    </row>
    <row r="177" spans="30:30" x14ac:dyDescent="0.2">
      <c r="AD177" s="4249" t="s">
        <v>1388</v>
      </c>
    </row>
    <row r="178" spans="30:30" x14ac:dyDescent="0.2">
      <c r="AD178" s="4249" t="s">
        <v>1389</v>
      </c>
    </row>
  </sheetData>
  <mergeCells count="86">
    <mergeCell ref="A1:B1"/>
    <mergeCell ref="A36:B36"/>
    <mergeCell ref="A71:B71"/>
    <mergeCell ref="A106:B106"/>
    <mergeCell ref="A111:A114"/>
    <mergeCell ref="A86:A89"/>
    <mergeCell ref="A91:A94"/>
    <mergeCell ref="A96:A99"/>
    <mergeCell ref="A101:B101"/>
    <mergeCell ref="A108:A109"/>
    <mergeCell ref="B108:B109"/>
    <mergeCell ref="A81:A84"/>
    <mergeCell ref="A56:A59"/>
    <mergeCell ref="A61:A64"/>
    <mergeCell ref="A51:A54"/>
    <mergeCell ref="A26:A29"/>
    <mergeCell ref="A116:A119"/>
    <mergeCell ref="A121:A124"/>
    <mergeCell ref="A126:A129"/>
    <mergeCell ref="A131:A134"/>
    <mergeCell ref="A136:B136"/>
    <mergeCell ref="AU108:AX108"/>
    <mergeCell ref="C108:F108"/>
    <mergeCell ref="G108:J108"/>
    <mergeCell ref="K108:N108"/>
    <mergeCell ref="O108:R108"/>
    <mergeCell ref="S108:V108"/>
    <mergeCell ref="W108:Z108"/>
    <mergeCell ref="AA108:AD108"/>
    <mergeCell ref="AE108:AH108"/>
    <mergeCell ref="AI108:AL108"/>
    <mergeCell ref="AM108:AP108"/>
    <mergeCell ref="AQ108:AT108"/>
    <mergeCell ref="AI73:AL73"/>
    <mergeCell ref="AM73:AP73"/>
    <mergeCell ref="AQ73:AT73"/>
    <mergeCell ref="AU73:AX73"/>
    <mergeCell ref="A76:A79"/>
    <mergeCell ref="K73:N73"/>
    <mergeCell ref="O73:R73"/>
    <mergeCell ref="S73:V73"/>
    <mergeCell ref="W73:Z73"/>
    <mergeCell ref="AA73:AD73"/>
    <mergeCell ref="AE73:AH73"/>
    <mergeCell ref="A73:A74"/>
    <mergeCell ref="B73:B74"/>
    <mergeCell ref="C73:F73"/>
    <mergeCell ref="G73:J73"/>
    <mergeCell ref="AM38:AP38"/>
    <mergeCell ref="AQ38:AT38"/>
    <mergeCell ref="AU38:AX38"/>
    <mergeCell ref="A41:A44"/>
    <mergeCell ref="A46:A49"/>
    <mergeCell ref="O38:R38"/>
    <mergeCell ref="S38:V38"/>
    <mergeCell ref="W38:Z38"/>
    <mergeCell ref="AA38:AD38"/>
    <mergeCell ref="AE38:AH38"/>
    <mergeCell ref="AI38:AL38"/>
    <mergeCell ref="A38:A39"/>
    <mergeCell ref="B38:B39"/>
    <mergeCell ref="C38:F38"/>
    <mergeCell ref="G38:J38"/>
    <mergeCell ref="K38:N38"/>
    <mergeCell ref="AU3:AX3"/>
    <mergeCell ref="A6:A9"/>
    <mergeCell ref="A11:A14"/>
    <mergeCell ref="A16:A19"/>
    <mergeCell ref="AI3:AL3"/>
    <mergeCell ref="AM3:AP3"/>
    <mergeCell ref="AY3:BB3"/>
    <mergeCell ref="AY38:BB38"/>
    <mergeCell ref="AY73:BB73"/>
    <mergeCell ref="AY108:BB108"/>
    <mergeCell ref="A21:A24"/>
    <mergeCell ref="S3:V3"/>
    <mergeCell ref="W3:Z3"/>
    <mergeCell ref="AA3:AD3"/>
    <mergeCell ref="AE3:AH3"/>
    <mergeCell ref="A3:A4"/>
    <mergeCell ref="B3:B4"/>
    <mergeCell ref="C3:F3"/>
    <mergeCell ref="G3:J3"/>
    <mergeCell ref="K3:N3"/>
    <mergeCell ref="O3:R3"/>
    <mergeCell ref="AQ3:AT3"/>
  </mergeCells>
  <printOptions horizontalCentered="1" verticalCentered="1"/>
  <pageMargins left="0" right="0" top="0" bottom="0" header="0.31496062992125984" footer="0.31496062992125984"/>
  <pageSetup scale="61" pageOrder="overThenDown" orientation="landscape" r:id="rId1"/>
  <headerFooter alignWithMargins="0"/>
  <rowBreaks count="3" manualBreakCount="3">
    <brk id="34" max="49" man="1"/>
    <brk id="69" max="49" man="1"/>
    <brk id="104" max="49" man="1"/>
  </rowBreaks>
  <colBreaks count="1" manualBreakCount="1">
    <brk id="26" max="137" man="1"/>
  </colBreaks>
  <ignoredErrors>
    <ignoredError sqref="Z6:Z28 Z46:Z48 AL41:AL63 AL6:AL28 AL111:AL133" formulaRange="1"/>
    <ignoredError sqref="AX6:AX28 AT6:AT28 AX136" formula="1"/>
  </ignoredErrors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1:AI141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AH106" sqref="AH106"/>
    </sheetView>
  </sheetViews>
  <sheetFormatPr baseColWidth="10" defaultRowHeight="15" x14ac:dyDescent="0.25"/>
  <cols>
    <col min="1" max="1" width="16.85546875" style="1649" customWidth="1"/>
    <col min="2" max="2" width="13.140625" style="1649" customWidth="1"/>
    <col min="3" max="50" width="8.7109375" style="1649" customWidth="1"/>
    <col min="51" max="16384" width="11.42578125" style="1649"/>
  </cols>
  <sheetData>
    <row r="1" spans="1:35" ht="64.5" customHeight="1" x14ac:dyDescent="0.25">
      <c r="A1" s="6276" t="s">
        <v>776</v>
      </c>
      <c r="B1" s="6276"/>
      <c r="AI1" s="2833" t="s">
        <v>809</v>
      </c>
    </row>
    <row r="3" spans="1:35" x14ac:dyDescent="0.25">
      <c r="A3" s="5020" t="s">
        <v>16</v>
      </c>
      <c r="B3" s="5020" t="s">
        <v>4</v>
      </c>
      <c r="C3" s="6273">
        <v>2005</v>
      </c>
      <c r="D3" s="6274"/>
      <c r="E3" s="6275"/>
      <c r="F3" s="6273">
        <v>2006</v>
      </c>
      <c r="G3" s="6274"/>
      <c r="H3" s="6275"/>
      <c r="I3" s="6273">
        <v>2007</v>
      </c>
      <c r="J3" s="6274"/>
      <c r="K3" s="6275"/>
      <c r="L3" s="6273">
        <v>2008</v>
      </c>
      <c r="M3" s="6274"/>
      <c r="N3" s="6275"/>
      <c r="O3" s="6273">
        <v>2009</v>
      </c>
      <c r="P3" s="6274"/>
      <c r="Q3" s="6275"/>
      <c r="R3" s="6273">
        <v>2010</v>
      </c>
      <c r="S3" s="6274"/>
      <c r="T3" s="6275"/>
      <c r="U3" s="6273">
        <v>2011</v>
      </c>
      <c r="V3" s="6274"/>
      <c r="W3" s="6275"/>
      <c r="X3" s="6273">
        <v>2012</v>
      </c>
      <c r="Y3" s="6274"/>
      <c r="Z3" s="6275"/>
      <c r="AA3" s="6273">
        <v>2013</v>
      </c>
      <c r="AB3" s="6274"/>
      <c r="AC3" s="6275"/>
      <c r="AD3" s="6273">
        <v>2014</v>
      </c>
      <c r="AE3" s="6274"/>
      <c r="AF3" s="6275"/>
      <c r="AG3" s="6273">
        <v>2015</v>
      </c>
      <c r="AH3" s="6274"/>
      <c r="AI3" s="6275"/>
    </row>
    <row r="4" spans="1:35" x14ac:dyDescent="0.25">
      <c r="A4" s="5021"/>
      <c r="B4" s="5021"/>
      <c r="C4" s="1753" t="s">
        <v>654</v>
      </c>
      <c r="D4" s="1753" t="s">
        <v>655</v>
      </c>
      <c r="E4" s="1689" t="s">
        <v>12</v>
      </c>
      <c r="F4" s="1753" t="s">
        <v>654</v>
      </c>
      <c r="G4" s="1753" t="s">
        <v>655</v>
      </c>
      <c r="H4" s="1689" t="s">
        <v>12</v>
      </c>
      <c r="I4" s="1753" t="s">
        <v>654</v>
      </c>
      <c r="J4" s="1753" t="s">
        <v>655</v>
      </c>
      <c r="K4" s="1689" t="s">
        <v>12</v>
      </c>
      <c r="L4" s="1753" t="s">
        <v>654</v>
      </c>
      <c r="M4" s="1753" t="s">
        <v>655</v>
      </c>
      <c r="N4" s="1689" t="s">
        <v>12</v>
      </c>
      <c r="O4" s="1753" t="s">
        <v>654</v>
      </c>
      <c r="P4" s="1753" t="s">
        <v>655</v>
      </c>
      <c r="Q4" s="1689" t="s">
        <v>12</v>
      </c>
      <c r="R4" s="1753" t="s">
        <v>654</v>
      </c>
      <c r="S4" s="1753" t="s">
        <v>655</v>
      </c>
      <c r="T4" s="1689" t="s">
        <v>12</v>
      </c>
      <c r="U4" s="1753" t="s">
        <v>654</v>
      </c>
      <c r="V4" s="1753" t="s">
        <v>655</v>
      </c>
      <c r="W4" s="1689" t="s">
        <v>12</v>
      </c>
      <c r="X4" s="1753" t="s">
        <v>654</v>
      </c>
      <c r="Y4" s="1753" t="s">
        <v>655</v>
      </c>
      <c r="Z4" s="1689" t="s">
        <v>12</v>
      </c>
      <c r="AA4" s="1753" t="s">
        <v>654</v>
      </c>
      <c r="AB4" s="1753" t="s">
        <v>655</v>
      </c>
      <c r="AC4" s="1689" t="s">
        <v>12</v>
      </c>
      <c r="AD4" s="1753" t="s">
        <v>654</v>
      </c>
      <c r="AE4" s="1753" t="s">
        <v>655</v>
      </c>
      <c r="AF4" s="1689" t="s">
        <v>12</v>
      </c>
      <c r="AG4" s="1753" t="s">
        <v>654</v>
      </c>
      <c r="AH4" s="1753" t="s">
        <v>655</v>
      </c>
      <c r="AI4" s="1689" t="s">
        <v>12</v>
      </c>
    </row>
    <row r="5" spans="1:35" x14ac:dyDescent="0.25">
      <c r="A5" s="1690"/>
      <c r="B5" s="1690"/>
      <c r="C5" s="1690"/>
      <c r="D5" s="1690"/>
      <c r="E5" s="1690"/>
      <c r="F5" s="1690"/>
      <c r="G5" s="1690"/>
      <c r="H5" s="1690"/>
      <c r="I5" s="1690"/>
      <c r="J5" s="1690"/>
      <c r="K5" s="1690"/>
      <c r="L5" s="1690"/>
      <c r="M5" s="1690"/>
      <c r="N5" s="1690"/>
      <c r="O5" s="1690"/>
      <c r="P5" s="1690"/>
      <c r="Q5" s="1690"/>
    </row>
    <row r="6" spans="1:35" x14ac:dyDescent="0.25">
      <c r="A6" s="6285" t="s">
        <v>161</v>
      </c>
      <c r="B6" s="1691" t="s">
        <v>5</v>
      </c>
      <c r="C6" s="1692">
        <v>66</v>
      </c>
      <c r="D6" s="1693">
        <v>263</v>
      </c>
      <c r="E6" s="1694">
        <v>329</v>
      </c>
      <c r="F6" s="1693">
        <v>66</v>
      </c>
      <c r="G6" s="1693">
        <v>261</v>
      </c>
      <c r="H6" s="1693">
        <v>327</v>
      </c>
      <c r="I6" s="1692">
        <v>70</v>
      </c>
      <c r="J6" s="1693">
        <v>270</v>
      </c>
      <c r="K6" s="1694">
        <v>340</v>
      </c>
      <c r="L6" s="1695">
        <v>71</v>
      </c>
      <c r="M6" s="1696">
        <v>270</v>
      </c>
      <c r="N6" s="1697">
        <v>341</v>
      </c>
      <c r="O6" s="1695">
        <v>70</v>
      </c>
      <c r="P6" s="1696">
        <v>274</v>
      </c>
      <c r="Q6" s="1697">
        <v>344</v>
      </c>
      <c r="R6" s="1698">
        <v>73</v>
      </c>
      <c r="S6" s="1698">
        <v>269</v>
      </c>
      <c r="T6" s="1699">
        <f t="shared" ref="T6:T19" si="0">SUM(R6:S6)</f>
        <v>342</v>
      </c>
      <c r="U6" s="1698">
        <v>73</v>
      </c>
      <c r="V6" s="1698">
        <v>269</v>
      </c>
      <c r="W6" s="1699">
        <f t="shared" ref="W6:W19" si="1">SUM(U6:V6)</f>
        <v>342</v>
      </c>
      <c r="X6" s="1698">
        <v>76</v>
      </c>
      <c r="Y6" s="1698">
        <v>272</v>
      </c>
      <c r="Z6" s="1699">
        <f>SUM(X6:Y6)</f>
        <v>348</v>
      </c>
      <c r="AA6" s="1698">
        <v>77</v>
      </c>
      <c r="AB6" s="1698">
        <v>272</v>
      </c>
      <c r="AC6" s="1699">
        <f>SUM(AA6:AB6)</f>
        <v>349</v>
      </c>
      <c r="AD6" s="1698">
        <v>83</v>
      </c>
      <c r="AE6" s="1698">
        <v>274</v>
      </c>
      <c r="AF6" s="1699">
        <f>SUM(AD6:AE6)</f>
        <v>357</v>
      </c>
      <c r="AG6" s="1698">
        <v>81</v>
      </c>
      <c r="AH6" s="1698">
        <v>270</v>
      </c>
      <c r="AI6" s="1699">
        <f>SUM(AG6:AH6)</f>
        <v>351</v>
      </c>
    </row>
    <row r="7" spans="1:35" x14ac:dyDescent="0.25">
      <c r="A7" s="6286"/>
      <c r="B7" s="1700" t="s">
        <v>6</v>
      </c>
      <c r="C7" s="1701">
        <v>127</v>
      </c>
      <c r="D7" s="1702">
        <v>178</v>
      </c>
      <c r="E7" s="1703">
        <v>305</v>
      </c>
      <c r="F7" s="1702">
        <v>128</v>
      </c>
      <c r="G7" s="1702">
        <v>182</v>
      </c>
      <c r="H7" s="1702">
        <v>310</v>
      </c>
      <c r="I7" s="1701">
        <v>134</v>
      </c>
      <c r="J7" s="1702">
        <v>180</v>
      </c>
      <c r="K7" s="1703">
        <v>314</v>
      </c>
      <c r="L7" s="1704">
        <v>134</v>
      </c>
      <c r="M7" s="1705">
        <v>180</v>
      </c>
      <c r="N7" s="1706">
        <v>314</v>
      </c>
      <c r="O7" s="1704">
        <v>131</v>
      </c>
      <c r="P7" s="1705">
        <v>181</v>
      </c>
      <c r="Q7" s="1706">
        <v>312</v>
      </c>
      <c r="R7" s="1707">
        <v>129</v>
      </c>
      <c r="S7" s="1707">
        <v>179</v>
      </c>
      <c r="T7" s="1708">
        <f t="shared" si="0"/>
        <v>308</v>
      </c>
      <c r="U7" s="1707">
        <v>130</v>
      </c>
      <c r="V7" s="1707">
        <v>185</v>
      </c>
      <c r="W7" s="1708">
        <f t="shared" si="1"/>
        <v>315</v>
      </c>
      <c r="X7" s="1707">
        <v>132</v>
      </c>
      <c r="Y7" s="1707">
        <v>182</v>
      </c>
      <c r="Z7" s="1708">
        <f>SUM(X7:Y7)</f>
        <v>314</v>
      </c>
      <c r="AA7" s="1707">
        <v>137</v>
      </c>
      <c r="AB7" s="1707">
        <v>189</v>
      </c>
      <c r="AC7" s="1708">
        <f>SUM(AA7:AB7)</f>
        <v>326</v>
      </c>
      <c r="AD7" s="1707">
        <v>137</v>
      </c>
      <c r="AE7" s="1707">
        <v>188</v>
      </c>
      <c r="AF7" s="1708">
        <f>SUM(AD7:AE7)</f>
        <v>325</v>
      </c>
      <c r="AG7" s="1707">
        <v>133</v>
      </c>
      <c r="AH7" s="1707">
        <v>186</v>
      </c>
      <c r="AI7" s="1708">
        <f>SUM(AG7:AH7)</f>
        <v>319</v>
      </c>
    </row>
    <row r="8" spans="1:35" x14ac:dyDescent="0.25">
      <c r="A8" s="6286"/>
      <c r="B8" s="1700" t="s">
        <v>7</v>
      </c>
      <c r="C8" s="1701">
        <v>58</v>
      </c>
      <c r="D8" s="1702">
        <v>131</v>
      </c>
      <c r="E8" s="1703">
        <v>189</v>
      </c>
      <c r="F8" s="1702">
        <v>59</v>
      </c>
      <c r="G8" s="1702">
        <v>129</v>
      </c>
      <c r="H8" s="1702">
        <v>188</v>
      </c>
      <c r="I8" s="1701">
        <v>63</v>
      </c>
      <c r="J8" s="1702">
        <v>119</v>
      </c>
      <c r="K8" s="1703">
        <v>182</v>
      </c>
      <c r="L8" s="1704">
        <v>64</v>
      </c>
      <c r="M8" s="1705">
        <v>119</v>
      </c>
      <c r="N8" s="1706">
        <v>183</v>
      </c>
      <c r="O8" s="1704">
        <v>69</v>
      </c>
      <c r="P8" s="1705">
        <v>121</v>
      </c>
      <c r="Q8" s="1706">
        <v>190</v>
      </c>
      <c r="R8" s="1707">
        <v>74</v>
      </c>
      <c r="S8" s="1707">
        <v>125</v>
      </c>
      <c r="T8" s="1708">
        <f t="shared" si="0"/>
        <v>199</v>
      </c>
      <c r="U8" s="1707">
        <v>72</v>
      </c>
      <c r="V8" s="1707">
        <v>129</v>
      </c>
      <c r="W8" s="1708">
        <f t="shared" si="1"/>
        <v>201</v>
      </c>
      <c r="X8" s="1707">
        <v>76</v>
      </c>
      <c r="Y8" s="1707">
        <v>130</v>
      </c>
      <c r="Z8" s="1708">
        <f>SUM(X8:Y8)</f>
        <v>206</v>
      </c>
      <c r="AA8" s="1707">
        <v>78</v>
      </c>
      <c r="AB8" s="1707">
        <v>133</v>
      </c>
      <c r="AC8" s="1708">
        <f>SUM(AA8:AB8)</f>
        <v>211</v>
      </c>
      <c r="AD8" s="1707">
        <v>82</v>
      </c>
      <c r="AE8" s="1707">
        <v>139</v>
      </c>
      <c r="AF8" s="1708">
        <f>SUM(AD8:AE8)</f>
        <v>221</v>
      </c>
      <c r="AG8" s="1707">
        <v>79</v>
      </c>
      <c r="AH8" s="1707">
        <v>136</v>
      </c>
      <c r="AI8" s="1708">
        <f>SUM(AG8:AH8)</f>
        <v>215</v>
      </c>
    </row>
    <row r="9" spans="1:35" x14ac:dyDescent="0.25">
      <c r="A9" s="6287"/>
      <c r="B9" s="2752" t="s">
        <v>12</v>
      </c>
      <c r="C9" s="2753">
        <v>251</v>
      </c>
      <c r="D9" s="2754">
        <v>572</v>
      </c>
      <c r="E9" s="2755">
        <v>823</v>
      </c>
      <c r="F9" s="2754">
        <v>253</v>
      </c>
      <c r="G9" s="2754">
        <v>572</v>
      </c>
      <c r="H9" s="2754">
        <v>825</v>
      </c>
      <c r="I9" s="2753">
        <v>267</v>
      </c>
      <c r="J9" s="2754">
        <v>569</v>
      </c>
      <c r="K9" s="2755">
        <v>836</v>
      </c>
      <c r="L9" s="2756">
        <v>269</v>
      </c>
      <c r="M9" s="2757">
        <v>569</v>
      </c>
      <c r="N9" s="2758">
        <v>838</v>
      </c>
      <c r="O9" s="2756">
        <v>270</v>
      </c>
      <c r="P9" s="2757">
        <v>576</v>
      </c>
      <c r="Q9" s="2758">
        <v>846</v>
      </c>
      <c r="R9" s="2759">
        <f>SUM(R6:R8)</f>
        <v>276</v>
      </c>
      <c r="S9" s="2759">
        <f>SUM(S6:S8)</f>
        <v>573</v>
      </c>
      <c r="T9" s="2760">
        <f t="shared" si="0"/>
        <v>849</v>
      </c>
      <c r="U9" s="2759">
        <f>SUM(U6:U8)</f>
        <v>275</v>
      </c>
      <c r="V9" s="2759">
        <f>SUM(V6:V8)</f>
        <v>583</v>
      </c>
      <c r="W9" s="2760">
        <f t="shared" si="1"/>
        <v>858</v>
      </c>
      <c r="X9" s="2759">
        <f>SUM(X6:X8)</f>
        <v>284</v>
      </c>
      <c r="Y9" s="2759">
        <f>SUM(Y6:Y8)</f>
        <v>584</v>
      </c>
      <c r="Z9" s="2760">
        <f>SUM(X9:Y9)</f>
        <v>868</v>
      </c>
      <c r="AA9" s="2759">
        <f>SUM(AA6:AA8)</f>
        <v>292</v>
      </c>
      <c r="AB9" s="2759">
        <f>SUM(AB6:AB8)</f>
        <v>594</v>
      </c>
      <c r="AC9" s="2760">
        <f>SUM(AA9:AB9)</f>
        <v>886</v>
      </c>
      <c r="AD9" s="2759">
        <f>SUM(AD6:AD8)</f>
        <v>302</v>
      </c>
      <c r="AE9" s="2759">
        <f>SUM(AE6:AE8)</f>
        <v>601</v>
      </c>
      <c r="AF9" s="2760">
        <f>SUM(AD9:AE9)</f>
        <v>903</v>
      </c>
      <c r="AG9" s="2759">
        <f>SUM(AG6:AG8)</f>
        <v>293</v>
      </c>
      <c r="AH9" s="2759">
        <f>SUM(AH6:AH8)</f>
        <v>592</v>
      </c>
      <c r="AI9" s="2760">
        <f>SUM(AG9:AH9)</f>
        <v>885</v>
      </c>
    </row>
    <row r="11" spans="1:35" x14ac:dyDescent="0.25">
      <c r="A11" s="6282" t="s">
        <v>410</v>
      </c>
      <c r="B11" s="1691" t="s">
        <v>6</v>
      </c>
      <c r="C11" s="1692">
        <v>2</v>
      </c>
      <c r="D11" s="1693">
        <v>2</v>
      </c>
      <c r="E11" s="1694">
        <v>4</v>
      </c>
      <c r="F11" s="1693">
        <v>2</v>
      </c>
      <c r="G11" s="1693">
        <v>5</v>
      </c>
      <c r="H11" s="1693">
        <v>7</v>
      </c>
      <c r="I11" s="1692">
        <v>7</v>
      </c>
      <c r="J11" s="1693">
        <v>14</v>
      </c>
      <c r="K11" s="1694">
        <v>21</v>
      </c>
      <c r="L11" s="1695">
        <v>7</v>
      </c>
      <c r="M11" s="1696">
        <v>16</v>
      </c>
      <c r="N11" s="1697">
        <v>23</v>
      </c>
      <c r="O11" s="1695">
        <v>9</v>
      </c>
      <c r="P11" s="1696">
        <v>19</v>
      </c>
      <c r="Q11" s="1697">
        <v>28</v>
      </c>
      <c r="R11" s="1698">
        <v>17</v>
      </c>
      <c r="S11" s="1698">
        <v>21</v>
      </c>
      <c r="T11" s="1699">
        <f>SUM(R11:S11)</f>
        <v>38</v>
      </c>
      <c r="U11" s="1698">
        <v>21</v>
      </c>
      <c r="V11" s="1698">
        <v>24</v>
      </c>
      <c r="W11" s="1699">
        <f>SUM(U11:V11)</f>
        <v>45</v>
      </c>
      <c r="X11" s="1698">
        <v>19</v>
      </c>
      <c r="Y11" s="1698">
        <v>23</v>
      </c>
      <c r="Z11" s="1699">
        <f>SUM(X11:Y11)</f>
        <v>42</v>
      </c>
      <c r="AA11" s="1698">
        <v>21</v>
      </c>
      <c r="AB11" s="1698">
        <v>25</v>
      </c>
      <c r="AC11" s="1699">
        <f>SUM(AA11:AB11)</f>
        <v>46</v>
      </c>
      <c r="AD11" s="1698">
        <v>23</v>
      </c>
      <c r="AE11" s="1698">
        <v>26</v>
      </c>
      <c r="AF11" s="1699">
        <f>SUM(AD11:AE11)</f>
        <v>49</v>
      </c>
      <c r="AG11" s="1698">
        <v>22</v>
      </c>
      <c r="AH11" s="1698">
        <v>28</v>
      </c>
      <c r="AI11" s="1699">
        <f>SUM(AG11:AH11)</f>
        <v>50</v>
      </c>
    </row>
    <row r="12" spans="1:35" x14ac:dyDescent="0.25">
      <c r="A12" s="6283"/>
      <c r="B12" s="1700" t="s">
        <v>9</v>
      </c>
      <c r="C12" s="1701">
        <v>1</v>
      </c>
      <c r="D12" s="1702">
        <v>2</v>
      </c>
      <c r="E12" s="1703">
        <v>3</v>
      </c>
      <c r="F12" s="1702">
        <v>2</v>
      </c>
      <c r="G12" s="1702">
        <v>7</v>
      </c>
      <c r="H12" s="1702">
        <v>9</v>
      </c>
      <c r="I12" s="1701">
        <v>4</v>
      </c>
      <c r="J12" s="1702">
        <v>9</v>
      </c>
      <c r="K12" s="1703">
        <v>13</v>
      </c>
      <c r="L12" s="1704">
        <v>7</v>
      </c>
      <c r="M12" s="1705">
        <v>17</v>
      </c>
      <c r="N12" s="1706">
        <v>24</v>
      </c>
      <c r="O12" s="1704">
        <v>8</v>
      </c>
      <c r="P12" s="1705">
        <v>22</v>
      </c>
      <c r="Q12" s="1706">
        <v>30</v>
      </c>
      <c r="R12" s="1707">
        <v>13</v>
      </c>
      <c r="S12" s="1707">
        <v>25</v>
      </c>
      <c r="T12" s="1708">
        <f>SUM(R12:S12)</f>
        <v>38</v>
      </c>
      <c r="U12" s="1707">
        <v>15</v>
      </c>
      <c r="V12" s="1707">
        <v>26</v>
      </c>
      <c r="W12" s="1708">
        <f>SUM(U12:V12)</f>
        <v>41</v>
      </c>
      <c r="X12" s="1707">
        <v>17</v>
      </c>
      <c r="Y12" s="1707">
        <v>35</v>
      </c>
      <c r="Z12" s="1708">
        <f>SUM(X12:Y12)</f>
        <v>52</v>
      </c>
      <c r="AA12" s="1707">
        <v>15</v>
      </c>
      <c r="AB12" s="1707">
        <v>36</v>
      </c>
      <c r="AC12" s="1708">
        <f>SUM(AA12:AB12)</f>
        <v>51</v>
      </c>
      <c r="AD12" s="1707">
        <v>13</v>
      </c>
      <c r="AE12" s="1707">
        <v>39</v>
      </c>
      <c r="AF12" s="1708">
        <f>SUM(AD12:AE12)</f>
        <v>52</v>
      </c>
      <c r="AG12" s="1707">
        <v>13</v>
      </c>
      <c r="AH12" s="1707">
        <v>41</v>
      </c>
      <c r="AI12" s="1708">
        <f>SUM(AG12:AH12)</f>
        <v>54</v>
      </c>
    </row>
    <row r="13" spans="1:35" x14ac:dyDescent="0.25">
      <c r="A13" s="6283"/>
      <c r="B13" s="1700" t="s">
        <v>74</v>
      </c>
      <c r="C13" s="1701">
        <v>1</v>
      </c>
      <c r="D13" s="1702">
        <v>5</v>
      </c>
      <c r="E13" s="1703">
        <v>6</v>
      </c>
      <c r="F13" s="1702">
        <v>1</v>
      </c>
      <c r="G13" s="1702">
        <v>5</v>
      </c>
      <c r="H13" s="1702">
        <v>6</v>
      </c>
      <c r="I13" s="1701">
        <v>5</v>
      </c>
      <c r="J13" s="1702">
        <v>13</v>
      </c>
      <c r="K13" s="1703">
        <v>18</v>
      </c>
      <c r="L13" s="1704">
        <v>8</v>
      </c>
      <c r="M13" s="1705">
        <v>15</v>
      </c>
      <c r="N13" s="1706">
        <v>23</v>
      </c>
      <c r="O13" s="1704">
        <v>8</v>
      </c>
      <c r="P13" s="1705">
        <v>16</v>
      </c>
      <c r="Q13" s="1706">
        <v>24</v>
      </c>
      <c r="R13" s="1707">
        <v>9</v>
      </c>
      <c r="S13" s="1707">
        <v>18</v>
      </c>
      <c r="T13" s="1708">
        <f>SUM(R13:S13)</f>
        <v>27</v>
      </c>
      <c r="U13" s="1707">
        <v>10</v>
      </c>
      <c r="V13" s="1707">
        <v>23</v>
      </c>
      <c r="W13" s="1708">
        <f>SUM(U13:V13)</f>
        <v>33</v>
      </c>
      <c r="X13" s="1707">
        <v>13</v>
      </c>
      <c r="Y13" s="1707">
        <v>23</v>
      </c>
      <c r="Z13" s="1708">
        <f>SUM(X13:Y13)</f>
        <v>36</v>
      </c>
      <c r="AA13" s="1707">
        <v>14</v>
      </c>
      <c r="AB13" s="1707">
        <v>23</v>
      </c>
      <c r="AC13" s="1708">
        <f>SUM(AA13:AB13)</f>
        <v>37</v>
      </c>
      <c r="AD13" s="1707">
        <v>16</v>
      </c>
      <c r="AE13" s="1707">
        <v>26</v>
      </c>
      <c r="AF13" s="1708">
        <f>SUM(AD13:AE13)</f>
        <v>42</v>
      </c>
      <c r="AG13" s="1707">
        <v>17</v>
      </c>
      <c r="AH13" s="1707">
        <v>26</v>
      </c>
      <c r="AI13" s="1708">
        <f>SUM(AG13:AH13)</f>
        <v>43</v>
      </c>
    </row>
    <row r="14" spans="1:35" x14ac:dyDescent="0.25">
      <c r="A14" s="6284"/>
      <c r="B14" s="2761" t="s">
        <v>12</v>
      </c>
      <c r="C14" s="2762">
        <v>4</v>
      </c>
      <c r="D14" s="2763">
        <v>9</v>
      </c>
      <c r="E14" s="2764">
        <v>13</v>
      </c>
      <c r="F14" s="2763">
        <v>5</v>
      </c>
      <c r="G14" s="2763">
        <v>17</v>
      </c>
      <c r="H14" s="2763">
        <v>22</v>
      </c>
      <c r="I14" s="2762">
        <v>16</v>
      </c>
      <c r="J14" s="2763">
        <v>36</v>
      </c>
      <c r="K14" s="2764">
        <v>52</v>
      </c>
      <c r="L14" s="2765">
        <v>22</v>
      </c>
      <c r="M14" s="2766">
        <v>48</v>
      </c>
      <c r="N14" s="2767">
        <v>70</v>
      </c>
      <c r="O14" s="2765">
        <v>25</v>
      </c>
      <c r="P14" s="2766">
        <v>57</v>
      </c>
      <c r="Q14" s="2767">
        <v>82</v>
      </c>
      <c r="R14" s="2768">
        <f>SUM(R11:R13)</f>
        <v>39</v>
      </c>
      <c r="S14" s="2768">
        <f>SUM(S11:S13)</f>
        <v>64</v>
      </c>
      <c r="T14" s="2769">
        <f>SUM(R14:S14)</f>
        <v>103</v>
      </c>
      <c r="U14" s="2768">
        <f>SUM(U11:U13)</f>
        <v>46</v>
      </c>
      <c r="V14" s="2768">
        <f>SUM(V11:V13)</f>
        <v>73</v>
      </c>
      <c r="W14" s="2769">
        <f>SUM(U14:V14)</f>
        <v>119</v>
      </c>
      <c r="X14" s="2768">
        <f>SUM(X11:X13)</f>
        <v>49</v>
      </c>
      <c r="Y14" s="2768">
        <f>SUM(Y11:Y13)</f>
        <v>81</v>
      </c>
      <c r="Z14" s="2769">
        <f>SUM(X14:Y14)</f>
        <v>130</v>
      </c>
      <c r="AA14" s="2768">
        <f>SUM(AA11:AA13)</f>
        <v>50</v>
      </c>
      <c r="AB14" s="2768">
        <f>SUM(AB11:AB13)</f>
        <v>84</v>
      </c>
      <c r="AC14" s="2769">
        <f>SUM(AA14:AB14)</f>
        <v>134</v>
      </c>
      <c r="AD14" s="2768">
        <f>SUM(AD11:AD13)</f>
        <v>52</v>
      </c>
      <c r="AE14" s="2768">
        <f>SUM(AE11:AE13)</f>
        <v>91</v>
      </c>
      <c r="AF14" s="2769">
        <f>SUM(AD14:AE14)</f>
        <v>143</v>
      </c>
      <c r="AG14" s="2768">
        <f>SUM(AG11:AG13)</f>
        <v>52</v>
      </c>
      <c r="AH14" s="2768">
        <f>SUM(AH11:AH13)</f>
        <v>95</v>
      </c>
      <c r="AI14" s="2769">
        <f>SUM(AG14:AH14)</f>
        <v>147</v>
      </c>
    </row>
    <row r="16" spans="1:35" x14ac:dyDescent="0.25">
      <c r="A16" s="6288" t="s">
        <v>162</v>
      </c>
      <c r="B16" s="1691" t="s">
        <v>5</v>
      </c>
      <c r="C16" s="1692">
        <v>54</v>
      </c>
      <c r="D16" s="1693">
        <v>220</v>
      </c>
      <c r="E16" s="1694">
        <v>274</v>
      </c>
      <c r="F16" s="1693">
        <v>52</v>
      </c>
      <c r="G16" s="1693">
        <v>223</v>
      </c>
      <c r="H16" s="1693">
        <v>275</v>
      </c>
      <c r="I16" s="1692">
        <v>53</v>
      </c>
      <c r="J16" s="1693">
        <v>224</v>
      </c>
      <c r="K16" s="1694">
        <v>277</v>
      </c>
      <c r="L16" s="1695">
        <v>54</v>
      </c>
      <c r="M16" s="1696">
        <v>225</v>
      </c>
      <c r="N16" s="1697">
        <v>279</v>
      </c>
      <c r="O16" s="1695">
        <v>54</v>
      </c>
      <c r="P16" s="1696">
        <v>224</v>
      </c>
      <c r="Q16" s="1697">
        <v>278</v>
      </c>
      <c r="R16" s="1698">
        <v>56</v>
      </c>
      <c r="S16" s="1698">
        <v>220</v>
      </c>
      <c r="T16" s="1699">
        <f t="shared" si="0"/>
        <v>276</v>
      </c>
      <c r="U16" s="1698">
        <v>56</v>
      </c>
      <c r="V16" s="1698">
        <v>222</v>
      </c>
      <c r="W16" s="1699">
        <f t="shared" si="1"/>
        <v>278</v>
      </c>
      <c r="X16" s="1698">
        <v>55</v>
      </c>
      <c r="Y16" s="1698">
        <v>224</v>
      </c>
      <c r="Z16" s="1699">
        <f>SUM(X16:Y16)</f>
        <v>279</v>
      </c>
      <c r="AA16" s="1698">
        <v>56</v>
      </c>
      <c r="AB16" s="1698">
        <v>228</v>
      </c>
      <c r="AC16" s="1699">
        <f>SUM(AA16:AB16)</f>
        <v>284</v>
      </c>
      <c r="AD16" s="1698">
        <v>57</v>
      </c>
      <c r="AE16" s="1698">
        <v>229</v>
      </c>
      <c r="AF16" s="1699">
        <f>SUM(AD16:AE16)</f>
        <v>286</v>
      </c>
      <c r="AG16" s="1698">
        <v>58</v>
      </c>
      <c r="AH16" s="1698">
        <v>225</v>
      </c>
      <c r="AI16" s="1699">
        <f>SUM(AG16:AH16)</f>
        <v>283</v>
      </c>
    </row>
    <row r="17" spans="1:35" x14ac:dyDescent="0.25">
      <c r="A17" s="6289"/>
      <c r="B17" s="1700" t="s">
        <v>6</v>
      </c>
      <c r="C17" s="1701">
        <v>110</v>
      </c>
      <c r="D17" s="1702">
        <v>184</v>
      </c>
      <c r="E17" s="1703">
        <v>294</v>
      </c>
      <c r="F17" s="1702">
        <v>109</v>
      </c>
      <c r="G17" s="1702">
        <v>187</v>
      </c>
      <c r="H17" s="1702">
        <v>296</v>
      </c>
      <c r="I17" s="1701">
        <v>108</v>
      </c>
      <c r="J17" s="1702">
        <v>186</v>
      </c>
      <c r="K17" s="1703">
        <v>294</v>
      </c>
      <c r="L17" s="1704">
        <v>111</v>
      </c>
      <c r="M17" s="1705">
        <v>188</v>
      </c>
      <c r="N17" s="1706">
        <v>299</v>
      </c>
      <c r="O17" s="1704">
        <v>111</v>
      </c>
      <c r="P17" s="1705">
        <v>190</v>
      </c>
      <c r="Q17" s="1706">
        <v>301</v>
      </c>
      <c r="R17" s="1707">
        <v>113</v>
      </c>
      <c r="S17" s="1707">
        <v>194</v>
      </c>
      <c r="T17" s="1708">
        <f t="shared" si="0"/>
        <v>307</v>
      </c>
      <c r="U17" s="1707">
        <v>111</v>
      </c>
      <c r="V17" s="1707">
        <v>191</v>
      </c>
      <c r="W17" s="1708">
        <f t="shared" si="1"/>
        <v>302</v>
      </c>
      <c r="X17" s="1707">
        <v>111</v>
      </c>
      <c r="Y17" s="1707">
        <v>187</v>
      </c>
      <c r="Z17" s="1708">
        <f>SUM(X17:Y17)</f>
        <v>298</v>
      </c>
      <c r="AA17" s="1707">
        <v>114</v>
      </c>
      <c r="AB17" s="1707">
        <v>185</v>
      </c>
      <c r="AC17" s="1708">
        <f>SUM(AA17:AB17)</f>
        <v>299</v>
      </c>
      <c r="AD17" s="1707">
        <v>115</v>
      </c>
      <c r="AE17" s="1707">
        <v>188</v>
      </c>
      <c r="AF17" s="1708">
        <f>SUM(AD17:AE17)</f>
        <v>303</v>
      </c>
      <c r="AG17" s="1707">
        <v>115</v>
      </c>
      <c r="AH17" s="1707">
        <v>186</v>
      </c>
      <c r="AI17" s="1708">
        <f>SUM(AG17:AH17)</f>
        <v>301</v>
      </c>
    </row>
    <row r="18" spans="1:35" x14ac:dyDescent="0.25">
      <c r="A18" s="6289"/>
      <c r="B18" s="1700" t="s">
        <v>11</v>
      </c>
      <c r="C18" s="1701">
        <v>103</v>
      </c>
      <c r="D18" s="1702">
        <v>116</v>
      </c>
      <c r="E18" s="1703">
        <v>219</v>
      </c>
      <c r="F18" s="1702">
        <v>103</v>
      </c>
      <c r="G18" s="1702">
        <v>113</v>
      </c>
      <c r="H18" s="1702">
        <v>216</v>
      </c>
      <c r="I18" s="1701">
        <v>106</v>
      </c>
      <c r="J18" s="1702">
        <v>114</v>
      </c>
      <c r="K18" s="1703">
        <v>220</v>
      </c>
      <c r="L18" s="1704">
        <v>106</v>
      </c>
      <c r="M18" s="1705">
        <v>109</v>
      </c>
      <c r="N18" s="1706">
        <v>215</v>
      </c>
      <c r="O18" s="1704">
        <v>105</v>
      </c>
      <c r="P18" s="1705">
        <v>105</v>
      </c>
      <c r="Q18" s="1706">
        <v>210</v>
      </c>
      <c r="R18" s="1707">
        <v>103</v>
      </c>
      <c r="S18" s="1707">
        <v>103</v>
      </c>
      <c r="T18" s="1708">
        <f t="shared" si="0"/>
        <v>206</v>
      </c>
      <c r="U18" s="1707">
        <v>106</v>
      </c>
      <c r="V18" s="1707">
        <v>108</v>
      </c>
      <c r="W18" s="1708">
        <f t="shared" si="1"/>
        <v>214</v>
      </c>
      <c r="X18" s="1707">
        <v>103</v>
      </c>
      <c r="Y18" s="1707">
        <v>111</v>
      </c>
      <c r="Z18" s="1708">
        <f>SUM(X18:Y18)</f>
        <v>214</v>
      </c>
      <c r="AA18" s="1707">
        <v>109</v>
      </c>
      <c r="AB18" s="1707">
        <v>112</v>
      </c>
      <c r="AC18" s="1708">
        <f>SUM(AA18:AB18)</f>
        <v>221</v>
      </c>
      <c r="AD18" s="1707">
        <v>111</v>
      </c>
      <c r="AE18" s="1707">
        <v>117</v>
      </c>
      <c r="AF18" s="1708">
        <f>SUM(AD18:AE18)</f>
        <v>228</v>
      </c>
      <c r="AG18" s="1707">
        <v>109</v>
      </c>
      <c r="AH18" s="1707">
        <v>120</v>
      </c>
      <c r="AI18" s="1708">
        <f>SUM(AG18:AH18)</f>
        <v>229</v>
      </c>
    </row>
    <row r="19" spans="1:35" x14ac:dyDescent="0.25">
      <c r="A19" s="6290"/>
      <c r="B19" s="2770" t="s">
        <v>12</v>
      </c>
      <c r="C19" s="2771">
        <v>267</v>
      </c>
      <c r="D19" s="2772">
        <v>520</v>
      </c>
      <c r="E19" s="2773">
        <v>787</v>
      </c>
      <c r="F19" s="2772">
        <v>264</v>
      </c>
      <c r="G19" s="2772">
        <v>523</v>
      </c>
      <c r="H19" s="2772">
        <v>787</v>
      </c>
      <c r="I19" s="2771">
        <v>267</v>
      </c>
      <c r="J19" s="2772">
        <v>524</v>
      </c>
      <c r="K19" s="2773">
        <v>791</v>
      </c>
      <c r="L19" s="2774">
        <v>271</v>
      </c>
      <c r="M19" s="2775">
        <v>522</v>
      </c>
      <c r="N19" s="2776">
        <v>793</v>
      </c>
      <c r="O19" s="2774">
        <v>270</v>
      </c>
      <c r="P19" s="2775">
        <v>519</v>
      </c>
      <c r="Q19" s="2776">
        <v>789</v>
      </c>
      <c r="R19" s="2777">
        <f>SUM(R16:R18)</f>
        <v>272</v>
      </c>
      <c r="S19" s="2777">
        <f>SUM(S16:S18)</f>
        <v>517</v>
      </c>
      <c r="T19" s="2778">
        <f t="shared" si="0"/>
        <v>789</v>
      </c>
      <c r="U19" s="2777">
        <f>SUM(U16:U18)</f>
        <v>273</v>
      </c>
      <c r="V19" s="2777">
        <f>SUM(V16:V18)</f>
        <v>521</v>
      </c>
      <c r="W19" s="2778">
        <f t="shared" si="1"/>
        <v>794</v>
      </c>
      <c r="X19" s="2777">
        <f>SUM(X16:X18)</f>
        <v>269</v>
      </c>
      <c r="Y19" s="2777">
        <f>SUM(Y16:Y18)</f>
        <v>522</v>
      </c>
      <c r="Z19" s="2778">
        <f>SUM(X19:Y19)</f>
        <v>791</v>
      </c>
      <c r="AA19" s="2777">
        <f>SUM(AA16:AA18)</f>
        <v>279</v>
      </c>
      <c r="AB19" s="2777">
        <f>SUM(AB16:AB18)</f>
        <v>525</v>
      </c>
      <c r="AC19" s="2778">
        <f>SUM(AA19:AB19)</f>
        <v>804</v>
      </c>
      <c r="AD19" s="2777">
        <f>SUM(AD16:AD18)</f>
        <v>283</v>
      </c>
      <c r="AE19" s="2777">
        <f>SUM(AE16:AE18)</f>
        <v>534</v>
      </c>
      <c r="AF19" s="2778">
        <f>SUM(AD19:AE19)</f>
        <v>817</v>
      </c>
      <c r="AG19" s="2777">
        <f>SUM(AG16:AG18)</f>
        <v>282</v>
      </c>
      <c r="AH19" s="2777">
        <f>SUM(AH16:AH18)</f>
        <v>531</v>
      </c>
      <c r="AI19" s="2778">
        <f>SUM(AG19:AH19)</f>
        <v>813</v>
      </c>
    </row>
    <row r="21" spans="1:35" x14ac:dyDescent="0.25">
      <c r="A21" s="6279" t="s">
        <v>411</v>
      </c>
      <c r="B21" s="1691" t="s">
        <v>5</v>
      </c>
      <c r="C21" s="1692"/>
      <c r="D21" s="1693"/>
      <c r="E21" s="1694"/>
      <c r="F21" s="1693"/>
      <c r="G21" s="1693"/>
      <c r="H21" s="1693"/>
      <c r="I21" s="1692"/>
      <c r="J21" s="1693"/>
      <c r="K21" s="1694"/>
      <c r="L21" s="1695"/>
      <c r="M21" s="1696"/>
      <c r="N21" s="1697"/>
      <c r="O21" s="1695"/>
      <c r="P21" s="1696"/>
      <c r="Q21" s="1697"/>
      <c r="R21" s="1698"/>
      <c r="S21" s="1698">
        <v>3</v>
      </c>
      <c r="T21" s="1699">
        <f>SUM(R21:S21)</f>
        <v>3</v>
      </c>
      <c r="U21" s="1698"/>
      <c r="V21" s="1698">
        <v>4</v>
      </c>
      <c r="W21" s="1699">
        <f>SUM(U21:V21)</f>
        <v>4</v>
      </c>
      <c r="X21" s="1698">
        <v>1</v>
      </c>
      <c r="Y21" s="1698">
        <v>6</v>
      </c>
      <c r="Z21" s="1699">
        <f>SUM(X21:Y21)</f>
        <v>7</v>
      </c>
      <c r="AA21" s="1698">
        <v>1</v>
      </c>
      <c r="AB21" s="1698">
        <v>7</v>
      </c>
      <c r="AC21" s="1699">
        <f>SUM(AA21:AB21)</f>
        <v>8</v>
      </c>
      <c r="AD21" s="1698">
        <v>1</v>
      </c>
      <c r="AE21" s="1698">
        <v>9</v>
      </c>
      <c r="AF21" s="1699">
        <f>SUM(AD21:AE21)</f>
        <v>10</v>
      </c>
      <c r="AG21" s="1698">
        <v>2</v>
      </c>
      <c r="AH21" s="1698">
        <v>13</v>
      </c>
      <c r="AI21" s="1699">
        <f>SUM(AG21:AH21)</f>
        <v>15</v>
      </c>
    </row>
    <row r="22" spans="1:35" x14ac:dyDescent="0.25">
      <c r="A22" s="6280"/>
      <c r="B22" s="1700" t="s">
        <v>6</v>
      </c>
      <c r="C22" s="1701"/>
      <c r="D22" s="1702"/>
      <c r="E22" s="1703"/>
      <c r="F22" s="1702"/>
      <c r="G22" s="1702"/>
      <c r="H22" s="1702"/>
      <c r="I22" s="1701"/>
      <c r="J22" s="1702"/>
      <c r="K22" s="1703"/>
      <c r="L22" s="1704"/>
      <c r="M22" s="1705"/>
      <c r="N22" s="1706"/>
      <c r="O22" s="1704"/>
      <c r="P22" s="1705"/>
      <c r="Q22" s="1706"/>
      <c r="R22" s="1707">
        <v>1</v>
      </c>
      <c r="S22" s="1707">
        <v>1</v>
      </c>
      <c r="T22" s="1708">
        <f>SUM(R22:S22)</f>
        <v>2</v>
      </c>
      <c r="U22" s="1707">
        <v>1</v>
      </c>
      <c r="V22" s="1707">
        <v>2</v>
      </c>
      <c r="W22" s="1708">
        <f>SUM(U22:V22)</f>
        <v>3</v>
      </c>
      <c r="X22" s="1707">
        <v>3</v>
      </c>
      <c r="Y22" s="1707">
        <v>3</v>
      </c>
      <c r="Z22" s="1708">
        <f>SUM(X22:Y22)</f>
        <v>6</v>
      </c>
      <c r="AA22" s="1707">
        <v>3</v>
      </c>
      <c r="AB22" s="1707">
        <v>4</v>
      </c>
      <c r="AC22" s="1708">
        <f>SUM(AA22:AB22)</f>
        <v>7</v>
      </c>
      <c r="AD22" s="1707">
        <v>4</v>
      </c>
      <c r="AE22" s="1707">
        <v>9</v>
      </c>
      <c r="AF22" s="1708">
        <f>SUM(AD22:AE22)</f>
        <v>13</v>
      </c>
      <c r="AG22" s="1707">
        <v>5</v>
      </c>
      <c r="AH22" s="1707">
        <v>8</v>
      </c>
      <c r="AI22" s="1708">
        <f>SUM(AG22:AH22)</f>
        <v>13</v>
      </c>
    </row>
    <row r="23" spans="1:35" x14ac:dyDescent="0.25">
      <c r="A23" s="6280"/>
      <c r="B23" s="1700" t="s">
        <v>11</v>
      </c>
      <c r="C23" s="1701"/>
      <c r="D23" s="1702"/>
      <c r="E23" s="1703"/>
      <c r="F23" s="1702"/>
      <c r="G23" s="1702"/>
      <c r="H23" s="1702"/>
      <c r="I23" s="1701"/>
      <c r="J23" s="1702"/>
      <c r="K23" s="1703"/>
      <c r="L23" s="1704"/>
      <c r="M23" s="1705"/>
      <c r="N23" s="1706"/>
      <c r="O23" s="1704"/>
      <c r="P23" s="1705">
        <v>1</v>
      </c>
      <c r="Q23" s="1706">
        <v>1</v>
      </c>
      <c r="R23" s="1707">
        <v>1</v>
      </c>
      <c r="S23" s="1707">
        <v>4</v>
      </c>
      <c r="T23" s="1708">
        <f>SUM(R23:S23)</f>
        <v>5</v>
      </c>
      <c r="U23" s="1707">
        <v>1</v>
      </c>
      <c r="V23" s="1707">
        <v>5</v>
      </c>
      <c r="W23" s="1708">
        <f>SUM(U23:V23)</f>
        <v>6</v>
      </c>
      <c r="X23" s="1707">
        <v>2</v>
      </c>
      <c r="Y23" s="1707">
        <v>7</v>
      </c>
      <c r="Z23" s="1708">
        <f>SUM(X23:Y23)</f>
        <v>9</v>
      </c>
      <c r="AA23" s="1707">
        <v>3</v>
      </c>
      <c r="AB23" s="1707">
        <v>10</v>
      </c>
      <c r="AC23" s="1708">
        <f>SUM(AA23:AB23)</f>
        <v>13</v>
      </c>
      <c r="AD23" s="1707">
        <v>3</v>
      </c>
      <c r="AE23" s="1707">
        <v>10</v>
      </c>
      <c r="AF23" s="1708">
        <f>SUM(AD23:AE23)</f>
        <v>13</v>
      </c>
      <c r="AG23" s="1707">
        <v>5</v>
      </c>
      <c r="AH23" s="1707">
        <v>9</v>
      </c>
      <c r="AI23" s="1708">
        <f>SUM(AG23:AH23)</f>
        <v>14</v>
      </c>
    </row>
    <row r="24" spans="1:35" x14ac:dyDescent="0.25">
      <c r="A24" s="6281"/>
      <c r="B24" s="2779" t="s">
        <v>12</v>
      </c>
      <c r="C24" s="2780"/>
      <c r="D24" s="2781"/>
      <c r="E24" s="2782"/>
      <c r="F24" s="2781"/>
      <c r="G24" s="2781"/>
      <c r="H24" s="2781"/>
      <c r="I24" s="2780"/>
      <c r="J24" s="2781"/>
      <c r="K24" s="2782"/>
      <c r="L24" s="2783"/>
      <c r="M24" s="2784"/>
      <c r="N24" s="2785"/>
      <c r="O24" s="2783">
        <v>0</v>
      </c>
      <c r="P24" s="2784">
        <v>1</v>
      </c>
      <c r="Q24" s="2785">
        <v>1</v>
      </c>
      <c r="R24" s="2786">
        <f>SUM(R21:R23)</f>
        <v>2</v>
      </c>
      <c r="S24" s="2786">
        <f>SUM(S21:S23)</f>
        <v>8</v>
      </c>
      <c r="T24" s="2787">
        <f>SUM(R24:S24)</f>
        <v>10</v>
      </c>
      <c r="U24" s="2786">
        <f>SUM(U21:U23)</f>
        <v>2</v>
      </c>
      <c r="V24" s="2786">
        <f>SUM(V21:V23)</f>
        <v>11</v>
      </c>
      <c r="W24" s="2787">
        <f>SUM(U24:V24)</f>
        <v>13</v>
      </c>
      <c r="X24" s="2786">
        <f>SUM(X21:X23)</f>
        <v>6</v>
      </c>
      <c r="Y24" s="2786">
        <f>SUM(Y21:Y23)</f>
        <v>16</v>
      </c>
      <c r="Z24" s="2787">
        <f>SUM(X24:Y24)</f>
        <v>22</v>
      </c>
      <c r="AA24" s="2786">
        <f>SUM(AA21:AA23)</f>
        <v>7</v>
      </c>
      <c r="AB24" s="2786">
        <f>SUM(AB21:AB23)</f>
        <v>21</v>
      </c>
      <c r="AC24" s="2787">
        <f>SUM(AA24:AB24)</f>
        <v>28</v>
      </c>
      <c r="AD24" s="2786">
        <f>SUM(AD21:AD23)</f>
        <v>8</v>
      </c>
      <c r="AE24" s="2786">
        <f>SUM(AE21:AE23)</f>
        <v>28</v>
      </c>
      <c r="AF24" s="2787">
        <f>SUM(AD24:AE24)</f>
        <v>36</v>
      </c>
      <c r="AG24" s="2786">
        <f>SUM(AG21:AG23)</f>
        <v>12</v>
      </c>
      <c r="AH24" s="2786">
        <f>SUM(AH21:AH23)</f>
        <v>30</v>
      </c>
      <c r="AI24" s="2787">
        <f>SUM(AG24:AH24)</f>
        <v>42</v>
      </c>
    </row>
    <row r="25" spans="1:35" x14ac:dyDescent="0.25">
      <c r="A25" s="1709"/>
      <c r="B25" s="1709"/>
      <c r="C25" s="1709"/>
      <c r="D25" s="1709"/>
      <c r="E25" s="1709"/>
      <c r="F25" s="1709"/>
      <c r="G25" s="1709"/>
      <c r="H25" s="1709"/>
      <c r="I25" s="1709"/>
      <c r="J25" s="1709"/>
      <c r="K25" s="1709"/>
      <c r="L25" s="1709"/>
      <c r="M25" s="1709"/>
      <c r="N25" s="1709"/>
      <c r="O25" s="1709"/>
      <c r="P25" s="1709"/>
      <c r="Q25" s="1709"/>
      <c r="R25" s="1709"/>
      <c r="S25" s="1709"/>
      <c r="T25" s="1709"/>
      <c r="U25" s="1709"/>
      <c r="V25" s="1709"/>
      <c r="W25" s="1709"/>
      <c r="X25" s="1709"/>
      <c r="Y25" s="1709"/>
      <c r="Z25" s="1709"/>
      <c r="AA25" s="1709"/>
      <c r="AB25" s="1709"/>
      <c r="AC25" s="1709"/>
      <c r="AD25" s="1709"/>
      <c r="AE25" s="1709"/>
      <c r="AF25" s="1709"/>
      <c r="AG25" s="1709"/>
      <c r="AH25" s="1709"/>
      <c r="AI25" s="1709"/>
    </row>
    <row r="26" spans="1:35" x14ac:dyDescent="0.25">
      <c r="A26" s="6291" t="s">
        <v>163</v>
      </c>
      <c r="B26" s="1691" t="s">
        <v>6</v>
      </c>
      <c r="C26" s="1692">
        <v>160</v>
      </c>
      <c r="D26" s="1693">
        <v>187</v>
      </c>
      <c r="E26" s="1694">
        <v>347</v>
      </c>
      <c r="F26" s="1693">
        <v>159</v>
      </c>
      <c r="G26" s="1693">
        <v>181</v>
      </c>
      <c r="H26" s="1693">
        <v>340</v>
      </c>
      <c r="I26" s="1692">
        <v>155</v>
      </c>
      <c r="J26" s="1693">
        <v>171</v>
      </c>
      <c r="K26" s="1694">
        <v>326</v>
      </c>
      <c r="L26" s="1695">
        <v>160</v>
      </c>
      <c r="M26" s="1696">
        <v>175</v>
      </c>
      <c r="N26" s="1697">
        <v>335</v>
      </c>
      <c r="O26" s="1695">
        <v>161</v>
      </c>
      <c r="P26" s="1696">
        <v>183</v>
      </c>
      <c r="Q26" s="1697">
        <v>344</v>
      </c>
      <c r="R26" s="1698">
        <v>160</v>
      </c>
      <c r="S26" s="1698">
        <v>182</v>
      </c>
      <c r="T26" s="1699">
        <f>SUM(R26:S26)</f>
        <v>342</v>
      </c>
      <c r="U26" s="1698">
        <v>168</v>
      </c>
      <c r="V26" s="1698">
        <v>188</v>
      </c>
      <c r="W26" s="1699">
        <f>SUM(U26:V26)</f>
        <v>356</v>
      </c>
      <c r="X26" s="1698">
        <v>172</v>
      </c>
      <c r="Y26" s="1698">
        <v>191</v>
      </c>
      <c r="Z26" s="1699">
        <f>SUM(X26:Y26)</f>
        <v>363</v>
      </c>
      <c r="AA26" s="1698">
        <v>169</v>
      </c>
      <c r="AB26" s="1698">
        <v>194</v>
      </c>
      <c r="AC26" s="1699">
        <f>SUM(AA26:AB26)</f>
        <v>363</v>
      </c>
      <c r="AD26" s="1698">
        <v>170</v>
      </c>
      <c r="AE26" s="1698">
        <v>191</v>
      </c>
      <c r="AF26" s="1699">
        <f>SUM(AD26:AE26)</f>
        <v>361</v>
      </c>
      <c r="AG26" s="1698">
        <v>167</v>
      </c>
      <c r="AH26" s="1698">
        <v>191</v>
      </c>
      <c r="AI26" s="1699">
        <f>SUM(AG26:AH26)</f>
        <v>358</v>
      </c>
    </row>
    <row r="27" spans="1:35" x14ac:dyDescent="0.25">
      <c r="A27" s="6292"/>
      <c r="B27" s="1700" t="s">
        <v>11</v>
      </c>
      <c r="C27" s="1701">
        <v>172</v>
      </c>
      <c r="D27" s="1702">
        <v>186</v>
      </c>
      <c r="E27" s="1703">
        <v>358</v>
      </c>
      <c r="F27" s="1702">
        <v>173</v>
      </c>
      <c r="G27" s="1702">
        <v>182</v>
      </c>
      <c r="H27" s="1702">
        <v>355</v>
      </c>
      <c r="I27" s="1701">
        <v>171</v>
      </c>
      <c r="J27" s="1702">
        <v>180</v>
      </c>
      <c r="K27" s="1703">
        <v>351</v>
      </c>
      <c r="L27" s="1704">
        <v>173</v>
      </c>
      <c r="M27" s="1705">
        <v>173</v>
      </c>
      <c r="N27" s="1706">
        <v>346</v>
      </c>
      <c r="O27" s="1704">
        <v>171</v>
      </c>
      <c r="P27" s="1705">
        <v>165</v>
      </c>
      <c r="Q27" s="1706">
        <v>336</v>
      </c>
      <c r="R27" s="1707">
        <v>175</v>
      </c>
      <c r="S27" s="1707">
        <v>165</v>
      </c>
      <c r="T27" s="1708">
        <f>SUM(R27:S27)</f>
        <v>340</v>
      </c>
      <c r="U27" s="1707">
        <v>174</v>
      </c>
      <c r="V27" s="1707">
        <v>166</v>
      </c>
      <c r="W27" s="1708">
        <f>SUM(U27:V27)</f>
        <v>340</v>
      </c>
      <c r="X27" s="1707">
        <v>180</v>
      </c>
      <c r="Y27" s="1707">
        <v>168</v>
      </c>
      <c r="Z27" s="1708">
        <f>SUM(X27:Y27)</f>
        <v>348</v>
      </c>
      <c r="AA27" s="1707">
        <v>181</v>
      </c>
      <c r="AB27" s="1707">
        <v>168</v>
      </c>
      <c r="AC27" s="1708">
        <f>SUM(AA27:AB27)</f>
        <v>349</v>
      </c>
      <c r="AD27" s="1707">
        <v>182</v>
      </c>
      <c r="AE27" s="1707">
        <v>171</v>
      </c>
      <c r="AF27" s="1708">
        <f>SUM(AD27:AE27)</f>
        <v>353</v>
      </c>
      <c r="AG27" s="1707">
        <v>182</v>
      </c>
      <c r="AH27" s="1707">
        <v>173</v>
      </c>
      <c r="AI27" s="1708">
        <f>SUM(AG27:AH27)</f>
        <v>355</v>
      </c>
    </row>
    <row r="28" spans="1:35" x14ac:dyDescent="0.25">
      <c r="A28" s="6292"/>
      <c r="B28" s="1700" t="s">
        <v>7</v>
      </c>
      <c r="C28" s="1701">
        <v>30</v>
      </c>
      <c r="D28" s="1702">
        <v>109</v>
      </c>
      <c r="E28" s="1703">
        <v>139</v>
      </c>
      <c r="F28" s="1702">
        <v>31</v>
      </c>
      <c r="G28" s="1702">
        <v>108</v>
      </c>
      <c r="H28" s="1702">
        <v>139</v>
      </c>
      <c r="I28" s="1701">
        <v>30</v>
      </c>
      <c r="J28" s="1702">
        <v>109</v>
      </c>
      <c r="K28" s="1703">
        <v>139</v>
      </c>
      <c r="L28" s="1704">
        <v>29</v>
      </c>
      <c r="M28" s="1705">
        <v>109</v>
      </c>
      <c r="N28" s="1706">
        <v>138</v>
      </c>
      <c r="O28" s="1704">
        <v>32</v>
      </c>
      <c r="P28" s="1705">
        <v>108</v>
      </c>
      <c r="Q28" s="1706">
        <v>140</v>
      </c>
      <c r="R28" s="1707">
        <v>33</v>
      </c>
      <c r="S28" s="1707">
        <v>109</v>
      </c>
      <c r="T28" s="1708">
        <f>SUM(R28:S28)</f>
        <v>142</v>
      </c>
      <c r="U28" s="1707">
        <v>32</v>
      </c>
      <c r="V28" s="1707">
        <v>111</v>
      </c>
      <c r="W28" s="1708">
        <f>SUM(U28:V28)</f>
        <v>143</v>
      </c>
      <c r="X28" s="1707">
        <v>31</v>
      </c>
      <c r="Y28" s="1707">
        <v>110</v>
      </c>
      <c r="Z28" s="1708">
        <f>SUM(X28:Y28)</f>
        <v>141</v>
      </c>
      <c r="AA28" s="1707">
        <v>33</v>
      </c>
      <c r="AB28" s="1707">
        <v>108</v>
      </c>
      <c r="AC28" s="1708">
        <f>SUM(AA28:AB28)</f>
        <v>141</v>
      </c>
      <c r="AD28" s="1707">
        <v>35</v>
      </c>
      <c r="AE28" s="1707">
        <v>111</v>
      </c>
      <c r="AF28" s="1708">
        <f>SUM(AD28:AE28)</f>
        <v>146</v>
      </c>
      <c r="AG28" s="1707">
        <v>33</v>
      </c>
      <c r="AH28" s="1707">
        <v>110</v>
      </c>
      <c r="AI28" s="1708">
        <f>SUM(AG28:AH28)</f>
        <v>143</v>
      </c>
    </row>
    <row r="29" spans="1:35" x14ac:dyDescent="0.25">
      <c r="A29" s="6293"/>
      <c r="B29" s="2788" t="s">
        <v>12</v>
      </c>
      <c r="C29" s="2789">
        <v>362</v>
      </c>
      <c r="D29" s="2790">
        <v>482</v>
      </c>
      <c r="E29" s="2791">
        <v>844</v>
      </c>
      <c r="F29" s="2790">
        <v>363</v>
      </c>
      <c r="G29" s="2790">
        <v>471</v>
      </c>
      <c r="H29" s="2790">
        <v>834</v>
      </c>
      <c r="I29" s="2789">
        <v>356</v>
      </c>
      <c r="J29" s="2790">
        <v>460</v>
      </c>
      <c r="K29" s="2791">
        <v>816</v>
      </c>
      <c r="L29" s="2792">
        <v>362</v>
      </c>
      <c r="M29" s="2793">
        <v>457</v>
      </c>
      <c r="N29" s="2794">
        <v>819</v>
      </c>
      <c r="O29" s="2792">
        <v>364</v>
      </c>
      <c r="P29" s="2793">
        <v>456</v>
      </c>
      <c r="Q29" s="2794">
        <v>820</v>
      </c>
      <c r="R29" s="2795">
        <f>SUM(R26:R28)</f>
        <v>368</v>
      </c>
      <c r="S29" s="2795">
        <f>SUM(S26:S28)</f>
        <v>456</v>
      </c>
      <c r="T29" s="2796">
        <f>SUM(R29:S29)</f>
        <v>824</v>
      </c>
      <c r="U29" s="2795">
        <f>SUM(U26:U28)</f>
        <v>374</v>
      </c>
      <c r="V29" s="2795">
        <f>SUM(V26:V28)</f>
        <v>465</v>
      </c>
      <c r="W29" s="2796">
        <f>SUM(U29:V29)</f>
        <v>839</v>
      </c>
      <c r="X29" s="2795">
        <f>SUM(X26:X28)</f>
        <v>383</v>
      </c>
      <c r="Y29" s="2795">
        <f>SUM(Y26:Y28)</f>
        <v>469</v>
      </c>
      <c r="Z29" s="2796">
        <f>SUM(X29:Y29)</f>
        <v>852</v>
      </c>
      <c r="AA29" s="2795">
        <f>SUM(AA26:AA28)</f>
        <v>383</v>
      </c>
      <c r="AB29" s="2795">
        <f>SUM(AB26:AB28)</f>
        <v>470</v>
      </c>
      <c r="AC29" s="2796">
        <f>SUM(AA29:AB29)</f>
        <v>853</v>
      </c>
      <c r="AD29" s="2795">
        <f>SUM(AD26:AD28)</f>
        <v>387</v>
      </c>
      <c r="AE29" s="2795">
        <f>SUM(AE26:AE28)</f>
        <v>473</v>
      </c>
      <c r="AF29" s="2796">
        <f>SUM(AD29:AE29)</f>
        <v>860</v>
      </c>
      <c r="AG29" s="2795">
        <f>SUM(AG26:AG28)</f>
        <v>382</v>
      </c>
      <c r="AH29" s="2795">
        <f>SUM(AH26:AH28)</f>
        <v>474</v>
      </c>
      <c r="AI29" s="2796">
        <f>SUM(AG29:AH29)</f>
        <v>856</v>
      </c>
    </row>
    <row r="30" spans="1:35" x14ac:dyDescent="0.25">
      <c r="A30" s="1710"/>
      <c r="B30" s="1710"/>
      <c r="C30" s="1711"/>
      <c r="D30" s="1711"/>
      <c r="E30" s="1711"/>
      <c r="F30" s="1711"/>
      <c r="G30" s="1711"/>
      <c r="H30" s="1711"/>
      <c r="I30" s="1711"/>
      <c r="J30" s="1711"/>
      <c r="K30" s="1711"/>
      <c r="L30" s="1711"/>
      <c r="M30" s="1711"/>
      <c r="N30" s="1711"/>
      <c r="O30" s="1711"/>
      <c r="P30" s="1711"/>
      <c r="Q30" s="1711"/>
      <c r="R30" s="1712"/>
      <c r="S30" s="1712"/>
      <c r="T30" s="1712"/>
      <c r="U30" s="1712"/>
      <c r="V30" s="1712"/>
      <c r="W30" s="1712"/>
      <c r="X30" s="1712"/>
      <c r="Y30" s="1712"/>
      <c r="Z30" s="1712"/>
      <c r="AA30" s="1712"/>
      <c r="AB30" s="1712"/>
      <c r="AC30" s="1712"/>
      <c r="AD30" s="1712"/>
      <c r="AE30" s="1712"/>
      <c r="AF30" s="1712"/>
      <c r="AG30" s="1712"/>
      <c r="AH30" s="1712"/>
      <c r="AI30" s="1712"/>
    </row>
    <row r="31" spans="1:35" x14ac:dyDescent="0.25">
      <c r="A31" s="6294" t="s">
        <v>60</v>
      </c>
      <c r="B31" s="1713" t="s">
        <v>5</v>
      </c>
      <c r="C31" s="1695">
        <v>120</v>
      </c>
      <c r="D31" s="1696">
        <v>483</v>
      </c>
      <c r="E31" s="1696">
        <v>603</v>
      </c>
      <c r="F31" s="1695">
        <v>118</v>
      </c>
      <c r="G31" s="1696">
        <v>484</v>
      </c>
      <c r="H31" s="1697">
        <v>602</v>
      </c>
      <c r="I31" s="1696">
        <v>123</v>
      </c>
      <c r="J31" s="1696">
        <v>494</v>
      </c>
      <c r="K31" s="1696">
        <v>617</v>
      </c>
      <c r="L31" s="1695">
        <v>125</v>
      </c>
      <c r="M31" s="1696">
        <v>495</v>
      </c>
      <c r="N31" s="1697">
        <v>620</v>
      </c>
      <c r="O31" s="1696">
        <v>124</v>
      </c>
      <c r="P31" s="1696">
        <v>498</v>
      </c>
      <c r="Q31" s="1697">
        <v>622</v>
      </c>
      <c r="R31" s="1698">
        <f>SUM(R6,R16,R21)</f>
        <v>129</v>
      </c>
      <c r="S31" s="1698">
        <f>SUM(S6,S16,S21)</f>
        <v>492</v>
      </c>
      <c r="T31" s="1699">
        <f t="shared" ref="T31:T37" si="2">SUM(R31:S31)</f>
        <v>621</v>
      </c>
      <c r="U31" s="1698">
        <f>SUM(U6,U16,U21)</f>
        <v>129</v>
      </c>
      <c r="V31" s="1698">
        <f>SUM(V6,V16,V21)</f>
        <v>495</v>
      </c>
      <c r="W31" s="1699">
        <f t="shared" ref="W31:W37" si="3">SUM(U31:V31)</f>
        <v>624</v>
      </c>
      <c r="X31" s="1698">
        <f>SUM(X6,X16,X21)</f>
        <v>132</v>
      </c>
      <c r="Y31" s="1698">
        <f>SUM(Y6,Y16,Y21)</f>
        <v>502</v>
      </c>
      <c r="Z31" s="1699">
        <f t="shared" ref="Z31:Z37" si="4">SUM(X31:Y31)</f>
        <v>634</v>
      </c>
      <c r="AA31" s="1698">
        <f>SUM(AA6,AA16,AA21)</f>
        <v>134</v>
      </c>
      <c r="AB31" s="1698">
        <f>SUM(AB6,AB16,AB21)</f>
        <v>507</v>
      </c>
      <c r="AC31" s="1699">
        <f t="shared" ref="AC31:AC37" si="5">SUM(AA31:AB31)</f>
        <v>641</v>
      </c>
      <c r="AD31" s="1698">
        <f>SUM(AD6,AD16,AD21)</f>
        <v>141</v>
      </c>
      <c r="AE31" s="1698">
        <f>SUM(AE6,AE16,AE21)</f>
        <v>512</v>
      </c>
      <c r="AF31" s="1699">
        <f t="shared" ref="AF31:AF37" si="6">SUM(AD31:AE31)</f>
        <v>653</v>
      </c>
      <c r="AG31" s="1698">
        <f>SUM(AG6,AG16,AG21)</f>
        <v>141</v>
      </c>
      <c r="AH31" s="1698">
        <f>SUM(AH6,AH16,AH21)</f>
        <v>508</v>
      </c>
      <c r="AI31" s="1699">
        <f t="shared" ref="AI31:AI37" si="7">SUM(AG31:AH31)</f>
        <v>649</v>
      </c>
    </row>
    <row r="32" spans="1:35" x14ac:dyDescent="0.25">
      <c r="A32" s="6295"/>
      <c r="B32" s="1714" t="s">
        <v>6</v>
      </c>
      <c r="C32" s="1704">
        <v>399</v>
      </c>
      <c r="D32" s="1705">
        <v>551</v>
      </c>
      <c r="E32" s="1705">
        <v>950</v>
      </c>
      <c r="F32" s="1704">
        <v>398</v>
      </c>
      <c r="G32" s="1705">
        <v>555</v>
      </c>
      <c r="H32" s="1706">
        <v>953</v>
      </c>
      <c r="I32" s="1705">
        <v>404</v>
      </c>
      <c r="J32" s="1705">
        <v>551</v>
      </c>
      <c r="K32" s="1705">
        <v>955</v>
      </c>
      <c r="L32" s="1704">
        <v>412</v>
      </c>
      <c r="M32" s="1705">
        <v>559</v>
      </c>
      <c r="N32" s="1706">
        <v>971</v>
      </c>
      <c r="O32" s="1705">
        <v>412</v>
      </c>
      <c r="P32" s="1705">
        <v>573</v>
      </c>
      <c r="Q32" s="1706">
        <v>985</v>
      </c>
      <c r="R32" s="1707">
        <f>SUM(R7,R11,R17,R22,R26)</f>
        <v>420</v>
      </c>
      <c r="S32" s="1707">
        <f>SUM(S7,S11,S17,S22,S26)</f>
        <v>577</v>
      </c>
      <c r="T32" s="1708">
        <f t="shared" si="2"/>
        <v>997</v>
      </c>
      <c r="U32" s="1707">
        <f>SUM(U7,U11,U17,U22,U26)</f>
        <v>431</v>
      </c>
      <c r="V32" s="1707">
        <f>SUM(V7,V11,V17,V22,V26)</f>
        <v>590</v>
      </c>
      <c r="W32" s="1708">
        <f t="shared" si="3"/>
        <v>1021</v>
      </c>
      <c r="X32" s="1707">
        <f>SUM(X7,X11,X17,X22,X26)</f>
        <v>437</v>
      </c>
      <c r="Y32" s="1707">
        <f>SUM(Y7,Y11,Y17,Y22,Y26)</f>
        <v>586</v>
      </c>
      <c r="Z32" s="1708">
        <f t="shared" si="4"/>
        <v>1023</v>
      </c>
      <c r="AA32" s="1707">
        <f>SUM(AA7,AA11,AA17,AA22,AA26)</f>
        <v>444</v>
      </c>
      <c r="AB32" s="1707">
        <f>SUM(AB7,AB11,AB17,AB22,AB26)</f>
        <v>597</v>
      </c>
      <c r="AC32" s="1708">
        <f t="shared" si="5"/>
        <v>1041</v>
      </c>
      <c r="AD32" s="1707">
        <f>SUM(AD7,AD11,AD17,AD22,AD26)</f>
        <v>449</v>
      </c>
      <c r="AE32" s="1707">
        <f>SUM(AE7,AE11,AE17,AE22,AE26)</f>
        <v>602</v>
      </c>
      <c r="AF32" s="1708">
        <f t="shared" si="6"/>
        <v>1051</v>
      </c>
      <c r="AG32" s="1707">
        <f>SUM(AG7,AG11,AG17,AG22,AG26)</f>
        <v>442</v>
      </c>
      <c r="AH32" s="1707">
        <f>SUM(AH7,AH11,AH17,AH22,AH26)</f>
        <v>599</v>
      </c>
      <c r="AI32" s="1708">
        <f t="shared" si="7"/>
        <v>1041</v>
      </c>
    </row>
    <row r="33" spans="1:35" x14ac:dyDescent="0.25">
      <c r="A33" s="6295"/>
      <c r="B33" s="1714" t="s">
        <v>11</v>
      </c>
      <c r="C33" s="1704">
        <v>275</v>
      </c>
      <c r="D33" s="1705">
        <v>302</v>
      </c>
      <c r="E33" s="1705">
        <v>577</v>
      </c>
      <c r="F33" s="1704">
        <v>276</v>
      </c>
      <c r="G33" s="1705">
        <v>295</v>
      </c>
      <c r="H33" s="1706">
        <v>571</v>
      </c>
      <c r="I33" s="1705">
        <v>277</v>
      </c>
      <c r="J33" s="1705">
        <v>294</v>
      </c>
      <c r="K33" s="1705">
        <v>571</v>
      </c>
      <c r="L33" s="1704">
        <v>279</v>
      </c>
      <c r="M33" s="1705">
        <v>282</v>
      </c>
      <c r="N33" s="1706">
        <v>561</v>
      </c>
      <c r="O33" s="1705">
        <v>276</v>
      </c>
      <c r="P33" s="1705">
        <v>271</v>
      </c>
      <c r="Q33" s="1706">
        <v>547</v>
      </c>
      <c r="R33" s="1707">
        <f>SUM(R18,R23,R27)</f>
        <v>279</v>
      </c>
      <c r="S33" s="1707">
        <f>SUM(S18,S23,S27)</f>
        <v>272</v>
      </c>
      <c r="T33" s="1708">
        <f t="shared" si="2"/>
        <v>551</v>
      </c>
      <c r="U33" s="1707">
        <f>SUM(U18,U23,U27)</f>
        <v>281</v>
      </c>
      <c r="V33" s="1707">
        <f>SUM(V18,V23,V27)</f>
        <v>279</v>
      </c>
      <c r="W33" s="1708">
        <f t="shared" si="3"/>
        <v>560</v>
      </c>
      <c r="X33" s="1707">
        <f>SUM(X18,X23,X27)</f>
        <v>285</v>
      </c>
      <c r="Y33" s="1707">
        <f>SUM(Y18,Y23,Y27)</f>
        <v>286</v>
      </c>
      <c r="Z33" s="1708">
        <f t="shared" si="4"/>
        <v>571</v>
      </c>
      <c r="AA33" s="1707">
        <f>SUM(AA18,AA23,AA27)</f>
        <v>293</v>
      </c>
      <c r="AB33" s="1707">
        <f>SUM(AB18,AB23,AB27)</f>
        <v>290</v>
      </c>
      <c r="AC33" s="1708">
        <f t="shared" si="5"/>
        <v>583</v>
      </c>
      <c r="AD33" s="1707">
        <f>SUM(AD18,AD23,AD27)</f>
        <v>296</v>
      </c>
      <c r="AE33" s="1707">
        <f>SUM(AE18,AE23,AE27)</f>
        <v>298</v>
      </c>
      <c r="AF33" s="1708">
        <f t="shared" si="6"/>
        <v>594</v>
      </c>
      <c r="AG33" s="1707">
        <f>SUM(AG18,AG23,AG27)</f>
        <v>296</v>
      </c>
      <c r="AH33" s="1707">
        <f>SUM(AH18,AH23,AH27)</f>
        <v>302</v>
      </c>
      <c r="AI33" s="1708">
        <f t="shared" si="7"/>
        <v>598</v>
      </c>
    </row>
    <row r="34" spans="1:35" x14ac:dyDescent="0.25">
      <c r="A34" s="6295"/>
      <c r="B34" s="1714" t="s">
        <v>7</v>
      </c>
      <c r="C34" s="1704">
        <v>88</v>
      </c>
      <c r="D34" s="1705">
        <v>240</v>
      </c>
      <c r="E34" s="1705">
        <v>328</v>
      </c>
      <c r="F34" s="1704">
        <v>90</v>
      </c>
      <c r="G34" s="1705">
        <v>237</v>
      </c>
      <c r="H34" s="1706">
        <v>327</v>
      </c>
      <c r="I34" s="1705">
        <v>93</v>
      </c>
      <c r="J34" s="1705">
        <v>228</v>
      </c>
      <c r="K34" s="1705">
        <v>321</v>
      </c>
      <c r="L34" s="1704">
        <v>93</v>
      </c>
      <c r="M34" s="1705">
        <v>228</v>
      </c>
      <c r="N34" s="1706">
        <v>321</v>
      </c>
      <c r="O34" s="1705">
        <v>101</v>
      </c>
      <c r="P34" s="1705">
        <v>229</v>
      </c>
      <c r="Q34" s="1706">
        <v>330</v>
      </c>
      <c r="R34" s="1707">
        <f>SUM(R8,R28)</f>
        <v>107</v>
      </c>
      <c r="S34" s="1707">
        <f>SUM(S8,S28)</f>
        <v>234</v>
      </c>
      <c r="T34" s="1708">
        <f t="shared" si="2"/>
        <v>341</v>
      </c>
      <c r="U34" s="1707">
        <f>SUM(U8,U28)</f>
        <v>104</v>
      </c>
      <c r="V34" s="1707">
        <f>SUM(V8,V28)</f>
        <v>240</v>
      </c>
      <c r="W34" s="1708">
        <f t="shared" si="3"/>
        <v>344</v>
      </c>
      <c r="X34" s="1707">
        <f>SUM(X8,X28)</f>
        <v>107</v>
      </c>
      <c r="Y34" s="1707">
        <f>SUM(Y8,Y28)</f>
        <v>240</v>
      </c>
      <c r="Z34" s="1708">
        <f t="shared" si="4"/>
        <v>347</v>
      </c>
      <c r="AA34" s="1707">
        <f>SUM(AA8,AA28)</f>
        <v>111</v>
      </c>
      <c r="AB34" s="1707">
        <f>SUM(AB8,AB28)</f>
        <v>241</v>
      </c>
      <c r="AC34" s="1708">
        <f t="shared" si="5"/>
        <v>352</v>
      </c>
      <c r="AD34" s="1707">
        <f>SUM(AD8,AD28)</f>
        <v>117</v>
      </c>
      <c r="AE34" s="1707">
        <f>SUM(AE8,AE28)</f>
        <v>250</v>
      </c>
      <c r="AF34" s="1708">
        <f t="shared" si="6"/>
        <v>367</v>
      </c>
      <c r="AG34" s="1707">
        <f>SUM(AG8,AG28)</f>
        <v>112</v>
      </c>
      <c r="AH34" s="1707">
        <f>SUM(AH8,AH28)</f>
        <v>246</v>
      </c>
      <c r="AI34" s="1708">
        <f t="shared" si="7"/>
        <v>358</v>
      </c>
    </row>
    <row r="35" spans="1:35" x14ac:dyDescent="0.25">
      <c r="A35" s="6295"/>
      <c r="B35" s="1714" t="s">
        <v>9</v>
      </c>
      <c r="C35" s="1704">
        <v>1</v>
      </c>
      <c r="D35" s="1705">
        <v>2</v>
      </c>
      <c r="E35" s="1705">
        <v>3</v>
      </c>
      <c r="F35" s="1704">
        <v>2</v>
      </c>
      <c r="G35" s="1705">
        <v>7</v>
      </c>
      <c r="H35" s="1706">
        <v>9</v>
      </c>
      <c r="I35" s="1705">
        <v>4</v>
      </c>
      <c r="J35" s="1705">
        <v>9</v>
      </c>
      <c r="K35" s="1705">
        <v>13</v>
      </c>
      <c r="L35" s="1704">
        <v>7</v>
      </c>
      <c r="M35" s="1705">
        <v>17</v>
      </c>
      <c r="N35" s="1706">
        <v>24</v>
      </c>
      <c r="O35" s="1705">
        <v>8</v>
      </c>
      <c r="P35" s="1705">
        <v>22</v>
      </c>
      <c r="Q35" s="1706">
        <v>30</v>
      </c>
      <c r="R35" s="1707">
        <f>SUM(R12)</f>
        <v>13</v>
      </c>
      <c r="S35" s="1707">
        <f>SUM(S12)</f>
        <v>25</v>
      </c>
      <c r="T35" s="1708">
        <f t="shared" si="2"/>
        <v>38</v>
      </c>
      <c r="U35" s="1707">
        <f>SUM(U12)</f>
        <v>15</v>
      </c>
      <c r="V35" s="1707">
        <f>SUM(V12)</f>
        <v>26</v>
      </c>
      <c r="W35" s="1708">
        <f t="shared" si="3"/>
        <v>41</v>
      </c>
      <c r="X35" s="1707">
        <f>SUM(X12)</f>
        <v>17</v>
      </c>
      <c r="Y35" s="1707">
        <f>SUM(Y12)</f>
        <v>35</v>
      </c>
      <c r="Z35" s="1708">
        <f t="shared" si="4"/>
        <v>52</v>
      </c>
      <c r="AA35" s="1707">
        <f>SUM(AA12)</f>
        <v>15</v>
      </c>
      <c r="AB35" s="1707">
        <f>SUM(AB12)</f>
        <v>36</v>
      </c>
      <c r="AC35" s="1708">
        <f t="shared" si="5"/>
        <v>51</v>
      </c>
      <c r="AD35" s="1707">
        <f>SUM(AD12)</f>
        <v>13</v>
      </c>
      <c r="AE35" s="1707">
        <f>SUM(AE12)</f>
        <v>39</v>
      </c>
      <c r="AF35" s="1708">
        <f t="shared" si="6"/>
        <v>52</v>
      </c>
      <c r="AG35" s="1707">
        <f>SUM(AG12)</f>
        <v>13</v>
      </c>
      <c r="AH35" s="1707">
        <f>SUM(AH12)</f>
        <v>41</v>
      </c>
      <c r="AI35" s="1708">
        <f t="shared" si="7"/>
        <v>54</v>
      </c>
    </row>
    <row r="36" spans="1:35" x14ac:dyDescent="0.25">
      <c r="A36" s="6295"/>
      <c r="B36" s="1715" t="s">
        <v>74</v>
      </c>
      <c r="C36" s="1716">
        <v>1</v>
      </c>
      <c r="D36" s="1717">
        <v>5</v>
      </c>
      <c r="E36" s="1717">
        <v>6</v>
      </c>
      <c r="F36" s="1716">
        <v>1</v>
      </c>
      <c r="G36" s="1717">
        <v>5</v>
      </c>
      <c r="H36" s="1718">
        <v>6</v>
      </c>
      <c r="I36" s="1717">
        <v>5</v>
      </c>
      <c r="J36" s="1717">
        <v>13</v>
      </c>
      <c r="K36" s="1717">
        <v>18</v>
      </c>
      <c r="L36" s="1716">
        <v>8</v>
      </c>
      <c r="M36" s="1717">
        <v>15</v>
      </c>
      <c r="N36" s="1718">
        <v>23</v>
      </c>
      <c r="O36" s="1717">
        <v>8</v>
      </c>
      <c r="P36" s="1717">
        <v>16</v>
      </c>
      <c r="Q36" s="1718">
        <v>24</v>
      </c>
      <c r="R36" s="1719">
        <f>SUM(R13)</f>
        <v>9</v>
      </c>
      <c r="S36" s="1719">
        <f>SUM(S13)</f>
        <v>18</v>
      </c>
      <c r="T36" s="1720">
        <f t="shared" si="2"/>
        <v>27</v>
      </c>
      <c r="U36" s="1719">
        <f>SUM(U13)</f>
        <v>10</v>
      </c>
      <c r="V36" s="1719">
        <f>SUM(V13)</f>
        <v>23</v>
      </c>
      <c r="W36" s="1720">
        <f t="shared" si="3"/>
        <v>33</v>
      </c>
      <c r="X36" s="1719">
        <f>SUM(X13)</f>
        <v>13</v>
      </c>
      <c r="Y36" s="1719">
        <f>SUM(Y13)</f>
        <v>23</v>
      </c>
      <c r="Z36" s="1720">
        <f t="shared" si="4"/>
        <v>36</v>
      </c>
      <c r="AA36" s="1719">
        <f>SUM(AA13)</f>
        <v>14</v>
      </c>
      <c r="AB36" s="1719">
        <f>SUM(AB13)</f>
        <v>23</v>
      </c>
      <c r="AC36" s="1720">
        <f t="shared" si="5"/>
        <v>37</v>
      </c>
      <c r="AD36" s="1719">
        <f>SUM(AD13)</f>
        <v>16</v>
      </c>
      <c r="AE36" s="1719">
        <f>SUM(AE13)</f>
        <v>26</v>
      </c>
      <c r="AF36" s="1720">
        <f t="shared" si="6"/>
        <v>42</v>
      </c>
      <c r="AG36" s="1719">
        <f>SUM(AG13)</f>
        <v>17</v>
      </c>
      <c r="AH36" s="1719">
        <f>SUM(AH13)</f>
        <v>26</v>
      </c>
      <c r="AI36" s="1720">
        <f t="shared" si="7"/>
        <v>43</v>
      </c>
    </row>
    <row r="37" spans="1:35" x14ac:dyDescent="0.25">
      <c r="A37" s="6296"/>
      <c r="B37" s="1721" t="s">
        <v>12</v>
      </c>
      <c r="C37" s="1722">
        <v>884</v>
      </c>
      <c r="D37" s="1723">
        <v>1583</v>
      </c>
      <c r="E37" s="1724">
        <v>2467</v>
      </c>
      <c r="F37" s="1723">
        <v>885</v>
      </c>
      <c r="G37" s="1723">
        <v>1583</v>
      </c>
      <c r="H37" s="1723">
        <v>2468</v>
      </c>
      <c r="I37" s="1722">
        <v>906</v>
      </c>
      <c r="J37" s="1723">
        <v>1589</v>
      </c>
      <c r="K37" s="1724">
        <v>2495</v>
      </c>
      <c r="L37" s="1725">
        <v>924</v>
      </c>
      <c r="M37" s="1725">
        <v>1596</v>
      </c>
      <c r="N37" s="1725">
        <v>2520</v>
      </c>
      <c r="O37" s="1726">
        <v>929</v>
      </c>
      <c r="P37" s="1725">
        <v>1609</v>
      </c>
      <c r="Q37" s="1727">
        <v>2538</v>
      </c>
      <c r="R37" s="1728">
        <f>SUM(R31:R36)</f>
        <v>957</v>
      </c>
      <c r="S37" s="1728">
        <f>SUM(S31:S36)</f>
        <v>1618</v>
      </c>
      <c r="T37" s="1729">
        <f t="shared" si="2"/>
        <v>2575</v>
      </c>
      <c r="U37" s="1728">
        <f>SUM(U31:U36)</f>
        <v>970</v>
      </c>
      <c r="V37" s="1728">
        <f>SUM(V31:V36)</f>
        <v>1653</v>
      </c>
      <c r="W37" s="1729">
        <f t="shared" si="3"/>
        <v>2623</v>
      </c>
      <c r="X37" s="1728">
        <f>SUM(X31:X36)</f>
        <v>991</v>
      </c>
      <c r="Y37" s="1728">
        <f>SUM(Y31:Y36)</f>
        <v>1672</v>
      </c>
      <c r="Z37" s="1729">
        <f t="shared" si="4"/>
        <v>2663</v>
      </c>
      <c r="AA37" s="1728">
        <f>SUM(AA31:AA36)</f>
        <v>1011</v>
      </c>
      <c r="AB37" s="1728">
        <f>SUM(AB31:AB36)</f>
        <v>1694</v>
      </c>
      <c r="AC37" s="1729">
        <f t="shared" si="5"/>
        <v>2705</v>
      </c>
      <c r="AD37" s="1728">
        <f>SUM(AD31:AD36)</f>
        <v>1032</v>
      </c>
      <c r="AE37" s="1728">
        <f>SUM(AE31:AE36)</f>
        <v>1727</v>
      </c>
      <c r="AF37" s="1729">
        <f t="shared" si="6"/>
        <v>2759</v>
      </c>
      <c r="AG37" s="1728">
        <f>SUM(AG31:AG36)</f>
        <v>1021</v>
      </c>
      <c r="AH37" s="1728">
        <f>SUM(AH31:AH36)</f>
        <v>1722</v>
      </c>
      <c r="AI37" s="1729">
        <f t="shared" si="7"/>
        <v>2743</v>
      </c>
    </row>
    <row r="39" spans="1:35" ht="54" customHeight="1" x14ac:dyDescent="0.25">
      <c r="A39" s="6276" t="s">
        <v>777</v>
      </c>
      <c r="B39" s="6276"/>
      <c r="AF39" s="2833"/>
      <c r="AI39" s="2833" t="s">
        <v>810</v>
      </c>
    </row>
    <row r="41" spans="1:35" x14ac:dyDescent="0.25">
      <c r="A41" s="5020" t="s">
        <v>16</v>
      </c>
      <c r="B41" s="5020" t="s">
        <v>4</v>
      </c>
      <c r="C41" s="6273">
        <v>2005</v>
      </c>
      <c r="D41" s="6274"/>
      <c r="E41" s="6275"/>
      <c r="F41" s="6273">
        <v>2006</v>
      </c>
      <c r="G41" s="6274"/>
      <c r="H41" s="6275"/>
      <c r="I41" s="6273">
        <v>2007</v>
      </c>
      <c r="J41" s="6274"/>
      <c r="K41" s="6275"/>
      <c r="L41" s="6273">
        <v>2008</v>
      </c>
      <c r="M41" s="6274"/>
      <c r="N41" s="6275"/>
      <c r="O41" s="6273">
        <v>2009</v>
      </c>
      <c r="P41" s="6274"/>
      <c r="Q41" s="6275"/>
      <c r="R41" s="6273">
        <v>2010</v>
      </c>
      <c r="S41" s="6274"/>
      <c r="T41" s="6275"/>
      <c r="U41" s="6273">
        <v>2011</v>
      </c>
      <c r="V41" s="6274"/>
      <c r="W41" s="6275"/>
      <c r="X41" s="6273">
        <v>2012</v>
      </c>
      <c r="Y41" s="6274"/>
      <c r="Z41" s="6275"/>
      <c r="AA41" s="6273">
        <v>2013</v>
      </c>
      <c r="AB41" s="6274"/>
      <c r="AC41" s="6275"/>
      <c r="AD41" s="6273">
        <v>2014</v>
      </c>
      <c r="AE41" s="6274"/>
      <c r="AF41" s="6275"/>
      <c r="AG41" s="6273">
        <v>2015</v>
      </c>
      <c r="AH41" s="6274"/>
      <c r="AI41" s="6275"/>
    </row>
    <row r="42" spans="1:35" x14ac:dyDescent="0.25">
      <c r="A42" s="5021"/>
      <c r="B42" s="5021"/>
      <c r="C42" s="1753" t="s">
        <v>654</v>
      </c>
      <c r="D42" s="1753" t="s">
        <v>655</v>
      </c>
      <c r="E42" s="1689" t="s">
        <v>12</v>
      </c>
      <c r="F42" s="1753" t="s">
        <v>654</v>
      </c>
      <c r="G42" s="1753" t="s">
        <v>655</v>
      </c>
      <c r="H42" s="1689" t="s">
        <v>12</v>
      </c>
      <c r="I42" s="1753" t="s">
        <v>654</v>
      </c>
      <c r="J42" s="1753" t="s">
        <v>655</v>
      </c>
      <c r="K42" s="1689" t="s">
        <v>12</v>
      </c>
      <c r="L42" s="1753" t="s">
        <v>654</v>
      </c>
      <c r="M42" s="1753" t="s">
        <v>655</v>
      </c>
      <c r="N42" s="1689" t="s">
        <v>12</v>
      </c>
      <c r="O42" s="1753" t="s">
        <v>654</v>
      </c>
      <c r="P42" s="1753" t="s">
        <v>655</v>
      </c>
      <c r="Q42" s="1689" t="s">
        <v>12</v>
      </c>
      <c r="R42" s="1753" t="s">
        <v>654</v>
      </c>
      <c r="S42" s="1753" t="s">
        <v>655</v>
      </c>
      <c r="T42" s="1689" t="s">
        <v>12</v>
      </c>
      <c r="U42" s="1753" t="s">
        <v>654</v>
      </c>
      <c r="V42" s="1753" t="s">
        <v>655</v>
      </c>
      <c r="W42" s="1689" t="s">
        <v>12</v>
      </c>
      <c r="X42" s="1753" t="s">
        <v>654</v>
      </c>
      <c r="Y42" s="1753" t="s">
        <v>655</v>
      </c>
      <c r="Z42" s="1689" t="s">
        <v>12</v>
      </c>
      <c r="AA42" s="1753" t="s">
        <v>654</v>
      </c>
      <c r="AB42" s="1753" t="s">
        <v>655</v>
      </c>
      <c r="AC42" s="1689" t="s">
        <v>12</v>
      </c>
      <c r="AD42" s="1753" t="s">
        <v>654</v>
      </c>
      <c r="AE42" s="1753" t="s">
        <v>655</v>
      </c>
      <c r="AF42" s="1689" t="s">
        <v>12</v>
      </c>
      <c r="AG42" s="1753" t="s">
        <v>654</v>
      </c>
      <c r="AH42" s="1753" t="s">
        <v>655</v>
      </c>
      <c r="AI42" s="1689" t="s">
        <v>12</v>
      </c>
    </row>
    <row r="44" spans="1:35" x14ac:dyDescent="0.25">
      <c r="A44" s="6285" t="s">
        <v>161</v>
      </c>
      <c r="B44" s="1730" t="s">
        <v>5</v>
      </c>
      <c r="C44" s="1731">
        <v>5</v>
      </c>
      <c r="D44" s="1732">
        <v>26</v>
      </c>
      <c r="E44" s="1732">
        <f>SUM(C44:D44)</f>
        <v>31</v>
      </c>
      <c r="F44" s="1731">
        <v>5</v>
      </c>
      <c r="G44" s="1732">
        <v>29</v>
      </c>
      <c r="H44" s="1733">
        <f>SUM(F44:G44)</f>
        <v>34</v>
      </c>
      <c r="I44" s="1732">
        <v>5</v>
      </c>
      <c r="J44" s="1732">
        <v>28</v>
      </c>
      <c r="K44" s="1732">
        <f>SUM(I44:J44)</f>
        <v>33</v>
      </c>
      <c r="L44" s="1734">
        <v>7</v>
      </c>
      <c r="M44" s="1698">
        <v>23</v>
      </c>
      <c r="N44" s="1699">
        <f t="shared" ref="N44:N62" si="8">SUM(L44:M44)</f>
        <v>30</v>
      </c>
      <c r="O44" s="1698">
        <v>5</v>
      </c>
      <c r="P44" s="1698">
        <v>23</v>
      </c>
      <c r="Q44" s="1699">
        <f t="shared" ref="Q44:Q62" si="9">SUM(O44:P44)</f>
        <v>28</v>
      </c>
      <c r="R44" s="1698">
        <v>5</v>
      </c>
      <c r="S44" s="1698">
        <v>23</v>
      </c>
      <c r="T44" s="1699">
        <f t="shared" ref="T44:T62" si="10">SUM(R44:S44)</f>
        <v>28</v>
      </c>
      <c r="U44" s="1698">
        <v>4</v>
      </c>
      <c r="V44" s="1698">
        <v>20</v>
      </c>
      <c r="W44" s="1699">
        <f t="shared" ref="W44:W62" si="11">SUM(U44:V44)</f>
        <v>24</v>
      </c>
      <c r="X44" s="1698">
        <v>3</v>
      </c>
      <c r="Y44" s="1698">
        <v>19</v>
      </c>
      <c r="Z44" s="1699">
        <f>SUM(X44:Y44)</f>
        <v>22</v>
      </c>
      <c r="AA44" s="1698">
        <v>3</v>
      </c>
      <c r="AB44" s="1698">
        <v>18</v>
      </c>
      <c r="AC44" s="1699">
        <f>SUM(AA44:AB44)</f>
        <v>21</v>
      </c>
      <c r="AD44" s="1698">
        <v>4</v>
      </c>
      <c r="AE44" s="1698">
        <v>17</v>
      </c>
      <c r="AF44" s="1699">
        <f>SUM(AD44:AE44)</f>
        <v>21</v>
      </c>
      <c r="AG44" s="1698">
        <v>4</v>
      </c>
      <c r="AH44" s="1698">
        <v>14</v>
      </c>
      <c r="AI44" s="1699">
        <f>SUM(AG44:AH44)</f>
        <v>18</v>
      </c>
    </row>
    <row r="45" spans="1:35" x14ac:dyDescent="0.25">
      <c r="A45" s="6286"/>
      <c r="B45" s="1735" t="s">
        <v>6</v>
      </c>
      <c r="C45" s="1736">
        <v>6</v>
      </c>
      <c r="D45" s="1737">
        <v>34</v>
      </c>
      <c r="E45" s="1737">
        <f>SUM(C45:D45)</f>
        <v>40</v>
      </c>
      <c r="F45" s="1736">
        <v>9</v>
      </c>
      <c r="G45" s="1737">
        <v>37</v>
      </c>
      <c r="H45" s="1738">
        <f>SUM(F45:G45)</f>
        <v>46</v>
      </c>
      <c r="I45" s="1737">
        <v>9</v>
      </c>
      <c r="J45" s="1737">
        <v>37</v>
      </c>
      <c r="K45" s="1737">
        <f>SUM(I45:J45)</f>
        <v>46</v>
      </c>
      <c r="L45" s="1739">
        <v>11</v>
      </c>
      <c r="M45" s="1707">
        <v>35</v>
      </c>
      <c r="N45" s="1708">
        <f t="shared" si="8"/>
        <v>46</v>
      </c>
      <c r="O45" s="1707">
        <v>11</v>
      </c>
      <c r="P45" s="1707">
        <v>34</v>
      </c>
      <c r="Q45" s="1708">
        <f t="shared" si="9"/>
        <v>45</v>
      </c>
      <c r="R45" s="1707">
        <v>11</v>
      </c>
      <c r="S45" s="1707">
        <v>33</v>
      </c>
      <c r="T45" s="1708">
        <f t="shared" si="10"/>
        <v>44</v>
      </c>
      <c r="U45" s="1707">
        <v>10</v>
      </c>
      <c r="V45" s="1707">
        <v>32</v>
      </c>
      <c r="W45" s="1708">
        <f t="shared" si="11"/>
        <v>42</v>
      </c>
      <c r="X45" s="1707">
        <v>8</v>
      </c>
      <c r="Y45" s="1707">
        <v>31</v>
      </c>
      <c r="Z45" s="1708">
        <f>SUM(X45:Y45)</f>
        <v>39</v>
      </c>
      <c r="AA45" s="1707">
        <v>7</v>
      </c>
      <c r="AB45" s="1707">
        <v>30</v>
      </c>
      <c r="AC45" s="1708">
        <f>SUM(AA45:AB45)</f>
        <v>37</v>
      </c>
      <c r="AD45" s="1707">
        <v>7</v>
      </c>
      <c r="AE45" s="1707">
        <v>30</v>
      </c>
      <c r="AF45" s="1708">
        <f>SUM(AD45:AE45)</f>
        <v>37</v>
      </c>
      <c r="AG45" s="1707">
        <v>6</v>
      </c>
      <c r="AH45" s="1707">
        <v>27</v>
      </c>
      <c r="AI45" s="1708">
        <f>SUM(AG45:AH45)</f>
        <v>33</v>
      </c>
    </row>
    <row r="46" spans="1:35" x14ac:dyDescent="0.25">
      <c r="A46" s="6286"/>
      <c r="B46" s="1735" t="s">
        <v>7</v>
      </c>
      <c r="C46" s="1736">
        <v>15</v>
      </c>
      <c r="D46" s="1737">
        <v>20</v>
      </c>
      <c r="E46" s="1737">
        <f>SUM(C46:D46)</f>
        <v>35</v>
      </c>
      <c r="F46" s="1736">
        <v>13</v>
      </c>
      <c r="G46" s="1737">
        <v>19</v>
      </c>
      <c r="H46" s="1738">
        <f>SUM(F46:G46)</f>
        <v>32</v>
      </c>
      <c r="I46" s="1737">
        <v>14</v>
      </c>
      <c r="J46" s="1737">
        <v>18</v>
      </c>
      <c r="K46" s="1737">
        <f>SUM(I46:J46)</f>
        <v>32</v>
      </c>
      <c r="L46" s="1739">
        <v>15</v>
      </c>
      <c r="M46" s="1707">
        <v>16</v>
      </c>
      <c r="N46" s="1708">
        <f t="shared" si="8"/>
        <v>31</v>
      </c>
      <c r="O46" s="1707">
        <v>15</v>
      </c>
      <c r="P46" s="1707">
        <v>15</v>
      </c>
      <c r="Q46" s="1708">
        <f t="shared" si="9"/>
        <v>30</v>
      </c>
      <c r="R46" s="1707">
        <v>15</v>
      </c>
      <c r="S46" s="1707">
        <v>14</v>
      </c>
      <c r="T46" s="1708">
        <f t="shared" si="10"/>
        <v>29</v>
      </c>
      <c r="U46" s="1707">
        <v>16</v>
      </c>
      <c r="V46" s="1707">
        <v>13</v>
      </c>
      <c r="W46" s="1708">
        <f t="shared" si="11"/>
        <v>29</v>
      </c>
      <c r="X46" s="1707">
        <v>11</v>
      </c>
      <c r="Y46" s="1707">
        <v>13</v>
      </c>
      <c r="Z46" s="1708">
        <f>SUM(X46:Y46)</f>
        <v>24</v>
      </c>
      <c r="AA46" s="1707">
        <v>9</v>
      </c>
      <c r="AB46" s="1707">
        <v>12</v>
      </c>
      <c r="AC46" s="1708">
        <f>SUM(AA46:AB46)</f>
        <v>21</v>
      </c>
      <c r="AD46" s="1707">
        <v>10</v>
      </c>
      <c r="AE46" s="1707">
        <v>12</v>
      </c>
      <c r="AF46" s="1708">
        <f>SUM(AD46:AE46)</f>
        <v>22</v>
      </c>
      <c r="AG46" s="1707">
        <v>11</v>
      </c>
      <c r="AH46" s="1707">
        <v>12</v>
      </c>
      <c r="AI46" s="1708">
        <f>SUM(AG46:AH46)</f>
        <v>23</v>
      </c>
    </row>
    <row r="47" spans="1:35" x14ac:dyDescent="0.25">
      <c r="A47" s="6287"/>
      <c r="B47" s="2813" t="s">
        <v>12</v>
      </c>
      <c r="C47" s="2814">
        <f t="shared" ref="C47:M47" si="12">SUM(C44:C46)</f>
        <v>26</v>
      </c>
      <c r="D47" s="2815">
        <f t="shared" si="12"/>
        <v>80</v>
      </c>
      <c r="E47" s="2815">
        <f t="shared" si="12"/>
        <v>106</v>
      </c>
      <c r="F47" s="2814">
        <f t="shared" si="12"/>
        <v>27</v>
      </c>
      <c r="G47" s="2815">
        <f t="shared" si="12"/>
        <v>85</v>
      </c>
      <c r="H47" s="2816">
        <f t="shared" si="12"/>
        <v>112</v>
      </c>
      <c r="I47" s="2815">
        <f t="shared" si="12"/>
        <v>28</v>
      </c>
      <c r="J47" s="2815">
        <f t="shared" si="12"/>
        <v>83</v>
      </c>
      <c r="K47" s="2815">
        <f t="shared" si="12"/>
        <v>111</v>
      </c>
      <c r="L47" s="2817">
        <f t="shared" si="12"/>
        <v>33</v>
      </c>
      <c r="M47" s="2759">
        <f t="shared" si="12"/>
        <v>74</v>
      </c>
      <c r="N47" s="2760">
        <f t="shared" si="8"/>
        <v>107</v>
      </c>
      <c r="O47" s="2759">
        <f>SUM(O44:O46)</f>
        <v>31</v>
      </c>
      <c r="P47" s="2759">
        <f>SUM(P44:P46)</f>
        <v>72</v>
      </c>
      <c r="Q47" s="2760">
        <f t="shared" si="9"/>
        <v>103</v>
      </c>
      <c r="R47" s="2759">
        <f>SUM(R44:R46)</f>
        <v>31</v>
      </c>
      <c r="S47" s="2759">
        <f>SUM(S44:S46)</f>
        <v>70</v>
      </c>
      <c r="T47" s="2760">
        <f t="shared" si="10"/>
        <v>101</v>
      </c>
      <c r="U47" s="2759">
        <f>SUM(U44:U46)</f>
        <v>30</v>
      </c>
      <c r="V47" s="2759">
        <f>SUM(V44:V46)</f>
        <v>65</v>
      </c>
      <c r="W47" s="2760">
        <f t="shared" si="11"/>
        <v>95</v>
      </c>
      <c r="X47" s="2759">
        <f>SUM(X44:X46)</f>
        <v>22</v>
      </c>
      <c r="Y47" s="2759">
        <f>SUM(Y44:Y46)</f>
        <v>63</v>
      </c>
      <c r="Z47" s="2760">
        <f>SUM(X47:Y47)</f>
        <v>85</v>
      </c>
      <c r="AA47" s="2759">
        <f>SUM(AA44:AA46)</f>
        <v>19</v>
      </c>
      <c r="AB47" s="2759">
        <f>SUM(AB44:AB46)</f>
        <v>60</v>
      </c>
      <c r="AC47" s="2760">
        <f>SUM(AA47:AB47)</f>
        <v>79</v>
      </c>
      <c r="AD47" s="2759">
        <f>SUM(AD44:AD46)</f>
        <v>21</v>
      </c>
      <c r="AE47" s="2759">
        <f>SUM(AE44:AE46)</f>
        <v>59</v>
      </c>
      <c r="AF47" s="2760">
        <f>SUM(AD47:AE47)</f>
        <v>80</v>
      </c>
      <c r="AG47" s="2759">
        <f>SUM(AG44:AG46)</f>
        <v>21</v>
      </c>
      <c r="AH47" s="2759">
        <f>SUM(AH44:AH46)</f>
        <v>53</v>
      </c>
      <c r="AI47" s="2760">
        <f>SUM(AG47:AH47)</f>
        <v>74</v>
      </c>
    </row>
    <row r="49" spans="1:35" x14ac:dyDescent="0.25">
      <c r="A49" s="6282" t="s">
        <v>410</v>
      </c>
      <c r="B49" s="1730" t="s">
        <v>6</v>
      </c>
      <c r="C49" s="1731"/>
      <c r="D49" s="1732"/>
      <c r="E49" s="1732"/>
      <c r="F49" s="1731"/>
      <c r="G49" s="1732"/>
      <c r="H49" s="1733"/>
      <c r="I49" s="1732">
        <v>1</v>
      </c>
      <c r="J49" s="1732"/>
      <c r="K49" s="1732">
        <f>SUM(I49:J49)</f>
        <v>1</v>
      </c>
      <c r="L49" s="1734">
        <v>1</v>
      </c>
      <c r="M49" s="1698">
        <v>1</v>
      </c>
      <c r="N49" s="1699">
        <f>SUM(L49:M49)</f>
        <v>2</v>
      </c>
      <c r="O49" s="1698">
        <v>2</v>
      </c>
      <c r="P49" s="1698">
        <v>1</v>
      </c>
      <c r="Q49" s="1699">
        <f>SUM(O49:P49)</f>
        <v>3</v>
      </c>
      <c r="R49" s="1698">
        <v>2</v>
      </c>
      <c r="S49" s="1698">
        <v>1</v>
      </c>
      <c r="T49" s="1699">
        <f>SUM(R49:S49)</f>
        <v>3</v>
      </c>
      <c r="U49" s="1698">
        <v>2</v>
      </c>
      <c r="V49" s="1698">
        <v>1</v>
      </c>
      <c r="W49" s="1699">
        <f>SUM(U49:V49)</f>
        <v>3</v>
      </c>
      <c r="X49" s="1698">
        <v>1</v>
      </c>
      <c r="Y49" s="1698">
        <v>1</v>
      </c>
      <c r="Z49" s="1699">
        <f>SUM(X49:Y49)</f>
        <v>2</v>
      </c>
      <c r="AA49" s="1698">
        <v>1</v>
      </c>
      <c r="AB49" s="1698">
        <v>1</v>
      </c>
      <c r="AC49" s="1699">
        <f>SUM(AA49:AB49)</f>
        <v>2</v>
      </c>
      <c r="AD49" s="1698">
        <v>1</v>
      </c>
      <c r="AE49" s="1698">
        <v>1</v>
      </c>
      <c r="AF49" s="1699">
        <f>SUM(AD49:AE49)</f>
        <v>2</v>
      </c>
      <c r="AG49" s="1698">
        <v>1</v>
      </c>
      <c r="AH49" s="1698">
        <v>0</v>
      </c>
      <c r="AI49" s="1699">
        <f>SUM(AG49:AH49)</f>
        <v>1</v>
      </c>
    </row>
    <row r="50" spans="1:35" x14ac:dyDescent="0.25">
      <c r="A50" s="6283"/>
      <c r="B50" s="1735" t="s">
        <v>9</v>
      </c>
      <c r="C50" s="1736"/>
      <c r="D50" s="1737"/>
      <c r="E50" s="1737"/>
      <c r="F50" s="1736"/>
      <c r="G50" s="1737"/>
      <c r="H50" s="1738"/>
      <c r="I50" s="1737"/>
      <c r="J50" s="1737"/>
      <c r="K50" s="1737">
        <f>SUM(I50:J50)</f>
        <v>0</v>
      </c>
      <c r="L50" s="1739"/>
      <c r="M50" s="1707"/>
      <c r="N50" s="1708">
        <f>SUM(L50:M50)</f>
        <v>0</v>
      </c>
      <c r="O50" s="1707"/>
      <c r="P50" s="1707"/>
      <c r="Q50" s="1708">
        <f>SUM(O50:P50)</f>
        <v>0</v>
      </c>
      <c r="R50" s="1707"/>
      <c r="S50" s="1707"/>
      <c r="T50" s="1708">
        <f>SUM(R50:S50)</f>
        <v>0</v>
      </c>
      <c r="U50" s="1707"/>
      <c r="V50" s="1707"/>
      <c r="W50" s="1708">
        <f>SUM(U50:V50)</f>
        <v>0</v>
      </c>
      <c r="X50" s="1707"/>
      <c r="Y50" s="1707"/>
      <c r="Z50" s="1708">
        <f>SUM(X50:Y50)</f>
        <v>0</v>
      </c>
      <c r="AA50" s="1707"/>
      <c r="AB50" s="1707"/>
      <c r="AC50" s="1708">
        <f>SUM(AA50:AB50)</f>
        <v>0</v>
      </c>
      <c r="AD50" s="1707"/>
      <c r="AE50" s="1707"/>
      <c r="AF50" s="1708">
        <f>SUM(AD50:AE50)</f>
        <v>0</v>
      </c>
      <c r="AG50" s="1707"/>
      <c r="AH50" s="1707"/>
      <c r="AI50" s="1708">
        <f>SUM(AG50:AH50)</f>
        <v>0</v>
      </c>
    </row>
    <row r="51" spans="1:35" x14ac:dyDescent="0.25">
      <c r="A51" s="6283"/>
      <c r="B51" s="1735" t="s">
        <v>74</v>
      </c>
      <c r="C51" s="1736"/>
      <c r="D51" s="1737"/>
      <c r="E51" s="1737"/>
      <c r="F51" s="1736"/>
      <c r="G51" s="1737"/>
      <c r="H51" s="1738"/>
      <c r="I51" s="1737"/>
      <c r="J51" s="1737"/>
      <c r="K51" s="1737">
        <f>SUM(I51:J51)</f>
        <v>0</v>
      </c>
      <c r="L51" s="1739"/>
      <c r="M51" s="1707"/>
      <c r="N51" s="1708">
        <f>SUM(L51:M51)</f>
        <v>0</v>
      </c>
      <c r="O51" s="1707"/>
      <c r="P51" s="1707"/>
      <c r="Q51" s="1708">
        <f>SUM(O51:P51)</f>
        <v>0</v>
      </c>
      <c r="R51" s="1707"/>
      <c r="S51" s="1707"/>
      <c r="T51" s="1708">
        <f>SUM(R51:S51)</f>
        <v>0</v>
      </c>
      <c r="U51" s="1707"/>
      <c r="V51" s="1707"/>
      <c r="W51" s="1708">
        <f>SUM(U51:V51)</f>
        <v>0</v>
      </c>
      <c r="X51" s="1707"/>
      <c r="Y51" s="1707"/>
      <c r="Z51" s="1708">
        <f>SUM(X51:Y51)</f>
        <v>0</v>
      </c>
      <c r="AA51" s="1707">
        <v>1</v>
      </c>
      <c r="AB51" s="1707"/>
      <c r="AC51" s="1708">
        <f>SUM(AA51:AB51)</f>
        <v>1</v>
      </c>
      <c r="AD51" s="1707">
        <v>1</v>
      </c>
      <c r="AE51" s="1707"/>
      <c r="AF51" s="1708">
        <f>SUM(AD51:AE51)</f>
        <v>1</v>
      </c>
      <c r="AG51" s="1707">
        <v>1</v>
      </c>
      <c r="AH51" s="1707">
        <v>0</v>
      </c>
      <c r="AI51" s="1708">
        <f>SUM(AG51:AH51)</f>
        <v>1</v>
      </c>
    </row>
    <row r="52" spans="1:35" x14ac:dyDescent="0.25">
      <c r="A52" s="6284"/>
      <c r="B52" s="2808" t="s">
        <v>12</v>
      </c>
      <c r="C52" s="2809"/>
      <c r="D52" s="2810"/>
      <c r="E52" s="2810"/>
      <c r="F52" s="2809"/>
      <c r="G52" s="2810"/>
      <c r="H52" s="2811"/>
      <c r="I52" s="2810">
        <f>SUM(I49:I51)</f>
        <v>1</v>
      </c>
      <c r="J52" s="2810">
        <f>SUM(J49:J51)</f>
        <v>0</v>
      </c>
      <c r="K52" s="2810">
        <f>SUM(K49:K51)</f>
        <v>1</v>
      </c>
      <c r="L52" s="2812">
        <f>SUM(L49:L51)</f>
        <v>1</v>
      </c>
      <c r="M52" s="2768">
        <f>SUM(M49:M51)</f>
        <v>1</v>
      </c>
      <c r="N52" s="2769">
        <f>SUM(L52:M52)</f>
        <v>2</v>
      </c>
      <c r="O52" s="2768">
        <f>SUM(O49:O51)</f>
        <v>2</v>
      </c>
      <c r="P52" s="2768">
        <f>SUM(P49:P51)</f>
        <v>1</v>
      </c>
      <c r="Q52" s="2769">
        <f>SUM(O52:P52)</f>
        <v>3</v>
      </c>
      <c r="R52" s="2768">
        <f>SUM(R49:R51)</f>
        <v>2</v>
      </c>
      <c r="S52" s="2768">
        <f>SUM(S49:S51)</f>
        <v>1</v>
      </c>
      <c r="T52" s="2769">
        <f>SUM(R52:S52)</f>
        <v>3</v>
      </c>
      <c r="U52" s="2768">
        <f>SUM(U49:U51)</f>
        <v>2</v>
      </c>
      <c r="V52" s="2768">
        <f>SUM(V49:V51)</f>
        <v>1</v>
      </c>
      <c r="W52" s="2769">
        <f>SUM(U52:V52)</f>
        <v>3</v>
      </c>
      <c r="X52" s="2768">
        <f>SUM(X49:X51)</f>
        <v>1</v>
      </c>
      <c r="Y52" s="2768">
        <f>SUM(Y49:Y51)</f>
        <v>1</v>
      </c>
      <c r="Z52" s="2769">
        <f>SUM(X52:Y52)</f>
        <v>2</v>
      </c>
      <c r="AA52" s="2768">
        <f>SUM(AA49:AA51)</f>
        <v>2</v>
      </c>
      <c r="AB52" s="2768">
        <f>SUM(AB49:AB51)</f>
        <v>1</v>
      </c>
      <c r="AC52" s="2769">
        <f>SUM(AA52:AB52)</f>
        <v>3</v>
      </c>
      <c r="AD52" s="2768">
        <f>SUM(AD49:AD51)</f>
        <v>2</v>
      </c>
      <c r="AE52" s="2768">
        <f>SUM(AE49:AE51)</f>
        <v>1</v>
      </c>
      <c r="AF52" s="2769">
        <f>SUM(AD52:AE52)</f>
        <v>3</v>
      </c>
      <c r="AG52" s="2768">
        <f>SUM(AG49:AG51)</f>
        <v>2</v>
      </c>
      <c r="AH52" s="2768">
        <f>SUM(AH49:AH51)</f>
        <v>0</v>
      </c>
      <c r="AI52" s="2769">
        <f>SUM(AG52:AH52)</f>
        <v>2</v>
      </c>
    </row>
    <row r="54" spans="1:35" x14ac:dyDescent="0.25">
      <c r="A54" s="6288" t="s">
        <v>162</v>
      </c>
      <c r="B54" s="1730" t="s">
        <v>5</v>
      </c>
      <c r="C54" s="1731">
        <v>1</v>
      </c>
      <c r="D54" s="1732">
        <v>1</v>
      </c>
      <c r="E54" s="1732">
        <f>SUM(C54:D54)</f>
        <v>2</v>
      </c>
      <c r="F54" s="1731">
        <v>1</v>
      </c>
      <c r="G54" s="1732">
        <v>1</v>
      </c>
      <c r="H54" s="1733">
        <f>SUM(F54:G54)</f>
        <v>2</v>
      </c>
      <c r="I54" s="1732">
        <v>1</v>
      </c>
      <c r="J54" s="1732">
        <v>1</v>
      </c>
      <c r="K54" s="1732">
        <f>SUM(I54:J54)</f>
        <v>2</v>
      </c>
      <c r="L54" s="1734">
        <v>1</v>
      </c>
      <c r="M54" s="1698">
        <v>1</v>
      </c>
      <c r="N54" s="1699">
        <f t="shared" si="8"/>
        <v>2</v>
      </c>
      <c r="O54" s="1698">
        <v>1</v>
      </c>
      <c r="P54" s="1698"/>
      <c r="Q54" s="1699">
        <f t="shared" si="9"/>
        <v>1</v>
      </c>
      <c r="R54" s="1698">
        <v>1</v>
      </c>
      <c r="S54" s="1698"/>
      <c r="T54" s="1699">
        <f t="shared" si="10"/>
        <v>1</v>
      </c>
      <c r="U54" s="1698">
        <v>1</v>
      </c>
      <c r="V54" s="1698"/>
      <c r="W54" s="1699">
        <f t="shared" si="11"/>
        <v>1</v>
      </c>
      <c r="X54" s="1698">
        <v>1</v>
      </c>
      <c r="Y54" s="1698">
        <v>0</v>
      </c>
      <c r="Z54" s="1699">
        <f>SUM(X54:Y54)</f>
        <v>1</v>
      </c>
      <c r="AA54" s="1698">
        <v>1</v>
      </c>
      <c r="AB54" s="1698"/>
      <c r="AC54" s="1699">
        <f>SUM(AA54:AB54)</f>
        <v>1</v>
      </c>
      <c r="AD54" s="1698">
        <v>1</v>
      </c>
      <c r="AE54" s="1698"/>
      <c r="AF54" s="1699">
        <f>SUM(AD54:AE54)</f>
        <v>1</v>
      </c>
      <c r="AG54" s="1698">
        <v>1</v>
      </c>
      <c r="AH54" s="1698">
        <v>0</v>
      </c>
      <c r="AI54" s="1699">
        <f>SUM(AG54:AH54)</f>
        <v>1</v>
      </c>
    </row>
    <row r="55" spans="1:35" x14ac:dyDescent="0.25">
      <c r="A55" s="6289"/>
      <c r="B55" s="1735" t="s">
        <v>6</v>
      </c>
      <c r="C55" s="1736">
        <v>5</v>
      </c>
      <c r="D55" s="1737">
        <v>9</v>
      </c>
      <c r="E55" s="1737">
        <f>SUM(C55:D55)</f>
        <v>14</v>
      </c>
      <c r="F55" s="1736">
        <v>5</v>
      </c>
      <c r="G55" s="1737">
        <v>10</v>
      </c>
      <c r="H55" s="1738">
        <f>SUM(F55:G55)</f>
        <v>15</v>
      </c>
      <c r="I55" s="1737">
        <v>4</v>
      </c>
      <c r="J55" s="1737">
        <v>10</v>
      </c>
      <c r="K55" s="1737">
        <f>SUM(I55:J55)</f>
        <v>14</v>
      </c>
      <c r="L55" s="1739">
        <v>1</v>
      </c>
      <c r="M55" s="1707">
        <v>10</v>
      </c>
      <c r="N55" s="1708">
        <f t="shared" si="8"/>
        <v>11</v>
      </c>
      <c r="O55" s="1707">
        <v>1</v>
      </c>
      <c r="P55" s="1707">
        <v>11</v>
      </c>
      <c r="Q55" s="1708">
        <f t="shared" si="9"/>
        <v>12</v>
      </c>
      <c r="R55" s="1707">
        <v>1</v>
      </c>
      <c r="S55" s="1707">
        <v>13</v>
      </c>
      <c r="T55" s="1708">
        <f t="shared" si="10"/>
        <v>14</v>
      </c>
      <c r="U55" s="1707">
        <v>1</v>
      </c>
      <c r="V55" s="1707">
        <v>7</v>
      </c>
      <c r="W55" s="1708">
        <f t="shared" si="11"/>
        <v>8</v>
      </c>
      <c r="X55" s="1707">
        <v>1</v>
      </c>
      <c r="Y55" s="1707">
        <v>13</v>
      </c>
      <c r="Z55" s="1708">
        <f>SUM(X55:Y55)</f>
        <v>14</v>
      </c>
      <c r="AA55" s="1707">
        <v>2</v>
      </c>
      <c r="AB55" s="1707">
        <v>13</v>
      </c>
      <c r="AC55" s="1708">
        <f>SUM(AA55:AB55)</f>
        <v>15</v>
      </c>
      <c r="AD55" s="1707">
        <v>2</v>
      </c>
      <c r="AE55" s="1707">
        <v>9</v>
      </c>
      <c r="AF55" s="1708">
        <f>SUM(AD55:AE55)</f>
        <v>11</v>
      </c>
      <c r="AG55" s="1707">
        <v>2</v>
      </c>
      <c r="AH55" s="1707">
        <v>8</v>
      </c>
      <c r="AI55" s="1708">
        <f>SUM(AG55:AH55)</f>
        <v>10</v>
      </c>
    </row>
    <row r="56" spans="1:35" x14ac:dyDescent="0.25">
      <c r="A56" s="6289"/>
      <c r="B56" s="1735" t="s">
        <v>11</v>
      </c>
      <c r="C56" s="1736"/>
      <c r="D56" s="1737">
        <v>5</v>
      </c>
      <c r="E56" s="1737">
        <f>SUM(C56:D56)</f>
        <v>5</v>
      </c>
      <c r="F56" s="1736"/>
      <c r="G56" s="1737">
        <v>6</v>
      </c>
      <c r="H56" s="1738">
        <f>SUM(F56:G56)</f>
        <v>6</v>
      </c>
      <c r="I56" s="1737">
        <v>1</v>
      </c>
      <c r="J56" s="1737">
        <v>6</v>
      </c>
      <c r="K56" s="1737">
        <f>SUM(I56:J56)</f>
        <v>7</v>
      </c>
      <c r="L56" s="1739">
        <v>1</v>
      </c>
      <c r="M56" s="1707">
        <v>6</v>
      </c>
      <c r="N56" s="1708">
        <f t="shared" si="8"/>
        <v>7</v>
      </c>
      <c r="O56" s="1707">
        <v>1</v>
      </c>
      <c r="P56" s="1707">
        <v>8</v>
      </c>
      <c r="Q56" s="1708">
        <f t="shared" si="9"/>
        <v>9</v>
      </c>
      <c r="R56" s="1707">
        <v>1</v>
      </c>
      <c r="S56" s="1707">
        <v>7</v>
      </c>
      <c r="T56" s="1708">
        <f t="shared" si="10"/>
        <v>8</v>
      </c>
      <c r="U56" s="1707">
        <v>1</v>
      </c>
      <c r="V56" s="1707">
        <v>13</v>
      </c>
      <c r="W56" s="1708">
        <f t="shared" si="11"/>
        <v>14</v>
      </c>
      <c r="X56" s="1707">
        <v>1</v>
      </c>
      <c r="Y56" s="1707">
        <v>7</v>
      </c>
      <c r="Z56" s="1708">
        <f>SUM(X56:Y56)</f>
        <v>8</v>
      </c>
      <c r="AA56" s="1707">
        <v>1</v>
      </c>
      <c r="AB56" s="1707">
        <v>6</v>
      </c>
      <c r="AC56" s="1708">
        <f>SUM(AA56:AB56)</f>
        <v>7</v>
      </c>
      <c r="AD56" s="1707">
        <v>1</v>
      </c>
      <c r="AE56" s="1707">
        <v>6</v>
      </c>
      <c r="AF56" s="1708">
        <f>SUM(AD56:AE56)</f>
        <v>7</v>
      </c>
      <c r="AG56" s="1707">
        <v>1</v>
      </c>
      <c r="AH56" s="1707">
        <v>6</v>
      </c>
      <c r="AI56" s="1708">
        <f>SUM(AG56:AH56)</f>
        <v>7</v>
      </c>
    </row>
    <row r="57" spans="1:35" x14ac:dyDescent="0.25">
      <c r="A57" s="6290"/>
      <c r="B57" s="2797" t="s">
        <v>12</v>
      </c>
      <c r="C57" s="2798">
        <f t="shared" ref="C57:M57" si="13">SUM(C54:C56)</f>
        <v>6</v>
      </c>
      <c r="D57" s="2799">
        <f t="shared" si="13"/>
        <v>15</v>
      </c>
      <c r="E57" s="2799">
        <f t="shared" si="13"/>
        <v>21</v>
      </c>
      <c r="F57" s="2798">
        <f t="shared" si="13"/>
        <v>6</v>
      </c>
      <c r="G57" s="2799">
        <f t="shared" si="13"/>
        <v>17</v>
      </c>
      <c r="H57" s="2800">
        <f t="shared" si="13"/>
        <v>23</v>
      </c>
      <c r="I57" s="2799">
        <f t="shared" si="13"/>
        <v>6</v>
      </c>
      <c r="J57" s="2799">
        <f t="shared" si="13"/>
        <v>17</v>
      </c>
      <c r="K57" s="2799">
        <f t="shared" si="13"/>
        <v>23</v>
      </c>
      <c r="L57" s="2801">
        <f t="shared" si="13"/>
        <v>3</v>
      </c>
      <c r="M57" s="2777">
        <f t="shared" si="13"/>
        <v>17</v>
      </c>
      <c r="N57" s="2778">
        <f t="shared" si="8"/>
        <v>20</v>
      </c>
      <c r="O57" s="2777">
        <f>SUM(O54:O56)</f>
        <v>3</v>
      </c>
      <c r="P57" s="2777">
        <f>SUM(P54:P56)</f>
        <v>19</v>
      </c>
      <c r="Q57" s="2778">
        <f t="shared" si="9"/>
        <v>22</v>
      </c>
      <c r="R57" s="2777">
        <f>SUM(R54:R56)</f>
        <v>3</v>
      </c>
      <c r="S57" s="2777">
        <f>SUM(S54:S56)</f>
        <v>20</v>
      </c>
      <c r="T57" s="2778">
        <f t="shared" si="10"/>
        <v>23</v>
      </c>
      <c r="U57" s="2777">
        <f>SUM(U54:U56)</f>
        <v>3</v>
      </c>
      <c r="V57" s="2777">
        <f>SUM(V54:V56)</f>
        <v>20</v>
      </c>
      <c r="W57" s="2778">
        <f t="shared" si="11"/>
        <v>23</v>
      </c>
      <c r="X57" s="2777">
        <f>SUM(X54:X56)</f>
        <v>3</v>
      </c>
      <c r="Y57" s="2777">
        <f>SUM(Y54:Y56)</f>
        <v>20</v>
      </c>
      <c r="Z57" s="2778">
        <f>SUM(X57:Y57)</f>
        <v>23</v>
      </c>
      <c r="AA57" s="2777">
        <f>SUM(AA54:AA56)</f>
        <v>4</v>
      </c>
      <c r="AB57" s="2777">
        <f>SUM(AB54:AB56)</f>
        <v>19</v>
      </c>
      <c r="AC57" s="2778">
        <f>SUM(AA57:AB57)</f>
        <v>23</v>
      </c>
      <c r="AD57" s="2777">
        <f>SUM(AD54:AD56)</f>
        <v>4</v>
      </c>
      <c r="AE57" s="2777">
        <f>SUM(AE54:AE56)</f>
        <v>15</v>
      </c>
      <c r="AF57" s="2778">
        <f>SUM(AD57:AE57)</f>
        <v>19</v>
      </c>
      <c r="AG57" s="2777">
        <f>SUM(AG54:AG56)</f>
        <v>4</v>
      </c>
      <c r="AH57" s="2777">
        <f>SUM(AH54:AH56)</f>
        <v>14</v>
      </c>
      <c r="AI57" s="2778">
        <f>SUM(AG57:AH57)</f>
        <v>18</v>
      </c>
    </row>
    <row r="58" spans="1:35" x14ac:dyDescent="0.25">
      <c r="A58" s="1740"/>
    </row>
    <row r="59" spans="1:35" x14ac:dyDescent="0.25">
      <c r="A59" s="6291" t="s">
        <v>163</v>
      </c>
      <c r="B59" s="1730" t="s">
        <v>6</v>
      </c>
      <c r="C59" s="1731">
        <v>14</v>
      </c>
      <c r="D59" s="1732">
        <v>20</v>
      </c>
      <c r="E59" s="1732">
        <f>SUM(C59:D59)</f>
        <v>34</v>
      </c>
      <c r="F59" s="1731">
        <v>20</v>
      </c>
      <c r="G59" s="1732">
        <v>20</v>
      </c>
      <c r="H59" s="1733">
        <f>SUM(F59:G59)</f>
        <v>40</v>
      </c>
      <c r="I59" s="1732">
        <v>18</v>
      </c>
      <c r="J59" s="1732">
        <v>19</v>
      </c>
      <c r="K59" s="1732">
        <f>SUM(I59:J59)</f>
        <v>37</v>
      </c>
      <c r="L59" s="1734">
        <v>14</v>
      </c>
      <c r="M59" s="1698">
        <v>20</v>
      </c>
      <c r="N59" s="1699">
        <f t="shared" si="8"/>
        <v>34</v>
      </c>
      <c r="O59" s="1698">
        <v>14</v>
      </c>
      <c r="P59" s="1698">
        <v>19</v>
      </c>
      <c r="Q59" s="1699">
        <f t="shared" si="9"/>
        <v>33</v>
      </c>
      <c r="R59" s="1698">
        <v>13</v>
      </c>
      <c r="S59" s="1698">
        <v>20</v>
      </c>
      <c r="T59" s="1699">
        <f t="shared" si="10"/>
        <v>33</v>
      </c>
      <c r="U59" s="1698">
        <v>10</v>
      </c>
      <c r="V59" s="1698">
        <v>21</v>
      </c>
      <c r="W59" s="1699">
        <f t="shared" si="11"/>
        <v>31</v>
      </c>
      <c r="X59" s="1698">
        <v>9</v>
      </c>
      <c r="Y59" s="1698">
        <v>17</v>
      </c>
      <c r="Z59" s="1699">
        <f>SUM(X59:Y59)</f>
        <v>26</v>
      </c>
      <c r="AA59" s="1698">
        <v>8</v>
      </c>
      <c r="AB59" s="1698">
        <v>15</v>
      </c>
      <c r="AC59" s="1699">
        <f>SUM(AA59:AB59)</f>
        <v>23</v>
      </c>
      <c r="AD59" s="1698">
        <v>8</v>
      </c>
      <c r="AE59" s="1698">
        <v>15</v>
      </c>
      <c r="AF59" s="1699">
        <f>SUM(AD59:AE59)</f>
        <v>23</v>
      </c>
      <c r="AG59" s="1698">
        <v>10</v>
      </c>
      <c r="AH59" s="1698">
        <v>14</v>
      </c>
      <c r="AI59" s="1699">
        <f>SUM(AG59:AH59)</f>
        <v>24</v>
      </c>
    </row>
    <row r="60" spans="1:35" x14ac:dyDescent="0.25">
      <c r="A60" s="6292"/>
      <c r="B60" s="1735" t="s">
        <v>11</v>
      </c>
      <c r="C60" s="1736">
        <v>15</v>
      </c>
      <c r="D60" s="1737">
        <v>14</v>
      </c>
      <c r="E60" s="1737">
        <f>SUM(C60:D60)</f>
        <v>29</v>
      </c>
      <c r="F60" s="1736">
        <v>16</v>
      </c>
      <c r="G60" s="1737">
        <v>14</v>
      </c>
      <c r="H60" s="1738">
        <f>SUM(F60:G60)</f>
        <v>30</v>
      </c>
      <c r="I60" s="1737">
        <v>15</v>
      </c>
      <c r="J60" s="1737">
        <v>14</v>
      </c>
      <c r="K60" s="1737">
        <f>SUM(I60:J60)</f>
        <v>29</v>
      </c>
      <c r="L60" s="1739">
        <v>15</v>
      </c>
      <c r="M60" s="1707">
        <v>17</v>
      </c>
      <c r="N60" s="1708">
        <f t="shared" si="8"/>
        <v>32</v>
      </c>
      <c r="O60" s="1707">
        <v>17</v>
      </c>
      <c r="P60" s="1707">
        <v>16</v>
      </c>
      <c r="Q60" s="1708">
        <f t="shared" si="9"/>
        <v>33</v>
      </c>
      <c r="R60" s="1707">
        <v>16</v>
      </c>
      <c r="S60" s="1707">
        <v>16</v>
      </c>
      <c r="T60" s="1708">
        <f t="shared" si="10"/>
        <v>32</v>
      </c>
      <c r="U60" s="1707">
        <v>15</v>
      </c>
      <c r="V60" s="1707">
        <v>16</v>
      </c>
      <c r="W60" s="1708">
        <f t="shared" si="11"/>
        <v>31</v>
      </c>
      <c r="X60" s="1707">
        <v>13</v>
      </c>
      <c r="Y60" s="1707">
        <v>15</v>
      </c>
      <c r="Z60" s="1708">
        <f>SUM(X60:Y60)</f>
        <v>28</v>
      </c>
      <c r="AA60" s="1707">
        <v>17</v>
      </c>
      <c r="AB60" s="1707">
        <v>16</v>
      </c>
      <c r="AC60" s="1708">
        <f>SUM(AA60:AB60)</f>
        <v>33</v>
      </c>
      <c r="AD60" s="1707">
        <v>17</v>
      </c>
      <c r="AE60" s="1707">
        <v>21</v>
      </c>
      <c r="AF60" s="1708">
        <f>SUM(AD60:AE60)</f>
        <v>38</v>
      </c>
      <c r="AG60" s="1707">
        <v>16</v>
      </c>
      <c r="AH60" s="1707">
        <v>21</v>
      </c>
      <c r="AI60" s="1708">
        <f>SUM(AG60:AH60)</f>
        <v>37</v>
      </c>
    </row>
    <row r="61" spans="1:35" x14ac:dyDescent="0.25">
      <c r="A61" s="6292"/>
      <c r="B61" s="1735" t="s">
        <v>7</v>
      </c>
      <c r="C61" s="1736">
        <v>5</v>
      </c>
      <c r="D61" s="1737">
        <v>21</v>
      </c>
      <c r="E61" s="1737">
        <f>SUM(C61:D61)</f>
        <v>26</v>
      </c>
      <c r="F61" s="1736">
        <v>5</v>
      </c>
      <c r="G61" s="1737">
        <v>22</v>
      </c>
      <c r="H61" s="1738">
        <f>SUM(F61:G61)</f>
        <v>27</v>
      </c>
      <c r="I61" s="1737">
        <v>5</v>
      </c>
      <c r="J61" s="1737">
        <v>21</v>
      </c>
      <c r="K61" s="1737">
        <f>SUM(I61:J61)</f>
        <v>26</v>
      </c>
      <c r="L61" s="1739">
        <v>6</v>
      </c>
      <c r="M61" s="1707">
        <v>20</v>
      </c>
      <c r="N61" s="1708">
        <f t="shared" si="8"/>
        <v>26</v>
      </c>
      <c r="O61" s="1707">
        <v>6</v>
      </c>
      <c r="P61" s="1707">
        <v>25</v>
      </c>
      <c r="Q61" s="1708">
        <f t="shared" si="9"/>
        <v>31</v>
      </c>
      <c r="R61" s="1707">
        <v>7</v>
      </c>
      <c r="S61" s="1707">
        <v>22</v>
      </c>
      <c r="T61" s="1708">
        <f t="shared" si="10"/>
        <v>29</v>
      </c>
      <c r="U61" s="1707">
        <v>8</v>
      </c>
      <c r="V61" s="1707">
        <v>24</v>
      </c>
      <c r="W61" s="1708">
        <f t="shared" si="11"/>
        <v>32</v>
      </c>
      <c r="X61" s="1707">
        <v>7</v>
      </c>
      <c r="Y61" s="1707">
        <v>25</v>
      </c>
      <c r="Z61" s="1708">
        <f>SUM(X61:Y61)</f>
        <v>32</v>
      </c>
      <c r="AA61" s="1707">
        <v>6</v>
      </c>
      <c r="AB61" s="1707">
        <v>25</v>
      </c>
      <c r="AC61" s="1708">
        <f>SUM(AA61:AB61)</f>
        <v>31</v>
      </c>
      <c r="AD61" s="1707">
        <v>7</v>
      </c>
      <c r="AE61" s="1707">
        <v>24</v>
      </c>
      <c r="AF61" s="1708">
        <f>SUM(AD61:AE61)</f>
        <v>31</v>
      </c>
      <c r="AG61" s="1707">
        <v>7</v>
      </c>
      <c r="AH61" s="1707">
        <v>25</v>
      </c>
      <c r="AI61" s="1708">
        <f>SUM(AG61:AH61)</f>
        <v>32</v>
      </c>
    </row>
    <row r="62" spans="1:35" x14ac:dyDescent="0.25">
      <c r="A62" s="6293"/>
      <c r="B62" s="2834" t="s">
        <v>12</v>
      </c>
      <c r="C62" s="2835">
        <f t="shared" ref="C62:M62" si="14">SUM(C59:C61)</f>
        <v>34</v>
      </c>
      <c r="D62" s="2836">
        <f t="shared" si="14"/>
        <v>55</v>
      </c>
      <c r="E62" s="2836">
        <f t="shared" si="14"/>
        <v>89</v>
      </c>
      <c r="F62" s="2835">
        <f t="shared" si="14"/>
        <v>41</v>
      </c>
      <c r="G62" s="2836">
        <f t="shared" si="14"/>
        <v>56</v>
      </c>
      <c r="H62" s="2837">
        <f t="shared" si="14"/>
        <v>97</v>
      </c>
      <c r="I62" s="2836">
        <f t="shared" si="14"/>
        <v>38</v>
      </c>
      <c r="J62" s="2836">
        <f t="shared" si="14"/>
        <v>54</v>
      </c>
      <c r="K62" s="2836">
        <f t="shared" si="14"/>
        <v>92</v>
      </c>
      <c r="L62" s="2838">
        <f t="shared" si="14"/>
        <v>35</v>
      </c>
      <c r="M62" s="2839">
        <f t="shared" si="14"/>
        <v>57</v>
      </c>
      <c r="N62" s="2840">
        <f t="shared" si="8"/>
        <v>92</v>
      </c>
      <c r="O62" s="2839">
        <f>SUM(O59:O61)</f>
        <v>37</v>
      </c>
      <c r="P62" s="2839">
        <f>SUM(P59:P61)</f>
        <v>60</v>
      </c>
      <c r="Q62" s="2840">
        <f t="shared" si="9"/>
        <v>97</v>
      </c>
      <c r="R62" s="2839">
        <f>SUM(R59:R61)</f>
        <v>36</v>
      </c>
      <c r="S62" s="2839">
        <f>SUM(S59:S61)</f>
        <v>58</v>
      </c>
      <c r="T62" s="2840">
        <f t="shared" si="10"/>
        <v>94</v>
      </c>
      <c r="U62" s="2839">
        <f>SUM(U59:U61)</f>
        <v>33</v>
      </c>
      <c r="V62" s="2839">
        <f>SUM(V59:V61)</f>
        <v>61</v>
      </c>
      <c r="W62" s="2840">
        <f t="shared" si="11"/>
        <v>94</v>
      </c>
      <c r="X62" s="2839">
        <f>SUM(X59:X61)</f>
        <v>29</v>
      </c>
      <c r="Y62" s="2839">
        <f>SUM(Y59:Y61)</f>
        <v>57</v>
      </c>
      <c r="Z62" s="2840">
        <f>SUM(X62:Y62)</f>
        <v>86</v>
      </c>
      <c r="AA62" s="2839">
        <f>SUM(AA59:AA61)</f>
        <v>31</v>
      </c>
      <c r="AB62" s="2839">
        <f>SUM(AB59:AB61)</f>
        <v>56</v>
      </c>
      <c r="AC62" s="2840">
        <f>SUM(AA62:AB62)</f>
        <v>87</v>
      </c>
      <c r="AD62" s="2839">
        <f>SUM(AD59:AD61)</f>
        <v>32</v>
      </c>
      <c r="AE62" s="2839">
        <f>SUM(AE59:AE61)</f>
        <v>60</v>
      </c>
      <c r="AF62" s="2840">
        <f>SUM(AD62:AE62)</f>
        <v>92</v>
      </c>
      <c r="AG62" s="2839">
        <f>SUM(AG59:AG61)</f>
        <v>33</v>
      </c>
      <c r="AH62" s="2839">
        <f>SUM(AH59:AH61)</f>
        <v>60</v>
      </c>
      <c r="AI62" s="2840">
        <f>SUM(AG62:AH62)</f>
        <v>93</v>
      </c>
    </row>
    <row r="64" spans="1:35" x14ac:dyDescent="0.25">
      <c r="A64" s="6294" t="s">
        <v>60</v>
      </c>
      <c r="B64" s="1730" t="s">
        <v>5</v>
      </c>
      <c r="C64" s="1734">
        <f t="shared" ref="C64:M64" si="15">SUM(C44,C54)</f>
        <v>6</v>
      </c>
      <c r="D64" s="1698">
        <f t="shared" si="15"/>
        <v>27</v>
      </c>
      <c r="E64" s="1698">
        <f t="shared" si="15"/>
        <v>33</v>
      </c>
      <c r="F64" s="1734">
        <f t="shared" si="15"/>
        <v>6</v>
      </c>
      <c r="G64" s="1698">
        <f t="shared" si="15"/>
        <v>30</v>
      </c>
      <c r="H64" s="1699">
        <f t="shared" si="15"/>
        <v>36</v>
      </c>
      <c r="I64" s="1698">
        <f t="shared" si="15"/>
        <v>6</v>
      </c>
      <c r="J64" s="1698">
        <f t="shared" si="15"/>
        <v>29</v>
      </c>
      <c r="K64" s="1698">
        <f t="shared" si="15"/>
        <v>35</v>
      </c>
      <c r="L64" s="1734">
        <f t="shared" si="15"/>
        <v>8</v>
      </c>
      <c r="M64" s="1698">
        <f t="shared" si="15"/>
        <v>24</v>
      </c>
      <c r="N64" s="1699">
        <f t="shared" ref="N64:N70" si="16">SUM(L64:M64)</f>
        <v>32</v>
      </c>
      <c r="O64" s="1698">
        <f>SUM(O44,O54)</f>
        <v>6</v>
      </c>
      <c r="P64" s="1698">
        <f>SUM(P44,P54)</f>
        <v>23</v>
      </c>
      <c r="Q64" s="1699">
        <f t="shared" ref="Q64:Q70" si="17">SUM(O64:P64)</f>
        <v>29</v>
      </c>
      <c r="R64" s="1698">
        <f>SUM(R44,R54)</f>
        <v>6</v>
      </c>
      <c r="S64" s="1698">
        <f>SUM(S44,S54)</f>
        <v>23</v>
      </c>
      <c r="T64" s="1699">
        <f t="shared" ref="T64:T70" si="18">SUM(R64:S64)</f>
        <v>29</v>
      </c>
      <c r="U64" s="1698">
        <f>SUM(U44,U54)</f>
        <v>5</v>
      </c>
      <c r="V64" s="1698">
        <f>SUM(V44,V54)</f>
        <v>20</v>
      </c>
      <c r="W64" s="1699">
        <f t="shared" ref="W64:W70" si="19">SUM(U64:V64)</f>
        <v>25</v>
      </c>
      <c r="X64" s="1698">
        <f>SUM(X44,X54)</f>
        <v>4</v>
      </c>
      <c r="Y64" s="1698">
        <f>SUM(Y44,Y54)</f>
        <v>19</v>
      </c>
      <c r="Z64" s="1699">
        <f t="shared" ref="Z64:Z70" si="20">SUM(X64:Y64)</f>
        <v>23</v>
      </c>
      <c r="AA64" s="1698">
        <f>SUM(AA44,AA54)</f>
        <v>4</v>
      </c>
      <c r="AB64" s="1698">
        <f>SUM(AB44,AB54)</f>
        <v>18</v>
      </c>
      <c r="AC64" s="1699">
        <f t="shared" ref="AC64:AC70" si="21">SUM(AA64:AB64)</f>
        <v>22</v>
      </c>
      <c r="AD64" s="1698">
        <f>SUM(AD44,AD54)</f>
        <v>5</v>
      </c>
      <c r="AE64" s="1698">
        <f>SUM(AE44,AE54)</f>
        <v>17</v>
      </c>
      <c r="AF64" s="1699">
        <f t="shared" ref="AF64:AF70" si="22">SUM(AD64:AE64)</f>
        <v>22</v>
      </c>
      <c r="AG64" s="1698">
        <f>SUM(AG44,AG54)</f>
        <v>5</v>
      </c>
      <c r="AH64" s="1698">
        <f>SUM(AH44,AH54)</f>
        <v>14</v>
      </c>
      <c r="AI64" s="1699">
        <f t="shared" ref="AI64:AI70" si="23">SUM(AG64:AH64)</f>
        <v>19</v>
      </c>
    </row>
    <row r="65" spans="1:35" x14ac:dyDescent="0.25">
      <c r="A65" s="6295"/>
      <c r="B65" s="1735" t="s">
        <v>6</v>
      </c>
      <c r="C65" s="1739">
        <f t="shared" ref="C65:M65" si="24">SUM(C45,C49,C55,C59)</f>
        <v>25</v>
      </c>
      <c r="D65" s="1707">
        <f t="shared" si="24"/>
        <v>63</v>
      </c>
      <c r="E65" s="1707">
        <f t="shared" si="24"/>
        <v>88</v>
      </c>
      <c r="F65" s="1739">
        <f t="shared" si="24"/>
        <v>34</v>
      </c>
      <c r="G65" s="1707">
        <f t="shared" si="24"/>
        <v>67</v>
      </c>
      <c r="H65" s="1708">
        <f t="shared" si="24"/>
        <v>101</v>
      </c>
      <c r="I65" s="1707">
        <f t="shared" si="24"/>
        <v>32</v>
      </c>
      <c r="J65" s="1707">
        <f t="shared" si="24"/>
        <v>66</v>
      </c>
      <c r="K65" s="1707">
        <f t="shared" si="24"/>
        <v>98</v>
      </c>
      <c r="L65" s="1739">
        <f t="shared" si="24"/>
        <v>27</v>
      </c>
      <c r="M65" s="1707">
        <f t="shared" si="24"/>
        <v>66</v>
      </c>
      <c r="N65" s="1708">
        <f t="shared" si="16"/>
        <v>93</v>
      </c>
      <c r="O65" s="1707">
        <f>SUM(O45,O49,O55,O59)</f>
        <v>28</v>
      </c>
      <c r="P65" s="1707">
        <f>SUM(P45,P49,P55,P59)</f>
        <v>65</v>
      </c>
      <c r="Q65" s="1708">
        <f t="shared" si="17"/>
        <v>93</v>
      </c>
      <c r="R65" s="1707">
        <f>SUM(R45,R49,R55,R59)</f>
        <v>27</v>
      </c>
      <c r="S65" s="1707">
        <f>SUM(S45,S49,S55,S59)</f>
        <v>67</v>
      </c>
      <c r="T65" s="1708">
        <f t="shared" si="18"/>
        <v>94</v>
      </c>
      <c r="U65" s="1707">
        <f>SUM(U45,U49,U55,U59)</f>
        <v>23</v>
      </c>
      <c r="V65" s="1707">
        <f>SUM(V45,V49,V55,V59)</f>
        <v>61</v>
      </c>
      <c r="W65" s="1708">
        <f t="shared" si="19"/>
        <v>84</v>
      </c>
      <c r="X65" s="1707">
        <f>SUM(X45,X49,X55,X59)</f>
        <v>19</v>
      </c>
      <c r="Y65" s="1707">
        <f>SUM(Y45,Y49,Y55,Y59)</f>
        <v>62</v>
      </c>
      <c r="Z65" s="1708">
        <f t="shared" si="20"/>
        <v>81</v>
      </c>
      <c r="AA65" s="1707">
        <f>SUM(AA45,AA49,AA55,AA59)</f>
        <v>18</v>
      </c>
      <c r="AB65" s="1707">
        <f>SUM(AB45,AB49,AB55,AB59)</f>
        <v>59</v>
      </c>
      <c r="AC65" s="1708">
        <f t="shared" si="21"/>
        <v>77</v>
      </c>
      <c r="AD65" s="1707">
        <f>SUM(AD45,AD49,AD55,AD59)</f>
        <v>18</v>
      </c>
      <c r="AE65" s="1707">
        <f>SUM(AE45,AE49,AE55,AE59)</f>
        <v>55</v>
      </c>
      <c r="AF65" s="1708">
        <f t="shared" si="22"/>
        <v>73</v>
      </c>
      <c r="AG65" s="1707">
        <f>SUM(AG45,AG49,AG55,AG59)</f>
        <v>19</v>
      </c>
      <c r="AH65" s="1707">
        <f>SUM(AH45,AH49,AH55,AH59)</f>
        <v>49</v>
      </c>
      <c r="AI65" s="1708">
        <f t="shared" si="23"/>
        <v>68</v>
      </c>
    </row>
    <row r="66" spans="1:35" x14ac:dyDescent="0.25">
      <c r="A66" s="6295"/>
      <c r="B66" s="1735" t="s">
        <v>11</v>
      </c>
      <c r="C66" s="1739">
        <f t="shared" ref="C66:M66" si="25">SUM(C56,C60)</f>
        <v>15</v>
      </c>
      <c r="D66" s="1707">
        <f t="shared" si="25"/>
        <v>19</v>
      </c>
      <c r="E66" s="1707">
        <f t="shared" si="25"/>
        <v>34</v>
      </c>
      <c r="F66" s="1739">
        <f t="shared" si="25"/>
        <v>16</v>
      </c>
      <c r="G66" s="1707">
        <f t="shared" si="25"/>
        <v>20</v>
      </c>
      <c r="H66" s="1708">
        <f t="shared" si="25"/>
        <v>36</v>
      </c>
      <c r="I66" s="1707">
        <f t="shared" si="25"/>
        <v>16</v>
      </c>
      <c r="J66" s="1707">
        <f t="shared" si="25"/>
        <v>20</v>
      </c>
      <c r="K66" s="1707">
        <f t="shared" si="25"/>
        <v>36</v>
      </c>
      <c r="L66" s="1739">
        <f t="shared" si="25"/>
        <v>16</v>
      </c>
      <c r="M66" s="1707">
        <f t="shared" si="25"/>
        <v>23</v>
      </c>
      <c r="N66" s="1708">
        <f t="shared" si="16"/>
        <v>39</v>
      </c>
      <c r="O66" s="1707">
        <f>SUM(O56,O60)</f>
        <v>18</v>
      </c>
      <c r="P66" s="1707">
        <f>SUM(P56,P60)</f>
        <v>24</v>
      </c>
      <c r="Q66" s="1708">
        <f t="shared" si="17"/>
        <v>42</v>
      </c>
      <c r="R66" s="1707">
        <f>SUM(R56,R60)</f>
        <v>17</v>
      </c>
      <c r="S66" s="1707">
        <f>SUM(S56,S60)</f>
        <v>23</v>
      </c>
      <c r="T66" s="1708">
        <f t="shared" si="18"/>
        <v>40</v>
      </c>
      <c r="U66" s="1707">
        <f>SUM(U56,U60)</f>
        <v>16</v>
      </c>
      <c r="V66" s="1707">
        <f>SUM(V56,V60)</f>
        <v>29</v>
      </c>
      <c r="W66" s="1708">
        <f t="shared" si="19"/>
        <v>45</v>
      </c>
      <c r="X66" s="1707">
        <f>SUM(X56,X60)</f>
        <v>14</v>
      </c>
      <c r="Y66" s="1707">
        <f>SUM(Y56,Y60)</f>
        <v>22</v>
      </c>
      <c r="Z66" s="1708">
        <f t="shared" si="20"/>
        <v>36</v>
      </c>
      <c r="AA66" s="1707">
        <f>SUM(AA56,AA60)</f>
        <v>18</v>
      </c>
      <c r="AB66" s="1707">
        <f>SUM(AB56,AB60)</f>
        <v>22</v>
      </c>
      <c r="AC66" s="1708">
        <f t="shared" si="21"/>
        <v>40</v>
      </c>
      <c r="AD66" s="1707">
        <f>SUM(AD56,AD60)</f>
        <v>18</v>
      </c>
      <c r="AE66" s="1707">
        <f>SUM(AE56,AE60)</f>
        <v>27</v>
      </c>
      <c r="AF66" s="1708">
        <f t="shared" si="22"/>
        <v>45</v>
      </c>
      <c r="AG66" s="1707">
        <f>SUM(AG56,AG60)</f>
        <v>17</v>
      </c>
      <c r="AH66" s="1707">
        <f>SUM(AH56,AH60)</f>
        <v>27</v>
      </c>
      <c r="AI66" s="1708">
        <f t="shared" si="23"/>
        <v>44</v>
      </c>
    </row>
    <row r="67" spans="1:35" x14ac:dyDescent="0.25">
      <c r="A67" s="6295"/>
      <c r="B67" s="1735" t="s">
        <v>7</v>
      </c>
      <c r="C67" s="1739">
        <f t="shared" ref="C67:M67" si="26">SUM(C46,C61)</f>
        <v>20</v>
      </c>
      <c r="D67" s="1707">
        <f t="shared" si="26"/>
        <v>41</v>
      </c>
      <c r="E67" s="1707">
        <f t="shared" si="26"/>
        <v>61</v>
      </c>
      <c r="F67" s="1739">
        <f t="shared" si="26"/>
        <v>18</v>
      </c>
      <c r="G67" s="1707">
        <f t="shared" si="26"/>
        <v>41</v>
      </c>
      <c r="H67" s="1708">
        <f t="shared" si="26"/>
        <v>59</v>
      </c>
      <c r="I67" s="1707">
        <f t="shared" si="26"/>
        <v>19</v>
      </c>
      <c r="J67" s="1707">
        <f t="shared" si="26"/>
        <v>39</v>
      </c>
      <c r="K67" s="1707">
        <f t="shared" si="26"/>
        <v>58</v>
      </c>
      <c r="L67" s="1739">
        <f t="shared" si="26"/>
        <v>21</v>
      </c>
      <c r="M67" s="1707">
        <f t="shared" si="26"/>
        <v>36</v>
      </c>
      <c r="N67" s="1708">
        <f t="shared" si="16"/>
        <v>57</v>
      </c>
      <c r="O67" s="1707">
        <f>SUM(O46,O61)</f>
        <v>21</v>
      </c>
      <c r="P67" s="1707">
        <f>SUM(P46,P61)</f>
        <v>40</v>
      </c>
      <c r="Q67" s="1708">
        <f t="shared" si="17"/>
        <v>61</v>
      </c>
      <c r="R67" s="1707">
        <f>SUM(R46,R61)</f>
        <v>22</v>
      </c>
      <c r="S67" s="1707">
        <f>SUM(S46,S61)</f>
        <v>36</v>
      </c>
      <c r="T67" s="1708">
        <f t="shared" si="18"/>
        <v>58</v>
      </c>
      <c r="U67" s="1707">
        <f>SUM(U46,U61)</f>
        <v>24</v>
      </c>
      <c r="V67" s="1707">
        <f>SUM(V46,V61)</f>
        <v>37</v>
      </c>
      <c r="W67" s="1708">
        <f t="shared" si="19"/>
        <v>61</v>
      </c>
      <c r="X67" s="1707">
        <f>SUM(X46,X61)</f>
        <v>18</v>
      </c>
      <c r="Y67" s="1707">
        <f>SUM(Y46,Y61)</f>
        <v>38</v>
      </c>
      <c r="Z67" s="1708">
        <f t="shared" si="20"/>
        <v>56</v>
      </c>
      <c r="AA67" s="1707">
        <f>SUM(AA46,AA61)</f>
        <v>15</v>
      </c>
      <c r="AB67" s="1707">
        <f>SUM(AB46,AB61)</f>
        <v>37</v>
      </c>
      <c r="AC67" s="1708">
        <f t="shared" si="21"/>
        <v>52</v>
      </c>
      <c r="AD67" s="1707">
        <f>SUM(AD46,AD61)</f>
        <v>17</v>
      </c>
      <c r="AE67" s="1707">
        <f>SUM(AE46,AE61)</f>
        <v>36</v>
      </c>
      <c r="AF67" s="1708">
        <f t="shared" si="22"/>
        <v>53</v>
      </c>
      <c r="AG67" s="1707">
        <f>SUM(AG46,AG61)</f>
        <v>18</v>
      </c>
      <c r="AH67" s="1707">
        <f>SUM(AH46,AH61)</f>
        <v>37</v>
      </c>
      <c r="AI67" s="1708">
        <f t="shared" si="23"/>
        <v>55</v>
      </c>
    </row>
    <row r="68" spans="1:35" x14ac:dyDescent="0.25">
      <c r="A68" s="6295"/>
      <c r="B68" s="1735" t="s">
        <v>9</v>
      </c>
      <c r="C68" s="1739">
        <f t="shared" ref="C68:M69" si="27">SUM(C50)</f>
        <v>0</v>
      </c>
      <c r="D68" s="1707">
        <f t="shared" si="27"/>
        <v>0</v>
      </c>
      <c r="E68" s="1707">
        <f t="shared" si="27"/>
        <v>0</v>
      </c>
      <c r="F68" s="1739">
        <f t="shared" si="27"/>
        <v>0</v>
      </c>
      <c r="G68" s="1707">
        <f t="shared" si="27"/>
        <v>0</v>
      </c>
      <c r="H68" s="1708">
        <f t="shared" si="27"/>
        <v>0</v>
      </c>
      <c r="I68" s="1707">
        <f t="shared" si="27"/>
        <v>0</v>
      </c>
      <c r="J68" s="1707">
        <f t="shared" si="27"/>
        <v>0</v>
      </c>
      <c r="K68" s="1707">
        <f t="shared" si="27"/>
        <v>0</v>
      </c>
      <c r="L68" s="1739">
        <f t="shared" si="27"/>
        <v>0</v>
      </c>
      <c r="M68" s="1707">
        <f t="shared" si="27"/>
        <v>0</v>
      </c>
      <c r="N68" s="1708">
        <f t="shared" si="16"/>
        <v>0</v>
      </c>
      <c r="O68" s="1707">
        <f>SUM(O50)</f>
        <v>0</v>
      </c>
      <c r="P68" s="1707">
        <f>SUM(P50)</f>
        <v>0</v>
      </c>
      <c r="Q68" s="1708">
        <f t="shared" si="17"/>
        <v>0</v>
      </c>
      <c r="R68" s="1707">
        <f>SUM(R50)</f>
        <v>0</v>
      </c>
      <c r="S68" s="1707">
        <f>SUM(S50)</f>
        <v>0</v>
      </c>
      <c r="T68" s="1708">
        <f t="shared" si="18"/>
        <v>0</v>
      </c>
      <c r="U68" s="1707">
        <f>SUM(U50)</f>
        <v>0</v>
      </c>
      <c r="V68" s="1707">
        <f>SUM(V50)</f>
        <v>0</v>
      </c>
      <c r="W68" s="1708">
        <f t="shared" si="19"/>
        <v>0</v>
      </c>
      <c r="X68" s="1707">
        <f>SUM(X50)</f>
        <v>0</v>
      </c>
      <c r="Y68" s="1707">
        <f>SUM(Y50)</f>
        <v>0</v>
      </c>
      <c r="Z68" s="1708">
        <f t="shared" si="20"/>
        <v>0</v>
      </c>
      <c r="AA68" s="1707">
        <f>SUM(AA50)</f>
        <v>0</v>
      </c>
      <c r="AB68" s="1707">
        <f>SUM(AB50)</f>
        <v>0</v>
      </c>
      <c r="AC68" s="1708">
        <f t="shared" si="21"/>
        <v>0</v>
      </c>
      <c r="AD68" s="1707">
        <f>SUM(AD50)</f>
        <v>0</v>
      </c>
      <c r="AE68" s="1707">
        <f>SUM(AE50)</f>
        <v>0</v>
      </c>
      <c r="AF68" s="1708">
        <f t="shared" si="22"/>
        <v>0</v>
      </c>
      <c r="AG68" s="1707">
        <f>SUM(AG50)</f>
        <v>0</v>
      </c>
      <c r="AH68" s="1707">
        <f>SUM(AH50)</f>
        <v>0</v>
      </c>
      <c r="AI68" s="1708">
        <f t="shared" si="23"/>
        <v>0</v>
      </c>
    </row>
    <row r="69" spans="1:35" x14ac:dyDescent="0.25">
      <c r="A69" s="6295"/>
      <c r="B69" s="1741" t="s">
        <v>74</v>
      </c>
      <c r="C69" s="1742">
        <f t="shared" si="27"/>
        <v>0</v>
      </c>
      <c r="D69" s="1719">
        <f t="shared" si="27"/>
        <v>0</v>
      </c>
      <c r="E69" s="1719">
        <f t="shared" si="27"/>
        <v>0</v>
      </c>
      <c r="F69" s="1742">
        <f t="shared" si="27"/>
        <v>0</v>
      </c>
      <c r="G69" s="1719">
        <f t="shared" si="27"/>
        <v>0</v>
      </c>
      <c r="H69" s="1720">
        <f t="shared" si="27"/>
        <v>0</v>
      </c>
      <c r="I69" s="1719">
        <f t="shared" si="27"/>
        <v>0</v>
      </c>
      <c r="J69" s="1719">
        <f t="shared" si="27"/>
        <v>0</v>
      </c>
      <c r="K69" s="1719">
        <f t="shared" si="27"/>
        <v>0</v>
      </c>
      <c r="L69" s="1742">
        <f t="shared" si="27"/>
        <v>0</v>
      </c>
      <c r="M69" s="1719">
        <f t="shared" si="27"/>
        <v>0</v>
      </c>
      <c r="N69" s="1720">
        <f t="shared" si="16"/>
        <v>0</v>
      </c>
      <c r="O69" s="1719">
        <f>SUM(O51)</f>
        <v>0</v>
      </c>
      <c r="P69" s="1719">
        <f>SUM(P51)</f>
        <v>0</v>
      </c>
      <c r="Q69" s="1720">
        <f t="shared" si="17"/>
        <v>0</v>
      </c>
      <c r="R69" s="1719">
        <f>SUM(R51)</f>
        <v>0</v>
      </c>
      <c r="S69" s="1719">
        <f>SUM(S51)</f>
        <v>0</v>
      </c>
      <c r="T69" s="1720">
        <f t="shared" si="18"/>
        <v>0</v>
      </c>
      <c r="U69" s="1719">
        <f>SUM(U51)</f>
        <v>0</v>
      </c>
      <c r="V69" s="1719">
        <f>SUM(V51)</f>
        <v>0</v>
      </c>
      <c r="W69" s="1720">
        <f t="shared" si="19"/>
        <v>0</v>
      </c>
      <c r="X69" s="1719">
        <f>SUM(X51)</f>
        <v>0</v>
      </c>
      <c r="Y69" s="1719">
        <f>SUM(Y51)</f>
        <v>0</v>
      </c>
      <c r="Z69" s="1720">
        <f t="shared" si="20"/>
        <v>0</v>
      </c>
      <c r="AA69" s="1719">
        <f>SUM(AA51)</f>
        <v>1</v>
      </c>
      <c r="AB69" s="1719">
        <f>SUM(AB51)</f>
        <v>0</v>
      </c>
      <c r="AC69" s="1720">
        <f t="shared" si="21"/>
        <v>1</v>
      </c>
      <c r="AD69" s="1719">
        <f>SUM(AD51)</f>
        <v>1</v>
      </c>
      <c r="AE69" s="1719">
        <f>SUM(AE51)</f>
        <v>0</v>
      </c>
      <c r="AF69" s="1720">
        <f t="shared" si="22"/>
        <v>1</v>
      </c>
      <c r="AG69" s="1719">
        <f>SUM(AG51)</f>
        <v>1</v>
      </c>
      <c r="AH69" s="1719">
        <f>SUM(AH51)</f>
        <v>0</v>
      </c>
      <c r="AI69" s="1720">
        <f t="shared" si="23"/>
        <v>1</v>
      </c>
    </row>
    <row r="70" spans="1:35" x14ac:dyDescent="0.25">
      <c r="A70" s="6296"/>
      <c r="B70" s="1743" t="s">
        <v>12</v>
      </c>
      <c r="C70" s="1744">
        <f t="shared" ref="C70:M70" si="28">SUM(C64:C69)</f>
        <v>66</v>
      </c>
      <c r="D70" s="1745">
        <f t="shared" si="28"/>
        <v>150</v>
      </c>
      <c r="E70" s="1745">
        <f t="shared" si="28"/>
        <v>216</v>
      </c>
      <c r="F70" s="1744">
        <f t="shared" si="28"/>
        <v>74</v>
      </c>
      <c r="G70" s="1745">
        <f t="shared" si="28"/>
        <v>158</v>
      </c>
      <c r="H70" s="1746">
        <f t="shared" si="28"/>
        <v>232</v>
      </c>
      <c r="I70" s="1745">
        <f t="shared" si="28"/>
        <v>73</v>
      </c>
      <c r="J70" s="1745">
        <f t="shared" si="28"/>
        <v>154</v>
      </c>
      <c r="K70" s="1745">
        <f t="shared" si="28"/>
        <v>227</v>
      </c>
      <c r="L70" s="1747">
        <f t="shared" si="28"/>
        <v>72</v>
      </c>
      <c r="M70" s="1728">
        <f t="shared" si="28"/>
        <v>149</v>
      </c>
      <c r="N70" s="1729">
        <f t="shared" si="16"/>
        <v>221</v>
      </c>
      <c r="O70" s="1728">
        <f>SUM(O64:O69)</f>
        <v>73</v>
      </c>
      <c r="P70" s="1728">
        <f>SUM(P64:P69)</f>
        <v>152</v>
      </c>
      <c r="Q70" s="1729">
        <f t="shared" si="17"/>
        <v>225</v>
      </c>
      <c r="R70" s="1728">
        <f>SUM(R64:R69)</f>
        <v>72</v>
      </c>
      <c r="S70" s="1728">
        <f>SUM(S64:S69)</f>
        <v>149</v>
      </c>
      <c r="T70" s="1729">
        <f t="shared" si="18"/>
        <v>221</v>
      </c>
      <c r="U70" s="1728">
        <f>SUM(U64:U69)</f>
        <v>68</v>
      </c>
      <c r="V70" s="1728">
        <f>SUM(V64:V69)</f>
        <v>147</v>
      </c>
      <c r="W70" s="1729">
        <f t="shared" si="19"/>
        <v>215</v>
      </c>
      <c r="X70" s="1728">
        <f>SUM(X64:X69)</f>
        <v>55</v>
      </c>
      <c r="Y70" s="1728">
        <f>SUM(Y64:Y69)</f>
        <v>141</v>
      </c>
      <c r="Z70" s="1729">
        <f t="shared" si="20"/>
        <v>196</v>
      </c>
      <c r="AA70" s="1728">
        <f>SUM(AA64:AA69)</f>
        <v>56</v>
      </c>
      <c r="AB70" s="1728">
        <f>SUM(AB64:AB69)</f>
        <v>136</v>
      </c>
      <c r="AC70" s="1729">
        <f t="shared" si="21"/>
        <v>192</v>
      </c>
      <c r="AD70" s="1728">
        <f>SUM(AD64:AD69)</f>
        <v>59</v>
      </c>
      <c r="AE70" s="1728">
        <f>SUM(AE64:AE69)</f>
        <v>135</v>
      </c>
      <c r="AF70" s="1729">
        <f t="shared" si="22"/>
        <v>194</v>
      </c>
      <c r="AG70" s="1728">
        <f>SUM(AG64:AG69)</f>
        <v>60</v>
      </c>
      <c r="AH70" s="1728">
        <f>SUM(AH64:AH69)</f>
        <v>127</v>
      </c>
      <c r="AI70" s="1729">
        <f t="shared" si="23"/>
        <v>187</v>
      </c>
    </row>
    <row r="72" spans="1:35" ht="54.75" customHeight="1" x14ac:dyDescent="0.25">
      <c r="A72" s="6277" t="s">
        <v>778</v>
      </c>
      <c r="B72" s="6277"/>
      <c r="AF72" s="2833"/>
      <c r="AI72" s="2833" t="s">
        <v>811</v>
      </c>
    </row>
    <row r="73" spans="1:35" x14ac:dyDescent="0.25">
      <c r="C73" s="1748"/>
      <c r="D73" s="1748"/>
      <c r="E73" s="1748"/>
      <c r="F73" s="1748"/>
      <c r="G73" s="1748"/>
      <c r="H73" s="1748"/>
      <c r="I73" s="1748"/>
      <c r="J73" s="1748"/>
      <c r="K73" s="1748"/>
      <c r="L73" s="1748"/>
      <c r="M73" s="1748"/>
      <c r="N73" s="1748"/>
      <c r="O73" s="1748"/>
      <c r="P73" s="1748"/>
      <c r="Q73" s="1748"/>
      <c r="R73" s="1748"/>
      <c r="S73" s="1748"/>
      <c r="T73" s="1748"/>
    </row>
    <row r="74" spans="1:35" x14ac:dyDescent="0.25">
      <c r="A74" s="5020" t="s">
        <v>16</v>
      </c>
      <c r="B74" s="5020" t="s">
        <v>4</v>
      </c>
      <c r="C74" s="6273">
        <v>2005</v>
      </c>
      <c r="D74" s="6274"/>
      <c r="E74" s="6275"/>
      <c r="F74" s="6273">
        <v>2006</v>
      </c>
      <c r="G74" s="6274"/>
      <c r="H74" s="6275"/>
      <c r="I74" s="6273">
        <v>2007</v>
      </c>
      <c r="J74" s="6274"/>
      <c r="K74" s="6275"/>
      <c r="L74" s="6273">
        <v>2008</v>
      </c>
      <c r="M74" s="6274"/>
      <c r="N74" s="6275"/>
      <c r="O74" s="6273">
        <v>2009</v>
      </c>
      <c r="P74" s="6274"/>
      <c r="Q74" s="6275"/>
      <c r="R74" s="6273">
        <v>2010</v>
      </c>
      <c r="S74" s="6274"/>
      <c r="T74" s="6275"/>
      <c r="U74" s="6273">
        <v>2011</v>
      </c>
      <c r="V74" s="6274"/>
      <c r="W74" s="6275"/>
      <c r="X74" s="6273">
        <v>2012</v>
      </c>
      <c r="Y74" s="6274"/>
      <c r="Z74" s="6275"/>
      <c r="AA74" s="6273">
        <v>2013</v>
      </c>
      <c r="AB74" s="6274"/>
      <c r="AC74" s="6275"/>
      <c r="AD74" s="6273">
        <v>2014</v>
      </c>
      <c r="AE74" s="6274"/>
      <c r="AF74" s="6275"/>
      <c r="AG74" s="6273">
        <v>2015</v>
      </c>
      <c r="AH74" s="6274"/>
      <c r="AI74" s="6275"/>
    </row>
    <row r="75" spans="1:35" x14ac:dyDescent="0.25">
      <c r="A75" s="5021"/>
      <c r="B75" s="5021"/>
      <c r="C75" s="1753" t="s">
        <v>654</v>
      </c>
      <c r="D75" s="1753" t="s">
        <v>655</v>
      </c>
      <c r="E75" s="1689" t="s">
        <v>12</v>
      </c>
      <c r="F75" s="1753" t="s">
        <v>654</v>
      </c>
      <c r="G75" s="1753" t="s">
        <v>655</v>
      </c>
      <c r="H75" s="1689" t="s">
        <v>12</v>
      </c>
      <c r="I75" s="1753" t="s">
        <v>654</v>
      </c>
      <c r="J75" s="1753" t="s">
        <v>655</v>
      </c>
      <c r="K75" s="1689" t="s">
        <v>12</v>
      </c>
      <c r="L75" s="1753" t="s">
        <v>654</v>
      </c>
      <c r="M75" s="1753" t="s">
        <v>655</v>
      </c>
      <c r="N75" s="1689" t="s">
        <v>12</v>
      </c>
      <c r="O75" s="1753" t="s">
        <v>654</v>
      </c>
      <c r="P75" s="1753" t="s">
        <v>655</v>
      </c>
      <c r="Q75" s="1689" t="s">
        <v>12</v>
      </c>
      <c r="R75" s="1753" t="s">
        <v>654</v>
      </c>
      <c r="S75" s="1753" t="s">
        <v>655</v>
      </c>
      <c r="T75" s="1689" t="s">
        <v>12</v>
      </c>
      <c r="U75" s="1753" t="s">
        <v>654</v>
      </c>
      <c r="V75" s="1753" t="s">
        <v>655</v>
      </c>
      <c r="W75" s="1689" t="s">
        <v>12</v>
      </c>
      <c r="X75" s="1753" t="s">
        <v>654</v>
      </c>
      <c r="Y75" s="1753" t="s">
        <v>655</v>
      </c>
      <c r="Z75" s="1689" t="s">
        <v>12</v>
      </c>
      <c r="AA75" s="1753" t="s">
        <v>654</v>
      </c>
      <c r="AB75" s="1753" t="s">
        <v>655</v>
      </c>
      <c r="AC75" s="1689" t="s">
        <v>12</v>
      </c>
      <c r="AD75" s="1753" t="s">
        <v>654</v>
      </c>
      <c r="AE75" s="1753" t="s">
        <v>655</v>
      </c>
      <c r="AF75" s="1689" t="s">
        <v>12</v>
      </c>
      <c r="AG75" s="1753" t="s">
        <v>654</v>
      </c>
      <c r="AH75" s="1753" t="s">
        <v>655</v>
      </c>
      <c r="AI75" s="1689" t="s">
        <v>12</v>
      </c>
    </row>
    <row r="76" spans="1:35" x14ac:dyDescent="0.25">
      <c r="A76" s="1749"/>
      <c r="B76" s="1749"/>
    </row>
    <row r="77" spans="1:35" x14ac:dyDescent="0.25">
      <c r="A77" s="6285" t="s">
        <v>161</v>
      </c>
      <c r="B77" s="1730" t="s">
        <v>5</v>
      </c>
      <c r="C77" s="1731">
        <v>8</v>
      </c>
      <c r="D77" s="1732">
        <v>36</v>
      </c>
      <c r="E77" s="1732">
        <f>SUM(C77:D77)</f>
        <v>44</v>
      </c>
      <c r="F77" s="1731">
        <v>10</v>
      </c>
      <c r="G77" s="1732">
        <v>36</v>
      </c>
      <c r="H77" s="1733">
        <f>SUM(F77:G77)</f>
        <v>46</v>
      </c>
      <c r="I77" s="1732">
        <v>10</v>
      </c>
      <c r="J77" s="1732">
        <v>36</v>
      </c>
      <c r="K77" s="1732">
        <f>SUM(I77:J77)</f>
        <v>46</v>
      </c>
      <c r="L77" s="1734">
        <v>9</v>
      </c>
      <c r="M77" s="1698">
        <v>34</v>
      </c>
      <c r="N77" s="1699">
        <f t="shared" ref="N77:N95" si="29">SUM(L77:M77)</f>
        <v>43</v>
      </c>
      <c r="O77" s="1698">
        <v>9</v>
      </c>
      <c r="P77" s="1698">
        <v>33</v>
      </c>
      <c r="Q77" s="1699">
        <f t="shared" ref="Q77:Q95" si="30">SUM(O77:P77)</f>
        <v>42</v>
      </c>
      <c r="R77" s="1698">
        <v>9</v>
      </c>
      <c r="S77" s="1698">
        <v>30</v>
      </c>
      <c r="T77" s="1699">
        <f t="shared" ref="T77:T95" si="31">SUM(R77:S77)</f>
        <v>39</v>
      </c>
      <c r="U77" s="1698">
        <v>9</v>
      </c>
      <c r="V77" s="1698">
        <v>30</v>
      </c>
      <c r="W77" s="1699">
        <f t="shared" ref="W77:W95" si="32">SUM(U77:V77)</f>
        <v>39</v>
      </c>
      <c r="X77" s="1698">
        <v>8</v>
      </c>
      <c r="Y77" s="1698">
        <v>30</v>
      </c>
      <c r="Z77" s="1699">
        <f>SUM(X77:Y77)</f>
        <v>38</v>
      </c>
      <c r="AA77" s="1698">
        <v>7</v>
      </c>
      <c r="AB77" s="1698">
        <v>30</v>
      </c>
      <c r="AC77" s="1699">
        <f>SUM(AA77:AB77)</f>
        <v>37</v>
      </c>
      <c r="AD77" s="1698">
        <v>7</v>
      </c>
      <c r="AE77" s="1698">
        <v>29</v>
      </c>
      <c r="AF77" s="1699">
        <f>SUM(AD77:AE77)</f>
        <v>36</v>
      </c>
      <c r="AG77" s="1698">
        <v>7</v>
      </c>
      <c r="AH77" s="1698">
        <v>27</v>
      </c>
      <c r="AI77" s="1699">
        <f>SUM(AG77:AH77)</f>
        <v>34</v>
      </c>
    </row>
    <row r="78" spans="1:35" x14ac:dyDescent="0.25">
      <c r="A78" s="6286"/>
      <c r="B78" s="1735" t="s">
        <v>6</v>
      </c>
      <c r="C78" s="1736">
        <v>2</v>
      </c>
      <c r="D78" s="1737">
        <v>4</v>
      </c>
      <c r="E78" s="1737">
        <f>SUM(C78:D78)</f>
        <v>6</v>
      </c>
      <c r="F78" s="1736">
        <v>1</v>
      </c>
      <c r="G78" s="1737">
        <v>4</v>
      </c>
      <c r="H78" s="1738">
        <f>SUM(F78:G78)</f>
        <v>5</v>
      </c>
      <c r="I78" s="1737">
        <v>1</v>
      </c>
      <c r="J78" s="1737">
        <v>4</v>
      </c>
      <c r="K78" s="1737">
        <f>SUM(I78:J78)</f>
        <v>5</v>
      </c>
      <c r="L78" s="1739"/>
      <c r="M78" s="1707">
        <v>4</v>
      </c>
      <c r="N78" s="1708">
        <f t="shared" si="29"/>
        <v>4</v>
      </c>
      <c r="O78" s="1707"/>
      <c r="P78" s="1707">
        <v>4</v>
      </c>
      <c r="Q78" s="1708">
        <f t="shared" si="30"/>
        <v>4</v>
      </c>
      <c r="R78" s="1707">
        <v>2</v>
      </c>
      <c r="S78" s="1707">
        <v>4</v>
      </c>
      <c r="T78" s="1708">
        <f t="shared" si="31"/>
        <v>6</v>
      </c>
      <c r="U78" s="1707">
        <v>4</v>
      </c>
      <c r="V78" s="1707">
        <v>6</v>
      </c>
      <c r="W78" s="1708">
        <f t="shared" si="32"/>
        <v>10</v>
      </c>
      <c r="X78" s="1707">
        <v>5</v>
      </c>
      <c r="Y78" s="1707">
        <v>7</v>
      </c>
      <c r="Z78" s="1708">
        <f>SUM(X78:Y78)</f>
        <v>12</v>
      </c>
      <c r="AA78" s="1707">
        <v>5</v>
      </c>
      <c r="AB78" s="1707">
        <v>6</v>
      </c>
      <c r="AC78" s="1708">
        <f>SUM(AA78:AB78)</f>
        <v>11</v>
      </c>
      <c r="AD78" s="1707">
        <v>6</v>
      </c>
      <c r="AE78" s="1707">
        <v>6</v>
      </c>
      <c r="AF78" s="1708">
        <f>SUM(AD78:AE78)</f>
        <v>12</v>
      </c>
      <c r="AG78" s="1707">
        <v>7</v>
      </c>
      <c r="AH78" s="1707">
        <v>8</v>
      </c>
      <c r="AI78" s="1708">
        <f>SUM(AG78:AH78)</f>
        <v>15</v>
      </c>
    </row>
    <row r="79" spans="1:35" x14ac:dyDescent="0.25">
      <c r="A79" s="6286"/>
      <c r="B79" s="1735" t="s">
        <v>7</v>
      </c>
      <c r="C79" s="1736">
        <v>3</v>
      </c>
      <c r="D79" s="1737">
        <v>5</v>
      </c>
      <c r="E79" s="1737">
        <f>SUM(C79:D79)</f>
        <v>8</v>
      </c>
      <c r="F79" s="1736">
        <v>1</v>
      </c>
      <c r="G79" s="1737">
        <v>5</v>
      </c>
      <c r="H79" s="1738">
        <f>SUM(F79:G79)</f>
        <v>6</v>
      </c>
      <c r="I79" s="1737">
        <v>2</v>
      </c>
      <c r="J79" s="1737">
        <v>5</v>
      </c>
      <c r="K79" s="1737">
        <f>SUM(I79:J79)</f>
        <v>7</v>
      </c>
      <c r="L79" s="1739">
        <v>2</v>
      </c>
      <c r="M79" s="1707">
        <v>3</v>
      </c>
      <c r="N79" s="1708">
        <f t="shared" si="29"/>
        <v>5</v>
      </c>
      <c r="O79" s="1707">
        <v>1</v>
      </c>
      <c r="P79" s="1707">
        <v>4</v>
      </c>
      <c r="Q79" s="1708">
        <f t="shared" si="30"/>
        <v>5</v>
      </c>
      <c r="R79" s="1707">
        <v>1</v>
      </c>
      <c r="S79" s="1707">
        <v>4</v>
      </c>
      <c r="T79" s="1708">
        <f t="shared" si="31"/>
        <v>5</v>
      </c>
      <c r="U79" s="1707">
        <v>1</v>
      </c>
      <c r="V79" s="1707">
        <v>5</v>
      </c>
      <c r="W79" s="1708">
        <f t="shared" si="32"/>
        <v>6</v>
      </c>
      <c r="X79" s="1707">
        <v>1</v>
      </c>
      <c r="Y79" s="1707">
        <v>5</v>
      </c>
      <c r="Z79" s="1708">
        <f>SUM(X79:Y79)</f>
        <v>6</v>
      </c>
      <c r="AA79" s="1707">
        <v>2</v>
      </c>
      <c r="AB79" s="1707">
        <v>4</v>
      </c>
      <c r="AC79" s="1708">
        <f>SUM(AA79:AB79)</f>
        <v>6</v>
      </c>
      <c r="AD79" s="1707">
        <v>3</v>
      </c>
      <c r="AE79" s="1707">
        <v>5</v>
      </c>
      <c r="AF79" s="1708">
        <f>SUM(AD79:AE79)</f>
        <v>8</v>
      </c>
      <c r="AG79" s="1707">
        <v>3</v>
      </c>
      <c r="AH79" s="1707">
        <v>5</v>
      </c>
      <c r="AI79" s="1708">
        <f>SUM(AG79:AH79)</f>
        <v>8</v>
      </c>
    </row>
    <row r="80" spans="1:35" x14ac:dyDescent="0.25">
      <c r="A80" s="6287"/>
      <c r="B80" s="2813" t="s">
        <v>12</v>
      </c>
      <c r="C80" s="2814">
        <f t="shared" ref="C80:M80" si="33">SUM(C77:C79)</f>
        <v>13</v>
      </c>
      <c r="D80" s="2815">
        <f t="shared" si="33"/>
        <v>45</v>
      </c>
      <c r="E80" s="2815">
        <f t="shared" si="33"/>
        <v>58</v>
      </c>
      <c r="F80" s="2814">
        <f t="shared" si="33"/>
        <v>12</v>
      </c>
      <c r="G80" s="2815">
        <f t="shared" si="33"/>
        <v>45</v>
      </c>
      <c r="H80" s="2816">
        <f t="shared" si="33"/>
        <v>57</v>
      </c>
      <c r="I80" s="2815">
        <f t="shared" si="33"/>
        <v>13</v>
      </c>
      <c r="J80" s="2815">
        <f t="shared" si="33"/>
        <v>45</v>
      </c>
      <c r="K80" s="2815">
        <f t="shared" si="33"/>
        <v>58</v>
      </c>
      <c r="L80" s="2817">
        <f t="shared" si="33"/>
        <v>11</v>
      </c>
      <c r="M80" s="2759">
        <f t="shared" si="33"/>
        <v>41</v>
      </c>
      <c r="N80" s="2760">
        <f t="shared" si="29"/>
        <v>52</v>
      </c>
      <c r="O80" s="2759">
        <f>SUM(O77:O79)</f>
        <v>10</v>
      </c>
      <c r="P80" s="2759">
        <f>SUM(P77:P79)</f>
        <v>41</v>
      </c>
      <c r="Q80" s="2760">
        <f t="shared" si="30"/>
        <v>51</v>
      </c>
      <c r="R80" s="2759">
        <f>SUM(R77:R79)</f>
        <v>12</v>
      </c>
      <c r="S80" s="2759">
        <f>SUM(S77:S79)</f>
        <v>38</v>
      </c>
      <c r="T80" s="2760">
        <f t="shared" si="31"/>
        <v>50</v>
      </c>
      <c r="U80" s="2759">
        <f>SUM(U77:U79)</f>
        <v>14</v>
      </c>
      <c r="V80" s="2759">
        <f>SUM(V77:V79)</f>
        <v>41</v>
      </c>
      <c r="W80" s="2760">
        <f t="shared" si="32"/>
        <v>55</v>
      </c>
      <c r="X80" s="2759">
        <f>SUM(X77:X79)</f>
        <v>14</v>
      </c>
      <c r="Y80" s="2759">
        <f>SUM(Y77:Y79)</f>
        <v>42</v>
      </c>
      <c r="Z80" s="2760">
        <f>SUM(X80:Y80)</f>
        <v>56</v>
      </c>
      <c r="AA80" s="2759">
        <f>SUM(AA77:AA79)</f>
        <v>14</v>
      </c>
      <c r="AB80" s="2759">
        <f>SUM(AB77:AB79)</f>
        <v>40</v>
      </c>
      <c r="AC80" s="2760">
        <f>SUM(AA80:AB80)</f>
        <v>54</v>
      </c>
      <c r="AD80" s="2759">
        <f>SUM(AD77:AD79)</f>
        <v>16</v>
      </c>
      <c r="AE80" s="2759">
        <f>SUM(AE77:AE79)</f>
        <v>40</v>
      </c>
      <c r="AF80" s="2760">
        <f>SUM(AD80:AE80)</f>
        <v>56</v>
      </c>
      <c r="AG80" s="2759">
        <f>SUM(AG77:AG79)</f>
        <v>17</v>
      </c>
      <c r="AH80" s="2759">
        <f>SUM(AH77:AH79)</f>
        <v>40</v>
      </c>
      <c r="AI80" s="2760">
        <f>SUM(AG80:AH80)</f>
        <v>57</v>
      </c>
    </row>
    <row r="82" spans="1:35" x14ac:dyDescent="0.25">
      <c r="A82" s="6282" t="s">
        <v>410</v>
      </c>
      <c r="B82" s="1730" t="s">
        <v>6</v>
      </c>
      <c r="C82" s="1731"/>
      <c r="D82" s="1732"/>
      <c r="E82" s="1732"/>
      <c r="F82" s="1731"/>
      <c r="G82" s="1732"/>
      <c r="H82" s="1733"/>
      <c r="I82" s="1732"/>
      <c r="J82" s="1732"/>
      <c r="K82" s="1732"/>
      <c r="L82" s="1734"/>
      <c r="M82" s="1698"/>
      <c r="N82" s="1699"/>
      <c r="O82" s="1698"/>
      <c r="P82" s="1698"/>
      <c r="Q82" s="1699"/>
      <c r="R82" s="1698"/>
      <c r="S82" s="1698"/>
      <c r="T82" s="1699"/>
      <c r="U82" s="1698">
        <v>1</v>
      </c>
      <c r="V82" s="1698"/>
      <c r="W82" s="1699">
        <f>SUM(U82:V82)</f>
        <v>1</v>
      </c>
      <c r="X82" s="1698">
        <v>1</v>
      </c>
      <c r="Y82" s="1698"/>
      <c r="Z82" s="1699">
        <f>SUM(X82:Y82)</f>
        <v>1</v>
      </c>
      <c r="AA82" s="1698">
        <v>1</v>
      </c>
      <c r="AB82" s="1698"/>
      <c r="AC82" s="1699">
        <f>SUM(AA82:AB82)</f>
        <v>1</v>
      </c>
      <c r="AD82" s="1698"/>
      <c r="AE82" s="1698"/>
      <c r="AF82" s="1699">
        <f>SUM(AD82:AE82)</f>
        <v>0</v>
      </c>
      <c r="AG82" s="1698"/>
      <c r="AH82" s="1698"/>
      <c r="AI82" s="1699">
        <f>SUM(AG82:AH82)</f>
        <v>0</v>
      </c>
    </row>
    <row r="83" spans="1:35" x14ac:dyDescent="0.25">
      <c r="A83" s="6283"/>
      <c r="B83" s="1735" t="s">
        <v>9</v>
      </c>
      <c r="C83" s="1736"/>
      <c r="D83" s="1737"/>
      <c r="E83" s="1737"/>
      <c r="F83" s="1736"/>
      <c r="G83" s="1737"/>
      <c r="H83" s="1738"/>
      <c r="I83" s="1737"/>
      <c r="J83" s="1737"/>
      <c r="K83" s="1737"/>
      <c r="L83" s="1739"/>
      <c r="M83" s="1707"/>
      <c r="N83" s="1708"/>
      <c r="O83" s="1707"/>
      <c r="P83" s="1707"/>
      <c r="Q83" s="1708"/>
      <c r="R83" s="1707"/>
      <c r="S83" s="1707"/>
      <c r="T83" s="1708"/>
      <c r="U83" s="1707">
        <v>1</v>
      </c>
      <c r="V83" s="1707"/>
      <c r="W83" s="1708">
        <f>SUM(U83:V83)</f>
        <v>1</v>
      </c>
      <c r="X83" s="1707">
        <v>1</v>
      </c>
      <c r="Y83" s="1707"/>
      <c r="Z83" s="1708">
        <f>SUM(X83:Y83)</f>
        <v>1</v>
      </c>
      <c r="AA83" s="1707">
        <v>2</v>
      </c>
      <c r="AB83" s="1707"/>
      <c r="AC83" s="1708">
        <f>SUM(AA83:AB83)</f>
        <v>2</v>
      </c>
      <c r="AD83" s="1707">
        <v>1</v>
      </c>
      <c r="AE83" s="1707"/>
      <c r="AF83" s="1708">
        <f>SUM(AD83:AE83)</f>
        <v>1</v>
      </c>
      <c r="AG83" s="1707">
        <v>1</v>
      </c>
      <c r="AH83" s="1707">
        <v>0</v>
      </c>
      <c r="AI83" s="1708">
        <f>SUM(AG83:AH83)</f>
        <v>1</v>
      </c>
    </row>
    <row r="84" spans="1:35" x14ac:dyDescent="0.25">
      <c r="A84" s="6283"/>
      <c r="B84" s="1735" t="s">
        <v>74</v>
      </c>
      <c r="C84" s="1736"/>
      <c r="D84" s="1737"/>
      <c r="E84" s="1737"/>
      <c r="F84" s="1736"/>
      <c r="G84" s="1737"/>
      <c r="H84" s="1738"/>
      <c r="I84" s="1737"/>
      <c r="J84" s="1737"/>
      <c r="K84" s="1737"/>
      <c r="L84" s="1739"/>
      <c r="M84" s="1707"/>
      <c r="N84" s="1708"/>
      <c r="O84" s="1707"/>
      <c r="P84" s="1707"/>
      <c r="Q84" s="1708"/>
      <c r="R84" s="1707"/>
      <c r="S84" s="1707"/>
      <c r="T84" s="1708"/>
      <c r="U84" s="1707"/>
      <c r="V84" s="1707"/>
      <c r="W84" s="1708"/>
      <c r="X84" s="1707">
        <v>1</v>
      </c>
      <c r="Y84" s="1707"/>
      <c r="Z84" s="1708">
        <f>SUM(X84:Y84)</f>
        <v>1</v>
      </c>
      <c r="AA84" s="1707"/>
      <c r="AB84" s="1707"/>
      <c r="AC84" s="1708">
        <f>SUM(AA84:AB84)</f>
        <v>0</v>
      </c>
      <c r="AD84" s="1707">
        <v>2</v>
      </c>
      <c r="AE84" s="1707">
        <v>1</v>
      </c>
      <c r="AF84" s="1708">
        <f>SUM(AD84:AE84)</f>
        <v>3</v>
      </c>
      <c r="AG84" s="1707">
        <v>2</v>
      </c>
      <c r="AH84" s="1707">
        <v>3</v>
      </c>
      <c r="AI84" s="1708">
        <f>SUM(AG84:AH84)</f>
        <v>5</v>
      </c>
    </row>
    <row r="85" spans="1:35" x14ac:dyDescent="0.25">
      <c r="A85" s="6284"/>
      <c r="B85" s="2808" t="s">
        <v>12</v>
      </c>
      <c r="C85" s="2809"/>
      <c r="D85" s="2810"/>
      <c r="E85" s="2810"/>
      <c r="F85" s="2809"/>
      <c r="G85" s="2810"/>
      <c r="H85" s="2811"/>
      <c r="I85" s="2810"/>
      <c r="J85" s="2810"/>
      <c r="K85" s="2810"/>
      <c r="L85" s="2812"/>
      <c r="M85" s="2768"/>
      <c r="N85" s="2769"/>
      <c r="O85" s="2768"/>
      <c r="P85" s="2768"/>
      <c r="Q85" s="2769"/>
      <c r="R85" s="2768"/>
      <c r="S85" s="2768"/>
      <c r="T85" s="2769"/>
      <c r="U85" s="2768">
        <f>SUM(U82:U84)</f>
        <v>2</v>
      </c>
      <c r="V85" s="2768">
        <f>SUM(V82:V84)</f>
        <v>0</v>
      </c>
      <c r="W85" s="2769">
        <f>SUM(U85:V85)</f>
        <v>2</v>
      </c>
      <c r="X85" s="2768">
        <f>SUM(X82:X84)</f>
        <v>3</v>
      </c>
      <c r="Y85" s="2768">
        <f>SUM(Y82:Y84)</f>
        <v>0</v>
      </c>
      <c r="Z85" s="2769">
        <f>SUM(X85:Y85)</f>
        <v>3</v>
      </c>
      <c r="AA85" s="2768">
        <f>SUM(AA82:AA84)</f>
        <v>3</v>
      </c>
      <c r="AB85" s="2768">
        <f>SUM(AB82:AB84)</f>
        <v>0</v>
      </c>
      <c r="AC85" s="2769">
        <f>SUM(AA85:AB85)</f>
        <v>3</v>
      </c>
      <c r="AD85" s="2768">
        <f>SUM(AD82:AD84)</f>
        <v>3</v>
      </c>
      <c r="AE85" s="2768">
        <f>SUM(AE82:AE84)</f>
        <v>1</v>
      </c>
      <c r="AF85" s="2769">
        <f>SUM(AD85:AE85)</f>
        <v>4</v>
      </c>
      <c r="AG85" s="2768">
        <f>SUM(AG82:AG84)</f>
        <v>3</v>
      </c>
      <c r="AH85" s="2768">
        <f>SUM(AH82:AH84)</f>
        <v>3</v>
      </c>
      <c r="AI85" s="2769">
        <f>SUM(AG85:AH85)</f>
        <v>6</v>
      </c>
    </row>
    <row r="87" spans="1:35" x14ac:dyDescent="0.25">
      <c r="A87" s="6288" t="s">
        <v>162</v>
      </c>
      <c r="B87" s="1730" t="s">
        <v>5</v>
      </c>
      <c r="C87" s="1731">
        <v>6</v>
      </c>
      <c r="D87" s="1732">
        <v>14</v>
      </c>
      <c r="E87" s="1732">
        <f>SUM(C87:D87)</f>
        <v>20</v>
      </c>
      <c r="F87" s="1731">
        <v>6</v>
      </c>
      <c r="G87" s="1732">
        <v>13</v>
      </c>
      <c r="H87" s="1733">
        <f>SUM(F87:G87)</f>
        <v>19</v>
      </c>
      <c r="I87" s="1732">
        <v>6</v>
      </c>
      <c r="J87" s="1732">
        <v>13</v>
      </c>
      <c r="K87" s="1732">
        <f>SUM(I87:J87)</f>
        <v>19</v>
      </c>
      <c r="L87" s="1734">
        <v>5</v>
      </c>
      <c r="M87" s="1698">
        <v>12</v>
      </c>
      <c r="N87" s="1699">
        <f t="shared" si="29"/>
        <v>17</v>
      </c>
      <c r="O87" s="1698">
        <v>5</v>
      </c>
      <c r="P87" s="1698">
        <v>12</v>
      </c>
      <c r="Q87" s="1699">
        <f t="shared" si="30"/>
        <v>17</v>
      </c>
      <c r="R87" s="1698">
        <v>5</v>
      </c>
      <c r="S87" s="1698">
        <v>11</v>
      </c>
      <c r="T87" s="1699">
        <f t="shared" si="31"/>
        <v>16</v>
      </c>
      <c r="U87" s="1698">
        <v>5</v>
      </c>
      <c r="V87" s="1698">
        <v>10</v>
      </c>
      <c r="W87" s="1699">
        <f t="shared" si="32"/>
        <v>15</v>
      </c>
      <c r="X87" s="1698">
        <v>5</v>
      </c>
      <c r="Y87" s="1698">
        <v>9</v>
      </c>
      <c r="Z87" s="1699">
        <f>SUM(X87:Y87)</f>
        <v>14</v>
      </c>
      <c r="AA87" s="1698">
        <v>5</v>
      </c>
      <c r="AB87" s="1698">
        <v>9</v>
      </c>
      <c r="AC87" s="1699">
        <f>SUM(AA87:AB87)</f>
        <v>14</v>
      </c>
      <c r="AD87" s="1698">
        <v>5</v>
      </c>
      <c r="AE87" s="1698">
        <v>9</v>
      </c>
      <c r="AF87" s="1699">
        <f>SUM(AD87:AE87)</f>
        <v>14</v>
      </c>
      <c r="AG87" s="1698">
        <v>6</v>
      </c>
      <c r="AH87" s="1698">
        <v>9</v>
      </c>
      <c r="AI87" s="1699">
        <f>SUM(AG87:AH87)</f>
        <v>15</v>
      </c>
    </row>
    <row r="88" spans="1:35" x14ac:dyDescent="0.25">
      <c r="A88" s="6289"/>
      <c r="B88" s="1735" t="s">
        <v>6</v>
      </c>
      <c r="C88" s="1736">
        <v>13</v>
      </c>
      <c r="D88" s="1737">
        <v>29</v>
      </c>
      <c r="E88" s="1737">
        <f>SUM(C88:D88)</f>
        <v>42</v>
      </c>
      <c r="F88" s="1736">
        <v>14</v>
      </c>
      <c r="G88" s="1737">
        <v>27</v>
      </c>
      <c r="H88" s="1738">
        <f>SUM(F88:G88)</f>
        <v>41</v>
      </c>
      <c r="I88" s="1737">
        <v>15</v>
      </c>
      <c r="J88" s="1737">
        <v>26</v>
      </c>
      <c r="K88" s="1737">
        <f>SUM(I88:J88)</f>
        <v>41</v>
      </c>
      <c r="L88" s="1739">
        <v>13</v>
      </c>
      <c r="M88" s="1707">
        <v>27</v>
      </c>
      <c r="N88" s="1708">
        <f t="shared" si="29"/>
        <v>40</v>
      </c>
      <c r="O88" s="1707">
        <v>11</v>
      </c>
      <c r="P88" s="1707">
        <v>26</v>
      </c>
      <c r="Q88" s="1708">
        <f t="shared" si="30"/>
        <v>37</v>
      </c>
      <c r="R88" s="1707">
        <v>15</v>
      </c>
      <c r="S88" s="1707">
        <v>28</v>
      </c>
      <c r="T88" s="1708">
        <f t="shared" si="31"/>
        <v>43</v>
      </c>
      <c r="U88" s="1707">
        <v>15</v>
      </c>
      <c r="V88" s="1707">
        <v>27</v>
      </c>
      <c r="W88" s="1708">
        <f t="shared" si="32"/>
        <v>42</v>
      </c>
      <c r="X88" s="1707">
        <v>16</v>
      </c>
      <c r="Y88" s="1707">
        <v>29</v>
      </c>
      <c r="Z88" s="1708">
        <f>SUM(X88:Y88)</f>
        <v>45</v>
      </c>
      <c r="AA88" s="1707">
        <v>15</v>
      </c>
      <c r="AB88" s="1707">
        <v>28</v>
      </c>
      <c r="AC88" s="1708">
        <f>SUM(AA88:AB88)</f>
        <v>43</v>
      </c>
      <c r="AD88" s="1707">
        <v>17</v>
      </c>
      <c r="AE88" s="1707">
        <v>31</v>
      </c>
      <c r="AF88" s="1708">
        <f>SUM(AD88:AE88)</f>
        <v>48</v>
      </c>
      <c r="AG88" s="1707">
        <v>15</v>
      </c>
      <c r="AH88" s="1707">
        <v>24</v>
      </c>
      <c r="AI88" s="1708">
        <f>SUM(AG88:AH88)</f>
        <v>39</v>
      </c>
    </row>
    <row r="89" spans="1:35" x14ac:dyDescent="0.25">
      <c r="A89" s="6289"/>
      <c r="B89" s="1735" t="s">
        <v>11</v>
      </c>
      <c r="C89" s="1736">
        <v>18</v>
      </c>
      <c r="D89" s="1737">
        <v>20</v>
      </c>
      <c r="E89" s="1737">
        <f>SUM(C89:D89)</f>
        <v>38</v>
      </c>
      <c r="F89" s="1736">
        <v>18</v>
      </c>
      <c r="G89" s="1737">
        <v>18</v>
      </c>
      <c r="H89" s="1738">
        <f>SUM(F89:G89)</f>
        <v>36</v>
      </c>
      <c r="I89" s="1737">
        <v>15</v>
      </c>
      <c r="J89" s="1737">
        <v>16</v>
      </c>
      <c r="K89" s="1737">
        <f>SUM(I89:J89)</f>
        <v>31</v>
      </c>
      <c r="L89" s="1739">
        <v>14</v>
      </c>
      <c r="M89" s="1707">
        <v>14</v>
      </c>
      <c r="N89" s="1708">
        <f t="shared" si="29"/>
        <v>28</v>
      </c>
      <c r="O89" s="1707">
        <v>13</v>
      </c>
      <c r="P89" s="1707">
        <v>14</v>
      </c>
      <c r="Q89" s="1708">
        <f t="shared" si="30"/>
        <v>27</v>
      </c>
      <c r="R89" s="1707">
        <v>13</v>
      </c>
      <c r="S89" s="1707">
        <v>14</v>
      </c>
      <c r="T89" s="1708">
        <f t="shared" si="31"/>
        <v>27</v>
      </c>
      <c r="U89" s="1707">
        <v>13</v>
      </c>
      <c r="V89" s="1707">
        <v>13</v>
      </c>
      <c r="W89" s="1708">
        <f t="shared" si="32"/>
        <v>26</v>
      </c>
      <c r="X89" s="1707">
        <v>13</v>
      </c>
      <c r="Y89" s="1707">
        <v>13</v>
      </c>
      <c r="Z89" s="1708">
        <f>SUM(X89:Y89)</f>
        <v>26</v>
      </c>
      <c r="AA89" s="1707">
        <v>12</v>
      </c>
      <c r="AB89" s="1707">
        <v>10</v>
      </c>
      <c r="AC89" s="1708">
        <f>SUM(AA89:AB89)</f>
        <v>22</v>
      </c>
      <c r="AD89" s="1707">
        <v>10</v>
      </c>
      <c r="AE89" s="1707">
        <v>9</v>
      </c>
      <c r="AF89" s="1708">
        <f>SUM(AD89:AE89)</f>
        <v>19</v>
      </c>
      <c r="AG89" s="1707">
        <v>10</v>
      </c>
      <c r="AH89" s="1707">
        <v>9</v>
      </c>
      <c r="AI89" s="1708">
        <f>SUM(AG89:AH89)</f>
        <v>19</v>
      </c>
    </row>
    <row r="90" spans="1:35" x14ac:dyDescent="0.25">
      <c r="A90" s="6290"/>
      <c r="B90" s="2797" t="s">
        <v>12</v>
      </c>
      <c r="C90" s="2798">
        <f t="shared" ref="C90:M90" si="34">SUM(C87:C89)</f>
        <v>37</v>
      </c>
      <c r="D90" s="2799">
        <f t="shared" si="34"/>
        <v>63</v>
      </c>
      <c r="E90" s="2799">
        <f t="shared" si="34"/>
        <v>100</v>
      </c>
      <c r="F90" s="2798">
        <f t="shared" si="34"/>
        <v>38</v>
      </c>
      <c r="G90" s="2799">
        <f t="shared" si="34"/>
        <v>58</v>
      </c>
      <c r="H90" s="2800">
        <f t="shared" si="34"/>
        <v>96</v>
      </c>
      <c r="I90" s="2799">
        <f t="shared" si="34"/>
        <v>36</v>
      </c>
      <c r="J90" s="2799">
        <f t="shared" si="34"/>
        <v>55</v>
      </c>
      <c r="K90" s="2799">
        <f t="shared" si="34"/>
        <v>91</v>
      </c>
      <c r="L90" s="2801">
        <f t="shared" si="34"/>
        <v>32</v>
      </c>
      <c r="M90" s="2777">
        <f t="shared" si="34"/>
        <v>53</v>
      </c>
      <c r="N90" s="2778">
        <f t="shared" si="29"/>
        <v>85</v>
      </c>
      <c r="O90" s="2777">
        <f>SUM(O87:O89)</f>
        <v>29</v>
      </c>
      <c r="P90" s="2777">
        <f>SUM(P87:P89)</f>
        <v>52</v>
      </c>
      <c r="Q90" s="2778">
        <f t="shared" si="30"/>
        <v>81</v>
      </c>
      <c r="R90" s="2777">
        <f>SUM(R87:R89)</f>
        <v>33</v>
      </c>
      <c r="S90" s="2777">
        <f>SUM(S87:S89)</f>
        <v>53</v>
      </c>
      <c r="T90" s="2778">
        <f t="shared" si="31"/>
        <v>86</v>
      </c>
      <c r="U90" s="2777">
        <f>SUM(U87:U89)</f>
        <v>33</v>
      </c>
      <c r="V90" s="2777">
        <f>SUM(V87:V89)</f>
        <v>50</v>
      </c>
      <c r="W90" s="2778">
        <f t="shared" si="32"/>
        <v>83</v>
      </c>
      <c r="X90" s="2777">
        <f>SUM(X87:X89)</f>
        <v>34</v>
      </c>
      <c r="Y90" s="2777">
        <f>SUM(Y87:Y89)</f>
        <v>51</v>
      </c>
      <c r="Z90" s="2778">
        <f>SUM(X90:Y90)</f>
        <v>85</v>
      </c>
      <c r="AA90" s="2777">
        <f>SUM(AA87:AA89)</f>
        <v>32</v>
      </c>
      <c r="AB90" s="2777">
        <f>SUM(AB87:AB89)</f>
        <v>47</v>
      </c>
      <c r="AC90" s="2778">
        <f>SUM(AA90:AB90)</f>
        <v>79</v>
      </c>
      <c r="AD90" s="2777">
        <f>SUM(AD87:AD89)</f>
        <v>32</v>
      </c>
      <c r="AE90" s="2777">
        <f>SUM(AE87:AE89)</f>
        <v>49</v>
      </c>
      <c r="AF90" s="2778">
        <f>SUM(AD90:AE90)</f>
        <v>81</v>
      </c>
      <c r="AG90" s="2777">
        <f>SUM(AG87:AG89)</f>
        <v>31</v>
      </c>
      <c r="AH90" s="2777">
        <f>SUM(AH87:AH89)</f>
        <v>42</v>
      </c>
      <c r="AI90" s="2778">
        <f>SUM(AG90:AH90)</f>
        <v>73</v>
      </c>
    </row>
    <row r="92" spans="1:35" x14ac:dyDescent="0.25">
      <c r="A92" s="6291" t="s">
        <v>163</v>
      </c>
      <c r="B92" s="1730" t="s">
        <v>6</v>
      </c>
      <c r="C92" s="1731">
        <v>2</v>
      </c>
      <c r="D92" s="1732">
        <v>4</v>
      </c>
      <c r="E92" s="1732">
        <f>SUM(C92:D92)</f>
        <v>6</v>
      </c>
      <c r="F92" s="1731">
        <v>2</v>
      </c>
      <c r="G92" s="1732">
        <v>4</v>
      </c>
      <c r="H92" s="1733">
        <f>SUM(F92:G92)</f>
        <v>6</v>
      </c>
      <c r="I92" s="1731">
        <v>2</v>
      </c>
      <c r="J92" s="1732">
        <v>3</v>
      </c>
      <c r="K92" s="1733">
        <f>SUM(I92:J92)</f>
        <v>5</v>
      </c>
      <c r="L92" s="1734">
        <v>4</v>
      </c>
      <c r="M92" s="1698">
        <v>3</v>
      </c>
      <c r="N92" s="1699">
        <f t="shared" si="29"/>
        <v>7</v>
      </c>
      <c r="O92" s="1698">
        <v>4</v>
      </c>
      <c r="P92" s="1698">
        <v>2</v>
      </c>
      <c r="Q92" s="1699">
        <f t="shared" si="30"/>
        <v>6</v>
      </c>
      <c r="R92" s="1698">
        <v>9</v>
      </c>
      <c r="S92" s="1698">
        <v>6</v>
      </c>
      <c r="T92" s="1699">
        <f t="shared" si="31"/>
        <v>15</v>
      </c>
      <c r="U92" s="1698">
        <v>11</v>
      </c>
      <c r="V92" s="1698">
        <v>5</v>
      </c>
      <c r="W92" s="1699">
        <f t="shared" si="32"/>
        <v>16</v>
      </c>
      <c r="X92" s="1698">
        <v>10</v>
      </c>
      <c r="Y92" s="1698">
        <v>4</v>
      </c>
      <c r="Z92" s="1699">
        <f>SUM(X92:Y92)</f>
        <v>14</v>
      </c>
      <c r="AA92" s="1698">
        <v>9</v>
      </c>
      <c r="AB92" s="1698">
        <v>4</v>
      </c>
      <c r="AC92" s="1699">
        <f>SUM(AA92:AB92)</f>
        <v>13</v>
      </c>
      <c r="AD92" s="1698">
        <v>10</v>
      </c>
      <c r="AE92" s="1698">
        <v>4</v>
      </c>
      <c r="AF92" s="1699">
        <f>SUM(AD92:AE92)</f>
        <v>14</v>
      </c>
      <c r="AG92" s="1698">
        <v>8</v>
      </c>
      <c r="AH92" s="1698">
        <v>3</v>
      </c>
      <c r="AI92" s="1699">
        <f>SUM(AG92:AH92)</f>
        <v>11</v>
      </c>
    </row>
    <row r="93" spans="1:35" x14ac:dyDescent="0.25">
      <c r="A93" s="6292"/>
      <c r="B93" s="1735" t="s">
        <v>11</v>
      </c>
      <c r="C93" s="1736"/>
      <c r="D93" s="1737">
        <v>2</v>
      </c>
      <c r="E93" s="1737">
        <f>SUM(C93:D93)</f>
        <v>2</v>
      </c>
      <c r="F93" s="1736"/>
      <c r="G93" s="1737">
        <v>2</v>
      </c>
      <c r="H93" s="1738">
        <f>SUM(F93:G93)</f>
        <v>2</v>
      </c>
      <c r="I93" s="1736"/>
      <c r="J93" s="1737">
        <v>2</v>
      </c>
      <c r="K93" s="1738">
        <f>SUM(I93:J93)</f>
        <v>2</v>
      </c>
      <c r="L93" s="1739"/>
      <c r="M93" s="1707">
        <v>2</v>
      </c>
      <c r="N93" s="1708">
        <f t="shared" si="29"/>
        <v>2</v>
      </c>
      <c r="O93" s="1707"/>
      <c r="P93" s="1707">
        <v>2</v>
      </c>
      <c r="Q93" s="1708">
        <f t="shared" si="30"/>
        <v>2</v>
      </c>
      <c r="R93" s="1707"/>
      <c r="S93" s="1707">
        <v>3</v>
      </c>
      <c r="T93" s="1708">
        <f t="shared" si="31"/>
        <v>3</v>
      </c>
      <c r="U93" s="1707"/>
      <c r="V93" s="1707">
        <v>2</v>
      </c>
      <c r="W93" s="1708">
        <f t="shared" si="32"/>
        <v>2</v>
      </c>
      <c r="X93" s="1707"/>
      <c r="Y93" s="1707">
        <v>2</v>
      </c>
      <c r="Z93" s="1708">
        <f>SUM(X93:Y93)</f>
        <v>2</v>
      </c>
      <c r="AA93" s="1707">
        <v>1</v>
      </c>
      <c r="AB93" s="1707">
        <v>3</v>
      </c>
      <c r="AC93" s="1708">
        <f>SUM(AA93:AB93)</f>
        <v>4</v>
      </c>
      <c r="AD93" s="1707">
        <v>4</v>
      </c>
      <c r="AE93" s="1707">
        <v>5</v>
      </c>
      <c r="AF93" s="1708">
        <f>SUM(AD93:AE93)</f>
        <v>9</v>
      </c>
      <c r="AG93" s="1707">
        <v>3</v>
      </c>
      <c r="AH93" s="1707">
        <v>4</v>
      </c>
      <c r="AI93" s="1708">
        <f>SUM(AG93:AH93)</f>
        <v>7</v>
      </c>
    </row>
    <row r="94" spans="1:35" x14ac:dyDescent="0.25">
      <c r="A94" s="6292"/>
      <c r="B94" s="1735" t="s">
        <v>7</v>
      </c>
      <c r="C94" s="1736">
        <v>1</v>
      </c>
      <c r="D94" s="1737">
        <v>3</v>
      </c>
      <c r="E94" s="1737">
        <f>SUM(C94:D94)</f>
        <v>4</v>
      </c>
      <c r="F94" s="1736">
        <v>1</v>
      </c>
      <c r="G94" s="1737">
        <v>3</v>
      </c>
      <c r="H94" s="1738">
        <f>SUM(F94:G94)</f>
        <v>4</v>
      </c>
      <c r="I94" s="1736">
        <v>1</v>
      </c>
      <c r="J94" s="1737">
        <v>3</v>
      </c>
      <c r="K94" s="1738">
        <f>SUM(I94:J94)</f>
        <v>4</v>
      </c>
      <c r="L94" s="1739">
        <v>1</v>
      </c>
      <c r="M94" s="1707">
        <v>4</v>
      </c>
      <c r="N94" s="1708">
        <f t="shared" si="29"/>
        <v>5</v>
      </c>
      <c r="O94" s="1707">
        <v>1</v>
      </c>
      <c r="P94" s="1707">
        <v>7</v>
      </c>
      <c r="Q94" s="1708">
        <f t="shared" si="30"/>
        <v>8</v>
      </c>
      <c r="R94" s="1707">
        <v>1</v>
      </c>
      <c r="S94" s="1707">
        <v>7</v>
      </c>
      <c r="T94" s="1708">
        <f t="shared" si="31"/>
        <v>8</v>
      </c>
      <c r="U94" s="1707">
        <v>1</v>
      </c>
      <c r="V94" s="1707">
        <v>7</v>
      </c>
      <c r="W94" s="1708">
        <f t="shared" si="32"/>
        <v>8</v>
      </c>
      <c r="X94" s="1707">
        <v>1</v>
      </c>
      <c r="Y94" s="1707">
        <v>6</v>
      </c>
      <c r="Z94" s="1708">
        <f>SUM(X94:Y94)</f>
        <v>7</v>
      </c>
      <c r="AA94" s="1707">
        <v>1</v>
      </c>
      <c r="AB94" s="1707">
        <v>6</v>
      </c>
      <c r="AC94" s="1708">
        <f>SUM(AA94:AB94)</f>
        <v>7</v>
      </c>
      <c r="AD94" s="1707">
        <v>1</v>
      </c>
      <c r="AE94" s="1707">
        <v>6</v>
      </c>
      <c r="AF94" s="1708">
        <f>SUM(AD94:AE94)</f>
        <v>7</v>
      </c>
      <c r="AG94" s="1707">
        <v>1</v>
      </c>
      <c r="AH94" s="1707">
        <v>5</v>
      </c>
      <c r="AI94" s="1708">
        <f>SUM(AG94:AH94)</f>
        <v>6</v>
      </c>
    </row>
    <row r="95" spans="1:35" x14ac:dyDescent="0.25">
      <c r="A95" s="6293"/>
      <c r="B95" s="2803" t="s">
        <v>12</v>
      </c>
      <c r="C95" s="2804">
        <f t="shared" ref="C95:M95" si="35">SUM(C92:C94)</f>
        <v>3</v>
      </c>
      <c r="D95" s="2805">
        <f t="shared" si="35"/>
        <v>9</v>
      </c>
      <c r="E95" s="2805">
        <f t="shared" si="35"/>
        <v>12</v>
      </c>
      <c r="F95" s="2804">
        <f t="shared" si="35"/>
        <v>3</v>
      </c>
      <c r="G95" s="2805">
        <f t="shared" si="35"/>
        <v>9</v>
      </c>
      <c r="H95" s="2806">
        <f t="shared" si="35"/>
        <v>12</v>
      </c>
      <c r="I95" s="2804">
        <f t="shared" si="35"/>
        <v>3</v>
      </c>
      <c r="J95" s="2805">
        <f t="shared" si="35"/>
        <v>8</v>
      </c>
      <c r="K95" s="2806">
        <f t="shared" si="35"/>
        <v>11</v>
      </c>
      <c r="L95" s="2807">
        <f t="shared" si="35"/>
        <v>5</v>
      </c>
      <c r="M95" s="2795">
        <f t="shared" si="35"/>
        <v>9</v>
      </c>
      <c r="N95" s="2796">
        <f t="shared" si="29"/>
        <v>14</v>
      </c>
      <c r="O95" s="2795">
        <f>SUM(O92:O94)</f>
        <v>5</v>
      </c>
      <c r="P95" s="2795">
        <f>SUM(P92:P94)</f>
        <v>11</v>
      </c>
      <c r="Q95" s="2796">
        <f t="shared" si="30"/>
        <v>16</v>
      </c>
      <c r="R95" s="2795">
        <f>SUM(R92:R94)</f>
        <v>10</v>
      </c>
      <c r="S95" s="2795">
        <f>SUM(S92:S94)</f>
        <v>16</v>
      </c>
      <c r="T95" s="2796">
        <f t="shared" si="31"/>
        <v>26</v>
      </c>
      <c r="U95" s="2795">
        <f>SUM(U92:U94)</f>
        <v>12</v>
      </c>
      <c r="V95" s="2795">
        <f>SUM(V92:V94)</f>
        <v>14</v>
      </c>
      <c r="W95" s="2796">
        <f t="shared" si="32"/>
        <v>26</v>
      </c>
      <c r="X95" s="2795">
        <f>SUM(X92:X94)</f>
        <v>11</v>
      </c>
      <c r="Y95" s="2795">
        <f>SUM(Y92:Y94)</f>
        <v>12</v>
      </c>
      <c r="Z95" s="2796">
        <f>SUM(X95:Y95)</f>
        <v>23</v>
      </c>
      <c r="AA95" s="2795">
        <f>SUM(AA92:AA94)</f>
        <v>11</v>
      </c>
      <c r="AB95" s="2795">
        <f>SUM(AB92:AB94)</f>
        <v>13</v>
      </c>
      <c r="AC95" s="2796">
        <f>SUM(AA95:AB95)</f>
        <v>24</v>
      </c>
      <c r="AD95" s="2795">
        <f>SUM(AD92:AD94)</f>
        <v>15</v>
      </c>
      <c r="AE95" s="2795">
        <f>SUM(AE92:AE94)</f>
        <v>15</v>
      </c>
      <c r="AF95" s="2796">
        <f>SUM(AD95:AE95)</f>
        <v>30</v>
      </c>
      <c r="AG95" s="2795">
        <f>SUM(AG92:AG94)</f>
        <v>12</v>
      </c>
      <c r="AH95" s="2795">
        <f>SUM(AH92:AH94)</f>
        <v>12</v>
      </c>
      <c r="AI95" s="2796">
        <f>SUM(AG95:AH95)</f>
        <v>24</v>
      </c>
    </row>
    <row r="96" spans="1:35" x14ac:dyDescent="0.25">
      <c r="A96" s="1749"/>
      <c r="C96" s="1712"/>
      <c r="D96" s="1712"/>
      <c r="E96" s="1712"/>
      <c r="F96" s="1712"/>
      <c r="G96" s="1712"/>
      <c r="H96" s="1712"/>
      <c r="I96" s="1712"/>
      <c r="J96" s="1712"/>
      <c r="K96" s="1712"/>
      <c r="L96" s="1712"/>
      <c r="M96" s="1712"/>
      <c r="N96" s="1712"/>
      <c r="O96" s="1712"/>
      <c r="P96" s="1712"/>
      <c r="Q96" s="1712"/>
      <c r="R96" s="1712"/>
      <c r="S96" s="1712"/>
      <c r="T96" s="1712"/>
      <c r="U96" s="1712"/>
      <c r="V96" s="1712"/>
      <c r="W96" s="1712"/>
      <c r="X96" s="1712"/>
      <c r="Y96" s="1712"/>
      <c r="Z96" s="1712"/>
      <c r="AA96" s="1712"/>
      <c r="AB96" s="1712"/>
      <c r="AC96" s="1712"/>
      <c r="AD96" s="1712"/>
      <c r="AE96" s="1712"/>
      <c r="AF96" s="1712"/>
      <c r="AG96" s="1712"/>
      <c r="AH96" s="1712"/>
      <c r="AI96" s="1712"/>
    </row>
    <row r="97" spans="1:35" x14ac:dyDescent="0.25">
      <c r="A97" s="6294" t="s">
        <v>60</v>
      </c>
      <c r="B97" s="1730" t="s">
        <v>5</v>
      </c>
      <c r="C97" s="1734">
        <f t="shared" ref="C97:AC97" si="36">SUM(C77,C87)</f>
        <v>14</v>
      </c>
      <c r="D97" s="1698">
        <f t="shared" si="36"/>
        <v>50</v>
      </c>
      <c r="E97" s="1698">
        <f t="shared" si="36"/>
        <v>64</v>
      </c>
      <c r="F97" s="1734">
        <f t="shared" si="36"/>
        <v>16</v>
      </c>
      <c r="G97" s="1698">
        <f t="shared" si="36"/>
        <v>49</v>
      </c>
      <c r="H97" s="1698">
        <f t="shared" si="36"/>
        <v>65</v>
      </c>
      <c r="I97" s="1734">
        <f t="shared" si="36"/>
        <v>16</v>
      </c>
      <c r="J97" s="1698">
        <f t="shared" si="36"/>
        <v>49</v>
      </c>
      <c r="K97" s="1699">
        <f t="shared" si="36"/>
        <v>65</v>
      </c>
      <c r="L97" s="1698">
        <f t="shared" si="36"/>
        <v>14</v>
      </c>
      <c r="M97" s="1698">
        <f t="shared" si="36"/>
        <v>46</v>
      </c>
      <c r="N97" s="1698">
        <f t="shared" si="36"/>
        <v>60</v>
      </c>
      <c r="O97" s="1734">
        <f t="shared" si="36"/>
        <v>14</v>
      </c>
      <c r="P97" s="1698">
        <f t="shared" si="36"/>
        <v>45</v>
      </c>
      <c r="Q97" s="1699">
        <f t="shared" si="36"/>
        <v>59</v>
      </c>
      <c r="R97" s="1698">
        <f t="shared" si="36"/>
        <v>14</v>
      </c>
      <c r="S97" s="1698">
        <f t="shared" si="36"/>
        <v>41</v>
      </c>
      <c r="T97" s="1699">
        <f t="shared" si="36"/>
        <v>55</v>
      </c>
      <c r="U97" s="1734">
        <f t="shared" si="36"/>
        <v>14</v>
      </c>
      <c r="V97" s="1698">
        <f t="shared" si="36"/>
        <v>40</v>
      </c>
      <c r="W97" s="1699">
        <f t="shared" si="36"/>
        <v>54</v>
      </c>
      <c r="X97" s="1734">
        <f t="shared" si="36"/>
        <v>13</v>
      </c>
      <c r="Y97" s="1698">
        <f t="shared" si="36"/>
        <v>39</v>
      </c>
      <c r="Z97" s="1699">
        <f t="shared" si="36"/>
        <v>52</v>
      </c>
      <c r="AA97" s="1734">
        <f t="shared" si="36"/>
        <v>12</v>
      </c>
      <c r="AB97" s="1698">
        <f t="shared" si="36"/>
        <v>39</v>
      </c>
      <c r="AC97" s="1699">
        <f t="shared" si="36"/>
        <v>51</v>
      </c>
      <c r="AD97" s="1734">
        <f t="shared" ref="AD97:AI97" si="37">SUM(AD77,AD87)</f>
        <v>12</v>
      </c>
      <c r="AE97" s="1698">
        <f t="shared" si="37"/>
        <v>38</v>
      </c>
      <c r="AF97" s="1699">
        <f t="shared" si="37"/>
        <v>50</v>
      </c>
      <c r="AG97" s="1734">
        <f t="shared" si="37"/>
        <v>13</v>
      </c>
      <c r="AH97" s="1698">
        <f t="shared" si="37"/>
        <v>36</v>
      </c>
      <c r="AI97" s="1699">
        <f t="shared" si="37"/>
        <v>49</v>
      </c>
    </row>
    <row r="98" spans="1:35" x14ac:dyDescent="0.25">
      <c r="A98" s="6295"/>
      <c r="B98" s="1735" t="s">
        <v>6</v>
      </c>
      <c r="C98" s="1739">
        <f t="shared" ref="C98:T98" si="38">SUM(C78,C88,C92)</f>
        <v>17</v>
      </c>
      <c r="D98" s="1707">
        <f t="shared" si="38"/>
        <v>37</v>
      </c>
      <c r="E98" s="1707">
        <f t="shared" si="38"/>
        <v>54</v>
      </c>
      <c r="F98" s="1739">
        <f t="shared" si="38"/>
        <v>17</v>
      </c>
      <c r="G98" s="1707">
        <f t="shared" si="38"/>
        <v>35</v>
      </c>
      <c r="H98" s="1707">
        <f t="shared" si="38"/>
        <v>52</v>
      </c>
      <c r="I98" s="1739">
        <f t="shared" si="38"/>
        <v>18</v>
      </c>
      <c r="J98" s="1707">
        <f t="shared" si="38"/>
        <v>33</v>
      </c>
      <c r="K98" s="1708">
        <f t="shared" si="38"/>
        <v>51</v>
      </c>
      <c r="L98" s="1707">
        <f t="shared" si="38"/>
        <v>17</v>
      </c>
      <c r="M98" s="1707">
        <f t="shared" si="38"/>
        <v>34</v>
      </c>
      <c r="N98" s="1707">
        <f t="shared" si="38"/>
        <v>51</v>
      </c>
      <c r="O98" s="1739">
        <f t="shared" si="38"/>
        <v>15</v>
      </c>
      <c r="P98" s="1707">
        <f t="shared" si="38"/>
        <v>32</v>
      </c>
      <c r="Q98" s="1708">
        <f t="shared" si="38"/>
        <v>47</v>
      </c>
      <c r="R98" s="1707">
        <f t="shared" si="38"/>
        <v>26</v>
      </c>
      <c r="S98" s="1707">
        <f t="shared" si="38"/>
        <v>38</v>
      </c>
      <c r="T98" s="1708">
        <f t="shared" si="38"/>
        <v>64</v>
      </c>
      <c r="U98" s="1739">
        <f t="shared" ref="U98:AF98" si="39">SUM(U78,U82,U88,U92)</f>
        <v>31</v>
      </c>
      <c r="V98" s="1707">
        <f t="shared" si="39"/>
        <v>38</v>
      </c>
      <c r="W98" s="1708">
        <f t="shared" si="39"/>
        <v>69</v>
      </c>
      <c r="X98" s="1739">
        <f t="shared" si="39"/>
        <v>32</v>
      </c>
      <c r="Y98" s="1707">
        <f t="shared" si="39"/>
        <v>40</v>
      </c>
      <c r="Z98" s="1708">
        <f t="shared" si="39"/>
        <v>72</v>
      </c>
      <c r="AA98" s="1739">
        <f t="shared" si="39"/>
        <v>30</v>
      </c>
      <c r="AB98" s="1707">
        <f t="shared" si="39"/>
        <v>38</v>
      </c>
      <c r="AC98" s="1708">
        <f t="shared" si="39"/>
        <v>68</v>
      </c>
      <c r="AD98" s="1739">
        <f t="shared" si="39"/>
        <v>33</v>
      </c>
      <c r="AE98" s="1707">
        <f t="shared" si="39"/>
        <v>41</v>
      </c>
      <c r="AF98" s="1708">
        <f t="shared" si="39"/>
        <v>74</v>
      </c>
      <c r="AG98" s="1739">
        <f t="shared" ref="AG98:AI98" si="40">SUM(AG78,AG82,AG88,AG92)</f>
        <v>30</v>
      </c>
      <c r="AH98" s="1707">
        <f t="shared" si="40"/>
        <v>35</v>
      </c>
      <c r="AI98" s="1708">
        <f t="shared" si="40"/>
        <v>65</v>
      </c>
    </row>
    <row r="99" spans="1:35" x14ac:dyDescent="0.25">
      <c r="A99" s="6295"/>
      <c r="B99" s="1735" t="s">
        <v>11</v>
      </c>
      <c r="C99" s="1739">
        <f t="shared" ref="C99:AC99" si="41">SUM(C89,C93)</f>
        <v>18</v>
      </c>
      <c r="D99" s="1707">
        <f t="shared" si="41"/>
        <v>22</v>
      </c>
      <c r="E99" s="1707">
        <f t="shared" si="41"/>
        <v>40</v>
      </c>
      <c r="F99" s="1739">
        <f t="shared" si="41"/>
        <v>18</v>
      </c>
      <c r="G99" s="1707">
        <f t="shared" si="41"/>
        <v>20</v>
      </c>
      <c r="H99" s="1707">
        <f t="shared" si="41"/>
        <v>38</v>
      </c>
      <c r="I99" s="1739">
        <f t="shared" si="41"/>
        <v>15</v>
      </c>
      <c r="J99" s="1707">
        <f t="shared" si="41"/>
        <v>18</v>
      </c>
      <c r="K99" s="1708">
        <f t="shared" si="41"/>
        <v>33</v>
      </c>
      <c r="L99" s="1707">
        <f t="shared" si="41"/>
        <v>14</v>
      </c>
      <c r="M99" s="1707">
        <f t="shared" si="41"/>
        <v>16</v>
      </c>
      <c r="N99" s="1707">
        <f t="shared" si="41"/>
        <v>30</v>
      </c>
      <c r="O99" s="1739">
        <f t="shared" si="41"/>
        <v>13</v>
      </c>
      <c r="P99" s="1707">
        <f t="shared" si="41"/>
        <v>16</v>
      </c>
      <c r="Q99" s="1708">
        <f t="shared" si="41"/>
        <v>29</v>
      </c>
      <c r="R99" s="1707">
        <f t="shared" si="41"/>
        <v>13</v>
      </c>
      <c r="S99" s="1707">
        <f t="shared" si="41"/>
        <v>17</v>
      </c>
      <c r="T99" s="1708">
        <f t="shared" si="41"/>
        <v>30</v>
      </c>
      <c r="U99" s="1739">
        <f t="shared" si="41"/>
        <v>13</v>
      </c>
      <c r="V99" s="1707">
        <f t="shared" si="41"/>
        <v>15</v>
      </c>
      <c r="W99" s="1708">
        <f t="shared" si="41"/>
        <v>28</v>
      </c>
      <c r="X99" s="1739">
        <f t="shared" si="41"/>
        <v>13</v>
      </c>
      <c r="Y99" s="1707">
        <f t="shared" si="41"/>
        <v>15</v>
      </c>
      <c r="Z99" s="1708">
        <f t="shared" si="41"/>
        <v>28</v>
      </c>
      <c r="AA99" s="1739">
        <f t="shared" si="41"/>
        <v>13</v>
      </c>
      <c r="AB99" s="1707">
        <f t="shared" si="41"/>
        <v>13</v>
      </c>
      <c r="AC99" s="1708">
        <f t="shared" si="41"/>
        <v>26</v>
      </c>
      <c r="AD99" s="1739">
        <f t="shared" ref="AD99:AI99" si="42">SUM(AD89,AD93)</f>
        <v>14</v>
      </c>
      <c r="AE99" s="1707">
        <f t="shared" si="42"/>
        <v>14</v>
      </c>
      <c r="AF99" s="1708">
        <f t="shared" si="42"/>
        <v>28</v>
      </c>
      <c r="AG99" s="1739">
        <f t="shared" si="42"/>
        <v>13</v>
      </c>
      <c r="AH99" s="1707">
        <f t="shared" si="42"/>
        <v>13</v>
      </c>
      <c r="AI99" s="1708">
        <f t="shared" si="42"/>
        <v>26</v>
      </c>
    </row>
    <row r="100" spans="1:35" x14ac:dyDescent="0.25">
      <c r="A100" s="6295"/>
      <c r="B100" s="1735" t="s">
        <v>7</v>
      </c>
      <c r="C100" s="1739">
        <f t="shared" ref="C100:AC100" si="43">SUM(C79,C94)</f>
        <v>4</v>
      </c>
      <c r="D100" s="1707">
        <f t="shared" si="43"/>
        <v>8</v>
      </c>
      <c r="E100" s="1707">
        <f t="shared" si="43"/>
        <v>12</v>
      </c>
      <c r="F100" s="1739">
        <f t="shared" si="43"/>
        <v>2</v>
      </c>
      <c r="G100" s="1707">
        <f t="shared" si="43"/>
        <v>8</v>
      </c>
      <c r="H100" s="1707">
        <f t="shared" si="43"/>
        <v>10</v>
      </c>
      <c r="I100" s="1739">
        <f t="shared" si="43"/>
        <v>3</v>
      </c>
      <c r="J100" s="1707">
        <f t="shared" si="43"/>
        <v>8</v>
      </c>
      <c r="K100" s="1708">
        <f t="shared" si="43"/>
        <v>11</v>
      </c>
      <c r="L100" s="1707">
        <f t="shared" si="43"/>
        <v>3</v>
      </c>
      <c r="M100" s="1707">
        <f t="shared" si="43"/>
        <v>7</v>
      </c>
      <c r="N100" s="1707">
        <f t="shared" si="43"/>
        <v>10</v>
      </c>
      <c r="O100" s="1739">
        <f t="shared" si="43"/>
        <v>2</v>
      </c>
      <c r="P100" s="1707">
        <f t="shared" si="43"/>
        <v>11</v>
      </c>
      <c r="Q100" s="1708">
        <f t="shared" si="43"/>
        <v>13</v>
      </c>
      <c r="R100" s="1707">
        <f t="shared" si="43"/>
        <v>2</v>
      </c>
      <c r="S100" s="1707">
        <f t="shared" si="43"/>
        <v>11</v>
      </c>
      <c r="T100" s="1708">
        <f t="shared" si="43"/>
        <v>13</v>
      </c>
      <c r="U100" s="1739">
        <f t="shared" si="43"/>
        <v>2</v>
      </c>
      <c r="V100" s="1707">
        <f t="shared" si="43"/>
        <v>12</v>
      </c>
      <c r="W100" s="1708">
        <f t="shared" si="43"/>
        <v>14</v>
      </c>
      <c r="X100" s="1739">
        <f t="shared" si="43"/>
        <v>2</v>
      </c>
      <c r="Y100" s="1707">
        <f t="shared" si="43"/>
        <v>11</v>
      </c>
      <c r="Z100" s="1708">
        <f t="shared" si="43"/>
        <v>13</v>
      </c>
      <c r="AA100" s="1739">
        <f t="shared" si="43"/>
        <v>3</v>
      </c>
      <c r="AB100" s="1707">
        <f t="shared" si="43"/>
        <v>10</v>
      </c>
      <c r="AC100" s="1708">
        <f t="shared" si="43"/>
        <v>13</v>
      </c>
      <c r="AD100" s="1739">
        <f t="shared" ref="AD100:AI100" si="44">SUM(AD79,AD94)</f>
        <v>4</v>
      </c>
      <c r="AE100" s="1707">
        <f t="shared" si="44"/>
        <v>11</v>
      </c>
      <c r="AF100" s="1708">
        <f t="shared" si="44"/>
        <v>15</v>
      </c>
      <c r="AG100" s="1739">
        <f t="shared" si="44"/>
        <v>4</v>
      </c>
      <c r="AH100" s="1707">
        <f t="shared" si="44"/>
        <v>10</v>
      </c>
      <c r="AI100" s="1708">
        <f t="shared" si="44"/>
        <v>14</v>
      </c>
    </row>
    <row r="101" spans="1:35" x14ac:dyDescent="0.25">
      <c r="A101" s="6295"/>
      <c r="B101" s="1735" t="s">
        <v>9</v>
      </c>
      <c r="C101" s="1742"/>
      <c r="D101" s="1719"/>
      <c r="E101" s="1719"/>
      <c r="F101" s="1742"/>
      <c r="G101" s="1719"/>
      <c r="H101" s="1719"/>
      <c r="I101" s="1739"/>
      <c r="J101" s="1707"/>
      <c r="K101" s="1708"/>
      <c r="L101" s="1707"/>
      <c r="M101" s="1707"/>
      <c r="N101" s="1707"/>
      <c r="O101" s="1739"/>
      <c r="P101" s="1707"/>
      <c r="Q101" s="1708"/>
      <c r="R101" s="1707"/>
      <c r="S101" s="1707"/>
      <c r="T101" s="1708"/>
      <c r="U101" s="1739">
        <f t="shared" ref="U101:AF101" si="45">SUM(U83)</f>
        <v>1</v>
      </c>
      <c r="V101" s="1707">
        <f t="shared" si="45"/>
        <v>0</v>
      </c>
      <c r="W101" s="1708">
        <f t="shared" si="45"/>
        <v>1</v>
      </c>
      <c r="X101" s="1739">
        <f t="shared" si="45"/>
        <v>1</v>
      </c>
      <c r="Y101" s="1707">
        <f t="shared" si="45"/>
        <v>0</v>
      </c>
      <c r="Z101" s="1708">
        <f t="shared" si="45"/>
        <v>1</v>
      </c>
      <c r="AA101" s="1739">
        <f t="shared" si="45"/>
        <v>2</v>
      </c>
      <c r="AB101" s="1707">
        <f t="shared" si="45"/>
        <v>0</v>
      </c>
      <c r="AC101" s="1708">
        <f t="shared" si="45"/>
        <v>2</v>
      </c>
      <c r="AD101" s="1739">
        <f t="shared" si="45"/>
        <v>1</v>
      </c>
      <c r="AE101" s="1707">
        <f t="shared" si="45"/>
        <v>0</v>
      </c>
      <c r="AF101" s="1708">
        <f t="shared" si="45"/>
        <v>1</v>
      </c>
      <c r="AG101" s="1739">
        <f t="shared" ref="AG101:AI101" si="46">SUM(AG83)</f>
        <v>1</v>
      </c>
      <c r="AH101" s="1707">
        <f t="shared" si="46"/>
        <v>0</v>
      </c>
      <c r="AI101" s="1708">
        <f t="shared" si="46"/>
        <v>1</v>
      </c>
    </row>
    <row r="102" spans="1:35" x14ac:dyDescent="0.25">
      <c r="A102" s="6295"/>
      <c r="B102" s="1750" t="s">
        <v>74</v>
      </c>
      <c r="C102" s="1751"/>
      <c r="D102" s="1752"/>
      <c r="E102" s="1752"/>
      <c r="F102" s="1751"/>
      <c r="G102" s="1752"/>
      <c r="H102" s="1752"/>
      <c r="I102" s="1739"/>
      <c r="J102" s="1707"/>
      <c r="K102" s="1708"/>
      <c r="L102" s="1707"/>
      <c r="M102" s="1707"/>
      <c r="N102" s="1707"/>
      <c r="O102" s="1739"/>
      <c r="P102" s="1707"/>
      <c r="Q102" s="1708"/>
      <c r="R102" s="1707"/>
      <c r="S102" s="1707"/>
      <c r="T102" s="1708"/>
      <c r="U102" s="1739"/>
      <c r="V102" s="1707"/>
      <c r="W102" s="1708"/>
      <c r="X102" s="1739">
        <f t="shared" ref="X102:AF102" si="47">SUM(X84)</f>
        <v>1</v>
      </c>
      <c r="Y102" s="1707">
        <f t="shared" si="47"/>
        <v>0</v>
      </c>
      <c r="Z102" s="1708">
        <f t="shared" si="47"/>
        <v>1</v>
      </c>
      <c r="AA102" s="1739">
        <f t="shared" si="47"/>
        <v>0</v>
      </c>
      <c r="AB102" s="1707">
        <f t="shared" si="47"/>
        <v>0</v>
      </c>
      <c r="AC102" s="1708">
        <f t="shared" si="47"/>
        <v>0</v>
      </c>
      <c r="AD102" s="1739">
        <f t="shared" si="47"/>
        <v>2</v>
      </c>
      <c r="AE102" s="1707">
        <f t="shared" si="47"/>
        <v>1</v>
      </c>
      <c r="AF102" s="1708">
        <f t="shared" si="47"/>
        <v>3</v>
      </c>
      <c r="AG102" s="1739">
        <f t="shared" ref="AG102:AI102" si="48">SUM(AG84)</f>
        <v>2</v>
      </c>
      <c r="AH102" s="1707">
        <f t="shared" si="48"/>
        <v>3</v>
      </c>
      <c r="AI102" s="1708">
        <f t="shared" si="48"/>
        <v>5</v>
      </c>
    </row>
    <row r="103" spans="1:35" x14ac:dyDescent="0.25">
      <c r="A103" s="6296"/>
      <c r="B103" s="1743" t="s">
        <v>12</v>
      </c>
      <c r="C103" s="1744">
        <f t="shared" ref="C103:M103" si="49">SUM(C97:C100)</f>
        <v>53</v>
      </c>
      <c r="D103" s="1745">
        <f t="shared" si="49"/>
        <v>117</v>
      </c>
      <c r="E103" s="1745">
        <f t="shared" si="49"/>
        <v>170</v>
      </c>
      <c r="F103" s="1744">
        <f t="shared" si="49"/>
        <v>53</v>
      </c>
      <c r="G103" s="1745">
        <f t="shared" si="49"/>
        <v>112</v>
      </c>
      <c r="H103" s="1746">
        <f t="shared" si="49"/>
        <v>165</v>
      </c>
      <c r="I103" s="1745">
        <f t="shared" si="49"/>
        <v>52</v>
      </c>
      <c r="J103" s="1745">
        <f t="shared" si="49"/>
        <v>108</v>
      </c>
      <c r="K103" s="1745">
        <f t="shared" si="49"/>
        <v>160</v>
      </c>
      <c r="L103" s="1747">
        <f t="shared" si="49"/>
        <v>48</v>
      </c>
      <c r="M103" s="1728">
        <f t="shared" si="49"/>
        <v>103</v>
      </c>
      <c r="N103" s="1729">
        <f>SUM(L103:M103)</f>
        <v>151</v>
      </c>
      <c r="O103" s="1728">
        <f>SUM(O97:O100)</f>
        <v>44</v>
      </c>
      <c r="P103" s="1728">
        <f>SUM(P97:P100)</f>
        <v>104</v>
      </c>
      <c r="Q103" s="1729">
        <f>SUM(O103:P103)</f>
        <v>148</v>
      </c>
      <c r="R103" s="1728">
        <f>SUM(R97:R100)</f>
        <v>55</v>
      </c>
      <c r="S103" s="1728">
        <f>SUM(S97:S100)</f>
        <v>107</v>
      </c>
      <c r="T103" s="1729">
        <f>SUM(R103:S103)</f>
        <v>162</v>
      </c>
      <c r="U103" s="1747">
        <f>SUM(U97:U101)</f>
        <v>61</v>
      </c>
      <c r="V103" s="1728">
        <f>SUM(V97:V101)</f>
        <v>105</v>
      </c>
      <c r="W103" s="1729">
        <f>SUM(U103:V103)</f>
        <v>166</v>
      </c>
      <c r="X103" s="1747">
        <f>SUM(X97:X102)</f>
        <v>62</v>
      </c>
      <c r="Y103" s="1728">
        <f>SUM(Y97:Y101)</f>
        <v>105</v>
      </c>
      <c r="Z103" s="1729">
        <f>SUM(X103:Y103)</f>
        <v>167</v>
      </c>
      <c r="AA103" s="1747">
        <f>SUM(AA97:AA102)</f>
        <v>60</v>
      </c>
      <c r="AB103" s="1728">
        <f>SUM(AB97:AB101)</f>
        <v>100</v>
      </c>
      <c r="AC103" s="1729">
        <f>SUM(AA103:AB103)</f>
        <v>160</v>
      </c>
      <c r="AD103" s="1747">
        <f t="shared" ref="AD103:AI103" si="50">SUM(AD97:AD102)</f>
        <v>66</v>
      </c>
      <c r="AE103" s="1728">
        <f t="shared" si="50"/>
        <v>105</v>
      </c>
      <c r="AF103" s="1729">
        <f t="shared" si="50"/>
        <v>171</v>
      </c>
      <c r="AG103" s="1747">
        <f t="shared" si="50"/>
        <v>63</v>
      </c>
      <c r="AH103" s="1728">
        <f t="shared" si="50"/>
        <v>97</v>
      </c>
      <c r="AI103" s="1729">
        <f t="shared" si="50"/>
        <v>160</v>
      </c>
    </row>
    <row r="105" spans="1:35" ht="36.75" customHeight="1" x14ac:dyDescent="0.25">
      <c r="A105" s="6278" t="s">
        <v>780</v>
      </c>
      <c r="B105" s="6278"/>
      <c r="AF105" s="2833"/>
      <c r="AI105" s="2833" t="s">
        <v>12</v>
      </c>
    </row>
    <row r="106" spans="1:35" x14ac:dyDescent="0.25">
      <c r="C106" s="1748"/>
      <c r="D106" s="1748"/>
      <c r="E106" s="1748"/>
      <c r="F106" s="1748"/>
      <c r="G106" s="1748"/>
      <c r="H106" s="1748"/>
      <c r="I106" s="1748"/>
      <c r="J106" s="1748"/>
      <c r="K106" s="1748"/>
      <c r="L106" s="1748"/>
      <c r="M106" s="1748"/>
      <c r="N106" s="1748"/>
      <c r="O106" s="1748"/>
      <c r="P106" s="1748"/>
      <c r="Q106" s="1748"/>
      <c r="R106" s="1748"/>
      <c r="S106" s="1748"/>
      <c r="T106" s="1748"/>
    </row>
    <row r="107" spans="1:35" x14ac:dyDescent="0.25">
      <c r="A107" s="5020" t="s">
        <v>16</v>
      </c>
      <c r="B107" s="5020" t="s">
        <v>4</v>
      </c>
      <c r="C107" s="6273">
        <v>2005</v>
      </c>
      <c r="D107" s="6274"/>
      <c r="E107" s="6275"/>
      <c r="F107" s="6273">
        <v>2006</v>
      </c>
      <c r="G107" s="6274"/>
      <c r="H107" s="6275"/>
      <c r="I107" s="6273">
        <v>2007</v>
      </c>
      <c r="J107" s="6274"/>
      <c r="K107" s="6275"/>
      <c r="L107" s="6273">
        <v>2008</v>
      </c>
      <c r="M107" s="6274"/>
      <c r="N107" s="6275"/>
      <c r="O107" s="6273">
        <v>2009</v>
      </c>
      <c r="P107" s="6274"/>
      <c r="Q107" s="6275"/>
      <c r="R107" s="6273">
        <v>2010</v>
      </c>
      <c r="S107" s="6274"/>
      <c r="T107" s="6275"/>
      <c r="U107" s="6273">
        <v>2011</v>
      </c>
      <c r="V107" s="6274"/>
      <c r="W107" s="6275"/>
      <c r="X107" s="6273">
        <v>2012</v>
      </c>
      <c r="Y107" s="6274"/>
      <c r="Z107" s="6275"/>
      <c r="AA107" s="6273">
        <v>2013</v>
      </c>
      <c r="AB107" s="6274"/>
      <c r="AC107" s="6275"/>
      <c r="AD107" s="6273">
        <v>2014</v>
      </c>
      <c r="AE107" s="6274"/>
      <c r="AF107" s="6275"/>
      <c r="AG107" s="6273">
        <v>2015</v>
      </c>
      <c r="AH107" s="6274"/>
      <c r="AI107" s="6275"/>
    </row>
    <row r="108" spans="1:35" x14ac:dyDescent="0.25">
      <c r="A108" s="5021"/>
      <c r="B108" s="5021"/>
      <c r="C108" s="1753" t="s">
        <v>654</v>
      </c>
      <c r="D108" s="1753" t="s">
        <v>655</v>
      </c>
      <c r="E108" s="1689" t="s">
        <v>12</v>
      </c>
      <c r="F108" s="1753" t="s">
        <v>654</v>
      </c>
      <c r="G108" s="1753" t="s">
        <v>655</v>
      </c>
      <c r="H108" s="1689" t="s">
        <v>12</v>
      </c>
      <c r="I108" s="1753" t="s">
        <v>654</v>
      </c>
      <c r="J108" s="1753" t="s">
        <v>655</v>
      </c>
      <c r="K108" s="1689" t="s">
        <v>12</v>
      </c>
      <c r="L108" s="1753" t="s">
        <v>654</v>
      </c>
      <c r="M108" s="1753" t="s">
        <v>655</v>
      </c>
      <c r="N108" s="1689" t="s">
        <v>12</v>
      </c>
      <c r="O108" s="1753" t="s">
        <v>654</v>
      </c>
      <c r="P108" s="1753" t="s">
        <v>655</v>
      </c>
      <c r="Q108" s="1689" t="s">
        <v>12</v>
      </c>
      <c r="R108" s="1753" t="s">
        <v>654</v>
      </c>
      <c r="S108" s="1753" t="s">
        <v>655</v>
      </c>
      <c r="T108" s="1689" t="s">
        <v>12</v>
      </c>
      <c r="U108" s="1753" t="s">
        <v>654</v>
      </c>
      <c r="V108" s="1753" t="s">
        <v>655</v>
      </c>
      <c r="W108" s="1689" t="s">
        <v>12</v>
      </c>
      <c r="X108" s="1753" t="s">
        <v>654</v>
      </c>
      <c r="Y108" s="1753" t="s">
        <v>655</v>
      </c>
      <c r="Z108" s="1689" t="s">
        <v>12</v>
      </c>
      <c r="AA108" s="1753" t="s">
        <v>654</v>
      </c>
      <c r="AB108" s="1753" t="s">
        <v>655</v>
      </c>
      <c r="AC108" s="1689" t="s">
        <v>12</v>
      </c>
      <c r="AD108" s="1753" t="s">
        <v>654</v>
      </c>
      <c r="AE108" s="1753" t="s">
        <v>655</v>
      </c>
      <c r="AF108" s="1689" t="s">
        <v>12</v>
      </c>
      <c r="AG108" s="1753" t="s">
        <v>654</v>
      </c>
      <c r="AH108" s="1753" t="s">
        <v>655</v>
      </c>
      <c r="AI108" s="1689" t="s">
        <v>12</v>
      </c>
    </row>
    <row r="109" spans="1:35" x14ac:dyDescent="0.25">
      <c r="A109" s="1749"/>
      <c r="B109" s="1749"/>
    </row>
    <row r="110" spans="1:35" x14ac:dyDescent="0.25">
      <c r="A110" s="6285" t="s">
        <v>161</v>
      </c>
      <c r="B110" s="1730" t="s">
        <v>5</v>
      </c>
      <c r="C110" s="1731">
        <f t="shared" ref="C110:AE110" si="51">SUM(C6,C44,C77)</f>
        <v>79</v>
      </c>
      <c r="D110" s="1732">
        <f t="shared" si="51"/>
        <v>325</v>
      </c>
      <c r="E110" s="1732">
        <f t="shared" si="51"/>
        <v>404</v>
      </c>
      <c r="F110" s="1731">
        <f t="shared" si="51"/>
        <v>81</v>
      </c>
      <c r="G110" s="1732">
        <f t="shared" si="51"/>
        <v>326</v>
      </c>
      <c r="H110" s="1733">
        <f t="shared" si="51"/>
        <v>407</v>
      </c>
      <c r="I110" s="1731">
        <f t="shared" si="51"/>
        <v>85</v>
      </c>
      <c r="J110" s="1732">
        <f t="shared" si="51"/>
        <v>334</v>
      </c>
      <c r="K110" s="1733">
        <f t="shared" si="51"/>
        <v>419</v>
      </c>
      <c r="L110" s="1734">
        <f t="shared" si="51"/>
        <v>87</v>
      </c>
      <c r="M110" s="1698">
        <f t="shared" si="51"/>
        <v>327</v>
      </c>
      <c r="N110" s="1699">
        <f t="shared" si="51"/>
        <v>414</v>
      </c>
      <c r="O110" s="1698">
        <f t="shared" si="51"/>
        <v>84</v>
      </c>
      <c r="P110" s="1698">
        <f t="shared" si="51"/>
        <v>330</v>
      </c>
      <c r="Q110" s="1699">
        <f t="shared" si="51"/>
        <v>414</v>
      </c>
      <c r="R110" s="1734">
        <f t="shared" si="51"/>
        <v>87</v>
      </c>
      <c r="S110" s="1698">
        <f t="shared" si="51"/>
        <v>322</v>
      </c>
      <c r="T110" s="1699">
        <f t="shared" si="51"/>
        <v>409</v>
      </c>
      <c r="U110" s="1734">
        <f t="shared" si="51"/>
        <v>86</v>
      </c>
      <c r="V110" s="1698">
        <f t="shared" si="51"/>
        <v>319</v>
      </c>
      <c r="W110" s="1699">
        <f t="shared" si="51"/>
        <v>405</v>
      </c>
      <c r="X110" s="1734">
        <f t="shared" si="51"/>
        <v>87</v>
      </c>
      <c r="Y110" s="1698">
        <f t="shared" si="51"/>
        <v>321</v>
      </c>
      <c r="Z110" s="1699">
        <f t="shared" si="51"/>
        <v>408</v>
      </c>
      <c r="AA110" s="1734">
        <f t="shared" si="51"/>
        <v>87</v>
      </c>
      <c r="AB110" s="1698">
        <f t="shared" si="51"/>
        <v>320</v>
      </c>
      <c r="AC110" s="1699">
        <f t="shared" si="51"/>
        <v>407</v>
      </c>
      <c r="AD110" s="1734">
        <f t="shared" si="51"/>
        <v>94</v>
      </c>
      <c r="AE110" s="1698">
        <f t="shared" si="51"/>
        <v>320</v>
      </c>
      <c r="AF110" s="1699">
        <f>SUM(AD110:AE110)</f>
        <v>414</v>
      </c>
      <c r="AG110" s="1734">
        <f t="shared" ref="AG110:AH110" si="52">SUM(AG6,AG44,AG77)</f>
        <v>92</v>
      </c>
      <c r="AH110" s="1698">
        <f t="shared" si="52"/>
        <v>311</v>
      </c>
      <c r="AI110" s="1699">
        <f>SUM(AG110:AH110)</f>
        <v>403</v>
      </c>
    </row>
    <row r="111" spans="1:35" x14ac:dyDescent="0.25">
      <c r="A111" s="6286"/>
      <c r="B111" s="1735" t="s">
        <v>6</v>
      </c>
      <c r="C111" s="1736">
        <f t="shared" ref="C111:AE111" si="53">SUM(C7,C45,C78)</f>
        <v>135</v>
      </c>
      <c r="D111" s="1737">
        <f t="shared" si="53"/>
        <v>216</v>
      </c>
      <c r="E111" s="1737">
        <f t="shared" si="53"/>
        <v>351</v>
      </c>
      <c r="F111" s="1736">
        <f t="shared" si="53"/>
        <v>138</v>
      </c>
      <c r="G111" s="1737">
        <f t="shared" si="53"/>
        <v>223</v>
      </c>
      <c r="H111" s="1738">
        <f t="shared" si="53"/>
        <v>361</v>
      </c>
      <c r="I111" s="1736">
        <f t="shared" si="53"/>
        <v>144</v>
      </c>
      <c r="J111" s="1737">
        <f t="shared" si="53"/>
        <v>221</v>
      </c>
      <c r="K111" s="1738">
        <f t="shared" si="53"/>
        <v>365</v>
      </c>
      <c r="L111" s="1739">
        <f t="shared" si="53"/>
        <v>145</v>
      </c>
      <c r="M111" s="1707">
        <f t="shared" si="53"/>
        <v>219</v>
      </c>
      <c r="N111" s="1708">
        <f t="shared" si="53"/>
        <v>364</v>
      </c>
      <c r="O111" s="1707">
        <f t="shared" si="53"/>
        <v>142</v>
      </c>
      <c r="P111" s="1707">
        <f t="shared" si="53"/>
        <v>219</v>
      </c>
      <c r="Q111" s="1708">
        <f t="shared" si="53"/>
        <v>361</v>
      </c>
      <c r="R111" s="1739">
        <f t="shared" si="53"/>
        <v>142</v>
      </c>
      <c r="S111" s="1707">
        <f t="shared" si="53"/>
        <v>216</v>
      </c>
      <c r="T111" s="1708">
        <f t="shared" si="53"/>
        <v>358</v>
      </c>
      <c r="U111" s="1739">
        <f t="shared" si="53"/>
        <v>144</v>
      </c>
      <c r="V111" s="1707">
        <f t="shared" si="53"/>
        <v>223</v>
      </c>
      <c r="W111" s="1708">
        <f t="shared" si="53"/>
        <v>367</v>
      </c>
      <c r="X111" s="1739">
        <f t="shared" si="53"/>
        <v>145</v>
      </c>
      <c r="Y111" s="1707">
        <f t="shared" si="53"/>
        <v>220</v>
      </c>
      <c r="Z111" s="1708">
        <f t="shared" si="53"/>
        <v>365</v>
      </c>
      <c r="AA111" s="1739">
        <f t="shared" si="53"/>
        <v>149</v>
      </c>
      <c r="AB111" s="1707">
        <f t="shared" si="53"/>
        <v>225</v>
      </c>
      <c r="AC111" s="1708">
        <f t="shared" si="53"/>
        <v>374</v>
      </c>
      <c r="AD111" s="1739">
        <f t="shared" si="53"/>
        <v>150</v>
      </c>
      <c r="AE111" s="1707">
        <f t="shared" si="53"/>
        <v>224</v>
      </c>
      <c r="AF111" s="1708">
        <f>SUM(AD111:AE111)</f>
        <v>374</v>
      </c>
      <c r="AG111" s="1739">
        <f t="shared" ref="AG111:AH111" si="54">SUM(AG7,AG45,AG78)</f>
        <v>146</v>
      </c>
      <c r="AH111" s="1707">
        <f t="shared" si="54"/>
        <v>221</v>
      </c>
      <c r="AI111" s="1708">
        <f>SUM(AG111:AH111)</f>
        <v>367</v>
      </c>
    </row>
    <row r="112" spans="1:35" x14ac:dyDescent="0.25">
      <c r="A112" s="6286"/>
      <c r="B112" s="1735" t="s">
        <v>7</v>
      </c>
      <c r="C112" s="1736">
        <f t="shared" ref="C112:AE112" si="55">SUM(C8,C46,C79)</f>
        <v>76</v>
      </c>
      <c r="D112" s="1737">
        <f t="shared" si="55"/>
        <v>156</v>
      </c>
      <c r="E112" s="1737">
        <f t="shared" si="55"/>
        <v>232</v>
      </c>
      <c r="F112" s="1736">
        <f t="shared" si="55"/>
        <v>73</v>
      </c>
      <c r="G112" s="1737">
        <f t="shared" si="55"/>
        <v>153</v>
      </c>
      <c r="H112" s="1738">
        <f t="shared" si="55"/>
        <v>226</v>
      </c>
      <c r="I112" s="1736">
        <f t="shared" si="55"/>
        <v>79</v>
      </c>
      <c r="J112" s="1737">
        <f t="shared" si="55"/>
        <v>142</v>
      </c>
      <c r="K112" s="1738">
        <f t="shared" si="55"/>
        <v>221</v>
      </c>
      <c r="L112" s="1739">
        <f t="shared" si="55"/>
        <v>81</v>
      </c>
      <c r="M112" s="1707">
        <f t="shared" si="55"/>
        <v>138</v>
      </c>
      <c r="N112" s="1708">
        <f t="shared" si="55"/>
        <v>219</v>
      </c>
      <c r="O112" s="1707">
        <f t="shared" si="55"/>
        <v>85</v>
      </c>
      <c r="P112" s="1707">
        <f t="shared" si="55"/>
        <v>140</v>
      </c>
      <c r="Q112" s="1708">
        <f t="shared" si="55"/>
        <v>225</v>
      </c>
      <c r="R112" s="1739">
        <f t="shared" si="55"/>
        <v>90</v>
      </c>
      <c r="S112" s="1707">
        <f t="shared" si="55"/>
        <v>143</v>
      </c>
      <c r="T112" s="1708">
        <f t="shared" si="55"/>
        <v>233</v>
      </c>
      <c r="U112" s="1739">
        <f t="shared" si="55"/>
        <v>89</v>
      </c>
      <c r="V112" s="1707">
        <f t="shared" si="55"/>
        <v>147</v>
      </c>
      <c r="W112" s="1708">
        <f t="shared" si="55"/>
        <v>236</v>
      </c>
      <c r="X112" s="1739">
        <f t="shared" si="55"/>
        <v>88</v>
      </c>
      <c r="Y112" s="1707">
        <f t="shared" si="55"/>
        <v>148</v>
      </c>
      <c r="Z112" s="1708">
        <f t="shared" si="55"/>
        <v>236</v>
      </c>
      <c r="AA112" s="1739">
        <f t="shared" si="55"/>
        <v>89</v>
      </c>
      <c r="AB112" s="1707">
        <f t="shared" si="55"/>
        <v>149</v>
      </c>
      <c r="AC112" s="1708">
        <f t="shared" si="55"/>
        <v>238</v>
      </c>
      <c r="AD112" s="1739">
        <f t="shared" si="55"/>
        <v>95</v>
      </c>
      <c r="AE112" s="1707">
        <f t="shared" si="55"/>
        <v>156</v>
      </c>
      <c r="AF112" s="1708">
        <f>SUM(AD112:AE112)</f>
        <v>251</v>
      </c>
      <c r="AG112" s="1739">
        <f t="shared" ref="AG112:AH112" si="56">SUM(AG8,AG46,AG79)</f>
        <v>93</v>
      </c>
      <c r="AH112" s="1707">
        <f t="shared" si="56"/>
        <v>153</v>
      </c>
      <c r="AI112" s="1708">
        <f>SUM(AG112:AH112)</f>
        <v>246</v>
      </c>
    </row>
    <row r="113" spans="1:35" x14ac:dyDescent="0.25">
      <c r="A113" s="6287"/>
      <c r="B113" s="2813" t="s">
        <v>12</v>
      </c>
      <c r="C113" s="2814">
        <f>SUM(C110:C112)</f>
        <v>290</v>
      </c>
      <c r="D113" s="2815">
        <f t="shared" ref="D113:Q113" si="57">SUM(D110:D112)</f>
        <v>697</v>
      </c>
      <c r="E113" s="2815">
        <f t="shared" si="57"/>
        <v>987</v>
      </c>
      <c r="F113" s="2814">
        <f t="shared" si="57"/>
        <v>292</v>
      </c>
      <c r="G113" s="2815">
        <f t="shared" si="57"/>
        <v>702</v>
      </c>
      <c r="H113" s="2816">
        <f t="shared" si="57"/>
        <v>994</v>
      </c>
      <c r="I113" s="2814">
        <f t="shared" si="57"/>
        <v>308</v>
      </c>
      <c r="J113" s="2815">
        <f t="shared" si="57"/>
        <v>697</v>
      </c>
      <c r="K113" s="2816">
        <f t="shared" si="57"/>
        <v>1005</v>
      </c>
      <c r="L113" s="2817">
        <f t="shared" si="57"/>
        <v>313</v>
      </c>
      <c r="M113" s="2759">
        <f t="shared" si="57"/>
        <v>684</v>
      </c>
      <c r="N113" s="2760">
        <f t="shared" si="57"/>
        <v>997</v>
      </c>
      <c r="O113" s="2759">
        <f t="shared" si="57"/>
        <v>311</v>
      </c>
      <c r="P113" s="2759">
        <f t="shared" si="57"/>
        <v>689</v>
      </c>
      <c r="Q113" s="2760">
        <f t="shared" si="57"/>
        <v>1000</v>
      </c>
      <c r="R113" s="2817">
        <f>SUM(R110:R112)</f>
        <v>319</v>
      </c>
      <c r="S113" s="2759">
        <f>SUM(S110:S112)</f>
        <v>681</v>
      </c>
      <c r="T113" s="2760">
        <f>SUM(R113:S113)</f>
        <v>1000</v>
      </c>
      <c r="U113" s="2817">
        <f>SUM(U110:U112)</f>
        <v>319</v>
      </c>
      <c r="V113" s="2759">
        <f>SUM(V110:V112)</f>
        <v>689</v>
      </c>
      <c r="W113" s="2760">
        <f>SUM(U113:V113)</f>
        <v>1008</v>
      </c>
      <c r="X113" s="2817">
        <f>SUM(X110:X112)</f>
        <v>320</v>
      </c>
      <c r="Y113" s="2759">
        <f>SUM(Y110:Y112)</f>
        <v>689</v>
      </c>
      <c r="Z113" s="2760">
        <f>SUM(X113:Y113)</f>
        <v>1009</v>
      </c>
      <c r="AA113" s="2817">
        <f>SUM(AA110:AA112)</f>
        <v>325</v>
      </c>
      <c r="AB113" s="2759">
        <f>SUM(AB110:AB112)</f>
        <v>694</v>
      </c>
      <c r="AC113" s="2760">
        <f>SUM(AA113:AB113)</f>
        <v>1019</v>
      </c>
      <c r="AD113" s="2759">
        <f>SUM(AD110:AD112)</f>
        <v>339</v>
      </c>
      <c r="AE113" s="2759">
        <f>SUM(AE110:AE112)</f>
        <v>700</v>
      </c>
      <c r="AF113" s="2760">
        <f>SUM(AD113:AE113)</f>
        <v>1039</v>
      </c>
      <c r="AG113" s="2759">
        <f>SUM(AG110:AG112)</f>
        <v>331</v>
      </c>
      <c r="AH113" s="2759">
        <f>SUM(AH110:AH112)</f>
        <v>685</v>
      </c>
      <c r="AI113" s="2760">
        <f>SUM(AG113:AH113)</f>
        <v>1016</v>
      </c>
    </row>
    <row r="115" spans="1:35" x14ac:dyDescent="0.25">
      <c r="A115" s="6282" t="s">
        <v>410</v>
      </c>
      <c r="B115" s="1730" t="s">
        <v>6</v>
      </c>
      <c r="C115" s="1731">
        <f t="shared" ref="C115:AE115" si="58">SUM(C11,C49,C82)</f>
        <v>2</v>
      </c>
      <c r="D115" s="1732">
        <f t="shared" si="58"/>
        <v>2</v>
      </c>
      <c r="E115" s="1732">
        <f t="shared" si="58"/>
        <v>4</v>
      </c>
      <c r="F115" s="1731">
        <f t="shared" si="58"/>
        <v>2</v>
      </c>
      <c r="G115" s="1732">
        <f t="shared" si="58"/>
        <v>5</v>
      </c>
      <c r="H115" s="1733">
        <f t="shared" si="58"/>
        <v>7</v>
      </c>
      <c r="I115" s="1731">
        <f t="shared" si="58"/>
        <v>8</v>
      </c>
      <c r="J115" s="1732">
        <f t="shared" si="58"/>
        <v>14</v>
      </c>
      <c r="K115" s="1733">
        <f t="shared" si="58"/>
        <v>22</v>
      </c>
      <c r="L115" s="1734">
        <f t="shared" si="58"/>
        <v>8</v>
      </c>
      <c r="M115" s="1698">
        <f t="shared" si="58"/>
        <v>17</v>
      </c>
      <c r="N115" s="1699">
        <f t="shared" si="58"/>
        <v>25</v>
      </c>
      <c r="O115" s="1698">
        <f t="shared" si="58"/>
        <v>11</v>
      </c>
      <c r="P115" s="1698">
        <f t="shared" si="58"/>
        <v>20</v>
      </c>
      <c r="Q115" s="1699">
        <f t="shared" si="58"/>
        <v>31</v>
      </c>
      <c r="R115" s="1734">
        <f t="shared" si="58"/>
        <v>19</v>
      </c>
      <c r="S115" s="1698">
        <f t="shared" si="58"/>
        <v>22</v>
      </c>
      <c r="T115" s="1699">
        <f t="shared" si="58"/>
        <v>41</v>
      </c>
      <c r="U115" s="1734">
        <f t="shared" si="58"/>
        <v>24</v>
      </c>
      <c r="V115" s="1698">
        <f t="shared" si="58"/>
        <v>25</v>
      </c>
      <c r="W115" s="1699">
        <f t="shared" si="58"/>
        <v>49</v>
      </c>
      <c r="X115" s="1734">
        <f t="shared" si="58"/>
        <v>21</v>
      </c>
      <c r="Y115" s="1698">
        <f t="shared" si="58"/>
        <v>24</v>
      </c>
      <c r="Z115" s="1699">
        <f t="shared" si="58"/>
        <v>45</v>
      </c>
      <c r="AA115" s="1734">
        <f t="shared" si="58"/>
        <v>23</v>
      </c>
      <c r="AB115" s="1698">
        <f t="shared" si="58"/>
        <v>26</v>
      </c>
      <c r="AC115" s="1699">
        <f t="shared" si="58"/>
        <v>49</v>
      </c>
      <c r="AD115" s="1734">
        <f t="shared" si="58"/>
        <v>24</v>
      </c>
      <c r="AE115" s="1698">
        <f t="shared" si="58"/>
        <v>27</v>
      </c>
      <c r="AF115" s="1699">
        <f>SUM(AD115:AE115)</f>
        <v>51</v>
      </c>
      <c r="AG115" s="1734">
        <f t="shared" ref="AG115:AH115" si="59">SUM(AG11,AG49,AG82)</f>
        <v>23</v>
      </c>
      <c r="AH115" s="1698">
        <f t="shared" si="59"/>
        <v>28</v>
      </c>
      <c r="AI115" s="1699">
        <f>SUM(AG115:AH115)</f>
        <v>51</v>
      </c>
    </row>
    <row r="116" spans="1:35" x14ac:dyDescent="0.25">
      <c r="A116" s="6283"/>
      <c r="B116" s="1735" t="s">
        <v>9</v>
      </c>
      <c r="C116" s="1736">
        <f t="shared" ref="C116:AE116" si="60">SUM(C12,C50,C83)</f>
        <v>1</v>
      </c>
      <c r="D116" s="1737">
        <f t="shared" si="60"/>
        <v>2</v>
      </c>
      <c r="E116" s="1737">
        <f t="shared" si="60"/>
        <v>3</v>
      </c>
      <c r="F116" s="1736">
        <f t="shared" si="60"/>
        <v>2</v>
      </c>
      <c r="G116" s="1737">
        <f t="shared" si="60"/>
        <v>7</v>
      </c>
      <c r="H116" s="1738">
        <f t="shared" si="60"/>
        <v>9</v>
      </c>
      <c r="I116" s="1736">
        <f t="shared" si="60"/>
        <v>4</v>
      </c>
      <c r="J116" s="1737">
        <f t="shared" si="60"/>
        <v>9</v>
      </c>
      <c r="K116" s="1738">
        <f t="shared" si="60"/>
        <v>13</v>
      </c>
      <c r="L116" s="1739">
        <f t="shared" si="60"/>
        <v>7</v>
      </c>
      <c r="M116" s="1707">
        <f t="shared" si="60"/>
        <v>17</v>
      </c>
      <c r="N116" s="1708">
        <f t="shared" si="60"/>
        <v>24</v>
      </c>
      <c r="O116" s="1707">
        <f t="shared" si="60"/>
        <v>8</v>
      </c>
      <c r="P116" s="1707">
        <f t="shared" si="60"/>
        <v>22</v>
      </c>
      <c r="Q116" s="1708">
        <f t="shared" si="60"/>
        <v>30</v>
      </c>
      <c r="R116" s="1739">
        <f t="shared" si="60"/>
        <v>13</v>
      </c>
      <c r="S116" s="1707">
        <f t="shared" si="60"/>
        <v>25</v>
      </c>
      <c r="T116" s="1708">
        <f t="shared" si="60"/>
        <v>38</v>
      </c>
      <c r="U116" s="1739">
        <f t="shared" si="60"/>
        <v>16</v>
      </c>
      <c r="V116" s="1707">
        <f t="shared" si="60"/>
        <v>26</v>
      </c>
      <c r="W116" s="1708">
        <f t="shared" si="60"/>
        <v>42</v>
      </c>
      <c r="X116" s="1739">
        <f t="shared" si="60"/>
        <v>18</v>
      </c>
      <c r="Y116" s="1707">
        <f t="shared" si="60"/>
        <v>35</v>
      </c>
      <c r="Z116" s="1708">
        <f t="shared" si="60"/>
        <v>53</v>
      </c>
      <c r="AA116" s="1739">
        <f t="shared" si="60"/>
        <v>17</v>
      </c>
      <c r="AB116" s="1707">
        <f t="shared" si="60"/>
        <v>36</v>
      </c>
      <c r="AC116" s="1708">
        <f t="shared" si="60"/>
        <v>53</v>
      </c>
      <c r="AD116" s="1739">
        <f t="shared" si="60"/>
        <v>14</v>
      </c>
      <c r="AE116" s="1707">
        <f t="shared" si="60"/>
        <v>39</v>
      </c>
      <c r="AF116" s="1708">
        <f>SUM(AD116:AE116)</f>
        <v>53</v>
      </c>
      <c r="AG116" s="1739">
        <f t="shared" ref="AG116:AH116" si="61">SUM(AG12,AG50,AG83)</f>
        <v>14</v>
      </c>
      <c r="AH116" s="1707">
        <f t="shared" si="61"/>
        <v>41</v>
      </c>
      <c r="AI116" s="1708">
        <f>SUM(AG116:AH116)</f>
        <v>55</v>
      </c>
    </row>
    <row r="117" spans="1:35" x14ac:dyDescent="0.25">
      <c r="A117" s="6283"/>
      <c r="B117" s="1735" t="s">
        <v>74</v>
      </c>
      <c r="C117" s="1736">
        <f t="shared" ref="C117:AE117" si="62">SUM(C13,C51,C84)</f>
        <v>1</v>
      </c>
      <c r="D117" s="1737">
        <f t="shared" si="62"/>
        <v>5</v>
      </c>
      <c r="E117" s="1737">
        <f t="shared" si="62"/>
        <v>6</v>
      </c>
      <c r="F117" s="1736">
        <f t="shared" si="62"/>
        <v>1</v>
      </c>
      <c r="G117" s="1737">
        <f t="shared" si="62"/>
        <v>5</v>
      </c>
      <c r="H117" s="1738">
        <f t="shared" si="62"/>
        <v>6</v>
      </c>
      <c r="I117" s="1736">
        <f t="shared" si="62"/>
        <v>5</v>
      </c>
      <c r="J117" s="1737">
        <f t="shared" si="62"/>
        <v>13</v>
      </c>
      <c r="K117" s="1738">
        <f t="shared" si="62"/>
        <v>18</v>
      </c>
      <c r="L117" s="1739">
        <f t="shared" si="62"/>
        <v>8</v>
      </c>
      <c r="M117" s="1707">
        <f t="shared" si="62"/>
        <v>15</v>
      </c>
      <c r="N117" s="1708">
        <f t="shared" si="62"/>
        <v>23</v>
      </c>
      <c r="O117" s="1707">
        <f t="shared" si="62"/>
        <v>8</v>
      </c>
      <c r="P117" s="1707">
        <f t="shared" si="62"/>
        <v>16</v>
      </c>
      <c r="Q117" s="1708">
        <f t="shared" si="62"/>
        <v>24</v>
      </c>
      <c r="R117" s="1739">
        <f t="shared" si="62"/>
        <v>9</v>
      </c>
      <c r="S117" s="1707">
        <f t="shared" si="62"/>
        <v>18</v>
      </c>
      <c r="T117" s="1708">
        <f t="shared" si="62"/>
        <v>27</v>
      </c>
      <c r="U117" s="1739">
        <f t="shared" si="62"/>
        <v>10</v>
      </c>
      <c r="V117" s="1707">
        <f t="shared" si="62"/>
        <v>23</v>
      </c>
      <c r="W117" s="1708">
        <f t="shared" si="62"/>
        <v>33</v>
      </c>
      <c r="X117" s="1739">
        <f t="shared" si="62"/>
        <v>14</v>
      </c>
      <c r="Y117" s="1707">
        <f t="shared" si="62"/>
        <v>23</v>
      </c>
      <c r="Z117" s="1708">
        <f t="shared" si="62"/>
        <v>37</v>
      </c>
      <c r="AA117" s="1739">
        <f t="shared" si="62"/>
        <v>15</v>
      </c>
      <c r="AB117" s="1707">
        <f t="shared" si="62"/>
        <v>23</v>
      </c>
      <c r="AC117" s="1708">
        <f t="shared" si="62"/>
        <v>38</v>
      </c>
      <c r="AD117" s="1739">
        <f t="shared" si="62"/>
        <v>19</v>
      </c>
      <c r="AE117" s="1707">
        <f t="shared" si="62"/>
        <v>27</v>
      </c>
      <c r="AF117" s="1708">
        <f>SUM(AD117:AE117)</f>
        <v>46</v>
      </c>
      <c r="AG117" s="1739">
        <f t="shared" ref="AG117:AH117" si="63">SUM(AG13,AG51,AG84)</f>
        <v>20</v>
      </c>
      <c r="AH117" s="1707">
        <f t="shared" si="63"/>
        <v>29</v>
      </c>
      <c r="AI117" s="1708">
        <f>SUM(AG117:AH117)</f>
        <v>49</v>
      </c>
    </row>
    <row r="118" spans="1:35" x14ac:dyDescent="0.25">
      <c r="A118" s="6284"/>
      <c r="B118" s="2808" t="s">
        <v>12</v>
      </c>
      <c r="C118" s="2809">
        <f t="shared" ref="C118:V118" si="64">SUM(C115:C117)</f>
        <v>4</v>
      </c>
      <c r="D118" s="2810">
        <f t="shared" si="64"/>
        <v>9</v>
      </c>
      <c r="E118" s="2810">
        <f t="shared" si="64"/>
        <v>13</v>
      </c>
      <c r="F118" s="2809">
        <f t="shared" si="64"/>
        <v>5</v>
      </c>
      <c r="G118" s="2810">
        <f t="shared" si="64"/>
        <v>17</v>
      </c>
      <c r="H118" s="2811">
        <f t="shared" si="64"/>
        <v>22</v>
      </c>
      <c r="I118" s="2809">
        <f t="shared" si="64"/>
        <v>17</v>
      </c>
      <c r="J118" s="2810">
        <f t="shared" si="64"/>
        <v>36</v>
      </c>
      <c r="K118" s="2811">
        <f t="shared" si="64"/>
        <v>53</v>
      </c>
      <c r="L118" s="2812">
        <f t="shared" si="64"/>
        <v>23</v>
      </c>
      <c r="M118" s="2768">
        <f t="shared" si="64"/>
        <v>49</v>
      </c>
      <c r="N118" s="2769">
        <f t="shared" si="64"/>
        <v>72</v>
      </c>
      <c r="O118" s="2768">
        <f t="shared" si="64"/>
        <v>27</v>
      </c>
      <c r="P118" s="2768">
        <f t="shared" si="64"/>
        <v>58</v>
      </c>
      <c r="Q118" s="2769">
        <f t="shared" si="64"/>
        <v>85</v>
      </c>
      <c r="R118" s="2812">
        <f t="shared" si="64"/>
        <v>41</v>
      </c>
      <c r="S118" s="2768">
        <f t="shared" si="64"/>
        <v>65</v>
      </c>
      <c r="T118" s="2769">
        <f t="shared" si="64"/>
        <v>106</v>
      </c>
      <c r="U118" s="2812">
        <f t="shared" si="64"/>
        <v>50</v>
      </c>
      <c r="V118" s="2768">
        <f t="shared" si="64"/>
        <v>74</v>
      </c>
      <c r="W118" s="2769">
        <f>SUM(U118:V118)</f>
        <v>124</v>
      </c>
      <c r="X118" s="2812">
        <f>SUM(X115:X117)</f>
        <v>53</v>
      </c>
      <c r="Y118" s="2768">
        <f>SUM(Y115:Y117)</f>
        <v>82</v>
      </c>
      <c r="Z118" s="2769">
        <f>SUM(X118:Y118)</f>
        <v>135</v>
      </c>
      <c r="AA118" s="2812">
        <f>SUM(AA115:AA117)</f>
        <v>55</v>
      </c>
      <c r="AB118" s="2768">
        <f>SUM(AB115:AB117)</f>
        <v>85</v>
      </c>
      <c r="AC118" s="2769">
        <f>SUM(AA118:AB118)</f>
        <v>140</v>
      </c>
      <c r="AD118" s="2768">
        <f>SUM(AD115:AD117)</f>
        <v>57</v>
      </c>
      <c r="AE118" s="2768">
        <f>SUM(AE115:AE117)</f>
        <v>93</v>
      </c>
      <c r="AF118" s="2769">
        <f>SUM(AD118:AE118)</f>
        <v>150</v>
      </c>
      <c r="AG118" s="2768">
        <f>SUM(AG115:AG117)</f>
        <v>57</v>
      </c>
      <c r="AH118" s="2768">
        <f>SUM(AH115:AH117)</f>
        <v>98</v>
      </c>
      <c r="AI118" s="2769">
        <f>SUM(AG118:AH118)</f>
        <v>155</v>
      </c>
    </row>
    <row r="120" spans="1:35" x14ac:dyDescent="0.25">
      <c r="A120" s="6288" t="s">
        <v>162</v>
      </c>
      <c r="B120" s="1691" t="s">
        <v>5</v>
      </c>
      <c r="C120" s="1731">
        <f t="shared" ref="C120:AE120" si="65">SUM(C16,C54,C87)</f>
        <v>61</v>
      </c>
      <c r="D120" s="1732">
        <f t="shared" si="65"/>
        <v>235</v>
      </c>
      <c r="E120" s="1732">
        <f t="shared" si="65"/>
        <v>296</v>
      </c>
      <c r="F120" s="1731">
        <f t="shared" si="65"/>
        <v>59</v>
      </c>
      <c r="G120" s="1732">
        <f t="shared" si="65"/>
        <v>237</v>
      </c>
      <c r="H120" s="1733">
        <f t="shared" si="65"/>
        <v>296</v>
      </c>
      <c r="I120" s="1731">
        <f t="shared" si="65"/>
        <v>60</v>
      </c>
      <c r="J120" s="1732">
        <f t="shared" si="65"/>
        <v>238</v>
      </c>
      <c r="K120" s="1733">
        <f t="shared" si="65"/>
        <v>298</v>
      </c>
      <c r="L120" s="1734">
        <f t="shared" si="65"/>
        <v>60</v>
      </c>
      <c r="M120" s="1698">
        <f t="shared" si="65"/>
        <v>238</v>
      </c>
      <c r="N120" s="1699">
        <f t="shared" si="65"/>
        <v>298</v>
      </c>
      <c r="O120" s="1698">
        <f t="shared" si="65"/>
        <v>60</v>
      </c>
      <c r="P120" s="1698">
        <f t="shared" si="65"/>
        <v>236</v>
      </c>
      <c r="Q120" s="1699">
        <f t="shared" si="65"/>
        <v>296</v>
      </c>
      <c r="R120" s="1734">
        <f t="shared" si="65"/>
        <v>62</v>
      </c>
      <c r="S120" s="1698">
        <f t="shared" si="65"/>
        <v>231</v>
      </c>
      <c r="T120" s="1699">
        <f t="shared" si="65"/>
        <v>293</v>
      </c>
      <c r="U120" s="1734">
        <f t="shared" si="65"/>
        <v>62</v>
      </c>
      <c r="V120" s="1698">
        <f t="shared" si="65"/>
        <v>232</v>
      </c>
      <c r="W120" s="1699">
        <f t="shared" si="65"/>
        <v>294</v>
      </c>
      <c r="X120" s="1734">
        <f t="shared" si="65"/>
        <v>61</v>
      </c>
      <c r="Y120" s="1698">
        <f t="shared" si="65"/>
        <v>233</v>
      </c>
      <c r="Z120" s="1699">
        <f t="shared" si="65"/>
        <v>294</v>
      </c>
      <c r="AA120" s="1734">
        <f t="shared" si="65"/>
        <v>62</v>
      </c>
      <c r="AB120" s="1698">
        <f t="shared" si="65"/>
        <v>237</v>
      </c>
      <c r="AC120" s="1699">
        <f t="shared" si="65"/>
        <v>299</v>
      </c>
      <c r="AD120" s="1734">
        <f t="shared" si="65"/>
        <v>63</v>
      </c>
      <c r="AE120" s="1698">
        <f t="shared" si="65"/>
        <v>238</v>
      </c>
      <c r="AF120" s="1699">
        <f>SUM(AD120:AE120)</f>
        <v>301</v>
      </c>
      <c r="AG120" s="1734">
        <f t="shared" ref="AG120:AH120" si="66">SUM(AG16,AG54,AG87)</f>
        <v>65</v>
      </c>
      <c r="AH120" s="1698">
        <f t="shared" si="66"/>
        <v>234</v>
      </c>
      <c r="AI120" s="1699">
        <f>SUM(AG120:AH120)</f>
        <v>299</v>
      </c>
    </row>
    <row r="121" spans="1:35" x14ac:dyDescent="0.25">
      <c r="A121" s="6289"/>
      <c r="B121" s="1700" t="s">
        <v>6</v>
      </c>
      <c r="C121" s="1736">
        <f t="shared" ref="C121:AE121" si="67">SUM(C17,C55,C88)</f>
        <v>128</v>
      </c>
      <c r="D121" s="1737">
        <f t="shared" si="67"/>
        <v>222</v>
      </c>
      <c r="E121" s="1737">
        <f t="shared" si="67"/>
        <v>350</v>
      </c>
      <c r="F121" s="1736">
        <f t="shared" si="67"/>
        <v>128</v>
      </c>
      <c r="G121" s="1737">
        <f t="shared" si="67"/>
        <v>224</v>
      </c>
      <c r="H121" s="1738">
        <f t="shared" si="67"/>
        <v>352</v>
      </c>
      <c r="I121" s="1736">
        <f t="shared" si="67"/>
        <v>127</v>
      </c>
      <c r="J121" s="1737">
        <f t="shared" si="67"/>
        <v>222</v>
      </c>
      <c r="K121" s="1738">
        <f t="shared" si="67"/>
        <v>349</v>
      </c>
      <c r="L121" s="1739">
        <f t="shared" si="67"/>
        <v>125</v>
      </c>
      <c r="M121" s="1707">
        <f t="shared" si="67"/>
        <v>225</v>
      </c>
      <c r="N121" s="1708">
        <f t="shared" si="67"/>
        <v>350</v>
      </c>
      <c r="O121" s="1707">
        <f t="shared" si="67"/>
        <v>123</v>
      </c>
      <c r="P121" s="1707">
        <f t="shared" si="67"/>
        <v>227</v>
      </c>
      <c r="Q121" s="1708">
        <f t="shared" si="67"/>
        <v>350</v>
      </c>
      <c r="R121" s="1739">
        <f t="shared" si="67"/>
        <v>129</v>
      </c>
      <c r="S121" s="1707">
        <f t="shared" si="67"/>
        <v>235</v>
      </c>
      <c r="T121" s="1708">
        <f t="shared" si="67"/>
        <v>364</v>
      </c>
      <c r="U121" s="1739">
        <f t="shared" si="67"/>
        <v>127</v>
      </c>
      <c r="V121" s="1707">
        <f t="shared" si="67"/>
        <v>225</v>
      </c>
      <c r="W121" s="1708">
        <f t="shared" si="67"/>
        <v>352</v>
      </c>
      <c r="X121" s="1739">
        <f t="shared" si="67"/>
        <v>128</v>
      </c>
      <c r="Y121" s="1707">
        <f t="shared" si="67"/>
        <v>229</v>
      </c>
      <c r="Z121" s="1708">
        <f t="shared" si="67"/>
        <v>357</v>
      </c>
      <c r="AA121" s="1739">
        <f t="shared" si="67"/>
        <v>131</v>
      </c>
      <c r="AB121" s="1707">
        <f t="shared" si="67"/>
        <v>226</v>
      </c>
      <c r="AC121" s="1708">
        <f t="shared" si="67"/>
        <v>357</v>
      </c>
      <c r="AD121" s="1739">
        <f t="shared" si="67"/>
        <v>134</v>
      </c>
      <c r="AE121" s="1707">
        <f t="shared" si="67"/>
        <v>228</v>
      </c>
      <c r="AF121" s="1708">
        <f>SUM(AD121:AE121)</f>
        <v>362</v>
      </c>
      <c r="AG121" s="1739">
        <f t="shared" ref="AG121:AH121" si="68">SUM(AG17,AG55,AG88)</f>
        <v>132</v>
      </c>
      <c r="AH121" s="1707">
        <f t="shared" si="68"/>
        <v>218</v>
      </c>
      <c r="AI121" s="1708">
        <f>SUM(AG121:AH121)</f>
        <v>350</v>
      </c>
    </row>
    <row r="122" spans="1:35" x14ac:dyDescent="0.25">
      <c r="A122" s="6289"/>
      <c r="B122" s="1700" t="s">
        <v>11</v>
      </c>
      <c r="C122" s="1736">
        <f t="shared" ref="C122:AE122" si="69">SUM(C18,C56,C89)</f>
        <v>121</v>
      </c>
      <c r="D122" s="1737">
        <f t="shared" si="69"/>
        <v>141</v>
      </c>
      <c r="E122" s="1737">
        <f t="shared" si="69"/>
        <v>262</v>
      </c>
      <c r="F122" s="1736">
        <f t="shared" si="69"/>
        <v>121</v>
      </c>
      <c r="G122" s="1737">
        <f t="shared" si="69"/>
        <v>137</v>
      </c>
      <c r="H122" s="1738">
        <f t="shared" si="69"/>
        <v>258</v>
      </c>
      <c r="I122" s="1736">
        <f t="shared" si="69"/>
        <v>122</v>
      </c>
      <c r="J122" s="1737">
        <f t="shared" si="69"/>
        <v>136</v>
      </c>
      <c r="K122" s="1738">
        <f t="shared" si="69"/>
        <v>258</v>
      </c>
      <c r="L122" s="1739">
        <f t="shared" si="69"/>
        <v>121</v>
      </c>
      <c r="M122" s="1707">
        <f t="shared" si="69"/>
        <v>129</v>
      </c>
      <c r="N122" s="1708">
        <f t="shared" si="69"/>
        <v>250</v>
      </c>
      <c r="O122" s="1707">
        <f t="shared" si="69"/>
        <v>119</v>
      </c>
      <c r="P122" s="1707">
        <f t="shared" si="69"/>
        <v>127</v>
      </c>
      <c r="Q122" s="1708">
        <f t="shared" si="69"/>
        <v>246</v>
      </c>
      <c r="R122" s="1739">
        <f t="shared" si="69"/>
        <v>117</v>
      </c>
      <c r="S122" s="1707">
        <f t="shared" si="69"/>
        <v>124</v>
      </c>
      <c r="T122" s="1708">
        <f t="shared" si="69"/>
        <v>241</v>
      </c>
      <c r="U122" s="1739">
        <f t="shared" si="69"/>
        <v>120</v>
      </c>
      <c r="V122" s="1707">
        <f t="shared" si="69"/>
        <v>134</v>
      </c>
      <c r="W122" s="1708">
        <f t="shared" si="69"/>
        <v>254</v>
      </c>
      <c r="X122" s="1739">
        <f t="shared" si="69"/>
        <v>117</v>
      </c>
      <c r="Y122" s="1707">
        <f t="shared" si="69"/>
        <v>131</v>
      </c>
      <c r="Z122" s="1708">
        <f t="shared" si="69"/>
        <v>248</v>
      </c>
      <c r="AA122" s="1739">
        <f t="shared" si="69"/>
        <v>122</v>
      </c>
      <c r="AB122" s="1707">
        <f t="shared" si="69"/>
        <v>128</v>
      </c>
      <c r="AC122" s="1708">
        <f t="shared" si="69"/>
        <v>250</v>
      </c>
      <c r="AD122" s="1739">
        <f t="shared" si="69"/>
        <v>122</v>
      </c>
      <c r="AE122" s="1707">
        <f t="shared" si="69"/>
        <v>132</v>
      </c>
      <c r="AF122" s="1708">
        <f>SUM(AD122:AE122)</f>
        <v>254</v>
      </c>
      <c r="AG122" s="1739">
        <f t="shared" ref="AG122:AH122" si="70">SUM(AG18,AG56,AG89)</f>
        <v>120</v>
      </c>
      <c r="AH122" s="1707">
        <f t="shared" si="70"/>
        <v>135</v>
      </c>
      <c r="AI122" s="1708">
        <f>SUM(AG122:AH122)</f>
        <v>255</v>
      </c>
    </row>
    <row r="123" spans="1:35" x14ac:dyDescent="0.25">
      <c r="A123" s="6290"/>
      <c r="B123" s="2770" t="s">
        <v>12</v>
      </c>
      <c r="C123" s="2798">
        <f t="shared" ref="C123:AB123" si="71">SUM(C120:C122)</f>
        <v>310</v>
      </c>
      <c r="D123" s="2799">
        <f t="shared" si="71"/>
        <v>598</v>
      </c>
      <c r="E123" s="2799">
        <f t="shared" si="71"/>
        <v>908</v>
      </c>
      <c r="F123" s="2798">
        <f t="shared" si="71"/>
        <v>308</v>
      </c>
      <c r="G123" s="2799">
        <f t="shared" si="71"/>
        <v>598</v>
      </c>
      <c r="H123" s="2800">
        <f t="shared" si="71"/>
        <v>906</v>
      </c>
      <c r="I123" s="2798">
        <f t="shared" si="71"/>
        <v>309</v>
      </c>
      <c r="J123" s="2799">
        <f t="shared" si="71"/>
        <v>596</v>
      </c>
      <c r="K123" s="2800">
        <f t="shared" si="71"/>
        <v>905</v>
      </c>
      <c r="L123" s="2801">
        <f t="shared" si="71"/>
        <v>306</v>
      </c>
      <c r="M123" s="2777">
        <f t="shared" si="71"/>
        <v>592</v>
      </c>
      <c r="N123" s="2778">
        <f t="shared" si="71"/>
        <v>898</v>
      </c>
      <c r="O123" s="2777">
        <f t="shared" si="71"/>
        <v>302</v>
      </c>
      <c r="P123" s="2777">
        <f t="shared" si="71"/>
        <v>590</v>
      </c>
      <c r="Q123" s="2778">
        <f t="shared" si="71"/>
        <v>892</v>
      </c>
      <c r="R123" s="2801">
        <f t="shared" si="71"/>
        <v>308</v>
      </c>
      <c r="S123" s="2777">
        <f t="shared" si="71"/>
        <v>590</v>
      </c>
      <c r="T123" s="2778">
        <f t="shared" si="71"/>
        <v>898</v>
      </c>
      <c r="U123" s="2801">
        <f t="shared" si="71"/>
        <v>309</v>
      </c>
      <c r="V123" s="2777">
        <f t="shared" si="71"/>
        <v>591</v>
      </c>
      <c r="W123" s="2778">
        <f t="shared" si="71"/>
        <v>900</v>
      </c>
      <c r="X123" s="2801">
        <f t="shared" si="71"/>
        <v>306</v>
      </c>
      <c r="Y123" s="2777">
        <f t="shared" si="71"/>
        <v>593</v>
      </c>
      <c r="Z123" s="2778">
        <f t="shared" si="71"/>
        <v>899</v>
      </c>
      <c r="AA123" s="2801">
        <f t="shared" si="71"/>
        <v>315</v>
      </c>
      <c r="AB123" s="2777">
        <f t="shared" si="71"/>
        <v>591</v>
      </c>
      <c r="AC123" s="2778">
        <f>SUM(AA123:AB123)</f>
        <v>906</v>
      </c>
      <c r="AD123" s="2777">
        <f>SUM(AD120:AD122)</f>
        <v>319</v>
      </c>
      <c r="AE123" s="2777">
        <f>SUM(AE120:AE122)</f>
        <v>598</v>
      </c>
      <c r="AF123" s="2778">
        <f>SUM(AD123:AE123)</f>
        <v>917</v>
      </c>
      <c r="AG123" s="2777">
        <f>SUM(AG120:AG122)</f>
        <v>317</v>
      </c>
      <c r="AH123" s="2777">
        <f>SUM(AH120:AH122)</f>
        <v>587</v>
      </c>
      <c r="AI123" s="2778">
        <f>SUM(AG123:AH123)</f>
        <v>904</v>
      </c>
    </row>
    <row r="125" spans="1:35" x14ac:dyDescent="0.25">
      <c r="A125" s="6279" t="s">
        <v>411</v>
      </c>
      <c r="B125" s="1691" t="s">
        <v>5</v>
      </c>
      <c r="C125" s="1734"/>
      <c r="D125" s="1698"/>
      <c r="E125" s="1699"/>
      <c r="F125" s="1734"/>
      <c r="G125" s="1698"/>
      <c r="H125" s="1699"/>
      <c r="I125" s="1734"/>
      <c r="J125" s="1698"/>
      <c r="K125" s="1699"/>
      <c r="L125" s="1734"/>
      <c r="M125" s="1698"/>
      <c r="N125" s="1699"/>
      <c r="O125" s="1734">
        <f t="shared" ref="O125:AE125" si="72">SUM(O21)</f>
        <v>0</v>
      </c>
      <c r="P125" s="1698">
        <f t="shared" si="72"/>
        <v>0</v>
      </c>
      <c r="Q125" s="1699">
        <f t="shared" si="72"/>
        <v>0</v>
      </c>
      <c r="R125" s="1734">
        <f t="shared" si="72"/>
        <v>0</v>
      </c>
      <c r="S125" s="1698">
        <f t="shared" si="72"/>
        <v>3</v>
      </c>
      <c r="T125" s="1699">
        <f t="shared" si="72"/>
        <v>3</v>
      </c>
      <c r="U125" s="1734">
        <f t="shared" si="72"/>
        <v>0</v>
      </c>
      <c r="V125" s="1698">
        <f t="shared" si="72"/>
        <v>4</v>
      </c>
      <c r="W125" s="1699">
        <f t="shared" si="72"/>
        <v>4</v>
      </c>
      <c r="X125" s="1734">
        <f t="shared" si="72"/>
        <v>1</v>
      </c>
      <c r="Y125" s="1698">
        <f t="shared" si="72"/>
        <v>6</v>
      </c>
      <c r="Z125" s="1699">
        <f t="shared" si="72"/>
        <v>7</v>
      </c>
      <c r="AA125" s="1734">
        <f t="shared" si="72"/>
        <v>1</v>
      </c>
      <c r="AB125" s="1698">
        <f t="shared" si="72"/>
        <v>7</v>
      </c>
      <c r="AC125" s="1699">
        <f t="shared" si="72"/>
        <v>8</v>
      </c>
      <c r="AD125" s="1734">
        <f t="shared" si="72"/>
        <v>1</v>
      </c>
      <c r="AE125" s="1698">
        <f t="shared" si="72"/>
        <v>9</v>
      </c>
      <c r="AF125" s="1699">
        <f>SUM(AD125:AE125)</f>
        <v>10</v>
      </c>
      <c r="AG125" s="1734">
        <f t="shared" ref="AG125:AH125" si="73">SUM(AG21)</f>
        <v>2</v>
      </c>
      <c r="AH125" s="1698">
        <f t="shared" si="73"/>
        <v>13</v>
      </c>
      <c r="AI125" s="1699">
        <f>SUM(AG125:AH125)</f>
        <v>15</v>
      </c>
    </row>
    <row r="126" spans="1:35" x14ac:dyDescent="0.25">
      <c r="A126" s="6280"/>
      <c r="B126" s="1700" t="s">
        <v>6</v>
      </c>
      <c r="C126" s="1739"/>
      <c r="D126" s="1707"/>
      <c r="E126" s="1708"/>
      <c r="F126" s="1739"/>
      <c r="G126" s="1707"/>
      <c r="H126" s="1708"/>
      <c r="I126" s="1739"/>
      <c r="J126" s="1707"/>
      <c r="K126" s="1708"/>
      <c r="L126" s="1739"/>
      <c r="M126" s="1707"/>
      <c r="N126" s="1708"/>
      <c r="O126" s="1739">
        <f t="shared" ref="O126:AE126" si="74">SUM(O22)</f>
        <v>0</v>
      </c>
      <c r="P126" s="1707">
        <f t="shared" si="74"/>
        <v>0</v>
      </c>
      <c r="Q126" s="1708">
        <f t="shared" si="74"/>
        <v>0</v>
      </c>
      <c r="R126" s="1739">
        <f t="shared" si="74"/>
        <v>1</v>
      </c>
      <c r="S126" s="1707">
        <f t="shared" si="74"/>
        <v>1</v>
      </c>
      <c r="T126" s="1708">
        <f t="shared" si="74"/>
        <v>2</v>
      </c>
      <c r="U126" s="1739">
        <f t="shared" si="74"/>
        <v>1</v>
      </c>
      <c r="V126" s="1707">
        <f t="shared" si="74"/>
        <v>2</v>
      </c>
      <c r="W126" s="1708">
        <f t="shared" si="74"/>
        <v>3</v>
      </c>
      <c r="X126" s="1739">
        <f t="shared" si="74"/>
        <v>3</v>
      </c>
      <c r="Y126" s="1707">
        <f t="shared" si="74"/>
        <v>3</v>
      </c>
      <c r="Z126" s="1708">
        <f t="shared" si="74"/>
        <v>6</v>
      </c>
      <c r="AA126" s="1739">
        <f t="shared" si="74"/>
        <v>3</v>
      </c>
      <c r="AB126" s="1707">
        <f t="shared" si="74"/>
        <v>4</v>
      </c>
      <c r="AC126" s="1708">
        <f t="shared" si="74"/>
        <v>7</v>
      </c>
      <c r="AD126" s="1739">
        <f t="shared" si="74"/>
        <v>4</v>
      </c>
      <c r="AE126" s="1707">
        <f t="shared" si="74"/>
        <v>9</v>
      </c>
      <c r="AF126" s="1708">
        <f>SUM(AD126:AE126)</f>
        <v>13</v>
      </c>
      <c r="AG126" s="1739">
        <f t="shared" ref="AG126:AH126" si="75">SUM(AG22)</f>
        <v>5</v>
      </c>
      <c r="AH126" s="1707">
        <f t="shared" si="75"/>
        <v>8</v>
      </c>
      <c r="AI126" s="1708">
        <f>SUM(AG126:AH126)</f>
        <v>13</v>
      </c>
    </row>
    <row r="127" spans="1:35" x14ac:dyDescent="0.25">
      <c r="A127" s="6280"/>
      <c r="B127" s="1700" t="s">
        <v>11</v>
      </c>
      <c r="C127" s="1739"/>
      <c r="D127" s="1707"/>
      <c r="E127" s="1708"/>
      <c r="F127" s="1739"/>
      <c r="G127" s="1707"/>
      <c r="H127" s="1708"/>
      <c r="I127" s="1739"/>
      <c r="J127" s="1707"/>
      <c r="K127" s="1708"/>
      <c r="L127" s="1739"/>
      <c r="M127" s="1707"/>
      <c r="N127" s="1708"/>
      <c r="O127" s="1739">
        <f t="shared" ref="O127:AE127" si="76">SUM(O23)</f>
        <v>0</v>
      </c>
      <c r="P127" s="1707">
        <f t="shared" si="76"/>
        <v>1</v>
      </c>
      <c r="Q127" s="1708">
        <f t="shared" si="76"/>
        <v>1</v>
      </c>
      <c r="R127" s="1739">
        <f t="shared" si="76"/>
        <v>1</v>
      </c>
      <c r="S127" s="1707">
        <f t="shared" si="76"/>
        <v>4</v>
      </c>
      <c r="T127" s="1708">
        <f t="shared" si="76"/>
        <v>5</v>
      </c>
      <c r="U127" s="1739">
        <f t="shared" si="76"/>
        <v>1</v>
      </c>
      <c r="V127" s="1707">
        <f t="shared" si="76"/>
        <v>5</v>
      </c>
      <c r="W127" s="1708">
        <f t="shared" si="76"/>
        <v>6</v>
      </c>
      <c r="X127" s="1739">
        <f t="shared" si="76"/>
        <v>2</v>
      </c>
      <c r="Y127" s="1707">
        <f t="shared" si="76"/>
        <v>7</v>
      </c>
      <c r="Z127" s="1708">
        <f t="shared" si="76"/>
        <v>9</v>
      </c>
      <c r="AA127" s="1739">
        <f t="shared" si="76"/>
        <v>3</v>
      </c>
      <c r="AB127" s="1707">
        <f t="shared" si="76"/>
        <v>10</v>
      </c>
      <c r="AC127" s="1708">
        <f t="shared" si="76"/>
        <v>13</v>
      </c>
      <c r="AD127" s="1739">
        <f t="shared" si="76"/>
        <v>3</v>
      </c>
      <c r="AE127" s="1707">
        <f t="shared" si="76"/>
        <v>10</v>
      </c>
      <c r="AF127" s="1708">
        <f>SUM(AD127:AE127)</f>
        <v>13</v>
      </c>
      <c r="AG127" s="1739">
        <f t="shared" ref="AG127:AH127" si="77">SUM(AG23)</f>
        <v>5</v>
      </c>
      <c r="AH127" s="1707">
        <f t="shared" si="77"/>
        <v>9</v>
      </c>
      <c r="AI127" s="1708">
        <f>SUM(AG127:AH127)</f>
        <v>14</v>
      </c>
    </row>
    <row r="128" spans="1:35" x14ac:dyDescent="0.25">
      <c r="A128" s="6281"/>
      <c r="B128" s="2779" t="s">
        <v>12</v>
      </c>
      <c r="C128" s="2802"/>
      <c r="D128" s="2786"/>
      <c r="E128" s="2787"/>
      <c r="F128" s="2802"/>
      <c r="G128" s="2786"/>
      <c r="H128" s="2787"/>
      <c r="I128" s="2802"/>
      <c r="J128" s="2786"/>
      <c r="K128" s="2787"/>
      <c r="L128" s="2802"/>
      <c r="M128" s="2786"/>
      <c r="N128" s="2787"/>
      <c r="O128" s="2802">
        <f t="shared" ref="O128:Z128" si="78">SUM(O125:O127)</f>
        <v>0</v>
      </c>
      <c r="P128" s="2786">
        <f t="shared" si="78"/>
        <v>1</v>
      </c>
      <c r="Q128" s="2787">
        <f t="shared" si="78"/>
        <v>1</v>
      </c>
      <c r="R128" s="2802">
        <f t="shared" si="78"/>
        <v>2</v>
      </c>
      <c r="S128" s="2786">
        <f t="shared" si="78"/>
        <v>8</v>
      </c>
      <c r="T128" s="2787">
        <f t="shared" si="78"/>
        <v>10</v>
      </c>
      <c r="U128" s="2802">
        <f t="shared" si="78"/>
        <v>2</v>
      </c>
      <c r="V128" s="2786">
        <f t="shared" si="78"/>
        <v>11</v>
      </c>
      <c r="W128" s="2787">
        <f t="shared" si="78"/>
        <v>13</v>
      </c>
      <c r="X128" s="2802">
        <f t="shared" si="78"/>
        <v>6</v>
      </c>
      <c r="Y128" s="2786">
        <f t="shared" si="78"/>
        <v>16</v>
      </c>
      <c r="Z128" s="2787">
        <f t="shared" si="78"/>
        <v>22</v>
      </c>
      <c r="AA128" s="2802">
        <f>SUM(AA125:AA127)</f>
        <v>7</v>
      </c>
      <c r="AB128" s="2786">
        <f>SUM(AB125:AB127)</f>
        <v>21</v>
      </c>
      <c r="AC128" s="2787">
        <f>SUM(AA128:AB128)</f>
        <v>28</v>
      </c>
      <c r="AD128" s="2786">
        <f>SUM(AD125:AD127)</f>
        <v>8</v>
      </c>
      <c r="AE128" s="2786">
        <f>SUM(AE125:AE127)</f>
        <v>28</v>
      </c>
      <c r="AF128" s="2787">
        <f>SUM(AD128:AE128)</f>
        <v>36</v>
      </c>
      <c r="AG128" s="2786">
        <f>SUM(AG125:AG127)</f>
        <v>12</v>
      </c>
      <c r="AH128" s="2786">
        <f>SUM(AH125:AH127)</f>
        <v>30</v>
      </c>
      <c r="AI128" s="2787">
        <f>SUM(AG128:AH128)</f>
        <v>42</v>
      </c>
    </row>
    <row r="129" spans="1:35" x14ac:dyDescent="0.25">
      <c r="A129" s="1709"/>
      <c r="B129" s="1709"/>
      <c r="C129" s="1709"/>
      <c r="D129" s="1709"/>
      <c r="E129" s="1709"/>
      <c r="F129" s="1709"/>
      <c r="G129" s="1709"/>
      <c r="H129" s="1709"/>
      <c r="I129" s="1709"/>
      <c r="J129" s="1709"/>
      <c r="K129" s="1709"/>
      <c r="L129" s="1709"/>
      <c r="M129" s="1709"/>
      <c r="N129" s="1709"/>
      <c r="O129" s="1709"/>
      <c r="P129" s="1709"/>
      <c r="Q129" s="1709"/>
      <c r="R129" s="1709"/>
      <c r="S129" s="1709"/>
      <c r="T129" s="1709"/>
      <c r="U129" s="1709"/>
      <c r="V129" s="1709"/>
      <c r="W129" s="1709"/>
      <c r="X129" s="1709"/>
      <c r="Y129" s="1709"/>
      <c r="Z129" s="1709"/>
      <c r="AA129" s="1709"/>
      <c r="AB129" s="1709"/>
      <c r="AC129" s="1709"/>
      <c r="AD129" s="1709"/>
      <c r="AE129" s="1709"/>
      <c r="AF129" s="1709"/>
      <c r="AG129" s="1709"/>
      <c r="AH129" s="1709"/>
      <c r="AI129" s="1709"/>
    </row>
    <row r="130" spans="1:35" x14ac:dyDescent="0.25">
      <c r="A130" s="6291" t="s">
        <v>163</v>
      </c>
      <c r="B130" s="1691" t="s">
        <v>6</v>
      </c>
      <c r="C130" s="1731">
        <f t="shared" ref="C130:AE130" si="79">SUM(C26,C59,C92)</f>
        <v>176</v>
      </c>
      <c r="D130" s="1732">
        <f t="shared" si="79"/>
        <v>211</v>
      </c>
      <c r="E130" s="1732">
        <f t="shared" si="79"/>
        <v>387</v>
      </c>
      <c r="F130" s="1731">
        <f t="shared" si="79"/>
        <v>181</v>
      </c>
      <c r="G130" s="1732">
        <f t="shared" si="79"/>
        <v>205</v>
      </c>
      <c r="H130" s="1733">
        <f t="shared" si="79"/>
        <v>386</v>
      </c>
      <c r="I130" s="1731">
        <f t="shared" si="79"/>
        <v>175</v>
      </c>
      <c r="J130" s="1732">
        <f t="shared" si="79"/>
        <v>193</v>
      </c>
      <c r="K130" s="1733">
        <f t="shared" si="79"/>
        <v>368</v>
      </c>
      <c r="L130" s="1734">
        <f t="shared" si="79"/>
        <v>178</v>
      </c>
      <c r="M130" s="1698">
        <f t="shared" si="79"/>
        <v>198</v>
      </c>
      <c r="N130" s="1699">
        <f t="shared" si="79"/>
        <v>376</v>
      </c>
      <c r="O130" s="1698">
        <f t="shared" si="79"/>
        <v>179</v>
      </c>
      <c r="P130" s="1698">
        <f t="shared" si="79"/>
        <v>204</v>
      </c>
      <c r="Q130" s="1699">
        <f t="shared" si="79"/>
        <v>383</v>
      </c>
      <c r="R130" s="1734">
        <f t="shared" si="79"/>
        <v>182</v>
      </c>
      <c r="S130" s="1698">
        <f t="shared" si="79"/>
        <v>208</v>
      </c>
      <c r="T130" s="1699">
        <f t="shared" si="79"/>
        <v>390</v>
      </c>
      <c r="U130" s="1734">
        <f t="shared" si="79"/>
        <v>189</v>
      </c>
      <c r="V130" s="1698">
        <f t="shared" si="79"/>
        <v>214</v>
      </c>
      <c r="W130" s="1699">
        <f t="shared" si="79"/>
        <v>403</v>
      </c>
      <c r="X130" s="1734">
        <f t="shared" si="79"/>
        <v>191</v>
      </c>
      <c r="Y130" s="1698">
        <f t="shared" si="79"/>
        <v>212</v>
      </c>
      <c r="Z130" s="1699">
        <f t="shared" si="79"/>
        <v>403</v>
      </c>
      <c r="AA130" s="1734">
        <f t="shared" si="79"/>
        <v>186</v>
      </c>
      <c r="AB130" s="1698">
        <f t="shared" si="79"/>
        <v>213</v>
      </c>
      <c r="AC130" s="1699">
        <f t="shared" si="79"/>
        <v>399</v>
      </c>
      <c r="AD130" s="1734">
        <f t="shared" si="79"/>
        <v>188</v>
      </c>
      <c r="AE130" s="1698">
        <f t="shared" si="79"/>
        <v>210</v>
      </c>
      <c r="AF130" s="1699">
        <f>SUM(AD130:AE130)</f>
        <v>398</v>
      </c>
      <c r="AG130" s="1734">
        <f t="shared" ref="AG130:AH130" si="80">SUM(AG26,AG59,AG92)</f>
        <v>185</v>
      </c>
      <c r="AH130" s="1698">
        <f t="shared" si="80"/>
        <v>208</v>
      </c>
      <c r="AI130" s="1699">
        <f>SUM(AG130:AH130)</f>
        <v>393</v>
      </c>
    </row>
    <row r="131" spans="1:35" x14ac:dyDescent="0.25">
      <c r="A131" s="6292"/>
      <c r="B131" s="1700" t="s">
        <v>11</v>
      </c>
      <c r="C131" s="1736">
        <f t="shared" ref="C131:AE131" si="81">SUM(C27,C60,C93)</f>
        <v>187</v>
      </c>
      <c r="D131" s="1737">
        <f t="shared" si="81"/>
        <v>202</v>
      </c>
      <c r="E131" s="1737">
        <f t="shared" si="81"/>
        <v>389</v>
      </c>
      <c r="F131" s="1736">
        <f t="shared" si="81"/>
        <v>189</v>
      </c>
      <c r="G131" s="1737">
        <f t="shared" si="81"/>
        <v>198</v>
      </c>
      <c r="H131" s="1738">
        <f t="shared" si="81"/>
        <v>387</v>
      </c>
      <c r="I131" s="1736">
        <f t="shared" si="81"/>
        <v>186</v>
      </c>
      <c r="J131" s="1737">
        <f t="shared" si="81"/>
        <v>196</v>
      </c>
      <c r="K131" s="1738">
        <f t="shared" si="81"/>
        <v>382</v>
      </c>
      <c r="L131" s="1739">
        <f t="shared" si="81"/>
        <v>188</v>
      </c>
      <c r="M131" s="1707">
        <f t="shared" si="81"/>
        <v>192</v>
      </c>
      <c r="N131" s="1708">
        <f t="shared" si="81"/>
        <v>380</v>
      </c>
      <c r="O131" s="1707">
        <f t="shared" si="81"/>
        <v>188</v>
      </c>
      <c r="P131" s="1707">
        <f t="shared" si="81"/>
        <v>183</v>
      </c>
      <c r="Q131" s="1708">
        <f t="shared" si="81"/>
        <v>371</v>
      </c>
      <c r="R131" s="1739">
        <f t="shared" si="81"/>
        <v>191</v>
      </c>
      <c r="S131" s="1707">
        <f t="shared" si="81"/>
        <v>184</v>
      </c>
      <c r="T131" s="1708">
        <f t="shared" si="81"/>
        <v>375</v>
      </c>
      <c r="U131" s="1739">
        <f t="shared" si="81"/>
        <v>189</v>
      </c>
      <c r="V131" s="1707">
        <f t="shared" si="81"/>
        <v>184</v>
      </c>
      <c r="W131" s="1708">
        <f t="shared" si="81"/>
        <v>373</v>
      </c>
      <c r="X131" s="1739">
        <f t="shared" si="81"/>
        <v>193</v>
      </c>
      <c r="Y131" s="1707">
        <f t="shared" si="81"/>
        <v>185</v>
      </c>
      <c r="Z131" s="1708">
        <f t="shared" si="81"/>
        <v>378</v>
      </c>
      <c r="AA131" s="1739">
        <f t="shared" si="81"/>
        <v>199</v>
      </c>
      <c r="AB131" s="1707">
        <f t="shared" si="81"/>
        <v>187</v>
      </c>
      <c r="AC131" s="1708">
        <f t="shared" si="81"/>
        <v>386</v>
      </c>
      <c r="AD131" s="1739">
        <f t="shared" si="81"/>
        <v>203</v>
      </c>
      <c r="AE131" s="1707">
        <f t="shared" si="81"/>
        <v>197</v>
      </c>
      <c r="AF131" s="1708">
        <f>SUM(AD131:AE131)</f>
        <v>400</v>
      </c>
      <c r="AG131" s="1739">
        <f t="shared" ref="AG131:AH131" si="82">SUM(AG27,AG60,AG93)</f>
        <v>201</v>
      </c>
      <c r="AH131" s="1707">
        <f t="shared" si="82"/>
        <v>198</v>
      </c>
      <c r="AI131" s="1708">
        <f>SUM(AG131:AH131)</f>
        <v>399</v>
      </c>
    </row>
    <row r="132" spans="1:35" x14ac:dyDescent="0.25">
      <c r="A132" s="6292"/>
      <c r="B132" s="1700" t="s">
        <v>7</v>
      </c>
      <c r="C132" s="1736">
        <f t="shared" ref="C132:AE132" si="83">SUM(C28,C61,C94)</f>
        <v>36</v>
      </c>
      <c r="D132" s="1737">
        <f t="shared" si="83"/>
        <v>133</v>
      </c>
      <c r="E132" s="1737">
        <f t="shared" si="83"/>
        <v>169</v>
      </c>
      <c r="F132" s="1736">
        <f t="shared" si="83"/>
        <v>37</v>
      </c>
      <c r="G132" s="1737">
        <f t="shared" si="83"/>
        <v>133</v>
      </c>
      <c r="H132" s="1738">
        <f t="shared" si="83"/>
        <v>170</v>
      </c>
      <c r="I132" s="1736">
        <f t="shared" si="83"/>
        <v>36</v>
      </c>
      <c r="J132" s="1737">
        <f t="shared" si="83"/>
        <v>133</v>
      </c>
      <c r="K132" s="1738">
        <f t="shared" si="83"/>
        <v>169</v>
      </c>
      <c r="L132" s="1739">
        <f t="shared" si="83"/>
        <v>36</v>
      </c>
      <c r="M132" s="1707">
        <f t="shared" si="83"/>
        <v>133</v>
      </c>
      <c r="N132" s="1708">
        <f t="shared" si="83"/>
        <v>169</v>
      </c>
      <c r="O132" s="1707">
        <f t="shared" si="83"/>
        <v>39</v>
      </c>
      <c r="P132" s="1707">
        <f t="shared" si="83"/>
        <v>140</v>
      </c>
      <c r="Q132" s="1708">
        <f t="shared" si="83"/>
        <v>179</v>
      </c>
      <c r="R132" s="1739">
        <f t="shared" si="83"/>
        <v>41</v>
      </c>
      <c r="S132" s="1707">
        <f t="shared" si="83"/>
        <v>138</v>
      </c>
      <c r="T132" s="1708">
        <f t="shared" si="83"/>
        <v>179</v>
      </c>
      <c r="U132" s="1739">
        <f t="shared" si="83"/>
        <v>41</v>
      </c>
      <c r="V132" s="1707">
        <f t="shared" si="83"/>
        <v>142</v>
      </c>
      <c r="W132" s="1708">
        <f t="shared" si="83"/>
        <v>183</v>
      </c>
      <c r="X132" s="1739">
        <f t="shared" si="83"/>
        <v>39</v>
      </c>
      <c r="Y132" s="1707">
        <f t="shared" si="83"/>
        <v>141</v>
      </c>
      <c r="Z132" s="1708">
        <f t="shared" si="83"/>
        <v>180</v>
      </c>
      <c r="AA132" s="1739">
        <f t="shared" si="83"/>
        <v>40</v>
      </c>
      <c r="AB132" s="1707">
        <f t="shared" si="83"/>
        <v>139</v>
      </c>
      <c r="AC132" s="1708">
        <f t="shared" si="83"/>
        <v>179</v>
      </c>
      <c r="AD132" s="1739">
        <f t="shared" si="83"/>
        <v>43</v>
      </c>
      <c r="AE132" s="1707">
        <f t="shared" si="83"/>
        <v>141</v>
      </c>
      <c r="AF132" s="1708">
        <f>SUM(AD132:AE132)</f>
        <v>184</v>
      </c>
      <c r="AG132" s="1739">
        <f t="shared" ref="AG132:AH132" si="84">SUM(AG28,AG61,AG94)</f>
        <v>41</v>
      </c>
      <c r="AH132" s="1707">
        <f t="shared" si="84"/>
        <v>140</v>
      </c>
      <c r="AI132" s="1708">
        <f>SUM(AG132:AH132)</f>
        <v>181</v>
      </c>
    </row>
    <row r="133" spans="1:35" x14ac:dyDescent="0.25">
      <c r="A133" s="6293"/>
      <c r="B133" s="2788" t="s">
        <v>12</v>
      </c>
      <c r="C133" s="2804">
        <f t="shared" ref="C133:Q133" si="85">SUM(C29,C62,C95)</f>
        <v>399</v>
      </c>
      <c r="D133" s="2805">
        <f t="shared" si="85"/>
        <v>546</v>
      </c>
      <c r="E133" s="2805">
        <f t="shared" si="85"/>
        <v>945</v>
      </c>
      <c r="F133" s="2804">
        <f t="shared" si="85"/>
        <v>407</v>
      </c>
      <c r="G133" s="2805">
        <f t="shared" si="85"/>
        <v>536</v>
      </c>
      <c r="H133" s="2806">
        <f t="shared" si="85"/>
        <v>943</v>
      </c>
      <c r="I133" s="2804">
        <f t="shared" si="85"/>
        <v>397</v>
      </c>
      <c r="J133" s="2805">
        <f t="shared" si="85"/>
        <v>522</v>
      </c>
      <c r="K133" s="2806">
        <f t="shared" si="85"/>
        <v>919</v>
      </c>
      <c r="L133" s="2807">
        <f t="shared" si="85"/>
        <v>402</v>
      </c>
      <c r="M133" s="2795">
        <f t="shared" si="85"/>
        <v>523</v>
      </c>
      <c r="N133" s="2796">
        <f t="shared" si="85"/>
        <v>925</v>
      </c>
      <c r="O133" s="2795">
        <f t="shared" si="85"/>
        <v>406</v>
      </c>
      <c r="P133" s="2795">
        <f t="shared" si="85"/>
        <v>527</v>
      </c>
      <c r="Q133" s="2796">
        <f t="shared" si="85"/>
        <v>933</v>
      </c>
      <c r="R133" s="2807">
        <f t="shared" ref="R133:Z133" si="86">SUM(R130:R132)</f>
        <v>414</v>
      </c>
      <c r="S133" s="2795">
        <f t="shared" si="86"/>
        <v>530</v>
      </c>
      <c r="T133" s="2796">
        <f t="shared" si="86"/>
        <v>944</v>
      </c>
      <c r="U133" s="2807">
        <f t="shared" si="86"/>
        <v>419</v>
      </c>
      <c r="V133" s="2795">
        <f t="shared" si="86"/>
        <v>540</v>
      </c>
      <c r="W133" s="2796">
        <f t="shared" si="86"/>
        <v>959</v>
      </c>
      <c r="X133" s="2807">
        <f t="shared" si="86"/>
        <v>423</v>
      </c>
      <c r="Y133" s="2795">
        <f t="shared" si="86"/>
        <v>538</v>
      </c>
      <c r="Z133" s="2796">
        <f t="shared" si="86"/>
        <v>961</v>
      </c>
      <c r="AA133" s="2807">
        <f>SUM(AA130:AA132)</f>
        <v>425</v>
      </c>
      <c r="AB133" s="2795">
        <f>SUM(AB130:AB132)</f>
        <v>539</v>
      </c>
      <c r="AC133" s="2796">
        <f>SUM(AA133:AB133)</f>
        <v>964</v>
      </c>
      <c r="AD133" s="2795">
        <f>SUM(AD130:AD132)</f>
        <v>434</v>
      </c>
      <c r="AE133" s="2795">
        <f>SUM(AE130:AE132)</f>
        <v>548</v>
      </c>
      <c r="AF133" s="2796">
        <f>SUM(AD133:AE133)</f>
        <v>982</v>
      </c>
      <c r="AG133" s="2795">
        <f>SUM(AG130:AG132)</f>
        <v>427</v>
      </c>
      <c r="AH133" s="2795">
        <f>SUM(AH130:AH132)</f>
        <v>546</v>
      </c>
      <c r="AI133" s="2796">
        <f>SUM(AG133:AH133)</f>
        <v>973</v>
      </c>
    </row>
    <row r="134" spans="1:35" x14ac:dyDescent="0.25">
      <c r="A134" s="1710"/>
      <c r="B134" s="1710"/>
      <c r="C134" s="1712"/>
      <c r="D134" s="1712"/>
      <c r="E134" s="1712"/>
      <c r="F134" s="1712"/>
      <c r="G134" s="1712"/>
      <c r="H134" s="1712"/>
      <c r="I134" s="1712"/>
      <c r="J134" s="1712"/>
      <c r="K134" s="1712"/>
      <c r="L134" s="1712"/>
      <c r="M134" s="1712"/>
      <c r="N134" s="1712"/>
      <c r="O134" s="1712"/>
      <c r="P134" s="1712"/>
      <c r="Q134" s="1712"/>
      <c r="R134" s="1712"/>
      <c r="S134" s="1712"/>
      <c r="T134" s="1712"/>
      <c r="U134" s="1712"/>
      <c r="V134" s="1712"/>
      <c r="W134" s="1712"/>
      <c r="X134" s="1712"/>
      <c r="Y134" s="1712"/>
      <c r="Z134" s="1712"/>
      <c r="AA134" s="1712"/>
      <c r="AB134" s="1712"/>
      <c r="AC134" s="1712"/>
      <c r="AD134" s="1712"/>
      <c r="AE134" s="1712"/>
      <c r="AF134" s="1712"/>
      <c r="AG134" s="1712"/>
      <c r="AH134" s="1712"/>
      <c r="AI134" s="1712"/>
    </row>
    <row r="135" spans="1:35" x14ac:dyDescent="0.25">
      <c r="A135" s="6294" t="s">
        <v>60</v>
      </c>
      <c r="B135" s="1713" t="s">
        <v>5</v>
      </c>
      <c r="C135" s="1734">
        <f t="shared" ref="C135:Q135" si="87">SUM(C110,C120,C125)</f>
        <v>140</v>
      </c>
      <c r="D135" s="1698">
        <f t="shared" si="87"/>
        <v>560</v>
      </c>
      <c r="E135" s="1699">
        <f t="shared" si="87"/>
        <v>700</v>
      </c>
      <c r="F135" s="1698">
        <f t="shared" si="87"/>
        <v>140</v>
      </c>
      <c r="G135" s="1698">
        <f t="shared" si="87"/>
        <v>563</v>
      </c>
      <c r="H135" s="1698">
        <f t="shared" si="87"/>
        <v>703</v>
      </c>
      <c r="I135" s="1734">
        <f t="shared" si="87"/>
        <v>145</v>
      </c>
      <c r="J135" s="1698">
        <f t="shared" si="87"/>
        <v>572</v>
      </c>
      <c r="K135" s="1699">
        <f t="shared" si="87"/>
        <v>717</v>
      </c>
      <c r="L135" s="1698">
        <f t="shared" si="87"/>
        <v>147</v>
      </c>
      <c r="M135" s="1698">
        <f t="shared" si="87"/>
        <v>565</v>
      </c>
      <c r="N135" s="1698">
        <f t="shared" si="87"/>
        <v>712</v>
      </c>
      <c r="O135" s="1734">
        <f t="shared" si="87"/>
        <v>144</v>
      </c>
      <c r="P135" s="1698">
        <f t="shared" si="87"/>
        <v>566</v>
      </c>
      <c r="Q135" s="1699">
        <f t="shared" si="87"/>
        <v>710</v>
      </c>
      <c r="R135" s="1734">
        <f>SUM(R110,R120,R125)</f>
        <v>149</v>
      </c>
      <c r="S135" s="1698">
        <f>SUM(S110,S120,S125)</f>
        <v>556</v>
      </c>
      <c r="T135" s="1699">
        <f t="shared" ref="T135:T141" si="88">SUM(R135:S135)</f>
        <v>705</v>
      </c>
      <c r="U135" s="1698">
        <f>SUM(U110,U120,U125)</f>
        <v>148</v>
      </c>
      <c r="V135" s="1698">
        <f>SUM(V110,V120,V125)</f>
        <v>555</v>
      </c>
      <c r="W135" s="1699">
        <f t="shared" ref="W135:W141" si="89">SUM(U135:V135)</f>
        <v>703</v>
      </c>
      <c r="X135" s="1698">
        <f>SUM(X110,X120,X125)</f>
        <v>149</v>
      </c>
      <c r="Y135" s="1698">
        <f>SUM(Y110,Y120,Y125)</f>
        <v>560</v>
      </c>
      <c r="Z135" s="1699">
        <f t="shared" ref="Z135:Z141" si="90">SUM(X135:Y135)</f>
        <v>709</v>
      </c>
      <c r="AA135" s="1698">
        <f>SUM(AA110,AA120,AA125)</f>
        <v>150</v>
      </c>
      <c r="AB135" s="1698">
        <f>SUM(AB110,AB120,AB125)</f>
        <v>564</v>
      </c>
      <c r="AC135" s="1699">
        <f t="shared" ref="AC135:AC141" si="91">SUM(AA135:AB135)</f>
        <v>714</v>
      </c>
      <c r="AD135" s="1698">
        <f>SUM(AD110,AD120,AD125)</f>
        <v>158</v>
      </c>
      <c r="AE135" s="1698">
        <f>SUM(AE110,AE120,AE125)</f>
        <v>567</v>
      </c>
      <c r="AF135" s="1699">
        <f t="shared" ref="AF135:AF141" si="92">SUM(AD135:AE135)</f>
        <v>725</v>
      </c>
      <c r="AG135" s="1698">
        <f>SUM(AG110,AG120,AG125)</f>
        <v>159</v>
      </c>
      <c r="AH135" s="1698">
        <f>SUM(AH110,AH120,AH125)</f>
        <v>558</v>
      </c>
      <c r="AI135" s="1699">
        <f t="shared" ref="AI135:AI141" si="93">SUM(AG135:AH135)</f>
        <v>717</v>
      </c>
    </row>
    <row r="136" spans="1:35" x14ac:dyDescent="0.25">
      <c r="A136" s="6295"/>
      <c r="B136" s="1714" t="s">
        <v>6</v>
      </c>
      <c r="C136" s="1739">
        <f t="shared" ref="C136:Q136" si="94">SUM(C111,C115,C121,C126,C130)</f>
        <v>441</v>
      </c>
      <c r="D136" s="1707">
        <f t="shared" si="94"/>
        <v>651</v>
      </c>
      <c r="E136" s="1708">
        <f t="shared" si="94"/>
        <v>1092</v>
      </c>
      <c r="F136" s="1707">
        <f t="shared" si="94"/>
        <v>449</v>
      </c>
      <c r="G136" s="1707">
        <f t="shared" si="94"/>
        <v>657</v>
      </c>
      <c r="H136" s="1707">
        <f t="shared" si="94"/>
        <v>1106</v>
      </c>
      <c r="I136" s="1739">
        <f t="shared" si="94"/>
        <v>454</v>
      </c>
      <c r="J136" s="1707">
        <f t="shared" si="94"/>
        <v>650</v>
      </c>
      <c r="K136" s="1708">
        <f t="shared" si="94"/>
        <v>1104</v>
      </c>
      <c r="L136" s="1707">
        <f t="shared" si="94"/>
        <v>456</v>
      </c>
      <c r="M136" s="1707">
        <f t="shared" si="94"/>
        <v>659</v>
      </c>
      <c r="N136" s="1707">
        <f t="shared" si="94"/>
        <v>1115</v>
      </c>
      <c r="O136" s="1739">
        <f t="shared" si="94"/>
        <v>455</v>
      </c>
      <c r="P136" s="1707">
        <f t="shared" si="94"/>
        <v>670</v>
      </c>
      <c r="Q136" s="1708">
        <f t="shared" si="94"/>
        <v>1125</v>
      </c>
      <c r="R136" s="1739">
        <f>SUM(R111,R115,R121,R126,R130)</f>
        <v>473</v>
      </c>
      <c r="S136" s="1707">
        <f>SUM(S111,S115,S121,S126,S130)</f>
        <v>682</v>
      </c>
      <c r="T136" s="1708">
        <f t="shared" si="88"/>
        <v>1155</v>
      </c>
      <c r="U136" s="1707">
        <f>SUM(U111,U115,U121,U126,U130)</f>
        <v>485</v>
      </c>
      <c r="V136" s="1707">
        <f>SUM(V111,V115,V121,V126,V130)</f>
        <v>689</v>
      </c>
      <c r="W136" s="1708">
        <f t="shared" si="89"/>
        <v>1174</v>
      </c>
      <c r="X136" s="1707">
        <f>SUM(X111,X115,X121,X126,X130)</f>
        <v>488</v>
      </c>
      <c r="Y136" s="1707">
        <f>SUM(Y111,Y115,Y121,Y126,Y130)</f>
        <v>688</v>
      </c>
      <c r="Z136" s="1708">
        <f t="shared" si="90"/>
        <v>1176</v>
      </c>
      <c r="AA136" s="1707">
        <f>SUM(AA111,AA115,AA121,AA126,AA130)</f>
        <v>492</v>
      </c>
      <c r="AB136" s="1707">
        <f>SUM(AB111,AB115,AB121,AB126,AB130)</f>
        <v>694</v>
      </c>
      <c r="AC136" s="1708">
        <f t="shared" si="91"/>
        <v>1186</v>
      </c>
      <c r="AD136" s="1707">
        <f>SUM(AD111,AD115,AD121,AD126,AD130)</f>
        <v>500</v>
      </c>
      <c r="AE136" s="1707">
        <f>SUM(AE111,AE115,AE121,AE126,AE130)</f>
        <v>698</v>
      </c>
      <c r="AF136" s="1708">
        <f t="shared" si="92"/>
        <v>1198</v>
      </c>
      <c r="AG136" s="1707">
        <f>SUM(AG111,AG115,AG121,AG126,AG130)</f>
        <v>491</v>
      </c>
      <c r="AH136" s="1707">
        <f>SUM(AH111,AH115,AH121,AH126,AH130)</f>
        <v>683</v>
      </c>
      <c r="AI136" s="1708">
        <f t="shared" si="93"/>
        <v>1174</v>
      </c>
    </row>
    <row r="137" spans="1:35" x14ac:dyDescent="0.25">
      <c r="A137" s="6295"/>
      <c r="B137" s="1714" t="s">
        <v>11</v>
      </c>
      <c r="C137" s="1739">
        <f t="shared" ref="C137:Q137" si="95">SUM(C122,C127,C131)</f>
        <v>308</v>
      </c>
      <c r="D137" s="1707">
        <f t="shared" si="95"/>
        <v>343</v>
      </c>
      <c r="E137" s="1708">
        <f t="shared" si="95"/>
        <v>651</v>
      </c>
      <c r="F137" s="1707">
        <f t="shared" si="95"/>
        <v>310</v>
      </c>
      <c r="G137" s="1707">
        <f t="shared" si="95"/>
        <v>335</v>
      </c>
      <c r="H137" s="1707">
        <f t="shared" si="95"/>
        <v>645</v>
      </c>
      <c r="I137" s="1739">
        <f t="shared" si="95"/>
        <v>308</v>
      </c>
      <c r="J137" s="1707">
        <f t="shared" si="95"/>
        <v>332</v>
      </c>
      <c r="K137" s="1708">
        <f t="shared" si="95"/>
        <v>640</v>
      </c>
      <c r="L137" s="1707">
        <f t="shared" si="95"/>
        <v>309</v>
      </c>
      <c r="M137" s="1707">
        <f t="shared" si="95"/>
        <v>321</v>
      </c>
      <c r="N137" s="1707">
        <f t="shared" si="95"/>
        <v>630</v>
      </c>
      <c r="O137" s="1739">
        <f t="shared" si="95"/>
        <v>307</v>
      </c>
      <c r="P137" s="1707">
        <f t="shared" si="95"/>
        <v>311</v>
      </c>
      <c r="Q137" s="1708">
        <f t="shared" si="95"/>
        <v>618</v>
      </c>
      <c r="R137" s="1739">
        <f>SUM(R122,R127,R131)</f>
        <v>309</v>
      </c>
      <c r="S137" s="1707">
        <f>SUM(S122,S127,S131)</f>
        <v>312</v>
      </c>
      <c r="T137" s="1708">
        <f t="shared" si="88"/>
        <v>621</v>
      </c>
      <c r="U137" s="1707">
        <f>SUM(U122,U127,U131)</f>
        <v>310</v>
      </c>
      <c r="V137" s="1707">
        <f>SUM(V122,V127,V131)</f>
        <v>323</v>
      </c>
      <c r="W137" s="1708">
        <f t="shared" si="89"/>
        <v>633</v>
      </c>
      <c r="X137" s="1707">
        <f>SUM(X122,X127,X131)</f>
        <v>312</v>
      </c>
      <c r="Y137" s="1707">
        <f>SUM(Y122,Y127,Y131)</f>
        <v>323</v>
      </c>
      <c r="Z137" s="1708">
        <f t="shared" si="90"/>
        <v>635</v>
      </c>
      <c r="AA137" s="1707">
        <f>SUM(AA122,AA127,AA131)</f>
        <v>324</v>
      </c>
      <c r="AB137" s="1707">
        <f>SUM(AB122,AB127,AB131)</f>
        <v>325</v>
      </c>
      <c r="AC137" s="1708">
        <f t="shared" si="91"/>
        <v>649</v>
      </c>
      <c r="AD137" s="1707">
        <f>SUM(AD122,AD127,AD131)</f>
        <v>328</v>
      </c>
      <c r="AE137" s="1707">
        <f>SUM(AE122,AE127,AE131)</f>
        <v>339</v>
      </c>
      <c r="AF137" s="1708">
        <f t="shared" si="92"/>
        <v>667</v>
      </c>
      <c r="AG137" s="1707">
        <f>SUM(AG122,AG127,AG131)</f>
        <v>326</v>
      </c>
      <c r="AH137" s="1707">
        <f>SUM(AH122,AH127,AH131)</f>
        <v>342</v>
      </c>
      <c r="AI137" s="1708">
        <f t="shared" si="93"/>
        <v>668</v>
      </c>
    </row>
    <row r="138" spans="1:35" x14ac:dyDescent="0.25">
      <c r="A138" s="6295"/>
      <c r="B138" s="1714" t="s">
        <v>7</v>
      </c>
      <c r="C138" s="1739">
        <f t="shared" ref="C138:Q138" si="96">SUM(C112,C132)</f>
        <v>112</v>
      </c>
      <c r="D138" s="1707">
        <f t="shared" si="96"/>
        <v>289</v>
      </c>
      <c r="E138" s="1708">
        <f t="shared" si="96"/>
        <v>401</v>
      </c>
      <c r="F138" s="1707">
        <f t="shared" si="96"/>
        <v>110</v>
      </c>
      <c r="G138" s="1707">
        <f t="shared" si="96"/>
        <v>286</v>
      </c>
      <c r="H138" s="1707">
        <f t="shared" si="96"/>
        <v>396</v>
      </c>
      <c r="I138" s="1739">
        <f t="shared" si="96"/>
        <v>115</v>
      </c>
      <c r="J138" s="1707">
        <f t="shared" si="96"/>
        <v>275</v>
      </c>
      <c r="K138" s="1708">
        <f t="shared" si="96"/>
        <v>390</v>
      </c>
      <c r="L138" s="1707">
        <f t="shared" si="96"/>
        <v>117</v>
      </c>
      <c r="M138" s="1707">
        <f t="shared" si="96"/>
        <v>271</v>
      </c>
      <c r="N138" s="1707">
        <f t="shared" si="96"/>
        <v>388</v>
      </c>
      <c r="O138" s="1739">
        <f t="shared" si="96"/>
        <v>124</v>
      </c>
      <c r="P138" s="1707">
        <f t="shared" si="96"/>
        <v>280</v>
      </c>
      <c r="Q138" s="1708">
        <f t="shared" si="96"/>
        <v>404</v>
      </c>
      <c r="R138" s="1739">
        <f>SUM(R112,R132)</f>
        <v>131</v>
      </c>
      <c r="S138" s="1707">
        <f>SUM(S112,S132)</f>
        <v>281</v>
      </c>
      <c r="T138" s="1708">
        <f t="shared" si="88"/>
        <v>412</v>
      </c>
      <c r="U138" s="1707">
        <f>SUM(U112,U132)</f>
        <v>130</v>
      </c>
      <c r="V138" s="1707">
        <f>SUM(V112,V132)</f>
        <v>289</v>
      </c>
      <c r="W138" s="1708">
        <f t="shared" si="89"/>
        <v>419</v>
      </c>
      <c r="X138" s="1707">
        <f>SUM(X112,X132)</f>
        <v>127</v>
      </c>
      <c r="Y138" s="1707">
        <f>SUM(Y112,Y132)</f>
        <v>289</v>
      </c>
      <c r="Z138" s="1708">
        <f t="shared" si="90"/>
        <v>416</v>
      </c>
      <c r="AA138" s="1707">
        <f>SUM(AA112,AA132)</f>
        <v>129</v>
      </c>
      <c r="AB138" s="1707">
        <f>SUM(AB112,AB132)</f>
        <v>288</v>
      </c>
      <c r="AC138" s="1708">
        <f t="shared" si="91"/>
        <v>417</v>
      </c>
      <c r="AD138" s="1707">
        <f>SUM(AD112,AD132)</f>
        <v>138</v>
      </c>
      <c r="AE138" s="1707">
        <f>SUM(AE112,AE132)</f>
        <v>297</v>
      </c>
      <c r="AF138" s="1708">
        <f t="shared" si="92"/>
        <v>435</v>
      </c>
      <c r="AG138" s="1707">
        <f>SUM(AG112,AG132)</f>
        <v>134</v>
      </c>
      <c r="AH138" s="1707">
        <f>SUM(AH112,AH132)</f>
        <v>293</v>
      </c>
      <c r="AI138" s="1708">
        <f t="shared" si="93"/>
        <v>427</v>
      </c>
    </row>
    <row r="139" spans="1:35" x14ac:dyDescent="0.25">
      <c r="A139" s="6295"/>
      <c r="B139" s="1714" t="s">
        <v>9</v>
      </c>
      <c r="C139" s="1739">
        <f t="shared" ref="C139:Q139" si="97">SUM(C116)</f>
        <v>1</v>
      </c>
      <c r="D139" s="1707">
        <f t="shared" si="97"/>
        <v>2</v>
      </c>
      <c r="E139" s="1708">
        <f t="shared" si="97"/>
        <v>3</v>
      </c>
      <c r="F139" s="1707">
        <f t="shared" si="97"/>
        <v>2</v>
      </c>
      <c r="G139" s="1707">
        <f t="shared" si="97"/>
        <v>7</v>
      </c>
      <c r="H139" s="1707">
        <f t="shared" si="97"/>
        <v>9</v>
      </c>
      <c r="I139" s="1739">
        <f t="shared" si="97"/>
        <v>4</v>
      </c>
      <c r="J139" s="1707">
        <f t="shared" si="97"/>
        <v>9</v>
      </c>
      <c r="K139" s="1708">
        <f t="shared" si="97"/>
        <v>13</v>
      </c>
      <c r="L139" s="1707">
        <f t="shared" si="97"/>
        <v>7</v>
      </c>
      <c r="M139" s="1707">
        <f t="shared" si="97"/>
        <v>17</v>
      </c>
      <c r="N139" s="1707">
        <f t="shared" si="97"/>
        <v>24</v>
      </c>
      <c r="O139" s="1739">
        <f t="shared" si="97"/>
        <v>8</v>
      </c>
      <c r="P139" s="1707">
        <f t="shared" si="97"/>
        <v>22</v>
      </c>
      <c r="Q139" s="1708">
        <f t="shared" si="97"/>
        <v>30</v>
      </c>
      <c r="R139" s="1739">
        <f>SUM(R116)</f>
        <v>13</v>
      </c>
      <c r="S139" s="1707">
        <f>SUM(S116)</f>
        <v>25</v>
      </c>
      <c r="T139" s="1708">
        <f t="shared" si="88"/>
        <v>38</v>
      </c>
      <c r="U139" s="1707">
        <f>SUM(U116)</f>
        <v>16</v>
      </c>
      <c r="V139" s="1707">
        <f>SUM(V116)</f>
        <v>26</v>
      </c>
      <c r="W139" s="1708">
        <f t="shared" si="89"/>
        <v>42</v>
      </c>
      <c r="X139" s="1707">
        <f>SUM(X116)</f>
        <v>18</v>
      </c>
      <c r="Y139" s="1707">
        <f>SUM(Y116)</f>
        <v>35</v>
      </c>
      <c r="Z139" s="1708">
        <f t="shared" si="90"/>
        <v>53</v>
      </c>
      <c r="AA139" s="1707">
        <f>SUM(AA116)</f>
        <v>17</v>
      </c>
      <c r="AB139" s="1707">
        <f>SUM(AB116)</f>
        <v>36</v>
      </c>
      <c r="AC139" s="1708">
        <f t="shared" si="91"/>
        <v>53</v>
      </c>
      <c r="AD139" s="1707">
        <f>SUM(AD116)</f>
        <v>14</v>
      </c>
      <c r="AE139" s="1707">
        <f>SUM(AE116)</f>
        <v>39</v>
      </c>
      <c r="AF139" s="1708">
        <f t="shared" si="92"/>
        <v>53</v>
      </c>
      <c r="AG139" s="1707">
        <f>SUM(AG116)</f>
        <v>14</v>
      </c>
      <c r="AH139" s="1707">
        <f>SUM(AH116)</f>
        <v>41</v>
      </c>
      <c r="AI139" s="1708">
        <f t="shared" si="93"/>
        <v>55</v>
      </c>
    </row>
    <row r="140" spans="1:35" x14ac:dyDescent="0.25">
      <c r="A140" s="6295"/>
      <c r="B140" s="1715" t="s">
        <v>74</v>
      </c>
      <c r="C140" s="1742">
        <f t="shared" ref="C140:Q140" si="98">SUM(C117)</f>
        <v>1</v>
      </c>
      <c r="D140" s="1719">
        <f t="shared" si="98"/>
        <v>5</v>
      </c>
      <c r="E140" s="1720">
        <f t="shared" si="98"/>
        <v>6</v>
      </c>
      <c r="F140" s="1719">
        <f t="shared" si="98"/>
        <v>1</v>
      </c>
      <c r="G140" s="1719">
        <f t="shared" si="98"/>
        <v>5</v>
      </c>
      <c r="H140" s="1719">
        <f t="shared" si="98"/>
        <v>6</v>
      </c>
      <c r="I140" s="1742">
        <f t="shared" si="98"/>
        <v>5</v>
      </c>
      <c r="J140" s="1719">
        <f t="shared" si="98"/>
        <v>13</v>
      </c>
      <c r="K140" s="1720">
        <f t="shared" si="98"/>
        <v>18</v>
      </c>
      <c r="L140" s="1719">
        <f t="shared" si="98"/>
        <v>8</v>
      </c>
      <c r="M140" s="1719">
        <f t="shared" si="98"/>
        <v>15</v>
      </c>
      <c r="N140" s="1719">
        <f t="shared" si="98"/>
        <v>23</v>
      </c>
      <c r="O140" s="1742">
        <f t="shared" si="98"/>
        <v>8</v>
      </c>
      <c r="P140" s="1719">
        <f t="shared" si="98"/>
        <v>16</v>
      </c>
      <c r="Q140" s="1720">
        <f t="shared" si="98"/>
        <v>24</v>
      </c>
      <c r="R140" s="1742">
        <f>SUM(R117)</f>
        <v>9</v>
      </c>
      <c r="S140" s="1719">
        <f>SUM(S117)</f>
        <v>18</v>
      </c>
      <c r="T140" s="1720">
        <f t="shared" si="88"/>
        <v>27</v>
      </c>
      <c r="U140" s="1719">
        <f>SUM(U117)</f>
        <v>10</v>
      </c>
      <c r="V140" s="1719">
        <f>SUM(V117)</f>
        <v>23</v>
      </c>
      <c r="W140" s="1720">
        <f t="shared" si="89"/>
        <v>33</v>
      </c>
      <c r="X140" s="1719">
        <f>SUM(X117)</f>
        <v>14</v>
      </c>
      <c r="Y140" s="1719">
        <f>SUM(Y117)</f>
        <v>23</v>
      </c>
      <c r="Z140" s="1720">
        <f t="shared" si="90"/>
        <v>37</v>
      </c>
      <c r="AA140" s="1719">
        <f>SUM(AA117)</f>
        <v>15</v>
      </c>
      <c r="AB140" s="1719">
        <f>SUM(AB117)</f>
        <v>23</v>
      </c>
      <c r="AC140" s="1720">
        <f t="shared" si="91"/>
        <v>38</v>
      </c>
      <c r="AD140" s="1719">
        <f>SUM(AD117)</f>
        <v>19</v>
      </c>
      <c r="AE140" s="1719">
        <f>SUM(AE117)</f>
        <v>27</v>
      </c>
      <c r="AF140" s="1720">
        <f t="shared" si="92"/>
        <v>46</v>
      </c>
      <c r="AG140" s="1719">
        <f>SUM(AG117)</f>
        <v>20</v>
      </c>
      <c r="AH140" s="1719">
        <f>SUM(AH117)</f>
        <v>29</v>
      </c>
      <c r="AI140" s="1720">
        <f t="shared" si="93"/>
        <v>49</v>
      </c>
    </row>
    <row r="141" spans="1:35" x14ac:dyDescent="0.25">
      <c r="A141" s="6296"/>
      <c r="B141" s="1721" t="s">
        <v>12</v>
      </c>
      <c r="C141" s="1747">
        <f t="shared" ref="C141:Q141" si="99">SUM(C135:C140)</f>
        <v>1003</v>
      </c>
      <c r="D141" s="1728">
        <f t="shared" si="99"/>
        <v>1850</v>
      </c>
      <c r="E141" s="1729">
        <f t="shared" si="99"/>
        <v>2853</v>
      </c>
      <c r="F141" s="1728">
        <f t="shared" si="99"/>
        <v>1012</v>
      </c>
      <c r="G141" s="1728">
        <f t="shared" si="99"/>
        <v>1853</v>
      </c>
      <c r="H141" s="1728">
        <f t="shared" si="99"/>
        <v>2865</v>
      </c>
      <c r="I141" s="1747">
        <f t="shared" si="99"/>
        <v>1031</v>
      </c>
      <c r="J141" s="1728">
        <f t="shared" si="99"/>
        <v>1851</v>
      </c>
      <c r="K141" s="1729">
        <f t="shared" si="99"/>
        <v>2882</v>
      </c>
      <c r="L141" s="1728">
        <f t="shared" si="99"/>
        <v>1044</v>
      </c>
      <c r="M141" s="1728">
        <f t="shared" si="99"/>
        <v>1848</v>
      </c>
      <c r="N141" s="1728">
        <f t="shared" si="99"/>
        <v>2892</v>
      </c>
      <c r="O141" s="1747">
        <f t="shared" si="99"/>
        <v>1046</v>
      </c>
      <c r="P141" s="1728">
        <f t="shared" si="99"/>
        <v>1865</v>
      </c>
      <c r="Q141" s="1729">
        <f t="shared" si="99"/>
        <v>2911</v>
      </c>
      <c r="R141" s="1747">
        <f>SUM(R135:R140)</f>
        <v>1084</v>
      </c>
      <c r="S141" s="1728">
        <f>SUM(S135:S140)</f>
        <v>1874</v>
      </c>
      <c r="T141" s="1729">
        <f t="shared" si="88"/>
        <v>2958</v>
      </c>
      <c r="U141" s="1728">
        <f>SUM(U135:U140)</f>
        <v>1099</v>
      </c>
      <c r="V141" s="1728">
        <f>SUM(V135:V140)</f>
        <v>1905</v>
      </c>
      <c r="W141" s="1729">
        <f t="shared" si="89"/>
        <v>3004</v>
      </c>
      <c r="X141" s="1728">
        <f>SUM(X135:X140)</f>
        <v>1108</v>
      </c>
      <c r="Y141" s="1728">
        <f>SUM(Y135:Y140)</f>
        <v>1918</v>
      </c>
      <c r="Z141" s="1729">
        <f t="shared" si="90"/>
        <v>3026</v>
      </c>
      <c r="AA141" s="1728">
        <f>SUM(AA135:AA140)</f>
        <v>1127</v>
      </c>
      <c r="AB141" s="1728">
        <f>SUM(AB135:AB140)</f>
        <v>1930</v>
      </c>
      <c r="AC141" s="1729">
        <f t="shared" si="91"/>
        <v>3057</v>
      </c>
      <c r="AD141" s="1728">
        <f>SUM(AD135:AD140)</f>
        <v>1157</v>
      </c>
      <c r="AE141" s="1728">
        <f>SUM(AE135:AE140)</f>
        <v>1967</v>
      </c>
      <c r="AF141" s="1729">
        <f t="shared" si="92"/>
        <v>3124</v>
      </c>
      <c r="AG141" s="1728">
        <f>SUM(AG135:AG140)</f>
        <v>1144</v>
      </c>
      <c r="AH141" s="1728">
        <f>SUM(AH135:AH140)</f>
        <v>1946</v>
      </c>
      <c r="AI141" s="1729">
        <f t="shared" si="93"/>
        <v>3090</v>
      </c>
    </row>
  </sheetData>
  <mergeCells count="78">
    <mergeCell ref="A41:A42"/>
    <mergeCell ref="X74:Z74"/>
    <mergeCell ref="AA74:AC74"/>
    <mergeCell ref="A77:A80"/>
    <mergeCell ref="A82:A85"/>
    <mergeCell ref="F74:H74"/>
    <mergeCell ref="I74:K74"/>
    <mergeCell ref="L74:N74"/>
    <mergeCell ref="O74:Q74"/>
    <mergeCell ref="R74:T74"/>
    <mergeCell ref="U74:W74"/>
    <mergeCell ref="C74:E74"/>
    <mergeCell ref="L41:N41"/>
    <mergeCell ref="O41:Q41"/>
    <mergeCell ref="B41:B42"/>
    <mergeCell ref="C41:E41"/>
    <mergeCell ref="A6:A9"/>
    <mergeCell ref="A3:A4"/>
    <mergeCell ref="B3:B4"/>
    <mergeCell ref="C3:E3"/>
    <mergeCell ref="F3:H3"/>
    <mergeCell ref="A11:A14"/>
    <mergeCell ref="A16:A19"/>
    <mergeCell ref="A21:A24"/>
    <mergeCell ref="A26:A29"/>
    <mergeCell ref="A31:A37"/>
    <mergeCell ref="F41:H41"/>
    <mergeCell ref="I41:K41"/>
    <mergeCell ref="R3:T3"/>
    <mergeCell ref="U3:W3"/>
    <mergeCell ref="X3:Z3"/>
    <mergeCell ref="AA3:AC3"/>
    <mergeCell ref="R41:T41"/>
    <mergeCell ref="U41:W41"/>
    <mergeCell ref="X41:Z41"/>
    <mergeCell ref="AA41:AC41"/>
    <mergeCell ref="A130:A133"/>
    <mergeCell ref="A135:A141"/>
    <mergeCell ref="AA107:AC107"/>
    <mergeCell ref="AD107:AF107"/>
    <mergeCell ref="A110:A113"/>
    <mergeCell ref="A115:A118"/>
    <mergeCell ref="A120:A123"/>
    <mergeCell ref="L107:N107"/>
    <mergeCell ref="O107:Q107"/>
    <mergeCell ref="R107:T107"/>
    <mergeCell ref="U107:W107"/>
    <mergeCell ref="X107:Z107"/>
    <mergeCell ref="A107:A108"/>
    <mergeCell ref="B107:B108"/>
    <mergeCell ref="C107:E107"/>
    <mergeCell ref="F107:H107"/>
    <mergeCell ref="A125:A128"/>
    <mergeCell ref="A49:A52"/>
    <mergeCell ref="A44:A47"/>
    <mergeCell ref="A54:A57"/>
    <mergeCell ref="A59:A62"/>
    <mergeCell ref="A64:A70"/>
    <mergeCell ref="A74:A75"/>
    <mergeCell ref="A97:A103"/>
    <mergeCell ref="A92:A95"/>
    <mergeCell ref="A87:A90"/>
    <mergeCell ref="AG3:AI3"/>
    <mergeCell ref="AG41:AI41"/>
    <mergeCell ref="AG74:AI74"/>
    <mergeCell ref="AG107:AI107"/>
    <mergeCell ref="A1:B1"/>
    <mergeCell ref="A39:B39"/>
    <mergeCell ref="A72:B72"/>
    <mergeCell ref="A105:B105"/>
    <mergeCell ref="B74:B75"/>
    <mergeCell ref="I107:K107"/>
    <mergeCell ref="AD3:AF3"/>
    <mergeCell ref="AD41:AF41"/>
    <mergeCell ref="AD74:AF74"/>
    <mergeCell ref="I3:K3"/>
    <mergeCell ref="L3:N3"/>
    <mergeCell ref="O3:Q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70" pageOrder="overThenDown" orientation="landscape" r:id="rId1"/>
  <rowBreaks count="4" manualBreakCount="4">
    <brk id="38" max="31" man="1"/>
    <brk id="71" max="16383" man="1"/>
    <brk id="104" max="16383" man="1"/>
    <brk id="142" max="16383" man="1"/>
  </rowBreaks>
  <colBreaks count="1" manualBreakCount="1">
    <brk id="17" max="141" man="1"/>
  </colBreaks>
  <ignoredErrors>
    <ignoredError sqref="T37:Z37 U6:Z36 N47:Z69 N70:Z70 N80:Z95 N103:Q103 AC77:AC95 AC44:AC70 AC6:AC37 T108:AC141 AF110:AF141 AF80:AF103 AF44:AF70 AF6:AF37" formula="1"/>
    <ignoredError sqref="T6:T36" formula="1" formulaRange="1"/>
  </ignoredErrors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1:O126"/>
  <sheetViews>
    <sheetView showGridLines="0" topLeftCell="B1" zoomScaleNormal="100" workbookViewId="0">
      <selection activeCell="Q24" sqref="Q24"/>
    </sheetView>
  </sheetViews>
  <sheetFormatPr baseColWidth="10" defaultRowHeight="15" x14ac:dyDescent="0.25"/>
  <cols>
    <col min="1" max="1" width="28.42578125" style="1599" customWidth="1"/>
    <col min="2" max="2" width="1.28515625" style="1599" customWidth="1"/>
    <col min="3" max="14" width="12.42578125" style="1599" customWidth="1"/>
    <col min="15" max="16384" width="11.42578125" style="1599"/>
  </cols>
  <sheetData>
    <row r="1" spans="1:15" ht="21" x14ac:dyDescent="0.25">
      <c r="A1" s="2326" t="s">
        <v>97</v>
      </c>
      <c r="B1" s="1600"/>
      <c r="D1" s="2326"/>
      <c r="E1" s="2326"/>
      <c r="F1" s="2326"/>
      <c r="G1" s="2326"/>
      <c r="H1" s="2326"/>
      <c r="I1" s="2326"/>
      <c r="J1" s="2326"/>
      <c r="K1" s="2326"/>
      <c r="L1" s="2326"/>
      <c r="M1" s="2326"/>
    </row>
    <row r="2" spans="1:15" ht="11.25" customHeight="1" thickBot="1" x14ac:dyDescent="0.3">
      <c r="B2" s="1600"/>
    </row>
    <row r="3" spans="1:15" ht="33.75" customHeight="1" thickBot="1" x14ac:dyDescent="0.3">
      <c r="A3" s="1601" t="s">
        <v>98</v>
      </c>
      <c r="B3" s="1600"/>
      <c r="C3" s="1602">
        <v>2003</v>
      </c>
      <c r="D3" s="1603">
        <v>2004</v>
      </c>
      <c r="E3" s="1603">
        <v>2005</v>
      </c>
      <c r="F3" s="1603">
        <v>2006</v>
      </c>
      <c r="G3" s="1604">
        <v>2007</v>
      </c>
      <c r="H3" s="1604">
        <v>2008</v>
      </c>
      <c r="I3" s="1604">
        <v>2009</v>
      </c>
      <c r="J3" s="1604">
        <v>2010</v>
      </c>
      <c r="K3" s="1604">
        <v>2011</v>
      </c>
      <c r="L3" s="1604">
        <v>2012</v>
      </c>
      <c r="M3" s="1603">
        <v>2013</v>
      </c>
      <c r="N3" s="1603">
        <v>2014</v>
      </c>
      <c r="O3" s="1605">
        <v>2015</v>
      </c>
    </row>
    <row r="4" spans="1:15" ht="11.25" customHeight="1" thickBot="1" x14ac:dyDescent="0.3">
      <c r="B4" s="1600"/>
      <c r="M4" s="4407"/>
      <c r="N4" s="4408"/>
      <c r="O4" s="4409"/>
    </row>
    <row r="5" spans="1:15" ht="21" customHeight="1" x14ac:dyDescent="0.25">
      <c r="A5" s="1606" t="s">
        <v>99</v>
      </c>
      <c r="C5" s="1615">
        <v>13</v>
      </c>
      <c r="D5" s="1616">
        <f>11</f>
        <v>11</v>
      </c>
      <c r="E5" s="1616">
        <f>13</f>
        <v>13</v>
      </c>
      <c r="F5" s="1616">
        <f>12</f>
        <v>12</v>
      </c>
      <c r="G5" s="1617">
        <f>10</f>
        <v>10</v>
      </c>
      <c r="H5" s="1617">
        <f>14</f>
        <v>14</v>
      </c>
      <c r="I5" s="1617">
        <v>11</v>
      </c>
      <c r="J5" s="1617">
        <v>8</v>
      </c>
      <c r="K5" s="1617">
        <v>12</v>
      </c>
      <c r="L5" s="1617">
        <v>11</v>
      </c>
      <c r="M5" s="1616">
        <v>12</v>
      </c>
      <c r="N5" s="1616">
        <v>18</v>
      </c>
      <c r="O5" s="1618">
        <v>11</v>
      </c>
    </row>
    <row r="6" spans="1:15" ht="21" customHeight="1" x14ac:dyDescent="0.25">
      <c r="A6" s="1607" t="s">
        <v>100</v>
      </c>
      <c r="C6" s="1619">
        <v>96</v>
      </c>
      <c r="D6" s="1620">
        <f>74</f>
        <v>74</v>
      </c>
      <c r="E6" s="1620">
        <f>61</f>
        <v>61</v>
      </c>
      <c r="F6" s="1620">
        <f>63</f>
        <v>63</v>
      </c>
      <c r="G6" s="1621">
        <f>69</f>
        <v>69</v>
      </c>
      <c r="H6" s="1621">
        <f>72</f>
        <v>72</v>
      </c>
      <c r="I6" s="1621">
        <v>70</v>
      </c>
      <c r="J6" s="1621">
        <v>70</v>
      </c>
      <c r="K6" s="1621">
        <v>67</v>
      </c>
      <c r="L6" s="1621">
        <v>67</v>
      </c>
      <c r="M6" s="1620">
        <v>76</v>
      </c>
      <c r="N6" s="1620">
        <v>80</v>
      </c>
      <c r="O6" s="1622">
        <v>75</v>
      </c>
    </row>
    <row r="7" spans="1:15" ht="21" customHeight="1" x14ac:dyDescent="0.25">
      <c r="A7" s="1607" t="s">
        <v>101</v>
      </c>
      <c r="C7" s="1619">
        <f>263</f>
        <v>263</v>
      </c>
      <c r="D7" s="1620">
        <f>233</f>
        <v>233</v>
      </c>
      <c r="E7" s="1620">
        <f>205</f>
        <v>205</v>
      </c>
      <c r="F7" s="1620">
        <f>181</f>
        <v>181</v>
      </c>
      <c r="G7" s="1621">
        <f>177</f>
        <v>177</v>
      </c>
      <c r="H7" s="1621">
        <f>180</f>
        <v>180</v>
      </c>
      <c r="I7" s="1621">
        <v>169</v>
      </c>
      <c r="J7" s="1621">
        <v>164</v>
      </c>
      <c r="K7" s="1621">
        <v>155</v>
      </c>
      <c r="L7" s="1621">
        <v>155</v>
      </c>
      <c r="M7" s="1620">
        <v>153</v>
      </c>
      <c r="N7" s="1620">
        <v>158</v>
      </c>
      <c r="O7" s="1622">
        <v>154</v>
      </c>
    </row>
    <row r="8" spans="1:15" ht="21" customHeight="1" x14ac:dyDescent="0.25">
      <c r="A8" s="1607" t="s">
        <v>102</v>
      </c>
      <c r="C8" s="1619">
        <f>479</f>
        <v>479</v>
      </c>
      <c r="D8" s="1620">
        <f>449</f>
        <v>449</v>
      </c>
      <c r="E8" s="1620">
        <f>410</f>
        <v>410</v>
      </c>
      <c r="F8" s="1620">
        <f>371</f>
        <v>371</v>
      </c>
      <c r="G8" s="1621">
        <f>363</f>
        <v>363</v>
      </c>
      <c r="H8" s="1621">
        <f>319</f>
        <v>319</v>
      </c>
      <c r="I8" s="1621">
        <v>302</v>
      </c>
      <c r="J8" s="1621">
        <v>284</v>
      </c>
      <c r="K8" s="1621">
        <v>274</v>
      </c>
      <c r="L8" s="1621">
        <v>250</v>
      </c>
      <c r="M8" s="1620">
        <v>259</v>
      </c>
      <c r="N8" s="1620">
        <v>256</v>
      </c>
      <c r="O8" s="1622">
        <v>238</v>
      </c>
    </row>
    <row r="9" spans="1:15" ht="21" customHeight="1" x14ac:dyDescent="0.25">
      <c r="A9" s="1607" t="s">
        <v>103</v>
      </c>
      <c r="C9" s="1619">
        <f>640</f>
        <v>640</v>
      </c>
      <c r="D9" s="1620">
        <f>622</f>
        <v>622</v>
      </c>
      <c r="E9" s="1620">
        <f>622</f>
        <v>622</v>
      </c>
      <c r="F9" s="1620">
        <f>596</f>
        <v>596</v>
      </c>
      <c r="G9" s="1621">
        <f>566</f>
        <v>566</v>
      </c>
      <c r="H9" s="1621">
        <f>521</f>
        <v>521</v>
      </c>
      <c r="I9" s="1621">
        <v>493</v>
      </c>
      <c r="J9" s="1621">
        <v>461</v>
      </c>
      <c r="K9" s="1621">
        <v>437</v>
      </c>
      <c r="L9" s="1621">
        <v>414</v>
      </c>
      <c r="M9" s="1620">
        <v>377</v>
      </c>
      <c r="N9" s="1620">
        <v>365</v>
      </c>
      <c r="O9" s="1622">
        <v>327</v>
      </c>
    </row>
    <row r="10" spans="1:15" ht="21" customHeight="1" x14ac:dyDescent="0.25">
      <c r="A10" s="1607" t="s">
        <v>104</v>
      </c>
      <c r="C10" s="1619">
        <f>589</f>
        <v>589</v>
      </c>
      <c r="D10" s="1620">
        <f>594</f>
        <v>594</v>
      </c>
      <c r="E10" s="1620">
        <f>609</f>
        <v>609</v>
      </c>
      <c r="F10" s="1620">
        <f>617</f>
        <v>617</v>
      </c>
      <c r="G10" s="1621">
        <f>638</f>
        <v>638</v>
      </c>
      <c r="H10" s="1621">
        <f>661</f>
        <v>661</v>
      </c>
      <c r="I10" s="1621">
        <v>660</v>
      </c>
      <c r="J10" s="1621">
        <v>649</v>
      </c>
      <c r="K10" s="1621">
        <v>614</v>
      </c>
      <c r="L10" s="1621">
        <v>582</v>
      </c>
      <c r="M10" s="1620">
        <v>543</v>
      </c>
      <c r="N10" s="1620">
        <v>524</v>
      </c>
      <c r="O10" s="1622">
        <v>486</v>
      </c>
    </row>
    <row r="11" spans="1:15" ht="21" customHeight="1" x14ac:dyDescent="0.25">
      <c r="A11" s="1607" t="s">
        <v>105</v>
      </c>
      <c r="C11" s="1619">
        <f>419</f>
        <v>419</v>
      </c>
      <c r="D11" s="1620">
        <f>458</f>
        <v>458</v>
      </c>
      <c r="E11" s="1620">
        <f>505</f>
        <v>505</v>
      </c>
      <c r="F11" s="1620">
        <f>536</f>
        <v>536</v>
      </c>
      <c r="G11" s="1621">
        <f>540</f>
        <v>540</v>
      </c>
      <c r="H11" s="1621">
        <f>550</f>
        <v>550</v>
      </c>
      <c r="I11" s="1621">
        <v>558</v>
      </c>
      <c r="J11" s="1621">
        <v>585</v>
      </c>
      <c r="K11" s="1621">
        <v>604</v>
      </c>
      <c r="L11" s="1621">
        <v>631</v>
      </c>
      <c r="M11" s="1620">
        <v>652</v>
      </c>
      <c r="N11" s="1620">
        <v>645</v>
      </c>
      <c r="O11" s="1622">
        <v>646</v>
      </c>
    </row>
    <row r="12" spans="1:15" ht="21" customHeight="1" x14ac:dyDescent="0.25">
      <c r="A12" s="1607" t="s">
        <v>106</v>
      </c>
      <c r="C12" s="1619">
        <f>201</f>
        <v>201</v>
      </c>
      <c r="D12" s="1620">
        <f>237</f>
        <v>237</v>
      </c>
      <c r="E12" s="1620">
        <f>274</f>
        <v>274</v>
      </c>
      <c r="F12" s="1620">
        <v>318</v>
      </c>
      <c r="G12" s="1621">
        <f>335</f>
        <v>335</v>
      </c>
      <c r="H12" s="1621">
        <f>357</f>
        <v>357</v>
      </c>
      <c r="I12" s="1621">
        <v>394</v>
      </c>
      <c r="J12" s="1621">
        <v>438</v>
      </c>
      <c r="K12" s="1621">
        <v>474</v>
      </c>
      <c r="L12" s="1621">
        <v>499</v>
      </c>
      <c r="M12" s="1620">
        <v>506</v>
      </c>
      <c r="N12" s="1620">
        <v>527</v>
      </c>
      <c r="O12" s="1622">
        <v>535</v>
      </c>
    </row>
    <row r="13" spans="1:15" ht="21" customHeight="1" x14ac:dyDescent="0.25">
      <c r="A13" s="1607" t="s">
        <v>107</v>
      </c>
      <c r="C13" s="1619">
        <f>72</f>
        <v>72</v>
      </c>
      <c r="D13" s="1620">
        <f>87</f>
        <v>87</v>
      </c>
      <c r="E13" s="1620">
        <f>92</f>
        <v>92</v>
      </c>
      <c r="F13" s="1620">
        <f>116</f>
        <v>116</v>
      </c>
      <c r="G13" s="1621">
        <f>132</f>
        <v>132</v>
      </c>
      <c r="H13" s="1621">
        <f>158</f>
        <v>158</v>
      </c>
      <c r="I13" s="1621">
        <v>178</v>
      </c>
      <c r="J13" s="1621">
        <v>211</v>
      </c>
      <c r="K13" s="1621">
        <v>254</v>
      </c>
      <c r="L13" s="1621">
        <v>283</v>
      </c>
      <c r="M13" s="1620">
        <v>321</v>
      </c>
      <c r="N13" s="1620">
        <v>351</v>
      </c>
      <c r="O13" s="1622">
        <v>382</v>
      </c>
    </row>
    <row r="14" spans="1:15" ht="21" customHeight="1" thickBot="1" x14ac:dyDescent="0.3">
      <c r="A14" s="1608" t="s">
        <v>604</v>
      </c>
      <c r="C14" s="1623">
        <f>43</f>
        <v>43</v>
      </c>
      <c r="D14" s="1624">
        <v>52</v>
      </c>
      <c r="E14" s="1624">
        <f>62</f>
        <v>62</v>
      </c>
      <c r="F14" s="1624">
        <f>55</f>
        <v>55</v>
      </c>
      <c r="G14" s="1625">
        <f>52</f>
        <v>52</v>
      </c>
      <c r="H14" s="1625">
        <f>60</f>
        <v>60</v>
      </c>
      <c r="I14" s="1625">
        <v>76</v>
      </c>
      <c r="J14" s="1625">
        <v>88</v>
      </c>
      <c r="K14" s="1625">
        <v>113</v>
      </c>
      <c r="L14" s="1625">
        <v>134</v>
      </c>
      <c r="M14" s="1624">
        <v>158</v>
      </c>
      <c r="N14" s="1624">
        <v>200</v>
      </c>
      <c r="O14" s="1626">
        <v>236</v>
      </c>
    </row>
    <row r="15" spans="1:15" ht="11.25" customHeight="1" thickBot="1" x14ac:dyDescent="0.3">
      <c r="C15" s="1627"/>
      <c r="D15" s="1627"/>
      <c r="E15" s="1627"/>
      <c r="F15" s="1627"/>
      <c r="G15" s="1627"/>
      <c r="H15" s="1627"/>
      <c r="I15" s="1627"/>
    </row>
    <row r="16" spans="1:15" ht="21.75" customHeight="1" thickBot="1" x14ac:dyDescent="0.3">
      <c r="A16" s="1609" t="s">
        <v>12</v>
      </c>
      <c r="C16" s="1628">
        <f t="shared" ref="C16:L16" si="0">SUM(C5:C14)</f>
        <v>2815</v>
      </c>
      <c r="D16" s="1629">
        <f t="shared" si="0"/>
        <v>2817</v>
      </c>
      <c r="E16" s="1629">
        <f t="shared" si="0"/>
        <v>2853</v>
      </c>
      <c r="F16" s="1629">
        <f t="shared" si="0"/>
        <v>2865</v>
      </c>
      <c r="G16" s="1629">
        <f t="shared" si="0"/>
        <v>2882</v>
      </c>
      <c r="H16" s="1629">
        <f>SUM(H5:H14)</f>
        <v>2892</v>
      </c>
      <c r="I16" s="1629">
        <f>SUM(I5:I14)</f>
        <v>2911</v>
      </c>
      <c r="J16" s="1629">
        <f>SUM(J5:J14)</f>
        <v>2958</v>
      </c>
      <c r="K16" s="1629">
        <f>SUM(K5:K14)</f>
        <v>3004</v>
      </c>
      <c r="L16" s="1629">
        <f t="shared" si="0"/>
        <v>3026</v>
      </c>
      <c r="M16" s="1629">
        <f>SUM(M5:M14)</f>
        <v>3057</v>
      </c>
      <c r="N16" s="1629">
        <f>SUM(N5:N14)</f>
        <v>3124</v>
      </c>
      <c r="O16" s="1630">
        <f>SUM(O5:O14)</f>
        <v>3090</v>
      </c>
    </row>
    <row r="17" spans="1:15" ht="11.25" customHeight="1" thickBot="1" x14ac:dyDescent="0.3">
      <c r="A17" s="1610"/>
    </row>
    <row r="18" spans="1:15" ht="21.75" customHeight="1" thickBot="1" x14ac:dyDescent="0.3">
      <c r="A18" s="1609" t="s">
        <v>108</v>
      </c>
      <c r="C18" s="2041">
        <v>50.155595026642999</v>
      </c>
      <c r="D18" s="2042">
        <v>50.969826056088003</v>
      </c>
      <c r="E18" s="2042">
        <v>51.682089029092197</v>
      </c>
      <c r="F18" s="2042">
        <v>52.225130890052398</v>
      </c>
      <c r="G18" s="2043">
        <v>52.436502428868799</v>
      </c>
      <c r="H18" s="2043">
        <v>52.921507607192297</v>
      </c>
      <c r="I18" s="2043">
        <v>53.4709721745105</v>
      </c>
      <c r="J18" s="2043">
        <v>54.115280594996598</v>
      </c>
      <c r="K18" s="2043">
        <v>54.703728362183803</v>
      </c>
      <c r="L18" s="2043">
        <v>55.208856576338398</v>
      </c>
      <c r="M18" s="2042">
        <v>55.6</v>
      </c>
      <c r="N18" s="4410">
        <v>55.969910371318797</v>
      </c>
      <c r="O18" s="2841">
        <v>56.724919093851099</v>
      </c>
    </row>
    <row r="19" spans="1:15" ht="8.25" customHeight="1" x14ac:dyDescent="0.25"/>
    <row r="20" spans="1:15" ht="11.25" customHeight="1" x14ac:dyDescent="0.25">
      <c r="A20" s="1613" t="s">
        <v>640</v>
      </c>
    </row>
    <row r="21" spans="1:15" x14ac:dyDescent="0.25">
      <c r="A21" s="1613" t="s">
        <v>116</v>
      </c>
    </row>
    <row r="23" spans="1:15" ht="12" customHeight="1" x14ac:dyDescent="0.25">
      <c r="A23" s="4151" t="s">
        <v>98</v>
      </c>
      <c r="B23" s="4152"/>
      <c r="C23" s="4153">
        <v>2003</v>
      </c>
      <c r="D23" s="4153">
        <v>2004</v>
      </c>
      <c r="E23" s="4153">
        <v>2005</v>
      </c>
      <c r="F23" s="4153">
        <v>2006</v>
      </c>
      <c r="G23" s="4153">
        <v>2007</v>
      </c>
      <c r="H23" s="4153">
        <v>2008</v>
      </c>
      <c r="I23" s="4153">
        <v>2009</v>
      </c>
      <c r="J23" s="4153">
        <v>2010</v>
      </c>
      <c r="K23" s="4153">
        <v>2011</v>
      </c>
      <c r="L23" s="4153">
        <v>2012</v>
      </c>
      <c r="M23" s="4153">
        <v>2013</v>
      </c>
      <c r="N23" s="4153">
        <v>2014</v>
      </c>
      <c r="O23" s="4153">
        <v>2015</v>
      </c>
    </row>
    <row r="24" spans="1:15" ht="12" customHeight="1" x14ac:dyDescent="0.25">
      <c r="A24" s="4154" t="s">
        <v>99</v>
      </c>
      <c r="B24" s="4155"/>
      <c r="C24" s="4156">
        <v>13</v>
      </c>
      <c r="D24" s="4156">
        <f>11</f>
        <v>11</v>
      </c>
      <c r="E24" s="4156">
        <f>13</f>
        <v>13</v>
      </c>
      <c r="F24" s="4156">
        <f>12</f>
        <v>12</v>
      </c>
      <c r="G24" s="4156">
        <f>10</f>
        <v>10</v>
      </c>
      <c r="H24" s="4156">
        <f>14</f>
        <v>14</v>
      </c>
      <c r="I24" s="4156">
        <v>11</v>
      </c>
      <c r="J24" s="4156">
        <v>8</v>
      </c>
      <c r="K24" s="4156">
        <v>12</v>
      </c>
      <c r="L24" s="4156">
        <v>11</v>
      </c>
      <c r="M24" s="4156">
        <v>12</v>
      </c>
      <c r="N24" s="4156">
        <f>+N5</f>
        <v>18</v>
      </c>
      <c r="O24" s="4156">
        <f>+O5</f>
        <v>11</v>
      </c>
    </row>
    <row r="25" spans="1:15" ht="12" customHeight="1" x14ac:dyDescent="0.25">
      <c r="A25" s="4157" t="s">
        <v>641</v>
      </c>
      <c r="B25" s="4155"/>
      <c r="C25" s="4158">
        <f t="shared" ref="C25:N25" si="1">SUM(C6:C7)</f>
        <v>359</v>
      </c>
      <c r="D25" s="4158">
        <f t="shared" si="1"/>
        <v>307</v>
      </c>
      <c r="E25" s="4158">
        <f t="shared" si="1"/>
        <v>266</v>
      </c>
      <c r="F25" s="4158">
        <f t="shared" si="1"/>
        <v>244</v>
      </c>
      <c r="G25" s="4158">
        <f t="shared" si="1"/>
        <v>246</v>
      </c>
      <c r="H25" s="4158">
        <f t="shared" si="1"/>
        <v>252</v>
      </c>
      <c r="I25" s="4158">
        <f t="shared" si="1"/>
        <v>239</v>
      </c>
      <c r="J25" s="4158">
        <f t="shared" si="1"/>
        <v>234</v>
      </c>
      <c r="K25" s="4158">
        <f t="shared" si="1"/>
        <v>222</v>
      </c>
      <c r="L25" s="4158">
        <f t="shared" si="1"/>
        <v>222</v>
      </c>
      <c r="M25" s="4158">
        <f t="shared" si="1"/>
        <v>229</v>
      </c>
      <c r="N25" s="4158">
        <f t="shared" si="1"/>
        <v>238</v>
      </c>
      <c r="O25" s="4158">
        <f t="shared" ref="O25" si="2">SUM(O6:O7)</f>
        <v>229</v>
      </c>
    </row>
    <row r="26" spans="1:15" ht="12" customHeight="1" x14ac:dyDescent="0.25">
      <c r="A26" s="4157" t="s">
        <v>642</v>
      </c>
      <c r="B26" s="4155"/>
      <c r="C26" s="4158">
        <f t="shared" ref="C26:N26" si="3">SUM(C8:C9)</f>
        <v>1119</v>
      </c>
      <c r="D26" s="4158">
        <f t="shared" si="3"/>
        <v>1071</v>
      </c>
      <c r="E26" s="4158">
        <f t="shared" si="3"/>
        <v>1032</v>
      </c>
      <c r="F26" s="4158">
        <f t="shared" si="3"/>
        <v>967</v>
      </c>
      <c r="G26" s="4158">
        <f t="shared" si="3"/>
        <v>929</v>
      </c>
      <c r="H26" s="4158">
        <f t="shared" si="3"/>
        <v>840</v>
      </c>
      <c r="I26" s="4158">
        <f t="shared" si="3"/>
        <v>795</v>
      </c>
      <c r="J26" s="4158">
        <f t="shared" si="3"/>
        <v>745</v>
      </c>
      <c r="K26" s="4158">
        <f t="shared" si="3"/>
        <v>711</v>
      </c>
      <c r="L26" s="4158">
        <f t="shared" si="3"/>
        <v>664</v>
      </c>
      <c r="M26" s="4158">
        <f t="shared" si="3"/>
        <v>636</v>
      </c>
      <c r="N26" s="4158">
        <f t="shared" si="3"/>
        <v>621</v>
      </c>
      <c r="O26" s="4158">
        <f t="shared" ref="O26" si="4">SUM(O8:O9)</f>
        <v>565</v>
      </c>
    </row>
    <row r="27" spans="1:15" ht="12" customHeight="1" x14ac:dyDescent="0.25">
      <c r="A27" s="4157" t="s">
        <v>643</v>
      </c>
      <c r="B27" s="4155"/>
      <c r="C27" s="4158">
        <f t="shared" ref="C27:N27" si="5">SUM(C10:C11)</f>
        <v>1008</v>
      </c>
      <c r="D27" s="4158">
        <f t="shared" si="5"/>
        <v>1052</v>
      </c>
      <c r="E27" s="4158">
        <f t="shared" si="5"/>
        <v>1114</v>
      </c>
      <c r="F27" s="4158">
        <f t="shared" si="5"/>
        <v>1153</v>
      </c>
      <c r="G27" s="4158">
        <f t="shared" si="5"/>
        <v>1178</v>
      </c>
      <c r="H27" s="4158">
        <f t="shared" si="5"/>
        <v>1211</v>
      </c>
      <c r="I27" s="4158">
        <f t="shared" si="5"/>
        <v>1218</v>
      </c>
      <c r="J27" s="4158">
        <f t="shared" si="5"/>
        <v>1234</v>
      </c>
      <c r="K27" s="4158">
        <f t="shared" si="5"/>
        <v>1218</v>
      </c>
      <c r="L27" s="4158">
        <f t="shared" si="5"/>
        <v>1213</v>
      </c>
      <c r="M27" s="4158">
        <f t="shared" si="5"/>
        <v>1195</v>
      </c>
      <c r="N27" s="4158">
        <f t="shared" si="5"/>
        <v>1169</v>
      </c>
      <c r="O27" s="4158">
        <f t="shared" ref="O27" si="6">SUM(O10:O11)</f>
        <v>1132</v>
      </c>
    </row>
    <row r="28" spans="1:15" ht="12" customHeight="1" x14ac:dyDescent="0.25">
      <c r="A28" s="4157" t="s">
        <v>644</v>
      </c>
      <c r="B28" s="4155"/>
      <c r="C28" s="4158">
        <f t="shared" ref="C28:N28" si="7">SUM(C12:C13)</f>
        <v>273</v>
      </c>
      <c r="D28" s="4158">
        <f t="shared" si="7"/>
        <v>324</v>
      </c>
      <c r="E28" s="4158">
        <f t="shared" si="7"/>
        <v>366</v>
      </c>
      <c r="F28" s="4158">
        <f t="shared" si="7"/>
        <v>434</v>
      </c>
      <c r="G28" s="4158">
        <f t="shared" si="7"/>
        <v>467</v>
      </c>
      <c r="H28" s="4158">
        <f t="shared" si="7"/>
        <v>515</v>
      </c>
      <c r="I28" s="4158">
        <f t="shared" si="7"/>
        <v>572</v>
      </c>
      <c r="J28" s="4158">
        <f t="shared" si="7"/>
        <v>649</v>
      </c>
      <c r="K28" s="4158">
        <f t="shared" si="7"/>
        <v>728</v>
      </c>
      <c r="L28" s="4158">
        <f t="shared" si="7"/>
        <v>782</v>
      </c>
      <c r="M28" s="4158">
        <f t="shared" si="7"/>
        <v>827</v>
      </c>
      <c r="N28" s="4158">
        <f t="shared" si="7"/>
        <v>878</v>
      </c>
      <c r="O28" s="4158">
        <f t="shared" ref="O28" si="8">SUM(O12:O13)</f>
        <v>917</v>
      </c>
    </row>
    <row r="29" spans="1:15" ht="12" customHeight="1" x14ac:dyDescent="0.25">
      <c r="A29" s="4159" t="s">
        <v>604</v>
      </c>
      <c r="B29" s="4155"/>
      <c r="C29" s="4160">
        <f>43</f>
        <v>43</v>
      </c>
      <c r="D29" s="4160">
        <v>52</v>
      </c>
      <c r="E29" s="4160">
        <f>62</f>
        <v>62</v>
      </c>
      <c r="F29" s="4160">
        <f>55</f>
        <v>55</v>
      </c>
      <c r="G29" s="4160">
        <f>52</f>
        <v>52</v>
      </c>
      <c r="H29" s="4160">
        <f>60</f>
        <v>60</v>
      </c>
      <c r="I29" s="4160">
        <v>76</v>
      </c>
      <c r="J29" s="4160">
        <v>88</v>
      </c>
      <c r="K29" s="4160">
        <v>113</v>
      </c>
      <c r="L29" s="4160">
        <v>134</v>
      </c>
      <c r="M29" s="4160">
        <v>158</v>
      </c>
      <c r="N29" s="4160">
        <f>+N14</f>
        <v>200</v>
      </c>
      <c r="O29" s="4160">
        <f>+O14</f>
        <v>236</v>
      </c>
    </row>
    <row r="30" spans="1:15" ht="12" customHeight="1" x14ac:dyDescent="0.25">
      <c r="A30" s="4161" t="s">
        <v>12</v>
      </c>
      <c r="B30" s="4155"/>
      <c r="C30" s="4162">
        <f t="shared" ref="C30:M30" si="9">SUM(C24:C29)</f>
        <v>2815</v>
      </c>
      <c r="D30" s="4162">
        <f t="shared" si="9"/>
        <v>2817</v>
      </c>
      <c r="E30" s="4162">
        <f t="shared" si="9"/>
        <v>2853</v>
      </c>
      <c r="F30" s="4162">
        <f t="shared" si="9"/>
        <v>2865</v>
      </c>
      <c r="G30" s="4162">
        <f t="shared" si="9"/>
        <v>2882</v>
      </c>
      <c r="H30" s="4162">
        <f t="shared" si="9"/>
        <v>2892</v>
      </c>
      <c r="I30" s="4162">
        <f t="shared" si="9"/>
        <v>2911</v>
      </c>
      <c r="J30" s="4162">
        <f t="shared" si="9"/>
        <v>2958</v>
      </c>
      <c r="K30" s="4162">
        <f t="shared" si="9"/>
        <v>3004</v>
      </c>
      <c r="L30" s="4162">
        <f t="shared" si="9"/>
        <v>3026</v>
      </c>
      <c r="M30" s="4162">
        <f t="shared" si="9"/>
        <v>3057</v>
      </c>
      <c r="N30" s="4162">
        <f>SUM(N24:N29)</f>
        <v>3124</v>
      </c>
      <c r="O30" s="4162">
        <f>SUM(O24:O29)</f>
        <v>3090</v>
      </c>
    </row>
    <row r="31" spans="1:15" ht="12" customHeight="1" x14ac:dyDescent="0.25">
      <c r="A31" s="4155"/>
      <c r="B31" s="4155"/>
      <c r="C31" s="4155"/>
      <c r="D31" s="4155"/>
      <c r="E31" s="4155"/>
      <c r="F31" s="4155"/>
      <c r="G31" s="4155"/>
      <c r="H31" s="4155"/>
      <c r="I31" s="4155"/>
      <c r="J31" s="4155"/>
      <c r="K31" s="4155"/>
      <c r="L31" s="4155"/>
      <c r="M31" s="4155"/>
      <c r="N31" s="4155"/>
      <c r="O31" s="4155"/>
    </row>
    <row r="32" spans="1:15" ht="12" customHeight="1" x14ac:dyDescent="0.25">
      <c r="A32" s="4151" t="s">
        <v>98</v>
      </c>
      <c r="B32" s="4152"/>
      <c r="C32" s="4163">
        <v>2003</v>
      </c>
      <c r="D32" s="4163">
        <v>2004</v>
      </c>
      <c r="E32" s="4163">
        <v>2005</v>
      </c>
      <c r="F32" s="4163">
        <v>2006</v>
      </c>
      <c r="G32" s="4163">
        <v>2007</v>
      </c>
      <c r="H32" s="4163">
        <v>2008</v>
      </c>
      <c r="I32" s="4163">
        <v>2009</v>
      </c>
      <c r="J32" s="4163">
        <v>2010</v>
      </c>
      <c r="K32" s="4163">
        <v>2011</v>
      </c>
      <c r="L32" s="4163">
        <v>2012</v>
      </c>
      <c r="M32" s="4163">
        <v>2013</v>
      </c>
      <c r="N32" s="4163">
        <v>2014</v>
      </c>
      <c r="O32" s="4163">
        <v>2015</v>
      </c>
    </row>
    <row r="33" spans="1:15" ht="12" customHeight="1" x14ac:dyDescent="0.25">
      <c r="A33" s="4154" t="s">
        <v>99</v>
      </c>
      <c r="B33" s="4155"/>
      <c r="C33" s="4164">
        <f t="shared" ref="C33:C38" si="10">C24/$C$30</f>
        <v>4.6181172291296629E-3</v>
      </c>
      <c r="D33" s="4164">
        <f t="shared" ref="D33:D38" si="11">D24/$D$30</f>
        <v>3.9048633297834577E-3</v>
      </c>
      <c r="E33" s="4164">
        <f t="shared" ref="E33:E38" si="12">E24/$E$30</f>
        <v>4.5566070802663863E-3</v>
      </c>
      <c r="F33" s="4164">
        <f t="shared" ref="F33:F38" si="13">F24/$F$30</f>
        <v>4.1884816753926706E-3</v>
      </c>
      <c r="G33" s="4164">
        <f t="shared" ref="G33:G38" si="14">G24/$G$30</f>
        <v>3.4698126301179735E-3</v>
      </c>
      <c r="H33" s="4164">
        <f t="shared" ref="H33:H38" si="15">H24/$H$30</f>
        <v>4.8409405255878286E-3</v>
      </c>
      <c r="I33" s="4164">
        <f t="shared" ref="I33:I38" si="16">I24/$I$30</f>
        <v>3.7787701820680177E-3</v>
      </c>
      <c r="J33" s="4164">
        <f t="shared" ref="J33:J38" si="17">J24/$J$30</f>
        <v>2.7045300878972278E-3</v>
      </c>
      <c r="K33" s="4164">
        <f t="shared" ref="K33:K38" si="18">K24/$K$30</f>
        <v>3.9946737683089215E-3</v>
      </c>
      <c r="L33" s="4164">
        <f t="shared" ref="L33:L38" si="19">L24/$L$30</f>
        <v>3.6351619299405157E-3</v>
      </c>
      <c r="M33" s="4164">
        <f t="shared" ref="M33:M38" si="20">M24/$M$30</f>
        <v>3.9254170755642784E-3</v>
      </c>
      <c r="N33" s="4164">
        <f t="shared" ref="N33:N38" si="21">N24/$N$30</f>
        <v>5.7618437900128043E-3</v>
      </c>
      <c r="O33" s="4164">
        <f t="shared" ref="O33:O38" si="22">O24/$O$30</f>
        <v>3.5598705501618125E-3</v>
      </c>
    </row>
    <row r="34" spans="1:15" ht="12" customHeight="1" x14ac:dyDescent="0.25">
      <c r="A34" s="4157" t="s">
        <v>641</v>
      </c>
      <c r="B34" s="4155"/>
      <c r="C34" s="4165">
        <f t="shared" si="10"/>
        <v>0.12753108348134992</v>
      </c>
      <c r="D34" s="4165">
        <f t="shared" si="11"/>
        <v>0.10898118565850196</v>
      </c>
      <c r="E34" s="4165">
        <f t="shared" si="12"/>
        <v>9.3235191026989128E-2</v>
      </c>
      <c r="F34" s="4165">
        <f t="shared" si="13"/>
        <v>8.5165794066317621E-2</v>
      </c>
      <c r="G34" s="4165">
        <f t="shared" si="14"/>
        <v>8.5357390700902147E-2</v>
      </c>
      <c r="H34" s="4165">
        <f t="shared" si="15"/>
        <v>8.7136929460580909E-2</v>
      </c>
      <c r="I34" s="4165">
        <f t="shared" si="16"/>
        <v>8.2102370319477841E-2</v>
      </c>
      <c r="J34" s="4165">
        <f t="shared" si="17"/>
        <v>7.9107505070993914E-2</v>
      </c>
      <c r="K34" s="4165">
        <f t="shared" si="18"/>
        <v>7.3901464713715045E-2</v>
      </c>
      <c r="L34" s="4165">
        <f t="shared" si="19"/>
        <v>7.3364177131526764E-2</v>
      </c>
      <c r="M34" s="4165">
        <f t="shared" si="20"/>
        <v>7.4910042525351647E-2</v>
      </c>
      <c r="N34" s="4165">
        <f t="shared" si="21"/>
        <v>7.6184379001280403E-2</v>
      </c>
      <c r="O34" s="4165">
        <f t="shared" si="22"/>
        <v>7.4110032362459541E-2</v>
      </c>
    </row>
    <row r="35" spans="1:15" ht="12" customHeight="1" x14ac:dyDescent="0.25">
      <c r="A35" s="4157" t="s">
        <v>642</v>
      </c>
      <c r="B35" s="4155"/>
      <c r="C35" s="4165">
        <f t="shared" si="10"/>
        <v>0.39751332149200713</v>
      </c>
      <c r="D35" s="4165">
        <f t="shared" si="11"/>
        <v>0.38019169329073482</v>
      </c>
      <c r="E35" s="4165">
        <f t="shared" si="12"/>
        <v>0.36172450052576238</v>
      </c>
      <c r="F35" s="4165">
        <f t="shared" si="13"/>
        <v>0.33752181500872602</v>
      </c>
      <c r="G35" s="4165">
        <f t="shared" si="14"/>
        <v>0.32234559333795976</v>
      </c>
      <c r="H35" s="4165">
        <f t="shared" si="15"/>
        <v>0.29045643153526973</v>
      </c>
      <c r="I35" s="4165">
        <f t="shared" si="16"/>
        <v>0.27310202679491585</v>
      </c>
      <c r="J35" s="4165">
        <f t="shared" si="17"/>
        <v>0.25185936443542933</v>
      </c>
      <c r="K35" s="4165">
        <f t="shared" si="18"/>
        <v>0.23668442077230359</v>
      </c>
      <c r="L35" s="4165">
        <f t="shared" si="19"/>
        <v>0.21943159286186384</v>
      </c>
      <c r="M35" s="4165">
        <f t="shared" si="20"/>
        <v>0.20804710500490678</v>
      </c>
      <c r="N35" s="4165">
        <f t="shared" si="21"/>
        <v>0.19878361075544174</v>
      </c>
      <c r="O35" s="4165">
        <f t="shared" si="22"/>
        <v>0.18284789644012944</v>
      </c>
    </row>
    <row r="36" spans="1:15" ht="12" customHeight="1" x14ac:dyDescent="0.25">
      <c r="A36" s="4157" t="s">
        <v>643</v>
      </c>
      <c r="B36" s="4155"/>
      <c r="C36" s="4165">
        <f t="shared" si="10"/>
        <v>0.35808170515097693</v>
      </c>
      <c r="D36" s="4165">
        <f t="shared" si="11"/>
        <v>0.37344692935747248</v>
      </c>
      <c r="E36" s="4165">
        <f t="shared" si="12"/>
        <v>0.39046617595513494</v>
      </c>
      <c r="F36" s="4165">
        <f t="shared" si="13"/>
        <v>0.40244328097731241</v>
      </c>
      <c r="G36" s="4165">
        <f t="shared" si="14"/>
        <v>0.40874392782789731</v>
      </c>
      <c r="H36" s="4165">
        <f t="shared" si="15"/>
        <v>0.41874135546334718</v>
      </c>
      <c r="I36" s="4165">
        <f t="shared" si="16"/>
        <v>0.41841291652353141</v>
      </c>
      <c r="J36" s="4165">
        <f t="shared" si="17"/>
        <v>0.41717376605814738</v>
      </c>
      <c r="K36" s="4165">
        <f t="shared" si="18"/>
        <v>0.40545938748335553</v>
      </c>
      <c r="L36" s="4165">
        <f t="shared" si="19"/>
        <v>0.40085922009253139</v>
      </c>
      <c r="M36" s="4165">
        <f t="shared" si="20"/>
        <v>0.39090611710827611</v>
      </c>
      <c r="N36" s="4165">
        <f t="shared" si="21"/>
        <v>0.37419974391805377</v>
      </c>
      <c r="O36" s="4165">
        <f t="shared" si="22"/>
        <v>0.36634304207119739</v>
      </c>
    </row>
    <row r="37" spans="1:15" ht="12" customHeight="1" x14ac:dyDescent="0.25">
      <c r="A37" s="4157" t="s">
        <v>644</v>
      </c>
      <c r="B37" s="4155"/>
      <c r="C37" s="4165">
        <f t="shared" si="10"/>
        <v>9.6980461811722915E-2</v>
      </c>
      <c r="D37" s="4165">
        <f t="shared" si="11"/>
        <v>0.11501597444089456</v>
      </c>
      <c r="E37" s="4165">
        <f t="shared" si="12"/>
        <v>0.12828601472134596</v>
      </c>
      <c r="F37" s="4165">
        <f t="shared" si="13"/>
        <v>0.15148342059336825</v>
      </c>
      <c r="G37" s="4165">
        <f t="shared" si="14"/>
        <v>0.16204024982650936</v>
      </c>
      <c r="H37" s="4165">
        <f t="shared" si="15"/>
        <v>0.17807745504840941</v>
      </c>
      <c r="I37" s="4165">
        <f t="shared" si="16"/>
        <v>0.19649604946753693</v>
      </c>
      <c r="J37" s="4165">
        <f t="shared" si="17"/>
        <v>0.2194050033806626</v>
      </c>
      <c r="K37" s="4165">
        <f t="shared" si="18"/>
        <v>0.24234354194407456</v>
      </c>
      <c r="L37" s="4165">
        <f t="shared" si="19"/>
        <v>0.25842696629213485</v>
      </c>
      <c r="M37" s="4165">
        <f t="shared" si="20"/>
        <v>0.27052666012430487</v>
      </c>
      <c r="N37" s="4165">
        <f t="shared" si="21"/>
        <v>0.28104993597951344</v>
      </c>
      <c r="O37" s="4165">
        <f t="shared" si="22"/>
        <v>0.29676375404530747</v>
      </c>
    </row>
    <row r="38" spans="1:15" ht="12" customHeight="1" x14ac:dyDescent="0.25">
      <c r="A38" s="4159" t="s">
        <v>604</v>
      </c>
      <c r="B38" s="4155"/>
      <c r="C38" s="4166">
        <f t="shared" si="10"/>
        <v>1.52753108348135E-2</v>
      </c>
      <c r="D38" s="4166">
        <f t="shared" si="11"/>
        <v>1.845935392261271E-2</v>
      </c>
      <c r="E38" s="4166">
        <f t="shared" si="12"/>
        <v>2.1731510690501228E-2</v>
      </c>
      <c r="F38" s="4166">
        <f t="shared" si="13"/>
        <v>1.9197207678883072E-2</v>
      </c>
      <c r="G38" s="4166">
        <f t="shared" si="14"/>
        <v>1.8043025676613464E-2</v>
      </c>
      <c r="H38" s="4166">
        <f t="shared" si="15"/>
        <v>2.0746887966804978E-2</v>
      </c>
      <c r="I38" s="4166">
        <f t="shared" si="16"/>
        <v>2.6107866712469941E-2</v>
      </c>
      <c r="J38" s="4166">
        <f t="shared" si="17"/>
        <v>2.9749830966869506E-2</v>
      </c>
      <c r="K38" s="4166">
        <f t="shared" si="18"/>
        <v>3.7616511318242341E-2</v>
      </c>
      <c r="L38" s="4166">
        <f t="shared" si="19"/>
        <v>4.4282881692002646E-2</v>
      </c>
      <c r="M38" s="4166">
        <f t="shared" si="20"/>
        <v>5.1684658161596335E-2</v>
      </c>
      <c r="N38" s="4166">
        <f t="shared" si="21"/>
        <v>6.4020486555697823E-2</v>
      </c>
      <c r="O38" s="4166">
        <f t="shared" si="22"/>
        <v>7.6375404530744331E-2</v>
      </c>
    </row>
    <row r="39" spans="1:15" ht="12" customHeight="1" x14ac:dyDescent="0.25">
      <c r="A39" s="4161" t="s">
        <v>12</v>
      </c>
      <c r="B39" s="4155"/>
      <c r="C39" s="4167">
        <f>SUM(C33:C38)</f>
        <v>1</v>
      </c>
      <c r="D39" s="4167">
        <f t="shared" ref="D39:M39" si="23">SUM(D33:D38)</f>
        <v>0.99999999999999989</v>
      </c>
      <c r="E39" s="4167">
        <f t="shared" si="23"/>
        <v>1</v>
      </c>
      <c r="F39" s="4167">
        <f t="shared" si="23"/>
        <v>1</v>
      </c>
      <c r="G39" s="4167">
        <f t="shared" si="23"/>
        <v>1</v>
      </c>
      <c r="H39" s="4167">
        <f t="shared" si="23"/>
        <v>1</v>
      </c>
      <c r="I39" s="4167">
        <f t="shared" si="23"/>
        <v>1</v>
      </c>
      <c r="J39" s="4167">
        <f t="shared" si="23"/>
        <v>1</v>
      </c>
      <c r="K39" s="4167">
        <f t="shared" si="23"/>
        <v>1</v>
      </c>
      <c r="L39" s="4167">
        <f t="shared" si="23"/>
        <v>1</v>
      </c>
      <c r="M39" s="4167">
        <f t="shared" si="23"/>
        <v>0.99999999999999989</v>
      </c>
      <c r="N39" s="4167">
        <f>SUM(N33:N38)</f>
        <v>1</v>
      </c>
      <c r="O39" s="4167">
        <f>SUM(O33:O38)</f>
        <v>1</v>
      </c>
    </row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</sheetData>
  <printOptions horizontalCentered="1" verticalCentered="1"/>
  <pageMargins left="0.70866141732283472" right="0.70866141732283472" top="0.35433070866141736" bottom="0.35433070866141736" header="0.31496062992125984" footer="0.31496062992125984"/>
  <pageSetup scale="69" orientation="landscape" r:id="rId1"/>
  <rowBreaks count="1" manualBreakCount="1">
    <brk id="39" max="16383" man="1"/>
  </rowBreaks>
  <ignoredErrors>
    <ignoredError sqref="I25:M28 N25:N28 O25:O28" formulaRange="1"/>
  </ignoredErrors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2:O116"/>
  <sheetViews>
    <sheetView showGridLines="0" zoomScaleNormal="100" workbookViewId="0">
      <selection activeCell="N30" sqref="N30"/>
    </sheetView>
  </sheetViews>
  <sheetFormatPr baseColWidth="10" defaultRowHeight="15" x14ac:dyDescent="0.25"/>
  <cols>
    <col min="1" max="1" width="28.42578125" style="1599" customWidth="1"/>
    <col min="2" max="2" width="1.28515625" style="1599" customWidth="1"/>
    <col min="3" max="13" width="12.42578125" style="1599" customWidth="1"/>
    <col min="14" max="16384" width="11.42578125" style="1599"/>
  </cols>
  <sheetData>
    <row r="2" spans="1:15" ht="21" x14ac:dyDescent="0.25">
      <c r="A2" s="2326" t="s">
        <v>109</v>
      </c>
      <c r="B2" s="1600"/>
      <c r="D2" s="2326"/>
      <c r="E2" s="2326"/>
      <c r="F2" s="2326"/>
      <c r="G2" s="2326"/>
      <c r="H2" s="2326"/>
      <c r="I2" s="2326"/>
      <c r="J2" s="2326"/>
      <c r="K2" s="2326"/>
      <c r="L2" s="2326"/>
      <c r="M2" s="2326"/>
    </row>
    <row r="3" spans="1:15" ht="11.25" customHeight="1" thickBot="1" x14ac:dyDescent="0.3"/>
    <row r="4" spans="1:15" ht="33.75" customHeight="1" thickBot="1" x14ac:dyDescent="0.3">
      <c r="A4" s="1601" t="s">
        <v>606</v>
      </c>
      <c r="B4" s="1611"/>
      <c r="C4" s="1602">
        <v>2003</v>
      </c>
      <c r="D4" s="1603">
        <v>2004</v>
      </c>
      <c r="E4" s="1603">
        <v>2005</v>
      </c>
      <c r="F4" s="1603">
        <v>2006</v>
      </c>
      <c r="G4" s="1604">
        <v>2007</v>
      </c>
      <c r="H4" s="1604">
        <v>2008</v>
      </c>
      <c r="I4" s="1604">
        <v>2009</v>
      </c>
      <c r="J4" s="1604">
        <v>2010</v>
      </c>
      <c r="K4" s="1604">
        <v>2011</v>
      </c>
      <c r="L4" s="1604">
        <v>2012</v>
      </c>
      <c r="M4" s="1603">
        <v>2013</v>
      </c>
      <c r="N4" s="1603">
        <v>2014</v>
      </c>
      <c r="O4" s="1605">
        <v>2015</v>
      </c>
    </row>
    <row r="5" spans="1:15" ht="11.25" customHeight="1" thickBot="1" x14ac:dyDescent="0.3">
      <c r="M5" s="4407"/>
      <c r="N5" s="4408"/>
      <c r="O5" s="4409"/>
    </row>
    <row r="6" spans="1:15" ht="21" customHeight="1" x14ac:dyDescent="0.25">
      <c r="A6" s="1606" t="s">
        <v>110</v>
      </c>
      <c r="C6" s="1615">
        <f>151</f>
        <v>151</v>
      </c>
      <c r="D6" s="1616">
        <f>116+1</f>
        <v>117</v>
      </c>
      <c r="E6" s="1616">
        <f>118+1</f>
        <v>119</v>
      </c>
      <c r="F6" s="1616">
        <f>131</f>
        <v>131</v>
      </c>
      <c r="G6" s="1617">
        <v>163</v>
      </c>
      <c r="H6" s="1617">
        <v>185</v>
      </c>
      <c r="I6" s="1617">
        <v>200</v>
      </c>
      <c r="J6" s="1617">
        <v>238</v>
      </c>
      <c r="K6" s="1617">
        <v>245</v>
      </c>
      <c r="L6" s="1617">
        <v>237</v>
      </c>
      <c r="M6" s="1616">
        <v>259</v>
      </c>
      <c r="N6" s="1616">
        <v>273</v>
      </c>
      <c r="O6" s="1618">
        <v>234</v>
      </c>
    </row>
    <row r="7" spans="1:15" ht="21" customHeight="1" x14ac:dyDescent="0.25">
      <c r="A7" s="1607" t="s">
        <v>111</v>
      </c>
      <c r="C7" s="1619">
        <f>277+8</f>
        <v>285</v>
      </c>
      <c r="D7" s="1620">
        <f>278+5</f>
        <v>283</v>
      </c>
      <c r="E7" s="1620">
        <f>255+3</f>
        <v>258</v>
      </c>
      <c r="F7" s="1620">
        <f>228+2</f>
        <v>230</v>
      </c>
      <c r="G7" s="1621">
        <v>223</v>
      </c>
      <c r="H7" s="1621">
        <v>207</v>
      </c>
      <c r="I7" s="1621">
        <v>193</v>
      </c>
      <c r="J7" s="1621">
        <v>190</v>
      </c>
      <c r="K7" s="1621">
        <v>201</v>
      </c>
      <c r="L7" s="1621">
        <v>234</v>
      </c>
      <c r="M7" s="1620">
        <v>257</v>
      </c>
      <c r="N7" s="1620">
        <v>296</v>
      </c>
      <c r="O7" s="1622">
        <v>312</v>
      </c>
    </row>
    <row r="8" spans="1:15" ht="21" customHeight="1" x14ac:dyDescent="0.25">
      <c r="A8" s="1607" t="s">
        <v>112</v>
      </c>
      <c r="C8" s="1619">
        <f>498+3</f>
        <v>501</v>
      </c>
      <c r="D8" s="1620">
        <f>441</f>
        <v>441</v>
      </c>
      <c r="E8" s="1620">
        <f>390+2</f>
        <v>392</v>
      </c>
      <c r="F8" s="1620">
        <f>355</f>
        <v>355</v>
      </c>
      <c r="G8" s="1621">
        <v>337</v>
      </c>
      <c r="H8" s="1621">
        <v>316</v>
      </c>
      <c r="I8" s="1621">
        <v>299</v>
      </c>
      <c r="J8" s="1621">
        <v>271</v>
      </c>
      <c r="K8" s="1621">
        <v>248</v>
      </c>
      <c r="L8" s="1621">
        <v>240</v>
      </c>
      <c r="M8" s="1620">
        <v>217</v>
      </c>
      <c r="N8" s="1620">
        <v>206</v>
      </c>
      <c r="O8" s="1622">
        <v>200</v>
      </c>
    </row>
    <row r="9" spans="1:15" ht="21" customHeight="1" x14ac:dyDescent="0.25">
      <c r="A9" s="1607" t="s">
        <v>113</v>
      </c>
      <c r="C9" s="1619">
        <f>606+6</f>
        <v>612</v>
      </c>
      <c r="D9" s="1620">
        <f>601+6</f>
        <v>607</v>
      </c>
      <c r="E9" s="1620">
        <f>590+4</f>
        <v>594</v>
      </c>
      <c r="F9" s="1620">
        <f>568+3</f>
        <v>571</v>
      </c>
      <c r="G9" s="1621">
        <v>549</v>
      </c>
      <c r="H9" s="1621">
        <v>495</v>
      </c>
      <c r="I9" s="1621">
        <v>453</v>
      </c>
      <c r="J9" s="1621">
        <v>402</v>
      </c>
      <c r="K9" s="1621">
        <v>363</v>
      </c>
      <c r="L9" s="1621">
        <v>327</v>
      </c>
      <c r="M9" s="1620">
        <v>308</v>
      </c>
      <c r="N9" s="1620">
        <v>290</v>
      </c>
      <c r="O9" s="1622">
        <v>272</v>
      </c>
    </row>
    <row r="10" spans="1:15" ht="21" customHeight="1" x14ac:dyDescent="0.25">
      <c r="A10" s="1607" t="s">
        <v>114</v>
      </c>
      <c r="C10" s="1619">
        <f>727+36+1</f>
        <v>764</v>
      </c>
      <c r="D10" s="1620">
        <f>709+23</f>
        <v>732</v>
      </c>
      <c r="E10" s="1620">
        <f>687+17</f>
        <v>704</v>
      </c>
      <c r="F10" s="1620">
        <f>673+6</f>
        <v>679</v>
      </c>
      <c r="G10" s="1621">
        <v>630</v>
      </c>
      <c r="H10" s="1621">
        <v>610</v>
      </c>
      <c r="I10" s="1621">
        <v>599</v>
      </c>
      <c r="J10" s="1621">
        <v>581</v>
      </c>
      <c r="K10" s="1621">
        <v>560</v>
      </c>
      <c r="L10" s="1621">
        <v>526</v>
      </c>
      <c r="M10" s="1620">
        <v>482</v>
      </c>
      <c r="N10" s="1620">
        <v>441</v>
      </c>
      <c r="O10" s="1622">
        <v>387</v>
      </c>
    </row>
    <row r="11" spans="1:15" ht="21" customHeight="1" x14ac:dyDescent="0.25">
      <c r="A11" s="1607" t="s">
        <v>115</v>
      </c>
      <c r="C11" s="1619">
        <f>387+48+2</f>
        <v>437</v>
      </c>
      <c r="D11" s="1620">
        <f>509+59+3</f>
        <v>571</v>
      </c>
      <c r="E11" s="1620">
        <f>563+49+3</f>
        <v>615</v>
      </c>
      <c r="F11" s="1620">
        <f>564+36+3</f>
        <v>603</v>
      </c>
      <c r="G11" s="1621">
        <v>630</v>
      </c>
      <c r="H11" s="1621">
        <v>690</v>
      </c>
      <c r="I11" s="1621">
        <v>680</v>
      </c>
      <c r="J11" s="1621">
        <v>663</v>
      </c>
      <c r="K11" s="1621">
        <v>644</v>
      </c>
      <c r="L11" s="1621">
        <v>595</v>
      </c>
      <c r="M11" s="1620">
        <v>572</v>
      </c>
      <c r="N11" s="1620">
        <v>561</v>
      </c>
      <c r="O11" s="1622">
        <v>553</v>
      </c>
    </row>
    <row r="12" spans="1:15" ht="21" customHeight="1" thickBot="1" x14ac:dyDescent="0.3">
      <c r="A12" s="1608" t="s">
        <v>607</v>
      </c>
      <c r="C12" s="1623">
        <f>65</f>
        <v>65</v>
      </c>
      <c r="D12" s="1624">
        <f>66</f>
        <v>66</v>
      </c>
      <c r="E12" s="1624">
        <f>171</f>
        <v>171</v>
      </c>
      <c r="F12" s="1624">
        <f>296</f>
        <v>296</v>
      </c>
      <c r="G12" s="1625">
        <v>350</v>
      </c>
      <c r="H12" s="1625">
        <v>389</v>
      </c>
      <c r="I12" s="1625">
        <v>487</v>
      </c>
      <c r="J12" s="1625">
        <v>613</v>
      </c>
      <c r="K12" s="1625">
        <v>743</v>
      </c>
      <c r="L12" s="1625">
        <v>867</v>
      </c>
      <c r="M12" s="1624">
        <v>962</v>
      </c>
      <c r="N12" s="1624">
        <v>1057</v>
      </c>
      <c r="O12" s="1626">
        <v>1132</v>
      </c>
    </row>
    <row r="13" spans="1:15" ht="11.25" customHeight="1" thickBot="1" x14ac:dyDescent="0.3">
      <c r="C13" s="1627"/>
      <c r="D13" s="1627"/>
      <c r="E13" s="1627"/>
      <c r="F13" s="1627"/>
      <c r="G13" s="1627"/>
      <c r="H13" s="1627"/>
      <c r="I13" s="1627"/>
    </row>
    <row r="14" spans="1:15" ht="21.75" customHeight="1" thickBot="1" x14ac:dyDescent="0.3">
      <c r="A14" s="1609" t="s">
        <v>12</v>
      </c>
      <c r="C14" s="1628">
        <f t="shared" ref="C14:L14" si="0">SUM(C6:C12)</f>
        <v>2815</v>
      </c>
      <c r="D14" s="1629">
        <f t="shared" si="0"/>
        <v>2817</v>
      </c>
      <c r="E14" s="1629">
        <f t="shared" si="0"/>
        <v>2853</v>
      </c>
      <c r="F14" s="1629">
        <f t="shared" si="0"/>
        <v>2865</v>
      </c>
      <c r="G14" s="1629">
        <f t="shared" si="0"/>
        <v>2882</v>
      </c>
      <c r="H14" s="1629">
        <f t="shared" si="0"/>
        <v>2892</v>
      </c>
      <c r="I14" s="1629">
        <f t="shared" si="0"/>
        <v>2911</v>
      </c>
      <c r="J14" s="1629">
        <f t="shared" si="0"/>
        <v>2958</v>
      </c>
      <c r="K14" s="1629">
        <f t="shared" si="0"/>
        <v>3004</v>
      </c>
      <c r="L14" s="1629">
        <f t="shared" si="0"/>
        <v>3026</v>
      </c>
      <c r="M14" s="1629">
        <f>SUM(M6:M12)</f>
        <v>3057</v>
      </c>
      <c r="N14" s="1629">
        <f>SUM(N6:N12)</f>
        <v>3124</v>
      </c>
      <c r="O14" s="1630">
        <f>SUM(O6:O12)</f>
        <v>3090</v>
      </c>
    </row>
    <row r="15" spans="1:15" ht="11.25" customHeight="1" thickBot="1" x14ac:dyDescent="0.3">
      <c r="A15" s="1610"/>
      <c r="C15" s="1612"/>
      <c r="D15" s="1612"/>
      <c r="E15" s="1612"/>
      <c r="F15" s="1612"/>
      <c r="G15" s="1612"/>
      <c r="H15" s="1612"/>
      <c r="I15" s="1612"/>
    </row>
    <row r="16" spans="1:15" ht="21" customHeight="1" thickBot="1" x14ac:dyDescent="0.3">
      <c r="A16" s="1609" t="s">
        <v>130</v>
      </c>
      <c r="C16" s="2041">
        <v>17.842454394693199</v>
      </c>
      <c r="D16" s="2042">
        <v>18.5973651708522</v>
      </c>
      <c r="E16" s="2042">
        <v>19.370731707317098</v>
      </c>
      <c r="F16" s="2042">
        <v>19.9131652661064</v>
      </c>
      <c r="G16" s="2042">
        <v>20.247968571428601</v>
      </c>
      <c r="H16" s="2042">
        <v>21.378284923928099</v>
      </c>
      <c r="I16" s="2042">
        <v>21.884575747165901</v>
      </c>
      <c r="J16" s="2042">
        <v>22.3404327248141</v>
      </c>
      <c r="K16" s="2042">
        <v>22.863848202396799</v>
      </c>
      <c r="L16" s="2042">
        <v>23.299735624586912</v>
      </c>
      <c r="M16" s="2042">
        <v>23.6</v>
      </c>
      <c r="N16" s="2042">
        <v>23.86</v>
      </c>
      <c r="O16" s="2044">
        <v>24.5809061488673</v>
      </c>
    </row>
    <row r="17" spans="1:15" ht="11.25" customHeight="1" x14ac:dyDescent="0.25"/>
    <row r="18" spans="1:15" x14ac:dyDescent="0.25">
      <c r="A18" s="1613" t="s">
        <v>640</v>
      </c>
      <c r="B18" s="1614"/>
      <c r="C18" s="1614"/>
      <c r="D18" s="1614"/>
    </row>
    <row r="19" spans="1:15" x14ac:dyDescent="0.25">
      <c r="A19" s="1613" t="s">
        <v>116</v>
      </c>
      <c r="B19" s="1614"/>
      <c r="C19" s="1614"/>
      <c r="D19" s="1614"/>
    </row>
    <row r="21" spans="1:15" ht="12" customHeight="1" x14ac:dyDescent="0.25">
      <c r="A21" s="4168" t="s">
        <v>606</v>
      </c>
      <c r="B21" s="4155"/>
      <c r="C21" s="4163">
        <v>2003</v>
      </c>
      <c r="D21" s="4163">
        <v>2004</v>
      </c>
      <c r="E21" s="4163">
        <v>2005</v>
      </c>
      <c r="F21" s="4163">
        <v>2006</v>
      </c>
      <c r="G21" s="4163">
        <v>2007</v>
      </c>
      <c r="H21" s="4163">
        <v>2008</v>
      </c>
      <c r="I21" s="4163">
        <v>2009</v>
      </c>
      <c r="J21" s="4163">
        <v>2010</v>
      </c>
      <c r="K21" s="4163">
        <v>2011</v>
      </c>
      <c r="L21" s="4163">
        <v>2012</v>
      </c>
      <c r="M21" s="4163">
        <v>2013</v>
      </c>
      <c r="N21" s="4163">
        <v>2014</v>
      </c>
      <c r="O21" s="4163">
        <v>2015</v>
      </c>
    </row>
    <row r="22" spans="1:15" ht="12" customHeight="1" x14ac:dyDescent="0.25">
      <c r="A22" s="4157" t="s">
        <v>110</v>
      </c>
      <c r="B22" s="4155"/>
      <c r="C22" s="4164">
        <f>C6/$C$14</f>
        <v>5.3641207815275309E-2</v>
      </c>
      <c r="D22" s="4164">
        <f>D6/$D$14</f>
        <v>4.1533546325878593E-2</v>
      </c>
      <c r="E22" s="4164">
        <f>E6/$E$14</f>
        <v>4.1710480196284615E-2</v>
      </c>
      <c r="F22" s="4164">
        <f>F6/$F$14</f>
        <v>4.5724258289703314E-2</v>
      </c>
      <c r="G22" s="4164">
        <f>G6/$G$14</f>
        <v>5.6557945870922971E-2</v>
      </c>
      <c r="H22" s="4164">
        <f>H6/$H$14</f>
        <v>6.3969571230982014E-2</v>
      </c>
      <c r="I22" s="4164">
        <f>I6/$I$14</f>
        <v>6.870491240123669E-2</v>
      </c>
      <c r="J22" s="4164">
        <f>J6/$J$14</f>
        <v>8.0459770114942528E-2</v>
      </c>
      <c r="K22" s="4164">
        <f>K6/$K$14</f>
        <v>8.1557922769640481E-2</v>
      </c>
      <c r="L22" s="4164">
        <f>L6/$L$14</f>
        <v>7.8321216126900198E-2</v>
      </c>
      <c r="M22" s="4164">
        <f>M6/$M$14</f>
        <v>8.4723585214262348E-2</v>
      </c>
      <c r="N22" s="4164">
        <f>N6/$N$14</f>
        <v>8.7387964148527522E-2</v>
      </c>
      <c r="O22" s="4164">
        <f t="shared" ref="O22:O28" si="1">O6/$O$14</f>
        <v>7.5728155339805828E-2</v>
      </c>
    </row>
    <row r="23" spans="1:15" ht="12" customHeight="1" x14ac:dyDescent="0.25">
      <c r="A23" s="4157" t="s">
        <v>111</v>
      </c>
      <c r="B23" s="4155"/>
      <c r="C23" s="4165">
        <f t="shared" ref="C23:C28" si="2">C7/$C$14</f>
        <v>0.10124333925399645</v>
      </c>
      <c r="D23" s="4165">
        <f t="shared" ref="D23:D28" si="3">D7/$D$14</f>
        <v>0.10046148384806532</v>
      </c>
      <c r="E23" s="4165">
        <f t="shared" ref="E23:E28" si="4">E7/$E$14</f>
        <v>9.0431125131440596E-2</v>
      </c>
      <c r="F23" s="4165">
        <f t="shared" ref="F23:F28" si="5">F7/$F$14</f>
        <v>8.0279232111692841E-2</v>
      </c>
      <c r="G23" s="4165">
        <f t="shared" ref="G23:G28" si="6">G7/$G$14</f>
        <v>7.7376821651630817E-2</v>
      </c>
      <c r="H23" s="4165">
        <f t="shared" ref="H23:H28" si="7">H7/$H$14</f>
        <v>7.1576763485477174E-2</v>
      </c>
      <c r="I23" s="4165">
        <f t="shared" ref="I23:I28" si="8">I7/$I$14</f>
        <v>6.6300240467193405E-2</v>
      </c>
      <c r="J23" s="4165">
        <f t="shared" ref="J23:J28" si="9">J7/$J$14</f>
        <v>6.4232589587559161E-2</v>
      </c>
      <c r="K23" s="4165">
        <f t="shared" ref="K23:K28" si="10">K7/$K$14</f>
        <v>6.6910785619174434E-2</v>
      </c>
      <c r="L23" s="4165">
        <f t="shared" ref="L23:L28" si="11">L7/$L$14</f>
        <v>7.7329808327825517E-2</v>
      </c>
      <c r="M23" s="4165">
        <f t="shared" ref="M23:M28" si="12">M7/$M$14</f>
        <v>8.4069349035001642E-2</v>
      </c>
      <c r="N23" s="4165">
        <f t="shared" ref="N23:N28" si="13">N7/$N$14</f>
        <v>9.4750320102432783E-2</v>
      </c>
      <c r="O23" s="4165">
        <f t="shared" si="1"/>
        <v>0.10097087378640776</v>
      </c>
    </row>
    <row r="24" spans="1:15" ht="12" customHeight="1" x14ac:dyDescent="0.25">
      <c r="A24" s="4157" t="s">
        <v>112</v>
      </c>
      <c r="B24" s="4155"/>
      <c r="C24" s="4165">
        <f t="shared" si="2"/>
        <v>0.17797513321492006</v>
      </c>
      <c r="D24" s="4165">
        <f t="shared" si="3"/>
        <v>0.15654952076677317</v>
      </c>
      <c r="E24" s="4165">
        <f t="shared" si="4"/>
        <v>0.13739922888187872</v>
      </c>
      <c r="F24" s="4165">
        <f t="shared" si="5"/>
        <v>0.12390924956369982</v>
      </c>
      <c r="G24" s="4165">
        <f t="shared" si="6"/>
        <v>0.11693268563497571</v>
      </c>
      <c r="H24" s="4165">
        <f t="shared" si="7"/>
        <v>0.10926694329183956</v>
      </c>
      <c r="I24" s="4165">
        <f t="shared" si="8"/>
        <v>0.10271384403984885</v>
      </c>
      <c r="J24" s="4165">
        <f t="shared" si="9"/>
        <v>9.1615956727518599E-2</v>
      </c>
      <c r="K24" s="4165">
        <f t="shared" si="10"/>
        <v>8.2556591211717711E-2</v>
      </c>
      <c r="L24" s="4165">
        <f t="shared" si="11"/>
        <v>7.9312623925974879E-2</v>
      </c>
      <c r="M24" s="4165">
        <f t="shared" si="12"/>
        <v>7.098462544978737E-2</v>
      </c>
      <c r="N24" s="4165">
        <f t="shared" si="13"/>
        <v>6.5941101152368758E-2</v>
      </c>
      <c r="O24" s="4165">
        <f t="shared" si="1"/>
        <v>6.4724919093851127E-2</v>
      </c>
    </row>
    <row r="25" spans="1:15" ht="12" customHeight="1" x14ac:dyDescent="0.25">
      <c r="A25" s="4157" t="s">
        <v>113</v>
      </c>
      <c r="B25" s="4155"/>
      <c r="C25" s="4165">
        <f t="shared" si="2"/>
        <v>0.21740674955595027</v>
      </c>
      <c r="D25" s="4165">
        <f t="shared" si="3"/>
        <v>0.21547745828895989</v>
      </c>
      <c r="E25" s="4165">
        <f t="shared" si="4"/>
        <v>0.20820189274447951</v>
      </c>
      <c r="F25" s="4165">
        <f t="shared" si="5"/>
        <v>0.19930191972076788</v>
      </c>
      <c r="G25" s="4165">
        <f t="shared" si="6"/>
        <v>0.19049271339347676</v>
      </c>
      <c r="H25" s="4165">
        <f t="shared" si="7"/>
        <v>0.17116182572614108</v>
      </c>
      <c r="I25" s="4165">
        <f t="shared" si="8"/>
        <v>0.1556166265888011</v>
      </c>
      <c r="J25" s="4165">
        <f t="shared" si="9"/>
        <v>0.13590263691683571</v>
      </c>
      <c r="K25" s="4165">
        <f t="shared" si="10"/>
        <v>0.12083888149134488</v>
      </c>
      <c r="L25" s="4165">
        <f t="shared" si="11"/>
        <v>0.10806345009914078</v>
      </c>
      <c r="M25" s="4165">
        <f t="shared" si="12"/>
        <v>0.10075237160614982</v>
      </c>
      <c r="N25" s="4165">
        <f t="shared" si="13"/>
        <v>9.2829705505761848E-2</v>
      </c>
      <c r="O25" s="4165">
        <f t="shared" si="1"/>
        <v>8.8025889967637536E-2</v>
      </c>
    </row>
    <row r="26" spans="1:15" ht="12" customHeight="1" x14ac:dyDescent="0.25">
      <c r="A26" s="4157" t="s">
        <v>114</v>
      </c>
      <c r="B26" s="4155"/>
      <c r="C26" s="4165">
        <f t="shared" si="2"/>
        <v>0.2714031971580817</v>
      </c>
      <c r="D26" s="4165">
        <f t="shared" si="3"/>
        <v>0.25985090521831739</v>
      </c>
      <c r="E26" s="4165">
        <f t="shared" si="4"/>
        <v>0.24675779880827201</v>
      </c>
      <c r="F26" s="4165">
        <f t="shared" si="5"/>
        <v>0.23699825479930192</v>
      </c>
      <c r="G26" s="4165">
        <f t="shared" si="6"/>
        <v>0.21859819569743233</v>
      </c>
      <c r="H26" s="4165">
        <f t="shared" si="7"/>
        <v>0.21092669432918396</v>
      </c>
      <c r="I26" s="4165">
        <f t="shared" si="8"/>
        <v>0.20577121264170389</v>
      </c>
      <c r="J26" s="4165">
        <f t="shared" si="9"/>
        <v>0.19641649763353616</v>
      </c>
      <c r="K26" s="4165">
        <f t="shared" si="10"/>
        <v>0.18641810918774968</v>
      </c>
      <c r="L26" s="4165">
        <f t="shared" si="11"/>
        <v>0.17382683410442828</v>
      </c>
      <c r="M26" s="4165">
        <f t="shared" si="12"/>
        <v>0.15767091920183185</v>
      </c>
      <c r="N26" s="4165">
        <f t="shared" si="13"/>
        <v>0.14116517285531371</v>
      </c>
      <c r="O26" s="4165">
        <f t="shared" si="1"/>
        <v>0.12524271844660195</v>
      </c>
    </row>
    <row r="27" spans="1:15" ht="12" customHeight="1" x14ac:dyDescent="0.25">
      <c r="A27" s="4157" t="s">
        <v>115</v>
      </c>
      <c r="B27" s="4155"/>
      <c r="C27" s="4165">
        <f t="shared" si="2"/>
        <v>0.15523978685612788</v>
      </c>
      <c r="D27" s="4165">
        <f t="shared" si="3"/>
        <v>0.20269790557330494</v>
      </c>
      <c r="E27" s="4165">
        <f t="shared" si="4"/>
        <v>0.21556256572029442</v>
      </c>
      <c r="F27" s="4165">
        <f t="shared" si="5"/>
        <v>0.21047120418848167</v>
      </c>
      <c r="G27" s="4165">
        <f t="shared" si="6"/>
        <v>0.21859819569743233</v>
      </c>
      <c r="H27" s="4165">
        <f t="shared" si="7"/>
        <v>0.23858921161825727</v>
      </c>
      <c r="I27" s="4165">
        <f t="shared" si="8"/>
        <v>0.23359670216420475</v>
      </c>
      <c r="J27" s="4165">
        <f t="shared" si="9"/>
        <v>0.22413793103448276</v>
      </c>
      <c r="K27" s="4165">
        <f t="shared" si="10"/>
        <v>0.21438082556591212</v>
      </c>
      <c r="L27" s="4165">
        <f t="shared" si="11"/>
        <v>0.19662921348314608</v>
      </c>
      <c r="M27" s="4165">
        <f t="shared" si="12"/>
        <v>0.18711154726856394</v>
      </c>
      <c r="N27" s="4165">
        <f t="shared" si="13"/>
        <v>0.1795774647887324</v>
      </c>
      <c r="O27" s="4165">
        <f t="shared" si="1"/>
        <v>0.17896440129449839</v>
      </c>
    </row>
    <row r="28" spans="1:15" ht="12" customHeight="1" x14ac:dyDescent="0.25">
      <c r="A28" s="4157" t="s">
        <v>607</v>
      </c>
      <c r="B28" s="4155"/>
      <c r="C28" s="4166">
        <f t="shared" si="2"/>
        <v>2.3090586145648313E-2</v>
      </c>
      <c r="D28" s="4166">
        <f t="shared" si="3"/>
        <v>2.3429179978700747E-2</v>
      </c>
      <c r="E28" s="4166">
        <f t="shared" si="4"/>
        <v>5.993690851735016E-2</v>
      </c>
      <c r="F28" s="4166">
        <f t="shared" si="5"/>
        <v>0.10331588132635253</v>
      </c>
      <c r="G28" s="4166">
        <f t="shared" si="6"/>
        <v>0.12144344205412907</v>
      </c>
      <c r="H28" s="4166">
        <f t="shared" si="7"/>
        <v>0.13450899031811894</v>
      </c>
      <c r="I28" s="4166">
        <f t="shared" si="8"/>
        <v>0.16729646169701134</v>
      </c>
      <c r="J28" s="4166">
        <f t="shared" si="9"/>
        <v>0.20723461798512507</v>
      </c>
      <c r="K28" s="4166">
        <f t="shared" si="10"/>
        <v>0.24733688415446073</v>
      </c>
      <c r="L28" s="4166">
        <f t="shared" si="11"/>
        <v>0.28651685393258425</v>
      </c>
      <c r="M28" s="4166">
        <f t="shared" si="12"/>
        <v>0.31468760222440301</v>
      </c>
      <c r="N28" s="4166">
        <f t="shared" si="13"/>
        <v>0.33834827144686297</v>
      </c>
      <c r="O28" s="4166">
        <f t="shared" si="1"/>
        <v>0.36634304207119739</v>
      </c>
    </row>
    <row r="29" spans="1:15" ht="12" customHeight="1" x14ac:dyDescent="0.25">
      <c r="A29" s="4163" t="s">
        <v>12</v>
      </c>
      <c r="B29" s="4155"/>
      <c r="C29" s="4169">
        <f t="shared" ref="C29:M29" si="14">SUM(C22:C28)</f>
        <v>1</v>
      </c>
      <c r="D29" s="4169">
        <f t="shared" si="14"/>
        <v>1</v>
      </c>
      <c r="E29" s="4169">
        <f t="shared" si="14"/>
        <v>1</v>
      </c>
      <c r="F29" s="4169">
        <f t="shared" si="14"/>
        <v>1</v>
      </c>
      <c r="G29" s="4169">
        <f t="shared" si="14"/>
        <v>1</v>
      </c>
      <c r="H29" s="4169">
        <f t="shared" si="14"/>
        <v>1</v>
      </c>
      <c r="I29" s="4169">
        <f t="shared" si="14"/>
        <v>1</v>
      </c>
      <c r="J29" s="4169">
        <f t="shared" si="14"/>
        <v>1</v>
      </c>
      <c r="K29" s="4169">
        <f t="shared" si="14"/>
        <v>1</v>
      </c>
      <c r="L29" s="4169">
        <f t="shared" si="14"/>
        <v>1</v>
      </c>
      <c r="M29" s="4169">
        <f t="shared" si="14"/>
        <v>1</v>
      </c>
      <c r="N29" s="4169">
        <f>SUM(N22:N28)</f>
        <v>1</v>
      </c>
      <c r="O29" s="4169">
        <f>SUM(O22:O28)</f>
        <v>1</v>
      </c>
    </row>
    <row r="30" spans="1:15" ht="15.75" x14ac:dyDescent="0.25">
      <c r="A30" s="1610"/>
      <c r="C30" s="1612"/>
      <c r="D30" s="1612"/>
      <c r="E30" s="1612"/>
      <c r="F30" s="1612"/>
      <c r="G30" s="1612"/>
      <c r="H30" s="1612"/>
      <c r="I30" s="1612"/>
      <c r="J30" s="1612"/>
      <c r="K30" s="1612"/>
      <c r="L30" s="1612"/>
      <c r="M30" s="1612"/>
    </row>
    <row r="58" hidden="1" x14ac:dyDescent="0.25"/>
    <row r="59" hidden="1" x14ac:dyDescent="0.25"/>
    <row r="60" hidden="1" x14ac:dyDescent="0.25"/>
    <row r="61" hidden="1" x14ac:dyDescent="0.25"/>
    <row r="62" hidden="1" x14ac:dyDescent="0.25"/>
    <row r="63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</sheetData>
  <printOptions horizontalCentered="1" verticalCentered="1"/>
  <pageMargins left="0.70866141732283472" right="0.70866141732283472" top="0.74803149606299213" bottom="0.74803149606299213" header="0.31496062992125984" footer="0.31496062992125984"/>
  <pageSetup scale="70" orientation="landscape" r:id="rId1"/>
  <rowBreaks count="1" manualBreakCount="1">
    <brk id="30" max="16383" man="1"/>
  </rowBreaks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2:BL179"/>
  <sheetViews>
    <sheetView zoomScaleNormal="100" workbookViewId="0">
      <selection activeCell="BM25" sqref="BM25"/>
    </sheetView>
  </sheetViews>
  <sheetFormatPr baseColWidth="10" defaultRowHeight="12.75" x14ac:dyDescent="0.2"/>
  <cols>
    <col min="1" max="1" width="14" customWidth="1"/>
    <col min="3" max="16" width="10.7109375" customWidth="1"/>
    <col min="17" max="17" width="4.42578125" hidden="1" customWidth="1"/>
    <col min="18" max="18" width="4.85546875" hidden="1" customWidth="1"/>
    <col min="19" max="19" width="4" hidden="1" customWidth="1"/>
    <col min="20" max="20" width="5.85546875" hidden="1" customWidth="1"/>
    <col min="21" max="23" width="5" hidden="1" customWidth="1"/>
    <col min="24" max="24" width="5.85546875" hidden="1" customWidth="1"/>
    <col min="25" max="27" width="5" hidden="1" customWidth="1"/>
    <col min="28" max="28" width="5.85546875" hidden="1" customWidth="1"/>
    <col min="29" max="31" width="5" hidden="1" customWidth="1"/>
    <col min="32" max="32" width="5.7109375" hidden="1" customWidth="1"/>
    <col min="33" max="33" width="4.42578125" hidden="1" customWidth="1"/>
    <col min="34" max="34" width="4.85546875" hidden="1" customWidth="1"/>
    <col min="35" max="35" width="4" hidden="1" customWidth="1"/>
    <col min="36" max="36" width="5.7109375" hidden="1" customWidth="1"/>
    <col min="37" max="37" width="4.42578125" hidden="1" customWidth="1"/>
    <col min="38" max="38" width="4.85546875" hidden="1" customWidth="1"/>
    <col min="39" max="39" width="4" hidden="1" customWidth="1"/>
    <col min="40" max="40" width="5.7109375" hidden="1" customWidth="1"/>
    <col min="41" max="41" width="4.42578125" hidden="1" customWidth="1"/>
    <col min="42" max="42" width="4.85546875" hidden="1" customWidth="1"/>
    <col min="43" max="43" width="4" hidden="1" customWidth="1"/>
    <col min="44" max="44" width="6.5703125" hidden="1" customWidth="1"/>
    <col min="45" max="45" width="4.42578125" hidden="1" customWidth="1"/>
    <col min="46" max="46" width="4.85546875" hidden="1" customWidth="1"/>
    <col min="47" max="47" width="4" hidden="1" customWidth="1"/>
    <col min="48" max="48" width="5.7109375" hidden="1" customWidth="1"/>
    <col min="49" max="49" width="4.42578125" hidden="1" customWidth="1"/>
    <col min="50" max="51" width="4" hidden="1" customWidth="1"/>
    <col min="52" max="52" width="5.7109375" hidden="1" customWidth="1"/>
    <col min="53" max="53" width="4.42578125" hidden="1" customWidth="1"/>
    <col min="54" max="55" width="4" hidden="1" customWidth="1"/>
    <col min="56" max="56" width="5.7109375" hidden="1" customWidth="1"/>
    <col min="57" max="57" width="4.42578125" hidden="1" customWidth="1"/>
    <col min="58" max="59" width="4" hidden="1" customWidth="1"/>
    <col min="60" max="60" width="5.7109375" hidden="1" customWidth="1"/>
    <col min="61" max="61" width="4.42578125" hidden="1" customWidth="1"/>
    <col min="62" max="63" width="4" hidden="1" customWidth="1"/>
    <col min="64" max="64" width="5.42578125" hidden="1" customWidth="1"/>
  </cols>
  <sheetData>
    <row r="2" spans="1:64" ht="15.75" x14ac:dyDescent="0.25">
      <c r="A2" s="139" t="s">
        <v>1441</v>
      </c>
      <c r="Q2" s="27" t="s">
        <v>1404</v>
      </c>
    </row>
    <row r="3" spans="1:64" x14ac:dyDescent="0.2">
      <c r="Q3" s="27"/>
    </row>
    <row r="4" spans="1:64" ht="15" x14ac:dyDescent="0.2">
      <c r="A4" s="4170" t="s">
        <v>51</v>
      </c>
      <c r="B4" s="4170" t="s">
        <v>702</v>
      </c>
      <c r="C4" s="4170">
        <v>2004</v>
      </c>
      <c r="D4" s="1472">
        <v>2005</v>
      </c>
      <c r="E4" s="4171">
        <v>2006</v>
      </c>
      <c r="F4" s="1472">
        <v>2007</v>
      </c>
      <c r="G4" s="1472">
        <v>2008</v>
      </c>
      <c r="H4" s="1472">
        <v>2009</v>
      </c>
      <c r="I4" s="1472">
        <v>2010</v>
      </c>
      <c r="J4" s="1472">
        <v>2011</v>
      </c>
      <c r="K4" s="1472">
        <v>2012</v>
      </c>
      <c r="L4" s="1472">
        <v>2013</v>
      </c>
      <c r="M4" s="1472">
        <v>2014</v>
      </c>
      <c r="N4" s="1472">
        <v>2015</v>
      </c>
      <c r="Q4" s="6303">
        <v>2004</v>
      </c>
      <c r="R4" s="6303"/>
      <c r="S4" s="6303"/>
      <c r="T4" s="6303"/>
      <c r="U4" s="6303">
        <v>2005</v>
      </c>
      <c r="V4" s="6303"/>
      <c r="W4" s="6303"/>
      <c r="X4" s="6303"/>
      <c r="Y4" s="6303">
        <v>2006</v>
      </c>
      <c r="Z4" s="6303"/>
      <c r="AA4" s="6303"/>
      <c r="AB4" s="6303"/>
      <c r="AC4" s="6303">
        <v>2007</v>
      </c>
      <c r="AD4" s="6303"/>
      <c r="AE4" s="6303"/>
      <c r="AF4" s="6303"/>
      <c r="AG4" s="6303">
        <v>2008</v>
      </c>
      <c r="AH4" s="6303"/>
      <c r="AI4" s="6303"/>
      <c r="AJ4" s="6303"/>
      <c r="AK4" s="6303">
        <v>2009</v>
      </c>
      <c r="AL4" s="6303"/>
      <c r="AM4" s="6303"/>
      <c r="AN4" s="6303"/>
      <c r="AO4" s="6303">
        <v>2010</v>
      </c>
      <c r="AP4" s="6303"/>
      <c r="AQ4" s="6303"/>
      <c r="AR4" s="6303"/>
      <c r="AS4" s="6303">
        <v>2011</v>
      </c>
      <c r="AT4" s="6303"/>
      <c r="AU4" s="6303"/>
      <c r="AV4" s="6303"/>
      <c r="AW4" s="6303">
        <v>2012</v>
      </c>
      <c r="AX4" s="6303"/>
      <c r="AY4" s="6303"/>
      <c r="AZ4" s="6303"/>
      <c r="BA4" s="6303">
        <v>2013</v>
      </c>
      <c r="BB4" s="6303"/>
      <c r="BC4" s="6303"/>
      <c r="BD4" s="6303"/>
      <c r="BE4" s="6303">
        <v>2014</v>
      </c>
      <c r="BF4" s="6303"/>
      <c r="BG4" s="6303"/>
      <c r="BH4" s="6303"/>
      <c r="BI4" s="6303">
        <v>2015</v>
      </c>
      <c r="BJ4" s="6303"/>
      <c r="BK4" s="6303"/>
      <c r="BL4" s="6303"/>
    </row>
    <row r="5" spans="1:64" ht="15" x14ac:dyDescent="0.25">
      <c r="A5" s="251"/>
      <c r="B5" s="251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Q5" s="4399" t="s">
        <v>809</v>
      </c>
      <c r="R5" s="4399" t="s">
        <v>810</v>
      </c>
      <c r="S5" s="4399" t="s">
        <v>811</v>
      </c>
      <c r="T5" s="4400" t="s">
        <v>160</v>
      </c>
      <c r="U5" s="4399" t="s">
        <v>809</v>
      </c>
      <c r="V5" s="4399" t="s">
        <v>810</v>
      </c>
      <c r="W5" s="4399" t="s">
        <v>811</v>
      </c>
      <c r="X5" s="4400" t="s">
        <v>160</v>
      </c>
      <c r="Y5" s="4399" t="s">
        <v>809</v>
      </c>
      <c r="Z5" s="4399" t="s">
        <v>810</v>
      </c>
      <c r="AA5" s="4399" t="s">
        <v>811</v>
      </c>
      <c r="AB5" s="4400" t="s">
        <v>160</v>
      </c>
      <c r="AC5" s="4399" t="s">
        <v>809</v>
      </c>
      <c r="AD5" s="4399" t="s">
        <v>810</v>
      </c>
      <c r="AE5" s="4399" t="s">
        <v>811</v>
      </c>
      <c r="AF5" s="4400" t="s">
        <v>160</v>
      </c>
      <c r="AG5" s="4399" t="s">
        <v>809</v>
      </c>
      <c r="AH5" s="4399" t="s">
        <v>810</v>
      </c>
      <c r="AI5" s="4399" t="s">
        <v>811</v>
      </c>
      <c r="AJ5" s="4400" t="s">
        <v>160</v>
      </c>
      <c r="AK5" s="4399" t="s">
        <v>809</v>
      </c>
      <c r="AL5" s="4399" t="s">
        <v>810</v>
      </c>
      <c r="AM5" s="4399" t="s">
        <v>811</v>
      </c>
      <c r="AN5" s="4400" t="s">
        <v>160</v>
      </c>
      <c r="AO5" s="4399" t="s">
        <v>809</v>
      </c>
      <c r="AP5" s="4399" t="s">
        <v>810</v>
      </c>
      <c r="AQ5" s="4399" t="s">
        <v>811</v>
      </c>
      <c r="AR5" s="4400" t="s">
        <v>160</v>
      </c>
      <c r="AS5" s="4399" t="s">
        <v>809</v>
      </c>
      <c r="AT5" s="4399" t="s">
        <v>810</v>
      </c>
      <c r="AU5" s="4399" t="s">
        <v>811</v>
      </c>
      <c r="AV5" s="4400" t="s">
        <v>160</v>
      </c>
      <c r="AW5" s="4399" t="s">
        <v>809</v>
      </c>
      <c r="AX5" s="4399" t="s">
        <v>810</v>
      </c>
      <c r="AY5" s="4399" t="s">
        <v>811</v>
      </c>
      <c r="AZ5" s="4400" t="s">
        <v>160</v>
      </c>
      <c r="BA5" s="4399" t="s">
        <v>809</v>
      </c>
      <c r="BB5" s="4399" t="s">
        <v>810</v>
      </c>
      <c r="BC5" s="4399" t="s">
        <v>811</v>
      </c>
      <c r="BD5" s="4400" t="s">
        <v>160</v>
      </c>
      <c r="BE5" s="4399" t="s">
        <v>809</v>
      </c>
      <c r="BF5" s="4399" t="s">
        <v>810</v>
      </c>
      <c r="BG5" s="4399" t="s">
        <v>811</v>
      </c>
      <c r="BH5" s="4400" t="s">
        <v>160</v>
      </c>
      <c r="BI5" s="4399" t="s">
        <v>809</v>
      </c>
      <c r="BJ5" s="4399" t="s">
        <v>810</v>
      </c>
      <c r="BK5" s="4399" t="s">
        <v>811</v>
      </c>
      <c r="BL5" s="4400" t="s">
        <v>160</v>
      </c>
    </row>
    <row r="6" spans="1:64" ht="15" x14ac:dyDescent="0.2">
      <c r="A6" s="6297" t="s">
        <v>161</v>
      </c>
      <c r="B6" s="4148" t="s">
        <v>5</v>
      </c>
      <c r="C6" s="4392">
        <f>(SUM('ACTIVOS uni'!D7)+'Alumnos x PTC'!T140)/'Alumnos x PTC'!T7</f>
        <v>19.425070688030161</v>
      </c>
      <c r="D6" s="4392">
        <f>(SUM('ACTIVOS uni'!E7)+'Alumnos x PTC'!U140)/'Alumnos x PTC'!X7</f>
        <v>20.268361581920903</v>
      </c>
      <c r="E6" s="4392">
        <f>(SUM('ACTIVOS uni'!F7)+'Alumnos x PTC'!V140)/'Alumnos x PTC'!AB7</f>
        <v>20.788497217068645</v>
      </c>
      <c r="F6" s="4392">
        <f>(SUM('ACTIVOS uni'!G7)+'Alumnos x PTC'!W140)/'Alumnos x PTC'!AF7</f>
        <v>20.686687584043032</v>
      </c>
      <c r="G6" s="4392">
        <f>(SUM('ACTIVOS uni'!H7)+'Alumnos x PTC'!X140)/'Alumnos x PTC'!AJ7</f>
        <v>21.423942394239425</v>
      </c>
      <c r="H6" s="4392">
        <f>(SUM('ACTIVOS uni'!I7)+'Alumnos x PTC'!Y140)/'Alumnos x PTC'!AN7</f>
        <v>21.838709677419356</v>
      </c>
      <c r="I6" s="4392">
        <f>(SUM('ACTIVOS uni'!J7)+'Alumnos x PTC'!Z140)/'Alumnos x PTC'!AR7</f>
        <v>23.658536585365855</v>
      </c>
      <c r="J6" s="4392">
        <f>(SUM('ACTIVOS uni'!K7)+'Alumnos x PTC'!AA140)/'Alumnos x PTC'!AV7</f>
        <v>24.38692098092643</v>
      </c>
      <c r="K6" s="4392">
        <f>(SUM('ACTIVOS uni'!L7)+'Alumnos x PTC'!AB140)/'Alumnos x PTC'!AZ7</f>
        <v>23.790134529147981</v>
      </c>
      <c r="L6" s="4392">
        <f>(SUM('ACTIVOS uni'!M7)+'Alumnos x PTC'!AC140)/'Alumnos x PTC'!BD7</f>
        <v>23.731062303899598</v>
      </c>
      <c r="M6" s="4392">
        <f>(SUM('ACTIVOS uni'!N7)+'Alumnos x PTC'!AD140)/'Alumnos x PTC'!BH7</f>
        <v>22.761528326745719</v>
      </c>
      <c r="N6" s="4392">
        <f>(SUM('ACTIVOS uni'!O7)+'Alumnos x PTC'!AE140)/'Alumnos x PTC'!BL7</f>
        <v>22.292639138240574</v>
      </c>
      <c r="BA6" s="4401"/>
      <c r="BB6" s="4401"/>
      <c r="BC6" s="4401"/>
      <c r="BD6" s="4402"/>
      <c r="BE6" s="4401"/>
      <c r="BF6" s="4401"/>
      <c r="BG6" s="4401"/>
      <c r="BH6" s="4402"/>
      <c r="BI6" s="4401"/>
      <c r="BJ6" s="4401"/>
      <c r="BK6" s="4401"/>
      <c r="BL6" s="4402"/>
    </row>
    <row r="7" spans="1:64" ht="15" x14ac:dyDescent="0.2">
      <c r="A7" s="5066"/>
      <c r="B7" s="1926" t="s">
        <v>6</v>
      </c>
      <c r="C7" s="4393">
        <f>(SUM('ACTIVOS uni'!D8)+'Alumnos x PTC'!T141)/'Alumnos x PTC'!T8</f>
        <v>17.150769230769232</v>
      </c>
      <c r="D7" s="4393">
        <f>(SUM('ACTIVOS uni'!E8)+'Alumnos x PTC'!U141)/'Alumnos x PTC'!X8</f>
        <v>17.288241415192509</v>
      </c>
      <c r="E7" s="4393">
        <f>(SUM('ACTIVOS uni'!F8)+'Alumnos x PTC'!V141)/'Alumnos x PTC'!AB8</f>
        <v>16.16235059760956</v>
      </c>
      <c r="F7" s="4393">
        <f>(SUM('ACTIVOS uni'!G8)+'Alumnos x PTC'!W141)/'Alumnos x PTC'!AF8</f>
        <v>16.748031496062993</v>
      </c>
      <c r="G7" s="4393">
        <f>(SUM('ACTIVOS uni'!H8)+'Alumnos x PTC'!X141)/'Alumnos x PTC'!AJ8</f>
        <v>17.077832512315272</v>
      </c>
      <c r="H7" s="4393">
        <f>(SUM('ACTIVOS uni'!I8)+'Alumnos x PTC'!Y141)/'Alumnos x PTC'!AN8</f>
        <v>17.669478908188587</v>
      </c>
      <c r="I7" s="4393">
        <f>(SUM('ACTIVOS uni'!J8)+'Alumnos x PTC'!Z141)/'Alumnos x PTC'!AR8</f>
        <v>18.060240963855421</v>
      </c>
      <c r="J7" s="4393">
        <f>(SUM('ACTIVOS uni'!K8)+'Alumnos x PTC'!AA141)/'Alumnos x PTC'!AV8</f>
        <v>18.194499017681729</v>
      </c>
      <c r="K7" s="4393">
        <f>(SUM('ACTIVOS uni'!L8)+'Alumnos x PTC'!AB141)/'Alumnos x PTC'!AZ8</f>
        <v>19.333333333333332</v>
      </c>
      <c r="L7" s="4393">
        <f>(SUM('ACTIVOS uni'!M8)+'Alumnos x PTC'!AC141)/'Alumnos x PTC'!BD8</f>
        <v>19.665868836764002</v>
      </c>
      <c r="M7" s="4393">
        <f>(SUM('ACTIVOS uni'!N8)+'Alumnos x PTC'!AD141)/'Alumnos x PTC'!BH8</f>
        <v>19.764028776978417</v>
      </c>
      <c r="N7" s="4393">
        <f>(SUM('ACTIVOS uni'!O8)+'Alumnos x PTC'!AE141)/'Alumnos x PTC'!BL8</f>
        <v>20.719530102790014</v>
      </c>
      <c r="Q7" s="4401">
        <v>322</v>
      </c>
      <c r="R7" s="4403">
        <f>'Definitivo x categoría'!J76/2</f>
        <v>17</v>
      </c>
      <c r="S7" s="4403">
        <f>'Definitivo x categoría'!J111/3</f>
        <v>14.666666666666666</v>
      </c>
      <c r="T7" s="4404">
        <f>SUM(Q7:S7)</f>
        <v>353.66666666666669</v>
      </c>
      <c r="U7" s="4401">
        <v>329</v>
      </c>
      <c r="V7" s="4403">
        <f>'Definitivo x categoría'!N76/3</f>
        <v>10.333333333333334</v>
      </c>
      <c r="W7" s="4403">
        <f>'Definitivo x categoría'!N111/3</f>
        <v>14.666666666666666</v>
      </c>
      <c r="X7" s="4404">
        <f>SUM(U7:W7)</f>
        <v>354</v>
      </c>
      <c r="Y7" s="4401">
        <v>327</v>
      </c>
      <c r="Z7" s="4403">
        <f>'Definitivo x categoría'!R76/2</f>
        <v>17</v>
      </c>
      <c r="AA7" s="4403">
        <f>'Definitivo x categoría'!R111/3</f>
        <v>15.333333333333334</v>
      </c>
      <c r="AB7" s="4404">
        <f>SUM(Y7:AA7)</f>
        <v>359.33333333333331</v>
      </c>
      <c r="AC7" s="4401">
        <v>340</v>
      </c>
      <c r="AD7" s="4403">
        <f>'Definitivo x categoría'!V76/2</f>
        <v>16.5</v>
      </c>
      <c r="AE7" s="4403">
        <f>'Definitivo x categoría'!V111/3</f>
        <v>15.333333333333334</v>
      </c>
      <c r="AF7" s="4404">
        <f>SUM(AC7:AE7)</f>
        <v>371.83333333333331</v>
      </c>
      <c r="AG7" s="4401">
        <v>341</v>
      </c>
      <c r="AH7" s="4403">
        <f>'Definitivo x categoría'!Z76/2</f>
        <v>15</v>
      </c>
      <c r="AI7" s="4403">
        <f>'Definitivo x categoría'!Z111/3</f>
        <v>14.333333333333334</v>
      </c>
      <c r="AJ7" s="4404">
        <f>SUM(AG7:AI7)</f>
        <v>370.33333333333331</v>
      </c>
      <c r="AK7" s="4401">
        <v>344</v>
      </c>
      <c r="AL7" s="4403">
        <f>'Definitivo x categoría'!AD76/2</f>
        <v>14</v>
      </c>
      <c r="AM7" s="4403">
        <f>'Definitivo x categoría'!AD111/3</f>
        <v>14</v>
      </c>
      <c r="AN7" s="4404">
        <f>SUM(AK7:AM7)</f>
        <v>372</v>
      </c>
      <c r="AO7" s="4401">
        <v>342</v>
      </c>
      <c r="AP7" s="4403">
        <f>'Definitivo x categoría'!AH76/2</f>
        <v>14</v>
      </c>
      <c r="AQ7" s="4403">
        <f>'Definitivo x categoría'!AH111/3</f>
        <v>13</v>
      </c>
      <c r="AR7" s="4404">
        <f>SUM(AO7:AQ7)</f>
        <v>369</v>
      </c>
      <c r="AS7" s="4401">
        <v>342</v>
      </c>
      <c r="AT7" s="4403">
        <f>'Definitivo x categoría'!AL76/2</f>
        <v>12</v>
      </c>
      <c r="AU7" s="4403">
        <f>'Definitivo x categoría'!AL111/3</f>
        <v>13</v>
      </c>
      <c r="AV7" s="4404">
        <f>SUM(AS7:AU7)</f>
        <v>367</v>
      </c>
      <c r="AW7" s="4401">
        <v>348</v>
      </c>
      <c r="AX7" s="4403">
        <f>'Definitivo x categoría'!AP76/2</f>
        <v>11</v>
      </c>
      <c r="AY7" s="4403">
        <f>'Definitivo x categoría'!AP111/3</f>
        <v>12.666666666666666</v>
      </c>
      <c r="AZ7" s="4404">
        <f>SUM(AW7:AY7)</f>
        <v>371.66666666666669</v>
      </c>
      <c r="BA7" s="4401">
        <v>349</v>
      </c>
      <c r="BB7" s="4403">
        <f>'Definitivo x categoría'!AT76/2</f>
        <v>10.5</v>
      </c>
      <c r="BC7" s="4403">
        <f>'Definitivo x categoría'!AT111/3</f>
        <v>12.333333333333334</v>
      </c>
      <c r="BD7" s="4404">
        <f>SUM(BA7:BC7)</f>
        <v>371.83333333333331</v>
      </c>
      <c r="BE7" s="4401">
        <v>357</v>
      </c>
      <c r="BF7" s="4403">
        <f>'Definitivo x categoría'!AX76/2</f>
        <v>10.5</v>
      </c>
      <c r="BG7" s="4403">
        <f>'Definitivo x categoría'!AX111/3</f>
        <v>12</v>
      </c>
      <c r="BH7" s="4404">
        <f>SUM(BE7:BG7)</f>
        <v>379.5</v>
      </c>
      <c r="BI7" s="4401">
        <v>351</v>
      </c>
      <c r="BJ7" s="4403">
        <f>'Definitivo x categoría'!BB76/2</f>
        <v>9</v>
      </c>
      <c r="BK7" s="4403">
        <f>'Definitivo x categoría'!BB111/3</f>
        <v>11.333333333333334</v>
      </c>
      <c r="BL7" s="4404">
        <f>SUM(BI7:BK7)</f>
        <v>371.33333333333331</v>
      </c>
    </row>
    <row r="8" spans="1:64" ht="15" x14ac:dyDescent="0.2">
      <c r="A8" s="5066"/>
      <c r="B8" s="1926" t="s">
        <v>7</v>
      </c>
      <c r="C8" s="4393">
        <f>(SUM('ACTIVOS uni'!D9)+'Alumnos x PTC'!T142)/'Alumnos x PTC'!T9</f>
        <v>16.497528830313016</v>
      </c>
      <c r="D8" s="4393">
        <f>(SUM('ACTIVOS uni'!E9)+'Alumnos x PTC'!U142)/'Alumnos x PTC'!X9</f>
        <v>16.519672131147544</v>
      </c>
      <c r="E8" s="4393">
        <f>(SUM('ACTIVOS uni'!F9)+'Alumnos x PTC'!V142)/'Alumnos x PTC'!AB9</f>
        <v>16.354368932038835</v>
      </c>
      <c r="F8" s="4393">
        <f>(SUM('ACTIVOS uni'!G9)+'Alumnos x PTC'!W142)/'Alumnos x PTC'!AF9</f>
        <v>16.6522462562396</v>
      </c>
      <c r="G8" s="4393">
        <f>(SUM('ACTIVOS uni'!H9)+'Alumnos x PTC'!X142)/'Alumnos x PTC'!AJ9</f>
        <v>16.850957535387177</v>
      </c>
      <c r="H8" s="4393">
        <f>(SUM('ACTIVOS uni'!I9)+'Alumnos x PTC'!Y142)/'Alumnos x PTC'!AN9</f>
        <v>16.258064516129032</v>
      </c>
      <c r="I8" s="4393">
        <f>(SUM('ACTIVOS uni'!J9)+'Alumnos x PTC'!Z142)/'Alumnos x PTC'!AR9</f>
        <v>15.992254066615027</v>
      </c>
      <c r="J8" s="4393">
        <f>(SUM('ACTIVOS uni'!K9)+'Alumnos x PTC'!AA142)/'Alumnos x PTC'!AV9</f>
        <v>16.220689655172414</v>
      </c>
      <c r="K8" s="4393">
        <f>(SUM('ACTIVOS uni'!L9)+'Alumnos x PTC'!AB142)/'Alumnos x PTC'!AZ9</f>
        <v>16.586363636363636</v>
      </c>
      <c r="L8" s="4393">
        <f>(SUM('ACTIVOS uni'!M9)+'Alumnos x PTC'!AC142)/'Alumnos x PTC'!BD9</f>
        <v>16.917225950782999</v>
      </c>
      <c r="M8" s="4393">
        <f>(SUM('ACTIVOS uni'!N9)+'Alumnos x PTC'!AD142)/'Alumnos x PTC'!BH9</f>
        <v>16.6875</v>
      </c>
      <c r="N8" s="4393">
        <f>(SUM('ACTIVOS uni'!O9)+'Alumnos x PTC'!AE142)/'Alumnos x PTC'!BL9</f>
        <v>17.092363636363636</v>
      </c>
      <c r="Q8" s="4401">
        <v>304</v>
      </c>
      <c r="R8" s="4403">
        <f>'Definitivo x categoría'!J77/2</f>
        <v>19</v>
      </c>
      <c r="S8" s="4403">
        <f>'Definitivo x categoría'!J112/3</f>
        <v>2</v>
      </c>
      <c r="T8" s="4404">
        <f t="shared" ref="T8:T32" si="0">SUM(Q8:S8)</f>
        <v>325</v>
      </c>
      <c r="U8" s="4401">
        <v>305</v>
      </c>
      <c r="V8" s="4403">
        <f>'Definitivo x categoría'!N77/3</f>
        <v>13.333333333333334</v>
      </c>
      <c r="W8" s="4403">
        <f>'Definitivo x categoría'!N112/3</f>
        <v>2</v>
      </c>
      <c r="X8" s="4404">
        <f t="shared" ref="X8:X32" si="1">SUM(U8:W8)</f>
        <v>320.33333333333331</v>
      </c>
      <c r="Y8" s="4401">
        <v>310</v>
      </c>
      <c r="Z8" s="4403">
        <f>'Definitivo x categoría'!R77/2</f>
        <v>23</v>
      </c>
      <c r="AA8" s="4403">
        <f>'Definitivo x categoría'!R112/3</f>
        <v>1.6666666666666667</v>
      </c>
      <c r="AB8" s="4404">
        <f t="shared" ref="AB8:AB32" si="2">SUM(Y8:AA8)</f>
        <v>334.66666666666669</v>
      </c>
      <c r="AC8" s="4401">
        <v>314</v>
      </c>
      <c r="AD8" s="4403">
        <f>'Definitivo x categoría'!V77/2</f>
        <v>23</v>
      </c>
      <c r="AE8" s="4403">
        <f>'Definitivo x categoría'!V112/3</f>
        <v>1.6666666666666667</v>
      </c>
      <c r="AF8" s="4404">
        <f t="shared" ref="AF8:AF32" si="3">SUM(AC8:AE8)</f>
        <v>338.66666666666669</v>
      </c>
      <c r="AG8" s="4401">
        <v>314</v>
      </c>
      <c r="AH8" s="4403">
        <f>'Definitivo x categoría'!Z77/2</f>
        <v>23</v>
      </c>
      <c r="AI8" s="4403">
        <f>'Definitivo x categoría'!Z112/3</f>
        <v>1.3333333333333333</v>
      </c>
      <c r="AJ8" s="4404">
        <f t="shared" ref="AJ8:AJ32" si="4">SUM(AG8:AI8)</f>
        <v>338.33333333333331</v>
      </c>
      <c r="AK8" s="4401">
        <v>312</v>
      </c>
      <c r="AL8" s="4403">
        <f>'Definitivo x categoría'!AD77/2</f>
        <v>22.5</v>
      </c>
      <c r="AM8" s="4403">
        <f>'Definitivo x categoría'!AD112/3</f>
        <v>1.3333333333333333</v>
      </c>
      <c r="AN8" s="4404">
        <f t="shared" ref="AN8:AN32" si="5">SUM(AK8:AM8)</f>
        <v>335.83333333333331</v>
      </c>
      <c r="AO8" s="4401">
        <v>308</v>
      </c>
      <c r="AP8" s="4403">
        <f>'Definitivo x categoría'!AH77/2</f>
        <v>22</v>
      </c>
      <c r="AQ8" s="4403">
        <f>'Definitivo x categoría'!AH112/3</f>
        <v>2</v>
      </c>
      <c r="AR8" s="4404">
        <f t="shared" ref="AR8:AR32" si="6">SUM(AO8:AQ8)</f>
        <v>332</v>
      </c>
      <c r="AS8" s="4401">
        <v>315</v>
      </c>
      <c r="AT8" s="4403">
        <f>'Definitivo x categoría'!AL77/2</f>
        <v>21</v>
      </c>
      <c r="AU8" s="4403">
        <f>'Definitivo x categoría'!AL112/3</f>
        <v>3.3333333333333335</v>
      </c>
      <c r="AV8" s="4404">
        <f t="shared" ref="AV8:AV32" si="7">SUM(AS8:AU8)</f>
        <v>339.33333333333331</v>
      </c>
      <c r="AW8" s="4401">
        <v>314</v>
      </c>
      <c r="AX8" s="4403">
        <f>'Definitivo x categoría'!AP77/2</f>
        <v>19.5</v>
      </c>
      <c r="AY8" s="4403">
        <f>'Definitivo x categoría'!AP112/3</f>
        <v>4</v>
      </c>
      <c r="AZ8" s="4404">
        <f t="shared" ref="AZ8:AZ32" si="8">SUM(AW8:AY8)</f>
        <v>337.5</v>
      </c>
      <c r="BA8" s="4401">
        <v>326</v>
      </c>
      <c r="BB8" s="4403">
        <f>'Definitivo x categoría'!AT77/2</f>
        <v>18.5</v>
      </c>
      <c r="BC8" s="4403">
        <f>'Definitivo x categoría'!AT112/3</f>
        <v>3.6666666666666665</v>
      </c>
      <c r="BD8" s="4404">
        <f t="shared" ref="BD8:BD32" si="9">SUM(BA8:BC8)</f>
        <v>348.16666666666669</v>
      </c>
      <c r="BE8" s="4401">
        <v>325</v>
      </c>
      <c r="BF8" s="4403">
        <f>'Definitivo x categoría'!AX77/2</f>
        <v>18.5</v>
      </c>
      <c r="BG8" s="4403">
        <f>'Definitivo x categoría'!AX112/3</f>
        <v>4</v>
      </c>
      <c r="BH8" s="4404">
        <f t="shared" ref="BH8:BH32" si="10">SUM(BE8:BG8)</f>
        <v>347.5</v>
      </c>
      <c r="BI8" s="4401">
        <v>319</v>
      </c>
      <c r="BJ8" s="4403">
        <f>'Definitivo x categoría'!BB77/2</f>
        <v>16.5</v>
      </c>
      <c r="BK8" s="4403">
        <f>'Definitivo x categoría'!BB112/3</f>
        <v>5</v>
      </c>
      <c r="BL8" s="4404">
        <f t="shared" ref="BL8:BL32" si="11">SUM(BI8:BK8)</f>
        <v>340.5</v>
      </c>
    </row>
    <row r="9" spans="1:64" ht="15" x14ac:dyDescent="0.2">
      <c r="A9" s="5067"/>
      <c r="B9" s="3016" t="s">
        <v>160</v>
      </c>
      <c r="C9" s="4394">
        <f>(SUM('ACTIVOS uni'!D10)+'Alumnos x PTC'!T143)/'Alumnos x PTC'!T10</f>
        <v>17.913734392735527</v>
      </c>
      <c r="D9" s="4394">
        <f>(SUM('ACTIVOS uni'!E10)+'Alumnos x PTC'!U143)/'Alumnos x PTC'!X10</f>
        <v>18.312191416635017</v>
      </c>
      <c r="E9" s="4394">
        <f>(SUM('ACTIVOS uni'!F10)+'Alumnos x PTC'!V143)/'Alumnos x PTC'!AB10</f>
        <v>18.053333333333335</v>
      </c>
      <c r="F9" s="4394">
        <f>(SUM('ACTIVOS uni'!G10)+'Alumnos x PTC'!W143)/'Alumnos x PTC'!AF10</f>
        <v>18.334858188472094</v>
      </c>
      <c r="G9" s="4394">
        <f>(SUM('ACTIVOS uni'!H10)+'Alumnos x PTC'!X143)/'Alumnos x PTC'!AJ10</f>
        <v>18.798826334128002</v>
      </c>
      <c r="H9" s="4394">
        <f>(SUM('ACTIVOS uni'!I10)+'Alumnos x PTC'!Y143)/'Alumnos x PTC'!AN10</f>
        <v>19.046473482777476</v>
      </c>
      <c r="I9" s="4394">
        <f>(SUM('ACTIVOS uni'!J10)+'Alumnos x PTC'!Z143)/'Alumnos x PTC'!AR10</f>
        <v>19.829361469892671</v>
      </c>
      <c r="J9" s="4394">
        <f>(SUM('ACTIVOS uni'!K10)+'Alumnos x PTC'!AA143)/'Alumnos x PTC'!AV10</f>
        <v>20.189788922965903</v>
      </c>
      <c r="K9" s="4394">
        <f>(SUM('ACTIVOS uni'!L10)+'Alumnos x PTC'!AB143)/'Alumnos x PTC'!AZ10</f>
        <v>20.465650224215249</v>
      </c>
      <c r="L9" s="4394">
        <f>(SUM('ACTIVOS uni'!M10)+'Alumnos x PTC'!AC143)/'Alumnos x PTC'!BD10</f>
        <v>20.616852146263913</v>
      </c>
      <c r="M9" s="4394">
        <f>(SUM('ACTIVOS uni'!N10)+'Alumnos x PTC'!AD143)/'Alumnos x PTC'!BH10</f>
        <v>20.196187175043327</v>
      </c>
      <c r="N9" s="4394">
        <f>(SUM('ACTIVOS uni'!O10)+'Alumnos x PTC'!AE143)/'Alumnos x PTC'!BL10</f>
        <v>20.456960680127523</v>
      </c>
      <c r="Q9" s="4401">
        <v>183</v>
      </c>
      <c r="R9" s="4403">
        <f>'Definitivo x categoría'!J78/2</f>
        <v>17</v>
      </c>
      <c r="S9" s="4403">
        <f>'Definitivo x categoría'!J113/3</f>
        <v>2.3333333333333335</v>
      </c>
      <c r="T9" s="4404">
        <f t="shared" si="0"/>
        <v>202.33333333333334</v>
      </c>
      <c r="U9" s="4401">
        <v>189</v>
      </c>
      <c r="V9" s="4403">
        <f>'Definitivo x categoría'!N78/3</f>
        <v>11.666666666666666</v>
      </c>
      <c r="W9" s="4403">
        <f>'Definitivo x categoría'!N113/3</f>
        <v>2.6666666666666665</v>
      </c>
      <c r="X9" s="4404">
        <f t="shared" si="1"/>
        <v>203.33333333333331</v>
      </c>
      <c r="Y9" s="4401">
        <v>188</v>
      </c>
      <c r="Z9" s="4403">
        <f>'Definitivo x categoría'!R78/2</f>
        <v>16</v>
      </c>
      <c r="AA9" s="4403">
        <f>'Definitivo x categoría'!R113/3</f>
        <v>2</v>
      </c>
      <c r="AB9" s="4404">
        <f t="shared" si="2"/>
        <v>206</v>
      </c>
      <c r="AC9" s="4401">
        <v>182</v>
      </c>
      <c r="AD9" s="4403">
        <f>'Definitivo x categoría'!V78/2</f>
        <v>16</v>
      </c>
      <c r="AE9" s="4403">
        <f>'Definitivo x categoría'!V113/3</f>
        <v>2.3333333333333335</v>
      </c>
      <c r="AF9" s="4404">
        <f t="shared" si="3"/>
        <v>200.33333333333334</v>
      </c>
      <c r="AG9" s="4401">
        <v>183</v>
      </c>
      <c r="AH9" s="4403">
        <f>'Definitivo x categoría'!Z78/2</f>
        <v>15.5</v>
      </c>
      <c r="AI9" s="4403">
        <f>'Definitivo x categoría'!Z113/3</f>
        <v>1.6666666666666667</v>
      </c>
      <c r="AJ9" s="4404">
        <f t="shared" si="4"/>
        <v>200.16666666666666</v>
      </c>
      <c r="AK9" s="4401">
        <v>190</v>
      </c>
      <c r="AL9" s="4403">
        <f>'Definitivo x categoría'!AD78/2</f>
        <v>15</v>
      </c>
      <c r="AM9" s="4403">
        <f>'Definitivo x categoría'!AD113/3</f>
        <v>1.6666666666666667</v>
      </c>
      <c r="AN9" s="4404">
        <f t="shared" si="5"/>
        <v>206.66666666666666</v>
      </c>
      <c r="AO9" s="4401">
        <v>199</v>
      </c>
      <c r="AP9" s="4403">
        <f>'Definitivo x categoría'!AH78/2</f>
        <v>14.5</v>
      </c>
      <c r="AQ9" s="4403">
        <f>'Definitivo x categoría'!AH113/3</f>
        <v>1.6666666666666667</v>
      </c>
      <c r="AR9" s="4404">
        <f t="shared" si="6"/>
        <v>215.16666666666666</v>
      </c>
      <c r="AS9" s="4401">
        <v>201</v>
      </c>
      <c r="AT9" s="4403">
        <f>'Definitivo x categoría'!AL78/2</f>
        <v>14.5</v>
      </c>
      <c r="AU9" s="4403">
        <f>'Definitivo x categoría'!AL113/3</f>
        <v>2</v>
      </c>
      <c r="AV9" s="4404">
        <f t="shared" si="7"/>
        <v>217.5</v>
      </c>
      <c r="AW9" s="4401">
        <v>206</v>
      </c>
      <c r="AX9" s="4403">
        <f>'Definitivo x categoría'!AP78/2</f>
        <v>12</v>
      </c>
      <c r="AY9" s="4403">
        <f>'Definitivo x categoría'!AP113/3</f>
        <v>2</v>
      </c>
      <c r="AZ9" s="4404">
        <f t="shared" si="8"/>
        <v>220</v>
      </c>
      <c r="BA9" s="4401">
        <v>211</v>
      </c>
      <c r="BB9" s="4403">
        <f>'Definitivo x categoría'!AT78/2</f>
        <v>10.5</v>
      </c>
      <c r="BC9" s="4403">
        <f>'Definitivo x categoría'!AT113/3</f>
        <v>2</v>
      </c>
      <c r="BD9" s="4404">
        <f t="shared" si="9"/>
        <v>223.5</v>
      </c>
      <c r="BE9" s="4401">
        <v>221</v>
      </c>
      <c r="BF9" s="4403">
        <f>'Definitivo x categoría'!AX78/2</f>
        <v>11</v>
      </c>
      <c r="BG9" s="4403">
        <f>'Definitivo x categoría'!AX113/3</f>
        <v>2.6666666666666665</v>
      </c>
      <c r="BH9" s="4404">
        <f t="shared" si="10"/>
        <v>234.66666666666666</v>
      </c>
      <c r="BI9" s="4401">
        <v>215</v>
      </c>
      <c r="BJ9" s="4403">
        <f>'Definitivo x categoría'!BB78/2</f>
        <v>11.5</v>
      </c>
      <c r="BK9" s="4403">
        <f>'Definitivo x categoría'!BB113/3</f>
        <v>2.6666666666666665</v>
      </c>
      <c r="BL9" s="4404">
        <f t="shared" si="11"/>
        <v>229.16666666666666</v>
      </c>
    </row>
    <row r="10" spans="1:64" x14ac:dyDescent="0.2">
      <c r="C10" s="4587"/>
      <c r="D10" s="4587"/>
      <c r="E10" s="4587"/>
      <c r="F10" s="4587"/>
      <c r="G10" s="4587"/>
      <c r="H10" s="4587"/>
      <c r="I10" s="4587"/>
      <c r="J10" s="4587"/>
      <c r="K10" s="4587"/>
      <c r="L10" s="4587"/>
      <c r="M10" s="4587"/>
      <c r="N10" s="4587"/>
      <c r="Q10" s="4401">
        <v>809</v>
      </c>
      <c r="R10" s="4403">
        <f>'Definitivo x categoría'!J79/2</f>
        <v>53</v>
      </c>
      <c r="S10" s="4403">
        <f>'Definitivo x categoría'!J114/3</f>
        <v>19</v>
      </c>
      <c r="T10" s="4404">
        <f t="shared" si="0"/>
        <v>881</v>
      </c>
      <c r="U10" s="4401">
        <v>823</v>
      </c>
      <c r="V10" s="4403">
        <f>'Definitivo x categoría'!N79/3</f>
        <v>35.333333333333336</v>
      </c>
      <c r="W10" s="4403">
        <f>'Definitivo x categoría'!N114/3</f>
        <v>19.333333333333332</v>
      </c>
      <c r="X10" s="4404">
        <f t="shared" si="1"/>
        <v>877.66666666666674</v>
      </c>
      <c r="Y10" s="4401">
        <v>825</v>
      </c>
      <c r="Z10" s="4403">
        <f>'Definitivo x categoría'!R79/2</f>
        <v>56</v>
      </c>
      <c r="AA10" s="4403">
        <f>'Definitivo x categoría'!R114/3</f>
        <v>19</v>
      </c>
      <c r="AB10" s="4404">
        <f t="shared" si="2"/>
        <v>900</v>
      </c>
      <c r="AC10" s="4401">
        <v>836</v>
      </c>
      <c r="AD10" s="4403">
        <f>'Definitivo x categoría'!V79/2</f>
        <v>55.5</v>
      </c>
      <c r="AE10" s="4403">
        <f>'Definitivo x categoría'!V114/3</f>
        <v>19.333333333333332</v>
      </c>
      <c r="AF10" s="4404">
        <f t="shared" si="3"/>
        <v>910.83333333333337</v>
      </c>
      <c r="AG10" s="4401">
        <v>838</v>
      </c>
      <c r="AH10" s="4403">
        <f>'Definitivo x categoría'!Z79/2</f>
        <v>53.5</v>
      </c>
      <c r="AI10" s="4403">
        <f>'Definitivo x categoría'!Z114/3</f>
        <v>17.333333333333332</v>
      </c>
      <c r="AJ10" s="4404">
        <f t="shared" si="4"/>
        <v>908.83333333333337</v>
      </c>
      <c r="AK10" s="4401">
        <v>846</v>
      </c>
      <c r="AL10" s="4403">
        <f>'Definitivo x categoría'!AD79/2</f>
        <v>51.5</v>
      </c>
      <c r="AM10" s="4403">
        <f>'Definitivo x categoría'!AD114/3</f>
        <v>17</v>
      </c>
      <c r="AN10" s="4404">
        <f t="shared" si="5"/>
        <v>914.5</v>
      </c>
      <c r="AO10" s="4401">
        <v>849</v>
      </c>
      <c r="AP10" s="4403">
        <f>'Definitivo x categoría'!AH79/2</f>
        <v>50.5</v>
      </c>
      <c r="AQ10" s="4403">
        <f>'Definitivo x categoría'!AH114/3</f>
        <v>16.666666666666668</v>
      </c>
      <c r="AR10" s="4404">
        <f t="shared" si="6"/>
        <v>916.16666666666663</v>
      </c>
      <c r="AS10" s="4401">
        <v>858</v>
      </c>
      <c r="AT10" s="4403">
        <f>'Definitivo x categoría'!AL79/2</f>
        <v>47.5</v>
      </c>
      <c r="AU10" s="4403">
        <f>'Definitivo x categoría'!AL114/3</f>
        <v>18.333333333333332</v>
      </c>
      <c r="AV10" s="4404">
        <f t="shared" si="7"/>
        <v>923.83333333333337</v>
      </c>
      <c r="AW10" s="4401">
        <v>868</v>
      </c>
      <c r="AX10" s="4403">
        <f>'Definitivo x categoría'!AP79/2</f>
        <v>42.5</v>
      </c>
      <c r="AY10" s="4403">
        <f>'Definitivo x categoría'!AP114/3</f>
        <v>18.666666666666668</v>
      </c>
      <c r="AZ10" s="4404">
        <f t="shared" si="8"/>
        <v>929.16666666666663</v>
      </c>
      <c r="BA10" s="4401">
        <v>886</v>
      </c>
      <c r="BB10" s="4403">
        <f>'Definitivo x categoría'!AT79/2</f>
        <v>39.5</v>
      </c>
      <c r="BC10" s="4403">
        <f>'Definitivo x categoría'!AT114/3</f>
        <v>18</v>
      </c>
      <c r="BD10" s="4404">
        <f t="shared" si="9"/>
        <v>943.5</v>
      </c>
      <c r="BE10" s="4401">
        <v>903</v>
      </c>
      <c r="BF10" s="4403">
        <f>'Definitivo x categoría'!AX79/2</f>
        <v>40</v>
      </c>
      <c r="BG10" s="4403">
        <f>'Definitivo x categoría'!AX114/3</f>
        <v>18.666666666666668</v>
      </c>
      <c r="BH10" s="4404">
        <f t="shared" si="10"/>
        <v>961.66666666666663</v>
      </c>
      <c r="BI10" s="4401">
        <v>885</v>
      </c>
      <c r="BJ10" s="4403">
        <f>'Definitivo x categoría'!BB79/2</f>
        <v>37</v>
      </c>
      <c r="BK10" s="4403">
        <f>'Definitivo x categoría'!BB114/3</f>
        <v>19</v>
      </c>
      <c r="BL10" s="4404">
        <f t="shared" si="11"/>
        <v>941</v>
      </c>
    </row>
    <row r="11" spans="1:64" ht="15" x14ac:dyDescent="0.2">
      <c r="A11" s="6298" t="s">
        <v>410</v>
      </c>
      <c r="B11" s="4148" t="s">
        <v>6</v>
      </c>
      <c r="C11" s="4392"/>
      <c r="D11" s="4392">
        <f>(SUM('ACTIVOS uni'!E12)+'Alumnos x PTC'!U145)/'Alumnos x PTC'!X12</f>
        <v>27.75</v>
      </c>
      <c r="E11" s="4392">
        <f>(SUM('ACTIVOS uni'!F12)+'Alumnos x PTC'!V145)/'Alumnos x PTC'!AB12</f>
        <v>21.142857142857142</v>
      </c>
      <c r="F11" s="4392">
        <f>(SUM('ACTIVOS uni'!G12)+'Alumnos x PTC'!W145)/'Alumnos x PTC'!AF12</f>
        <v>11.255813953488373</v>
      </c>
      <c r="G11" s="4392">
        <f>(SUM('ACTIVOS uni'!H12)+'Alumnos x PTC'!X145)/'Alumnos x PTC'!AJ12</f>
        <v>14.291666666666666</v>
      </c>
      <c r="H11" s="4392">
        <f>(SUM('ACTIVOS uni'!I12)+'Alumnos x PTC'!Y145)/'Alumnos x PTC'!AN12</f>
        <v>13.59322033898305</v>
      </c>
      <c r="I11" s="4392">
        <f>(SUM('ACTIVOS uni'!J12)+'Alumnos x PTC'!Z145)/'Alumnos x PTC'!AR12</f>
        <v>10.632911392405063</v>
      </c>
      <c r="J11" s="4392">
        <f>(SUM('ACTIVOS uni'!K12)+'Alumnos x PTC'!AA145)/'Alumnos x PTC'!AV12</f>
        <v>11.338078291814947</v>
      </c>
      <c r="K11" s="4392">
        <f>(SUM('ACTIVOS uni'!L12)+'Alumnos x PTC'!AB145)/'Alumnos x PTC'!AZ12</f>
        <v>13.292307692307691</v>
      </c>
      <c r="L11" s="4392">
        <f>(SUM('ACTIVOS uni'!M12)+'Alumnos x PTC'!AC145)/'Alumnos x PTC'!BD12</f>
        <v>13.58450704225352</v>
      </c>
      <c r="M11" s="4392">
        <f>(SUM('ACTIVOS uni'!N12)+'Alumnos x PTC'!AD145)/'Alumnos x PTC'!BH12</f>
        <v>15.48</v>
      </c>
      <c r="N11" s="4392">
        <f>(SUM('ACTIVOS uni'!O12)+'Alumnos x PTC'!AE145)/'Alumnos x PTC'!BL12</f>
        <v>18.653465346534652</v>
      </c>
      <c r="Q11" s="4401"/>
      <c r="R11" s="4403"/>
      <c r="S11" s="4403"/>
      <c r="T11" s="4404"/>
      <c r="U11" s="4401"/>
      <c r="V11" s="4403"/>
      <c r="W11" s="4403"/>
      <c r="X11" s="4404"/>
      <c r="Y11" s="4401"/>
      <c r="Z11" s="4403"/>
      <c r="AA11" s="4403"/>
      <c r="AB11" s="4404"/>
      <c r="AC11" s="4401"/>
      <c r="AD11" s="4403"/>
      <c r="AE11" s="4403"/>
      <c r="AF11" s="4404"/>
      <c r="AG11" s="4401"/>
      <c r="AH11" s="4403"/>
      <c r="AI11" s="4403"/>
      <c r="AJ11" s="4404"/>
      <c r="AK11" s="4401"/>
      <c r="AL11" s="4403"/>
      <c r="AM11" s="4403"/>
      <c r="AN11" s="4404"/>
      <c r="AO11" s="4401"/>
      <c r="AP11" s="4403"/>
      <c r="AQ11" s="4403"/>
      <c r="AR11" s="4404"/>
      <c r="AS11" s="4401"/>
      <c r="AT11" s="4403"/>
      <c r="AU11" s="4403"/>
      <c r="AV11" s="4404"/>
      <c r="AW11" s="4401"/>
      <c r="AX11" s="4403"/>
      <c r="AY11" s="4403"/>
      <c r="AZ11" s="4404"/>
      <c r="BA11" s="4401"/>
      <c r="BB11" s="4403"/>
      <c r="BC11" s="4403"/>
      <c r="BD11" s="4404"/>
      <c r="BE11" s="4401"/>
      <c r="BF11" s="4403"/>
      <c r="BG11" s="4403"/>
      <c r="BH11" s="4404"/>
      <c r="BI11" s="4401"/>
      <c r="BJ11" s="4403"/>
      <c r="BK11" s="4403"/>
      <c r="BL11" s="4404"/>
    </row>
    <row r="12" spans="1:64" ht="15" x14ac:dyDescent="0.2">
      <c r="A12" s="5070"/>
      <c r="B12" s="1926" t="s">
        <v>9</v>
      </c>
      <c r="C12" s="4393"/>
      <c r="D12" s="4393">
        <f>(SUM('ACTIVOS uni'!E13)+'Alumnos x PTC'!U146)/'Alumnos x PTC'!X13</f>
        <v>11.333333333333334</v>
      </c>
      <c r="E12" s="4393">
        <f>(SUM('ACTIVOS uni'!F13)+'Alumnos x PTC'!V146)/'Alumnos x PTC'!AB13</f>
        <v>6.7777777777777777</v>
      </c>
      <c r="F12" s="4393">
        <f>(SUM('ACTIVOS uni'!G13)+'Alumnos x PTC'!W146)/'Alumnos x PTC'!AF13</f>
        <v>14.692307692307692</v>
      </c>
      <c r="G12" s="4393">
        <f>(SUM('ACTIVOS uni'!H13)+'Alumnos x PTC'!X146)/'Alumnos x PTC'!AJ13</f>
        <v>13.083333333333334</v>
      </c>
      <c r="H12" s="4393">
        <f>(SUM('ACTIVOS uni'!I13)+'Alumnos x PTC'!Y146)/'Alumnos x PTC'!AN13</f>
        <v>12.6</v>
      </c>
      <c r="I12" s="4393">
        <f>(SUM('ACTIVOS uni'!J13)+'Alumnos x PTC'!Z146)/'Alumnos x PTC'!AR13</f>
        <v>12.157894736842104</v>
      </c>
      <c r="J12" s="4393">
        <f>(SUM('ACTIVOS uni'!K13)+'Alumnos x PTC'!AA146)/'Alumnos x PTC'!AV13</f>
        <v>13.04032258064516</v>
      </c>
      <c r="K12" s="4393">
        <f>(SUM('ACTIVOS uni'!L13)+'Alumnos x PTC'!AB146)/'Alumnos x PTC'!AZ13</f>
        <v>11.980891719745223</v>
      </c>
      <c r="L12" s="4393">
        <f>(SUM('ACTIVOS uni'!M13)+'Alumnos x PTC'!AC146)/'Alumnos x PTC'!BD13</f>
        <v>13.103225806451613</v>
      </c>
      <c r="M12" s="4393">
        <f>(SUM('ACTIVOS uni'!N13)+'Alumnos x PTC'!AD146)/'Alumnos x PTC'!BH13</f>
        <v>15.19108280254777</v>
      </c>
      <c r="N12" s="4393">
        <f>(SUM('ACTIVOS uni'!O13)+'Alumnos x PTC'!AE146)/'Alumnos x PTC'!BL13</f>
        <v>16.858895705521473</v>
      </c>
      <c r="Q12" s="4401"/>
      <c r="R12" s="4403">
        <f>'Definitivo x categoría'!J81/2</f>
        <v>0</v>
      </c>
      <c r="S12" s="4403">
        <f>'Definitivo x categoría'!J116/3</f>
        <v>0</v>
      </c>
      <c r="T12" s="4404">
        <f t="shared" si="0"/>
        <v>0</v>
      </c>
      <c r="U12" s="4401">
        <v>4</v>
      </c>
      <c r="V12" s="4403">
        <f>'Definitivo x categoría'!N81/3</f>
        <v>0</v>
      </c>
      <c r="W12" s="4403">
        <f>'Definitivo x categoría'!N116/3</f>
        <v>0</v>
      </c>
      <c r="X12" s="4404">
        <f t="shared" si="1"/>
        <v>4</v>
      </c>
      <c r="Y12" s="4401">
        <v>7</v>
      </c>
      <c r="Z12" s="4403">
        <f>'Definitivo x categoría'!R81/2</f>
        <v>0</v>
      </c>
      <c r="AA12" s="4403">
        <f>'Definitivo x categoría'!R116/3</f>
        <v>0</v>
      </c>
      <c r="AB12" s="4404">
        <f t="shared" si="2"/>
        <v>7</v>
      </c>
      <c r="AC12" s="4401">
        <v>21</v>
      </c>
      <c r="AD12" s="4403">
        <f>'Definitivo x categoría'!V81/2</f>
        <v>0.5</v>
      </c>
      <c r="AE12" s="4403">
        <f>'Definitivo x categoría'!V116/3</f>
        <v>0</v>
      </c>
      <c r="AF12" s="4404">
        <f t="shared" si="3"/>
        <v>21.5</v>
      </c>
      <c r="AG12" s="4401">
        <v>23</v>
      </c>
      <c r="AH12" s="4403">
        <f>'Definitivo x categoría'!Z81/2</f>
        <v>1</v>
      </c>
      <c r="AI12" s="4403">
        <f>'Definitivo x categoría'!Z116/3</f>
        <v>0</v>
      </c>
      <c r="AJ12" s="4404">
        <f t="shared" si="4"/>
        <v>24</v>
      </c>
      <c r="AK12" s="4401">
        <v>28</v>
      </c>
      <c r="AL12" s="4403">
        <f>'Definitivo x categoría'!AD81/2</f>
        <v>1.5</v>
      </c>
      <c r="AM12" s="4403">
        <f>'Definitivo x categoría'!AD116/3</f>
        <v>0</v>
      </c>
      <c r="AN12" s="4404">
        <f t="shared" si="5"/>
        <v>29.5</v>
      </c>
      <c r="AO12" s="4401">
        <v>38</v>
      </c>
      <c r="AP12" s="4403">
        <f>'Definitivo x categoría'!AH81/2</f>
        <v>1.5</v>
      </c>
      <c r="AQ12" s="4403">
        <f>'Definitivo x categoría'!AH116/3</f>
        <v>0</v>
      </c>
      <c r="AR12" s="4404">
        <f t="shared" si="6"/>
        <v>39.5</v>
      </c>
      <c r="AS12" s="4401">
        <v>45</v>
      </c>
      <c r="AT12" s="4403">
        <f>'Definitivo x categoría'!AL81/2</f>
        <v>1.5</v>
      </c>
      <c r="AU12" s="4403">
        <f>'Definitivo x categoría'!AL116/3</f>
        <v>0.33333333333333331</v>
      </c>
      <c r="AV12" s="4404">
        <f t="shared" si="7"/>
        <v>46.833333333333336</v>
      </c>
      <c r="AW12" s="4401">
        <v>42</v>
      </c>
      <c r="AX12" s="4403">
        <f>'Definitivo x categoría'!AP81/2</f>
        <v>1</v>
      </c>
      <c r="AY12" s="4403">
        <f>'Definitivo x categoría'!AP116/3</f>
        <v>0.33333333333333331</v>
      </c>
      <c r="AZ12" s="4404">
        <f t="shared" si="8"/>
        <v>43.333333333333336</v>
      </c>
      <c r="BA12" s="4401">
        <v>46</v>
      </c>
      <c r="BB12" s="4403">
        <f>'Definitivo x categoría'!AT81/2</f>
        <v>1</v>
      </c>
      <c r="BC12" s="4403">
        <f>'Definitivo x categoría'!AT116/3</f>
        <v>0.33333333333333331</v>
      </c>
      <c r="BD12" s="4404">
        <f t="shared" si="9"/>
        <v>47.333333333333336</v>
      </c>
      <c r="BE12" s="4401">
        <v>49</v>
      </c>
      <c r="BF12" s="4403">
        <f>'Definitivo x categoría'!AX81/2</f>
        <v>1</v>
      </c>
      <c r="BG12" s="4403">
        <f>'Definitivo x categoría'!AX116/3</f>
        <v>0</v>
      </c>
      <c r="BH12" s="4404">
        <f t="shared" si="10"/>
        <v>50</v>
      </c>
      <c r="BI12" s="4401">
        <v>50</v>
      </c>
      <c r="BJ12" s="4403">
        <f>'Definitivo x categoría'!BB81/2</f>
        <v>0.5</v>
      </c>
      <c r="BK12" s="4403">
        <f>'Definitivo x categoría'!BB116/3</f>
        <v>0</v>
      </c>
      <c r="BL12" s="4404">
        <f t="shared" si="11"/>
        <v>50.5</v>
      </c>
    </row>
    <row r="13" spans="1:64" ht="15" x14ac:dyDescent="0.2">
      <c r="A13" s="5070"/>
      <c r="B13" s="1926" t="s">
        <v>74</v>
      </c>
      <c r="C13" s="4393"/>
      <c r="D13" s="4393">
        <f>(SUM('ACTIVOS uni'!E14)+'Alumnos x PTC'!U147)/'Alumnos x PTC'!X14</f>
        <v>9.6666666666666661</v>
      </c>
      <c r="E13" s="4393">
        <f>(SUM('ACTIVOS uni'!F14)+'Alumnos x PTC'!V147)/'Alumnos x PTC'!AB14</f>
        <v>13</v>
      </c>
      <c r="F13" s="4393">
        <f>(SUM('ACTIVOS uni'!G14)+'Alumnos x PTC'!W147)/'Alumnos x PTC'!AF14</f>
        <v>7.166666666666667</v>
      </c>
      <c r="G13" s="4393">
        <f>(SUM('ACTIVOS uni'!H14)+'Alumnos x PTC'!X147)/'Alumnos x PTC'!AJ14</f>
        <v>9.304347826086957</v>
      </c>
      <c r="H13" s="4393">
        <f>(SUM('ACTIVOS uni'!I14)+'Alumnos x PTC'!Y147)/'Alumnos x PTC'!AN14</f>
        <v>11.458333333333334</v>
      </c>
      <c r="I13" s="4393">
        <f>(SUM('ACTIVOS uni'!J14)+'Alumnos x PTC'!Z147)/'Alumnos x PTC'!AR14</f>
        <v>11.962962962962964</v>
      </c>
      <c r="J13" s="4393">
        <f>(SUM('ACTIVOS uni'!K14)+'Alumnos x PTC'!AA147)/'Alumnos x PTC'!AV14</f>
        <v>14.242424242424242</v>
      </c>
      <c r="K13" s="4393">
        <f>(SUM('ACTIVOS uni'!L14)+'Alumnos x PTC'!AB147)/'Alumnos x PTC'!AZ14</f>
        <v>18.577981651376145</v>
      </c>
      <c r="L13" s="4393">
        <f>(SUM('ACTIVOS uni'!M14)+'Alumnos x PTC'!AC147)/'Alumnos x PTC'!BD14</f>
        <v>23.626666666666665</v>
      </c>
      <c r="M13" s="4393">
        <f>(SUM('ACTIVOS uni'!N14)+'Alumnos x PTC'!AD147)/'Alumnos x PTC'!BH14</f>
        <v>26.183908045977013</v>
      </c>
      <c r="N13" s="4393">
        <f>(SUM('ACTIVOS uni'!O14)+'Alumnos x PTC'!AE147)/'Alumnos x PTC'!BL14</f>
        <v>29.402214022140225</v>
      </c>
      <c r="Q13" s="4401"/>
      <c r="R13" s="4403">
        <f>'Definitivo x categoría'!J82/2</f>
        <v>0</v>
      </c>
      <c r="S13" s="4403">
        <f>'Definitivo x categoría'!J117/3</f>
        <v>0</v>
      </c>
      <c r="T13" s="4404">
        <f t="shared" si="0"/>
        <v>0</v>
      </c>
      <c r="U13" s="4401">
        <v>3</v>
      </c>
      <c r="V13" s="4403">
        <f>'Definitivo x categoría'!N82/3</f>
        <v>0</v>
      </c>
      <c r="W13" s="4403">
        <f>'Definitivo x categoría'!N117/3</f>
        <v>0</v>
      </c>
      <c r="X13" s="4404">
        <f t="shared" si="1"/>
        <v>3</v>
      </c>
      <c r="Y13" s="4401">
        <v>9</v>
      </c>
      <c r="Z13" s="4403">
        <f>'Definitivo x categoría'!R82/2</f>
        <v>0</v>
      </c>
      <c r="AA13" s="4403">
        <f>'Definitivo x categoría'!R117/3</f>
        <v>0</v>
      </c>
      <c r="AB13" s="4404">
        <f t="shared" si="2"/>
        <v>9</v>
      </c>
      <c r="AC13" s="4401">
        <v>13</v>
      </c>
      <c r="AD13" s="4403">
        <f>'Definitivo x categoría'!V82/2</f>
        <v>0</v>
      </c>
      <c r="AE13" s="4403">
        <f>'Definitivo x categoría'!V117/3</f>
        <v>0</v>
      </c>
      <c r="AF13" s="4404">
        <f t="shared" si="3"/>
        <v>13</v>
      </c>
      <c r="AG13" s="4401">
        <v>24</v>
      </c>
      <c r="AH13" s="4403">
        <f>'Definitivo x categoría'!Z82/2</f>
        <v>0</v>
      </c>
      <c r="AI13" s="4403">
        <f>'Definitivo x categoría'!Z117/3</f>
        <v>0</v>
      </c>
      <c r="AJ13" s="4404">
        <f t="shared" si="4"/>
        <v>24</v>
      </c>
      <c r="AK13" s="4401">
        <v>30</v>
      </c>
      <c r="AL13" s="4403">
        <f>'Definitivo x categoría'!AD82/2</f>
        <v>0</v>
      </c>
      <c r="AM13" s="4403">
        <f>'Definitivo x categoría'!AD117/3</f>
        <v>0</v>
      </c>
      <c r="AN13" s="4404">
        <f t="shared" si="5"/>
        <v>30</v>
      </c>
      <c r="AO13" s="4401">
        <v>38</v>
      </c>
      <c r="AP13" s="4403">
        <f>'Definitivo x categoría'!AH82/2</f>
        <v>0</v>
      </c>
      <c r="AQ13" s="4403">
        <f>'Definitivo x categoría'!AH117/3</f>
        <v>0</v>
      </c>
      <c r="AR13" s="4404">
        <f t="shared" si="6"/>
        <v>38</v>
      </c>
      <c r="AS13" s="4401">
        <v>41</v>
      </c>
      <c r="AT13" s="4403">
        <f>'Definitivo x categoría'!AL82/2</f>
        <v>0</v>
      </c>
      <c r="AU13" s="4403">
        <f>'Definitivo x categoría'!AL117/3</f>
        <v>0.33333333333333331</v>
      </c>
      <c r="AV13" s="4404">
        <f t="shared" si="7"/>
        <v>41.333333333333336</v>
      </c>
      <c r="AW13" s="4401">
        <v>52</v>
      </c>
      <c r="AX13" s="4403">
        <f>'Definitivo x categoría'!AP82/2</f>
        <v>0</v>
      </c>
      <c r="AY13" s="4403">
        <f>'Definitivo x categoría'!AP117/3</f>
        <v>0.33333333333333331</v>
      </c>
      <c r="AZ13" s="4404">
        <f t="shared" si="8"/>
        <v>52.333333333333336</v>
      </c>
      <c r="BA13" s="4401">
        <v>51</v>
      </c>
      <c r="BB13" s="4403">
        <f>'Definitivo x categoría'!AT82/2</f>
        <v>0</v>
      </c>
      <c r="BC13" s="4403">
        <f>'Definitivo x categoría'!AT117/3</f>
        <v>0.66666666666666663</v>
      </c>
      <c r="BD13" s="4404">
        <f t="shared" si="9"/>
        <v>51.666666666666664</v>
      </c>
      <c r="BE13" s="4401">
        <v>52</v>
      </c>
      <c r="BF13" s="4403">
        <f>'Definitivo x categoría'!AX82/2</f>
        <v>0</v>
      </c>
      <c r="BG13" s="4403">
        <f>'Definitivo x categoría'!AX117/3</f>
        <v>0.33333333333333331</v>
      </c>
      <c r="BH13" s="4404">
        <f t="shared" si="10"/>
        <v>52.333333333333336</v>
      </c>
      <c r="BI13" s="4401">
        <v>54</v>
      </c>
      <c r="BJ13" s="4403">
        <f>'Definitivo x categoría'!BB82/2</f>
        <v>0</v>
      </c>
      <c r="BK13" s="4403">
        <f>'Definitivo x categoría'!BB117/3</f>
        <v>0.33333333333333331</v>
      </c>
      <c r="BL13" s="4404">
        <f t="shared" si="11"/>
        <v>54.333333333333336</v>
      </c>
    </row>
    <row r="14" spans="1:64" ht="15" x14ac:dyDescent="0.2">
      <c r="A14" s="5071"/>
      <c r="B14" s="3019" t="s">
        <v>160</v>
      </c>
      <c r="C14" s="4395"/>
      <c r="D14" s="4395">
        <f>(SUM('ACTIVOS uni'!E15)+'Alumnos x PTC'!U148)/'Alumnos x PTC'!X15</f>
        <v>15.615384615384615</v>
      </c>
      <c r="E14" s="4395">
        <f>(SUM('ACTIVOS uni'!F15)+'Alumnos x PTC'!V148)/'Alumnos x PTC'!AB15</f>
        <v>13.045454545454545</v>
      </c>
      <c r="F14" s="4395">
        <f>(SUM('ACTIVOS uni'!G15)+'Alumnos x PTC'!W148)/'Alumnos x PTC'!AF15</f>
        <v>10.704761904761904</v>
      </c>
      <c r="G14" s="4395">
        <f>(SUM('ACTIVOS uni'!H15)+'Alumnos x PTC'!X148)/'Alumnos x PTC'!AJ15</f>
        <v>12.267605633802816</v>
      </c>
      <c r="H14" s="4395">
        <f>(SUM('ACTIVOS uni'!I15)+'Alumnos x PTC'!Y148)/'Alumnos x PTC'!AN15</f>
        <v>12.622754491017965</v>
      </c>
      <c r="I14" s="4395">
        <f>(SUM('ACTIVOS uni'!J15)+'Alumnos x PTC'!Z148)/'Alumnos x PTC'!AR15</f>
        <v>11.5311004784689</v>
      </c>
      <c r="J14" s="4395">
        <f>(SUM('ACTIVOS uni'!K15)+'Alumnos x PTC'!AA148)/'Alumnos x PTC'!AV15</f>
        <v>12.709766162310865</v>
      </c>
      <c r="K14" s="4395">
        <f>(SUM('ACTIVOS uni'!L15)+'Alumnos x PTC'!AB148)/'Alumnos x PTC'!AZ15</f>
        <v>14.227272727272727</v>
      </c>
      <c r="L14" s="4395">
        <f>(SUM('ACTIVOS uni'!M15)+'Alumnos x PTC'!AC148)/'Alumnos x PTC'!BD15</f>
        <v>16.161172161172161</v>
      </c>
      <c r="M14" s="4395">
        <f>(SUM('ACTIVOS uni'!N15)+'Alumnos x PTC'!AD148)/'Alumnos x PTC'!BH15</f>
        <v>18.569142857142857</v>
      </c>
      <c r="N14" s="4395">
        <f>(SUM('ACTIVOS uni'!O15)+'Alumnos x PTC'!AE148)/'Alumnos x PTC'!BL15</f>
        <v>21.24</v>
      </c>
      <c r="Q14" s="4401"/>
      <c r="R14" s="4403">
        <f>'Definitivo x categoría'!J83/2</f>
        <v>0</v>
      </c>
      <c r="S14" s="4403">
        <f>'Definitivo x categoría'!J118/3</f>
        <v>0</v>
      </c>
      <c r="T14" s="4404">
        <f t="shared" si="0"/>
        <v>0</v>
      </c>
      <c r="U14" s="4401">
        <v>6</v>
      </c>
      <c r="V14" s="4403">
        <f>'Definitivo x categoría'!N83/3</f>
        <v>0</v>
      </c>
      <c r="W14" s="4403">
        <f>'Definitivo x categoría'!N118/3</f>
        <v>0</v>
      </c>
      <c r="X14" s="4404">
        <f t="shared" si="1"/>
        <v>6</v>
      </c>
      <c r="Y14" s="4401">
        <v>6</v>
      </c>
      <c r="Z14" s="4403">
        <f>'Definitivo x categoría'!R83/2</f>
        <v>0</v>
      </c>
      <c r="AA14" s="4403">
        <f>'Definitivo x categoría'!R118/3</f>
        <v>0</v>
      </c>
      <c r="AB14" s="4404">
        <f t="shared" si="2"/>
        <v>6</v>
      </c>
      <c r="AC14" s="4401">
        <v>18</v>
      </c>
      <c r="AD14" s="4403">
        <f>'Definitivo x categoría'!V83/2</f>
        <v>0</v>
      </c>
      <c r="AE14" s="4403">
        <f>'Definitivo x categoría'!V118/3</f>
        <v>0</v>
      </c>
      <c r="AF14" s="4404">
        <f t="shared" si="3"/>
        <v>18</v>
      </c>
      <c r="AG14" s="4401">
        <v>23</v>
      </c>
      <c r="AH14" s="4403">
        <f>'Definitivo x categoría'!Z83/2</f>
        <v>0</v>
      </c>
      <c r="AI14" s="4403">
        <f>'Definitivo x categoría'!Z118/3</f>
        <v>0</v>
      </c>
      <c r="AJ14" s="4404">
        <f t="shared" si="4"/>
        <v>23</v>
      </c>
      <c r="AK14" s="4401">
        <v>24</v>
      </c>
      <c r="AL14" s="4403">
        <f>'Definitivo x categoría'!AD83/2</f>
        <v>0</v>
      </c>
      <c r="AM14" s="4403">
        <f>'Definitivo x categoría'!AD118/3</f>
        <v>0</v>
      </c>
      <c r="AN14" s="4404">
        <f t="shared" si="5"/>
        <v>24</v>
      </c>
      <c r="AO14" s="4401">
        <v>27</v>
      </c>
      <c r="AP14" s="4403">
        <f>'Definitivo x categoría'!AH83/2</f>
        <v>0</v>
      </c>
      <c r="AQ14" s="4403">
        <f>'Definitivo x categoría'!AH118/3</f>
        <v>0</v>
      </c>
      <c r="AR14" s="4404">
        <f t="shared" si="6"/>
        <v>27</v>
      </c>
      <c r="AS14" s="4401">
        <v>33</v>
      </c>
      <c r="AT14" s="4403">
        <f>'Definitivo x categoría'!AL83/2</f>
        <v>0</v>
      </c>
      <c r="AU14" s="4403">
        <f>'Definitivo x categoría'!AL118/3</f>
        <v>0</v>
      </c>
      <c r="AV14" s="4404">
        <f t="shared" si="7"/>
        <v>33</v>
      </c>
      <c r="AW14" s="4401">
        <v>36</v>
      </c>
      <c r="AX14" s="4403">
        <f>'Definitivo x categoría'!AP83/2</f>
        <v>0</v>
      </c>
      <c r="AY14" s="4403">
        <f>'Definitivo x categoría'!AP118/3</f>
        <v>0.33333333333333331</v>
      </c>
      <c r="AZ14" s="4404">
        <f t="shared" si="8"/>
        <v>36.333333333333336</v>
      </c>
      <c r="BA14" s="4401">
        <v>37</v>
      </c>
      <c r="BB14" s="4403">
        <f>'Definitivo x categoría'!AT83/2</f>
        <v>0.5</v>
      </c>
      <c r="BC14" s="4403">
        <f>'Definitivo x categoría'!AT118/3</f>
        <v>0</v>
      </c>
      <c r="BD14" s="4404">
        <f t="shared" si="9"/>
        <v>37.5</v>
      </c>
      <c r="BE14" s="4401">
        <v>42</v>
      </c>
      <c r="BF14" s="4403">
        <f>'Definitivo x categoría'!AX83/2</f>
        <v>0.5</v>
      </c>
      <c r="BG14" s="4403">
        <f>'Definitivo x categoría'!AX118/3</f>
        <v>1</v>
      </c>
      <c r="BH14" s="4404">
        <f t="shared" si="10"/>
        <v>43.5</v>
      </c>
      <c r="BI14" s="4401">
        <v>43</v>
      </c>
      <c r="BJ14" s="4403">
        <f>'Definitivo x categoría'!BB83/2</f>
        <v>0.5</v>
      </c>
      <c r="BK14" s="4403">
        <f>'Definitivo x categoría'!BB118/3</f>
        <v>1.6666666666666667</v>
      </c>
      <c r="BL14" s="4404">
        <f t="shared" si="11"/>
        <v>45.166666666666664</v>
      </c>
    </row>
    <row r="15" spans="1:64" x14ac:dyDescent="0.2">
      <c r="C15" s="4587"/>
      <c r="D15" s="4587"/>
      <c r="E15" s="4587"/>
      <c r="F15" s="4587"/>
      <c r="G15" s="4587"/>
      <c r="H15" s="4587"/>
      <c r="I15" s="4587"/>
      <c r="J15" s="4587"/>
      <c r="K15" s="4587"/>
      <c r="L15" s="4587"/>
      <c r="M15" s="4587"/>
      <c r="N15" s="4587"/>
      <c r="Q15" s="4401"/>
      <c r="R15" s="4403">
        <f>'Definitivo x categoría'!J84/2</f>
        <v>0</v>
      </c>
      <c r="S15" s="4403">
        <f>'Definitivo x categoría'!J119/3</f>
        <v>0</v>
      </c>
      <c r="T15" s="4404">
        <f t="shared" si="0"/>
        <v>0</v>
      </c>
      <c r="U15" s="4401">
        <v>13</v>
      </c>
      <c r="V15" s="4403">
        <f>'Definitivo x categoría'!N84/3</f>
        <v>0</v>
      </c>
      <c r="W15" s="4403">
        <f>'Definitivo x categoría'!N119/3</f>
        <v>0</v>
      </c>
      <c r="X15" s="4404">
        <f t="shared" si="1"/>
        <v>13</v>
      </c>
      <c r="Y15" s="4401">
        <v>22</v>
      </c>
      <c r="Z15" s="4403">
        <f>'Definitivo x categoría'!R84/2</f>
        <v>0</v>
      </c>
      <c r="AA15" s="4403">
        <f>'Definitivo x categoría'!R119/3</f>
        <v>0</v>
      </c>
      <c r="AB15" s="4404">
        <f t="shared" si="2"/>
        <v>22</v>
      </c>
      <c r="AC15" s="4401">
        <v>52</v>
      </c>
      <c r="AD15" s="4403">
        <f>'Definitivo x categoría'!V84/2</f>
        <v>0.5</v>
      </c>
      <c r="AE15" s="4403">
        <f>'Definitivo x categoría'!V119/3</f>
        <v>0</v>
      </c>
      <c r="AF15" s="4404">
        <f t="shared" si="3"/>
        <v>52.5</v>
      </c>
      <c r="AG15" s="4401">
        <v>70</v>
      </c>
      <c r="AH15" s="4403">
        <f>'Definitivo x categoría'!Z84/2</f>
        <v>1</v>
      </c>
      <c r="AI15" s="4403">
        <f>'Definitivo x categoría'!Z119/3</f>
        <v>0</v>
      </c>
      <c r="AJ15" s="4404">
        <f t="shared" si="4"/>
        <v>71</v>
      </c>
      <c r="AK15" s="4401">
        <v>82</v>
      </c>
      <c r="AL15" s="4403">
        <f>'Definitivo x categoría'!AD84/2</f>
        <v>1.5</v>
      </c>
      <c r="AM15" s="4403">
        <f>'Definitivo x categoría'!AD119/3</f>
        <v>0</v>
      </c>
      <c r="AN15" s="4404">
        <f t="shared" si="5"/>
        <v>83.5</v>
      </c>
      <c r="AO15" s="4401">
        <v>103</v>
      </c>
      <c r="AP15" s="4403">
        <f>'Definitivo x categoría'!AH84/2</f>
        <v>1.5</v>
      </c>
      <c r="AQ15" s="4403">
        <f>'Definitivo x categoría'!AH119/3</f>
        <v>0</v>
      </c>
      <c r="AR15" s="4404">
        <f t="shared" si="6"/>
        <v>104.5</v>
      </c>
      <c r="AS15" s="4401">
        <v>119</v>
      </c>
      <c r="AT15" s="4403">
        <f>'Definitivo x categoría'!AL84/2</f>
        <v>1.5</v>
      </c>
      <c r="AU15" s="4403">
        <f>'Definitivo x categoría'!AL119/3</f>
        <v>0.66666666666666663</v>
      </c>
      <c r="AV15" s="4404">
        <f t="shared" si="7"/>
        <v>121.16666666666667</v>
      </c>
      <c r="AW15" s="4401">
        <v>130</v>
      </c>
      <c r="AX15" s="4403">
        <f>'Definitivo x categoría'!AP84/2</f>
        <v>1</v>
      </c>
      <c r="AY15" s="4403">
        <f>'Definitivo x categoría'!AP119/3</f>
        <v>1</v>
      </c>
      <c r="AZ15" s="4404">
        <f t="shared" si="8"/>
        <v>132</v>
      </c>
      <c r="BA15" s="4401">
        <v>134</v>
      </c>
      <c r="BB15" s="4403">
        <f>'Definitivo x categoría'!AT84/2</f>
        <v>1.5</v>
      </c>
      <c r="BC15" s="4403">
        <f>'Definitivo x categoría'!AT119/3</f>
        <v>1</v>
      </c>
      <c r="BD15" s="4404">
        <f t="shared" si="9"/>
        <v>136.5</v>
      </c>
      <c r="BE15" s="4401">
        <v>143</v>
      </c>
      <c r="BF15" s="4403">
        <f>'Definitivo x categoría'!AX84/2</f>
        <v>1.5</v>
      </c>
      <c r="BG15" s="4403">
        <f>'Definitivo x categoría'!AX119/3</f>
        <v>1.3333333333333333</v>
      </c>
      <c r="BH15" s="4404">
        <f t="shared" si="10"/>
        <v>145.83333333333334</v>
      </c>
      <c r="BI15" s="4401">
        <v>147</v>
      </c>
      <c r="BJ15" s="4403">
        <f>'Definitivo x categoría'!BB84/2</f>
        <v>1</v>
      </c>
      <c r="BK15" s="4403">
        <f>'Definitivo x categoría'!BB119/3</f>
        <v>2</v>
      </c>
      <c r="BL15" s="4404">
        <f t="shared" si="11"/>
        <v>150</v>
      </c>
    </row>
    <row r="16" spans="1:64" ht="15" x14ac:dyDescent="0.2">
      <c r="A16" s="6299" t="s">
        <v>162</v>
      </c>
      <c r="B16" s="4148" t="s">
        <v>5</v>
      </c>
      <c r="C16" s="4392">
        <f>(SUM('ACTIVOS uni'!D17)+'Alumnos x PTC'!T150)/'Alumnos x PTC'!T17</f>
        <v>15.890109890109891</v>
      </c>
      <c r="D16" s="4392">
        <f>(SUM('ACTIVOS uni'!E17)+'Alumnos x PTC'!U150)/'Alumnos x PTC'!X17</f>
        <v>15.636255924170614</v>
      </c>
      <c r="E16" s="4392">
        <f>(SUM('ACTIVOS uni'!F17)+'Alumnos x PTC'!V150)/'Alumnos x PTC'!AB17</f>
        <v>15.630460448642268</v>
      </c>
      <c r="F16" s="4392">
        <f>(SUM('ACTIVOS uni'!G17)+'Alumnos x PTC'!W150)/'Alumnos x PTC'!AF17</f>
        <v>15.045720984759672</v>
      </c>
      <c r="G16" s="4392">
        <f>(SUM('ACTIVOS uni'!H17)+'Alumnos x PTC'!X150)/'Alumnos x PTC'!AJ17</f>
        <v>15.129521586931155</v>
      </c>
      <c r="H16" s="4392">
        <f>(SUM('ACTIVOS uni'!I17)+'Alumnos x PTC'!Y150)/'Alumnos x PTC'!AN17</f>
        <v>15.128445747800585</v>
      </c>
      <c r="I16" s="4392">
        <f>(SUM('ACTIVOS uni'!J17)+'Alumnos x PTC'!Z150)/'Alumnos x PTC'!AR17</f>
        <v>16.04494382022472</v>
      </c>
      <c r="J16" s="4392">
        <f>(SUM('ACTIVOS uni'!K17)+'Alumnos x PTC'!AA150)/'Alumnos x PTC'!AV17</f>
        <v>16.839506172839506</v>
      </c>
      <c r="K16" s="4392">
        <f>(SUM('ACTIVOS uni'!L17)+'Alumnos x PTC'!AB150)/'Alumnos x PTC'!AZ17</f>
        <v>17.401759530791789</v>
      </c>
      <c r="L16" s="4392">
        <f>(SUM('ACTIVOS uni'!M17)+'Alumnos x PTC'!AC150)/'Alumnos x PTC'!BD17</f>
        <v>19.338028169014084</v>
      </c>
      <c r="M16" s="4392">
        <f>(SUM('ACTIVOS uni'!N17)+'Alumnos x PTC'!AD150)/'Alumnos x PTC'!BH17</f>
        <v>19.645105895821406</v>
      </c>
      <c r="N16" s="4392">
        <f>(SUM('ACTIVOS uni'!O17)+'Alumnos x PTC'!AE150)/'Alumnos x PTC'!BL17</f>
        <v>20.135181975736568</v>
      </c>
      <c r="Q16" s="4401"/>
      <c r="R16" s="4403"/>
      <c r="S16" s="4403"/>
      <c r="T16" s="4404"/>
      <c r="U16" s="4401"/>
      <c r="V16" s="4403"/>
      <c r="W16" s="4403"/>
      <c r="X16" s="4404"/>
      <c r="Y16" s="4401"/>
      <c r="Z16" s="4403"/>
      <c r="AA16" s="4403"/>
      <c r="AB16" s="4404"/>
      <c r="AC16" s="4401"/>
      <c r="AD16" s="4403"/>
      <c r="AE16" s="4403"/>
      <c r="AF16" s="4404"/>
      <c r="AG16" s="4401"/>
      <c r="AH16" s="4403"/>
      <c r="AI16" s="4403"/>
      <c r="AJ16" s="4404"/>
      <c r="AK16" s="4401"/>
      <c r="AL16" s="4403"/>
      <c r="AM16" s="4403"/>
      <c r="AN16" s="4404"/>
      <c r="AO16" s="4401"/>
      <c r="AP16" s="4403"/>
      <c r="AQ16" s="4403"/>
      <c r="AR16" s="4404"/>
      <c r="AS16" s="4401"/>
      <c r="AT16" s="4403"/>
      <c r="AU16" s="4403"/>
      <c r="AV16" s="4404"/>
      <c r="AW16" s="4401"/>
      <c r="AX16" s="4403"/>
      <c r="AY16" s="4403"/>
      <c r="AZ16" s="4404"/>
      <c r="BA16" s="4401"/>
      <c r="BB16" s="4403"/>
      <c r="BC16" s="4403"/>
      <c r="BD16" s="4404"/>
      <c r="BE16" s="4401"/>
      <c r="BF16" s="4403"/>
      <c r="BG16" s="4403"/>
      <c r="BH16" s="4404"/>
      <c r="BI16" s="4401"/>
      <c r="BJ16" s="4403"/>
      <c r="BK16" s="4403"/>
      <c r="BL16" s="4404"/>
    </row>
    <row r="17" spans="1:64" ht="15" x14ac:dyDescent="0.2">
      <c r="A17" s="5063"/>
      <c r="B17" s="1926" t="s">
        <v>6</v>
      </c>
      <c r="C17" s="4393">
        <f>(SUM('ACTIVOS uni'!D18)+'Alumnos x PTC'!T151)/'Alumnos x PTC'!T18</f>
        <v>20.033950617283949</v>
      </c>
      <c r="D17" s="4393">
        <f>(SUM('ACTIVOS uni'!E18)+'Alumnos x PTC'!U151)/'Alumnos x PTC'!X18</f>
        <v>20.699360341151383</v>
      </c>
      <c r="E17" s="4393">
        <f>(SUM('ACTIVOS uni'!F18)+'Alumnos x PTC'!V151)/'Alumnos x PTC'!AB18</f>
        <v>20.689437729900156</v>
      </c>
      <c r="F17" s="4393">
        <f>(SUM('ACTIVOS uni'!G18)+'Alumnos x PTC'!W151)/'Alumnos x PTC'!AF18</f>
        <v>21.89300847457627</v>
      </c>
      <c r="G17" s="4393">
        <f>(SUM('ACTIVOS uni'!H18)+'Alumnos x PTC'!X151)/'Alumnos x PTC'!AJ18</f>
        <v>23.194546407970638</v>
      </c>
      <c r="H17" s="4393">
        <f>(SUM('ACTIVOS uni'!I18)+'Alumnos x PTC'!Y151)/'Alumnos x PTC'!AN18</f>
        <v>23.874739039665972</v>
      </c>
      <c r="I17" s="4393">
        <f>(SUM('ACTIVOS uni'!J18)+'Alumnos x PTC'!Z151)/'Alumnos x PTC'!AR18</f>
        <v>24.944162436548226</v>
      </c>
      <c r="J17" s="4393">
        <f>(SUM('ACTIVOS uni'!K18)+'Alumnos x PTC'!AA151)/'Alumnos x PTC'!AV18</f>
        <v>25.458204334365327</v>
      </c>
      <c r="K17" s="4393">
        <f>(SUM('ACTIVOS uni'!L18)+'Alumnos x PTC'!AB151)/'Alumnos x PTC'!AZ18</f>
        <v>26.359375</v>
      </c>
      <c r="L17" s="4393">
        <f>(SUM('ACTIVOS uni'!M18)+'Alumnos x PTC'!AC151)/'Alumnos x PTC'!BD18</f>
        <v>25.907532467532469</v>
      </c>
      <c r="M17" s="4393">
        <f>(SUM('ACTIVOS uni'!N18)+'Alumnos x PTC'!AD151)/'Alumnos x PTC'!BH18</f>
        <v>25.947611710323574</v>
      </c>
      <c r="N17" s="4393">
        <f>(SUM('ACTIVOS uni'!O18)+'Alumnos x PTC'!AE151)/'Alumnos x PTC'!BL18</f>
        <v>25.730407523510973</v>
      </c>
      <c r="Q17" s="4401">
        <v>266</v>
      </c>
      <c r="R17" s="4403">
        <f>'Definitivo x categoría'!J86/2</f>
        <v>1</v>
      </c>
      <c r="S17" s="4403">
        <f>'Definitivo x categoría'!J121/3</f>
        <v>6</v>
      </c>
      <c r="T17" s="4404">
        <f t="shared" si="0"/>
        <v>273</v>
      </c>
      <c r="U17" s="4401">
        <v>274</v>
      </c>
      <c r="V17" s="4403">
        <f>'Definitivo x categoría'!N86/3</f>
        <v>0.66666666666666663</v>
      </c>
      <c r="W17" s="4403">
        <f>'Definitivo x categoría'!N121/3</f>
        <v>6.666666666666667</v>
      </c>
      <c r="X17" s="4404">
        <f t="shared" si="1"/>
        <v>281.33333333333337</v>
      </c>
      <c r="Y17" s="4401">
        <v>275</v>
      </c>
      <c r="Z17" s="4403">
        <f>'Definitivo x categoría'!R86/2</f>
        <v>1</v>
      </c>
      <c r="AA17" s="4403">
        <f>'Definitivo x categoría'!R121/3</f>
        <v>6.333333333333333</v>
      </c>
      <c r="AB17" s="4404">
        <f t="shared" si="2"/>
        <v>282.33333333333331</v>
      </c>
      <c r="AC17" s="4401">
        <v>277</v>
      </c>
      <c r="AD17" s="4403">
        <f>'Definitivo x categoría'!V86/2</f>
        <v>1</v>
      </c>
      <c r="AE17" s="4403">
        <f>'Definitivo x categoría'!V121/3</f>
        <v>6.333333333333333</v>
      </c>
      <c r="AF17" s="4404">
        <f t="shared" si="3"/>
        <v>284.33333333333331</v>
      </c>
      <c r="AG17" s="4401">
        <v>279</v>
      </c>
      <c r="AH17" s="4403">
        <f>'Definitivo x categoría'!Z86/2</f>
        <v>1</v>
      </c>
      <c r="AI17" s="4403">
        <f>'Definitivo x categoría'!Z121/3</f>
        <v>5.666666666666667</v>
      </c>
      <c r="AJ17" s="4404">
        <f t="shared" si="4"/>
        <v>285.66666666666669</v>
      </c>
      <c r="AK17" s="4401">
        <v>278</v>
      </c>
      <c r="AL17" s="4403">
        <f>'Definitivo x categoría'!AD86/2</f>
        <v>0.5</v>
      </c>
      <c r="AM17" s="4403">
        <f>'Definitivo x categoría'!AD121/3</f>
        <v>5.666666666666667</v>
      </c>
      <c r="AN17" s="4404">
        <f t="shared" si="5"/>
        <v>284.16666666666669</v>
      </c>
      <c r="AO17" s="4401">
        <v>276</v>
      </c>
      <c r="AP17" s="4403">
        <f>'Definitivo x categoría'!AH86/2</f>
        <v>0.5</v>
      </c>
      <c r="AQ17" s="4403">
        <f>'Definitivo x categoría'!AH121/3</f>
        <v>5.333333333333333</v>
      </c>
      <c r="AR17" s="4404">
        <f t="shared" si="6"/>
        <v>281.83333333333331</v>
      </c>
      <c r="AS17" s="4401">
        <v>278</v>
      </c>
      <c r="AT17" s="4403">
        <f>'Definitivo x categoría'!AL86/2</f>
        <v>0.5</v>
      </c>
      <c r="AU17" s="4403">
        <f>'Definitivo x categoría'!AL121/3</f>
        <v>5</v>
      </c>
      <c r="AV17" s="4404">
        <f t="shared" si="7"/>
        <v>283.5</v>
      </c>
      <c r="AW17" s="4401">
        <v>279</v>
      </c>
      <c r="AX17" s="4403">
        <f>'Definitivo x categoría'!AP86/2</f>
        <v>0.5</v>
      </c>
      <c r="AY17" s="4403">
        <f>'Definitivo x categoría'!AP121/3</f>
        <v>4.666666666666667</v>
      </c>
      <c r="AZ17" s="4404">
        <f t="shared" si="8"/>
        <v>284.16666666666669</v>
      </c>
      <c r="BA17" s="4401">
        <v>284</v>
      </c>
      <c r="BB17" s="4403"/>
      <c r="BC17" s="4403"/>
      <c r="BD17" s="4404">
        <f t="shared" si="9"/>
        <v>284</v>
      </c>
      <c r="BE17" s="4401">
        <v>286</v>
      </c>
      <c r="BF17" s="4403">
        <f>'Definitivo x categoría'!AX86/2</f>
        <v>0.5</v>
      </c>
      <c r="BG17" s="4403">
        <f>'Definitivo x categoría'!AX121/3</f>
        <v>4.666666666666667</v>
      </c>
      <c r="BH17" s="4404">
        <f t="shared" si="10"/>
        <v>291.16666666666669</v>
      </c>
      <c r="BI17" s="4401">
        <v>283</v>
      </c>
      <c r="BJ17" s="4403">
        <f>'Definitivo x categoría'!BB86/2</f>
        <v>0.5</v>
      </c>
      <c r="BK17" s="4403">
        <f>'Definitivo x categoría'!BB121/3</f>
        <v>5</v>
      </c>
      <c r="BL17" s="4404">
        <f t="shared" si="11"/>
        <v>288.5</v>
      </c>
    </row>
    <row r="18" spans="1:64" ht="15" x14ac:dyDescent="0.2">
      <c r="A18" s="5063"/>
      <c r="B18" s="1926" t="s">
        <v>11</v>
      </c>
      <c r="C18" s="4393">
        <f>(SUM('ACTIVOS uni'!D19)+'Alumnos x PTC'!T152)/'Alumnos x PTC'!T19</f>
        <v>18.167862266857963</v>
      </c>
      <c r="D18" s="4393">
        <f>(SUM('ACTIVOS uni'!E19)+'Alumnos x PTC'!U152)/'Alumnos x PTC'!X19</f>
        <v>17.352857142857143</v>
      </c>
      <c r="E18" s="4393">
        <f>(SUM('ACTIVOS uni'!F19)+'Alumnos x PTC'!V152)/'Alumnos x PTC'!AB19</f>
        <v>17.458874458874458</v>
      </c>
      <c r="F18" s="4393">
        <f>(SUM('ACTIVOS uni'!G19)+'Alumnos x PTC'!W152)/'Alumnos x PTC'!AF19</f>
        <v>17.533856022808266</v>
      </c>
      <c r="G18" s="4393">
        <f>(SUM('ACTIVOS uni'!H19)+'Alumnos x PTC'!X152)/'Alumnos x PTC'!AJ19</f>
        <v>18.548646671543526</v>
      </c>
      <c r="H18" s="4393">
        <f>(SUM('ACTIVOS uni'!I19)+'Alumnos x PTC'!Y152)/'Alumnos x PTC'!AN19</f>
        <v>19.914988814317674</v>
      </c>
      <c r="I18" s="4393">
        <f>(SUM('ACTIVOS uni'!J19)+'Alumnos x PTC'!Z152)/'Alumnos x PTC'!AR19</f>
        <v>22.06392694063927</v>
      </c>
      <c r="J18" s="4393">
        <f>(SUM('ACTIVOS uni'!K19)+'Alumnos x PTC'!AA152)/'Alumnos x PTC'!AV19</f>
        <v>22.702941176470588</v>
      </c>
      <c r="K18" s="4393">
        <f>(SUM('ACTIVOS uni'!L19)+'Alumnos x PTC'!AB152)/'Alumnos x PTC'!AZ19</f>
        <v>24.379411764705882</v>
      </c>
      <c r="L18" s="4393">
        <f>(SUM('ACTIVOS uni'!M19)+'Alumnos x PTC'!AC152)/'Alumnos x PTC'!BD19</f>
        <v>25.526959022286125</v>
      </c>
      <c r="M18" s="4393">
        <f>(SUM('ACTIVOS uni'!N19)+'Alumnos x PTC'!AD152)/'Alumnos x PTC'!BH19</f>
        <v>25.698668535388926</v>
      </c>
      <c r="N18" s="4393">
        <f>(SUM('ACTIVOS uni'!O19)+'Alumnos x PTC'!AE152)/'Alumnos x PTC'!BL19</f>
        <v>25.683182135380321</v>
      </c>
      <c r="Q18" s="4401">
        <v>301</v>
      </c>
      <c r="R18" s="4403">
        <f>'Definitivo x categoría'!J87/2</f>
        <v>8</v>
      </c>
      <c r="S18" s="4403">
        <f>'Definitivo x categoría'!J122/3</f>
        <v>15</v>
      </c>
      <c r="T18" s="4404">
        <f t="shared" si="0"/>
        <v>324</v>
      </c>
      <c r="U18" s="4401">
        <v>294</v>
      </c>
      <c r="V18" s="4403">
        <f>'Definitivo x categoría'!N87/3</f>
        <v>4.666666666666667</v>
      </c>
      <c r="W18" s="4403">
        <f>'Definitivo x categoría'!N122/3</f>
        <v>14</v>
      </c>
      <c r="X18" s="4404">
        <f t="shared" si="1"/>
        <v>312.66666666666669</v>
      </c>
      <c r="Y18" s="4401">
        <v>296</v>
      </c>
      <c r="Z18" s="4403">
        <f>'Definitivo x categoría'!R87/2</f>
        <v>7.5</v>
      </c>
      <c r="AA18" s="4403">
        <f>'Definitivo x categoría'!R122/3</f>
        <v>13.666666666666666</v>
      </c>
      <c r="AB18" s="4404">
        <f t="shared" si="2"/>
        <v>317.16666666666669</v>
      </c>
      <c r="AC18" s="4401">
        <v>294</v>
      </c>
      <c r="AD18" s="4403">
        <f>'Definitivo x categoría'!V87/2</f>
        <v>7</v>
      </c>
      <c r="AE18" s="4403">
        <f>'Definitivo x categoría'!V122/3</f>
        <v>13.666666666666666</v>
      </c>
      <c r="AF18" s="4404">
        <f t="shared" si="3"/>
        <v>314.66666666666669</v>
      </c>
      <c r="AG18" s="4401">
        <v>299</v>
      </c>
      <c r="AH18" s="4403">
        <f>'Definitivo x categoría'!Z87/2</f>
        <v>5.5</v>
      </c>
      <c r="AI18" s="4403">
        <f>'Definitivo x categoría'!Z122/3</f>
        <v>13.333333333333334</v>
      </c>
      <c r="AJ18" s="4404">
        <f t="shared" si="4"/>
        <v>317.83333333333331</v>
      </c>
      <c r="AK18" s="4401">
        <v>301</v>
      </c>
      <c r="AL18" s="4403">
        <f>'Definitivo x categoría'!AD87/2</f>
        <v>6</v>
      </c>
      <c r="AM18" s="4403">
        <f>'Definitivo x categoría'!AD122/3</f>
        <v>12.333333333333334</v>
      </c>
      <c r="AN18" s="4404">
        <f t="shared" si="5"/>
        <v>319.33333333333331</v>
      </c>
      <c r="AO18" s="4401">
        <v>307</v>
      </c>
      <c r="AP18" s="4403">
        <f>'Definitivo x categoría'!AH87/2</f>
        <v>7</v>
      </c>
      <c r="AQ18" s="4403">
        <f>'Definitivo x categoría'!AH122/3</f>
        <v>14.333333333333334</v>
      </c>
      <c r="AR18" s="4404">
        <f t="shared" si="6"/>
        <v>328.33333333333331</v>
      </c>
      <c r="AS18" s="4401">
        <v>302</v>
      </c>
      <c r="AT18" s="4403">
        <f>'Definitivo x categoría'!AL87/2</f>
        <v>7</v>
      </c>
      <c r="AU18" s="4403">
        <f>'Definitivo x categoría'!AL122/3</f>
        <v>14</v>
      </c>
      <c r="AV18" s="4404">
        <f t="shared" si="7"/>
        <v>323</v>
      </c>
      <c r="AW18" s="4401">
        <v>298</v>
      </c>
      <c r="AX18" s="4403">
        <f>'Definitivo x categoría'!AP87/2</f>
        <v>7</v>
      </c>
      <c r="AY18" s="4403">
        <f>'Definitivo x categoría'!AP122/3</f>
        <v>15</v>
      </c>
      <c r="AZ18" s="4404">
        <f t="shared" si="8"/>
        <v>320</v>
      </c>
      <c r="BA18" s="4401">
        <v>299</v>
      </c>
      <c r="BB18" s="4403">
        <f>'Definitivo x categoría'!AT87/2</f>
        <v>7.5</v>
      </c>
      <c r="BC18" s="4403">
        <f>'Definitivo x categoría'!AT122/3</f>
        <v>14.333333333333334</v>
      </c>
      <c r="BD18" s="4404">
        <f t="shared" si="9"/>
        <v>320.83333333333331</v>
      </c>
      <c r="BE18" s="4401">
        <v>303</v>
      </c>
      <c r="BF18" s="4403">
        <f>'Definitivo x categoría'!AX87/2</f>
        <v>5.5</v>
      </c>
      <c r="BG18" s="4403">
        <f>'Definitivo x categoría'!AX122/3</f>
        <v>16</v>
      </c>
      <c r="BH18" s="4404">
        <f t="shared" si="10"/>
        <v>324.5</v>
      </c>
      <c r="BI18" s="4401">
        <v>301</v>
      </c>
      <c r="BJ18" s="4403">
        <f>'Definitivo x categoría'!BB87/2</f>
        <v>5</v>
      </c>
      <c r="BK18" s="4403">
        <f>'Definitivo x categoría'!BB122/3</f>
        <v>13</v>
      </c>
      <c r="BL18" s="4404">
        <f t="shared" si="11"/>
        <v>319</v>
      </c>
    </row>
    <row r="19" spans="1:64" ht="15" x14ac:dyDescent="0.2">
      <c r="A19" s="5064"/>
      <c r="B19" s="3018" t="s">
        <v>160</v>
      </c>
      <c r="C19" s="4396">
        <f>(SUM('ACTIVOS uni'!D20)+'Alumnos x PTC'!T153)/'Alumnos x PTC'!T20</f>
        <v>18.147106109324756</v>
      </c>
      <c r="D19" s="4396">
        <f>(SUM('ACTIVOS uni'!E20)+'Alumnos x PTC'!U153)/'Alumnos x PTC'!X20</f>
        <v>18.033843674456083</v>
      </c>
      <c r="E19" s="4396">
        <f>(SUM('ACTIVOS uni'!F20)+'Alumnos x PTC'!V153)/'Alumnos x PTC'!AB20</f>
        <v>18.071041541240216</v>
      </c>
      <c r="F19" s="4396">
        <f>(SUM('ACTIVOS uni'!G20)+'Alumnos x PTC'!W153)/'Alumnos x PTC'!AF20</f>
        <v>18.331398839303581</v>
      </c>
      <c r="G19" s="4396">
        <f>(SUM('ACTIVOS uni'!H20)+'Alumnos x PTC'!X153)/'Alumnos x PTC'!AJ20</f>
        <v>19.149959903769044</v>
      </c>
      <c r="H19" s="4396">
        <f>(SUM('ACTIVOS uni'!I20)+'Alumnos x PTC'!Y153)/'Alumnos x PTC'!AN20</f>
        <v>19.799274486094316</v>
      </c>
      <c r="I19" s="4396">
        <f>(SUM('ACTIVOS uni'!J20)+'Alumnos x PTC'!Z153)/'Alumnos x PTC'!AR20</f>
        <v>21.158592964824123</v>
      </c>
      <c r="J19" s="4396">
        <f>(SUM('ACTIVOS uni'!K20)+'Alumnos x PTC'!AA153)/'Alumnos x PTC'!AV20</f>
        <v>21.775955191038207</v>
      </c>
      <c r="K19" s="4396">
        <f>(SUM('ACTIVOS uni'!L20)+'Alumnos x PTC'!AB153)/'Alumnos x PTC'!AZ20</f>
        <v>22.755466399197591</v>
      </c>
      <c r="L19" s="4396">
        <f>(SUM('ACTIVOS uni'!M20)+'Alumnos x PTC'!AC153)/'Alumnos x PTC'!BD20</f>
        <v>23.427440110869135</v>
      </c>
      <c r="M19" s="4396">
        <f>(SUM('ACTIVOS uni'!N20)+'Alumnos x PTC'!AD153)/'Alumnos x PTC'!BH20</f>
        <v>23.728178090216755</v>
      </c>
      <c r="N19" s="4396">
        <f>(SUM('ACTIVOS uni'!O20)+'Alumnos x PTC'!AE153)/'Alumnos x PTC'!BL20</f>
        <v>23.809767625049229</v>
      </c>
      <c r="Q19" s="4401">
        <v>215</v>
      </c>
      <c r="R19" s="4403">
        <f>'Definitivo x categoría'!J88/2</f>
        <v>3</v>
      </c>
      <c r="S19" s="4403">
        <f>'Definitivo x categoría'!J123/3</f>
        <v>14.333333333333334</v>
      </c>
      <c r="T19" s="4404">
        <f t="shared" si="0"/>
        <v>232.33333333333334</v>
      </c>
      <c r="U19" s="4401">
        <v>219</v>
      </c>
      <c r="V19" s="4403">
        <f>'Definitivo x categoría'!N88/3</f>
        <v>1.6666666666666667</v>
      </c>
      <c r="W19" s="4403">
        <f>'Definitivo x categoría'!N123/3</f>
        <v>12.666666666666666</v>
      </c>
      <c r="X19" s="4404">
        <f t="shared" si="1"/>
        <v>233.33333333333331</v>
      </c>
      <c r="Y19" s="4401">
        <v>216</v>
      </c>
      <c r="Z19" s="4403">
        <f>'Definitivo x categoría'!R88/2</f>
        <v>3</v>
      </c>
      <c r="AA19" s="4403">
        <f>'Definitivo x categoría'!R123/3</f>
        <v>12</v>
      </c>
      <c r="AB19" s="4404">
        <f t="shared" si="2"/>
        <v>231</v>
      </c>
      <c r="AC19" s="4401">
        <v>220</v>
      </c>
      <c r="AD19" s="4403">
        <f>'Definitivo x categoría'!V88/2</f>
        <v>3.5</v>
      </c>
      <c r="AE19" s="4403">
        <f>'Definitivo x categoría'!V123/3</f>
        <v>10.333333333333334</v>
      </c>
      <c r="AF19" s="4404">
        <f t="shared" si="3"/>
        <v>233.83333333333334</v>
      </c>
      <c r="AG19" s="4401">
        <v>215</v>
      </c>
      <c r="AH19" s="4403">
        <f>'Definitivo x categoría'!Z88/2</f>
        <v>3.5</v>
      </c>
      <c r="AI19" s="4403">
        <f>'Definitivo x categoría'!Z123/3</f>
        <v>9.3333333333333339</v>
      </c>
      <c r="AJ19" s="4404">
        <f t="shared" si="4"/>
        <v>227.83333333333334</v>
      </c>
      <c r="AK19" s="4401">
        <v>210</v>
      </c>
      <c r="AL19" s="4403">
        <f>'Definitivo x categoría'!AD88/2</f>
        <v>4.5</v>
      </c>
      <c r="AM19" s="4403">
        <f>'Definitivo x categoría'!AD123/3</f>
        <v>9</v>
      </c>
      <c r="AN19" s="4404">
        <f t="shared" si="5"/>
        <v>223.5</v>
      </c>
      <c r="AO19" s="4401">
        <v>206</v>
      </c>
      <c r="AP19" s="4403">
        <f>'Definitivo x categoría'!AH88/2</f>
        <v>4</v>
      </c>
      <c r="AQ19" s="4403">
        <f>'Definitivo x categoría'!AH123/3</f>
        <v>9</v>
      </c>
      <c r="AR19" s="4404">
        <f t="shared" si="6"/>
        <v>219</v>
      </c>
      <c r="AS19" s="4401">
        <v>214</v>
      </c>
      <c r="AT19" s="4403">
        <f>'Definitivo x categoría'!AL88/2</f>
        <v>4</v>
      </c>
      <c r="AU19" s="4403">
        <f>'Definitivo x categoría'!AL123/3</f>
        <v>8.6666666666666661</v>
      </c>
      <c r="AV19" s="4404">
        <f t="shared" si="7"/>
        <v>226.66666666666666</v>
      </c>
      <c r="AW19" s="4401">
        <v>214</v>
      </c>
      <c r="AX19" s="4403">
        <f>'Definitivo x categoría'!AP88/2</f>
        <v>4</v>
      </c>
      <c r="AY19" s="4403">
        <f>'Definitivo x categoría'!AP123/3</f>
        <v>8.6666666666666661</v>
      </c>
      <c r="AZ19" s="4404">
        <f t="shared" si="8"/>
        <v>226.66666666666666</v>
      </c>
      <c r="BA19" s="4401">
        <v>221</v>
      </c>
      <c r="BB19" s="4403">
        <f>'Definitivo x categoría'!AT88/2</f>
        <v>3.5</v>
      </c>
      <c r="BC19" s="4403">
        <f>'Definitivo x categoría'!AT123/3</f>
        <v>7.333333333333333</v>
      </c>
      <c r="BD19" s="4404">
        <f t="shared" si="9"/>
        <v>231.83333333333334</v>
      </c>
      <c r="BE19" s="4401">
        <v>228</v>
      </c>
      <c r="BF19" s="4403">
        <f>'Definitivo x categoría'!AX88/2</f>
        <v>3.5</v>
      </c>
      <c r="BG19" s="4403">
        <f>'Definitivo x categoría'!AX123/3</f>
        <v>6.333333333333333</v>
      </c>
      <c r="BH19" s="4404">
        <f t="shared" si="10"/>
        <v>237.83333333333334</v>
      </c>
      <c r="BI19" s="4401">
        <v>229</v>
      </c>
      <c r="BJ19" s="4403">
        <f>'Definitivo x categoría'!BB88/2</f>
        <v>3.5</v>
      </c>
      <c r="BK19" s="4403">
        <f>'Definitivo x categoría'!BB123/3</f>
        <v>6.333333333333333</v>
      </c>
      <c r="BL19" s="4404">
        <f t="shared" si="11"/>
        <v>238.83333333333334</v>
      </c>
    </row>
    <row r="20" spans="1:64" x14ac:dyDescent="0.2">
      <c r="C20" s="4587"/>
      <c r="D20" s="4587"/>
      <c r="E20" s="4587"/>
      <c r="F20" s="4587"/>
      <c r="G20" s="4587"/>
      <c r="H20" s="4587"/>
      <c r="I20" s="4587"/>
      <c r="J20" s="4587"/>
      <c r="K20" s="4587"/>
      <c r="L20" s="4587"/>
      <c r="M20" s="4587"/>
      <c r="N20" s="4587"/>
      <c r="Q20" s="4401">
        <v>782</v>
      </c>
      <c r="R20" s="4403">
        <f>'Definitivo x categoría'!J89/2</f>
        <v>12</v>
      </c>
      <c r="S20" s="4403">
        <f>'Definitivo x categoría'!J124/3</f>
        <v>35.333333333333336</v>
      </c>
      <c r="T20" s="4404">
        <f t="shared" si="0"/>
        <v>829.33333333333337</v>
      </c>
      <c r="U20" s="4401">
        <v>787</v>
      </c>
      <c r="V20" s="4403">
        <f>'Definitivo x categoría'!N89/3</f>
        <v>7</v>
      </c>
      <c r="W20" s="4403">
        <f>'Definitivo x categoría'!N124/3</f>
        <v>33.333333333333336</v>
      </c>
      <c r="X20" s="4404">
        <f t="shared" si="1"/>
        <v>827.33333333333337</v>
      </c>
      <c r="Y20" s="4401">
        <v>787</v>
      </c>
      <c r="Z20" s="4403">
        <f>'Definitivo x categoría'!R89/2</f>
        <v>11.5</v>
      </c>
      <c r="AA20" s="4403">
        <f>'Definitivo x categoría'!R124/3</f>
        <v>32</v>
      </c>
      <c r="AB20" s="4404">
        <f t="shared" si="2"/>
        <v>830.5</v>
      </c>
      <c r="AC20" s="4401">
        <v>791</v>
      </c>
      <c r="AD20" s="4403">
        <f>'Definitivo x categoría'!V89/2</f>
        <v>11.5</v>
      </c>
      <c r="AE20" s="4403">
        <f>'Definitivo x categoría'!V124/3</f>
        <v>30.333333333333332</v>
      </c>
      <c r="AF20" s="4404">
        <f t="shared" si="3"/>
        <v>832.83333333333337</v>
      </c>
      <c r="AG20" s="4401">
        <v>793</v>
      </c>
      <c r="AH20" s="4403">
        <f>'Definitivo x categoría'!Z89/2</f>
        <v>10</v>
      </c>
      <c r="AI20" s="4403">
        <f>'Definitivo x categoría'!Z124/3</f>
        <v>28.333333333333332</v>
      </c>
      <c r="AJ20" s="4404">
        <f t="shared" si="4"/>
        <v>831.33333333333337</v>
      </c>
      <c r="AK20" s="4401">
        <v>789</v>
      </c>
      <c r="AL20" s="4403">
        <f>'Definitivo x categoría'!AD89/2</f>
        <v>11</v>
      </c>
      <c r="AM20" s="4403">
        <f>'Definitivo x categoría'!AD124/3</f>
        <v>27</v>
      </c>
      <c r="AN20" s="4404">
        <f t="shared" si="5"/>
        <v>827</v>
      </c>
      <c r="AO20" s="4401">
        <v>789</v>
      </c>
      <c r="AP20" s="4403">
        <f>'Definitivo x categoría'!AH89/2</f>
        <v>11.5</v>
      </c>
      <c r="AQ20" s="4403">
        <f>'Definitivo x categoría'!AH124/3</f>
        <v>28.666666666666668</v>
      </c>
      <c r="AR20" s="4404">
        <f t="shared" si="6"/>
        <v>829.16666666666663</v>
      </c>
      <c r="AS20" s="4401">
        <v>794</v>
      </c>
      <c r="AT20" s="4403">
        <f>'Definitivo x categoría'!AL89/2</f>
        <v>11.5</v>
      </c>
      <c r="AU20" s="4403">
        <f>'Definitivo x categoría'!AL124/3</f>
        <v>27.666666666666668</v>
      </c>
      <c r="AV20" s="4404">
        <f t="shared" si="7"/>
        <v>833.16666666666663</v>
      </c>
      <c r="AW20" s="4401">
        <v>791</v>
      </c>
      <c r="AX20" s="4403">
        <f>'Definitivo x categoría'!AP89/2</f>
        <v>11.5</v>
      </c>
      <c r="AY20" s="4403">
        <f>'Definitivo x categoría'!AP124/3</f>
        <v>28.333333333333332</v>
      </c>
      <c r="AZ20" s="4404">
        <f t="shared" si="8"/>
        <v>830.83333333333337</v>
      </c>
      <c r="BA20" s="4401">
        <v>804</v>
      </c>
      <c r="BB20" s="4403">
        <f>'Definitivo x categoría'!AT89/2</f>
        <v>11.5</v>
      </c>
      <c r="BC20" s="4403">
        <f>'Definitivo x categoría'!AT124/3</f>
        <v>26.333333333333332</v>
      </c>
      <c r="BD20" s="4404">
        <f t="shared" si="9"/>
        <v>841.83333333333337</v>
      </c>
      <c r="BE20" s="4401">
        <v>817</v>
      </c>
      <c r="BF20" s="4403">
        <f>'Definitivo x categoría'!AX89/2</f>
        <v>9.5</v>
      </c>
      <c r="BG20" s="4403">
        <f>'Definitivo x categoría'!AX124/3</f>
        <v>27</v>
      </c>
      <c r="BH20" s="4404">
        <f t="shared" si="10"/>
        <v>853.5</v>
      </c>
      <c r="BI20" s="4401">
        <v>813</v>
      </c>
      <c r="BJ20" s="4403">
        <f>'Definitivo x categoría'!BB89/2</f>
        <v>9</v>
      </c>
      <c r="BK20" s="4403">
        <f>'Definitivo x categoría'!BB124/3</f>
        <v>24.333333333333332</v>
      </c>
      <c r="BL20" s="4404">
        <f t="shared" si="11"/>
        <v>846.33333333333337</v>
      </c>
    </row>
    <row r="21" spans="1:64" ht="15" x14ac:dyDescent="0.2">
      <c r="A21" s="6300" t="s">
        <v>411</v>
      </c>
      <c r="B21" s="4148" t="s">
        <v>5</v>
      </c>
      <c r="C21" s="4392"/>
      <c r="D21" s="4392"/>
      <c r="E21" s="4392"/>
      <c r="F21" s="4392"/>
      <c r="G21" s="4392"/>
      <c r="H21" s="4392"/>
      <c r="I21" s="4392"/>
      <c r="J21" s="4392">
        <f>(SUM('ACTIVOS uni'!K22)+'Alumnos x PTC'!AA155)/'Alumnos x PTC'!AV22</f>
        <v>15</v>
      </c>
      <c r="K21" s="4392">
        <f>(SUM('ACTIVOS uni'!L22)+'Alumnos x PTC'!AB155)/'Alumnos x PTC'!AZ22</f>
        <v>11.285714285714286</v>
      </c>
      <c r="L21" s="4392">
        <f>(SUM('ACTIVOS uni'!M22)+'Alumnos x PTC'!AC155)/'Alumnos x PTC'!BD22</f>
        <v>15.375</v>
      </c>
      <c r="M21" s="4392">
        <f>(SUM('ACTIVOS uni'!N22)+'Alumnos x PTC'!AD155)/'Alumnos x PTC'!BH22</f>
        <v>13.9</v>
      </c>
      <c r="N21" s="4392">
        <f>(SUM('ACTIVOS uni'!O22)+'Alumnos x PTC'!AE155)/'Alumnos x PTC'!BL22</f>
        <v>11.533333333333333</v>
      </c>
      <c r="Q21" s="4401"/>
      <c r="R21" s="4403"/>
      <c r="S21" s="4403"/>
      <c r="T21" s="4404"/>
      <c r="U21" s="4401"/>
      <c r="V21" s="4403"/>
      <c r="W21" s="4403"/>
      <c r="X21" s="4404"/>
      <c r="Y21" s="4401"/>
      <c r="Z21" s="4403"/>
      <c r="AA21" s="4403"/>
      <c r="AB21" s="4404"/>
      <c r="AC21" s="4401"/>
      <c r="AD21" s="4403"/>
      <c r="AE21" s="4403"/>
      <c r="AF21" s="4404"/>
      <c r="AG21" s="4401"/>
      <c r="AH21" s="4403"/>
      <c r="AI21" s="4403"/>
      <c r="AJ21" s="4404"/>
      <c r="AK21" s="4401"/>
      <c r="AL21" s="4403"/>
      <c r="AM21" s="4403"/>
      <c r="AN21" s="4404"/>
      <c r="AO21" s="4401"/>
      <c r="AP21" s="4403"/>
      <c r="AQ21" s="4403"/>
      <c r="AR21" s="4404"/>
      <c r="AS21" s="4401"/>
      <c r="AT21" s="4403"/>
      <c r="AU21" s="4403"/>
      <c r="AV21" s="4404"/>
      <c r="AW21" s="4401"/>
      <c r="AX21" s="4403"/>
      <c r="AY21" s="4403"/>
      <c r="AZ21" s="4404"/>
      <c r="BA21" s="4401"/>
      <c r="BB21" s="4403"/>
      <c r="BC21" s="4403"/>
      <c r="BD21" s="4404"/>
      <c r="BE21" s="4401"/>
      <c r="BF21" s="4403"/>
      <c r="BG21" s="4403"/>
      <c r="BH21" s="4404"/>
      <c r="BI21" s="4401"/>
      <c r="BJ21" s="4403"/>
      <c r="BK21" s="4403"/>
      <c r="BL21" s="4404"/>
    </row>
    <row r="22" spans="1:64" ht="15" x14ac:dyDescent="0.2">
      <c r="A22" s="5103"/>
      <c r="B22" s="1926" t="s">
        <v>6</v>
      </c>
      <c r="C22" s="4393"/>
      <c r="D22" s="4393"/>
      <c r="E22" s="4393"/>
      <c r="F22" s="4393"/>
      <c r="G22" s="4393"/>
      <c r="H22" s="4393"/>
      <c r="I22" s="4393"/>
      <c r="J22" s="4393">
        <f>(SUM('ACTIVOS uni'!K23)+'Alumnos x PTC'!AA156)/'Alumnos x PTC'!AV23</f>
        <v>19.333333333333332</v>
      </c>
      <c r="K22" s="4393">
        <f>(SUM('ACTIVOS uni'!L23)+'Alumnos x PTC'!AB156)/'Alumnos x PTC'!AZ23</f>
        <v>13.333333333333334</v>
      </c>
      <c r="L22" s="4393">
        <f>(SUM('ACTIVOS uni'!M23)+'Alumnos x PTC'!AC156)/'Alumnos x PTC'!BD23</f>
        <v>19.714285714285715</v>
      </c>
      <c r="M22" s="4393">
        <f>(SUM('ACTIVOS uni'!N23)+'Alumnos x PTC'!AD156)/'Alumnos x PTC'!BH23</f>
        <v>13.23076923076923</v>
      </c>
      <c r="N22" s="4393">
        <f>(SUM('ACTIVOS uni'!O23)+'Alumnos x PTC'!AE156)/'Alumnos x PTC'!BL23</f>
        <v>16.384615384615383</v>
      </c>
      <c r="Q22" s="4401"/>
      <c r="R22" s="4403">
        <f>'Definitivo x categoría'!J91/2</f>
        <v>0</v>
      </c>
      <c r="S22" s="4403">
        <f>'Definitivo x categoría'!J126/3</f>
        <v>0</v>
      </c>
      <c r="T22" s="4404">
        <f t="shared" si="0"/>
        <v>0</v>
      </c>
      <c r="U22" s="4401"/>
      <c r="V22" s="4403">
        <f>'Definitivo x categoría'!N91/3</f>
        <v>0</v>
      </c>
      <c r="W22" s="4403">
        <f>'Definitivo x categoría'!N126/3</f>
        <v>0</v>
      </c>
      <c r="X22" s="4404">
        <f t="shared" si="1"/>
        <v>0</v>
      </c>
      <c r="Y22" s="4401"/>
      <c r="Z22" s="4403">
        <f>'Definitivo x categoría'!R91/2</f>
        <v>0</v>
      </c>
      <c r="AA22" s="4403">
        <f>'Definitivo x categoría'!R126/3</f>
        <v>0</v>
      </c>
      <c r="AB22" s="4404">
        <f t="shared" si="2"/>
        <v>0</v>
      </c>
      <c r="AC22" s="4401"/>
      <c r="AD22" s="4403">
        <f>'Definitivo x categoría'!V91/2</f>
        <v>0</v>
      </c>
      <c r="AE22" s="4403">
        <f>'Definitivo x categoría'!V126/3</f>
        <v>0</v>
      </c>
      <c r="AF22" s="4404">
        <f t="shared" si="3"/>
        <v>0</v>
      </c>
      <c r="AG22" s="4401"/>
      <c r="AH22" s="4403">
        <f>'Definitivo x categoría'!Z91/2</f>
        <v>0</v>
      </c>
      <c r="AI22" s="4403">
        <f>'Definitivo x categoría'!Z126/3</f>
        <v>0</v>
      </c>
      <c r="AJ22" s="4404">
        <f t="shared" si="4"/>
        <v>0</v>
      </c>
      <c r="AK22" s="4401"/>
      <c r="AL22" s="4403">
        <f>'Definitivo x categoría'!AD91/2</f>
        <v>0</v>
      </c>
      <c r="AM22" s="4403">
        <f>'Definitivo x categoría'!AD126/3</f>
        <v>0</v>
      </c>
      <c r="AN22" s="4404">
        <f t="shared" si="5"/>
        <v>0</v>
      </c>
      <c r="AO22" s="4401">
        <v>3</v>
      </c>
      <c r="AP22" s="4403">
        <f>'Definitivo x categoría'!AH91/2</f>
        <v>0</v>
      </c>
      <c r="AQ22" s="4403">
        <f>'Definitivo x categoría'!AH126/3</f>
        <v>0</v>
      </c>
      <c r="AR22" s="4404">
        <f t="shared" si="6"/>
        <v>3</v>
      </c>
      <c r="AS22" s="4401">
        <v>4</v>
      </c>
      <c r="AT22" s="4403">
        <f>'Definitivo x categoría'!AL91/2</f>
        <v>0</v>
      </c>
      <c r="AU22" s="4403">
        <f>'Definitivo x categoría'!AL126/3</f>
        <v>0</v>
      </c>
      <c r="AV22" s="4404">
        <f t="shared" si="7"/>
        <v>4</v>
      </c>
      <c r="AW22" s="4401">
        <v>7</v>
      </c>
      <c r="AX22" s="4403">
        <f>'Definitivo x categoría'!AP91/2</f>
        <v>0</v>
      </c>
      <c r="AY22" s="4403">
        <f>'Definitivo x categoría'!AP126/3</f>
        <v>0</v>
      </c>
      <c r="AZ22" s="4404">
        <f t="shared" si="8"/>
        <v>7</v>
      </c>
      <c r="BA22" s="4401">
        <v>8</v>
      </c>
      <c r="BB22" s="4403">
        <f>'Definitivo x categoría'!AT91/2</f>
        <v>0</v>
      </c>
      <c r="BC22" s="4403">
        <f>'Definitivo x categoría'!AT126/3</f>
        <v>0</v>
      </c>
      <c r="BD22" s="4404">
        <f t="shared" si="9"/>
        <v>8</v>
      </c>
      <c r="BE22" s="4401">
        <v>10</v>
      </c>
      <c r="BF22" s="4403">
        <f>'Definitivo x categoría'!AX91/2</f>
        <v>0</v>
      </c>
      <c r="BG22" s="4403">
        <f>'Definitivo x categoría'!AX126/3</f>
        <v>0</v>
      </c>
      <c r="BH22" s="4404">
        <f t="shared" si="10"/>
        <v>10</v>
      </c>
      <c r="BI22" s="4401">
        <v>15</v>
      </c>
      <c r="BJ22" s="4403">
        <f>'Definitivo x categoría'!BB91/2</f>
        <v>0</v>
      </c>
      <c r="BK22" s="4403">
        <f>'Definitivo x categoría'!BB126/3</f>
        <v>0</v>
      </c>
      <c r="BL22" s="4404">
        <f t="shared" si="11"/>
        <v>15</v>
      </c>
    </row>
    <row r="23" spans="1:64" ht="15" x14ac:dyDescent="0.2">
      <c r="A23" s="5103"/>
      <c r="B23" s="1926" t="s">
        <v>11</v>
      </c>
      <c r="C23" s="4393"/>
      <c r="D23" s="4393"/>
      <c r="E23" s="4393"/>
      <c r="F23" s="4393"/>
      <c r="G23" s="4393"/>
      <c r="H23" s="4393"/>
      <c r="I23" s="4393"/>
      <c r="J23" s="4393">
        <f>(SUM('ACTIVOS uni'!K24)+'Alumnos x PTC'!AA157)/'Alumnos x PTC'!AV24</f>
        <v>9.1666666666666661</v>
      </c>
      <c r="K23" s="4393">
        <f>(SUM('ACTIVOS uni'!L24)+'Alumnos x PTC'!AB157)/'Alumnos x PTC'!AZ24</f>
        <v>7.666666666666667</v>
      </c>
      <c r="L23" s="4393">
        <f>(SUM('ACTIVOS uni'!M24)+'Alumnos x PTC'!AC157)/'Alumnos x PTC'!BD24</f>
        <v>8.9230769230769234</v>
      </c>
      <c r="M23" s="4393">
        <f>(SUM('ACTIVOS uni'!N24)+'Alumnos x PTC'!AD157)/'Alumnos x PTC'!BH24</f>
        <v>11.307692307692308</v>
      </c>
      <c r="N23" s="4393">
        <f>(SUM('ACTIVOS uni'!O24)+'Alumnos x PTC'!AE157)/'Alumnos x PTC'!BL24</f>
        <v>14.857142857142858</v>
      </c>
      <c r="Q23" s="4401"/>
      <c r="R23" s="4403">
        <f>'Definitivo x categoría'!J92/2</f>
        <v>0</v>
      </c>
      <c r="S23" s="4403">
        <f>'Definitivo x categoría'!J127/3</f>
        <v>0</v>
      </c>
      <c r="T23" s="4404">
        <f t="shared" si="0"/>
        <v>0</v>
      </c>
      <c r="U23" s="4401"/>
      <c r="V23" s="4403">
        <f>'Definitivo x categoría'!N92/3</f>
        <v>0</v>
      </c>
      <c r="W23" s="4403">
        <f>'Definitivo x categoría'!N127/3</f>
        <v>0</v>
      </c>
      <c r="X23" s="4404">
        <f t="shared" si="1"/>
        <v>0</v>
      </c>
      <c r="Y23" s="4401"/>
      <c r="Z23" s="4403">
        <f>'Definitivo x categoría'!R92/2</f>
        <v>0</v>
      </c>
      <c r="AA23" s="4403">
        <f>'Definitivo x categoría'!R127/3</f>
        <v>0</v>
      </c>
      <c r="AB23" s="4404">
        <f t="shared" si="2"/>
        <v>0</v>
      </c>
      <c r="AC23" s="4401"/>
      <c r="AD23" s="4403">
        <f>'Definitivo x categoría'!V92/2</f>
        <v>0</v>
      </c>
      <c r="AE23" s="4403">
        <f>'Definitivo x categoría'!V127/3</f>
        <v>0</v>
      </c>
      <c r="AF23" s="4404">
        <f t="shared" si="3"/>
        <v>0</v>
      </c>
      <c r="AG23" s="4401"/>
      <c r="AH23" s="4403">
        <f>'Definitivo x categoría'!Z92/2</f>
        <v>0</v>
      </c>
      <c r="AI23" s="4403">
        <f>'Definitivo x categoría'!Z127/3</f>
        <v>0</v>
      </c>
      <c r="AJ23" s="4404">
        <f t="shared" si="4"/>
        <v>0</v>
      </c>
      <c r="AK23" s="4401"/>
      <c r="AL23" s="4403">
        <f>'Definitivo x categoría'!AD92/2</f>
        <v>0</v>
      </c>
      <c r="AM23" s="4403">
        <f>'Definitivo x categoría'!AD127/3</f>
        <v>0</v>
      </c>
      <c r="AN23" s="4404">
        <f t="shared" si="5"/>
        <v>0</v>
      </c>
      <c r="AO23" s="4401">
        <v>2</v>
      </c>
      <c r="AP23" s="4403">
        <f>'Definitivo x categoría'!AH92/2</f>
        <v>0</v>
      </c>
      <c r="AQ23" s="4403">
        <f>'Definitivo x categoría'!AH127/3</f>
        <v>0</v>
      </c>
      <c r="AR23" s="4404">
        <f t="shared" si="6"/>
        <v>2</v>
      </c>
      <c r="AS23" s="4401">
        <v>3</v>
      </c>
      <c r="AT23" s="4403">
        <f>'Definitivo x categoría'!AL92/2</f>
        <v>0</v>
      </c>
      <c r="AU23" s="4403">
        <f>'Definitivo x categoría'!AL127/3</f>
        <v>0</v>
      </c>
      <c r="AV23" s="4404">
        <f t="shared" si="7"/>
        <v>3</v>
      </c>
      <c r="AW23" s="4401">
        <v>6</v>
      </c>
      <c r="AX23" s="4403">
        <f>'Definitivo x categoría'!AP92/2</f>
        <v>0</v>
      </c>
      <c r="AY23" s="4403">
        <f>'Definitivo x categoría'!AP127/3</f>
        <v>0</v>
      </c>
      <c r="AZ23" s="4404">
        <f t="shared" si="8"/>
        <v>6</v>
      </c>
      <c r="BA23" s="4401">
        <v>7</v>
      </c>
      <c r="BB23" s="4403">
        <f>'Definitivo x categoría'!AT92/2</f>
        <v>0</v>
      </c>
      <c r="BC23" s="4403">
        <f>'Definitivo x categoría'!AT127/3</f>
        <v>0</v>
      </c>
      <c r="BD23" s="4404">
        <f t="shared" si="9"/>
        <v>7</v>
      </c>
      <c r="BE23" s="4401">
        <v>13</v>
      </c>
      <c r="BF23" s="4403">
        <f>'Definitivo x categoría'!AX92/2</f>
        <v>0</v>
      </c>
      <c r="BG23" s="4403">
        <f>'Definitivo x categoría'!AX127/3</f>
        <v>0</v>
      </c>
      <c r="BH23" s="4404">
        <f t="shared" si="10"/>
        <v>13</v>
      </c>
      <c r="BI23" s="4401">
        <v>13</v>
      </c>
      <c r="BJ23" s="4403">
        <f>'Definitivo x categoría'!BB92/2</f>
        <v>0</v>
      </c>
      <c r="BK23" s="4403">
        <f>'Definitivo x categoría'!BB127/3</f>
        <v>0</v>
      </c>
      <c r="BL23" s="4404">
        <f t="shared" si="11"/>
        <v>13</v>
      </c>
    </row>
    <row r="24" spans="1:64" ht="15" x14ac:dyDescent="0.2">
      <c r="A24" s="6301"/>
      <c r="B24" s="3020" t="s">
        <v>160</v>
      </c>
      <c r="C24" s="4397"/>
      <c r="D24" s="4397"/>
      <c r="E24" s="4397"/>
      <c r="F24" s="4397"/>
      <c r="G24" s="4397"/>
      <c r="H24" s="4397"/>
      <c r="I24" s="4397"/>
      <c r="J24" s="4397">
        <f>(SUM('ACTIVOS uni'!K25)+'Alumnos x PTC'!AA158)/'Alumnos x PTC'!AV25</f>
        <v>13.307692307692308</v>
      </c>
      <c r="K24" s="4397">
        <f>(SUM('ACTIVOS uni'!L25)+'Alumnos x PTC'!AB158)/'Alumnos x PTC'!AZ25</f>
        <v>10.363636363636363</v>
      </c>
      <c r="L24" s="4397">
        <f>(SUM('ACTIVOS uni'!M25)+'Alumnos x PTC'!AC158)/'Alumnos x PTC'!BD25</f>
        <v>13.464285714285714</v>
      </c>
      <c r="M24" s="4397">
        <f>(SUM('ACTIVOS uni'!N25)+'Alumnos x PTC'!AD158)/'Alumnos x PTC'!BH25</f>
        <v>12.722222222222221</v>
      </c>
      <c r="N24" s="4397">
        <f>(SUM('ACTIVOS uni'!O25)+'Alumnos x PTC'!AE158)/'Alumnos x PTC'!BL25</f>
        <v>14.142857142857142</v>
      </c>
      <c r="Q24" s="4401"/>
      <c r="R24" s="4403">
        <f>'Definitivo x categoría'!J93/2</f>
        <v>0</v>
      </c>
      <c r="S24" s="4403">
        <f>'Definitivo x categoría'!J128/3</f>
        <v>0</v>
      </c>
      <c r="T24" s="4404">
        <f t="shared" si="0"/>
        <v>0</v>
      </c>
      <c r="U24" s="4401"/>
      <c r="V24" s="4403">
        <f>'Definitivo x categoría'!N93/3</f>
        <v>0</v>
      </c>
      <c r="W24" s="4403">
        <f>'Definitivo x categoría'!N128/3</f>
        <v>0</v>
      </c>
      <c r="X24" s="4404">
        <f t="shared" si="1"/>
        <v>0</v>
      </c>
      <c r="Y24" s="4401"/>
      <c r="Z24" s="4403">
        <f>'Definitivo x categoría'!R93/2</f>
        <v>0</v>
      </c>
      <c r="AA24" s="4403">
        <f>'Definitivo x categoría'!R128/3</f>
        <v>0</v>
      </c>
      <c r="AB24" s="4404">
        <f t="shared" si="2"/>
        <v>0</v>
      </c>
      <c r="AC24" s="4401"/>
      <c r="AD24" s="4403">
        <f>'Definitivo x categoría'!V93/2</f>
        <v>0</v>
      </c>
      <c r="AE24" s="4403">
        <f>'Definitivo x categoría'!V128/3</f>
        <v>0</v>
      </c>
      <c r="AF24" s="4404">
        <f t="shared" si="3"/>
        <v>0</v>
      </c>
      <c r="AG24" s="4401"/>
      <c r="AH24" s="4403">
        <f>'Definitivo x categoría'!Z93/2</f>
        <v>0</v>
      </c>
      <c r="AI24" s="4403">
        <f>'Definitivo x categoría'!Z128/3</f>
        <v>0</v>
      </c>
      <c r="AJ24" s="4404">
        <f t="shared" si="4"/>
        <v>0</v>
      </c>
      <c r="AK24" s="4401">
        <v>1</v>
      </c>
      <c r="AL24" s="4403">
        <f>'Definitivo x categoría'!AD93/2</f>
        <v>0</v>
      </c>
      <c r="AM24" s="4403">
        <f>'Definitivo x categoría'!AD128/3</f>
        <v>0</v>
      </c>
      <c r="AN24" s="4404">
        <f t="shared" si="5"/>
        <v>1</v>
      </c>
      <c r="AO24" s="4401">
        <v>5</v>
      </c>
      <c r="AP24" s="4403">
        <f>'Definitivo x categoría'!AH93/2</f>
        <v>0</v>
      </c>
      <c r="AQ24" s="4403">
        <f>'Definitivo x categoría'!AH128/3</f>
        <v>0</v>
      </c>
      <c r="AR24" s="4404">
        <f t="shared" si="6"/>
        <v>5</v>
      </c>
      <c r="AS24" s="4401">
        <v>6</v>
      </c>
      <c r="AT24" s="4403">
        <f>'Definitivo x categoría'!AL93/2</f>
        <v>0</v>
      </c>
      <c r="AU24" s="4403">
        <f>'Definitivo x categoría'!AL128/3</f>
        <v>0</v>
      </c>
      <c r="AV24" s="4404">
        <f t="shared" si="7"/>
        <v>6</v>
      </c>
      <c r="AW24" s="4401">
        <v>9</v>
      </c>
      <c r="AX24" s="4403">
        <f>'Definitivo x categoría'!AP93/2</f>
        <v>0</v>
      </c>
      <c r="AY24" s="4403">
        <f>'Definitivo x categoría'!AP128/3</f>
        <v>0</v>
      </c>
      <c r="AZ24" s="4404">
        <f t="shared" si="8"/>
        <v>9</v>
      </c>
      <c r="BA24" s="4401">
        <v>13</v>
      </c>
      <c r="BB24" s="4403">
        <f>'Definitivo x categoría'!AT93/2</f>
        <v>0</v>
      </c>
      <c r="BC24" s="4403">
        <f>'Definitivo x categoría'!AT128/3</f>
        <v>0</v>
      </c>
      <c r="BD24" s="4404">
        <f t="shared" si="9"/>
        <v>13</v>
      </c>
      <c r="BE24" s="4401">
        <v>13</v>
      </c>
      <c r="BF24" s="4403">
        <f>'Definitivo x categoría'!AX93/2</f>
        <v>0</v>
      </c>
      <c r="BG24" s="4403">
        <f>'Definitivo x categoría'!AX128/3</f>
        <v>0</v>
      </c>
      <c r="BH24" s="4404">
        <f t="shared" si="10"/>
        <v>13</v>
      </c>
      <c r="BI24" s="4401">
        <v>14</v>
      </c>
      <c r="BJ24" s="4403">
        <f>'Definitivo x categoría'!BB93/2</f>
        <v>0</v>
      </c>
      <c r="BK24" s="4403">
        <f>'Definitivo x categoría'!BB128/3</f>
        <v>0</v>
      </c>
      <c r="BL24" s="4404">
        <f t="shared" si="11"/>
        <v>14</v>
      </c>
    </row>
    <row r="25" spans="1:64" x14ac:dyDescent="0.2">
      <c r="C25" s="4587"/>
      <c r="D25" s="4587"/>
      <c r="E25" s="4587"/>
      <c r="F25" s="4587"/>
      <c r="G25" s="4587"/>
      <c r="H25" s="4587"/>
      <c r="I25" s="4587"/>
      <c r="J25" s="4587"/>
      <c r="K25" s="4587"/>
      <c r="L25" s="4587"/>
      <c r="M25" s="4587"/>
      <c r="N25" s="4587"/>
      <c r="Q25" s="4401"/>
      <c r="R25" s="4403">
        <f>'Definitivo x categoría'!J94/2</f>
        <v>0</v>
      </c>
      <c r="S25" s="4403">
        <f>'Definitivo x categoría'!J129/3</f>
        <v>0</v>
      </c>
      <c r="T25" s="4404">
        <f t="shared" si="0"/>
        <v>0</v>
      </c>
      <c r="U25" s="4401"/>
      <c r="V25" s="4403">
        <f>'Definitivo x categoría'!N94/3</f>
        <v>0</v>
      </c>
      <c r="W25" s="4403">
        <f>'Definitivo x categoría'!N129/3</f>
        <v>0</v>
      </c>
      <c r="X25" s="4404">
        <f t="shared" si="1"/>
        <v>0</v>
      </c>
      <c r="Y25" s="4401"/>
      <c r="Z25" s="4403">
        <f>'Definitivo x categoría'!R94/2</f>
        <v>0</v>
      </c>
      <c r="AA25" s="4403">
        <f>'Definitivo x categoría'!R129/3</f>
        <v>0</v>
      </c>
      <c r="AB25" s="4404">
        <f t="shared" si="2"/>
        <v>0</v>
      </c>
      <c r="AC25" s="4401"/>
      <c r="AD25" s="4403">
        <f>'Definitivo x categoría'!V94/2</f>
        <v>0</v>
      </c>
      <c r="AE25" s="4403">
        <f>'Definitivo x categoría'!V129/3</f>
        <v>0</v>
      </c>
      <c r="AF25" s="4404">
        <f t="shared" si="3"/>
        <v>0</v>
      </c>
      <c r="AG25" s="4401"/>
      <c r="AH25" s="4403">
        <f>'Definitivo x categoría'!Z94/2</f>
        <v>0</v>
      </c>
      <c r="AI25" s="4403">
        <f>'Definitivo x categoría'!Z129/3</f>
        <v>0</v>
      </c>
      <c r="AJ25" s="4404">
        <f t="shared" si="4"/>
        <v>0</v>
      </c>
      <c r="AK25" s="4401">
        <v>1</v>
      </c>
      <c r="AL25" s="4403">
        <f>'Definitivo x categoría'!AD94/2</f>
        <v>0</v>
      </c>
      <c r="AM25" s="4403">
        <f>'Definitivo x categoría'!AD129/3</f>
        <v>0</v>
      </c>
      <c r="AN25" s="4404">
        <f t="shared" si="5"/>
        <v>1</v>
      </c>
      <c r="AO25" s="4401">
        <v>10</v>
      </c>
      <c r="AP25" s="4403">
        <f>'Definitivo x categoría'!AH94/2</f>
        <v>0</v>
      </c>
      <c r="AQ25" s="4403">
        <f>'Definitivo x categoría'!AH129/3</f>
        <v>0</v>
      </c>
      <c r="AR25" s="4404">
        <f t="shared" si="6"/>
        <v>10</v>
      </c>
      <c r="AS25" s="4401">
        <v>13</v>
      </c>
      <c r="AT25" s="4403">
        <f>'Definitivo x categoría'!AL94/2</f>
        <v>0</v>
      </c>
      <c r="AU25" s="4403">
        <f>'Definitivo x categoría'!AL129/3</f>
        <v>0</v>
      </c>
      <c r="AV25" s="4404">
        <f t="shared" si="7"/>
        <v>13</v>
      </c>
      <c r="AW25" s="4401">
        <v>22</v>
      </c>
      <c r="AX25" s="4403">
        <f>'Definitivo x categoría'!AP94/2</f>
        <v>0</v>
      </c>
      <c r="AY25" s="4403">
        <f>'Definitivo x categoría'!AP129/3</f>
        <v>0</v>
      </c>
      <c r="AZ25" s="4404">
        <f t="shared" si="8"/>
        <v>22</v>
      </c>
      <c r="BA25" s="4401">
        <v>28</v>
      </c>
      <c r="BB25" s="4403">
        <f>'Definitivo x categoría'!AT94/2</f>
        <v>0</v>
      </c>
      <c r="BC25" s="4403">
        <f>'Definitivo x categoría'!AT129/3</f>
        <v>0</v>
      </c>
      <c r="BD25" s="4404">
        <f t="shared" si="9"/>
        <v>28</v>
      </c>
      <c r="BE25" s="4401">
        <v>36</v>
      </c>
      <c r="BF25" s="4403">
        <f>'Definitivo x categoría'!AX94/2</f>
        <v>0</v>
      </c>
      <c r="BG25" s="4403">
        <f>'Definitivo x categoría'!AX129/3</f>
        <v>0</v>
      </c>
      <c r="BH25" s="4404">
        <f t="shared" si="10"/>
        <v>36</v>
      </c>
      <c r="BI25" s="4401">
        <v>42</v>
      </c>
      <c r="BJ25" s="4403">
        <f>'Definitivo x categoría'!BB94/2</f>
        <v>0</v>
      </c>
      <c r="BK25" s="4403">
        <f>'Definitivo x categoría'!BB129/3</f>
        <v>0</v>
      </c>
      <c r="BL25" s="4404">
        <f t="shared" si="11"/>
        <v>42</v>
      </c>
    </row>
    <row r="26" spans="1:64" ht="15" x14ac:dyDescent="0.2">
      <c r="A26" s="6302" t="s">
        <v>163</v>
      </c>
      <c r="B26" s="4148" t="s">
        <v>6</v>
      </c>
      <c r="C26" s="4392">
        <f>(SUM('ACTIVOS uni'!D27)+'Alumnos x PTC'!T160)/'Alumnos x PTC'!T27</f>
        <v>18.578610603290674</v>
      </c>
      <c r="D26" s="4392">
        <f>(SUM('ACTIVOS uni'!E27)+'Alumnos x PTC'!U160)/'Alumnos x PTC'!X27</f>
        <v>19.351526364477337</v>
      </c>
      <c r="E26" s="4392">
        <f>(SUM('ACTIVOS uni'!F27)+'Alumnos x PTC'!V160)/'Alumnos x PTC'!AB27</f>
        <v>19.776243093922652</v>
      </c>
      <c r="F26" s="4392">
        <f>(SUM('ACTIVOS uni'!G27)+'Alumnos x PTC'!W160)/'Alumnos x PTC'!AF27</f>
        <v>21.29032258064516</v>
      </c>
      <c r="G26" s="4392">
        <f>(SUM('ACTIVOS uni'!H27)+'Alumnos x PTC'!X160)/'Alumnos x PTC'!AJ27</f>
        <v>21.019755409219194</v>
      </c>
      <c r="H26" s="4392">
        <f>(SUM('ACTIVOS uni'!I27)+'Alumnos x PTC'!Y160)/'Alumnos x PTC'!AN27</f>
        <v>20.198620689655172</v>
      </c>
      <c r="I26" s="4392">
        <f>(SUM('ACTIVOS uni'!J27)+'Alumnos x PTC'!Z160)/'Alumnos x PTC'!AR27</f>
        <v>19.983493810178818</v>
      </c>
      <c r="J26" s="4392">
        <f>(SUM('ACTIVOS uni'!K27)+'Alumnos x PTC'!AA160)/'Alumnos x PTC'!AV27</f>
        <v>18.81203007518797</v>
      </c>
      <c r="K26" s="4392">
        <f>(SUM('ACTIVOS uni'!L27)+'Alumnos x PTC'!AB160)/'Alumnos x PTC'!AZ27</f>
        <v>18.819614711033275</v>
      </c>
      <c r="L26" s="4392">
        <f>(SUM('ACTIVOS uni'!M27)+'Alumnos x PTC'!AC160)/'Alumnos x PTC'!BD27</f>
        <v>19.087549494060713</v>
      </c>
      <c r="M26" s="4392">
        <f>(SUM('ACTIVOS uni'!N27)+'Alumnos x PTC'!AD160)/'Alumnos x PTC'!BH27</f>
        <v>19.095006628369418</v>
      </c>
      <c r="N26" s="4392">
        <f>(SUM('ACTIVOS uni'!O27)+'Alumnos x PTC'!AE160)/'Alumnos x PTC'!BL27</f>
        <v>19.231043710972344</v>
      </c>
      <c r="Q26" s="4401"/>
      <c r="R26" s="4403"/>
      <c r="S26" s="4403"/>
      <c r="T26" s="4404"/>
      <c r="U26" s="4401"/>
      <c r="V26" s="4403"/>
      <c r="W26" s="4403"/>
      <c r="X26" s="4404"/>
      <c r="Y26" s="4401"/>
      <c r="Z26" s="4403"/>
      <c r="AA26" s="4403"/>
      <c r="AB26" s="4404"/>
      <c r="AC26" s="4401"/>
      <c r="AD26" s="4403"/>
      <c r="AE26" s="4403"/>
      <c r="AF26" s="4404"/>
      <c r="AG26" s="4401"/>
      <c r="AH26" s="4403"/>
      <c r="AI26" s="4403"/>
      <c r="AJ26" s="4404"/>
      <c r="AK26" s="4401"/>
      <c r="AL26" s="4403"/>
      <c r="AM26" s="4403"/>
      <c r="AN26" s="4404"/>
      <c r="AO26" s="4401"/>
      <c r="AP26" s="4403"/>
      <c r="AQ26" s="4403"/>
      <c r="AR26" s="4404"/>
      <c r="AS26" s="4401"/>
      <c r="AT26" s="4403"/>
      <c r="AU26" s="4403"/>
      <c r="AV26" s="4404"/>
      <c r="AW26" s="4401"/>
      <c r="AX26" s="4403"/>
      <c r="AY26" s="4403"/>
      <c r="AZ26" s="4404"/>
      <c r="BA26" s="4401"/>
      <c r="BB26" s="4403"/>
      <c r="BC26" s="4403"/>
      <c r="BD26" s="4404"/>
      <c r="BE26" s="4401"/>
      <c r="BF26" s="4403"/>
      <c r="BG26" s="4403"/>
      <c r="BH26" s="4404"/>
      <c r="BI26" s="4401"/>
      <c r="BJ26" s="4403"/>
      <c r="BK26" s="4403"/>
      <c r="BL26" s="4404"/>
    </row>
    <row r="27" spans="1:64" ht="15" x14ac:dyDescent="0.2">
      <c r="A27" s="5073"/>
      <c r="B27" s="1926" t="s">
        <v>11</v>
      </c>
      <c r="C27" s="4393">
        <f>(SUM('ACTIVOS uni'!D28)+'Alumnos x PTC'!T161)/'Alumnos x PTC'!T28</f>
        <v>20.26672735548475</v>
      </c>
      <c r="D27" s="4393">
        <f>(SUM('ACTIVOS uni'!E28)+'Alumnos x PTC'!U161)/'Alumnos x PTC'!X28</f>
        <v>21.828054298642531</v>
      </c>
      <c r="E27" s="4393">
        <f>(SUM('ACTIVOS uni'!F28)+'Alumnos x PTC'!V161)/'Alumnos x PTC'!AB28</f>
        <v>22.969424460431654</v>
      </c>
      <c r="F27" s="4393">
        <f>(SUM('ACTIVOS uni'!G28)+'Alumnos x PTC'!W161)/'Alumnos x PTC'!AF28</f>
        <v>23.75967228038234</v>
      </c>
      <c r="G27" s="4393">
        <f>(SUM('ACTIVOS uni'!H28)+'Alumnos x PTC'!X161)/'Alumnos x PTC'!AJ28</f>
        <v>23.693933823529409</v>
      </c>
      <c r="H27" s="4393">
        <f>(SUM('ACTIVOS uni'!I28)+'Alumnos x PTC'!Y161)/'Alumnos x PTC'!AN28</f>
        <v>23.798961774421898</v>
      </c>
      <c r="I27" s="4393">
        <f>(SUM('ACTIVOS uni'!J28)+'Alumnos x PTC'!Z161)/'Alumnos x PTC'!AR28</f>
        <v>23.450980392156861</v>
      </c>
      <c r="J27" s="4393">
        <f>(SUM('ACTIVOS uni'!K28)+'Alumnos x PTC'!AA161)/'Alumnos x PTC'!AV28</f>
        <v>23.309312119794104</v>
      </c>
      <c r="K27" s="4393">
        <f>(SUM('ACTIVOS uni'!L28)+'Alumnos x PTC'!AB161)/'Alumnos x PTC'!AZ28</f>
        <v>22.759191176470587</v>
      </c>
      <c r="L27" s="4393">
        <f>(SUM('ACTIVOS uni'!M28)+'Alumnos x PTC'!AC161)/'Alumnos x PTC'!BD28</f>
        <v>22.942298955020448</v>
      </c>
      <c r="M27" s="4393">
        <f>(SUM('ACTIVOS uni'!N28)+'Alumnos x PTC'!AD161)/'Alumnos x PTC'!BH28</f>
        <v>22.346666666666668</v>
      </c>
      <c r="N27" s="4393">
        <f>(SUM('ACTIVOS uni'!O28)+'Alumnos x PTC'!AE161)/'Alumnos x PTC'!BL28</f>
        <v>22.712195121951222</v>
      </c>
      <c r="Q27" s="4401">
        <v>347</v>
      </c>
      <c r="R27" s="4403">
        <f>'Definitivo x categoría'!J96/2</f>
        <v>16</v>
      </c>
      <c r="S27" s="4403">
        <f>'Definitivo x categoría'!J131/3</f>
        <v>1.6666666666666667</v>
      </c>
      <c r="T27" s="4404">
        <f t="shared" si="0"/>
        <v>364.66666666666669</v>
      </c>
      <c r="U27" s="4401">
        <v>347</v>
      </c>
      <c r="V27" s="4403">
        <f>'Definitivo x categoría'!N96/3</f>
        <v>11.333333333333334</v>
      </c>
      <c r="W27" s="4403">
        <f>'Definitivo x categoría'!N131/3</f>
        <v>2</v>
      </c>
      <c r="X27" s="4404">
        <f t="shared" si="1"/>
        <v>360.33333333333331</v>
      </c>
      <c r="Y27" s="4401">
        <v>340</v>
      </c>
      <c r="Z27" s="4403">
        <f>'Definitivo x categoría'!R96/2</f>
        <v>20</v>
      </c>
      <c r="AA27" s="4403">
        <f>'Definitivo x categoría'!R131/3</f>
        <v>2</v>
      </c>
      <c r="AB27" s="4404">
        <f t="shared" si="2"/>
        <v>362</v>
      </c>
      <c r="AC27" s="4401">
        <v>326</v>
      </c>
      <c r="AD27" s="4403">
        <f>'Definitivo x categoría'!V96/2</f>
        <v>18.5</v>
      </c>
      <c r="AE27" s="4403">
        <f>'Definitivo x categoría'!V131/3</f>
        <v>1.6666666666666667</v>
      </c>
      <c r="AF27" s="4404">
        <f t="shared" si="3"/>
        <v>346.16666666666669</v>
      </c>
      <c r="AG27" s="4401">
        <v>335</v>
      </c>
      <c r="AH27" s="4403">
        <f>'Definitivo x categoría'!Z96/2</f>
        <v>17</v>
      </c>
      <c r="AI27" s="4403">
        <f>'Definitivo x categoría'!Z131/3</f>
        <v>2.3333333333333335</v>
      </c>
      <c r="AJ27" s="4404">
        <f t="shared" si="4"/>
        <v>354.33333333333331</v>
      </c>
      <c r="AK27" s="4401">
        <v>344</v>
      </c>
      <c r="AL27" s="4403">
        <f>'Definitivo x categoría'!AD96/2</f>
        <v>16.5</v>
      </c>
      <c r="AM27" s="4403">
        <f>'Definitivo x categoría'!AD131/3</f>
        <v>2</v>
      </c>
      <c r="AN27" s="4404">
        <f t="shared" si="5"/>
        <v>362.5</v>
      </c>
      <c r="AO27" s="4401">
        <v>342</v>
      </c>
      <c r="AP27" s="4403">
        <f>'Definitivo x categoría'!AH96/2</f>
        <v>16.5</v>
      </c>
      <c r="AQ27" s="4403">
        <f>'Definitivo x categoría'!AH131/3</f>
        <v>5</v>
      </c>
      <c r="AR27" s="4404">
        <f t="shared" si="6"/>
        <v>363.5</v>
      </c>
      <c r="AS27" s="4401">
        <v>356</v>
      </c>
      <c r="AT27" s="4403">
        <f>'Definitivo x categoría'!AL96/2</f>
        <v>15.5</v>
      </c>
      <c r="AU27" s="4403">
        <f>'Definitivo x categoría'!AL131/3</f>
        <v>5.333333333333333</v>
      </c>
      <c r="AV27" s="4404">
        <f t="shared" si="7"/>
        <v>376.83333333333331</v>
      </c>
      <c r="AW27" s="4401">
        <v>363</v>
      </c>
      <c r="AX27" s="4403">
        <f>'Definitivo x categoría'!AP96/2</f>
        <v>13</v>
      </c>
      <c r="AY27" s="4403">
        <f>'Definitivo x categoría'!AP131/3</f>
        <v>4.666666666666667</v>
      </c>
      <c r="AZ27" s="4404">
        <f t="shared" si="8"/>
        <v>380.66666666666669</v>
      </c>
      <c r="BA27" s="4401">
        <v>363</v>
      </c>
      <c r="BB27" s="4403">
        <f>'Definitivo x categoría'!AT96/2</f>
        <v>11.5</v>
      </c>
      <c r="BC27" s="4403">
        <f>'Definitivo x categoría'!AT131/3</f>
        <v>4.333333333333333</v>
      </c>
      <c r="BD27" s="4404">
        <f t="shared" si="9"/>
        <v>378.83333333333331</v>
      </c>
      <c r="BE27" s="4401">
        <v>361</v>
      </c>
      <c r="BF27" s="4403">
        <f>'Definitivo x categoría'!AX96/2</f>
        <v>11.5</v>
      </c>
      <c r="BG27" s="4403">
        <f>'Definitivo x categoría'!AX131/3</f>
        <v>4.666666666666667</v>
      </c>
      <c r="BH27" s="4404">
        <f t="shared" si="10"/>
        <v>377.16666666666669</v>
      </c>
      <c r="BI27" s="4401">
        <v>358</v>
      </c>
      <c r="BJ27" s="4403">
        <f>'Definitivo x categoría'!BB96/2</f>
        <v>12</v>
      </c>
      <c r="BK27" s="4403">
        <f>'Definitivo x categoría'!BB131/3</f>
        <v>3.6666666666666665</v>
      </c>
      <c r="BL27" s="4404">
        <f t="shared" si="11"/>
        <v>373.66666666666669</v>
      </c>
    </row>
    <row r="28" spans="1:64" ht="15" x14ac:dyDescent="0.2">
      <c r="A28" s="5073"/>
      <c r="B28" s="1926" t="s">
        <v>7</v>
      </c>
      <c r="C28" s="4393">
        <f>(SUM('ACTIVOS uni'!D29)+'Alumnos x PTC'!T162)/'Alumnos x PTC'!T29</f>
        <v>22.008733624454148</v>
      </c>
      <c r="D28" s="4393">
        <f>(SUM('ACTIVOS uni'!E29)+'Alumnos x PTC'!U162)/'Alumnos x PTC'!X29</f>
        <v>23.617449664429529</v>
      </c>
      <c r="E28" s="4393">
        <f>(SUM('ACTIVOS uni'!F29)+'Alumnos x PTC'!V162)/'Alumnos x PTC'!AB29</f>
        <v>23.174431202600214</v>
      </c>
      <c r="F28" s="4393">
        <f>(SUM('ACTIVOS uni'!G29)+'Alumnos x PTC'!W162)/'Alumnos x PTC'!AF29</f>
        <v>23.452173913043477</v>
      </c>
      <c r="G28" s="4393">
        <f>(SUM('ACTIVOS uni'!H29)+'Alumnos x PTC'!X162)/'Alumnos x PTC'!AJ29</f>
        <v>23.855895196506552</v>
      </c>
      <c r="H28" s="4393">
        <f>(SUM('ACTIVOS uni'!I29)+'Alumnos x PTC'!Y162)/'Alumnos x PTC'!AN29</f>
        <v>22.779768177028451</v>
      </c>
      <c r="I28" s="4393">
        <f>(SUM('ACTIVOS uni'!J29)+'Alumnos x PTC'!Z162)/'Alumnos x PTC'!AR29</f>
        <v>22.146596858638745</v>
      </c>
      <c r="J28" s="4393">
        <f>(SUM('ACTIVOS uni'!K29)+'Alumnos x PTC'!AA162)/'Alumnos x PTC'!AV29</f>
        <v>21.736082474226805</v>
      </c>
      <c r="K28" s="4393">
        <f>(SUM('ACTIVOS uni'!L29)+'Alumnos x PTC'!AB162)/'Alumnos x PTC'!AZ29</f>
        <v>21.778242677824267</v>
      </c>
      <c r="L28" s="4393">
        <f>(SUM('ACTIVOS uni'!M29)+'Alumnos x PTC'!AC162)/'Alumnos x PTC'!BD29</f>
        <v>22.690451206715633</v>
      </c>
      <c r="M28" s="4393">
        <f>(SUM('ACTIVOS uni'!N29)+'Alumnos x PTC'!AD162)/'Alumnos x PTC'!BH29</f>
        <v>21.576805696846389</v>
      </c>
      <c r="N28" s="4393">
        <f>(SUM('ACTIVOS uni'!O29)+'Alumnos x PTC'!AE162)/'Alumnos x PTC'!BL29</f>
        <v>22.22360248447205</v>
      </c>
      <c r="Q28" s="4401">
        <v>352</v>
      </c>
      <c r="R28" s="4403">
        <f>'Definitivo x categoría'!J97/2</f>
        <v>13.5</v>
      </c>
      <c r="S28" s="4403">
        <f>'Definitivo x categoría'!J132/3</f>
        <v>0.66666666666666663</v>
      </c>
      <c r="T28" s="4404">
        <f t="shared" si="0"/>
        <v>366.16666666666669</v>
      </c>
      <c r="U28" s="4401">
        <v>358</v>
      </c>
      <c r="V28" s="4403">
        <f>'Definitivo x categoría'!N97/3</f>
        <v>9.6666666666666661</v>
      </c>
      <c r="W28" s="4403">
        <f>'Definitivo x categoría'!N132/3</f>
        <v>0.66666666666666663</v>
      </c>
      <c r="X28" s="4404">
        <f t="shared" si="1"/>
        <v>368.33333333333337</v>
      </c>
      <c r="Y28" s="4401">
        <v>355</v>
      </c>
      <c r="Z28" s="4403">
        <f>'Definitivo x categoría'!R97/2</f>
        <v>15</v>
      </c>
      <c r="AA28" s="4403">
        <f>'Definitivo x categoría'!R132/3</f>
        <v>0.66666666666666663</v>
      </c>
      <c r="AB28" s="4404">
        <f t="shared" si="2"/>
        <v>370.66666666666669</v>
      </c>
      <c r="AC28" s="4401">
        <v>351</v>
      </c>
      <c r="AD28" s="4403">
        <f>'Definitivo x categoría'!V97/2</f>
        <v>14.5</v>
      </c>
      <c r="AE28" s="4403">
        <f>'Definitivo x categoría'!V132/3</f>
        <v>0.66666666666666663</v>
      </c>
      <c r="AF28" s="4404">
        <f t="shared" si="3"/>
        <v>366.16666666666669</v>
      </c>
      <c r="AG28" s="4401">
        <v>346</v>
      </c>
      <c r="AH28" s="4403">
        <f>'Definitivo x categoría'!Z97/2</f>
        <v>16</v>
      </c>
      <c r="AI28" s="4403">
        <f>'Definitivo x categoría'!Z132/3</f>
        <v>0.66666666666666663</v>
      </c>
      <c r="AJ28" s="4404">
        <f t="shared" si="4"/>
        <v>362.66666666666669</v>
      </c>
      <c r="AK28" s="4401">
        <v>336</v>
      </c>
      <c r="AL28" s="4403">
        <f>'Definitivo x categoría'!AD97/2</f>
        <v>16.5</v>
      </c>
      <c r="AM28" s="4403">
        <f>'Definitivo x categoría'!AD132/3</f>
        <v>0.66666666666666663</v>
      </c>
      <c r="AN28" s="4404">
        <f t="shared" si="5"/>
        <v>353.16666666666669</v>
      </c>
      <c r="AO28" s="4401">
        <v>340</v>
      </c>
      <c r="AP28" s="4403">
        <f>'Definitivo x categoría'!AH97/2</f>
        <v>16</v>
      </c>
      <c r="AQ28" s="4403">
        <f>'Definitivo x categoría'!AH132/3</f>
        <v>1</v>
      </c>
      <c r="AR28" s="4404">
        <f t="shared" si="6"/>
        <v>357</v>
      </c>
      <c r="AS28" s="4401">
        <v>340</v>
      </c>
      <c r="AT28" s="4403">
        <f>'Definitivo x categoría'!AL97/2</f>
        <v>15.5</v>
      </c>
      <c r="AU28" s="4403">
        <f>'Definitivo x categoría'!AL132/3</f>
        <v>0.66666666666666663</v>
      </c>
      <c r="AV28" s="4404">
        <f t="shared" si="7"/>
        <v>356.16666666666669</v>
      </c>
      <c r="AW28" s="4401">
        <v>348</v>
      </c>
      <c r="AX28" s="4403">
        <f>'Definitivo x categoría'!AP97/2</f>
        <v>14</v>
      </c>
      <c r="AY28" s="4403">
        <f>'Definitivo x categoría'!AP132/3</f>
        <v>0.66666666666666663</v>
      </c>
      <c r="AZ28" s="4404">
        <f t="shared" si="8"/>
        <v>362.66666666666669</v>
      </c>
      <c r="BA28" s="4401">
        <v>349</v>
      </c>
      <c r="BB28" s="4403">
        <f>'Definitivo x categoría'!AT97/2</f>
        <v>16.5</v>
      </c>
      <c r="BC28" s="4403">
        <f>'Definitivo x categoría'!AT132/3</f>
        <v>1.3333333333333333</v>
      </c>
      <c r="BD28" s="4404">
        <f t="shared" si="9"/>
        <v>366.83333333333331</v>
      </c>
      <c r="BE28" s="4401">
        <v>353</v>
      </c>
      <c r="BF28" s="4403">
        <f>'Definitivo x categoría'!AX97/2</f>
        <v>19</v>
      </c>
      <c r="BG28" s="4403">
        <f>'Definitivo x categoría'!AX132/3</f>
        <v>3</v>
      </c>
      <c r="BH28" s="4404">
        <f t="shared" si="10"/>
        <v>375</v>
      </c>
      <c r="BI28" s="4401">
        <v>355</v>
      </c>
      <c r="BJ28" s="4403">
        <f>'Definitivo x categoría'!BB97/2</f>
        <v>18.5</v>
      </c>
      <c r="BK28" s="4403">
        <f>'Definitivo x categoría'!BB132/3</f>
        <v>2.3333333333333335</v>
      </c>
      <c r="BL28" s="4404">
        <f t="shared" si="11"/>
        <v>375.83333333333331</v>
      </c>
    </row>
    <row r="29" spans="1:64" ht="15" x14ac:dyDescent="0.2">
      <c r="A29" s="5074"/>
      <c r="B29" s="3017" t="s">
        <v>160</v>
      </c>
      <c r="C29" s="4398">
        <f>(SUM('ACTIVOS uni'!D30)+'Alumnos x PTC'!T163)/'Alumnos x PTC'!T30</f>
        <v>19.870967741935484</v>
      </c>
      <c r="D29" s="4398">
        <f>(SUM('ACTIVOS uni'!E30)+'Alumnos x PTC'!U163)/'Alumnos x PTC'!X30</f>
        <v>21.115077857956706</v>
      </c>
      <c r="E29" s="4398">
        <f>(SUM('ACTIVOS uni'!F30)+'Alumnos x PTC'!V163)/'Alumnos x PTC'!AB30</f>
        <v>21.701071630005639</v>
      </c>
      <c r="F29" s="4398">
        <f>(SUM('ACTIVOS uni'!G30)+'Alumnos x PTC'!W163)/'Alumnos x PTC'!AF30</f>
        <v>22.717751251443975</v>
      </c>
      <c r="G29" s="4398">
        <f>(SUM('ACTIVOS uni'!H30)+'Alumnos x PTC'!X163)/'Alumnos x PTC'!AJ30</f>
        <v>22.632809505557685</v>
      </c>
      <c r="H29" s="4398">
        <f>(SUM('ACTIVOS uni'!I30)+'Alumnos x PTC'!Y163)/'Alumnos x PTC'!AN30</f>
        <v>22.120923135609385</v>
      </c>
      <c r="I29" s="4398">
        <f>(SUM('ACTIVOS uni'!J30)+'Alumnos x PTC'!Z163)/'Alumnos x PTC'!AR30</f>
        <v>21.78211443728685</v>
      </c>
      <c r="J29" s="4398">
        <f>(SUM('ACTIVOS uni'!K30)+'Alumnos x PTC'!AA163)/'Alumnos x PTC'!AV30</f>
        <v>21.130774962742176</v>
      </c>
      <c r="K29" s="4398">
        <f>(SUM('ACTIVOS uni'!L30)+'Alumnos x PTC'!AB163)/'Alumnos x PTC'!AZ30</f>
        <v>20.924667651403251</v>
      </c>
      <c r="L29" s="4398">
        <f>(SUM('ACTIVOS uni'!M30)+'Alumnos x PTC'!AC163)/'Alumnos x PTC'!BD30</f>
        <v>21.28358208955224</v>
      </c>
      <c r="M29" s="4398">
        <f>(SUM('ACTIVOS uni'!N30)+'Alumnos x PTC'!AD163)/'Alumnos x PTC'!BH30</f>
        <v>20.870087336244541</v>
      </c>
      <c r="N29" s="4398">
        <f>(SUM('ACTIVOS uni'!O30)+'Alumnos x PTC'!AE163)/'Alumnos x PTC'!BL30</f>
        <v>21.197144426139484</v>
      </c>
      <c r="Q29" s="4401">
        <v>139</v>
      </c>
      <c r="R29" s="4403">
        <f>'Definitivo x categoría'!J98/2</f>
        <v>12</v>
      </c>
      <c r="S29" s="4403">
        <f>'Definitivo x categoría'!J133/3</f>
        <v>1.6666666666666667</v>
      </c>
      <c r="T29" s="4404">
        <f t="shared" si="0"/>
        <v>152.66666666666666</v>
      </c>
      <c r="U29" s="4401">
        <v>139</v>
      </c>
      <c r="V29" s="4403">
        <f>'Definitivo x categoría'!N98/3</f>
        <v>8.6666666666666661</v>
      </c>
      <c r="W29" s="4403">
        <f>'Definitivo x categoría'!N133/3</f>
        <v>1.3333333333333333</v>
      </c>
      <c r="X29" s="4404">
        <f t="shared" si="1"/>
        <v>149</v>
      </c>
      <c r="Y29" s="4401">
        <v>139</v>
      </c>
      <c r="Z29" s="4403">
        <f>'Definitivo x categoría'!R98/2</f>
        <v>13.5</v>
      </c>
      <c r="AA29" s="4403">
        <f>'Definitivo x categoría'!R133/3</f>
        <v>1.3333333333333333</v>
      </c>
      <c r="AB29" s="4404">
        <f t="shared" si="2"/>
        <v>153.83333333333334</v>
      </c>
      <c r="AC29" s="4401">
        <v>139</v>
      </c>
      <c r="AD29" s="4403">
        <f>'Definitivo x categoría'!V98/2</f>
        <v>13</v>
      </c>
      <c r="AE29" s="4403">
        <f>'Definitivo x categoría'!V133/3</f>
        <v>1.3333333333333333</v>
      </c>
      <c r="AF29" s="4404">
        <f t="shared" si="3"/>
        <v>153.33333333333334</v>
      </c>
      <c r="AG29" s="4401">
        <v>138</v>
      </c>
      <c r="AH29" s="4403">
        <f>'Definitivo x categoría'!Z98/2</f>
        <v>13</v>
      </c>
      <c r="AI29" s="4403">
        <f>'Definitivo x categoría'!Z133/3</f>
        <v>1.6666666666666667</v>
      </c>
      <c r="AJ29" s="4404">
        <f t="shared" si="4"/>
        <v>152.66666666666666</v>
      </c>
      <c r="AK29" s="4401">
        <v>140</v>
      </c>
      <c r="AL29" s="4403">
        <f>'Definitivo x categoría'!AD98/2</f>
        <v>15.5</v>
      </c>
      <c r="AM29" s="4403">
        <f>'Definitivo x categoría'!AD133/3</f>
        <v>2.6666666666666665</v>
      </c>
      <c r="AN29" s="4404">
        <f t="shared" si="5"/>
        <v>158.16666666666666</v>
      </c>
      <c r="AO29" s="4401">
        <v>142</v>
      </c>
      <c r="AP29" s="4403">
        <f>'Definitivo x categoría'!AH98/2</f>
        <v>14.5</v>
      </c>
      <c r="AQ29" s="4403">
        <f>'Definitivo x categoría'!AH133/3</f>
        <v>2.6666666666666665</v>
      </c>
      <c r="AR29" s="4404">
        <f t="shared" si="6"/>
        <v>159.16666666666666</v>
      </c>
      <c r="AS29" s="4401">
        <v>143</v>
      </c>
      <c r="AT29" s="4403">
        <f>'Definitivo x categoría'!AL98/2</f>
        <v>16</v>
      </c>
      <c r="AU29" s="4403">
        <f>'Definitivo x categoría'!AL133/3</f>
        <v>2.6666666666666665</v>
      </c>
      <c r="AV29" s="4404">
        <f t="shared" si="7"/>
        <v>161.66666666666666</v>
      </c>
      <c r="AW29" s="4401">
        <v>141</v>
      </c>
      <c r="AX29" s="4403">
        <f>'Definitivo x categoría'!AP98/2</f>
        <v>16</v>
      </c>
      <c r="AY29" s="4403">
        <f>'Definitivo x categoría'!AP133/3</f>
        <v>2.3333333333333335</v>
      </c>
      <c r="AZ29" s="4404">
        <f t="shared" si="8"/>
        <v>159.33333333333334</v>
      </c>
      <c r="BA29" s="4401">
        <v>141</v>
      </c>
      <c r="BB29" s="4403">
        <f>'Definitivo x categoría'!AT98/2</f>
        <v>15.5</v>
      </c>
      <c r="BC29" s="4403">
        <f>'Definitivo x categoría'!AT133/3</f>
        <v>2.3333333333333335</v>
      </c>
      <c r="BD29" s="4404">
        <f t="shared" si="9"/>
        <v>158.83333333333334</v>
      </c>
      <c r="BE29" s="4401">
        <v>146</v>
      </c>
      <c r="BF29" s="4403">
        <f>'Definitivo x categoría'!AX98/2</f>
        <v>15.5</v>
      </c>
      <c r="BG29" s="4403">
        <f>'Definitivo x categoría'!AX133/3</f>
        <v>2.3333333333333335</v>
      </c>
      <c r="BH29" s="4404">
        <f t="shared" si="10"/>
        <v>163.83333333333334</v>
      </c>
      <c r="BI29" s="4401">
        <v>143</v>
      </c>
      <c r="BJ29" s="4403">
        <f>'Definitivo x categoría'!BB98/2</f>
        <v>16</v>
      </c>
      <c r="BK29" s="4403">
        <f>'Definitivo x categoría'!BB133/3</f>
        <v>2</v>
      </c>
      <c r="BL29" s="4404">
        <f t="shared" si="11"/>
        <v>161</v>
      </c>
    </row>
    <row r="30" spans="1:64" ht="15" x14ac:dyDescent="0.2">
      <c r="A30" s="1925"/>
      <c r="B30" s="1925"/>
      <c r="C30" s="4587"/>
      <c r="D30" s="4587"/>
      <c r="E30" s="4587"/>
      <c r="F30" s="4587"/>
      <c r="G30" s="4587"/>
      <c r="H30" s="4587"/>
      <c r="I30" s="4587"/>
      <c r="J30" s="4587"/>
      <c r="K30" s="4587"/>
      <c r="L30" s="4587"/>
      <c r="M30" s="4587"/>
      <c r="N30" s="4587"/>
      <c r="Q30" s="4401">
        <v>838</v>
      </c>
      <c r="R30" s="4403">
        <f>'Definitivo x categoría'!J99/2</f>
        <v>41.5</v>
      </c>
      <c r="S30" s="4403">
        <f>'Definitivo x categoría'!J134/3</f>
        <v>4</v>
      </c>
      <c r="T30" s="4404">
        <f t="shared" si="0"/>
        <v>883.5</v>
      </c>
      <c r="U30" s="4401">
        <v>844</v>
      </c>
      <c r="V30" s="4403">
        <f>'Definitivo x categoría'!N99/3</f>
        <v>29.666666666666668</v>
      </c>
      <c r="W30" s="4403">
        <f>'Definitivo x categoría'!N134/3</f>
        <v>4</v>
      </c>
      <c r="X30" s="4404">
        <f t="shared" si="1"/>
        <v>877.66666666666663</v>
      </c>
      <c r="Y30" s="4401">
        <v>834</v>
      </c>
      <c r="Z30" s="4403">
        <f>'Definitivo x categoría'!R99/2</f>
        <v>48.5</v>
      </c>
      <c r="AA30" s="4403">
        <f>'Definitivo x categoría'!R134/3</f>
        <v>4</v>
      </c>
      <c r="AB30" s="4404">
        <f t="shared" si="2"/>
        <v>886.5</v>
      </c>
      <c r="AC30" s="4401">
        <v>816</v>
      </c>
      <c r="AD30" s="4403">
        <f>'Definitivo x categoría'!V99/2</f>
        <v>46</v>
      </c>
      <c r="AE30" s="4403">
        <f>'Definitivo x categoría'!V134/3</f>
        <v>3.6666666666666665</v>
      </c>
      <c r="AF30" s="4404">
        <f t="shared" si="3"/>
        <v>865.66666666666663</v>
      </c>
      <c r="AG30" s="4401">
        <v>819</v>
      </c>
      <c r="AH30" s="4403">
        <f>'Definitivo x categoría'!Z99/2</f>
        <v>46</v>
      </c>
      <c r="AI30" s="4403">
        <f>'Definitivo x categoría'!Z134/3</f>
        <v>4.666666666666667</v>
      </c>
      <c r="AJ30" s="4404">
        <f t="shared" si="4"/>
        <v>869.66666666666663</v>
      </c>
      <c r="AK30" s="4401">
        <v>820</v>
      </c>
      <c r="AL30" s="4403">
        <f>'Definitivo x categoría'!AD99/2</f>
        <v>48.5</v>
      </c>
      <c r="AM30" s="4403">
        <f>'Definitivo x categoría'!AD134/3</f>
        <v>5.333333333333333</v>
      </c>
      <c r="AN30" s="4404">
        <f t="shared" si="5"/>
        <v>873.83333333333337</v>
      </c>
      <c r="AO30" s="4401">
        <v>824</v>
      </c>
      <c r="AP30" s="4403">
        <f>'Definitivo x categoría'!AH99/2</f>
        <v>47</v>
      </c>
      <c r="AQ30" s="4403">
        <f>'Definitivo x categoría'!AH134/3</f>
        <v>8.6666666666666661</v>
      </c>
      <c r="AR30" s="4404">
        <f t="shared" si="6"/>
        <v>879.66666666666663</v>
      </c>
      <c r="AS30" s="4401">
        <v>839</v>
      </c>
      <c r="AT30" s="4403">
        <f>'Definitivo x categoría'!AL99/2</f>
        <v>47</v>
      </c>
      <c r="AU30" s="4403">
        <f>'Definitivo x categoría'!AL134/3</f>
        <v>8.6666666666666661</v>
      </c>
      <c r="AV30" s="4404">
        <f t="shared" si="7"/>
        <v>894.66666666666663</v>
      </c>
      <c r="AW30" s="4401">
        <v>852</v>
      </c>
      <c r="AX30" s="4403">
        <f>'Definitivo x categoría'!AP99/2</f>
        <v>43</v>
      </c>
      <c r="AY30" s="4403">
        <f>'Definitivo x categoría'!AP134/3</f>
        <v>7.666666666666667</v>
      </c>
      <c r="AZ30" s="4404">
        <f t="shared" si="8"/>
        <v>902.66666666666663</v>
      </c>
      <c r="BA30" s="4401">
        <v>853</v>
      </c>
      <c r="BB30" s="4403">
        <f>'Definitivo x categoría'!AT99/2</f>
        <v>43.5</v>
      </c>
      <c r="BC30" s="4403">
        <f>'Definitivo x categoría'!AT134/3</f>
        <v>8</v>
      </c>
      <c r="BD30" s="4404">
        <f t="shared" si="9"/>
        <v>904.5</v>
      </c>
      <c r="BE30" s="4401">
        <v>860</v>
      </c>
      <c r="BF30" s="4403">
        <f>'Definitivo x categoría'!AX99/2</f>
        <v>46</v>
      </c>
      <c r="BG30" s="4403">
        <f>'Definitivo x categoría'!AX134/3</f>
        <v>10</v>
      </c>
      <c r="BH30" s="4404">
        <f t="shared" si="10"/>
        <v>916</v>
      </c>
      <c r="BI30" s="4401">
        <v>856</v>
      </c>
      <c r="BJ30" s="4403">
        <f>'Definitivo x categoría'!BB99/2</f>
        <v>46.5</v>
      </c>
      <c r="BK30" s="4403">
        <f>'Definitivo x categoría'!BB134/3</f>
        <v>8</v>
      </c>
      <c r="BL30" s="4404">
        <f t="shared" si="11"/>
        <v>910.5</v>
      </c>
    </row>
    <row r="31" spans="1:64" ht="15" x14ac:dyDescent="0.2">
      <c r="A31" s="4149" t="s">
        <v>60</v>
      </c>
      <c r="B31" s="4150"/>
      <c r="C31" s="3021">
        <f>(SUM('ACTIVOS uni'!D38)+'Alumnos x PTC'!T165)/'Alumnos x PTC'!T32</f>
        <v>18.655015099916469</v>
      </c>
      <c r="D31" s="3021">
        <f>(SUM('ACTIVOS uni'!E38)+'Alumnos x PTC'!U165)/'Alumnos x PTC'!X32</f>
        <v>19.157698728650317</v>
      </c>
      <c r="E31" s="3021">
        <f>(SUM('ACTIVOS uni'!F38)+'Alumnos x PTC'!V165)/'Alumnos x PTC'!AB32</f>
        <v>19.242516104585071</v>
      </c>
      <c r="F31" s="3021">
        <f>(SUM('ACTIVOS uni'!G38)+'Alumnos x PTC'!W165)/'Alumnos x PTC'!AF32</f>
        <v>19.6086657065932</v>
      </c>
      <c r="G31" s="3021">
        <f>(SUM('ACTIVOS uni'!H38)+'Alumnos x PTC'!X165)/'Alumnos x PTC'!AJ32</f>
        <v>19.978489275722723</v>
      </c>
      <c r="H31" s="3021">
        <f>(SUM('ACTIVOS uni'!I38)+'Alumnos x PTC'!Y165)/'Alumnos x PTC'!AN32</f>
        <v>20.066423853324277</v>
      </c>
      <c r="I31" s="3021">
        <f>(SUM('ACTIVOS uni'!J38)+'Alumnos x PTC'!Z165)/'Alumnos x PTC'!AR32</f>
        <v>20.469793757985034</v>
      </c>
      <c r="J31" s="3021">
        <f>(SUM('ACTIVOS uni'!K38)+'Alumnos x PTC'!AA165)/'Alumnos x PTC'!AV32</f>
        <v>20.60891414896799</v>
      </c>
      <c r="K31" s="3021">
        <f>(SUM('ACTIVOS uni'!L38)+'Alumnos x PTC'!AB165)/'Alumnos x PTC'!AZ32</f>
        <v>20.916923076923077</v>
      </c>
      <c r="L31" s="3021">
        <f>(SUM('ACTIVOS uni'!M38)+'Alumnos x PTC'!AC165)/'Alumnos x PTC'!BD32</f>
        <v>21.373817587294173</v>
      </c>
      <c r="M31" s="3021">
        <f>(SUM('ACTIVOS uni'!N38)+'Alumnos x PTC'!AD165)/'Alumnos x PTC'!BD32</f>
        <v>21.706294522947562</v>
      </c>
      <c r="N31" s="4586">
        <f>(SUM('ACTIVOS uni'!O38)+'Alumnos x PTC'!AE165)/'Alumnos x PTC'!BL32</f>
        <v>21.620970067477938</v>
      </c>
      <c r="Q31" s="4401"/>
      <c r="R31" s="4403"/>
      <c r="S31" s="4403"/>
      <c r="T31" s="4404"/>
      <c r="U31" s="4401"/>
      <c r="V31" s="4403"/>
      <c r="W31" s="4403"/>
      <c r="X31" s="4404"/>
      <c r="Y31" s="4401"/>
      <c r="Z31" s="4403"/>
      <c r="AA31" s="4403"/>
      <c r="AB31" s="4404"/>
      <c r="AC31" s="4401"/>
      <c r="AD31" s="4403"/>
      <c r="AE31" s="4403"/>
      <c r="AF31" s="4404"/>
      <c r="AG31" s="4401"/>
      <c r="AH31" s="4403"/>
      <c r="AI31" s="4403"/>
      <c r="AJ31" s="4404"/>
      <c r="AK31" s="4401"/>
      <c r="AL31" s="4403"/>
      <c r="AM31" s="4403"/>
      <c r="AN31" s="4404"/>
      <c r="AO31" s="4401"/>
      <c r="AP31" s="4403"/>
      <c r="AQ31" s="4403"/>
      <c r="AR31" s="4404"/>
      <c r="AS31" s="4401"/>
      <c r="AT31" s="4403"/>
      <c r="AU31" s="4403"/>
      <c r="AV31" s="4404"/>
      <c r="AW31" s="4401"/>
      <c r="AX31" s="4403"/>
      <c r="AY31" s="4403"/>
      <c r="AZ31" s="4404"/>
      <c r="BA31" s="4401"/>
      <c r="BB31" s="4403"/>
      <c r="BC31" s="4403"/>
      <c r="BD31" s="4404"/>
      <c r="BE31" s="4401"/>
      <c r="BF31" s="4403"/>
      <c r="BG31" s="4403"/>
      <c r="BH31" s="4404"/>
      <c r="BI31" s="4401"/>
      <c r="BJ31" s="4403"/>
      <c r="BK31" s="4403"/>
      <c r="BL31" s="4404"/>
    </row>
    <row r="32" spans="1:64" x14ac:dyDescent="0.2">
      <c r="Q32" s="4401">
        <v>2429</v>
      </c>
      <c r="R32" s="4403">
        <f>'Definitivo x categoría'!J101/2</f>
        <v>106.5</v>
      </c>
      <c r="S32" s="4403">
        <f>'Definitivo x categoría'!J136/3</f>
        <v>58.333333333333336</v>
      </c>
      <c r="T32" s="4404">
        <f t="shared" si="0"/>
        <v>2593.8333333333335</v>
      </c>
      <c r="U32" s="4401">
        <v>2467</v>
      </c>
      <c r="V32" s="4403">
        <f>'Definitivo x categoría'!N101/3</f>
        <v>72</v>
      </c>
      <c r="W32" s="4403">
        <f>'Definitivo x categoría'!N136/3</f>
        <v>56.666666666666664</v>
      </c>
      <c r="X32" s="4404">
        <f t="shared" si="1"/>
        <v>2595.6666666666665</v>
      </c>
      <c r="Y32" s="4401">
        <v>2468</v>
      </c>
      <c r="Z32" s="4403">
        <f>'Definitivo x categoría'!R101/2</f>
        <v>116</v>
      </c>
      <c r="AA32" s="4403">
        <f>'Definitivo x categoría'!R136/3</f>
        <v>55</v>
      </c>
      <c r="AB32" s="4404">
        <f t="shared" si="2"/>
        <v>2639</v>
      </c>
      <c r="AC32" s="4401">
        <v>2495</v>
      </c>
      <c r="AD32" s="4403">
        <f>'Definitivo x categoría'!V101/2</f>
        <v>113.5</v>
      </c>
      <c r="AE32" s="4403">
        <f>'Definitivo x categoría'!V136/3</f>
        <v>53.333333333333336</v>
      </c>
      <c r="AF32" s="4404">
        <f t="shared" si="3"/>
        <v>2661.8333333333335</v>
      </c>
      <c r="AG32" s="4401">
        <v>2520</v>
      </c>
      <c r="AH32" s="4403">
        <f>'Definitivo x categoría'!Z101/2</f>
        <v>110.5</v>
      </c>
      <c r="AI32" s="4403">
        <f>'Definitivo x categoría'!Z136/3</f>
        <v>50.333333333333336</v>
      </c>
      <c r="AJ32" s="4404">
        <f t="shared" si="4"/>
        <v>2680.8333333333335</v>
      </c>
      <c r="AK32" s="4401">
        <v>2538</v>
      </c>
      <c r="AL32" s="4403">
        <f>'Definitivo x categoría'!AD101/2</f>
        <v>112.5</v>
      </c>
      <c r="AM32" s="4403">
        <f>'Definitivo x categoría'!AD136/3</f>
        <v>49.333333333333336</v>
      </c>
      <c r="AN32" s="4404">
        <f t="shared" si="5"/>
        <v>2699.8333333333335</v>
      </c>
      <c r="AO32" s="4401">
        <v>2575</v>
      </c>
      <c r="AP32" s="4403">
        <f>'Definitivo x categoría'!AH101/2</f>
        <v>110.5</v>
      </c>
      <c r="AQ32" s="4403">
        <f>'Definitivo x categoría'!AH136/3</f>
        <v>54</v>
      </c>
      <c r="AR32" s="4404">
        <f t="shared" si="6"/>
        <v>2739.5</v>
      </c>
      <c r="AS32" s="4401">
        <v>2623</v>
      </c>
      <c r="AT32" s="4403">
        <f>'Definitivo x categoría'!AL101/2</f>
        <v>107.5</v>
      </c>
      <c r="AU32" s="4403">
        <f>'Definitivo x categoría'!AL136/3</f>
        <v>55.333333333333336</v>
      </c>
      <c r="AV32" s="4404">
        <f t="shared" si="7"/>
        <v>2785.8333333333335</v>
      </c>
      <c r="AW32" s="4401">
        <v>2663</v>
      </c>
      <c r="AX32" s="4403">
        <f>'Definitivo x categoría'!AP101/2</f>
        <v>98</v>
      </c>
      <c r="AY32" s="4403">
        <f>'Definitivo x categoría'!AP136/3</f>
        <v>55.666666666666664</v>
      </c>
      <c r="AZ32" s="4404">
        <f t="shared" si="8"/>
        <v>2816.6666666666665</v>
      </c>
      <c r="BA32" s="4401">
        <v>2705</v>
      </c>
      <c r="BB32" s="4403">
        <f>'Definitivo x categoría'!AT101/2</f>
        <v>96</v>
      </c>
      <c r="BC32" s="4403">
        <f>'Definitivo x categoría'!AT136/3</f>
        <v>53.333333333333336</v>
      </c>
      <c r="BD32" s="4404">
        <f t="shared" si="9"/>
        <v>2854.3333333333335</v>
      </c>
      <c r="BE32" s="4401">
        <v>2759</v>
      </c>
      <c r="BF32" s="4403">
        <f>'Definitivo x categoría'!AX101/2</f>
        <v>97</v>
      </c>
      <c r="BG32" s="4403">
        <f>'Definitivo x categoría'!AX136/3</f>
        <v>57</v>
      </c>
      <c r="BH32" s="4404">
        <f t="shared" si="10"/>
        <v>2913</v>
      </c>
      <c r="BI32" s="4401">
        <v>2743</v>
      </c>
      <c r="BJ32" s="4403">
        <f>'Definitivo x categoría'!BB101/2</f>
        <v>93.5</v>
      </c>
      <c r="BK32" s="4403">
        <f>'Definitivo x categoría'!BB136/3</f>
        <v>53.333333333333336</v>
      </c>
      <c r="BL32" s="4404">
        <f t="shared" si="11"/>
        <v>2889.8333333333335</v>
      </c>
    </row>
    <row r="33" spans="3:17" x14ac:dyDescent="0.2">
      <c r="C33" s="4587"/>
      <c r="D33" s="4587"/>
      <c r="E33" s="4587"/>
      <c r="F33" s="4587"/>
      <c r="G33" s="4587"/>
      <c r="H33" s="4587"/>
      <c r="I33" s="4587"/>
      <c r="J33" s="4587"/>
      <c r="K33" s="4587"/>
      <c r="L33" s="4587"/>
      <c r="M33" s="4587"/>
      <c r="N33" s="4587"/>
      <c r="Q33" s="27"/>
    </row>
    <row r="34" spans="3:17" x14ac:dyDescent="0.2">
      <c r="Q34" s="27"/>
    </row>
    <row r="35" spans="3:17" x14ac:dyDescent="0.2">
      <c r="Q35" s="27"/>
    </row>
    <row r="36" spans="3:17" x14ac:dyDescent="0.2">
      <c r="Q36" s="27"/>
    </row>
    <row r="37" spans="3:17" x14ac:dyDescent="0.2">
      <c r="Q37" s="27"/>
    </row>
    <row r="38" spans="3:17" x14ac:dyDescent="0.2">
      <c r="Q38" s="27"/>
    </row>
    <row r="39" spans="3:17" x14ac:dyDescent="0.2">
      <c r="Q39" s="27"/>
    </row>
    <row r="40" spans="3:17" x14ac:dyDescent="0.2">
      <c r="Q40" s="27"/>
    </row>
    <row r="41" spans="3:17" x14ac:dyDescent="0.2">
      <c r="Q41" s="27"/>
    </row>
    <row r="42" spans="3:17" x14ac:dyDescent="0.2">
      <c r="Q42" s="27"/>
    </row>
    <row r="43" spans="3:17" x14ac:dyDescent="0.2">
      <c r="Q43" s="27"/>
    </row>
    <row r="44" spans="3:17" x14ac:dyDescent="0.2">
      <c r="Q44" s="27"/>
    </row>
    <row r="45" spans="3:17" x14ac:dyDescent="0.2">
      <c r="Q45" s="27"/>
    </row>
    <row r="46" spans="3:17" x14ac:dyDescent="0.2">
      <c r="Q46" s="27"/>
    </row>
    <row r="47" spans="3:17" x14ac:dyDescent="0.2">
      <c r="Q47" s="27"/>
    </row>
    <row r="48" spans="3:17" x14ac:dyDescent="0.2">
      <c r="Q48" s="27"/>
    </row>
    <row r="49" spans="17:17" x14ac:dyDescent="0.2">
      <c r="Q49" s="27"/>
    </row>
    <row r="50" spans="17:17" x14ac:dyDescent="0.2">
      <c r="Q50" s="27"/>
    </row>
    <row r="51" spans="17:17" x14ac:dyDescent="0.2">
      <c r="Q51" s="27"/>
    </row>
    <row r="52" spans="17:17" x14ac:dyDescent="0.2">
      <c r="Q52" s="27"/>
    </row>
    <row r="53" spans="17:17" x14ac:dyDescent="0.2">
      <c r="Q53" s="27"/>
    </row>
    <row r="54" spans="17:17" x14ac:dyDescent="0.2">
      <c r="Q54" s="27"/>
    </row>
    <row r="55" spans="17:17" x14ac:dyDescent="0.2">
      <c r="Q55" s="27"/>
    </row>
    <row r="56" spans="17:17" x14ac:dyDescent="0.2">
      <c r="Q56" s="27"/>
    </row>
    <row r="57" spans="17:17" x14ac:dyDescent="0.2">
      <c r="Q57" s="27"/>
    </row>
    <row r="58" spans="17:17" x14ac:dyDescent="0.2">
      <c r="Q58" s="27"/>
    </row>
    <row r="59" spans="17:17" x14ac:dyDescent="0.2">
      <c r="Q59" s="27"/>
    </row>
    <row r="60" spans="17:17" x14ac:dyDescent="0.2">
      <c r="Q60" s="27"/>
    </row>
    <row r="61" spans="17:17" x14ac:dyDescent="0.2">
      <c r="Q61" s="27"/>
    </row>
    <row r="62" spans="17:17" x14ac:dyDescent="0.2">
      <c r="Q62" s="27"/>
    </row>
    <row r="63" spans="17:17" x14ac:dyDescent="0.2">
      <c r="Q63" s="27"/>
    </row>
    <row r="64" spans="17:17" x14ac:dyDescent="0.2">
      <c r="Q64" s="27"/>
    </row>
    <row r="65" spans="1:17" x14ac:dyDescent="0.2">
      <c r="Q65" s="27"/>
    </row>
    <row r="66" spans="1:17" x14ac:dyDescent="0.2">
      <c r="Q66" s="27"/>
    </row>
    <row r="67" spans="1:17" x14ac:dyDescent="0.2">
      <c r="Q67" s="27"/>
    </row>
    <row r="68" spans="1:17" x14ac:dyDescent="0.2">
      <c r="Q68" s="27"/>
    </row>
    <row r="69" spans="1:17" ht="15.75" x14ac:dyDescent="0.25">
      <c r="A69" s="139"/>
      <c r="Q69" s="27"/>
    </row>
    <row r="70" spans="1:17" ht="15.75" x14ac:dyDescent="0.25">
      <c r="A70" s="139" t="s">
        <v>1401</v>
      </c>
      <c r="Q70" s="27"/>
    </row>
    <row r="72" spans="1:17" ht="15" x14ac:dyDescent="0.2">
      <c r="A72" s="4170" t="s">
        <v>51</v>
      </c>
      <c r="B72" s="4170" t="s">
        <v>702</v>
      </c>
      <c r="C72" s="4170">
        <v>2004</v>
      </c>
      <c r="D72" s="1472">
        <v>2005</v>
      </c>
      <c r="E72" s="4171">
        <v>2006</v>
      </c>
      <c r="F72" s="1472">
        <v>2007</v>
      </c>
      <c r="G72" s="1472">
        <v>2008</v>
      </c>
      <c r="H72" s="1472">
        <v>2009</v>
      </c>
      <c r="I72" s="1472">
        <v>2010</v>
      </c>
      <c r="J72" s="1472">
        <v>2011</v>
      </c>
      <c r="K72" s="1472">
        <v>2012</v>
      </c>
      <c r="L72" s="1472">
        <v>2013</v>
      </c>
      <c r="M72" s="1472">
        <v>2014</v>
      </c>
      <c r="N72" s="1472">
        <v>2015</v>
      </c>
    </row>
    <row r="73" spans="1:17" ht="15" x14ac:dyDescent="0.25">
      <c r="A73" s="251"/>
      <c r="B73" s="251"/>
      <c r="C73" s="251"/>
      <c r="D73" s="251"/>
      <c r="E73" s="251"/>
      <c r="F73" s="251"/>
      <c r="G73" s="251"/>
      <c r="H73" s="251"/>
      <c r="I73" s="251"/>
      <c r="J73" s="251"/>
      <c r="K73" s="251"/>
      <c r="L73" s="251"/>
      <c r="M73" s="251"/>
      <c r="N73" s="251"/>
    </row>
    <row r="74" spans="1:17" ht="15" x14ac:dyDescent="0.2">
      <c r="A74" s="6297" t="s">
        <v>161</v>
      </c>
      <c r="B74" s="4148" t="s">
        <v>5</v>
      </c>
      <c r="C74" s="4392">
        <f>'ACTIVOS uni'!D7/'Alumnos x PTC'!T7</f>
        <v>18.429783223374173</v>
      </c>
      <c r="D74" s="4392">
        <f>'ACTIVOS uni'!E7/'Alumnos x PTC'!X7</f>
        <v>19.248587570621471</v>
      </c>
      <c r="E74" s="4392">
        <f>'ACTIVOS uni'!F7/'Alumnos x PTC'!AB7</f>
        <v>19.867346938775512</v>
      </c>
      <c r="F74" s="4392">
        <f>'ACTIVOS uni'!G7/'Alumnos x PTC'!AF7</f>
        <v>19.785746302106681</v>
      </c>
      <c r="G74" s="4392">
        <f>'ACTIVOS uni'!H7/'Alumnos x PTC'!AJ7</f>
        <v>20.6003600360036</v>
      </c>
      <c r="H74" s="4392">
        <f>'ACTIVOS uni'!I7/'Alumnos x PTC'!AN7</f>
        <v>20.881720430107528</v>
      </c>
      <c r="I74" s="4392">
        <f>'ACTIVOS uni'!J7/'Alumnos x PTC'!AR7</f>
        <v>22.62330623306233</v>
      </c>
      <c r="J74" s="4392">
        <f>'ACTIVOS uni'!K7/'Alumnos x PTC'!AV7</f>
        <v>23.302452316076295</v>
      </c>
      <c r="K74" s="4392">
        <f>'ACTIVOS uni'!L7/'Alumnos x PTC'!AZ7</f>
        <v>22.818834080717487</v>
      </c>
      <c r="L74" s="4392">
        <f>'ACTIVOS uni'!M7/'Alumnos x PTC'!BD7</f>
        <v>22.62572837292694</v>
      </c>
      <c r="M74" s="4392">
        <f>'ACTIVOS uni'!N7/'Alumnos x PTC'!BH7</f>
        <v>21.454545454545453</v>
      </c>
      <c r="N74" s="4392">
        <f>'ACTIVOS uni'!O7/'Alumnos x PTC'!BL7</f>
        <v>20.87612208258528</v>
      </c>
      <c r="P74" s="4401"/>
    </row>
    <row r="75" spans="1:17" ht="15" x14ac:dyDescent="0.2">
      <c r="A75" s="5066"/>
      <c r="B75" s="1926" t="s">
        <v>6</v>
      </c>
      <c r="C75" s="4393">
        <f>'ACTIVOS uni'!D8/'Alumnos x PTC'!T8</f>
        <v>16.446153846153845</v>
      </c>
      <c r="D75" s="4393">
        <f>'ACTIVOS uni'!E8/'Alumnos x PTC'!X8</f>
        <v>16.507804370447452</v>
      </c>
      <c r="E75" s="4393">
        <f>'ACTIVOS uni'!F8/'Alumnos x PTC'!AB8</f>
        <v>15.454183266932271</v>
      </c>
      <c r="F75" s="4393">
        <f>'ACTIVOS uni'!G8/'Alumnos x PTC'!AF8</f>
        <v>15.428149606299211</v>
      </c>
      <c r="G75" s="4393">
        <f>'ACTIVOS uni'!H8/'Alumnos x PTC'!AJ8</f>
        <v>16.058128078817735</v>
      </c>
      <c r="H75" s="4393">
        <f>'ACTIVOS uni'!I8/'Alumnos x PTC'!AN8</f>
        <v>16.433746898263028</v>
      </c>
      <c r="I75" s="4393">
        <f>'ACTIVOS uni'!J8/'Alumnos x PTC'!AR8</f>
        <v>16.954819277108435</v>
      </c>
      <c r="J75" s="4393">
        <f>'ACTIVOS uni'!K8/'Alumnos x PTC'!AV8</f>
        <v>16.959724950884087</v>
      </c>
      <c r="K75" s="4393">
        <f>'ACTIVOS uni'!L8/'Alumnos x PTC'!AZ8</f>
        <v>18.222222222222221</v>
      </c>
      <c r="L75" s="4393">
        <f>'ACTIVOS uni'!M8/'Alumnos x PTC'!BD8</f>
        <v>18.272857826711345</v>
      </c>
      <c r="M75" s="4393">
        <f>'ACTIVOS uni'!N8/'Alumnos x PTC'!BH8</f>
        <v>18.345323741007196</v>
      </c>
      <c r="N75" s="4393">
        <f>'ACTIVOS uni'!O8/'Alumnos x PTC'!BL8</f>
        <v>19.295154185022028</v>
      </c>
      <c r="P75" s="4401"/>
    </row>
    <row r="76" spans="1:17" ht="15" x14ac:dyDescent="0.2">
      <c r="A76" s="5066"/>
      <c r="B76" s="1926" t="s">
        <v>7</v>
      </c>
      <c r="C76" s="4393">
        <f>'ACTIVOS uni'!D9/'Alumnos x PTC'!T9</f>
        <v>15.766062602965404</v>
      </c>
      <c r="D76" s="4393">
        <f>'ACTIVOS uni'!E9/'Alumnos x PTC'!X9</f>
        <v>15.855737704918035</v>
      </c>
      <c r="E76" s="4393">
        <f>'ACTIVOS uni'!F9/'Alumnos x PTC'!AB9</f>
        <v>15.558252427184467</v>
      </c>
      <c r="F76" s="4393">
        <f>'ACTIVOS uni'!G9/'Alumnos x PTC'!AF9</f>
        <v>15.633943427620631</v>
      </c>
      <c r="G76" s="4393">
        <f>'ACTIVOS uni'!H9/'Alumnos x PTC'!AJ9</f>
        <v>15.572023313905079</v>
      </c>
      <c r="H76" s="4393">
        <f>'ACTIVOS uni'!I9/'Alumnos x PTC'!AN9</f>
        <v>14.922580645161291</v>
      </c>
      <c r="I76" s="4393">
        <f>'ACTIVOS uni'!J9/'Alumnos x PTC'!AR9</f>
        <v>14.212238574748257</v>
      </c>
      <c r="J76" s="4393">
        <f>'ACTIVOS uni'!K9/'Alumnos x PTC'!AV9</f>
        <v>14.179310344827586</v>
      </c>
      <c r="K76" s="4393">
        <f>'ACTIVOS uni'!L9/'Alumnos x PTC'!AZ9</f>
        <v>14.654545454545454</v>
      </c>
      <c r="L76" s="4393">
        <f>'ACTIVOS uni'!M9/'Alumnos x PTC'!BD9</f>
        <v>15.046979865771812</v>
      </c>
      <c r="M76" s="4393">
        <f>'ACTIVOS uni'!N9/'Alumnos x PTC'!BH9</f>
        <v>14.697443181818182</v>
      </c>
      <c r="N76" s="4393">
        <f>'ACTIVOS uni'!O9/'Alumnos x PTC'!BL9</f>
        <v>15.211636363636364</v>
      </c>
      <c r="P76" s="4401"/>
    </row>
    <row r="77" spans="1:17" ht="15" x14ac:dyDescent="0.2">
      <c r="A77" s="5067"/>
      <c r="B77" s="3016" t="s">
        <v>160</v>
      </c>
      <c r="C77" s="4394">
        <f>'ACTIVOS uni'!D10/'Alumnos x PTC'!T10</f>
        <v>17.086265607264473</v>
      </c>
      <c r="D77" s="4394">
        <f>'ACTIVOS uni'!E10/'Alumnos x PTC'!X10</f>
        <v>17.462210406380553</v>
      </c>
      <c r="E77" s="4394">
        <f>'ACTIVOS uni'!F10/'Alumnos x PTC'!AB10</f>
        <v>17.239999999999998</v>
      </c>
      <c r="F77" s="4394">
        <f>'ACTIVOS uni'!G10/'Alumnos x PTC'!AF10</f>
        <v>17.252333028362305</v>
      </c>
      <c r="G77" s="4394">
        <f>'ACTIVOS uni'!H10/'Alumnos x PTC'!AJ10</f>
        <v>17.801943884100496</v>
      </c>
      <c r="H77" s="4394">
        <f>'ACTIVOS uni'!I10/'Alumnos x PTC'!AN10</f>
        <v>17.901585565882996</v>
      </c>
      <c r="I77" s="4394">
        <f>'ACTIVOS uni'!J10/'Alumnos x PTC'!AR10</f>
        <v>18.593778424595236</v>
      </c>
      <c r="J77" s="4394">
        <f>'ACTIVOS uni'!K10/'Alumnos x PTC'!AV10</f>
        <v>18.824824102471585</v>
      </c>
      <c r="K77" s="4394">
        <f>'ACTIVOS uni'!L10/'Alumnos x PTC'!AZ10</f>
        <v>19.216143497757848</v>
      </c>
      <c r="L77" s="4394">
        <f>'ACTIVOS uni'!M10/'Alumnos x PTC'!BD10</f>
        <v>19.224165341812402</v>
      </c>
      <c r="M77" s="4394">
        <f>'ACTIVOS uni'!N10/'Alumnos x PTC'!BH10</f>
        <v>18.682149046793761</v>
      </c>
      <c r="N77" s="4394">
        <f>'ACTIVOS uni'!O10/'Alumnos x PTC'!BL10</f>
        <v>18.924548352816153</v>
      </c>
      <c r="P77" s="4401"/>
    </row>
    <row r="78" spans="1:17" x14ac:dyDescent="0.2">
      <c r="P78" s="4401"/>
    </row>
    <row r="79" spans="1:17" ht="15" x14ac:dyDescent="0.2">
      <c r="A79" s="6298" t="s">
        <v>410</v>
      </c>
      <c r="B79" s="4148" t="s">
        <v>6</v>
      </c>
      <c r="C79" s="4392"/>
      <c r="D79" s="4392">
        <f>'ACTIVOS uni'!E12/'Alumnos x PTC'!X12</f>
        <v>27.75</v>
      </c>
      <c r="E79" s="4392">
        <f>'ACTIVOS uni'!F12/'Alumnos x PTC'!AB12</f>
        <v>21.142857142857142</v>
      </c>
      <c r="F79" s="4392">
        <f>'ACTIVOS uni'!G12/'Alumnos x PTC'!AF12</f>
        <v>11.255813953488373</v>
      </c>
      <c r="G79" s="4392">
        <f>'ACTIVOS uni'!H12/'Alumnos x PTC'!AJ12</f>
        <v>14.291666666666666</v>
      </c>
      <c r="H79" s="4392">
        <f>'ACTIVOS uni'!I12/'Alumnos x PTC'!AN12</f>
        <v>13.59322033898305</v>
      </c>
      <c r="I79" s="4392">
        <f>'ACTIVOS uni'!J12/'Alumnos x PTC'!AR12</f>
        <v>10.632911392405063</v>
      </c>
      <c r="J79" s="4392">
        <f>'ACTIVOS uni'!K12/'Alumnos x PTC'!AV12</f>
        <v>9.715302491103202</v>
      </c>
      <c r="K79" s="4392">
        <f>'ACTIVOS uni'!L12/'Alumnos x PTC'!AZ12</f>
        <v>10.292307692307691</v>
      </c>
      <c r="L79" s="4392">
        <f>'ACTIVOS uni'!M12/'Alumnos x PTC'!BD12</f>
        <v>9.6971830985915481</v>
      </c>
      <c r="M79" s="4392">
        <f>'ACTIVOS uni'!N12/'Alumnos x PTC'!BH12</f>
        <v>11.52</v>
      </c>
      <c r="N79" s="4392">
        <f>'ACTIVOS uni'!O12/'Alumnos x PTC'!BL12</f>
        <v>13.900990099009901</v>
      </c>
      <c r="P79" s="4401"/>
    </row>
    <row r="80" spans="1:17" ht="15" x14ac:dyDescent="0.2">
      <c r="A80" s="5070"/>
      <c r="B80" s="1926" t="s">
        <v>9</v>
      </c>
      <c r="C80" s="4393"/>
      <c r="D80" s="4393">
        <f>'ACTIVOS uni'!E13/'Alumnos x PTC'!X13</f>
        <v>11.333333333333334</v>
      </c>
      <c r="E80" s="4393">
        <f>'ACTIVOS uni'!F13/'Alumnos x PTC'!AB13</f>
        <v>6.7777777777777777</v>
      </c>
      <c r="F80" s="4393">
        <f>'ACTIVOS uni'!G13/'Alumnos x PTC'!AF13</f>
        <v>14.692307692307692</v>
      </c>
      <c r="G80" s="4393">
        <f>'ACTIVOS uni'!H13/'Alumnos x PTC'!AJ13</f>
        <v>13.083333333333334</v>
      </c>
      <c r="H80" s="4393">
        <f>'ACTIVOS uni'!I13/'Alumnos x PTC'!AN13</f>
        <v>12.6</v>
      </c>
      <c r="I80" s="4393">
        <f>'ACTIVOS uni'!J13/'Alumnos x PTC'!AR13</f>
        <v>12.157894736842104</v>
      </c>
      <c r="J80" s="4393">
        <f>'ACTIVOS uni'!K13/'Alumnos x PTC'!AV13</f>
        <v>13.04032258064516</v>
      </c>
      <c r="K80" s="4393">
        <f>'ACTIVOS uni'!L13/'Alumnos x PTC'!AZ13</f>
        <v>11.522292993630574</v>
      </c>
      <c r="L80" s="4393">
        <f>'ACTIVOS uni'!M13/'Alumnos x PTC'!BD13</f>
        <v>12.174193548387098</v>
      </c>
      <c r="M80" s="4393">
        <f>'ACTIVOS uni'!N13/'Alumnos x PTC'!BH13</f>
        <v>13.585987261146496</v>
      </c>
      <c r="N80" s="4393">
        <f>'ACTIVOS uni'!O13/'Alumnos x PTC'!BL13</f>
        <v>15.018404907975459</v>
      </c>
      <c r="P80" s="4401"/>
    </row>
    <row r="81" spans="1:16" ht="15" x14ac:dyDescent="0.2">
      <c r="A81" s="5070"/>
      <c r="B81" s="1926" t="s">
        <v>74</v>
      </c>
      <c r="C81" s="4393"/>
      <c r="D81" s="4393">
        <f>'ACTIVOS uni'!E14/'Alumnos x PTC'!X14</f>
        <v>9.6666666666666661</v>
      </c>
      <c r="E81" s="4393">
        <f>'ACTIVOS uni'!F14/'Alumnos x PTC'!AB14</f>
        <v>13</v>
      </c>
      <c r="F81" s="4393">
        <f>'ACTIVOS uni'!G14/'Alumnos x PTC'!AF14</f>
        <v>7.166666666666667</v>
      </c>
      <c r="G81" s="4393">
        <f>'ACTIVOS uni'!H14/'Alumnos x PTC'!AJ14</f>
        <v>9.304347826086957</v>
      </c>
      <c r="H81" s="4393">
        <f>'ACTIVOS uni'!I14/'Alumnos x PTC'!AN14</f>
        <v>11.458333333333334</v>
      </c>
      <c r="I81" s="4393">
        <f>'ACTIVOS uni'!J14/'Alumnos x PTC'!AR14</f>
        <v>11.962962962962964</v>
      </c>
      <c r="J81" s="4393">
        <f>'ACTIVOS uni'!K14/'Alumnos x PTC'!AV14</f>
        <v>11.939393939393939</v>
      </c>
      <c r="K81" s="4393">
        <f>'ACTIVOS uni'!L14/'Alumnos x PTC'!AZ14</f>
        <v>13.18348623853211</v>
      </c>
      <c r="L81" s="4393">
        <f>'ACTIVOS uni'!M14/'Alumnos x PTC'!BD14</f>
        <v>15.093333333333334</v>
      </c>
      <c r="M81" s="4393">
        <f>'ACTIVOS uni'!N14/'Alumnos x PTC'!BH14</f>
        <v>16.597701149425287</v>
      </c>
      <c r="N81" s="4393">
        <f>'ACTIVOS uni'!O14/'Alumnos x PTC'!BL14</f>
        <v>17.889298892988929</v>
      </c>
      <c r="P81" s="4401"/>
    </row>
    <row r="82" spans="1:16" ht="15" x14ac:dyDescent="0.2">
      <c r="A82" s="5071"/>
      <c r="B82" s="3019" t="s">
        <v>160</v>
      </c>
      <c r="C82" s="4395"/>
      <c r="D82" s="4395">
        <f>'ACTIVOS uni'!E15/'Alumnos x PTC'!X15</f>
        <v>15.615384615384615</v>
      </c>
      <c r="E82" s="4395">
        <f>'ACTIVOS uni'!F15/'Alumnos x PTC'!AB15</f>
        <v>13.045454545454545</v>
      </c>
      <c r="F82" s="4395">
        <f>'ACTIVOS uni'!G15/'Alumnos x PTC'!AF15</f>
        <v>10.704761904761904</v>
      </c>
      <c r="G82" s="4395">
        <f>'ACTIVOS uni'!H15/'Alumnos x PTC'!AJ15</f>
        <v>12.267605633802816</v>
      </c>
      <c r="H82" s="4395">
        <f>'ACTIVOS uni'!I15/'Alumnos x PTC'!AN15</f>
        <v>12.622754491017965</v>
      </c>
      <c r="I82" s="4395">
        <f>'ACTIVOS uni'!J15/'Alumnos x PTC'!AR15</f>
        <v>11.5311004784689</v>
      </c>
      <c r="J82" s="4395">
        <f>'ACTIVOS uni'!K15/'Alumnos x PTC'!AV15</f>
        <v>11.455295735900963</v>
      </c>
      <c r="K82" s="4395">
        <f>'ACTIVOS uni'!L15/'Alumnos x PTC'!AZ15</f>
        <v>11.575757575757576</v>
      </c>
      <c r="L82" s="4395">
        <f>'ACTIVOS uni'!M15/'Alumnos x PTC'!BD15</f>
        <v>12.117216117216117</v>
      </c>
      <c r="M82" s="4395">
        <f>'ACTIVOS uni'!N15/'Alumnos x PTC'!BH15</f>
        <v>13.776</v>
      </c>
      <c r="N82" s="4395">
        <f>'ACTIVOS uni'!O15/'Alumnos x PTC'!BL15</f>
        <v>15.506666666666666</v>
      </c>
      <c r="P82" s="4401"/>
    </row>
    <row r="83" spans="1:16" x14ac:dyDescent="0.2">
      <c r="P83" s="4401"/>
    </row>
    <row r="84" spans="1:16" ht="15" x14ac:dyDescent="0.2">
      <c r="A84" s="6299" t="s">
        <v>162</v>
      </c>
      <c r="B84" s="4148" t="s">
        <v>5</v>
      </c>
      <c r="C84" s="4392">
        <f>'ACTIVOS uni'!D17/'Alumnos x PTC'!T17</f>
        <v>12.417582417582418</v>
      </c>
      <c r="D84" s="4392">
        <f>'ACTIVOS uni'!E17/'Alumnos x PTC'!X17</f>
        <v>11.904028436018956</v>
      </c>
      <c r="E84" s="4392">
        <f>'ACTIVOS uni'!F17/'Alumnos x PTC'!AB17</f>
        <v>11.801652892561984</v>
      </c>
      <c r="F84" s="4392">
        <f>'ACTIVOS uni'!G17/'Alumnos x PTC'!AF17</f>
        <v>11.180539273153576</v>
      </c>
      <c r="G84" s="4392">
        <f>'ACTIVOS uni'!H17/'Alumnos x PTC'!AJ17</f>
        <v>11.422403733955658</v>
      </c>
      <c r="H84" s="4392">
        <f>'ACTIVOS uni'!I17/'Alumnos x PTC'!AN17</f>
        <v>11.331378299120233</v>
      </c>
      <c r="I84" s="4392">
        <f>'ACTIVOS uni'!J17/'Alumnos x PTC'!AR17</f>
        <v>11.99290360733294</v>
      </c>
      <c r="J84" s="4392">
        <f>'ACTIVOS uni'!K17/'Alumnos x PTC'!AV17</f>
        <v>12.465608465608465</v>
      </c>
      <c r="K84" s="4392">
        <f>'ACTIVOS uni'!L17/'Alumnos x PTC'!AZ17</f>
        <v>13.126099706744867</v>
      </c>
      <c r="L84" s="4392">
        <f>'ACTIVOS uni'!M17/'Alumnos x PTC'!BD17</f>
        <v>14.42605633802817</v>
      </c>
      <c r="M84" s="4392">
        <f>'ACTIVOS uni'!N17/'Alumnos x PTC'!BH17</f>
        <v>14.740698340011447</v>
      </c>
      <c r="N84" s="4392">
        <f>'ACTIVOS uni'!O17/'Alumnos x PTC'!BL17</f>
        <v>15.199306759098787</v>
      </c>
      <c r="P84" s="4401"/>
    </row>
    <row r="85" spans="1:16" ht="15" x14ac:dyDescent="0.2">
      <c r="A85" s="5063"/>
      <c r="B85" s="1926" t="s">
        <v>6</v>
      </c>
      <c r="C85" s="4393">
        <f>'ACTIVOS uni'!D18/'Alumnos x PTC'!T18</f>
        <v>16.327160493827162</v>
      </c>
      <c r="D85" s="4393">
        <f>'ACTIVOS uni'!E18/'Alumnos x PTC'!X18</f>
        <v>17.04690831556503</v>
      </c>
      <c r="E85" s="4393">
        <f>'ACTIVOS uni'!F18/'Alumnos x PTC'!AB18</f>
        <v>17.315817130846032</v>
      </c>
      <c r="F85" s="4393">
        <f>'ACTIVOS uni'!G18/'Alumnos x PTC'!AF18</f>
        <v>18.324152542372879</v>
      </c>
      <c r="G85" s="4393">
        <f>'ACTIVOS uni'!H18/'Alumnos x PTC'!AJ18</f>
        <v>18.651284740429997</v>
      </c>
      <c r="H85" s="4393">
        <f>'ACTIVOS uni'!I18/'Alumnos x PTC'!AN18</f>
        <v>19.064718162839249</v>
      </c>
      <c r="I85" s="4393">
        <f>'ACTIVOS uni'!J18/'Alumnos x PTC'!AR18</f>
        <v>19.041624365482235</v>
      </c>
      <c r="J85" s="4393">
        <f>'ACTIVOS uni'!K18/'Alumnos x PTC'!AV18</f>
        <v>19.591331269349844</v>
      </c>
      <c r="K85" s="4393">
        <f>'ACTIVOS uni'!L18/'Alumnos x PTC'!AZ18</f>
        <v>20.509374999999999</v>
      </c>
      <c r="L85" s="4393">
        <f>'ACTIVOS uni'!M18/'Alumnos x PTC'!BD18</f>
        <v>20.711688311688313</v>
      </c>
      <c r="M85" s="4393">
        <f>'ACTIVOS uni'!N18/'Alumnos x PTC'!BH18</f>
        <v>20.35130970724191</v>
      </c>
      <c r="N85" s="4393">
        <f>'ACTIVOS uni'!O18/'Alumnos x PTC'!BL18</f>
        <v>20.680250783699059</v>
      </c>
      <c r="P85" s="4401"/>
    </row>
    <row r="86" spans="1:16" ht="15" x14ac:dyDescent="0.2">
      <c r="A86" s="5063"/>
      <c r="B86" s="1926" t="s">
        <v>11</v>
      </c>
      <c r="C86" s="4393">
        <f>'ACTIVOS uni'!D19/'Alumnos x PTC'!T19</f>
        <v>14.690100430416068</v>
      </c>
      <c r="D86" s="4393">
        <f>'ACTIVOS uni'!E19/'Alumnos x PTC'!X19</f>
        <v>14.010000000000002</v>
      </c>
      <c r="E86" s="4393">
        <f>'ACTIVOS uni'!F19/'Alumnos x PTC'!AB19</f>
        <v>14.164502164502165</v>
      </c>
      <c r="F86" s="4393">
        <f>'ACTIVOS uni'!G19/'Alumnos x PTC'!AF19</f>
        <v>13.920171062009977</v>
      </c>
      <c r="G86" s="4393">
        <f>'ACTIVOS uni'!H19/'Alumnos x PTC'!AJ19</f>
        <v>14.721287490855888</v>
      </c>
      <c r="H86" s="4393">
        <f>'ACTIVOS uni'!I19/'Alumnos x PTC'!AN19</f>
        <v>15.485458612975391</v>
      </c>
      <c r="I86" s="4393">
        <f>'ACTIVOS uni'!J19/'Alumnos x PTC'!AR19</f>
        <v>17.150684931506849</v>
      </c>
      <c r="J86" s="4393">
        <f>'ACTIVOS uni'!K19/'Alumnos x PTC'!AV19</f>
        <v>17.554411764705883</v>
      </c>
      <c r="K86" s="4393">
        <f>'ACTIVOS uni'!L19/'Alumnos x PTC'!AZ19</f>
        <v>18.767647058823531</v>
      </c>
      <c r="L86" s="4393">
        <f>'ACTIVOS uni'!M19/'Alumnos x PTC'!BD19</f>
        <v>19.725377426312004</v>
      </c>
      <c r="M86" s="4393">
        <f>'ACTIVOS uni'!N19/'Alumnos x PTC'!BH19</f>
        <v>19.702873160476525</v>
      </c>
      <c r="N86" s="4393">
        <f>'ACTIVOS uni'!O19/'Alumnos x PTC'!BL19</f>
        <v>19.658060013956732</v>
      </c>
      <c r="P86" s="4401"/>
    </row>
    <row r="87" spans="1:16" ht="15" x14ac:dyDescent="0.2">
      <c r="A87" s="5064"/>
      <c r="B87" s="3018" t="s">
        <v>160</v>
      </c>
      <c r="C87" s="4396">
        <f>'ACTIVOS uni'!D20/'Alumnos x PTC'!T20</f>
        <v>14.581591639871382</v>
      </c>
      <c r="D87" s="4396">
        <f>'ACTIVOS uni'!E20/'Alumnos x PTC'!X20</f>
        <v>14.441579371474617</v>
      </c>
      <c r="E87" s="4396">
        <f>'ACTIVOS uni'!F20/'Alumnos x PTC'!AB20</f>
        <v>14.564720048163757</v>
      </c>
      <c r="F87" s="4396">
        <f>'ACTIVOS uni'!G20/'Alumnos x PTC'!AF20</f>
        <v>14.648789273564137</v>
      </c>
      <c r="G87" s="4396">
        <f>'ACTIVOS uni'!H20/'Alumnos x PTC'!AJ20</f>
        <v>15.090216519647152</v>
      </c>
      <c r="H87" s="4396">
        <f>'ACTIVOS uni'!I20/'Alumnos x PTC'!AN20</f>
        <v>15.440145102781136</v>
      </c>
      <c r="I87" s="4396">
        <f>'ACTIVOS uni'!J20/'Alumnos x PTC'!AR20</f>
        <v>16.146331658291459</v>
      </c>
      <c r="J87" s="4396">
        <f>'ACTIVOS uni'!K20/'Alumnos x PTC'!AV20</f>
        <v>16.612522504500902</v>
      </c>
      <c r="K87" s="4396">
        <f>'ACTIVOS uni'!L20/'Alumnos x PTC'!AZ20</f>
        <v>17.508926780341021</v>
      </c>
      <c r="L87" s="4396">
        <f>'ACTIVOS uni'!M20/'Alumnos x PTC'!BD20</f>
        <v>18.192437141160166</v>
      </c>
      <c r="M87" s="4396">
        <f>'ACTIVOS uni'!N20/'Alumnos x PTC'!BH20</f>
        <v>18.256590509666079</v>
      </c>
      <c r="N87" s="4396">
        <f>'ACTIVOS uni'!O20/'Alumnos x PTC'!BL20</f>
        <v>18.523434423001181</v>
      </c>
      <c r="P87" s="4401"/>
    </row>
    <row r="88" spans="1:16" x14ac:dyDescent="0.2">
      <c r="P88" s="4401"/>
    </row>
    <row r="89" spans="1:16" ht="15" x14ac:dyDescent="0.2">
      <c r="A89" s="6300" t="s">
        <v>411</v>
      </c>
      <c r="B89" s="4148" t="s">
        <v>5</v>
      </c>
      <c r="C89" s="4392"/>
      <c r="D89" s="4392"/>
      <c r="E89" s="4392"/>
      <c r="F89" s="4392"/>
      <c r="G89" s="4392"/>
      <c r="H89" s="4392"/>
      <c r="I89" s="4392"/>
      <c r="J89" s="4392">
        <f>'ACTIVOS uni'!K22/'Alumnos x PTC'!AV22</f>
        <v>15</v>
      </c>
      <c r="K89" s="4392">
        <f>'ACTIVOS uni'!L22/'Alumnos x PTC'!AZ22</f>
        <v>11.285714285714286</v>
      </c>
      <c r="L89" s="4392">
        <f>'ACTIVOS uni'!M22/'Alumnos x PTC'!BD22</f>
        <v>15.375</v>
      </c>
      <c r="M89" s="4392">
        <f>'ACTIVOS uni'!N22/'Alumnos x PTC'!BH22</f>
        <v>13.9</v>
      </c>
      <c r="N89" s="4392">
        <f>'ACTIVOS uni'!O22/'Alumnos x PTC'!BL22</f>
        <v>11.533333333333333</v>
      </c>
      <c r="P89" s="4401"/>
    </row>
    <row r="90" spans="1:16" ht="15" x14ac:dyDescent="0.2">
      <c r="A90" s="5103"/>
      <c r="B90" s="1926" t="s">
        <v>6</v>
      </c>
      <c r="C90" s="4393"/>
      <c r="D90" s="4393"/>
      <c r="E90" s="4393"/>
      <c r="F90" s="4393"/>
      <c r="G90" s="4393"/>
      <c r="H90" s="4393"/>
      <c r="I90" s="4393"/>
      <c r="J90" s="4393">
        <f>'ACTIVOS uni'!K23/'Alumnos x PTC'!AV23</f>
        <v>19.333333333333332</v>
      </c>
      <c r="K90" s="4393">
        <f>'ACTIVOS uni'!L23/'Alumnos x PTC'!AZ23</f>
        <v>13.333333333333334</v>
      </c>
      <c r="L90" s="4393">
        <f>'ACTIVOS uni'!M23/'Alumnos x PTC'!BD23</f>
        <v>19.714285714285715</v>
      </c>
      <c r="M90" s="4393">
        <f>'ACTIVOS uni'!N23/'Alumnos x PTC'!BH23</f>
        <v>13.23076923076923</v>
      </c>
      <c r="N90" s="4393">
        <f>'ACTIVOS uni'!O23/'Alumnos x PTC'!BL23</f>
        <v>16.384615384615383</v>
      </c>
      <c r="P90" s="4401"/>
    </row>
    <row r="91" spans="1:16" ht="15" x14ac:dyDescent="0.2">
      <c r="A91" s="5103"/>
      <c r="B91" s="1926" t="s">
        <v>11</v>
      </c>
      <c r="C91" s="4393"/>
      <c r="D91" s="4393"/>
      <c r="E91" s="4393"/>
      <c r="F91" s="4393"/>
      <c r="G91" s="4393"/>
      <c r="H91" s="4393"/>
      <c r="I91" s="4393"/>
      <c r="J91" s="4393">
        <f>'ACTIVOS uni'!K24/'Alumnos x PTC'!AV24</f>
        <v>9.1666666666666661</v>
      </c>
      <c r="K91" s="4393">
        <f>'ACTIVOS uni'!L24/'Alumnos x PTC'!AZ24</f>
        <v>7.666666666666667</v>
      </c>
      <c r="L91" s="4393">
        <f>'ACTIVOS uni'!M24/'Alumnos x PTC'!BD24</f>
        <v>8.9230769230769234</v>
      </c>
      <c r="M91" s="4393">
        <f>'ACTIVOS uni'!N24/'Alumnos x PTC'!BH24</f>
        <v>11.307692307692308</v>
      </c>
      <c r="N91" s="4393">
        <f>'ACTIVOS uni'!O24/'Alumnos x PTC'!BL24</f>
        <v>14.857142857142858</v>
      </c>
      <c r="P91" s="4401"/>
    </row>
    <row r="92" spans="1:16" ht="15" x14ac:dyDescent="0.2">
      <c r="A92" s="6301"/>
      <c r="B92" s="3020" t="s">
        <v>160</v>
      </c>
      <c r="C92" s="4397"/>
      <c r="D92" s="4397"/>
      <c r="E92" s="4397"/>
      <c r="F92" s="4397"/>
      <c r="G92" s="4397"/>
      <c r="H92" s="4397"/>
      <c r="I92" s="4397"/>
      <c r="J92" s="4397">
        <f>'ACTIVOS uni'!K25/'Alumnos x PTC'!AV25</f>
        <v>13.307692307692308</v>
      </c>
      <c r="K92" s="4397">
        <f>'ACTIVOS uni'!L25/'Alumnos x PTC'!AZ25</f>
        <v>10.363636363636363</v>
      </c>
      <c r="L92" s="4397">
        <f>'ACTIVOS uni'!M25/'Alumnos x PTC'!BD25</f>
        <v>13.464285714285714</v>
      </c>
      <c r="M92" s="4397">
        <f>'ACTIVOS uni'!N25/'Alumnos x PTC'!BH25</f>
        <v>12.722222222222221</v>
      </c>
      <c r="N92" s="4397">
        <f>'ACTIVOS uni'!O25/'Alumnos x PTC'!BL25</f>
        <v>14.142857142857142</v>
      </c>
      <c r="P92" s="4401"/>
    </row>
    <row r="93" spans="1:16" x14ac:dyDescent="0.2">
      <c r="P93" s="4401"/>
    </row>
    <row r="94" spans="1:16" ht="15" x14ac:dyDescent="0.2">
      <c r="A94" s="6302" t="s">
        <v>163</v>
      </c>
      <c r="B94" s="4148" t="s">
        <v>6</v>
      </c>
      <c r="C94" s="4392">
        <f>'ACTIVOS uni'!D27/'Alumnos x PTC'!T27</f>
        <v>16.231261425959779</v>
      </c>
      <c r="D94" s="4392">
        <f>'ACTIVOS uni'!E27/'Alumnos x PTC'!X27</f>
        <v>17.142460684551342</v>
      </c>
      <c r="E94" s="4392">
        <f>'ACTIVOS uni'!F27/'Alumnos x PTC'!AB27</f>
        <v>17.30939226519337</v>
      </c>
      <c r="F94" s="4392">
        <f>'ACTIVOS uni'!G27/'Alumnos x PTC'!AF27</f>
        <v>18.453538757823782</v>
      </c>
      <c r="G94" s="4392">
        <f>'ACTIVOS uni'!H27/'Alumnos x PTC'!AJ27</f>
        <v>18.098777046095957</v>
      </c>
      <c r="H94" s="4392">
        <f>'ACTIVOS uni'!I27/'Alumnos x PTC'!AN27</f>
        <v>17.12</v>
      </c>
      <c r="I94" s="4392">
        <f>'ACTIVOS uni'!J27/'Alumnos x PTC'!AR27</f>
        <v>16.88583218707015</v>
      </c>
      <c r="J94" s="4392">
        <f>'ACTIVOS uni'!K27/'Alumnos x PTC'!AV27</f>
        <v>16.070765148164529</v>
      </c>
      <c r="K94" s="4392">
        <f>'ACTIVOS uni'!L27/'Alumnos x PTC'!AZ27</f>
        <v>16.092819614711033</v>
      </c>
      <c r="L94" s="4392">
        <f>'ACTIVOS uni'!M27/'Alumnos x PTC'!BD27</f>
        <v>16.463704355477343</v>
      </c>
      <c r="M94" s="4392">
        <f>'ACTIVOS uni'!N27/'Alumnos x PTC'!BH27</f>
        <v>16.300486080424214</v>
      </c>
      <c r="N94" s="4392">
        <f>'ACTIVOS uni'!O27/'Alumnos x PTC'!BL27</f>
        <v>16.573595004460302</v>
      </c>
      <c r="P94" s="4401"/>
    </row>
    <row r="95" spans="1:16" ht="15" x14ac:dyDescent="0.2">
      <c r="A95" s="5073"/>
      <c r="B95" s="1926" t="s">
        <v>11</v>
      </c>
      <c r="C95" s="4393">
        <f>'ACTIVOS uni'!D28/'Alumnos x PTC'!T28</f>
        <v>19.190714610832952</v>
      </c>
      <c r="D95" s="4393">
        <f>'ACTIVOS uni'!E28/'Alumnos x PTC'!X28</f>
        <v>20.405429864253392</v>
      </c>
      <c r="E95" s="4393">
        <f>'ACTIVOS uni'!F28/'Alumnos x PTC'!AB28</f>
        <v>21.442446043165468</v>
      </c>
      <c r="F95" s="4393">
        <f>'ACTIVOS uni'!G28/'Alumnos x PTC'!AF28</f>
        <v>21.951752389622211</v>
      </c>
      <c r="G95" s="4393">
        <f>'ACTIVOS uni'!H28/'Alumnos x PTC'!AJ28</f>
        <v>21.987132352941174</v>
      </c>
      <c r="H95" s="4393">
        <f>'ACTIVOS uni'!I28/'Alumnos x PTC'!AN28</f>
        <v>21.780084945729115</v>
      </c>
      <c r="I95" s="4393">
        <f>'ACTIVOS uni'!J28/'Alumnos x PTC'!AR28</f>
        <v>21.406162464985993</v>
      </c>
      <c r="J95" s="4393">
        <f>'ACTIVOS uni'!K28/'Alumnos x PTC'!AV28</f>
        <v>21.248479176415536</v>
      </c>
      <c r="K95" s="4393">
        <f>'ACTIVOS uni'!L28/'Alumnos x PTC'!AZ28</f>
        <v>20.704963235294116</v>
      </c>
      <c r="L95" s="4393">
        <f>'ACTIVOS uni'!M28/'Alumnos x PTC'!BD28</f>
        <v>20.622444343480236</v>
      </c>
      <c r="M95" s="4393">
        <f>'ACTIVOS uni'!N28/'Alumnos x PTC'!BH28</f>
        <v>20.2</v>
      </c>
      <c r="N95" s="4393">
        <f>'ACTIVOS uni'!O28/'Alumnos x PTC'!BL28</f>
        <v>20.317516629711754</v>
      </c>
      <c r="P95" s="4401"/>
    </row>
    <row r="96" spans="1:16" ht="15" x14ac:dyDescent="0.2">
      <c r="A96" s="5073"/>
      <c r="B96" s="1926" t="s">
        <v>7</v>
      </c>
      <c r="C96" s="4393">
        <f>'ACTIVOS uni'!D29/'Alumnos x PTC'!T29</f>
        <v>20.65938864628821</v>
      </c>
      <c r="D96" s="4393">
        <f>'ACTIVOS uni'!E29/'Alumnos x PTC'!X29</f>
        <v>22.322147651006713</v>
      </c>
      <c r="E96" s="4393">
        <f>'ACTIVOS uni'!F29/'Alumnos x PTC'!AB29</f>
        <v>21.679306608884072</v>
      </c>
      <c r="F96" s="4393">
        <f>'ACTIVOS uni'!G29/'Alumnos x PTC'!AF29</f>
        <v>21.945652173913043</v>
      </c>
      <c r="G96" s="4393">
        <f>'ACTIVOS uni'!H29/'Alumnos x PTC'!AJ29</f>
        <v>22.296943231441048</v>
      </c>
      <c r="H96" s="4393">
        <f>'ACTIVOS uni'!I29/'Alumnos x PTC'!AN29</f>
        <v>20.554267650158064</v>
      </c>
      <c r="I96" s="4393">
        <f>'ACTIVOS uni'!J29/'Alumnos x PTC'!AR29</f>
        <v>20.029319371727748</v>
      </c>
      <c r="J96" s="4393">
        <f>'ACTIVOS uni'!K29/'Alumnos x PTC'!AV29</f>
        <v>19.119587628865979</v>
      </c>
      <c r="K96" s="4393">
        <f>'ACTIVOS uni'!L29/'Alumnos x PTC'!AZ29</f>
        <v>19.67573221757322</v>
      </c>
      <c r="L96" s="4393">
        <f>'ACTIVOS uni'!M29/'Alumnos x PTC'!BD29</f>
        <v>19.976915005246589</v>
      </c>
      <c r="M96" s="4393">
        <f>'ACTIVOS uni'!N29/'Alumnos x PTC'!BH29</f>
        <v>19.287894201424212</v>
      </c>
      <c r="N96" s="4393">
        <f>'ACTIVOS uni'!O29/'Alumnos x PTC'!BL29</f>
        <v>19.503105590062113</v>
      </c>
      <c r="P96" s="4401"/>
    </row>
    <row r="97" spans="1:16" ht="15" x14ac:dyDescent="0.2">
      <c r="A97" s="5074"/>
      <c r="B97" s="3017" t="s">
        <v>160</v>
      </c>
      <c r="C97" s="4398">
        <f>'ACTIVOS uni'!D30/'Alumnos x PTC'!T30</f>
        <v>18.222976796830785</v>
      </c>
      <c r="D97" s="4398">
        <f>'ACTIVOS uni'!E30/'Alumnos x PTC'!X30</f>
        <v>19.391188758070644</v>
      </c>
      <c r="E97" s="4398">
        <f>'ACTIVOS uni'!F30/'Alumnos x PTC'!AB30</f>
        <v>19.795826283135927</v>
      </c>
      <c r="F97" s="4398">
        <f>'ACTIVOS uni'!G30/'Alumnos x PTC'!AF30</f>
        <v>20.551790527531768</v>
      </c>
      <c r="G97" s="4398">
        <f>'ACTIVOS uni'!H30/'Alumnos x PTC'!AJ30</f>
        <v>20.45726331927942</v>
      </c>
      <c r="H97" s="4398">
        <f>'ACTIVOS uni'!I30/'Alumnos x PTC'!AN30</f>
        <v>19.625023841312224</v>
      </c>
      <c r="I97" s="4398">
        <f>'ACTIVOS uni'!J30/'Alumnos x PTC'!AR30</f>
        <v>19.289124668435015</v>
      </c>
      <c r="J97" s="4398">
        <f>'ACTIVOS uni'!K30/'Alumnos x PTC'!AV30</f>
        <v>18.682935916542476</v>
      </c>
      <c r="K97" s="4398">
        <f>'ACTIVOS uni'!L30/'Alumnos x PTC'!AZ30</f>
        <v>18.578286558345642</v>
      </c>
      <c r="L97" s="4398">
        <f>'ACTIVOS uni'!M30/'Alumnos x PTC'!BD30</f>
        <v>18.767274737423993</v>
      </c>
      <c r="M97" s="4398">
        <f>'ACTIVOS uni'!N30/'Alumnos x PTC'!BH30</f>
        <v>18.431222707423579</v>
      </c>
      <c r="N97" s="4398">
        <f>'ACTIVOS uni'!O30/'Alumnos x PTC'!BL30</f>
        <v>18.637012630422845</v>
      </c>
      <c r="P97" s="4401"/>
    </row>
    <row r="98" spans="1:16" ht="15" x14ac:dyDescent="0.25">
      <c r="A98" s="1925"/>
      <c r="B98" s="1925"/>
      <c r="C98" s="3802"/>
      <c r="D98" s="3802"/>
      <c r="E98" s="3802"/>
      <c r="F98" s="3802"/>
      <c r="G98" s="3802"/>
      <c r="H98" s="3802"/>
      <c r="I98" s="3802"/>
      <c r="J98" s="3802"/>
      <c r="K98" s="3802"/>
      <c r="L98" s="3802"/>
      <c r="M98" s="3802"/>
      <c r="N98" s="3802"/>
      <c r="P98" s="4401"/>
    </row>
    <row r="99" spans="1:16" ht="15" x14ac:dyDescent="0.2">
      <c r="A99" s="4149" t="s">
        <v>60</v>
      </c>
      <c r="B99" s="4150"/>
      <c r="C99" s="3021">
        <f>'ACTIVOS uni'!D38/'Alumnos x PTC'!T32</f>
        <v>16.672620959969155</v>
      </c>
      <c r="D99" s="3021">
        <f>'ACTIVOS uni'!E38/'Alumnos x PTC'!X32</f>
        <v>17.142416848593811</v>
      </c>
      <c r="E99" s="3021">
        <f>'ACTIVOS uni'!F38/'Alumnos x PTC'!AB32</f>
        <v>17.221674876847292</v>
      </c>
      <c r="F99" s="3021">
        <f>'ACTIVOS uni'!G38/'Alumnos x PTC'!AF32</f>
        <v>17.381629202930309</v>
      </c>
      <c r="G99" s="3021">
        <f>'ACTIVOS uni'!H38/'Alumnos x PTC'!AJ32</f>
        <v>17.675847062480571</v>
      </c>
      <c r="H99" s="3021">
        <f>'ACTIVOS uni'!I38/'Alumnos x PTC'!AN32</f>
        <v>17.535526884375578</v>
      </c>
      <c r="I99" s="3021">
        <f>'ACTIVOS uni'!J38/'Alumnos x PTC'!AR32</f>
        <v>17.739003467786091</v>
      </c>
      <c r="J99" s="3021">
        <f>'ACTIVOS uni'!K38/'Alumnos x PTC'!AV32</f>
        <v>17.771343104995513</v>
      </c>
      <c r="K99" s="3021">
        <f>'ACTIVOS uni'!L38/'Alumnos x PTC'!AZ32</f>
        <v>18.08094674556213</v>
      </c>
      <c r="L99" s="3021">
        <f>'ACTIVOS uni'!M38/'Alumnos x PTC'!BD32</f>
        <v>18.378722410370198</v>
      </c>
      <c r="M99" s="3021">
        <f>'ACTIVOS uni'!N38/'Alumnos x PTC'!BH32</f>
        <v>18.159285959491932</v>
      </c>
      <c r="N99" s="3021">
        <f>'ACTIVOS uni'!O38/'Alumnos x PTC'!BL32</f>
        <v>18.46957725359017</v>
      </c>
      <c r="P99" s="4401"/>
    </row>
    <row r="101" spans="1:16" ht="15" x14ac:dyDescent="0.2">
      <c r="A101" s="263" t="s">
        <v>834</v>
      </c>
      <c r="B101" s="263" t="s">
        <v>1403</v>
      </c>
    </row>
    <row r="102" spans="1:16" ht="15" x14ac:dyDescent="0.25">
      <c r="A102" s="251"/>
      <c r="B102" s="263" t="s">
        <v>1402</v>
      </c>
    </row>
    <row r="103" spans="1:16" ht="15" x14ac:dyDescent="0.25">
      <c r="A103" s="251"/>
    </row>
    <row r="136" spans="1:31" ht="15.75" x14ac:dyDescent="0.25">
      <c r="A136" s="139" t="s">
        <v>836</v>
      </c>
      <c r="C136" s="139"/>
    </row>
    <row r="137" spans="1:31" x14ac:dyDescent="0.2">
      <c r="Q137" s="144" t="s">
        <v>1408</v>
      </c>
    </row>
    <row r="138" spans="1:31" ht="15" x14ac:dyDescent="0.2">
      <c r="A138" s="4170" t="s">
        <v>51</v>
      </c>
      <c r="B138" s="4170" t="s">
        <v>702</v>
      </c>
      <c r="C138" s="4170">
        <v>2004</v>
      </c>
      <c r="D138" s="1472">
        <v>2005</v>
      </c>
      <c r="E138" s="4171">
        <v>2006</v>
      </c>
      <c r="F138" s="1472">
        <v>2007</v>
      </c>
      <c r="G138" s="1472">
        <v>2008</v>
      </c>
      <c r="H138" s="1472">
        <v>2009</v>
      </c>
      <c r="I138" s="1472">
        <v>2010</v>
      </c>
      <c r="J138" s="1472">
        <v>2011</v>
      </c>
      <c r="K138" s="1472">
        <v>2012</v>
      </c>
      <c r="L138" s="1472">
        <v>2013</v>
      </c>
      <c r="M138" s="1472">
        <v>2014</v>
      </c>
      <c r="N138" s="1472">
        <v>2015</v>
      </c>
      <c r="Q138" s="4401" t="s">
        <v>164</v>
      </c>
      <c r="R138" s="4401" t="s">
        <v>25</v>
      </c>
      <c r="S138" s="4401"/>
      <c r="T138" s="4401">
        <v>2004</v>
      </c>
      <c r="U138" s="4401">
        <v>2005</v>
      </c>
      <c r="V138" s="4401">
        <v>2006</v>
      </c>
      <c r="W138" s="4401">
        <v>2007</v>
      </c>
      <c r="X138" s="4401">
        <v>2008</v>
      </c>
      <c r="Y138" s="4401">
        <v>2009</v>
      </c>
      <c r="Z138" s="4401">
        <v>2010</v>
      </c>
      <c r="AA138" s="4401">
        <v>2011</v>
      </c>
      <c r="AB138" s="4401">
        <v>2012</v>
      </c>
      <c r="AC138" s="4401">
        <v>2013</v>
      </c>
      <c r="AD138" s="4401">
        <v>2014</v>
      </c>
      <c r="AE138" s="4401">
        <v>2015</v>
      </c>
    </row>
    <row r="139" spans="1:31" ht="15" x14ac:dyDescent="0.25">
      <c r="A139" s="251"/>
      <c r="B139" s="251"/>
      <c r="C139" s="251"/>
      <c r="D139" s="251"/>
      <c r="E139" s="251"/>
      <c r="F139" s="251"/>
      <c r="G139" s="251"/>
      <c r="H139" s="251"/>
      <c r="I139" s="251"/>
      <c r="J139" s="251"/>
      <c r="K139" s="251"/>
      <c r="L139" s="251"/>
      <c r="M139" s="251"/>
      <c r="N139" s="251"/>
      <c r="Q139" s="4401"/>
      <c r="R139" s="4401"/>
      <c r="S139" s="4401"/>
      <c r="T139" s="4401"/>
      <c r="U139" s="4401"/>
      <c r="V139" s="4401"/>
      <c r="W139" s="4401"/>
      <c r="X139" s="4401"/>
      <c r="Y139" s="4401"/>
      <c r="Z139" s="4401"/>
      <c r="AA139" s="4401"/>
      <c r="AB139" s="4401"/>
      <c r="AC139" s="4401"/>
      <c r="AD139" s="4401"/>
      <c r="AE139" s="4401"/>
    </row>
    <row r="140" spans="1:31" ht="15" x14ac:dyDescent="0.2">
      <c r="A140" s="6297" t="s">
        <v>161</v>
      </c>
      <c r="B140" s="4148" t="s">
        <v>5</v>
      </c>
      <c r="C140" s="4392">
        <f>T140/T7</f>
        <v>0.99528746465598483</v>
      </c>
      <c r="D140" s="4392">
        <f>U140/X7</f>
        <v>1.0197740112994351</v>
      </c>
      <c r="E140" s="4392">
        <f>V140/AB7</f>
        <v>0.92115027829313545</v>
      </c>
      <c r="F140" s="4392">
        <f>W140/AF7</f>
        <v>0.90094128193635148</v>
      </c>
      <c r="G140" s="4392">
        <f>X140/AJ7</f>
        <v>0.8235823582358236</v>
      </c>
      <c r="H140" s="4392">
        <f>Y140/AN7</f>
        <v>0.956989247311828</v>
      </c>
      <c r="I140" s="4392">
        <f>Z140/AR7</f>
        <v>1.0352303523035231</v>
      </c>
      <c r="J140" s="4392">
        <f>AA140/AV7</f>
        <v>1.0844686648501363</v>
      </c>
      <c r="K140" s="4392">
        <f>AB140/AZ7</f>
        <v>0.97130044843049324</v>
      </c>
      <c r="L140" s="4392">
        <f>AC140/BD7</f>
        <v>1.105333930972658</v>
      </c>
      <c r="M140" s="4392">
        <f>AD140/BH7</f>
        <v>1.3069828722002634</v>
      </c>
      <c r="N140" s="4392">
        <f>AE140/BL7</f>
        <v>1.4165170556552964</v>
      </c>
      <c r="Q140" s="4401"/>
      <c r="R140" s="4401" t="s">
        <v>13</v>
      </c>
      <c r="S140" s="4401"/>
      <c r="T140" s="4401">
        <v>352</v>
      </c>
      <c r="U140" s="4401">
        <v>361</v>
      </c>
      <c r="V140" s="4401">
        <v>331</v>
      </c>
      <c r="W140" s="4401">
        <v>335</v>
      </c>
      <c r="X140" s="4401">
        <v>305</v>
      </c>
      <c r="Y140" s="4401">
        <v>356</v>
      </c>
      <c r="Z140" s="4401">
        <v>382</v>
      </c>
      <c r="AA140" s="4401">
        <v>398</v>
      </c>
      <c r="AB140" s="4401">
        <v>361</v>
      </c>
      <c r="AC140" s="4401">
        <v>411</v>
      </c>
      <c r="AD140" s="4401">
        <v>496</v>
      </c>
      <c r="AE140" s="4401">
        <v>526</v>
      </c>
    </row>
    <row r="141" spans="1:31" ht="15" x14ac:dyDescent="0.2">
      <c r="A141" s="5066"/>
      <c r="B141" s="1926" t="s">
        <v>6</v>
      </c>
      <c r="C141" s="4393">
        <f>T141/T8</f>
        <v>0.70461538461538464</v>
      </c>
      <c r="D141" s="4393">
        <f>U141/X8</f>
        <v>0.78043704474505726</v>
      </c>
      <c r="E141" s="4393">
        <f>V141/AB8</f>
        <v>0.70816733067729076</v>
      </c>
      <c r="F141" s="4393">
        <f>W141/AF8</f>
        <v>1.3198818897637794</v>
      </c>
      <c r="G141" s="4393">
        <f>X141/AJ8</f>
        <v>1.0197044334975369</v>
      </c>
      <c r="H141" s="4393">
        <f>Y141/AN8</f>
        <v>1.2357320099255584</v>
      </c>
      <c r="I141" s="4393">
        <f>Z141/AR8</f>
        <v>1.1054216867469879</v>
      </c>
      <c r="J141" s="4393">
        <f>AA141/AV8</f>
        <v>1.2347740667976426</v>
      </c>
      <c r="K141" s="4393">
        <f>AB141/AZ8</f>
        <v>1.1111111111111112</v>
      </c>
      <c r="L141" s="4393">
        <f>AC141/BD8</f>
        <v>1.3930110100526567</v>
      </c>
      <c r="M141" s="4393">
        <f>AD141/BH8</f>
        <v>1.418705035971223</v>
      </c>
      <c r="N141" s="4393">
        <f>AE141/BL8</f>
        <v>1.4243759177679882</v>
      </c>
      <c r="Q141" s="4401"/>
      <c r="R141" s="4401" t="s">
        <v>14</v>
      </c>
      <c r="S141" s="4401"/>
      <c r="T141" s="4401">
        <v>229</v>
      </c>
      <c r="U141" s="4401">
        <v>250</v>
      </c>
      <c r="V141" s="4401">
        <v>237</v>
      </c>
      <c r="W141" s="4401">
        <v>447</v>
      </c>
      <c r="X141" s="4401">
        <v>345</v>
      </c>
      <c r="Y141" s="4401">
        <v>415</v>
      </c>
      <c r="Z141" s="4401">
        <v>367</v>
      </c>
      <c r="AA141" s="4401">
        <v>419</v>
      </c>
      <c r="AB141" s="4401">
        <v>375</v>
      </c>
      <c r="AC141" s="4401">
        <v>485</v>
      </c>
      <c r="AD141" s="4401">
        <v>493</v>
      </c>
      <c r="AE141" s="4401">
        <v>485</v>
      </c>
    </row>
    <row r="142" spans="1:31" ht="15" x14ac:dyDescent="0.2">
      <c r="A142" s="5066"/>
      <c r="B142" s="1926" t="s">
        <v>7</v>
      </c>
      <c r="C142" s="4393">
        <f>T142/T9</f>
        <v>0.73146622734761113</v>
      </c>
      <c r="D142" s="4393">
        <f>U142/X9</f>
        <v>0.66393442622950827</v>
      </c>
      <c r="E142" s="4393">
        <f>V142/AB9</f>
        <v>0.79611650485436891</v>
      </c>
      <c r="F142" s="4393">
        <f>W142/AF9</f>
        <v>1.0183028286189684</v>
      </c>
      <c r="G142" s="4393">
        <f>X142/AJ9</f>
        <v>1.2789342214820982</v>
      </c>
      <c r="H142" s="4393">
        <f>Y142/AN9</f>
        <v>1.3354838709677419</v>
      </c>
      <c r="I142" s="4393">
        <f>Z142/AR9</f>
        <v>1.7800154918667701</v>
      </c>
      <c r="J142" s="4393">
        <f>AA142/AV9</f>
        <v>2.0413793103448277</v>
      </c>
      <c r="K142" s="4393">
        <f>AB142/AZ9</f>
        <v>1.9318181818181819</v>
      </c>
      <c r="L142" s="4393">
        <f>AC142/BD9</f>
        <v>1.8702460850111857</v>
      </c>
      <c r="M142" s="4393">
        <f>AD142/BH9</f>
        <v>1.9900568181818183</v>
      </c>
      <c r="N142" s="4393">
        <f>AE142/BL9</f>
        <v>1.8807272727272728</v>
      </c>
      <c r="Q142" s="4401"/>
      <c r="R142" s="4401" t="s">
        <v>15</v>
      </c>
      <c r="S142" s="4401"/>
      <c r="T142" s="4401">
        <v>148</v>
      </c>
      <c r="U142" s="4401">
        <v>135</v>
      </c>
      <c r="V142" s="4401">
        <v>164</v>
      </c>
      <c r="W142" s="4401">
        <v>204</v>
      </c>
      <c r="X142" s="4401">
        <v>256</v>
      </c>
      <c r="Y142" s="4401">
        <v>276</v>
      </c>
      <c r="Z142" s="4401">
        <v>383</v>
      </c>
      <c r="AA142" s="4401">
        <v>444</v>
      </c>
      <c r="AB142" s="4401">
        <v>425</v>
      </c>
      <c r="AC142" s="4401">
        <v>418</v>
      </c>
      <c r="AD142" s="4401">
        <v>467</v>
      </c>
      <c r="AE142" s="4401">
        <v>431</v>
      </c>
    </row>
    <row r="143" spans="1:31" ht="15" x14ac:dyDescent="0.2">
      <c r="A143" s="5067"/>
      <c r="B143" s="3016" t="s">
        <v>160</v>
      </c>
      <c r="C143" s="4394">
        <f>T143/T10</f>
        <v>0.82746878547105562</v>
      </c>
      <c r="D143" s="4394">
        <f>U143/X10</f>
        <v>0.84998101025446249</v>
      </c>
      <c r="E143" s="4394">
        <f>V143/AB10</f>
        <v>0.81333333333333335</v>
      </c>
      <c r="F143" s="4394">
        <f>W143/AF10</f>
        <v>1.0825251601097896</v>
      </c>
      <c r="G143" s="4394">
        <f>X143/AJ10</f>
        <v>0.99688245002750775</v>
      </c>
      <c r="H143" s="4394">
        <f>Y143/AN10</f>
        <v>1.1448879168944779</v>
      </c>
      <c r="I143" s="4394">
        <f>Z143/AR10</f>
        <v>1.235583045297435</v>
      </c>
      <c r="J143" s="4394">
        <f>AA143/AV10</f>
        <v>1.364964820494317</v>
      </c>
      <c r="K143" s="4394">
        <f>AB143/AZ10</f>
        <v>1.2495067264573991</v>
      </c>
      <c r="L143" s="4394">
        <f>AC143/BD10</f>
        <v>1.3926868044515104</v>
      </c>
      <c r="M143" s="4394">
        <f>AD143/BH10</f>
        <v>1.5140381282495667</v>
      </c>
      <c r="N143" s="4394">
        <f>AE143/BL10</f>
        <v>1.5324123273113708</v>
      </c>
      <c r="Q143" s="4580" t="s">
        <v>446</v>
      </c>
      <c r="R143" s="4581" t="s">
        <v>12</v>
      </c>
      <c r="S143" s="4581"/>
      <c r="T143" s="4581">
        <v>729</v>
      </c>
      <c r="U143" s="4581">
        <v>746</v>
      </c>
      <c r="V143" s="4581">
        <v>732</v>
      </c>
      <c r="W143" s="4581">
        <v>986</v>
      </c>
      <c r="X143" s="4581">
        <v>906</v>
      </c>
      <c r="Y143" s="4581">
        <v>1047</v>
      </c>
      <c r="Z143" s="4581">
        <v>1132</v>
      </c>
      <c r="AA143" s="4581">
        <v>1261</v>
      </c>
      <c r="AB143" s="4581">
        <v>1161</v>
      </c>
      <c r="AC143" s="4581">
        <v>1314</v>
      </c>
      <c r="AD143" s="4581">
        <v>1456</v>
      </c>
      <c r="AE143" s="4581">
        <v>1442</v>
      </c>
    </row>
    <row r="144" spans="1:31" x14ac:dyDescent="0.2">
      <c r="Q144" s="4401"/>
      <c r="R144" s="4401"/>
      <c r="S144" s="4401"/>
      <c r="T144" s="4401"/>
      <c r="U144" s="4401"/>
      <c r="V144" s="4401"/>
      <c r="W144" s="4401"/>
      <c r="X144" s="4401"/>
      <c r="Y144" s="4401"/>
      <c r="Z144" s="4401"/>
      <c r="AA144" s="4401"/>
      <c r="AB144" s="4401"/>
      <c r="AC144" s="4401"/>
      <c r="AD144" s="4401"/>
      <c r="AE144" s="4401"/>
    </row>
    <row r="145" spans="1:32" ht="15" x14ac:dyDescent="0.2">
      <c r="A145" s="6298" t="s">
        <v>410</v>
      </c>
      <c r="B145" s="4148" t="s">
        <v>6</v>
      </c>
      <c r="C145" s="4392"/>
      <c r="D145" s="4392"/>
      <c r="E145" s="4392"/>
      <c r="F145" s="4392"/>
      <c r="G145" s="4392"/>
      <c r="H145" s="4392"/>
      <c r="I145" s="4392"/>
      <c r="J145" s="4392">
        <f>AA145/AV12</f>
        <v>1.6227758007117437</v>
      </c>
      <c r="K145" s="4392">
        <f>AB145/AZ12</f>
        <v>3</v>
      </c>
      <c r="L145" s="4392">
        <f>AC145/BD12</f>
        <v>3.8873239436619715</v>
      </c>
      <c r="M145" s="4392">
        <f>AD145/BH12</f>
        <v>3.96</v>
      </c>
      <c r="N145" s="4392">
        <f>AE145/BL12</f>
        <v>4.7524752475247523</v>
      </c>
      <c r="Q145" s="4401"/>
      <c r="R145" s="4401" t="s">
        <v>14</v>
      </c>
      <c r="S145" s="4401" t="s">
        <v>6</v>
      </c>
      <c r="T145" s="4401"/>
      <c r="U145" s="4401"/>
      <c r="V145" s="4401"/>
      <c r="W145" s="4401"/>
      <c r="X145" s="4401"/>
      <c r="Y145" s="4401"/>
      <c r="Z145" s="4401"/>
      <c r="AA145" s="4401">
        <v>76</v>
      </c>
      <c r="AB145" s="4401">
        <v>130</v>
      </c>
      <c r="AC145" s="4401">
        <v>184</v>
      </c>
      <c r="AD145" s="4401">
        <v>198</v>
      </c>
      <c r="AE145" s="4401">
        <v>240</v>
      </c>
    </row>
    <row r="146" spans="1:32" ht="15" x14ac:dyDescent="0.2">
      <c r="A146" s="5070"/>
      <c r="B146" s="1926" t="s">
        <v>9</v>
      </c>
      <c r="C146" s="4393"/>
      <c r="D146" s="4393"/>
      <c r="E146" s="4393"/>
      <c r="F146" s="4393"/>
      <c r="G146" s="4393"/>
      <c r="H146" s="4393"/>
      <c r="I146" s="4393"/>
      <c r="J146" s="4393">
        <f>AA146/AV13</f>
        <v>0</v>
      </c>
      <c r="K146" s="4393">
        <f>AB146/AZ13</f>
        <v>0.45859872611464964</v>
      </c>
      <c r="L146" s="4393">
        <f>AC146/BD13</f>
        <v>0.92903225806451617</v>
      </c>
      <c r="M146" s="4393">
        <f>AD146/BH13</f>
        <v>1.6050955414012738</v>
      </c>
      <c r="N146" s="4393">
        <f>AE146/BL13</f>
        <v>1.8404907975460121</v>
      </c>
      <c r="Q146" s="4401"/>
      <c r="R146" s="4401" t="s">
        <v>30</v>
      </c>
      <c r="S146" s="4401" t="s">
        <v>9</v>
      </c>
      <c r="T146" s="4401"/>
      <c r="U146" s="4401"/>
      <c r="V146" s="4401"/>
      <c r="W146" s="4401"/>
      <c r="X146" s="4401"/>
      <c r="Y146" s="4401"/>
      <c r="Z146" s="4401"/>
      <c r="AA146" s="4401"/>
      <c r="AB146" s="4401">
        <v>24</v>
      </c>
      <c r="AC146" s="4401">
        <v>48</v>
      </c>
      <c r="AD146" s="4401">
        <v>84</v>
      </c>
      <c r="AE146" s="4401">
        <v>100</v>
      </c>
    </row>
    <row r="147" spans="1:32" ht="15" x14ac:dyDescent="0.2">
      <c r="A147" s="5070"/>
      <c r="B147" s="1926" t="s">
        <v>74</v>
      </c>
      <c r="C147" s="4393"/>
      <c r="D147" s="4393"/>
      <c r="E147" s="4393"/>
      <c r="F147" s="4393"/>
      <c r="G147" s="4393"/>
      <c r="H147" s="4393"/>
      <c r="I147" s="4393"/>
      <c r="J147" s="4393">
        <f>AA147/AV14</f>
        <v>2.3030303030303032</v>
      </c>
      <c r="K147" s="4393">
        <f>AB147/AZ14</f>
        <v>5.3944954128440363</v>
      </c>
      <c r="L147" s="4393">
        <f>AC147/BD14</f>
        <v>8.5333333333333332</v>
      </c>
      <c r="M147" s="4393">
        <f>AD147/BH14</f>
        <v>9.5862068965517242</v>
      </c>
      <c r="N147" s="4393">
        <f>AE147/BL14</f>
        <v>11.512915129151292</v>
      </c>
      <c r="Q147" s="4401"/>
      <c r="R147" s="4401" t="s">
        <v>15</v>
      </c>
      <c r="S147" s="4401" t="s">
        <v>74</v>
      </c>
      <c r="T147" s="4401"/>
      <c r="U147" s="4401"/>
      <c r="V147" s="4401"/>
      <c r="W147" s="4401"/>
      <c r="X147" s="4401"/>
      <c r="Y147" s="4401"/>
      <c r="Z147" s="4401"/>
      <c r="AA147" s="4401">
        <v>76</v>
      </c>
      <c r="AB147" s="4401">
        <v>196</v>
      </c>
      <c r="AC147" s="4401">
        <v>320</v>
      </c>
      <c r="AD147" s="4401">
        <v>417</v>
      </c>
      <c r="AE147" s="4401">
        <v>520</v>
      </c>
    </row>
    <row r="148" spans="1:32" ht="15" x14ac:dyDescent="0.2">
      <c r="A148" s="5071"/>
      <c r="B148" s="3019" t="s">
        <v>160</v>
      </c>
      <c r="C148" s="4395"/>
      <c r="D148" s="4395"/>
      <c r="E148" s="4395"/>
      <c r="F148" s="4395"/>
      <c r="G148" s="4395"/>
      <c r="H148" s="4395"/>
      <c r="I148" s="4395"/>
      <c r="J148" s="4395">
        <f>AA148/AV15</f>
        <v>1.2544704264099036</v>
      </c>
      <c r="K148" s="4395">
        <f>AB148/AZ15</f>
        <v>2.6515151515151514</v>
      </c>
      <c r="L148" s="4395">
        <f>AC148/BD15</f>
        <v>4.0439560439560438</v>
      </c>
      <c r="M148" s="4395">
        <f>AD148/BH15</f>
        <v>4.7931428571428567</v>
      </c>
      <c r="N148" s="4395">
        <f>AE148/BL15</f>
        <v>5.7333333333333334</v>
      </c>
      <c r="Q148" s="4582" t="s">
        <v>436</v>
      </c>
      <c r="R148" s="4582" t="s">
        <v>12</v>
      </c>
      <c r="S148" s="4582"/>
      <c r="T148" s="4582"/>
      <c r="U148" s="4582"/>
      <c r="V148" s="4582"/>
      <c r="W148" s="4582"/>
      <c r="X148" s="4582"/>
      <c r="Y148" s="4582"/>
      <c r="Z148" s="4582"/>
      <c r="AA148" s="4582">
        <v>152</v>
      </c>
      <c r="AB148" s="4582">
        <v>350</v>
      </c>
      <c r="AC148" s="4582">
        <v>552</v>
      </c>
      <c r="AD148" s="4582">
        <v>699</v>
      </c>
      <c r="AE148" s="4582">
        <v>860</v>
      </c>
    </row>
    <row r="150" spans="1:32" ht="15" x14ac:dyDescent="0.2">
      <c r="A150" s="6299" t="s">
        <v>162</v>
      </c>
      <c r="B150" s="4148" t="s">
        <v>5</v>
      </c>
      <c r="C150" s="4392">
        <f>T150/T17</f>
        <v>3.4725274725274726</v>
      </c>
      <c r="D150" s="4392">
        <f>U150/X17</f>
        <v>3.7322274881516582</v>
      </c>
      <c r="E150" s="4392">
        <f>V150/AB17</f>
        <v>3.8288075560802834</v>
      </c>
      <c r="F150" s="4392">
        <f>W150/AF17</f>
        <v>3.8651817116060965</v>
      </c>
      <c r="G150" s="4392">
        <f>X150/AJ17</f>
        <v>3.7071178529754958</v>
      </c>
      <c r="H150" s="4392">
        <f>Y150/AN17</f>
        <v>3.7970674486803517</v>
      </c>
      <c r="I150" s="4392">
        <f>Z150/AR17</f>
        <v>4.0520402128917805</v>
      </c>
      <c r="J150" s="4392">
        <f>AA150/AV17</f>
        <v>4.3738977072310403</v>
      </c>
      <c r="K150" s="4392">
        <f>AB150/AZ17</f>
        <v>4.2756598240469206</v>
      </c>
      <c r="L150" s="4392">
        <f>AC150/BD17</f>
        <v>4.9119718309859151</v>
      </c>
      <c r="M150" s="4392">
        <f>AD150/BH17</f>
        <v>4.9044075558099598</v>
      </c>
      <c r="N150" s="4392">
        <f>AE150/BL17</f>
        <v>4.9358752166377817</v>
      </c>
      <c r="Q150" s="4401"/>
      <c r="R150" s="4401" t="s">
        <v>14</v>
      </c>
      <c r="S150" s="4401" t="s">
        <v>5</v>
      </c>
      <c r="T150" s="4401">
        <v>948</v>
      </c>
      <c r="U150" s="4401">
        <v>1050</v>
      </c>
      <c r="V150" s="4401">
        <v>1081</v>
      </c>
      <c r="W150" s="4401">
        <v>1099</v>
      </c>
      <c r="X150" s="4401">
        <v>1059</v>
      </c>
      <c r="Y150" s="4401">
        <v>1079</v>
      </c>
      <c r="Z150" s="4401">
        <v>1142</v>
      </c>
      <c r="AA150" s="4401">
        <v>1240</v>
      </c>
      <c r="AB150" s="4401">
        <v>1215</v>
      </c>
      <c r="AC150" s="4401">
        <v>1395</v>
      </c>
      <c r="AD150" s="4401">
        <v>1428</v>
      </c>
      <c r="AE150" s="4401">
        <v>1424</v>
      </c>
    </row>
    <row r="151" spans="1:32" ht="15" x14ac:dyDescent="0.2">
      <c r="A151" s="5063"/>
      <c r="B151" s="1926" t="s">
        <v>6</v>
      </c>
      <c r="C151" s="4393">
        <f>T151/T18</f>
        <v>3.7067901234567899</v>
      </c>
      <c r="D151" s="4393">
        <f>U151/X18</f>
        <v>3.6524520255863537</v>
      </c>
      <c r="E151" s="4393">
        <f>V151/AB18</f>
        <v>3.3736205990541248</v>
      </c>
      <c r="F151" s="4393">
        <f>W151/AF18</f>
        <v>3.5688559322033897</v>
      </c>
      <c r="G151" s="4393">
        <f>X151/AJ18</f>
        <v>4.5432616675406399</v>
      </c>
      <c r="H151" s="4393">
        <f>Y151/AN18</f>
        <v>4.810020876826723</v>
      </c>
      <c r="I151" s="4393">
        <f>Z151/AR18</f>
        <v>5.9025380710659903</v>
      </c>
      <c r="J151" s="4393">
        <f>AA151/AV18</f>
        <v>5.8668730650154801</v>
      </c>
      <c r="K151" s="4393">
        <f>AB151/AZ18</f>
        <v>5.85</v>
      </c>
      <c r="L151" s="4393">
        <f>AC151/BD18</f>
        <v>5.1958441558441564</v>
      </c>
      <c r="M151" s="4393">
        <f>AD151/BH18</f>
        <v>5.5963020030816644</v>
      </c>
      <c r="N151" s="4393">
        <f>AE151/BL18</f>
        <v>5.0501567398119125</v>
      </c>
      <c r="Q151" s="4401"/>
      <c r="R151" s="4401" t="s">
        <v>420</v>
      </c>
      <c r="S151" s="4401" t="s">
        <v>6</v>
      </c>
      <c r="T151" s="4401">
        <v>1201</v>
      </c>
      <c r="U151" s="4401">
        <v>1142</v>
      </c>
      <c r="V151" s="4401">
        <v>1070</v>
      </c>
      <c r="W151" s="4401">
        <v>1123</v>
      </c>
      <c r="X151" s="4401">
        <v>1444</v>
      </c>
      <c r="Y151" s="4401">
        <v>1536</v>
      </c>
      <c r="Z151" s="4401">
        <v>1938</v>
      </c>
      <c r="AA151" s="4401">
        <v>1895</v>
      </c>
      <c r="AB151" s="4401">
        <v>1872</v>
      </c>
      <c r="AC151" s="4401">
        <v>1667</v>
      </c>
      <c r="AD151" s="4401">
        <v>1816</v>
      </c>
      <c r="AE151" s="4401">
        <v>1611</v>
      </c>
      <c r="AF151" s="4402"/>
    </row>
    <row r="152" spans="1:32" ht="15" x14ac:dyDescent="0.2">
      <c r="A152" s="5063"/>
      <c r="B152" s="1926" t="s">
        <v>11</v>
      </c>
      <c r="C152" s="4393">
        <f>T152/T19</f>
        <v>3.4777618364418936</v>
      </c>
      <c r="D152" s="4393">
        <f>U152/X19</f>
        <v>3.342857142857143</v>
      </c>
      <c r="E152" s="4393">
        <f>V152/AB19</f>
        <v>3.2943722943722942</v>
      </c>
      <c r="F152" s="4393">
        <f>W152/AF19</f>
        <v>3.613684960798289</v>
      </c>
      <c r="G152" s="4393">
        <f>X152/AJ19</f>
        <v>3.8273591806876368</v>
      </c>
      <c r="H152" s="4393">
        <f>Y152/AN19</f>
        <v>4.4295302013422821</v>
      </c>
      <c r="I152" s="4393">
        <f>Z152/AR19</f>
        <v>4.9132420091324205</v>
      </c>
      <c r="J152" s="4393">
        <f>AA152/AV19</f>
        <v>5.1485294117647058</v>
      </c>
      <c r="K152" s="4393">
        <f>AB152/AZ19</f>
        <v>5.6117647058823534</v>
      </c>
      <c r="L152" s="4393">
        <f>AC152/BD19</f>
        <v>5.8015815959741195</v>
      </c>
      <c r="M152" s="4393">
        <f>AD152/BH19</f>
        <v>5.9957953749124036</v>
      </c>
      <c r="N152" s="4393">
        <f>AE152/BL19</f>
        <v>6.0251221214235864</v>
      </c>
      <c r="Q152" s="4401"/>
      <c r="R152" s="4401" t="s">
        <v>421</v>
      </c>
      <c r="S152" s="4401" t="s">
        <v>11</v>
      </c>
      <c r="T152" s="4401">
        <v>808</v>
      </c>
      <c r="U152" s="4401">
        <v>780</v>
      </c>
      <c r="V152" s="4401">
        <v>761</v>
      </c>
      <c r="W152" s="4401">
        <v>845</v>
      </c>
      <c r="X152" s="4401">
        <v>872</v>
      </c>
      <c r="Y152" s="4401">
        <v>990</v>
      </c>
      <c r="Z152" s="4401">
        <v>1076</v>
      </c>
      <c r="AA152" s="4401">
        <v>1167</v>
      </c>
      <c r="AB152" s="4401">
        <v>1272</v>
      </c>
      <c r="AC152" s="4401">
        <v>1345</v>
      </c>
      <c r="AD152" s="4401">
        <v>1426</v>
      </c>
      <c r="AE152" s="4401">
        <v>1439</v>
      </c>
    </row>
    <row r="153" spans="1:32" ht="15" x14ac:dyDescent="0.2">
      <c r="A153" s="5064"/>
      <c r="B153" s="3018" t="s">
        <v>160</v>
      </c>
      <c r="C153" s="4396">
        <f>T153/T20</f>
        <v>3.565514469453376</v>
      </c>
      <c r="D153" s="4396">
        <f>U153/X20</f>
        <v>3.5922643029814663</v>
      </c>
      <c r="E153" s="4396">
        <f>V153/AB20</f>
        <v>3.5063214930764599</v>
      </c>
      <c r="F153" s="4396">
        <f>W153/AF20</f>
        <v>3.6826095657394435</v>
      </c>
      <c r="G153" s="4396">
        <f>X153/AJ20</f>
        <v>4.0597433841218926</v>
      </c>
      <c r="H153" s="4396">
        <f>Y153/AN20</f>
        <v>4.3591293833131806</v>
      </c>
      <c r="I153" s="4396">
        <f>Z153/AR20</f>
        <v>5.0122613065326638</v>
      </c>
      <c r="J153" s="4396">
        <f>AA153/AV20</f>
        <v>5.1634326865373081</v>
      </c>
      <c r="K153" s="4396">
        <f>AB153/AZ20</f>
        <v>5.2465396188565698</v>
      </c>
      <c r="L153" s="4396">
        <f>AC153/BD20</f>
        <v>5.2350029697089679</v>
      </c>
      <c r="M153" s="4396">
        <f>AD153/BH20</f>
        <v>5.4715875805506737</v>
      </c>
      <c r="N153" s="4396">
        <f>AE153/BL20</f>
        <v>5.2863332020480502</v>
      </c>
      <c r="Q153" s="4583" t="s">
        <v>447</v>
      </c>
      <c r="R153" s="4583" t="s">
        <v>12</v>
      </c>
      <c r="S153" s="4583"/>
      <c r="T153" s="4583">
        <v>2957</v>
      </c>
      <c r="U153" s="4583">
        <v>2972</v>
      </c>
      <c r="V153" s="4583">
        <v>2912</v>
      </c>
      <c r="W153" s="4583">
        <v>3067</v>
      </c>
      <c r="X153" s="4583">
        <v>3375</v>
      </c>
      <c r="Y153" s="4583">
        <v>3605</v>
      </c>
      <c r="Z153" s="4583">
        <v>4156</v>
      </c>
      <c r="AA153" s="4583">
        <v>4302</v>
      </c>
      <c r="AB153" s="4583">
        <v>4359</v>
      </c>
      <c r="AC153" s="4583">
        <v>4407</v>
      </c>
      <c r="AD153" s="4583">
        <v>4670</v>
      </c>
      <c r="AE153" s="4583">
        <v>4474</v>
      </c>
    </row>
    <row r="154" spans="1:32" x14ac:dyDescent="0.2">
      <c r="M154" s="4391"/>
      <c r="N154" s="4391"/>
      <c r="Q154" s="4402"/>
      <c r="R154" s="4402"/>
      <c r="S154" s="4402"/>
      <c r="T154" s="4402"/>
      <c r="U154" s="4402"/>
      <c r="V154" s="4402"/>
      <c r="W154" s="4402"/>
      <c r="X154" s="4402"/>
      <c r="Y154" s="4402"/>
      <c r="Z154" s="4402"/>
      <c r="AA154" s="4402"/>
      <c r="AB154" s="4402"/>
      <c r="AC154" s="4402"/>
      <c r="AD154" s="4402"/>
      <c r="AE154" s="4402"/>
    </row>
    <row r="155" spans="1:32" ht="15" x14ac:dyDescent="0.2">
      <c r="A155" s="6302" t="s">
        <v>163</v>
      </c>
      <c r="B155" s="4148" t="s">
        <v>6</v>
      </c>
      <c r="C155" s="4392">
        <f>T160/T27</f>
        <v>2.3473491773308957</v>
      </c>
      <c r="D155" s="4392">
        <f>U160/X27</f>
        <v>2.2090656799259945</v>
      </c>
      <c r="E155" s="4392">
        <f>V160/AB27</f>
        <v>2.4668508287292816</v>
      </c>
      <c r="F155" s="4392">
        <f>W160/AF27</f>
        <v>2.8367838228213769</v>
      </c>
      <c r="G155" s="4392">
        <f>X160/AJ27</f>
        <v>2.9209783631232362</v>
      </c>
      <c r="H155" s="4392">
        <f>Y160/AN27</f>
        <v>3.0786206896551724</v>
      </c>
      <c r="I155" s="4392">
        <f>Z160/AR27</f>
        <v>3.0976616231086656</v>
      </c>
      <c r="J155" s="4392">
        <f>AB160/AV27</f>
        <v>2.7545333923042903</v>
      </c>
      <c r="K155" s="4392">
        <f>AB160/AZ27</f>
        <v>2.7267950963222414</v>
      </c>
      <c r="L155" s="4392">
        <f>AC160/BD27</f>
        <v>2.6238451385833703</v>
      </c>
      <c r="M155" s="4392">
        <f>AD160/BH27</f>
        <v>2.7945205479452055</v>
      </c>
      <c r="N155" s="4392">
        <f>AE160/BL27</f>
        <v>2.6574487065120427</v>
      </c>
      <c r="Q155" s="4401"/>
      <c r="R155" s="4401" t="s">
        <v>14</v>
      </c>
      <c r="S155" s="4401" t="s">
        <v>5</v>
      </c>
      <c r="T155" s="4402"/>
      <c r="U155" s="4402"/>
      <c r="V155" s="4402"/>
      <c r="W155" s="4402"/>
      <c r="X155" s="4402"/>
      <c r="Y155" s="4402"/>
      <c r="Z155" s="4402"/>
      <c r="AA155" s="4402"/>
      <c r="AB155" s="4402"/>
      <c r="AC155" s="4402"/>
      <c r="AD155" s="4402"/>
      <c r="AE155" s="4402"/>
      <c r="AF155" s="4402"/>
    </row>
    <row r="156" spans="1:32" ht="15" x14ac:dyDescent="0.2">
      <c r="A156" s="5073"/>
      <c r="B156" s="1926" t="s">
        <v>11</v>
      </c>
      <c r="C156" s="4393">
        <f>T161/T28</f>
        <v>1.0760127446517977</v>
      </c>
      <c r="D156" s="4393">
        <f>U161/X28</f>
        <v>1.4226244343891401</v>
      </c>
      <c r="E156" s="4393">
        <f>V161/AB28</f>
        <v>1.5269784172661869</v>
      </c>
      <c r="F156" s="4393">
        <f>W161/AF28</f>
        <v>1.8079198907601273</v>
      </c>
      <c r="G156" s="4393">
        <f>X161/AJ28</f>
        <v>1.7068014705882353</v>
      </c>
      <c r="H156" s="4393">
        <f>Y161/AN28</f>
        <v>2.0188768286927794</v>
      </c>
      <c r="I156" s="4393">
        <f>Z161/AR28</f>
        <v>2.0448179271708682</v>
      </c>
      <c r="J156" s="4393">
        <f>AB161/AV28</f>
        <v>2.0917173607861486</v>
      </c>
      <c r="K156" s="4393">
        <f>AB161/AZ28</f>
        <v>2.0542279411764706</v>
      </c>
      <c r="L156" s="4393">
        <f>AC161/BD28</f>
        <v>2.319854611540209</v>
      </c>
      <c r="M156" s="4393">
        <f>AD161/BH28</f>
        <v>2.1466666666666665</v>
      </c>
      <c r="N156" s="4393">
        <f>AE161/BL28</f>
        <v>2.3946784922394682</v>
      </c>
      <c r="Q156" s="4401"/>
      <c r="R156" s="4401" t="s">
        <v>420</v>
      </c>
      <c r="S156" s="4401" t="s">
        <v>6</v>
      </c>
      <c r="T156" s="4402"/>
      <c r="U156" s="4402"/>
      <c r="V156" s="4402"/>
      <c r="W156" s="4402"/>
      <c r="X156" s="4402"/>
      <c r="Y156" s="4402"/>
      <c r="Z156" s="4402"/>
      <c r="AA156" s="4402"/>
      <c r="AB156" s="4402"/>
      <c r="AC156" s="4402"/>
      <c r="AD156" s="4402"/>
      <c r="AE156" s="4402"/>
    </row>
    <row r="157" spans="1:32" ht="15" x14ac:dyDescent="0.2">
      <c r="A157" s="5073"/>
      <c r="B157" s="1926" t="s">
        <v>7</v>
      </c>
      <c r="C157" s="4393">
        <f>T162/T29</f>
        <v>1.349344978165939</v>
      </c>
      <c r="D157" s="4393">
        <f>U162/X29</f>
        <v>1.2953020134228188</v>
      </c>
      <c r="E157" s="4393">
        <f>V162/AB29</f>
        <v>1.4951245937161428</v>
      </c>
      <c r="F157" s="4393">
        <f>W162/AF29</f>
        <v>1.5065217391304346</v>
      </c>
      <c r="G157" s="4393">
        <f>X162/AJ29</f>
        <v>1.5589519650655024</v>
      </c>
      <c r="H157" s="4393">
        <f>Y162/AN29</f>
        <v>2.2255005268703902</v>
      </c>
      <c r="I157" s="4393">
        <f>Z162/AR29</f>
        <v>2.1172774869109947</v>
      </c>
      <c r="J157" s="4393">
        <f>AB162/AV29</f>
        <v>2.0721649484536084</v>
      </c>
      <c r="K157" s="4393">
        <f>AB162/AZ29</f>
        <v>2.1025104602510458</v>
      </c>
      <c r="L157" s="4393">
        <f>AC162/BD29</f>
        <v>2.713536201469045</v>
      </c>
      <c r="M157" s="4393">
        <f>AD162/BH29</f>
        <v>2.2889114954221768</v>
      </c>
      <c r="N157" s="4393">
        <f>AE162/BL29</f>
        <v>2.7204968944099379</v>
      </c>
      <c r="Q157" s="4401"/>
      <c r="R157" s="4401" t="s">
        <v>421</v>
      </c>
      <c r="S157" s="4401" t="s">
        <v>11</v>
      </c>
      <c r="T157" s="4402"/>
      <c r="U157" s="4402"/>
      <c r="V157" s="4402"/>
      <c r="W157" s="4402"/>
      <c r="X157" s="4402"/>
      <c r="Y157" s="4402"/>
      <c r="Z157" s="4402"/>
      <c r="AA157" s="4402"/>
      <c r="AB157" s="4402"/>
      <c r="AC157" s="4402"/>
      <c r="AD157" s="4402"/>
      <c r="AE157" s="4402"/>
    </row>
    <row r="158" spans="1:32" ht="15" x14ac:dyDescent="0.2">
      <c r="A158" s="5074"/>
      <c r="B158" s="3017" t="s">
        <v>160</v>
      </c>
      <c r="C158" s="4398">
        <f>T163/T30</f>
        <v>1.6479909451046972</v>
      </c>
      <c r="D158" s="4398">
        <f>U163/X30</f>
        <v>1.7238890998860616</v>
      </c>
      <c r="E158" s="4398">
        <f>V163/AB30</f>
        <v>1.9052453468697124</v>
      </c>
      <c r="F158" s="4398">
        <f>W163/AF30</f>
        <v>2.1659607239122063</v>
      </c>
      <c r="G158" s="4398">
        <f>X163/AJ30</f>
        <v>2.1755461862782677</v>
      </c>
      <c r="H158" s="4398">
        <f>Y163/AN30</f>
        <v>2.4958992942971578</v>
      </c>
      <c r="I158" s="4398">
        <f>Z163/AR30</f>
        <v>2.4929897688518379</v>
      </c>
      <c r="J158" s="4398">
        <f>AB163/AV30</f>
        <v>2.3673621460506706</v>
      </c>
      <c r="K158" s="4398">
        <f>AB163/AZ30</f>
        <v>2.346381093057607</v>
      </c>
      <c r="L158" s="4398">
        <f>AC163/BD30</f>
        <v>2.5163073521282477</v>
      </c>
      <c r="M158" s="4398">
        <f>AD163/BH30</f>
        <v>2.4388646288209608</v>
      </c>
      <c r="N158" s="4398">
        <f>AE163/BL30</f>
        <v>2.5601317957166394</v>
      </c>
      <c r="Q158" s="4584" t="s">
        <v>437</v>
      </c>
      <c r="R158" s="4584" t="s">
        <v>12</v>
      </c>
      <c r="S158" s="4584"/>
      <c r="T158" s="4584"/>
      <c r="U158" s="4584"/>
      <c r="V158" s="4584"/>
      <c r="W158" s="4584"/>
      <c r="X158" s="4584"/>
      <c r="Y158" s="4584"/>
      <c r="Z158" s="4584"/>
      <c r="AA158" s="4584"/>
      <c r="AB158" s="4584"/>
      <c r="AC158" s="4584"/>
      <c r="AD158" s="4584"/>
      <c r="AE158" s="4584"/>
    </row>
    <row r="159" spans="1:32" ht="15" x14ac:dyDescent="0.2">
      <c r="A159" s="1925"/>
      <c r="Q159" s="4401"/>
      <c r="R159" s="4401"/>
      <c r="S159" s="4401"/>
      <c r="T159" s="4401"/>
      <c r="U159" s="4401"/>
      <c r="V159" s="4401"/>
      <c r="W159" s="4401"/>
      <c r="X159" s="4401"/>
      <c r="Y159" s="4401"/>
      <c r="Z159" s="4401"/>
      <c r="AA159" s="4401"/>
      <c r="AB159" s="4401"/>
      <c r="AC159" s="4401"/>
      <c r="AD159" s="4401"/>
      <c r="AE159" s="4401"/>
    </row>
    <row r="160" spans="1:32" ht="15" x14ac:dyDescent="0.2">
      <c r="A160" s="4149" t="s">
        <v>60</v>
      </c>
      <c r="B160" s="4150"/>
      <c r="C160" s="4172">
        <f>T165/T32</f>
        <v>1.9823941399473108</v>
      </c>
      <c r="D160" s="4172">
        <f>U165/X32</f>
        <v>2.0152818800565044</v>
      </c>
      <c r="E160" s="4172">
        <f>V165/AB32</f>
        <v>2.0208412277377796</v>
      </c>
      <c r="F160" s="4172">
        <f>W165/AF32</f>
        <v>2.2270365036628887</v>
      </c>
      <c r="G160" s="4172">
        <f>X165/AJ32</f>
        <v>2.3026422132421511</v>
      </c>
      <c r="H160" s="4172">
        <f>Y165/AN32</f>
        <v>2.5308969689487002</v>
      </c>
      <c r="I160" s="4172">
        <f>Z165/AR32</f>
        <v>2.7307902901989416</v>
      </c>
      <c r="J160" s="4172">
        <f>AB165/AV32</f>
        <v>2.8673646425366437</v>
      </c>
      <c r="K160" s="4172">
        <f>AB165/AZ32</f>
        <v>2.8359763313609467</v>
      </c>
      <c r="L160" s="4172">
        <f>AC165/BD32</f>
        <v>2.9950951769239751</v>
      </c>
      <c r="M160" s="4172">
        <f>AD165/BH32</f>
        <v>3.1098523858565055</v>
      </c>
      <c r="N160" s="4405">
        <f>AE165/BL32</f>
        <v>3.1513928138877674</v>
      </c>
      <c r="Q160" s="4401"/>
      <c r="R160" s="4401" t="s">
        <v>13</v>
      </c>
      <c r="S160" s="4401" t="s">
        <v>6</v>
      </c>
      <c r="T160" s="4401">
        <v>856</v>
      </c>
      <c r="U160" s="4401">
        <v>796</v>
      </c>
      <c r="V160" s="4401">
        <v>893</v>
      </c>
      <c r="W160" s="4401">
        <v>982</v>
      </c>
      <c r="X160" s="4401">
        <v>1035</v>
      </c>
      <c r="Y160" s="4401">
        <v>1116</v>
      </c>
      <c r="Z160" s="4401">
        <v>1126</v>
      </c>
      <c r="AA160" s="4401">
        <v>1033</v>
      </c>
      <c r="AB160" s="4401">
        <v>1038</v>
      </c>
      <c r="AC160" s="4401">
        <v>994</v>
      </c>
      <c r="AD160" s="4401">
        <v>1054</v>
      </c>
      <c r="AE160" s="4401">
        <v>993</v>
      </c>
    </row>
    <row r="161" spans="1:64" x14ac:dyDescent="0.2">
      <c r="Q161" s="4401"/>
      <c r="R161" s="4401" t="s">
        <v>14</v>
      </c>
      <c r="S161" s="4401" t="s">
        <v>11</v>
      </c>
      <c r="T161" s="4401">
        <v>394</v>
      </c>
      <c r="U161" s="4401">
        <v>524</v>
      </c>
      <c r="V161" s="4401">
        <v>566</v>
      </c>
      <c r="W161" s="4401">
        <v>662</v>
      </c>
      <c r="X161" s="4401">
        <v>619</v>
      </c>
      <c r="Y161" s="4401">
        <v>713</v>
      </c>
      <c r="Z161" s="4401">
        <v>730</v>
      </c>
      <c r="AA161" s="4401">
        <v>734</v>
      </c>
      <c r="AB161" s="4401">
        <v>745</v>
      </c>
      <c r="AC161" s="4401">
        <v>851</v>
      </c>
      <c r="AD161" s="4401">
        <v>805</v>
      </c>
      <c r="AE161" s="4401">
        <v>900</v>
      </c>
    </row>
    <row r="162" spans="1:64" ht="15" x14ac:dyDescent="0.2">
      <c r="A162" s="263" t="s">
        <v>834</v>
      </c>
      <c r="B162" s="263" t="s">
        <v>1407</v>
      </c>
      <c r="Q162" s="4401"/>
      <c r="R162" s="4401" t="s">
        <v>30</v>
      </c>
      <c r="S162" s="4401" t="s">
        <v>7</v>
      </c>
      <c r="T162" s="4401">
        <v>206</v>
      </c>
      <c r="U162" s="4401">
        <v>193</v>
      </c>
      <c r="V162" s="4401">
        <v>230</v>
      </c>
      <c r="W162" s="4401">
        <v>231</v>
      </c>
      <c r="X162" s="4401">
        <v>238</v>
      </c>
      <c r="Y162" s="4401">
        <v>352</v>
      </c>
      <c r="Z162" s="4401">
        <v>337</v>
      </c>
      <c r="AA162" s="4401">
        <v>423</v>
      </c>
      <c r="AB162" s="4401">
        <v>335</v>
      </c>
      <c r="AC162" s="4401">
        <v>431</v>
      </c>
      <c r="AD162" s="4401">
        <v>375</v>
      </c>
      <c r="AE162" s="4401">
        <v>438</v>
      </c>
      <c r="AF162" s="4401"/>
      <c r="AG162" s="4401"/>
      <c r="AH162" s="4401"/>
      <c r="AI162" s="4401"/>
      <c r="AJ162" s="4401"/>
      <c r="AK162" s="4401"/>
      <c r="AL162" s="4401"/>
      <c r="AM162" s="4401"/>
      <c r="AN162" s="4401"/>
      <c r="AO162" s="4401"/>
      <c r="AP162" s="4401"/>
      <c r="AQ162" s="4401"/>
      <c r="AR162" s="4401"/>
      <c r="AS162" s="4401"/>
      <c r="AT162" s="4401"/>
      <c r="AU162" s="4401"/>
      <c r="AV162" s="4401"/>
      <c r="AW162" s="4401"/>
      <c r="AX162" s="4401"/>
      <c r="AY162" s="4401"/>
      <c r="AZ162" s="4401"/>
      <c r="BA162" s="4401"/>
      <c r="BB162" s="4401"/>
      <c r="BC162" s="4401"/>
      <c r="BD162" s="4401"/>
      <c r="BE162" s="4401"/>
      <c r="BF162" s="4401"/>
      <c r="BG162" s="4401"/>
      <c r="BH162" s="4401"/>
      <c r="BI162" s="4401"/>
      <c r="BJ162" s="4401"/>
      <c r="BK162" s="4401"/>
      <c r="BL162" s="4401"/>
    </row>
    <row r="163" spans="1:64" ht="15" x14ac:dyDescent="0.25">
      <c r="A163" s="251"/>
      <c r="B163" s="263" t="s">
        <v>1406</v>
      </c>
      <c r="Q163" s="4585" t="s">
        <v>448</v>
      </c>
      <c r="R163" s="4585" t="s">
        <v>12</v>
      </c>
      <c r="S163" s="4585"/>
      <c r="T163" s="4585">
        <v>1456</v>
      </c>
      <c r="U163" s="4585">
        <v>1513</v>
      </c>
      <c r="V163" s="4585">
        <v>1689</v>
      </c>
      <c r="W163" s="4585">
        <v>1875</v>
      </c>
      <c r="X163" s="4585">
        <v>1892</v>
      </c>
      <c r="Y163" s="4585">
        <v>2181</v>
      </c>
      <c r="Z163" s="4585">
        <v>2193</v>
      </c>
      <c r="AA163" s="4585">
        <v>2190</v>
      </c>
      <c r="AB163" s="4585">
        <v>2118</v>
      </c>
      <c r="AC163" s="4585">
        <v>2276</v>
      </c>
      <c r="AD163" s="4585">
        <v>2234</v>
      </c>
      <c r="AE163" s="4585">
        <v>2331</v>
      </c>
      <c r="AF163" s="4401"/>
      <c r="AG163" s="4401"/>
      <c r="AH163" s="4401"/>
      <c r="AI163" s="4401"/>
      <c r="AJ163" s="4401"/>
      <c r="AK163" s="4401"/>
      <c r="AL163" s="4401"/>
      <c r="AM163" s="4401"/>
      <c r="AN163" s="4401"/>
      <c r="AO163" s="4401"/>
      <c r="AP163" s="4401"/>
      <c r="AQ163" s="4401"/>
      <c r="AR163" s="4401"/>
      <c r="AS163" s="4401"/>
      <c r="AT163" s="4401"/>
      <c r="AU163" s="4401"/>
      <c r="AV163" s="4401"/>
      <c r="AW163" s="4401"/>
      <c r="AX163" s="4401"/>
      <c r="AY163" s="4401"/>
      <c r="AZ163" s="4401"/>
      <c r="BA163" s="4401"/>
      <c r="BB163" s="4401"/>
      <c r="BC163" s="4401"/>
      <c r="BD163" s="4401"/>
      <c r="BE163" s="4401"/>
      <c r="BF163" s="4401"/>
      <c r="BG163" s="4401"/>
      <c r="BH163" s="4401"/>
      <c r="BI163" s="4401"/>
      <c r="BJ163" s="4401"/>
      <c r="BK163" s="4401"/>
      <c r="BL163" s="4401"/>
    </row>
    <row r="164" spans="1:64" ht="15" x14ac:dyDescent="0.25">
      <c r="A164" s="251"/>
      <c r="B164" s="263" t="s">
        <v>1405</v>
      </c>
      <c r="Q164" s="4401"/>
      <c r="R164" s="4401"/>
      <c r="S164" s="4401"/>
      <c r="T164" s="4401"/>
      <c r="U164" s="4401"/>
      <c r="V164" s="4401"/>
      <c r="W164" s="4401"/>
      <c r="X164" s="4401"/>
      <c r="Y164" s="4401"/>
      <c r="Z164" s="4401"/>
      <c r="AA164" s="4401"/>
      <c r="AB164" s="4401"/>
      <c r="AC164" s="4401"/>
      <c r="AD164" s="4401"/>
      <c r="AE164" s="4401"/>
      <c r="AF164" s="4401"/>
      <c r="AG164" s="4401"/>
      <c r="AH164" s="4401"/>
      <c r="AI164" s="4401"/>
      <c r="AJ164" s="4401"/>
      <c r="AK164" s="4401"/>
      <c r="AL164" s="4401"/>
      <c r="AM164" s="4401"/>
      <c r="AN164" s="4401"/>
      <c r="AO164" s="4401"/>
      <c r="AP164" s="4401"/>
      <c r="AQ164" s="4401"/>
      <c r="AR164" s="4401"/>
      <c r="AS164" s="4401"/>
      <c r="AT164" s="4401"/>
      <c r="AU164" s="4401"/>
      <c r="AV164" s="4401"/>
      <c r="AW164" s="4401"/>
      <c r="AX164" s="4401"/>
      <c r="AY164" s="4401"/>
      <c r="AZ164" s="4401"/>
      <c r="BA164" s="4401"/>
      <c r="BB164" s="4401"/>
      <c r="BC164" s="4401"/>
      <c r="BD164" s="4401"/>
      <c r="BE164" s="4401"/>
      <c r="BF164" s="4401"/>
      <c r="BG164" s="4401"/>
      <c r="BH164" s="4401"/>
      <c r="BI164" s="4401"/>
      <c r="BJ164" s="4401"/>
      <c r="BK164" s="4401"/>
      <c r="BL164" s="4401"/>
    </row>
    <row r="165" spans="1:64" x14ac:dyDescent="0.2">
      <c r="Q165" s="4402" t="s">
        <v>60</v>
      </c>
      <c r="R165" s="4402" t="s">
        <v>12</v>
      </c>
      <c r="S165" s="4402"/>
      <c r="T165" s="4402">
        <v>5142</v>
      </c>
      <c r="U165" s="4402">
        <v>5231</v>
      </c>
      <c r="V165" s="4402">
        <v>5333</v>
      </c>
      <c r="W165" s="4402">
        <v>5928</v>
      </c>
      <c r="X165" s="4402">
        <v>6173</v>
      </c>
      <c r="Y165" s="4402">
        <v>6833</v>
      </c>
      <c r="Z165" s="4402">
        <v>7481</v>
      </c>
      <c r="AA165" s="4402">
        <v>7905</v>
      </c>
      <c r="AB165" s="4402">
        <v>7988</v>
      </c>
      <c r="AC165" s="4402">
        <v>8549</v>
      </c>
      <c r="AD165" s="4402">
        <v>9059</v>
      </c>
      <c r="AE165" s="4402">
        <v>9107</v>
      </c>
      <c r="AF165" s="4401"/>
      <c r="AG165" s="4401"/>
      <c r="AH165" s="4401"/>
      <c r="AI165" s="4401"/>
      <c r="AJ165" s="4401"/>
      <c r="AK165" s="4401"/>
      <c r="AL165" s="4401"/>
      <c r="AM165" s="4401"/>
      <c r="AN165" s="4401"/>
      <c r="AO165" s="4401"/>
      <c r="AP165" s="4401"/>
      <c r="AQ165" s="4401"/>
      <c r="AR165" s="4401"/>
      <c r="AS165" s="4401"/>
      <c r="AT165" s="4401"/>
      <c r="AU165" s="4401"/>
      <c r="AV165" s="4401"/>
      <c r="AW165" s="4401"/>
      <c r="AX165" s="4401"/>
      <c r="AY165" s="4401"/>
      <c r="AZ165" s="4401"/>
      <c r="BA165" s="4401"/>
      <c r="BB165" s="4401"/>
      <c r="BC165" s="4401"/>
      <c r="BD165" s="4401"/>
      <c r="BE165" s="4401"/>
      <c r="BF165" s="4401"/>
      <c r="BG165" s="4401"/>
      <c r="BH165" s="4401"/>
      <c r="BI165" s="4401"/>
      <c r="BJ165" s="4401"/>
      <c r="BK165" s="4401"/>
      <c r="BL165" s="4401"/>
    </row>
    <row r="166" spans="1:64" x14ac:dyDescent="0.2">
      <c r="AF166" s="4401"/>
      <c r="AG166" s="4401"/>
      <c r="AH166" s="4401"/>
      <c r="AI166" s="4401"/>
      <c r="AJ166" s="4401"/>
      <c r="AK166" s="4401"/>
      <c r="AL166" s="4401"/>
      <c r="AM166" s="4401"/>
      <c r="AN166" s="4401"/>
      <c r="AO166" s="4401"/>
      <c r="AP166" s="4401"/>
      <c r="AQ166" s="4401"/>
      <c r="AR166" s="4401"/>
      <c r="AS166" s="4401"/>
      <c r="AT166" s="4401"/>
      <c r="AU166" s="4401"/>
      <c r="AV166" s="4401"/>
      <c r="AW166" s="4401"/>
      <c r="AX166" s="4401"/>
      <c r="AY166" s="4401"/>
      <c r="AZ166" s="4401"/>
      <c r="BA166" s="4401"/>
      <c r="BB166" s="4401"/>
      <c r="BC166" s="4401"/>
      <c r="BD166" s="4401"/>
      <c r="BE166" s="4401"/>
      <c r="BF166" s="4401"/>
      <c r="BG166" s="4401"/>
      <c r="BH166" s="4401"/>
      <c r="BI166" s="4401"/>
      <c r="BJ166" s="4401"/>
      <c r="BK166" s="4401"/>
      <c r="BL166" s="4401"/>
    </row>
    <row r="167" spans="1:64" x14ac:dyDescent="0.2">
      <c r="AF167" s="4401"/>
      <c r="AG167" s="4401"/>
      <c r="AH167" s="4401"/>
      <c r="AI167" s="4401"/>
      <c r="AJ167" s="4401"/>
      <c r="AK167" s="4401"/>
      <c r="AL167" s="4401"/>
      <c r="AM167" s="4401"/>
      <c r="AN167" s="4401"/>
      <c r="AO167" s="4401"/>
      <c r="AP167" s="4401"/>
      <c r="AQ167" s="4401"/>
      <c r="AR167" s="4401"/>
      <c r="AS167" s="4401"/>
      <c r="AT167" s="4401"/>
      <c r="AU167" s="4401"/>
      <c r="AV167" s="4401"/>
      <c r="AW167" s="4401"/>
      <c r="AX167" s="4401"/>
      <c r="AY167" s="4401"/>
      <c r="AZ167" s="4401"/>
      <c r="BA167" s="4401"/>
      <c r="BB167" s="4401"/>
      <c r="BC167" s="4401"/>
      <c r="BD167" s="4401"/>
      <c r="BE167" s="4401"/>
      <c r="BF167" s="4401"/>
      <c r="BG167" s="4401"/>
      <c r="BH167" s="4401"/>
      <c r="BI167" s="4401"/>
      <c r="BJ167" s="4401"/>
      <c r="BK167" s="4401"/>
      <c r="BL167" s="4401"/>
    </row>
    <row r="168" spans="1:64" x14ac:dyDescent="0.2">
      <c r="AF168" s="4401"/>
      <c r="AG168" s="4401"/>
      <c r="AH168" s="4401"/>
      <c r="AI168" s="4401"/>
      <c r="AJ168" s="4401"/>
      <c r="AK168" s="4401"/>
      <c r="AL168" s="4401"/>
      <c r="AM168" s="4401"/>
      <c r="AN168" s="4401"/>
      <c r="AO168" s="4401"/>
      <c r="AP168" s="4401"/>
      <c r="AQ168" s="4401"/>
      <c r="AR168" s="4401"/>
      <c r="AS168" s="4401"/>
      <c r="AT168" s="4401"/>
      <c r="AU168" s="4401"/>
      <c r="AV168" s="4401"/>
      <c r="AW168" s="4401"/>
      <c r="AX168" s="4401"/>
      <c r="AY168" s="4401"/>
      <c r="AZ168" s="4401"/>
      <c r="BA168" s="4401"/>
      <c r="BB168" s="4401"/>
      <c r="BC168" s="4401"/>
      <c r="BD168" s="4401"/>
      <c r="BE168" s="4401"/>
      <c r="BF168" s="4401"/>
      <c r="BG168" s="4401"/>
      <c r="BH168" s="4401"/>
      <c r="BI168" s="4401"/>
      <c r="BJ168" s="4401"/>
      <c r="BK168" s="4401"/>
      <c r="BL168" s="4401"/>
    </row>
    <row r="169" spans="1:64" x14ac:dyDescent="0.2">
      <c r="Q169" s="4401"/>
      <c r="R169" s="4401"/>
      <c r="S169" s="4401"/>
      <c r="T169" s="4401"/>
      <c r="U169" s="4401"/>
      <c r="V169" s="4401"/>
      <c r="W169" s="4401"/>
      <c r="X169" s="4401"/>
      <c r="Y169" s="4401"/>
      <c r="Z169" s="4401"/>
      <c r="AA169" s="4401"/>
      <c r="AB169" s="4401"/>
      <c r="AC169" s="4401"/>
      <c r="AD169" s="4401"/>
      <c r="AE169" s="4401"/>
      <c r="AF169" s="4401"/>
      <c r="AG169" s="4401"/>
      <c r="AH169" s="4401"/>
      <c r="AI169" s="4401"/>
      <c r="AJ169" s="4401"/>
      <c r="AK169" s="4401"/>
      <c r="AL169" s="4401"/>
      <c r="AM169" s="4401"/>
      <c r="AN169" s="4401"/>
      <c r="AO169" s="4401"/>
      <c r="AP169" s="4401"/>
      <c r="AQ169" s="4401"/>
      <c r="AR169" s="4401"/>
      <c r="AS169" s="4401"/>
      <c r="AT169" s="4401"/>
      <c r="AU169" s="4401"/>
      <c r="AV169" s="4401"/>
      <c r="AW169" s="4401"/>
      <c r="AX169" s="4401"/>
      <c r="AY169" s="4401"/>
      <c r="AZ169" s="4401"/>
      <c r="BA169" s="4401"/>
      <c r="BB169" s="4401"/>
      <c r="BC169" s="4401"/>
      <c r="BD169" s="4401"/>
      <c r="BE169" s="4401"/>
      <c r="BF169" s="4401"/>
      <c r="BG169" s="4401"/>
      <c r="BH169" s="4401"/>
      <c r="BI169" s="4401"/>
      <c r="BJ169" s="4401"/>
      <c r="BK169" s="4401"/>
      <c r="BL169" s="4401"/>
    </row>
    <row r="170" spans="1:64" x14ac:dyDescent="0.2">
      <c r="AF170" s="4401"/>
      <c r="AG170" s="4401"/>
      <c r="AH170" s="4401"/>
      <c r="AI170" s="4401"/>
      <c r="AJ170" s="4401"/>
      <c r="AK170" s="4401"/>
      <c r="AL170" s="4401"/>
      <c r="AM170" s="4401"/>
      <c r="AN170" s="4401"/>
      <c r="AO170" s="4401"/>
      <c r="AP170" s="4401"/>
      <c r="AQ170" s="4401"/>
      <c r="AR170" s="4401"/>
      <c r="AS170" s="4401"/>
      <c r="AT170" s="4401"/>
      <c r="AU170" s="4401"/>
      <c r="AV170" s="4401"/>
      <c r="AW170" s="4401"/>
      <c r="AX170" s="4401"/>
      <c r="AY170" s="4401"/>
      <c r="AZ170" s="4401"/>
      <c r="BA170" s="4401"/>
      <c r="BB170" s="4401"/>
      <c r="BC170" s="4401"/>
      <c r="BD170" s="4401"/>
      <c r="BE170" s="4401"/>
      <c r="BF170" s="4401"/>
      <c r="BG170" s="4401"/>
      <c r="BH170" s="4401"/>
      <c r="BI170" s="4401"/>
      <c r="BJ170" s="4401"/>
      <c r="BK170" s="4401"/>
      <c r="BL170" s="4401"/>
    </row>
    <row r="171" spans="1:64" x14ac:dyDescent="0.2">
      <c r="AF171" s="4401"/>
      <c r="AG171" s="4401"/>
      <c r="AH171" s="4401"/>
      <c r="AI171" s="4401"/>
      <c r="AJ171" s="4401"/>
      <c r="AK171" s="4401"/>
      <c r="AL171" s="4401"/>
      <c r="AM171" s="4401"/>
      <c r="AN171" s="4401"/>
      <c r="AO171" s="4401"/>
      <c r="AP171" s="4401"/>
      <c r="AQ171" s="4401"/>
      <c r="AR171" s="4401"/>
      <c r="AS171" s="4401"/>
      <c r="AT171" s="4401"/>
      <c r="AU171" s="4401"/>
      <c r="AV171" s="4401"/>
      <c r="AW171" s="4401"/>
      <c r="AX171" s="4401"/>
      <c r="AY171" s="4401"/>
      <c r="AZ171" s="4401"/>
      <c r="BA171" s="4401"/>
      <c r="BB171" s="4401"/>
      <c r="BC171" s="4401"/>
      <c r="BD171" s="4401"/>
      <c r="BE171" s="4401"/>
      <c r="BF171" s="4401"/>
      <c r="BG171" s="4401"/>
      <c r="BH171" s="4401"/>
      <c r="BI171" s="4401"/>
      <c r="BJ171" s="4401"/>
      <c r="BK171" s="4401"/>
      <c r="BL171" s="4401"/>
    </row>
    <row r="172" spans="1:64" x14ac:dyDescent="0.2">
      <c r="AF172" s="4401"/>
      <c r="AG172" s="4401"/>
      <c r="AH172" s="4401"/>
      <c r="AI172" s="4401"/>
      <c r="AJ172" s="4401"/>
      <c r="AK172" s="4401"/>
      <c r="AL172" s="4401"/>
      <c r="AM172" s="4401"/>
      <c r="AN172" s="4401"/>
      <c r="AO172" s="4401"/>
      <c r="AP172" s="4401"/>
      <c r="AQ172" s="4401"/>
      <c r="AR172" s="4401"/>
      <c r="AS172" s="4401"/>
      <c r="AT172" s="4401"/>
      <c r="AU172" s="4401"/>
      <c r="AV172" s="4401"/>
      <c r="AW172" s="4401"/>
      <c r="AX172" s="4401"/>
      <c r="AY172" s="4401"/>
      <c r="AZ172" s="4401"/>
      <c r="BA172" s="4401"/>
      <c r="BB172" s="4401"/>
      <c r="BC172" s="4401"/>
      <c r="BD172" s="4401"/>
      <c r="BE172" s="4401"/>
      <c r="BF172" s="4401"/>
      <c r="BG172" s="4401"/>
      <c r="BH172" s="4401"/>
      <c r="BI172" s="4401"/>
      <c r="BJ172" s="4401"/>
      <c r="BK172" s="4401"/>
      <c r="BL172" s="4401"/>
    </row>
    <row r="173" spans="1:64" x14ac:dyDescent="0.2">
      <c r="AF173" s="4401"/>
      <c r="AG173" s="4401"/>
      <c r="AH173" s="4401"/>
      <c r="AI173" s="4401"/>
      <c r="AJ173" s="4401"/>
      <c r="AK173" s="4401"/>
      <c r="AL173" s="4401"/>
      <c r="AM173" s="4401"/>
      <c r="AN173" s="4401"/>
      <c r="AO173" s="4401"/>
      <c r="AP173" s="4401"/>
      <c r="AQ173" s="4401"/>
      <c r="AR173" s="4401"/>
      <c r="AS173" s="4401"/>
      <c r="AT173" s="4401"/>
      <c r="AU173" s="4401"/>
      <c r="AV173" s="4401"/>
      <c r="AW173" s="4401"/>
      <c r="AX173" s="4401"/>
      <c r="AY173" s="4401"/>
      <c r="AZ173" s="4401"/>
      <c r="BA173" s="4401"/>
      <c r="BB173" s="4401"/>
      <c r="BC173" s="4401"/>
      <c r="BD173" s="4401"/>
      <c r="BE173" s="4401"/>
      <c r="BF173" s="4401"/>
      <c r="BG173" s="4401"/>
      <c r="BH173" s="4401"/>
      <c r="BI173" s="4401"/>
      <c r="BJ173" s="4401"/>
      <c r="BK173" s="4401"/>
      <c r="BL173" s="4401"/>
    </row>
    <row r="174" spans="1:64" x14ac:dyDescent="0.2">
      <c r="AF174" s="4401"/>
      <c r="AG174" s="4401"/>
      <c r="AH174" s="4401"/>
      <c r="AI174" s="4401"/>
      <c r="AJ174" s="4401"/>
      <c r="AK174" s="4401"/>
      <c r="AL174" s="4401"/>
      <c r="AM174" s="4401"/>
      <c r="AN174" s="4401"/>
      <c r="AO174" s="4401"/>
      <c r="AP174" s="4401"/>
      <c r="AQ174" s="4401"/>
      <c r="AR174" s="4401"/>
      <c r="AS174" s="4401"/>
      <c r="AT174" s="4401"/>
      <c r="AU174" s="4401"/>
      <c r="AV174" s="4401"/>
      <c r="AW174" s="4401"/>
      <c r="AX174" s="4401"/>
      <c r="AY174" s="4401"/>
      <c r="AZ174" s="4401"/>
      <c r="BA174" s="4401"/>
      <c r="BB174" s="4401"/>
      <c r="BC174" s="4401"/>
      <c r="BD174" s="4401"/>
      <c r="BE174" s="4401"/>
      <c r="BF174" s="4401"/>
      <c r="BG174" s="4401"/>
      <c r="BH174" s="4401"/>
      <c r="BI174" s="4401"/>
      <c r="BJ174" s="4401"/>
      <c r="BK174" s="4401"/>
      <c r="BL174" s="4401"/>
    </row>
    <row r="175" spans="1:64" x14ac:dyDescent="0.2">
      <c r="AF175" s="4401"/>
      <c r="AG175" s="4401"/>
      <c r="AH175" s="4401"/>
      <c r="AI175" s="4401"/>
      <c r="AJ175" s="4401"/>
      <c r="AK175" s="4401"/>
      <c r="AL175" s="4401"/>
      <c r="AM175" s="4401"/>
      <c r="AN175" s="4401"/>
      <c r="AO175" s="4401"/>
      <c r="AP175" s="4401"/>
      <c r="AQ175" s="4401"/>
      <c r="AR175" s="4401"/>
      <c r="AS175" s="4401"/>
      <c r="AT175" s="4401"/>
      <c r="AU175" s="4401"/>
      <c r="AV175" s="4401"/>
      <c r="AW175" s="4401"/>
      <c r="AX175" s="4401"/>
      <c r="AY175" s="4401"/>
      <c r="AZ175" s="4401"/>
      <c r="BA175" s="4401"/>
      <c r="BB175" s="4401"/>
      <c r="BC175" s="4401"/>
      <c r="BD175" s="4401"/>
      <c r="BE175" s="4401"/>
      <c r="BF175" s="4401"/>
      <c r="BG175" s="4401"/>
      <c r="BH175" s="4401"/>
      <c r="BI175" s="4401"/>
      <c r="BJ175" s="4401"/>
      <c r="BK175" s="4401"/>
      <c r="BL175" s="4401"/>
    </row>
    <row r="176" spans="1:64" x14ac:dyDescent="0.2">
      <c r="AF176" s="4401"/>
      <c r="AG176" s="4401"/>
      <c r="AH176" s="4401"/>
      <c r="AI176" s="4401"/>
      <c r="AJ176" s="4401"/>
      <c r="AK176" s="4401"/>
      <c r="AL176" s="4401"/>
      <c r="AM176" s="4401"/>
      <c r="AN176" s="4401"/>
      <c r="AO176" s="4401"/>
      <c r="AP176" s="4401"/>
      <c r="AQ176" s="4401"/>
      <c r="AR176" s="4401"/>
      <c r="AS176" s="4401"/>
      <c r="AT176" s="4401"/>
      <c r="AU176" s="4401"/>
      <c r="AV176" s="4401"/>
      <c r="AW176" s="4401"/>
      <c r="AX176" s="4401"/>
      <c r="AY176" s="4401"/>
      <c r="AZ176" s="4401"/>
      <c r="BA176" s="4401"/>
      <c r="BB176" s="4401"/>
      <c r="BC176" s="4401"/>
      <c r="BD176" s="4401"/>
      <c r="BE176" s="4401"/>
      <c r="BF176" s="4401"/>
      <c r="BG176" s="4401"/>
      <c r="BH176" s="4401"/>
      <c r="BI176" s="4401"/>
      <c r="BJ176" s="4401"/>
      <c r="BK176" s="4401"/>
      <c r="BL176" s="4401"/>
    </row>
    <row r="177" spans="32:64" x14ac:dyDescent="0.2">
      <c r="AF177" s="4401"/>
      <c r="AG177" s="4401"/>
      <c r="AH177" s="4401"/>
      <c r="AI177" s="4401"/>
      <c r="AJ177" s="4401"/>
      <c r="AK177" s="4401"/>
      <c r="AL177" s="4401"/>
      <c r="AM177" s="4401"/>
      <c r="AN177" s="4401"/>
      <c r="AO177" s="4401"/>
      <c r="AP177" s="4401"/>
      <c r="AQ177" s="4401"/>
      <c r="AR177" s="4401"/>
      <c r="AS177" s="4401"/>
      <c r="AT177" s="4401"/>
      <c r="AU177" s="4401"/>
      <c r="AV177" s="4401"/>
      <c r="AW177" s="4401"/>
      <c r="AX177" s="4401"/>
      <c r="AY177" s="4401"/>
      <c r="AZ177" s="4401"/>
      <c r="BA177" s="4401"/>
      <c r="BB177" s="4401"/>
      <c r="BC177" s="4401"/>
      <c r="BD177" s="4401"/>
      <c r="BE177" s="4401"/>
      <c r="BF177" s="4401"/>
      <c r="BG177" s="4401"/>
      <c r="BH177" s="4401"/>
      <c r="BI177" s="4401"/>
      <c r="BJ177" s="4401"/>
      <c r="BK177" s="4401"/>
      <c r="BL177" s="4401"/>
    </row>
    <row r="178" spans="32:64" x14ac:dyDescent="0.2">
      <c r="AF178" s="4401"/>
      <c r="AG178" s="4401"/>
      <c r="AH178" s="4401"/>
      <c r="AI178" s="4401"/>
      <c r="AJ178" s="4401"/>
      <c r="AK178" s="4401"/>
      <c r="AL178" s="4401"/>
      <c r="AM178" s="4401"/>
      <c r="AN178" s="4401"/>
      <c r="AO178" s="4401"/>
      <c r="AP178" s="4401"/>
      <c r="AQ178" s="4401"/>
      <c r="AR178" s="4401"/>
      <c r="AS178" s="4401"/>
      <c r="AT178" s="4401"/>
      <c r="AU178" s="4401"/>
      <c r="AV178" s="4401"/>
      <c r="AW178" s="4401"/>
      <c r="AX178" s="4401"/>
      <c r="AY178" s="4401"/>
      <c r="AZ178" s="4401"/>
      <c r="BA178" s="4401"/>
      <c r="BB178" s="4401"/>
      <c r="BC178" s="4401"/>
      <c r="BD178" s="4401"/>
      <c r="BE178" s="4401"/>
      <c r="BF178" s="4401"/>
      <c r="BG178" s="4401"/>
      <c r="BH178" s="4401"/>
      <c r="BI178" s="4401"/>
      <c r="BJ178" s="4401"/>
      <c r="BK178" s="4401"/>
      <c r="BL178" s="4401"/>
    </row>
    <row r="179" spans="32:64" x14ac:dyDescent="0.2">
      <c r="AF179" s="4401"/>
      <c r="AG179" s="4401"/>
      <c r="AH179" s="4401"/>
      <c r="AI179" s="4401"/>
      <c r="AJ179" s="4401"/>
      <c r="AK179" s="4401"/>
      <c r="AL179" s="4401"/>
      <c r="AM179" s="4401"/>
      <c r="AN179" s="4401"/>
      <c r="AO179" s="4401"/>
      <c r="AP179" s="4401"/>
      <c r="AQ179" s="4401"/>
      <c r="AR179" s="4401"/>
      <c r="AS179" s="4401"/>
      <c r="AT179" s="4401"/>
      <c r="AU179" s="4401"/>
      <c r="AV179" s="4401"/>
      <c r="AW179" s="4401"/>
      <c r="AX179" s="4401"/>
      <c r="AY179" s="4401"/>
      <c r="AZ179" s="4401"/>
      <c r="BA179" s="4401"/>
      <c r="BB179" s="4401"/>
      <c r="BC179" s="4401"/>
      <c r="BD179" s="4401"/>
      <c r="BE179" s="4401"/>
      <c r="BF179" s="4401"/>
      <c r="BG179" s="4401"/>
      <c r="BH179" s="4401"/>
      <c r="BI179" s="4401"/>
      <c r="BJ179" s="4401"/>
      <c r="BK179" s="4401"/>
      <c r="BL179" s="4401"/>
    </row>
  </sheetData>
  <mergeCells count="26">
    <mergeCell ref="AS4:AV4"/>
    <mergeCell ref="BI4:BL4"/>
    <mergeCell ref="BE4:BH4"/>
    <mergeCell ref="BA4:BD4"/>
    <mergeCell ref="AW4:AZ4"/>
    <mergeCell ref="A145:A148"/>
    <mergeCell ref="A150:A153"/>
    <mergeCell ref="A155:A158"/>
    <mergeCell ref="A74:A77"/>
    <mergeCell ref="A79:A82"/>
    <mergeCell ref="A84:A87"/>
    <mergeCell ref="A89:A92"/>
    <mergeCell ref="A94:A97"/>
    <mergeCell ref="A140:A143"/>
    <mergeCell ref="U4:X4"/>
    <mergeCell ref="Q4:T4"/>
    <mergeCell ref="AO4:AR4"/>
    <mergeCell ref="AK4:AN4"/>
    <mergeCell ref="AG4:AJ4"/>
    <mergeCell ref="AC4:AF4"/>
    <mergeCell ref="Y4:AB4"/>
    <mergeCell ref="A6:A9"/>
    <mergeCell ref="A11:A14"/>
    <mergeCell ref="A16:A19"/>
    <mergeCell ref="A21:A24"/>
    <mergeCell ref="A26:A29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scale="81" orientation="landscape" r:id="rId1"/>
  <rowBreaks count="3" manualBreakCount="3">
    <brk id="103" max="13" man="1"/>
    <brk id="134" max="13" man="1"/>
    <brk id="165" max="13" man="1"/>
  </rowBreaks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  <pageSetUpPr fitToPage="1"/>
  </sheetPr>
  <dimension ref="A2:AA23"/>
  <sheetViews>
    <sheetView showGridLines="0" zoomScaleNormal="100" workbookViewId="0">
      <pane xSplit="1" ySplit="5" topLeftCell="M6" activePane="bottomRight" state="frozen"/>
      <selection activeCell="O4" sqref="O4"/>
      <selection pane="topRight" activeCell="O4" sqref="O4"/>
      <selection pane="bottomLeft" activeCell="O4" sqref="O4"/>
      <selection pane="bottomRight" activeCell="AB13" sqref="AB13"/>
    </sheetView>
  </sheetViews>
  <sheetFormatPr baseColWidth="10" defaultRowHeight="12.75" x14ac:dyDescent="0.2"/>
  <cols>
    <col min="1" max="1" width="45.140625" style="951" customWidth="1"/>
    <col min="2" max="2" width="8" style="951" customWidth="1"/>
    <col min="3" max="29" width="8.7109375" style="951" customWidth="1"/>
    <col min="30" max="16384" width="11.42578125" style="951"/>
  </cols>
  <sheetData>
    <row r="2" spans="1:27" ht="18" x14ac:dyDescent="0.25">
      <c r="A2" s="6304" t="s">
        <v>1372</v>
      </c>
      <c r="B2" s="6304"/>
      <c r="C2" s="6304"/>
      <c r="D2" s="6304"/>
      <c r="E2" s="6304"/>
      <c r="F2" s="6304"/>
      <c r="G2" s="6304"/>
      <c r="H2" s="6304"/>
      <c r="I2" s="6304"/>
      <c r="J2" s="6304"/>
      <c r="K2" s="6304"/>
      <c r="L2" s="6304"/>
      <c r="M2" s="6304"/>
      <c r="N2" s="6304"/>
      <c r="O2" s="6304"/>
      <c r="P2" s="6304"/>
      <c r="Q2" s="6304"/>
      <c r="R2" s="6304"/>
      <c r="S2" s="6304"/>
      <c r="T2" s="6304"/>
    </row>
    <row r="3" spans="1:27" ht="18" x14ac:dyDescent="0.25">
      <c r="A3" s="6304" t="s">
        <v>76</v>
      </c>
      <c r="B3" s="6304"/>
      <c r="C3" s="6304"/>
      <c r="D3" s="6304"/>
      <c r="E3" s="6304"/>
      <c r="F3" s="6304"/>
      <c r="G3" s="6304"/>
      <c r="H3" s="6304"/>
      <c r="I3" s="6304"/>
      <c r="J3" s="6304"/>
      <c r="K3" s="6304"/>
      <c r="L3" s="6304"/>
      <c r="M3" s="6304"/>
      <c r="N3" s="6304"/>
      <c r="O3" s="6304"/>
      <c r="P3" s="6304"/>
      <c r="Q3" s="6304"/>
      <c r="R3" s="6304"/>
      <c r="S3" s="6304"/>
      <c r="T3" s="6304"/>
    </row>
    <row r="5" spans="1:27" ht="24.95" customHeight="1" x14ac:dyDescent="0.2">
      <c r="A5" s="2316" t="s">
        <v>769</v>
      </c>
      <c r="B5" s="2316">
        <v>1990</v>
      </c>
      <c r="C5" s="2316">
        <v>1991</v>
      </c>
      <c r="D5" s="2316">
        <v>1992</v>
      </c>
      <c r="E5" s="2316">
        <v>1993</v>
      </c>
      <c r="F5" s="2316">
        <v>1994</v>
      </c>
      <c r="G5" s="2316">
        <v>1995</v>
      </c>
      <c r="H5" s="2316">
        <v>1996</v>
      </c>
      <c r="I5" s="2316">
        <v>1997</v>
      </c>
      <c r="J5" s="2316">
        <v>1998</v>
      </c>
      <c r="K5" s="2316">
        <v>1999</v>
      </c>
      <c r="L5" s="2316">
        <v>2000</v>
      </c>
      <c r="M5" s="2316">
        <v>2001</v>
      </c>
      <c r="N5" s="2316">
        <v>2002</v>
      </c>
      <c r="O5" s="2316">
        <v>2003</v>
      </c>
      <c r="P5" s="2316">
        <v>2004</v>
      </c>
      <c r="Q5" s="2316">
        <v>2005</v>
      </c>
      <c r="R5" s="2317">
        <v>2006</v>
      </c>
      <c r="S5" s="2317">
        <v>2007</v>
      </c>
      <c r="T5" s="2317">
        <v>2008</v>
      </c>
      <c r="U5" s="2317">
        <v>2009</v>
      </c>
      <c r="V5" s="2317">
        <v>2010</v>
      </c>
      <c r="W5" s="2317">
        <v>2011</v>
      </c>
      <c r="X5" s="2317">
        <v>2012</v>
      </c>
      <c r="Y5" s="2317">
        <v>2013</v>
      </c>
      <c r="Z5" s="2317">
        <v>2014</v>
      </c>
      <c r="AA5" s="2317">
        <v>2015</v>
      </c>
    </row>
    <row r="6" spans="1:27" s="1020" customFormat="1" ht="24.95" customHeight="1" x14ac:dyDescent="0.2">
      <c r="A6" s="2318" t="s">
        <v>770</v>
      </c>
      <c r="B6" s="2319">
        <v>315</v>
      </c>
      <c r="C6" s="2319">
        <v>517</v>
      </c>
      <c r="D6" s="2319">
        <v>530</v>
      </c>
      <c r="E6" s="2319">
        <v>634</v>
      </c>
      <c r="F6" s="2319">
        <v>693</v>
      </c>
      <c r="G6" s="2319">
        <v>751</v>
      </c>
      <c r="H6" s="2319">
        <v>773</v>
      </c>
      <c r="I6" s="2319">
        <v>795</v>
      </c>
      <c r="J6" s="2319">
        <v>805</v>
      </c>
      <c r="K6" s="2319">
        <v>780</v>
      </c>
      <c r="L6" s="2319">
        <v>821</v>
      </c>
      <c r="M6" s="2319">
        <v>876</v>
      </c>
      <c r="N6" s="2319">
        <v>898</v>
      </c>
      <c r="O6" s="2319">
        <v>888</v>
      </c>
      <c r="P6" s="2319">
        <v>924</v>
      </c>
      <c r="Q6" s="2319">
        <v>1010</v>
      </c>
      <c r="R6" s="2319">
        <v>970</v>
      </c>
      <c r="S6" s="2319">
        <v>1059</v>
      </c>
      <c r="T6" s="2319">
        <v>1010</v>
      </c>
      <c r="U6" s="2319">
        <v>1076</v>
      </c>
      <c r="V6" s="2319">
        <v>1066</v>
      </c>
      <c r="W6" s="2319">
        <v>1217</v>
      </c>
      <c r="X6" s="2319">
        <v>1288</v>
      </c>
      <c r="Y6" s="2319">
        <v>1383</v>
      </c>
      <c r="Z6" s="2319">
        <v>1385</v>
      </c>
      <c r="AA6" s="2319">
        <v>1392</v>
      </c>
    </row>
    <row r="7" spans="1:27" s="1020" customFormat="1" ht="24.95" customHeight="1" x14ac:dyDescent="0.2">
      <c r="A7" s="2320" t="s">
        <v>771</v>
      </c>
      <c r="B7" s="2321">
        <v>585</v>
      </c>
      <c r="C7" s="2321">
        <v>857</v>
      </c>
      <c r="D7" s="2321">
        <v>886</v>
      </c>
      <c r="E7" s="2321">
        <v>994</v>
      </c>
      <c r="F7" s="2321">
        <v>1128</v>
      </c>
      <c r="G7" s="2321">
        <v>1289</v>
      </c>
      <c r="H7" s="2321">
        <v>1378</v>
      </c>
      <c r="I7" s="2321">
        <v>1447</v>
      </c>
      <c r="J7" s="2321">
        <v>1491</v>
      </c>
      <c r="K7" s="2321">
        <v>1500</v>
      </c>
      <c r="L7" s="2321">
        <v>1544</v>
      </c>
      <c r="M7" s="2321">
        <v>1538</v>
      </c>
      <c r="N7" s="2321">
        <v>1587</v>
      </c>
      <c r="O7" s="2321">
        <v>1620</v>
      </c>
      <c r="P7" s="2321">
        <v>1649</v>
      </c>
      <c r="Q7" s="2321">
        <v>1659</v>
      </c>
      <c r="R7" s="2321">
        <v>1651</v>
      </c>
      <c r="S7" s="2321">
        <v>1692</v>
      </c>
      <c r="T7" s="2321">
        <v>1744</v>
      </c>
      <c r="U7" s="2321">
        <v>1783</v>
      </c>
      <c r="V7" s="2321">
        <v>1801</v>
      </c>
      <c r="W7" s="2321">
        <v>1879</v>
      </c>
      <c r="X7" s="2321">
        <v>1967</v>
      </c>
      <c r="Y7" s="2321">
        <v>2012</v>
      </c>
      <c r="Z7" s="2321">
        <v>2047</v>
      </c>
      <c r="AA7" s="2321">
        <v>2070</v>
      </c>
    </row>
    <row r="8" spans="1:27" s="1020" customFormat="1" ht="24.95" customHeight="1" x14ac:dyDescent="0.2">
      <c r="A8" s="2320" t="s">
        <v>772</v>
      </c>
      <c r="B8" s="2321"/>
      <c r="C8" s="2321"/>
      <c r="D8" s="2321">
        <v>1276</v>
      </c>
      <c r="E8" s="2321">
        <v>1613</v>
      </c>
      <c r="F8" s="2321">
        <v>1709</v>
      </c>
      <c r="G8" s="2321">
        <v>1912</v>
      </c>
      <c r="H8" s="2321">
        <v>2001</v>
      </c>
      <c r="I8" s="2321">
        <v>2122</v>
      </c>
      <c r="J8" s="2321">
        <v>2197</v>
      </c>
      <c r="K8" s="2321">
        <v>2263</v>
      </c>
      <c r="L8" s="2321">
        <v>2332</v>
      </c>
      <c r="M8" s="2321">
        <v>2341</v>
      </c>
      <c r="N8" s="2321">
        <v>2416</v>
      </c>
      <c r="O8" s="2321">
        <v>2454</v>
      </c>
      <c r="P8" s="2321">
        <v>2496</v>
      </c>
      <c r="Q8" s="2321">
        <v>2601</v>
      </c>
      <c r="R8" s="2321">
        <v>2576</v>
      </c>
      <c r="S8" s="2321">
        <v>2633</v>
      </c>
      <c r="T8" s="2321">
        <v>2606</v>
      </c>
      <c r="U8" s="2321">
        <v>2645</v>
      </c>
      <c r="V8" s="2321">
        <v>2598</v>
      </c>
      <c r="W8" s="2321">
        <v>2669</v>
      </c>
      <c r="X8" s="2321">
        <v>2743</v>
      </c>
      <c r="Y8" s="2321">
        <v>2761</v>
      </c>
      <c r="Z8" s="2321">
        <v>2813</v>
      </c>
      <c r="AA8" s="2321">
        <v>2826</v>
      </c>
    </row>
    <row r="9" spans="1:27" s="1020" customFormat="1" ht="24.95" customHeight="1" x14ac:dyDescent="0.2">
      <c r="A9" s="2320" t="s">
        <v>773</v>
      </c>
      <c r="B9" s="2321"/>
      <c r="C9" s="2321"/>
      <c r="D9" s="2321"/>
      <c r="E9" s="2321"/>
      <c r="F9" s="2321"/>
      <c r="G9" s="2321">
        <v>1817</v>
      </c>
      <c r="H9" s="2321">
        <v>1875</v>
      </c>
      <c r="I9" s="2321">
        <v>1931</v>
      </c>
      <c r="J9" s="2321">
        <v>2016</v>
      </c>
      <c r="K9" s="2321">
        <v>2045</v>
      </c>
      <c r="L9" s="2321">
        <v>2095</v>
      </c>
      <c r="M9" s="2321">
        <v>2111</v>
      </c>
      <c r="N9" s="2321">
        <v>2158</v>
      </c>
      <c r="O9" s="2321">
        <v>1611</v>
      </c>
      <c r="P9" s="2321">
        <v>1677</v>
      </c>
      <c r="Q9" s="2321">
        <v>1729</v>
      </c>
      <c r="R9" s="2321">
        <v>1776</v>
      </c>
      <c r="S9" s="2321">
        <v>1884</v>
      </c>
      <c r="T9" s="2321">
        <v>1952</v>
      </c>
      <c r="U9" s="2321">
        <v>1990</v>
      </c>
      <c r="V9" s="2321">
        <v>1987</v>
      </c>
      <c r="W9" s="2321">
        <v>2093</v>
      </c>
      <c r="X9" s="2321">
        <v>2171</v>
      </c>
      <c r="Y9" s="2321">
        <v>2203</v>
      </c>
      <c r="Z9" s="2321">
        <v>2280</v>
      </c>
      <c r="AA9" s="2321">
        <v>2295</v>
      </c>
    </row>
    <row r="10" spans="1:27" s="1020" customFormat="1" ht="24.95" customHeight="1" x14ac:dyDescent="0.2">
      <c r="A10" s="2322" t="s">
        <v>774</v>
      </c>
      <c r="B10" s="2323"/>
      <c r="C10" s="2323"/>
      <c r="D10" s="2323"/>
      <c r="E10" s="2323"/>
      <c r="F10" s="2323"/>
      <c r="G10" s="2323">
        <v>388</v>
      </c>
      <c r="H10" s="2323">
        <v>553</v>
      </c>
      <c r="I10" s="2323">
        <v>658</v>
      </c>
      <c r="J10" s="2323">
        <v>753</v>
      </c>
      <c r="K10" s="2323">
        <v>838</v>
      </c>
      <c r="L10" s="2323">
        <v>934</v>
      </c>
      <c r="M10" s="2323">
        <v>1049</v>
      </c>
      <c r="N10" s="2323">
        <v>1173</v>
      </c>
      <c r="O10" s="2323">
        <v>1280</v>
      </c>
      <c r="P10" s="2323">
        <v>1372</v>
      </c>
      <c r="Q10" s="2323">
        <v>1453</v>
      </c>
      <c r="R10" s="2323">
        <v>1522</v>
      </c>
      <c r="S10" s="2323">
        <v>1588</v>
      </c>
      <c r="T10" s="2323">
        <v>1601</v>
      </c>
      <c r="U10" s="2323">
        <v>1639</v>
      </c>
      <c r="V10" s="2323">
        <v>1630</v>
      </c>
      <c r="W10" s="2323">
        <v>1690</v>
      </c>
      <c r="X10" s="2323">
        <v>1756</v>
      </c>
      <c r="Y10" s="2323">
        <v>1778</v>
      </c>
      <c r="Z10" s="2323">
        <v>1756</v>
      </c>
      <c r="AA10" s="2323">
        <v>1798</v>
      </c>
    </row>
    <row r="11" spans="1:27" ht="14.25" customHeight="1" x14ac:dyDescent="0.2">
      <c r="B11" s="2324"/>
      <c r="C11" s="2324"/>
      <c r="D11" s="2324"/>
      <c r="E11" s="2324"/>
      <c r="F11" s="2324"/>
      <c r="G11" s="2324"/>
      <c r="H11" s="2324"/>
      <c r="I11" s="2324"/>
      <c r="J11" s="2324"/>
      <c r="K11" s="2324"/>
      <c r="L11" s="2324"/>
      <c r="M11" s="2324"/>
      <c r="N11" s="2324"/>
      <c r="O11" s="2324"/>
      <c r="P11" s="2324"/>
      <c r="Q11" s="2324"/>
      <c r="R11" s="2324"/>
      <c r="S11" s="2324"/>
      <c r="T11" s="1388"/>
      <c r="U11" s="1388"/>
    </row>
    <row r="12" spans="1:27" ht="15.75" customHeight="1" x14ac:dyDescent="0.2">
      <c r="A12" s="2977" t="s">
        <v>775</v>
      </c>
    </row>
    <row r="23" ht="12" customHeight="1" x14ac:dyDescent="0.2"/>
  </sheetData>
  <mergeCells count="2">
    <mergeCell ref="A2:T2"/>
    <mergeCell ref="A3:T3"/>
  </mergeCells>
  <printOptions horizontalCentered="1" verticalCentered="1"/>
  <pageMargins left="0.35433070866141736" right="0.35433070866141736" top="0.39370078740157483" bottom="0.39370078740157483" header="0" footer="0"/>
  <pageSetup scale="51" orientation="landscape" r:id="rId1"/>
  <headerFooter alignWithMargins="0"/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AG46"/>
  <sheetViews>
    <sheetView showGridLines="0" zoomScaleNormal="100" workbookViewId="0">
      <selection activeCell="AH21" sqref="AH21"/>
    </sheetView>
  </sheetViews>
  <sheetFormatPr baseColWidth="10" defaultRowHeight="15" x14ac:dyDescent="0.25"/>
  <cols>
    <col min="1" max="1" width="22.7109375" style="2175" customWidth="1"/>
    <col min="2" max="2" width="17.7109375" style="2229" customWidth="1"/>
    <col min="3" max="4" width="10.7109375" style="2175" hidden="1" customWidth="1"/>
    <col min="5" max="15" width="10.7109375" style="2175" customWidth="1"/>
    <col min="16" max="16" width="11.42578125" style="2175"/>
    <col min="17" max="22" width="7.7109375" style="2175" customWidth="1"/>
    <col min="23" max="23" width="7.7109375" style="2175" hidden="1" customWidth="1"/>
    <col min="24" max="27" width="7.42578125" style="2175" hidden="1" customWidth="1"/>
    <col min="28" max="33" width="0" style="2175" hidden="1" customWidth="1"/>
    <col min="34" max="16384" width="11.42578125" style="2175"/>
  </cols>
  <sheetData>
    <row r="1" spans="1:33" ht="21" x14ac:dyDescent="0.35">
      <c r="A1" s="2231" t="s">
        <v>1288</v>
      </c>
      <c r="B1" s="2231"/>
      <c r="C1" s="2231"/>
      <c r="D1" s="2231"/>
      <c r="E1" s="2231"/>
      <c r="F1" s="2231"/>
      <c r="G1" s="2231"/>
      <c r="H1" s="2231"/>
      <c r="I1" s="2231"/>
      <c r="J1" s="2231"/>
      <c r="K1" s="2231"/>
      <c r="L1" s="2231"/>
      <c r="M1" s="2231"/>
      <c r="N1" s="2231"/>
      <c r="O1" s="2231"/>
    </row>
    <row r="3" spans="1:33" ht="32.25" customHeight="1" x14ac:dyDescent="0.25">
      <c r="A3" s="2176" t="s">
        <v>730</v>
      </c>
      <c r="B3" s="2176" t="s">
        <v>731</v>
      </c>
      <c r="C3" s="2176">
        <v>2002</v>
      </c>
      <c r="D3" s="2176">
        <v>2003</v>
      </c>
      <c r="E3" s="2176">
        <v>2004</v>
      </c>
      <c r="F3" s="2176">
        <v>2005</v>
      </c>
      <c r="G3" s="2176">
        <v>2006</v>
      </c>
      <c r="H3" s="2176">
        <v>2007</v>
      </c>
      <c r="I3" s="2176">
        <v>2008</v>
      </c>
      <c r="J3" s="2176">
        <v>2009</v>
      </c>
      <c r="K3" s="2176">
        <v>2010</v>
      </c>
      <c r="L3" s="2176">
        <v>2011</v>
      </c>
      <c r="M3" s="2176">
        <v>2012</v>
      </c>
      <c r="N3" s="2176">
        <v>2013</v>
      </c>
      <c r="O3" s="2176">
        <v>2014</v>
      </c>
      <c r="P3" s="2176">
        <v>2015</v>
      </c>
      <c r="W3" s="2177">
        <v>2003</v>
      </c>
      <c r="X3" s="2177">
        <v>2004</v>
      </c>
      <c r="Y3" s="2177">
        <v>2005</v>
      </c>
      <c r="Z3" s="2177">
        <v>2006</v>
      </c>
      <c r="AA3" s="2177">
        <v>2007</v>
      </c>
      <c r="AB3" s="2177">
        <v>2008</v>
      </c>
      <c r="AC3" s="2177">
        <v>2009</v>
      </c>
      <c r="AD3" s="2177">
        <v>2010</v>
      </c>
      <c r="AE3" s="2177">
        <v>2011</v>
      </c>
      <c r="AF3" s="2177">
        <v>2012</v>
      </c>
      <c r="AG3" s="2177">
        <v>2013</v>
      </c>
    </row>
    <row r="4" spans="1:33" x14ac:dyDescent="0.25">
      <c r="A4" s="5118" t="s">
        <v>732</v>
      </c>
      <c r="B4" s="2178" t="s">
        <v>733</v>
      </c>
      <c r="C4" s="2179"/>
      <c r="D4" s="2179">
        <f t="shared" ref="D4:J4" si="0">W4/W6</f>
        <v>0.64236615354826221</v>
      </c>
      <c r="E4" s="2179">
        <f t="shared" si="0"/>
        <v>0.65807513024403619</v>
      </c>
      <c r="F4" s="2179">
        <f t="shared" si="0"/>
        <v>0.64029041448396284</v>
      </c>
      <c r="G4" s="2179">
        <f t="shared" si="0"/>
        <v>0.65014549892049189</v>
      </c>
      <c r="H4" s="2179">
        <f t="shared" si="0"/>
        <v>0.62548445032611777</v>
      </c>
      <c r="I4" s="2179">
        <f t="shared" si="0"/>
        <v>0.6520669756882036</v>
      </c>
      <c r="J4" s="2179">
        <f t="shared" si="0"/>
        <v>0.66371598078915151</v>
      </c>
      <c r="K4" s="2179">
        <v>0.66</v>
      </c>
      <c r="L4" s="2179">
        <v>0.66</v>
      </c>
      <c r="M4" s="2179">
        <v>0.66900000000000004</v>
      </c>
      <c r="N4" s="2180">
        <v>0.67900000000000005</v>
      </c>
      <c r="O4" s="2180">
        <v>0.69</v>
      </c>
      <c r="P4" s="2180">
        <v>0.68700000000000006</v>
      </c>
      <c r="W4" s="2182">
        <f>10329-W5</f>
        <v>6635</v>
      </c>
      <c r="X4" s="2183">
        <v>7200</v>
      </c>
      <c r="Y4" s="2183">
        <v>6967</v>
      </c>
      <c r="Z4" s="2183">
        <v>6926</v>
      </c>
      <c r="AA4" s="2183">
        <v>6617</v>
      </c>
      <c r="AB4" s="2183">
        <v>6893</v>
      </c>
      <c r="AC4" s="2183">
        <v>7048</v>
      </c>
      <c r="AD4" s="2183">
        <v>8361</v>
      </c>
      <c r="AE4" s="2183">
        <v>8413</v>
      </c>
      <c r="AF4" s="2183">
        <v>8166</v>
      </c>
      <c r="AG4" s="2184">
        <v>8423</v>
      </c>
    </row>
    <row r="5" spans="1:33" x14ac:dyDescent="0.25">
      <c r="A5" s="5119"/>
      <c r="B5" s="2185" t="s">
        <v>734</v>
      </c>
      <c r="C5" s="2186"/>
      <c r="D5" s="2186">
        <f t="shared" ref="D5:N5" si="1">W5/W6</f>
        <v>0.35763384645173785</v>
      </c>
      <c r="E5" s="2186">
        <f t="shared" si="1"/>
        <v>0.34192486975596381</v>
      </c>
      <c r="F5" s="2186">
        <f t="shared" si="1"/>
        <v>0.35970958551603716</v>
      </c>
      <c r="G5" s="2186">
        <f t="shared" si="1"/>
        <v>0.34985450107950811</v>
      </c>
      <c r="H5" s="2186">
        <f t="shared" si="1"/>
        <v>0.37451554967388223</v>
      </c>
      <c r="I5" s="2186">
        <f t="shared" si="1"/>
        <v>0.3479330243117964</v>
      </c>
      <c r="J5" s="2186">
        <f t="shared" si="1"/>
        <v>0.33628401921084849</v>
      </c>
      <c r="K5" s="2186">
        <f t="shared" si="1"/>
        <v>0.33821434225106856</v>
      </c>
      <c r="L5" s="2186">
        <f t="shared" si="1"/>
        <v>0.33823645087705501</v>
      </c>
      <c r="M5" s="2186">
        <f t="shared" si="1"/>
        <v>0.3314229572621582</v>
      </c>
      <c r="N5" s="2187">
        <f t="shared" si="1"/>
        <v>0.32105432855070126</v>
      </c>
      <c r="O5" s="2187">
        <v>0.31</v>
      </c>
      <c r="P5" s="4357">
        <v>0.313</v>
      </c>
      <c r="W5" s="2188">
        <f t="shared" ref="W5:AC5" si="2">+W10+W14</f>
        <v>3694</v>
      </c>
      <c r="X5" s="2189">
        <f t="shared" si="2"/>
        <v>3741</v>
      </c>
      <c r="Y5" s="2189">
        <f t="shared" si="2"/>
        <v>3914</v>
      </c>
      <c r="Z5" s="2189">
        <f t="shared" si="2"/>
        <v>3727</v>
      </c>
      <c r="AA5" s="2189">
        <f t="shared" si="2"/>
        <v>3962</v>
      </c>
      <c r="AB5" s="2189">
        <f t="shared" si="2"/>
        <v>3678</v>
      </c>
      <c r="AC5" s="2189">
        <f t="shared" si="2"/>
        <v>3571</v>
      </c>
      <c r="AD5" s="2189">
        <f>SUM(AD14,AD10)</f>
        <v>4273</v>
      </c>
      <c r="AE5" s="2189">
        <f>SUM(AE14,AE10)</f>
        <v>4300</v>
      </c>
      <c r="AF5" s="2189">
        <f>SUM(AF14,AF10)</f>
        <v>4048</v>
      </c>
      <c r="AG5" s="2190">
        <f>SUM(AG14,AG10)</f>
        <v>3983</v>
      </c>
    </row>
    <row r="6" spans="1:33" x14ac:dyDescent="0.25">
      <c r="A6" s="5120"/>
      <c r="B6" s="2982" t="s">
        <v>160</v>
      </c>
      <c r="C6" s="2983"/>
      <c r="D6" s="2983">
        <f>SUM(D4:D5)</f>
        <v>1</v>
      </c>
      <c r="E6" s="2983">
        <f>SUM(E4:E5)</f>
        <v>1</v>
      </c>
      <c r="F6" s="2983">
        <f t="shared" ref="F6:N6" si="3">SUM(F4:F5)</f>
        <v>1</v>
      </c>
      <c r="G6" s="2983">
        <f t="shared" si="3"/>
        <v>1</v>
      </c>
      <c r="H6" s="2983">
        <f t="shared" si="3"/>
        <v>1</v>
      </c>
      <c r="I6" s="2983">
        <f t="shared" si="3"/>
        <v>1</v>
      </c>
      <c r="J6" s="2983">
        <f t="shared" si="3"/>
        <v>1</v>
      </c>
      <c r="K6" s="2983">
        <f t="shared" si="3"/>
        <v>0.99821434225106853</v>
      </c>
      <c r="L6" s="2983">
        <f t="shared" si="3"/>
        <v>0.99823645087705504</v>
      </c>
      <c r="M6" s="2983">
        <f t="shared" si="3"/>
        <v>1.0004229572621584</v>
      </c>
      <c r="N6" s="2984">
        <f t="shared" si="3"/>
        <v>1.0000543285507013</v>
      </c>
      <c r="O6" s="2984">
        <f>SUM(O4:O5)</f>
        <v>1</v>
      </c>
      <c r="P6" s="2984">
        <f>SUM(P4:P5)</f>
        <v>1</v>
      </c>
      <c r="W6" s="2191">
        <f>SUM(W4:W5)</f>
        <v>10329</v>
      </c>
      <c r="X6" s="2192">
        <f t="shared" ref="X6:AG6" si="4">SUM(X4:X5)</f>
        <v>10941</v>
      </c>
      <c r="Y6" s="2192">
        <f t="shared" si="4"/>
        <v>10881</v>
      </c>
      <c r="Z6" s="2192">
        <f t="shared" si="4"/>
        <v>10653</v>
      </c>
      <c r="AA6" s="2192">
        <f t="shared" si="4"/>
        <v>10579</v>
      </c>
      <c r="AB6" s="2192">
        <f t="shared" si="4"/>
        <v>10571</v>
      </c>
      <c r="AC6" s="2192">
        <f t="shared" si="4"/>
        <v>10619</v>
      </c>
      <c r="AD6" s="2192">
        <f t="shared" si="4"/>
        <v>12634</v>
      </c>
      <c r="AE6" s="2192">
        <f t="shared" si="4"/>
        <v>12713</v>
      </c>
      <c r="AF6" s="2192">
        <f t="shared" si="4"/>
        <v>12214</v>
      </c>
      <c r="AG6" s="2193">
        <f t="shared" si="4"/>
        <v>12406</v>
      </c>
    </row>
    <row r="7" spans="1:33" x14ac:dyDescent="0.25">
      <c r="A7" s="5121" t="s">
        <v>735</v>
      </c>
      <c r="B7" s="2194" t="s">
        <v>736</v>
      </c>
      <c r="C7" s="2186"/>
      <c r="D7" s="2186">
        <v>0.17</v>
      </c>
      <c r="E7" s="2203">
        <f t="shared" ref="E7:J7" si="5">X11/X10</f>
        <v>0.18279569892473119</v>
      </c>
      <c r="F7" s="2203">
        <f t="shared" si="5"/>
        <v>0.20666213460231136</v>
      </c>
      <c r="G7" s="2203">
        <f t="shared" si="5"/>
        <v>0.20726172465960666</v>
      </c>
      <c r="H7" s="2203">
        <f t="shared" si="5"/>
        <v>0.19848901098901098</v>
      </c>
      <c r="I7" s="2203">
        <f t="shared" si="5"/>
        <v>0.18118735543562067</v>
      </c>
      <c r="J7" s="2203">
        <f t="shared" si="5"/>
        <v>0.17554076539101499</v>
      </c>
      <c r="K7" s="2204">
        <v>0.19</v>
      </c>
      <c r="L7" s="2204">
        <v>0.19</v>
      </c>
      <c r="M7" s="2204">
        <v>0.2</v>
      </c>
      <c r="N7" s="2205">
        <v>0.2</v>
      </c>
      <c r="O7" s="2187">
        <v>0.2</v>
      </c>
      <c r="P7" s="2187">
        <v>0.2</v>
      </c>
      <c r="W7" s="2188">
        <v>1717</v>
      </c>
      <c r="X7" s="2189"/>
      <c r="Y7" s="2189"/>
      <c r="Z7" s="2189"/>
      <c r="AA7" s="2189"/>
      <c r="AB7" s="2189"/>
      <c r="AC7" s="2189"/>
      <c r="AD7" s="2189"/>
      <c r="AE7" s="2189"/>
      <c r="AF7" s="2189"/>
      <c r="AG7" s="2190"/>
    </row>
    <row r="8" spans="1:33" x14ac:dyDescent="0.25">
      <c r="A8" s="5121"/>
      <c r="B8" s="2194" t="s">
        <v>737</v>
      </c>
      <c r="C8" s="2186"/>
      <c r="D8" s="2186">
        <v>0.46</v>
      </c>
      <c r="E8" s="2203">
        <f t="shared" ref="E8:J8" si="6">X12/X10</f>
        <v>0.57706093189964158</v>
      </c>
      <c r="F8" s="2203">
        <f t="shared" si="6"/>
        <v>0.56968048946295036</v>
      </c>
      <c r="G8" s="2203">
        <f t="shared" si="6"/>
        <v>0.53252647503782147</v>
      </c>
      <c r="H8" s="2203">
        <f t="shared" si="6"/>
        <v>0.5178571428571429</v>
      </c>
      <c r="I8" s="2203">
        <f t="shared" si="6"/>
        <v>0.54741711642251345</v>
      </c>
      <c r="J8" s="2203">
        <f t="shared" si="6"/>
        <v>0.54825291181364388</v>
      </c>
      <c r="K8" s="2204">
        <v>0.53</v>
      </c>
      <c r="L8" s="2204">
        <v>0.53</v>
      </c>
      <c r="M8" s="2204">
        <v>0.52</v>
      </c>
      <c r="N8" s="2205">
        <v>0.49</v>
      </c>
      <c r="O8" s="2187">
        <v>0.49</v>
      </c>
      <c r="P8" s="2187">
        <v>0.52</v>
      </c>
      <c r="W8" s="2188">
        <v>627</v>
      </c>
      <c r="X8" s="2189"/>
      <c r="Y8" s="2189"/>
      <c r="Z8" s="2189"/>
      <c r="AA8" s="2189"/>
      <c r="AB8" s="2189"/>
      <c r="AC8" s="2189"/>
      <c r="AD8" s="2189"/>
      <c r="AE8" s="2189"/>
      <c r="AF8" s="2189"/>
      <c r="AG8" s="2190"/>
    </row>
    <row r="9" spans="1:33" x14ac:dyDescent="0.25">
      <c r="A9" s="5121"/>
      <c r="B9" s="2194" t="s">
        <v>738</v>
      </c>
      <c r="C9" s="2186"/>
      <c r="D9" s="2186">
        <v>0.37</v>
      </c>
      <c r="E9" s="2203">
        <f t="shared" ref="E9:J9" si="7">X13/X10</f>
        <v>0.24014336917562723</v>
      </c>
      <c r="F9" s="2203">
        <f t="shared" si="7"/>
        <v>0.22365737593473828</v>
      </c>
      <c r="G9" s="2203">
        <f t="shared" si="7"/>
        <v>0.26021180030257185</v>
      </c>
      <c r="H9" s="2203">
        <f t="shared" si="7"/>
        <v>0.28365384615384615</v>
      </c>
      <c r="I9" s="2203">
        <f t="shared" si="7"/>
        <v>0.27139552814186585</v>
      </c>
      <c r="J9" s="2203">
        <f t="shared" si="7"/>
        <v>0.27620632279534107</v>
      </c>
      <c r="K9" s="2204">
        <v>0.28000000000000003</v>
      </c>
      <c r="L9" s="2204">
        <v>0.28000000000000003</v>
      </c>
      <c r="M9" s="2204">
        <v>0.28000000000000003</v>
      </c>
      <c r="N9" s="2205">
        <v>0.31</v>
      </c>
      <c r="O9" s="2187">
        <v>0.31</v>
      </c>
      <c r="P9" s="2187">
        <v>0.28000000000000003</v>
      </c>
      <c r="W9" s="2188">
        <v>1350</v>
      </c>
      <c r="X9" s="2189"/>
      <c r="Y9" s="2189"/>
      <c r="Z9" s="2189"/>
      <c r="AA9" s="2189"/>
      <c r="AB9" s="2189"/>
      <c r="AC9" s="2189"/>
      <c r="AD9" s="2189"/>
      <c r="AE9" s="2189"/>
      <c r="AF9" s="2189"/>
      <c r="AG9" s="2190"/>
    </row>
    <row r="10" spans="1:33" x14ac:dyDescent="0.25">
      <c r="A10" s="5122"/>
      <c r="B10" s="2195" t="s">
        <v>739</v>
      </c>
      <c r="C10" s="2196">
        <v>0.48</v>
      </c>
      <c r="D10" s="2196">
        <f t="shared" ref="D10:N10" si="8">W10/W5</f>
        <v>0.40389821331889553</v>
      </c>
      <c r="E10" s="2196">
        <f t="shared" si="8"/>
        <v>0.37289494787489974</v>
      </c>
      <c r="F10" s="2196">
        <f t="shared" si="8"/>
        <v>0.37583035258048031</v>
      </c>
      <c r="G10" s="2196">
        <f t="shared" si="8"/>
        <v>0.35470888113764421</v>
      </c>
      <c r="H10" s="2196">
        <f t="shared" si="8"/>
        <v>0.36749116607773852</v>
      </c>
      <c r="I10" s="2196">
        <f t="shared" si="8"/>
        <v>0.35263730288200107</v>
      </c>
      <c r="J10" s="2196">
        <f t="shared" si="8"/>
        <v>0.33660039204704567</v>
      </c>
      <c r="K10" s="2196">
        <f t="shared" si="8"/>
        <v>0.33231921366721273</v>
      </c>
      <c r="L10" s="2196">
        <f t="shared" si="8"/>
        <v>0.32930232558139533</v>
      </c>
      <c r="M10" s="2196">
        <f t="shared" si="8"/>
        <v>0.31101778656126483</v>
      </c>
      <c r="N10" s="2197">
        <f t="shared" si="8"/>
        <v>0.29876977152899825</v>
      </c>
      <c r="O10" s="2197">
        <v>0.3</v>
      </c>
      <c r="P10" s="2197">
        <v>0.28999999999999998</v>
      </c>
      <c r="W10" s="2198">
        <v>1492</v>
      </c>
      <c r="X10" s="2199">
        <v>1395</v>
      </c>
      <c r="Y10" s="2199">
        <v>1471</v>
      </c>
      <c r="Z10" s="2199">
        <v>1322</v>
      </c>
      <c r="AA10" s="2199">
        <v>1456</v>
      </c>
      <c r="AB10" s="2199">
        <v>1297</v>
      </c>
      <c r="AC10" s="2199">
        <v>1202</v>
      </c>
      <c r="AD10" s="2199">
        <v>1420</v>
      </c>
      <c r="AE10" s="2199">
        <v>1416</v>
      </c>
      <c r="AF10" s="2199">
        <v>1259</v>
      </c>
      <c r="AG10" s="2200">
        <v>1190</v>
      </c>
    </row>
    <row r="11" spans="1:33" x14ac:dyDescent="0.25">
      <c r="A11" s="5123" t="s">
        <v>735</v>
      </c>
      <c r="B11" s="2201" t="s">
        <v>736</v>
      </c>
      <c r="C11" s="2202"/>
      <c r="D11" s="2203"/>
      <c r="E11" s="2204">
        <f t="shared" ref="E11:J11" si="9">X15/X14</f>
        <v>0.48294970161977835</v>
      </c>
      <c r="F11" s="2204">
        <f t="shared" si="9"/>
        <v>0.48669668440442082</v>
      </c>
      <c r="G11" s="2204">
        <f t="shared" si="9"/>
        <v>0.48108108108108111</v>
      </c>
      <c r="H11" s="2204">
        <f t="shared" si="9"/>
        <v>0.50239425379090186</v>
      </c>
      <c r="I11" s="2204">
        <f t="shared" si="9"/>
        <v>0.48929021419571611</v>
      </c>
      <c r="J11" s="2204">
        <f t="shared" si="9"/>
        <v>0.48585901224145212</v>
      </c>
      <c r="K11" s="2204">
        <v>0.52</v>
      </c>
      <c r="L11" s="2204">
        <v>0.48</v>
      </c>
      <c r="M11" s="2204">
        <v>0.52</v>
      </c>
      <c r="N11" s="2205">
        <v>0.51900000000000002</v>
      </c>
      <c r="O11" s="2205">
        <v>0.51900000000000002</v>
      </c>
      <c r="P11" s="2205">
        <v>0.53</v>
      </c>
      <c r="W11" s="2206"/>
      <c r="X11" s="2207">
        <v>255</v>
      </c>
      <c r="Y11" s="2207">
        <v>304</v>
      </c>
      <c r="Z11" s="2207">
        <v>274</v>
      </c>
      <c r="AA11" s="2207">
        <v>289</v>
      </c>
      <c r="AB11" s="2207">
        <v>235</v>
      </c>
      <c r="AC11" s="2207">
        <v>211</v>
      </c>
      <c r="AD11" s="2207"/>
      <c r="AE11" s="2207"/>
      <c r="AF11" s="2207"/>
      <c r="AG11" s="2208"/>
    </row>
    <row r="12" spans="1:33" x14ac:dyDescent="0.25">
      <c r="A12" s="5119"/>
      <c r="B12" s="2201" t="s">
        <v>737</v>
      </c>
      <c r="C12" s="2202"/>
      <c r="D12" s="2203"/>
      <c r="E12" s="2204">
        <f t="shared" ref="E12:J12" si="10">X16/X14</f>
        <v>0.39215686274509803</v>
      </c>
      <c r="F12" s="2204">
        <f t="shared" si="10"/>
        <v>0.3933688088415882</v>
      </c>
      <c r="G12" s="2204">
        <f t="shared" si="10"/>
        <v>0.38752598752598755</v>
      </c>
      <c r="H12" s="2204">
        <f t="shared" si="10"/>
        <v>0.38028731045490821</v>
      </c>
      <c r="I12" s="2204">
        <f t="shared" si="10"/>
        <v>0.37967240655186896</v>
      </c>
      <c r="J12" s="2204">
        <f t="shared" si="10"/>
        <v>0.38581680033769522</v>
      </c>
      <c r="K12" s="2204">
        <v>0.36</v>
      </c>
      <c r="L12" s="2204">
        <v>0.36</v>
      </c>
      <c r="M12" s="2204">
        <v>0.36</v>
      </c>
      <c r="N12" s="2205">
        <v>0.34</v>
      </c>
      <c r="O12" s="2205">
        <v>0.34399999999999997</v>
      </c>
      <c r="P12" s="2205">
        <v>0.34</v>
      </c>
      <c r="W12" s="2206"/>
      <c r="X12" s="2207">
        <v>805</v>
      </c>
      <c r="Y12" s="2207">
        <v>838</v>
      </c>
      <c r="Z12" s="2207">
        <v>704</v>
      </c>
      <c r="AA12" s="2207">
        <v>754</v>
      </c>
      <c r="AB12" s="2207">
        <v>710</v>
      </c>
      <c r="AC12" s="2207">
        <v>659</v>
      </c>
      <c r="AD12" s="2207"/>
      <c r="AE12" s="2207"/>
      <c r="AF12" s="2207"/>
      <c r="AG12" s="2208"/>
    </row>
    <row r="13" spans="1:33" x14ac:dyDescent="0.25">
      <c r="A13" s="5119"/>
      <c r="B13" s="2201" t="s">
        <v>738</v>
      </c>
      <c r="C13" s="2202"/>
      <c r="D13" s="2203"/>
      <c r="E13" s="2204">
        <f t="shared" ref="E13:J13" si="11">X17/X14</f>
        <v>0.12489343563512362</v>
      </c>
      <c r="F13" s="2204">
        <f t="shared" si="11"/>
        <v>0.11993450675399099</v>
      </c>
      <c r="G13" s="2204">
        <f t="shared" si="11"/>
        <v>0.1313929313929314</v>
      </c>
      <c r="H13" s="2204">
        <f t="shared" si="11"/>
        <v>0.11731843575418995</v>
      </c>
      <c r="I13" s="2204">
        <f t="shared" si="11"/>
        <v>0.13103737925241496</v>
      </c>
      <c r="J13" s="2204">
        <f t="shared" si="11"/>
        <v>0.12832418742085269</v>
      </c>
      <c r="K13" s="2204">
        <v>0.12</v>
      </c>
      <c r="L13" s="2204">
        <v>0.13</v>
      </c>
      <c r="M13" s="2204">
        <v>0.13</v>
      </c>
      <c r="N13" s="2205">
        <v>0.13600000000000001</v>
      </c>
      <c r="O13" s="2205">
        <v>0.13600000000000001</v>
      </c>
      <c r="P13" s="2205">
        <v>0.13</v>
      </c>
      <c r="W13" s="2206"/>
      <c r="X13" s="2207">
        <v>335</v>
      </c>
      <c r="Y13" s="2207">
        <v>329</v>
      </c>
      <c r="Z13" s="2207">
        <v>344</v>
      </c>
      <c r="AA13" s="2207">
        <v>413</v>
      </c>
      <c r="AB13" s="2207">
        <v>352</v>
      </c>
      <c r="AC13" s="2207">
        <v>332</v>
      </c>
      <c r="AD13" s="2207"/>
      <c r="AE13" s="2207"/>
      <c r="AF13" s="2207"/>
      <c r="AG13" s="2208"/>
    </row>
    <row r="14" spans="1:33" x14ac:dyDescent="0.25">
      <c r="A14" s="5124"/>
      <c r="B14" s="2979" t="s">
        <v>740</v>
      </c>
      <c r="C14" s="2980">
        <v>0.52</v>
      </c>
      <c r="D14" s="2980">
        <f t="shared" ref="D14:N14" si="12">W14/W5</f>
        <v>0.59610178668110447</v>
      </c>
      <c r="E14" s="2980">
        <f t="shared" si="12"/>
        <v>0.62710505212510026</v>
      </c>
      <c r="F14" s="2980">
        <f t="shared" si="12"/>
        <v>0.62416964741951964</v>
      </c>
      <c r="G14" s="2980">
        <f t="shared" si="12"/>
        <v>0.64529111886235579</v>
      </c>
      <c r="H14" s="2980">
        <f t="shared" si="12"/>
        <v>0.63250883392226154</v>
      </c>
      <c r="I14" s="2980">
        <f t="shared" si="12"/>
        <v>0.64736269711799888</v>
      </c>
      <c r="J14" s="2980">
        <f t="shared" si="12"/>
        <v>0.66339960795295438</v>
      </c>
      <c r="K14" s="2980">
        <f t="shared" si="12"/>
        <v>0.66768078633278727</v>
      </c>
      <c r="L14" s="2980">
        <f t="shared" si="12"/>
        <v>0.67069767441860462</v>
      </c>
      <c r="M14" s="2980">
        <f t="shared" si="12"/>
        <v>0.68898221343873522</v>
      </c>
      <c r="N14" s="2981">
        <f t="shared" si="12"/>
        <v>0.7012302284710018</v>
      </c>
      <c r="O14" s="2981">
        <v>0.7</v>
      </c>
      <c r="P14" s="2981">
        <v>0.71</v>
      </c>
      <c r="W14" s="2209">
        <v>2202</v>
      </c>
      <c r="X14" s="2210">
        <v>2346</v>
      </c>
      <c r="Y14" s="2210">
        <v>2443</v>
      </c>
      <c r="Z14" s="2210">
        <v>2405</v>
      </c>
      <c r="AA14" s="2210">
        <v>2506</v>
      </c>
      <c r="AB14" s="2210">
        <v>2381</v>
      </c>
      <c r="AC14" s="2210">
        <v>2369</v>
      </c>
      <c r="AD14" s="2210">
        <v>2853</v>
      </c>
      <c r="AE14" s="2210">
        <v>2884</v>
      </c>
      <c r="AF14" s="2210">
        <v>2789</v>
      </c>
      <c r="AG14" s="2211">
        <v>2793</v>
      </c>
    </row>
    <row r="15" spans="1:33" x14ac:dyDescent="0.25">
      <c r="A15" s="5125" t="s">
        <v>741</v>
      </c>
      <c r="B15" s="2978" t="s">
        <v>742</v>
      </c>
      <c r="C15" s="2218">
        <v>0.01</v>
      </c>
      <c r="D15" s="2218">
        <v>0.01</v>
      </c>
      <c r="E15" s="2218">
        <v>0.01</v>
      </c>
      <c r="F15" s="2218">
        <v>1.2999999999999999E-2</v>
      </c>
      <c r="G15" s="2218">
        <v>1.0999999999999999E-2</v>
      </c>
      <c r="H15" s="2218">
        <v>0.01</v>
      </c>
      <c r="I15" s="2218">
        <v>0.01</v>
      </c>
      <c r="J15" s="2218">
        <v>0.01</v>
      </c>
      <c r="K15" s="2218">
        <v>0.01</v>
      </c>
      <c r="L15" s="2218">
        <v>0.01</v>
      </c>
      <c r="M15" s="2218">
        <v>0.01</v>
      </c>
      <c r="N15" s="2219">
        <v>0.01</v>
      </c>
      <c r="O15" s="2219">
        <v>1.2999999999999999E-2</v>
      </c>
      <c r="P15" s="2219">
        <v>1.0999999999999999E-2</v>
      </c>
      <c r="W15" s="2212"/>
      <c r="X15" s="2207">
        <v>1133</v>
      </c>
      <c r="Y15" s="2207">
        <v>1189</v>
      </c>
      <c r="Z15" s="2207">
        <v>1157</v>
      </c>
      <c r="AA15" s="2207">
        <v>1259</v>
      </c>
      <c r="AB15" s="2207">
        <v>1165</v>
      </c>
      <c r="AC15" s="2207">
        <v>1151</v>
      </c>
      <c r="AD15" s="2207"/>
      <c r="AE15" s="2207"/>
      <c r="AF15" s="2207"/>
      <c r="AG15" s="2208"/>
    </row>
    <row r="16" spans="1:33" x14ac:dyDescent="0.25">
      <c r="A16" s="5126"/>
      <c r="B16" s="2220" t="s">
        <v>743</v>
      </c>
      <c r="C16" s="2186">
        <v>0.27</v>
      </c>
      <c r="D16" s="2186">
        <v>0.18</v>
      </c>
      <c r="E16" s="2186">
        <v>0.17</v>
      </c>
      <c r="F16" s="2186">
        <v>0.16800000000000001</v>
      </c>
      <c r="G16" s="2186">
        <v>0.14899999999999999</v>
      </c>
      <c r="H16" s="2186">
        <v>0.121</v>
      </c>
      <c r="I16" s="2186">
        <v>0.13</v>
      </c>
      <c r="J16" s="2186">
        <v>0.14000000000000001</v>
      </c>
      <c r="K16" s="2186">
        <v>0.14000000000000001</v>
      </c>
      <c r="L16" s="2186">
        <v>0.13</v>
      </c>
      <c r="M16" s="2186">
        <v>0.11899999999999999</v>
      </c>
      <c r="N16" s="2187">
        <v>0.11</v>
      </c>
      <c r="O16" s="2187">
        <v>0.109</v>
      </c>
      <c r="P16" s="2187">
        <v>0.10199999999999999</v>
      </c>
      <c r="W16" s="2212"/>
      <c r="X16" s="2207">
        <v>920</v>
      </c>
      <c r="Y16" s="2207">
        <v>961</v>
      </c>
      <c r="Z16" s="2207">
        <v>932</v>
      </c>
      <c r="AA16" s="2207">
        <v>953</v>
      </c>
      <c r="AB16" s="2207">
        <v>904</v>
      </c>
      <c r="AC16" s="2207">
        <v>914</v>
      </c>
      <c r="AD16" s="2207"/>
      <c r="AE16" s="2207"/>
      <c r="AF16" s="2207"/>
      <c r="AG16" s="2208"/>
    </row>
    <row r="17" spans="1:33" x14ac:dyDescent="0.25">
      <c r="A17" s="5126"/>
      <c r="B17" s="2220" t="s">
        <v>744</v>
      </c>
      <c r="C17" s="2186">
        <v>0.28999999999999998</v>
      </c>
      <c r="D17" s="2186">
        <v>0.36</v>
      </c>
      <c r="E17" s="2186">
        <v>0.36</v>
      </c>
      <c r="F17" s="2186">
        <v>0.35199999999999998</v>
      </c>
      <c r="G17" s="2186">
        <v>0.33800000000000002</v>
      </c>
      <c r="H17" s="2186">
        <v>0.30199999999999999</v>
      </c>
      <c r="I17" s="2186">
        <v>0.31</v>
      </c>
      <c r="J17" s="2186">
        <v>0.31</v>
      </c>
      <c r="K17" s="2186">
        <v>0.31</v>
      </c>
      <c r="L17" s="2186">
        <v>0.31</v>
      </c>
      <c r="M17" s="2186">
        <v>0.313</v>
      </c>
      <c r="N17" s="2187">
        <v>0.32</v>
      </c>
      <c r="O17" s="2187">
        <v>0.3</v>
      </c>
      <c r="P17" s="2187">
        <v>0.31</v>
      </c>
      <c r="W17" s="2215"/>
      <c r="X17" s="2216">
        <v>293</v>
      </c>
      <c r="Y17" s="2216">
        <v>293</v>
      </c>
      <c r="Z17" s="2216">
        <v>316</v>
      </c>
      <c r="AA17" s="2216">
        <v>294</v>
      </c>
      <c r="AB17" s="2216">
        <v>312</v>
      </c>
      <c r="AC17" s="2216">
        <v>304</v>
      </c>
      <c r="AD17" s="2216"/>
      <c r="AE17" s="2216"/>
      <c r="AF17" s="2216"/>
      <c r="AG17" s="2217"/>
    </row>
    <row r="18" spans="1:33" x14ac:dyDescent="0.25">
      <c r="A18" s="5126"/>
      <c r="B18" s="3794" t="s">
        <v>755</v>
      </c>
      <c r="C18" s="2186">
        <v>0.21</v>
      </c>
      <c r="D18" s="2186">
        <v>0.21</v>
      </c>
      <c r="E18" s="2186">
        <v>0.21</v>
      </c>
      <c r="F18" s="2186">
        <v>0.216</v>
      </c>
      <c r="G18" s="2186">
        <v>0.21299999999999999</v>
      </c>
      <c r="H18" s="2186">
        <v>0.16400000000000001</v>
      </c>
      <c r="I18" s="2186">
        <v>0.15</v>
      </c>
      <c r="J18" s="2186">
        <v>0.16</v>
      </c>
      <c r="K18" s="2186">
        <v>0.16</v>
      </c>
      <c r="L18" s="2186">
        <v>0.15</v>
      </c>
      <c r="M18" s="3795">
        <v>0.15727027248179362</v>
      </c>
      <c r="N18" s="2187">
        <v>0.15</v>
      </c>
      <c r="O18" s="2187">
        <v>0.16</v>
      </c>
      <c r="P18" s="2187">
        <v>0.14799999999999999</v>
      </c>
    </row>
    <row r="19" spans="1:33" x14ac:dyDescent="0.25">
      <c r="A19" s="5126"/>
      <c r="B19" s="3791" t="s">
        <v>1301</v>
      </c>
      <c r="C19" s="2186">
        <v>0.22</v>
      </c>
      <c r="D19" s="2186">
        <v>0.24</v>
      </c>
      <c r="E19" s="2186">
        <v>0.25</v>
      </c>
      <c r="F19" s="2186">
        <v>0.251</v>
      </c>
      <c r="G19" s="2186">
        <v>0.28899999999999998</v>
      </c>
      <c r="H19" s="2186">
        <v>0.40400000000000003</v>
      </c>
      <c r="I19" s="2186">
        <v>0.4</v>
      </c>
      <c r="J19" s="2186">
        <v>0.38</v>
      </c>
      <c r="K19" s="2186">
        <v>0.38</v>
      </c>
      <c r="L19" s="2186">
        <v>0.4</v>
      </c>
      <c r="M19" s="2186">
        <v>0.18288192455609198</v>
      </c>
      <c r="N19" s="2187">
        <v>0.19</v>
      </c>
      <c r="O19" s="2187">
        <v>0.19</v>
      </c>
      <c r="P19" s="2187">
        <v>0.19</v>
      </c>
    </row>
    <row r="20" spans="1:33" x14ac:dyDescent="0.25">
      <c r="A20" s="5126"/>
      <c r="B20" s="3874" t="s">
        <v>1317</v>
      </c>
      <c r="C20" s="2186"/>
      <c r="D20" s="2186"/>
      <c r="E20" s="2186"/>
      <c r="F20" s="2186"/>
      <c r="G20" s="2186"/>
      <c r="H20" s="2186"/>
      <c r="I20" s="2186"/>
      <c r="J20" s="2186"/>
      <c r="K20" s="2186"/>
      <c r="L20" s="2186"/>
      <c r="M20" s="2221">
        <v>0.13722281319040994</v>
      </c>
      <c r="N20" s="2187">
        <v>0.13600000000000001</v>
      </c>
      <c r="O20" s="2187">
        <v>0.14000000000000001</v>
      </c>
      <c r="P20" s="2187">
        <v>0.14099999999999999</v>
      </c>
    </row>
    <row r="21" spans="1:33" x14ac:dyDescent="0.25">
      <c r="A21" s="5127"/>
      <c r="B21" s="3875" t="s">
        <v>1318</v>
      </c>
      <c r="C21" s="2222"/>
      <c r="D21" s="2222"/>
      <c r="E21" s="2222"/>
      <c r="F21" s="2222"/>
      <c r="G21" s="2222"/>
      <c r="H21" s="2222"/>
      <c r="I21" s="2222"/>
      <c r="J21" s="2222"/>
      <c r="K21" s="2222"/>
      <c r="L21" s="2222"/>
      <c r="M21" s="2222">
        <v>8.0517142623353244E-2</v>
      </c>
      <c r="N21" s="2187">
        <v>8.7999999999999995E-2</v>
      </c>
      <c r="O21" s="2187">
        <v>0.09</v>
      </c>
      <c r="P21" s="2187">
        <v>0.09</v>
      </c>
    </row>
    <row r="22" spans="1:33" x14ac:dyDescent="0.25">
      <c r="A22" s="5115" t="s">
        <v>745</v>
      </c>
      <c r="B22" s="2223" t="s">
        <v>746</v>
      </c>
      <c r="C22" s="2224">
        <v>0.02</v>
      </c>
      <c r="D22" s="2224">
        <v>0.03</v>
      </c>
      <c r="E22" s="2224">
        <v>2.5999999999999999E-2</v>
      </c>
      <c r="F22" s="2224">
        <v>2.3E-2</v>
      </c>
      <c r="G22" s="2224">
        <v>2.1999999999999999E-2</v>
      </c>
      <c r="H22" s="2224">
        <v>2.5999999999999999E-2</v>
      </c>
      <c r="I22" s="2224">
        <v>2.9000000000000001E-2</v>
      </c>
      <c r="J22" s="2224">
        <v>3.2000000000000001E-2</v>
      </c>
      <c r="K22" s="2224">
        <v>3.2000000000000001E-2</v>
      </c>
      <c r="L22" s="2224">
        <v>3.2000000000000001E-2</v>
      </c>
      <c r="M22" s="2224">
        <v>3.4000000000000002E-2</v>
      </c>
      <c r="N22" s="2225">
        <v>0.03</v>
      </c>
      <c r="O22" s="2225">
        <v>3.4000000000000002E-2</v>
      </c>
      <c r="P22" s="2225">
        <v>3.3000000000000002E-2</v>
      </c>
    </row>
    <row r="23" spans="1:33" x14ac:dyDescent="0.25">
      <c r="A23" s="5116"/>
      <c r="B23" s="2226" t="s">
        <v>747</v>
      </c>
      <c r="C23" s="2204">
        <v>0.2</v>
      </c>
      <c r="D23" s="2204">
        <v>0.21</v>
      </c>
      <c r="E23" s="2204">
        <v>0.219</v>
      </c>
      <c r="F23" s="2204">
        <v>0.188</v>
      </c>
      <c r="G23" s="2204">
        <v>0.17599999999999999</v>
      </c>
      <c r="H23" s="2204">
        <v>0.17</v>
      </c>
      <c r="I23" s="2204">
        <v>0.159</v>
      </c>
      <c r="J23" s="2204">
        <v>0.159</v>
      </c>
      <c r="K23" s="2204">
        <v>0.14599999999999999</v>
      </c>
      <c r="L23" s="2204">
        <v>0.14099999999999999</v>
      </c>
      <c r="M23" s="2204">
        <v>0.129</v>
      </c>
      <c r="N23" s="2205">
        <v>0.126</v>
      </c>
      <c r="O23" s="2205">
        <v>0.112</v>
      </c>
      <c r="P23" s="2205">
        <v>0.10199999999999999</v>
      </c>
    </row>
    <row r="24" spans="1:33" x14ac:dyDescent="0.25">
      <c r="A24" s="5116"/>
      <c r="B24" s="2226" t="s">
        <v>748</v>
      </c>
      <c r="C24" s="2204">
        <v>0.2</v>
      </c>
      <c r="D24" s="2204">
        <v>0.13</v>
      </c>
      <c r="E24" s="2204">
        <v>0.20599999999999999</v>
      </c>
      <c r="F24" s="2204">
        <v>0.185</v>
      </c>
      <c r="G24" s="2204">
        <v>0.191</v>
      </c>
      <c r="H24" s="2204">
        <v>0.19900000000000001</v>
      </c>
      <c r="I24" s="2204">
        <v>0.20100000000000001</v>
      </c>
      <c r="J24" s="2204">
        <v>0.20899999999999999</v>
      </c>
      <c r="K24" s="2204">
        <v>0.20899999999999999</v>
      </c>
      <c r="L24" s="2204">
        <v>0.222</v>
      </c>
      <c r="M24" s="2204">
        <v>0.214</v>
      </c>
      <c r="N24" s="2205">
        <v>0.22</v>
      </c>
      <c r="O24" s="2205">
        <v>0.223</v>
      </c>
      <c r="P24" s="2205">
        <v>0.22600000000000001</v>
      </c>
    </row>
    <row r="25" spans="1:33" x14ac:dyDescent="0.25">
      <c r="A25" s="5116"/>
      <c r="B25" s="2226" t="s">
        <v>749</v>
      </c>
      <c r="C25" s="2204">
        <v>0.09</v>
      </c>
      <c r="D25" s="2204">
        <v>0.14000000000000001</v>
      </c>
      <c r="E25" s="2204">
        <v>0.1</v>
      </c>
      <c r="F25" s="2204">
        <v>9.8000000000000004E-2</v>
      </c>
      <c r="G25" s="2204">
        <v>9.4E-2</v>
      </c>
      <c r="H25" s="2204">
        <v>8.8999999999999996E-2</v>
      </c>
      <c r="I25" s="2204">
        <v>9.1999999999999998E-2</v>
      </c>
      <c r="J25" s="2204">
        <v>9.2999999999999999E-2</v>
      </c>
      <c r="K25" s="2204">
        <v>9.0999999999999998E-2</v>
      </c>
      <c r="L25" s="2204">
        <v>8.8999999999999996E-2</v>
      </c>
      <c r="M25" s="2204">
        <v>0.09</v>
      </c>
      <c r="N25" s="2205">
        <v>8.8999999999999996E-2</v>
      </c>
      <c r="O25" s="2205">
        <v>8.3000000000000004E-2</v>
      </c>
      <c r="P25" s="2205">
        <v>9.4E-2</v>
      </c>
    </row>
    <row r="26" spans="1:33" x14ac:dyDescent="0.25">
      <c r="A26" s="5116"/>
      <c r="B26" s="2226" t="s">
        <v>750</v>
      </c>
      <c r="C26" s="2204">
        <v>0.1</v>
      </c>
      <c r="D26" s="2204">
        <v>0.19</v>
      </c>
      <c r="E26" s="2204">
        <v>0.14399999999999999</v>
      </c>
      <c r="F26" s="2204">
        <v>0.151</v>
      </c>
      <c r="G26" s="2204">
        <v>0.155</v>
      </c>
      <c r="H26" s="2204">
        <v>0.157</v>
      </c>
      <c r="I26" s="2204">
        <v>0.16500000000000001</v>
      </c>
      <c r="J26" s="2204">
        <v>0.16700000000000001</v>
      </c>
      <c r="K26" s="2204">
        <v>0.17899999999999999</v>
      </c>
      <c r="L26" s="2204">
        <v>0.17699999999999999</v>
      </c>
      <c r="M26" s="2204">
        <v>0.186</v>
      </c>
      <c r="N26" s="2205">
        <v>0.19400000000000001</v>
      </c>
      <c r="O26" s="2205">
        <v>0.19600000000000001</v>
      </c>
      <c r="P26" s="2205">
        <v>0.19700000000000001</v>
      </c>
    </row>
    <row r="27" spans="1:33" x14ac:dyDescent="0.25">
      <c r="A27" s="5116"/>
      <c r="B27" s="2226" t="s">
        <v>751</v>
      </c>
      <c r="C27" s="2204">
        <v>0.32</v>
      </c>
      <c r="D27" s="2204">
        <v>0.25</v>
      </c>
      <c r="E27" s="2204">
        <v>0.27300000000000002</v>
      </c>
      <c r="F27" s="2204">
        <v>0.30099999999999999</v>
      </c>
      <c r="G27" s="2204">
        <v>0.30299999999999999</v>
      </c>
      <c r="H27" s="2204">
        <v>0.30399999999999999</v>
      </c>
      <c r="I27" s="2204">
        <v>0.30299999999999999</v>
      </c>
      <c r="J27" s="2204">
        <v>0.29099999999999998</v>
      </c>
      <c r="K27" s="2204">
        <v>0.29199999999999998</v>
      </c>
      <c r="L27" s="2204">
        <v>0.29199999999999998</v>
      </c>
      <c r="M27" s="2204">
        <v>0.29199999999999998</v>
      </c>
      <c r="N27" s="2205">
        <v>0.29199999999999998</v>
      </c>
      <c r="O27" s="2205">
        <v>0.29199999999999998</v>
      </c>
      <c r="P27" s="2205">
        <v>0.29199999999999998</v>
      </c>
    </row>
    <row r="28" spans="1:33" x14ac:dyDescent="0.25">
      <c r="A28" s="5117"/>
      <c r="B28" s="2227" t="s">
        <v>752</v>
      </c>
      <c r="C28" s="2213">
        <v>7.0000000000000007E-2</v>
      </c>
      <c r="D28" s="2213">
        <v>0.05</v>
      </c>
      <c r="E28" s="2213">
        <v>3.2000000000000001E-2</v>
      </c>
      <c r="F28" s="2213">
        <v>5.2999999999999999E-2</v>
      </c>
      <c r="G28" s="2213">
        <v>5.8999999999999997E-2</v>
      </c>
      <c r="H28" s="2213">
        <v>5.5E-2</v>
      </c>
      <c r="I28" s="2213">
        <v>5.0999999999999997E-2</v>
      </c>
      <c r="J28" s="2213">
        <v>4.9000000000000002E-2</v>
      </c>
      <c r="K28" s="2213">
        <v>5.0999999999999997E-2</v>
      </c>
      <c r="L28" s="2213">
        <v>4.3999999999999997E-2</v>
      </c>
      <c r="M28" s="2213">
        <v>4.4999999999999998E-2</v>
      </c>
      <c r="N28" s="2214">
        <v>4.9000000000000002E-2</v>
      </c>
      <c r="O28" s="2214">
        <v>0.05</v>
      </c>
      <c r="P28" s="2214">
        <v>4.8000000000000001E-2</v>
      </c>
    </row>
    <row r="29" spans="1:33" x14ac:dyDescent="0.25">
      <c r="A29" s="5115" t="s">
        <v>753</v>
      </c>
      <c r="B29" s="2223" t="s">
        <v>746</v>
      </c>
      <c r="C29" s="2224">
        <v>0.03</v>
      </c>
      <c r="D29" s="2224">
        <v>0.02</v>
      </c>
      <c r="E29" s="2224">
        <v>0.02</v>
      </c>
      <c r="F29" s="2224">
        <v>1.4999999999999999E-2</v>
      </c>
      <c r="G29" s="2224">
        <v>1.2999999999999999E-2</v>
      </c>
      <c r="H29" s="2224">
        <v>1.7000000000000001E-2</v>
      </c>
      <c r="I29" s="2224">
        <v>1.7000000000000001E-2</v>
      </c>
      <c r="J29" s="2224">
        <v>1.6E-2</v>
      </c>
      <c r="K29" s="2224">
        <v>1.6E-2</v>
      </c>
      <c r="L29" s="2224">
        <v>1.6E-2</v>
      </c>
      <c r="M29" s="2224">
        <v>1.6E-2</v>
      </c>
      <c r="N29" s="2225">
        <v>1.0999999999999999E-2</v>
      </c>
      <c r="O29" s="2225">
        <v>0.01</v>
      </c>
      <c r="P29" s="2225">
        <v>1.2E-2</v>
      </c>
    </row>
    <row r="30" spans="1:33" x14ac:dyDescent="0.25">
      <c r="A30" s="5116"/>
      <c r="B30" s="2226" t="s">
        <v>747</v>
      </c>
      <c r="C30" s="2204">
        <v>0.2</v>
      </c>
      <c r="D30" s="2204">
        <v>0.3</v>
      </c>
      <c r="E30" s="2204">
        <v>0.308</v>
      </c>
      <c r="F30" s="2204">
        <v>0.25900000000000001</v>
      </c>
      <c r="G30" s="2204">
        <v>0.23899999999999999</v>
      </c>
      <c r="H30" s="2204">
        <v>0.22700000000000001</v>
      </c>
      <c r="I30" s="2204">
        <v>0.221</v>
      </c>
      <c r="J30" s="2204">
        <v>0.219</v>
      </c>
      <c r="K30" s="2204">
        <v>0.20399999999999999</v>
      </c>
      <c r="L30" s="2204">
        <v>0.184</v>
      </c>
      <c r="M30" s="2204">
        <v>0.182</v>
      </c>
      <c r="N30" s="2205">
        <v>0.16400000000000001</v>
      </c>
      <c r="O30" s="2205">
        <v>0.151</v>
      </c>
      <c r="P30" s="2205">
        <v>0.14399999999999999</v>
      </c>
    </row>
    <row r="31" spans="1:33" x14ac:dyDescent="0.25">
      <c r="A31" s="5116"/>
      <c r="B31" s="2226" t="s">
        <v>748</v>
      </c>
      <c r="C31" s="2204">
        <v>0.16</v>
      </c>
      <c r="D31" s="2204">
        <v>0.2</v>
      </c>
      <c r="E31" s="2204">
        <v>0.215</v>
      </c>
      <c r="F31" s="2204">
        <v>0.20699999999999999</v>
      </c>
      <c r="G31" s="2204">
        <v>0.20799999999999999</v>
      </c>
      <c r="H31" s="2204">
        <v>0.215</v>
      </c>
      <c r="I31" s="2204">
        <v>0.223</v>
      </c>
      <c r="J31" s="2204">
        <v>0.222</v>
      </c>
      <c r="K31" s="2204">
        <v>0.22800000000000001</v>
      </c>
      <c r="L31" s="2204">
        <v>0.22800000000000001</v>
      </c>
      <c r="M31" s="2204">
        <v>0.22800000000000001</v>
      </c>
      <c r="N31" s="2205">
        <v>0.23699999999999999</v>
      </c>
      <c r="O31" s="2205">
        <v>0.23899999999999999</v>
      </c>
      <c r="P31" s="2205">
        <v>0.23699999999999999</v>
      </c>
    </row>
    <row r="32" spans="1:33" x14ac:dyDescent="0.25">
      <c r="A32" s="5116"/>
      <c r="B32" s="2226" t="s">
        <v>749</v>
      </c>
      <c r="C32" s="2204">
        <v>0.27</v>
      </c>
      <c r="D32" s="2204">
        <v>0.18</v>
      </c>
      <c r="E32" s="2204">
        <v>0.193</v>
      </c>
      <c r="F32" s="2204">
        <v>0.187</v>
      </c>
      <c r="G32" s="2204">
        <v>0.192</v>
      </c>
      <c r="H32" s="2204">
        <v>0.187</v>
      </c>
      <c r="I32" s="2204">
        <v>0.187</v>
      </c>
      <c r="J32" s="2204">
        <v>0.18</v>
      </c>
      <c r="K32" s="2204">
        <v>0.17899999999999999</v>
      </c>
      <c r="L32" s="2204">
        <v>0.16900000000000001</v>
      </c>
      <c r="M32" s="2204">
        <v>0.18099999999999999</v>
      </c>
      <c r="N32" s="2205">
        <v>0.17899999999999999</v>
      </c>
      <c r="O32" s="2205">
        <v>0.17199999999999999</v>
      </c>
      <c r="P32" s="2205">
        <v>0.17199999999999999</v>
      </c>
    </row>
    <row r="33" spans="1:16" x14ac:dyDescent="0.25">
      <c r="A33" s="5116"/>
      <c r="B33" s="2226" t="s">
        <v>750</v>
      </c>
      <c r="C33" s="2204">
        <v>0.1</v>
      </c>
      <c r="D33" s="2204">
        <v>0.11</v>
      </c>
      <c r="E33" s="2204">
        <v>0.108</v>
      </c>
      <c r="F33" s="2204">
        <v>0.121</v>
      </c>
      <c r="G33" s="2204">
        <v>0.125</v>
      </c>
      <c r="H33" s="2204">
        <v>0.129</v>
      </c>
      <c r="I33" s="2204">
        <v>0.13100000000000001</v>
      </c>
      <c r="J33" s="2204">
        <v>0.13300000000000001</v>
      </c>
      <c r="K33" s="2204">
        <v>0.14099999999999999</v>
      </c>
      <c r="L33" s="2204">
        <v>0.15</v>
      </c>
      <c r="M33" s="2204">
        <v>0.154</v>
      </c>
      <c r="N33" s="2205">
        <v>0.16900000000000001</v>
      </c>
      <c r="O33" s="2205">
        <v>0.16900000000000001</v>
      </c>
      <c r="P33" s="2205">
        <v>0.17199999999999999</v>
      </c>
    </row>
    <row r="34" spans="1:16" x14ac:dyDescent="0.25">
      <c r="A34" s="5116"/>
      <c r="B34" s="2226" t="s">
        <v>751</v>
      </c>
      <c r="C34" s="2204">
        <v>0.21</v>
      </c>
      <c r="D34" s="2204">
        <v>0.17</v>
      </c>
      <c r="E34" s="2204">
        <v>0.14099999999999999</v>
      </c>
      <c r="F34" s="2204">
        <v>0.185</v>
      </c>
      <c r="G34" s="2204">
        <v>0.193</v>
      </c>
      <c r="H34" s="2204">
        <v>0.19700000000000001</v>
      </c>
      <c r="I34" s="2204">
        <v>0.19400000000000001</v>
      </c>
      <c r="J34" s="2204">
        <v>0.20100000000000001</v>
      </c>
      <c r="K34" s="2204">
        <v>0.20300000000000001</v>
      </c>
      <c r="L34" s="2204">
        <v>0.217</v>
      </c>
      <c r="M34" s="2204">
        <v>0.21</v>
      </c>
      <c r="N34" s="2205">
        <v>0.20599999999999999</v>
      </c>
      <c r="O34" s="2205">
        <v>0.22500000000000001</v>
      </c>
      <c r="P34" s="2205">
        <v>0.22800000000000001</v>
      </c>
    </row>
    <row r="35" spans="1:16" x14ac:dyDescent="0.25">
      <c r="A35" s="5117"/>
      <c r="B35" s="2227" t="s">
        <v>752</v>
      </c>
      <c r="C35" s="2213">
        <v>0.03</v>
      </c>
      <c r="D35" s="2213">
        <v>0.02</v>
      </c>
      <c r="E35" s="2213">
        <v>1.4E-2</v>
      </c>
      <c r="F35" s="2213">
        <v>2.7E-2</v>
      </c>
      <c r="G35" s="2213">
        <v>3.2000000000000001E-2</v>
      </c>
      <c r="H35" s="2213">
        <v>2.8000000000000001E-2</v>
      </c>
      <c r="I35" s="2213">
        <v>2.7E-2</v>
      </c>
      <c r="J35" s="2213">
        <v>2.9000000000000001E-2</v>
      </c>
      <c r="K35" s="2213">
        <v>2.9000000000000001E-2</v>
      </c>
      <c r="L35" s="2213">
        <v>3.1E-2</v>
      </c>
      <c r="M35" s="2213">
        <v>3.1E-2</v>
      </c>
      <c r="N35" s="2214">
        <v>3.4000000000000002E-2</v>
      </c>
      <c r="O35" s="2214">
        <v>3.4000000000000002E-2</v>
      </c>
      <c r="P35" s="2214">
        <v>3.5999999999999997E-2</v>
      </c>
    </row>
    <row r="36" spans="1:16" x14ac:dyDescent="0.25">
      <c r="A36" s="2228"/>
      <c r="C36" s="2230"/>
      <c r="D36" s="2230"/>
      <c r="E36" s="2230"/>
      <c r="F36" s="2230"/>
      <c r="G36" s="2230"/>
      <c r="H36" s="2230"/>
      <c r="I36" s="2230"/>
      <c r="J36" s="2230"/>
      <c r="K36" s="2230"/>
      <c r="L36" s="2230"/>
      <c r="M36" s="2230"/>
      <c r="N36" s="2230"/>
      <c r="O36" s="2230"/>
      <c r="P36" s="2181"/>
    </row>
    <row r="37" spans="1:16" x14ac:dyDescent="0.25">
      <c r="C37" s="2230"/>
      <c r="D37" s="2230"/>
      <c r="E37" s="2230"/>
      <c r="F37" s="2230"/>
      <c r="G37" s="2230"/>
      <c r="H37" s="2230"/>
      <c r="I37" s="2230"/>
      <c r="J37" s="2230"/>
      <c r="K37" s="2230"/>
      <c r="L37" s="2230"/>
      <c r="M37" s="2230"/>
      <c r="N37" s="2230"/>
      <c r="O37" s="2230"/>
      <c r="P37" s="2181"/>
    </row>
    <row r="38" spans="1:16" x14ac:dyDescent="0.25">
      <c r="C38" s="2230"/>
      <c r="D38" s="2230"/>
      <c r="E38" s="2230"/>
      <c r="F38" s="2230"/>
      <c r="G38" s="2230"/>
      <c r="H38" s="2230"/>
      <c r="I38" s="2230"/>
      <c r="J38" s="2230"/>
      <c r="K38" s="2230"/>
      <c r="L38" s="2230"/>
      <c r="M38" s="2230"/>
      <c r="N38" s="2230"/>
      <c r="O38" s="2230"/>
      <c r="P38" s="2181"/>
    </row>
    <row r="39" spans="1:16" x14ac:dyDescent="0.25">
      <c r="C39" s="2230"/>
      <c r="D39" s="2230"/>
      <c r="E39" s="2230"/>
      <c r="F39" s="2230"/>
      <c r="G39" s="2230"/>
      <c r="H39" s="2230"/>
      <c r="I39" s="2230"/>
      <c r="J39" s="2230"/>
      <c r="K39" s="2230"/>
      <c r="L39" s="2230"/>
      <c r="M39" s="2230"/>
      <c r="N39" s="2230"/>
      <c r="O39" s="2230"/>
    </row>
    <row r="40" spans="1:16" x14ac:dyDescent="0.25">
      <c r="C40" s="2230"/>
      <c r="D40" s="2230"/>
      <c r="E40" s="2230"/>
      <c r="F40" s="2230"/>
      <c r="G40" s="2230"/>
      <c r="H40" s="2230"/>
      <c r="I40" s="2230"/>
      <c r="J40" s="2230"/>
      <c r="K40" s="2230"/>
      <c r="L40" s="2230"/>
      <c r="M40" s="2230"/>
      <c r="N40" s="2230"/>
      <c r="O40" s="2230"/>
    </row>
    <row r="41" spans="1:16" x14ac:dyDescent="0.25">
      <c r="C41" s="2230"/>
      <c r="D41" s="2230"/>
      <c r="E41" s="2230"/>
      <c r="F41" s="2230"/>
      <c r="G41" s="2230"/>
      <c r="H41" s="2230"/>
      <c r="I41" s="2230"/>
      <c r="J41" s="2230"/>
      <c r="K41" s="2230"/>
      <c r="L41" s="2230"/>
      <c r="M41" s="2230"/>
      <c r="N41" s="2230"/>
      <c r="O41" s="2230"/>
    </row>
    <row r="42" spans="1:16" x14ac:dyDescent="0.25">
      <c r="C42" s="2230"/>
      <c r="D42" s="2230"/>
      <c r="E42" s="2230"/>
      <c r="F42" s="2230"/>
      <c r="G42" s="2230"/>
      <c r="H42" s="2230"/>
      <c r="I42" s="2230"/>
      <c r="J42" s="2230"/>
      <c r="K42" s="2230"/>
      <c r="L42" s="2230"/>
      <c r="M42" s="2230"/>
      <c r="N42" s="2230"/>
      <c r="O42" s="2230"/>
    </row>
    <row r="43" spans="1:16" x14ac:dyDescent="0.25">
      <c r="C43" s="2230"/>
      <c r="D43" s="2230"/>
      <c r="E43" s="2230"/>
      <c r="F43" s="2230"/>
      <c r="G43" s="2230"/>
      <c r="H43" s="2230"/>
      <c r="I43" s="2230"/>
      <c r="J43" s="2230"/>
      <c r="K43" s="2230"/>
      <c r="L43" s="2230"/>
      <c r="M43" s="2230"/>
      <c r="N43" s="2230"/>
      <c r="O43" s="2230"/>
    </row>
    <row r="44" spans="1:16" x14ac:dyDescent="0.25">
      <c r="C44" s="2230"/>
      <c r="D44" s="2230"/>
      <c r="E44" s="2230"/>
      <c r="F44" s="2230"/>
      <c r="G44" s="2230"/>
      <c r="H44" s="2230"/>
      <c r="I44" s="2230"/>
      <c r="J44" s="2230"/>
      <c r="K44" s="2230"/>
      <c r="L44" s="2230"/>
      <c r="M44" s="2230"/>
      <c r="N44" s="2230"/>
      <c r="O44" s="2230"/>
    </row>
    <row r="45" spans="1:16" x14ac:dyDescent="0.25">
      <c r="C45" s="2230"/>
      <c r="D45" s="2230"/>
      <c r="E45" s="2230"/>
      <c r="F45" s="2230"/>
      <c r="G45" s="2230"/>
      <c r="H45" s="2230"/>
      <c r="I45" s="2230"/>
      <c r="J45" s="2230"/>
      <c r="K45" s="2230"/>
      <c r="L45" s="2230"/>
      <c r="M45" s="2230"/>
      <c r="N45" s="2230"/>
      <c r="O45" s="2230"/>
    </row>
    <row r="46" spans="1:16" x14ac:dyDescent="0.25">
      <c r="C46" s="2230"/>
      <c r="D46" s="2230"/>
      <c r="E46" s="2230"/>
      <c r="F46" s="2230"/>
      <c r="G46" s="2230"/>
      <c r="H46" s="2230"/>
      <c r="I46" s="2230"/>
      <c r="J46" s="2230"/>
      <c r="K46" s="2230"/>
      <c r="L46" s="2230"/>
      <c r="M46" s="2230"/>
      <c r="N46" s="2230"/>
      <c r="O46" s="2230"/>
    </row>
  </sheetData>
  <mergeCells count="6">
    <mergeCell ref="A22:A28"/>
    <mergeCell ref="A29:A35"/>
    <mergeCell ref="A4:A6"/>
    <mergeCell ref="A7:A10"/>
    <mergeCell ref="A11:A14"/>
    <mergeCell ref="A15:A21"/>
  </mergeCells>
  <printOptions horizontalCentered="1" verticalCentered="1"/>
  <pageMargins left="0.19685039370078741" right="0.11811023622047245" top="0.15748031496062992" bottom="0.19685039370078741" header="0" footer="0"/>
  <pageSetup scale="81" pageOrder="overThenDown" orientation="landscape" r:id="rId1"/>
  <rowBreaks count="2" manualBreakCount="2">
    <brk id="36" max="16383" man="1"/>
    <brk id="69" max="16383" man="1"/>
  </rowBreaks>
  <colBreaks count="1" manualBreakCount="1">
    <brk id="16" max="1048575" man="1"/>
  </colBreaks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2:AC122"/>
  <sheetViews>
    <sheetView showGridLines="0" zoomScaleNormal="100" workbookViewId="0">
      <selection activeCell="U113" sqref="U113"/>
    </sheetView>
  </sheetViews>
  <sheetFormatPr baseColWidth="10" defaultColWidth="6.42578125" defaultRowHeight="12.75" x14ac:dyDescent="0.2"/>
  <cols>
    <col min="1" max="1" width="17.5703125" style="954" customWidth="1"/>
    <col min="2" max="2" width="9.28515625" style="954" customWidth="1"/>
    <col min="3" max="26" width="6.7109375" style="954" customWidth="1"/>
    <col min="27" max="27" width="9.7109375" style="954" customWidth="1"/>
    <col min="28" max="16384" width="6.42578125" style="951"/>
  </cols>
  <sheetData>
    <row r="2" spans="1:29" ht="15" x14ac:dyDescent="0.2">
      <c r="A2" s="1392" t="s">
        <v>585</v>
      </c>
    </row>
    <row r="4" spans="1:29" ht="17.100000000000001" customHeight="1" x14ac:dyDescent="0.2">
      <c r="A4" s="6313" t="s">
        <v>16</v>
      </c>
      <c r="B4" s="6315" t="s">
        <v>356</v>
      </c>
      <c r="C4" s="6331" t="s">
        <v>587</v>
      </c>
      <c r="D4" s="6319"/>
      <c r="E4" s="6319"/>
      <c r="F4" s="6319"/>
      <c r="G4" s="6319"/>
      <c r="H4" s="6319"/>
      <c r="I4" s="6319"/>
      <c r="J4" s="6319"/>
      <c r="K4" s="6319"/>
      <c r="L4" s="6319"/>
      <c r="M4" s="6319"/>
      <c r="N4" s="6319"/>
      <c r="O4" s="6319"/>
      <c r="P4" s="6319"/>
      <c r="Q4" s="6319"/>
      <c r="R4" s="6319"/>
      <c r="S4" s="6319"/>
      <c r="T4" s="6319"/>
      <c r="U4" s="6319"/>
      <c r="V4" s="6319"/>
      <c r="W4" s="6319"/>
      <c r="X4" s="6319"/>
      <c r="Y4" s="6319"/>
      <c r="Z4" s="6319"/>
      <c r="AA4" s="6320"/>
    </row>
    <row r="5" spans="1:29" s="1391" customFormat="1" ht="17.100000000000001" customHeight="1" x14ac:dyDescent="0.2">
      <c r="A5" s="6314"/>
      <c r="B5" s="6314"/>
      <c r="C5" s="1393">
        <v>1990</v>
      </c>
      <c r="D5" s="1394">
        <v>1991</v>
      </c>
      <c r="E5" s="1394">
        <v>1992</v>
      </c>
      <c r="F5" s="1394">
        <v>1993</v>
      </c>
      <c r="G5" s="1394">
        <v>1994</v>
      </c>
      <c r="H5" s="1394">
        <v>1995</v>
      </c>
      <c r="I5" s="1394">
        <v>1996</v>
      </c>
      <c r="J5" s="1394">
        <v>1997</v>
      </c>
      <c r="K5" s="1394">
        <v>1998</v>
      </c>
      <c r="L5" s="1394">
        <v>1999</v>
      </c>
      <c r="M5" s="1394">
        <v>2000</v>
      </c>
      <c r="N5" s="1394">
        <v>2001</v>
      </c>
      <c r="O5" s="1394">
        <v>2002</v>
      </c>
      <c r="P5" s="1394">
        <v>2003</v>
      </c>
      <c r="Q5" s="1394">
        <v>2004</v>
      </c>
      <c r="R5" s="1394">
        <v>2005</v>
      </c>
      <c r="S5" s="1394">
        <v>2006</v>
      </c>
      <c r="T5" s="1394">
        <v>2007</v>
      </c>
      <c r="U5" s="1394">
        <v>2008</v>
      </c>
      <c r="V5" s="1394">
        <v>2009</v>
      </c>
      <c r="W5" s="1394">
        <v>2010</v>
      </c>
      <c r="X5" s="1394">
        <v>2011</v>
      </c>
      <c r="Y5" s="1394">
        <v>2012</v>
      </c>
      <c r="Z5" s="1395">
        <v>2013</v>
      </c>
      <c r="AA5" s="1404" t="s">
        <v>160</v>
      </c>
      <c r="AB5" s="951"/>
      <c r="AC5" s="951"/>
    </row>
    <row r="6" spans="1:29" ht="17.100000000000001" customHeight="1" x14ac:dyDescent="0.2">
      <c r="A6" s="6321" t="s">
        <v>3</v>
      </c>
      <c r="B6" s="2049" t="s">
        <v>5</v>
      </c>
      <c r="C6" s="2054">
        <v>11</v>
      </c>
      <c r="D6" s="2054">
        <v>26</v>
      </c>
      <c r="E6" s="2054">
        <v>24</v>
      </c>
      <c r="F6" s="2054">
        <v>30</v>
      </c>
      <c r="G6" s="2054">
        <v>33</v>
      </c>
      <c r="H6" s="2054">
        <v>35</v>
      </c>
      <c r="I6" s="2054">
        <v>43</v>
      </c>
      <c r="J6" s="2054">
        <v>55</v>
      </c>
      <c r="K6" s="2054">
        <v>49</v>
      </c>
      <c r="L6" s="2054">
        <v>43</v>
      </c>
      <c r="M6" s="2054">
        <v>52</v>
      </c>
      <c r="N6" s="2054">
        <v>71</v>
      </c>
      <c r="O6" s="2054">
        <v>79</v>
      </c>
      <c r="P6" s="2054">
        <v>66</v>
      </c>
      <c r="Q6" s="2054">
        <v>79</v>
      </c>
      <c r="R6" s="2054"/>
      <c r="S6" s="2054"/>
      <c r="T6" s="2054"/>
      <c r="U6" s="2054"/>
      <c r="V6" s="2054"/>
      <c r="W6" s="2054">
        <v>94</v>
      </c>
      <c r="X6" s="2054">
        <v>126</v>
      </c>
      <c r="Y6" s="2054">
        <v>131</v>
      </c>
      <c r="Z6" s="1397">
        <v>156</v>
      </c>
      <c r="AA6" s="1398">
        <f>SUM(C6:Z6)</f>
        <v>1203</v>
      </c>
    </row>
    <row r="7" spans="1:29" ht="17.100000000000001" customHeight="1" x14ac:dyDescent="0.2">
      <c r="A7" s="6322"/>
      <c r="B7" s="2050" t="s">
        <v>6</v>
      </c>
      <c r="C7" s="1397">
        <v>61</v>
      </c>
      <c r="D7" s="1397">
        <v>78</v>
      </c>
      <c r="E7" s="1397">
        <v>66</v>
      </c>
      <c r="F7" s="1397">
        <v>87</v>
      </c>
      <c r="G7" s="1397">
        <v>89</v>
      </c>
      <c r="H7" s="1397">
        <v>91</v>
      </c>
      <c r="I7" s="1397">
        <v>103</v>
      </c>
      <c r="J7" s="1397">
        <v>98</v>
      </c>
      <c r="K7" s="1397">
        <v>108</v>
      </c>
      <c r="L7" s="1397">
        <v>103</v>
      </c>
      <c r="M7" s="1397">
        <v>108</v>
      </c>
      <c r="N7" s="1397">
        <v>127</v>
      </c>
      <c r="O7" s="1397">
        <v>105</v>
      </c>
      <c r="P7" s="1397">
        <v>101</v>
      </c>
      <c r="Q7" s="1397">
        <v>123</v>
      </c>
      <c r="R7" s="1397"/>
      <c r="S7" s="1397"/>
      <c r="T7" s="1397"/>
      <c r="U7" s="1397"/>
      <c r="V7" s="1397"/>
      <c r="W7" s="1397">
        <v>113</v>
      </c>
      <c r="X7" s="1397">
        <v>124</v>
      </c>
      <c r="Y7" s="1397">
        <v>147</v>
      </c>
      <c r="Z7" s="1397">
        <v>129</v>
      </c>
      <c r="AA7" s="1398">
        <f>SUM(C7:Z7)</f>
        <v>1961</v>
      </c>
    </row>
    <row r="8" spans="1:29" ht="17.100000000000001" customHeight="1" x14ac:dyDescent="0.2">
      <c r="A8" s="6322"/>
      <c r="B8" s="2050" t="s">
        <v>7</v>
      </c>
      <c r="C8" s="1397">
        <v>29</v>
      </c>
      <c r="D8" s="1397">
        <v>50</v>
      </c>
      <c r="E8" s="1397">
        <v>36</v>
      </c>
      <c r="F8" s="1397">
        <v>44</v>
      </c>
      <c r="G8" s="1397">
        <v>54</v>
      </c>
      <c r="H8" s="1397">
        <v>57</v>
      </c>
      <c r="I8" s="1397">
        <v>55</v>
      </c>
      <c r="J8" s="1397">
        <v>72</v>
      </c>
      <c r="K8" s="1397">
        <v>55</v>
      </c>
      <c r="L8" s="1397">
        <v>41</v>
      </c>
      <c r="M8" s="1397">
        <v>67</v>
      </c>
      <c r="N8" s="1397">
        <v>62</v>
      </c>
      <c r="O8" s="1397">
        <v>57</v>
      </c>
      <c r="P8" s="1397">
        <v>65</v>
      </c>
      <c r="Q8" s="1397">
        <v>57</v>
      </c>
      <c r="R8" s="1397"/>
      <c r="S8" s="1397"/>
      <c r="T8" s="1397"/>
      <c r="U8" s="1397"/>
      <c r="V8" s="1397"/>
      <c r="W8" s="1397">
        <v>63</v>
      </c>
      <c r="X8" s="1397">
        <v>78</v>
      </c>
      <c r="Y8" s="1397">
        <v>84</v>
      </c>
      <c r="Z8" s="1397">
        <v>96</v>
      </c>
      <c r="AA8" s="1398">
        <f>SUM(C8:Z8)</f>
        <v>1122</v>
      </c>
    </row>
    <row r="9" spans="1:29" ht="17.100000000000001" customHeight="1" x14ac:dyDescent="0.2">
      <c r="A9" s="6323"/>
      <c r="B9" s="2051" t="s">
        <v>160</v>
      </c>
      <c r="C9" s="1399">
        <f>SUM(C6:C8)</f>
        <v>101</v>
      </c>
      <c r="D9" s="1399">
        <f t="shared" ref="D9:Z9" si="0">SUM(D6:D8)</f>
        <v>154</v>
      </c>
      <c r="E9" s="1399">
        <f t="shared" si="0"/>
        <v>126</v>
      </c>
      <c r="F9" s="1399">
        <f t="shared" si="0"/>
        <v>161</v>
      </c>
      <c r="G9" s="1399">
        <f t="shared" si="0"/>
        <v>176</v>
      </c>
      <c r="H9" s="1399">
        <f t="shared" si="0"/>
        <v>183</v>
      </c>
      <c r="I9" s="1399">
        <f t="shared" si="0"/>
        <v>201</v>
      </c>
      <c r="J9" s="1399">
        <f t="shared" si="0"/>
        <v>225</v>
      </c>
      <c r="K9" s="1399">
        <f t="shared" si="0"/>
        <v>212</v>
      </c>
      <c r="L9" s="1399">
        <f t="shared" si="0"/>
        <v>187</v>
      </c>
      <c r="M9" s="1399">
        <f t="shared" si="0"/>
        <v>227</v>
      </c>
      <c r="N9" s="1399">
        <f t="shared" si="0"/>
        <v>260</v>
      </c>
      <c r="O9" s="1399">
        <f t="shared" si="0"/>
        <v>241</v>
      </c>
      <c r="P9" s="1399">
        <f t="shared" si="0"/>
        <v>232</v>
      </c>
      <c r="Q9" s="1399">
        <f t="shared" si="0"/>
        <v>259</v>
      </c>
      <c r="R9" s="1399">
        <f t="shared" si="0"/>
        <v>0</v>
      </c>
      <c r="S9" s="1399">
        <f t="shared" si="0"/>
        <v>0</v>
      </c>
      <c r="T9" s="1399">
        <f t="shared" si="0"/>
        <v>0</v>
      </c>
      <c r="U9" s="1399">
        <f t="shared" si="0"/>
        <v>0</v>
      </c>
      <c r="V9" s="1399">
        <f t="shared" si="0"/>
        <v>0</v>
      </c>
      <c r="W9" s="1399">
        <f t="shared" si="0"/>
        <v>270</v>
      </c>
      <c r="X9" s="1399">
        <f t="shared" si="0"/>
        <v>328</v>
      </c>
      <c r="Y9" s="1399">
        <f t="shared" si="0"/>
        <v>362</v>
      </c>
      <c r="Z9" s="1399">
        <f t="shared" si="0"/>
        <v>381</v>
      </c>
      <c r="AA9" s="1403">
        <f>SUM(AA6:AA8)</f>
        <v>4286</v>
      </c>
    </row>
    <row r="10" spans="1:29" ht="17.100000000000001" customHeight="1" x14ac:dyDescent="0.2">
      <c r="A10" s="6324" t="s">
        <v>8</v>
      </c>
      <c r="B10" s="2049" t="s">
        <v>6</v>
      </c>
      <c r="C10" s="2054"/>
      <c r="D10" s="2054"/>
      <c r="E10" s="2054"/>
      <c r="F10" s="2054"/>
      <c r="G10" s="2054"/>
      <c r="H10" s="2054"/>
      <c r="I10" s="2054"/>
      <c r="J10" s="2054"/>
      <c r="K10" s="2054"/>
      <c r="L10" s="2054"/>
      <c r="M10" s="2054"/>
      <c r="N10" s="2054"/>
      <c r="O10" s="2054"/>
      <c r="P10" s="2054"/>
      <c r="Q10" s="2054"/>
      <c r="R10" s="2054"/>
      <c r="S10" s="2054"/>
      <c r="T10" s="2054"/>
      <c r="U10" s="2054"/>
      <c r="V10" s="2054"/>
      <c r="W10" s="2054">
        <v>27</v>
      </c>
      <c r="X10" s="2054">
        <v>31</v>
      </c>
      <c r="Y10" s="2054">
        <v>33</v>
      </c>
      <c r="Z10" s="1397">
        <v>36</v>
      </c>
      <c r="AA10" s="1398">
        <f>SUM(C10:Z10)</f>
        <v>127</v>
      </c>
    </row>
    <row r="11" spans="1:29" ht="17.100000000000001" customHeight="1" x14ac:dyDescent="0.2">
      <c r="A11" s="6325"/>
      <c r="B11" s="2050" t="s">
        <v>9</v>
      </c>
      <c r="C11" s="1397"/>
      <c r="D11" s="1397"/>
      <c r="E11" s="1397"/>
      <c r="F11" s="1397"/>
      <c r="G11" s="1397"/>
      <c r="H11" s="1397"/>
      <c r="I11" s="1397"/>
      <c r="J11" s="1397"/>
      <c r="K11" s="1397"/>
      <c r="L11" s="1397"/>
      <c r="M11" s="1397"/>
      <c r="N11" s="1397"/>
      <c r="O11" s="1397"/>
      <c r="P11" s="1397"/>
      <c r="Q11" s="1397"/>
      <c r="R11" s="1397"/>
      <c r="S11" s="1397"/>
      <c r="T11" s="1397"/>
      <c r="U11" s="1397"/>
      <c r="V11" s="1397"/>
      <c r="W11" s="1397">
        <v>11</v>
      </c>
      <c r="X11" s="1397">
        <v>26</v>
      </c>
      <c r="Y11" s="1397">
        <v>33</v>
      </c>
      <c r="Z11" s="1397">
        <v>43</v>
      </c>
      <c r="AA11" s="1398">
        <f>SUM(C11:Z11)</f>
        <v>113</v>
      </c>
    </row>
    <row r="12" spans="1:29" ht="17.100000000000001" customHeight="1" x14ac:dyDescent="0.2">
      <c r="A12" s="6325"/>
      <c r="B12" s="2050" t="s">
        <v>74</v>
      </c>
      <c r="C12" s="1397"/>
      <c r="D12" s="1397"/>
      <c r="E12" s="1397"/>
      <c r="F12" s="1397"/>
      <c r="G12" s="1397"/>
      <c r="H12" s="1397"/>
      <c r="I12" s="1397"/>
      <c r="J12" s="1397"/>
      <c r="K12" s="1397"/>
      <c r="L12" s="1397"/>
      <c r="M12" s="1397"/>
      <c r="N12" s="1397"/>
      <c r="O12" s="1397"/>
      <c r="P12" s="1397"/>
      <c r="Q12" s="1397"/>
      <c r="R12" s="1397"/>
      <c r="S12" s="1397"/>
      <c r="T12" s="1397"/>
      <c r="U12" s="1397"/>
      <c r="V12" s="1397"/>
      <c r="W12" s="1397">
        <v>17</v>
      </c>
      <c r="X12" s="1397">
        <v>17</v>
      </c>
      <c r="Y12" s="1397">
        <v>26</v>
      </c>
      <c r="Z12" s="1397">
        <v>24</v>
      </c>
      <c r="AA12" s="1398">
        <f>SUM(C12:Z12)</f>
        <v>84</v>
      </c>
    </row>
    <row r="13" spans="1:29" ht="17.100000000000001" customHeight="1" x14ac:dyDescent="0.2">
      <c r="A13" s="6326"/>
      <c r="B13" s="2051" t="s">
        <v>160</v>
      </c>
      <c r="C13" s="1399"/>
      <c r="D13" s="1399"/>
      <c r="E13" s="1399"/>
      <c r="F13" s="1399"/>
      <c r="G13" s="1399"/>
      <c r="H13" s="1399"/>
      <c r="I13" s="1399"/>
      <c r="J13" s="1399"/>
      <c r="K13" s="1399"/>
      <c r="L13" s="1399"/>
      <c r="M13" s="1399"/>
      <c r="N13" s="1399"/>
      <c r="O13" s="1399"/>
      <c r="P13" s="1399"/>
      <c r="Q13" s="1399"/>
      <c r="R13" s="1399">
        <f t="shared" ref="R13:AA13" si="1">SUM(R10:R12)</f>
        <v>0</v>
      </c>
      <c r="S13" s="1399">
        <f t="shared" si="1"/>
        <v>0</v>
      </c>
      <c r="T13" s="1399">
        <f t="shared" si="1"/>
        <v>0</v>
      </c>
      <c r="U13" s="1399">
        <f t="shared" si="1"/>
        <v>0</v>
      </c>
      <c r="V13" s="1399">
        <f t="shared" si="1"/>
        <v>0</v>
      </c>
      <c r="W13" s="1399">
        <f t="shared" si="1"/>
        <v>55</v>
      </c>
      <c r="X13" s="1399">
        <f t="shared" si="1"/>
        <v>74</v>
      </c>
      <c r="Y13" s="1399">
        <f t="shared" si="1"/>
        <v>92</v>
      </c>
      <c r="Z13" s="1399">
        <f t="shared" si="1"/>
        <v>103</v>
      </c>
      <c r="AA13" s="1403">
        <f t="shared" si="1"/>
        <v>324</v>
      </c>
    </row>
    <row r="14" spans="1:29" ht="17.100000000000001" customHeight="1" x14ac:dyDescent="0.2">
      <c r="A14" s="6327" t="s">
        <v>75</v>
      </c>
      <c r="B14" s="2049" t="s">
        <v>5</v>
      </c>
      <c r="C14" s="2054">
        <v>55</v>
      </c>
      <c r="D14" s="2054">
        <v>91</v>
      </c>
      <c r="E14" s="2054">
        <v>88</v>
      </c>
      <c r="F14" s="2054">
        <v>113</v>
      </c>
      <c r="G14" s="2054">
        <v>118</v>
      </c>
      <c r="H14" s="2054">
        <v>114</v>
      </c>
      <c r="I14" s="2054">
        <v>119</v>
      </c>
      <c r="J14" s="2054">
        <v>120</v>
      </c>
      <c r="K14" s="2054">
        <v>115</v>
      </c>
      <c r="L14" s="2054">
        <v>120</v>
      </c>
      <c r="M14" s="2054">
        <v>103</v>
      </c>
      <c r="N14" s="2054">
        <v>107</v>
      </c>
      <c r="O14" s="2054">
        <v>119</v>
      </c>
      <c r="P14" s="2054">
        <v>119</v>
      </c>
      <c r="Q14" s="2054">
        <v>118</v>
      </c>
      <c r="R14" s="2054"/>
      <c r="S14" s="2054"/>
      <c r="T14" s="2054"/>
      <c r="U14" s="2054"/>
      <c r="V14" s="2054"/>
      <c r="W14" s="2054">
        <v>127</v>
      </c>
      <c r="X14" s="2054">
        <v>136</v>
      </c>
      <c r="Y14" s="2054">
        <v>141</v>
      </c>
      <c r="Z14" s="1397">
        <v>151</v>
      </c>
      <c r="AA14" s="1398">
        <f>SUM(C14:Z14)</f>
        <v>2174</v>
      </c>
    </row>
    <row r="15" spans="1:29" ht="17.100000000000001" customHeight="1" x14ac:dyDescent="0.2">
      <c r="A15" s="6328" t="s">
        <v>75</v>
      </c>
      <c r="B15" s="2050" t="s">
        <v>6</v>
      </c>
      <c r="C15" s="1397">
        <v>63</v>
      </c>
      <c r="D15" s="1397">
        <v>101</v>
      </c>
      <c r="E15" s="1397">
        <v>122</v>
      </c>
      <c r="F15" s="1397">
        <v>107</v>
      </c>
      <c r="G15" s="1397">
        <v>111</v>
      </c>
      <c r="H15" s="1397">
        <v>115</v>
      </c>
      <c r="I15" s="1397">
        <v>116</v>
      </c>
      <c r="J15" s="1397">
        <v>119</v>
      </c>
      <c r="K15" s="1397">
        <v>127</v>
      </c>
      <c r="L15" s="1397">
        <v>116</v>
      </c>
      <c r="M15" s="1397">
        <v>140</v>
      </c>
      <c r="N15" s="1397">
        <v>136</v>
      </c>
      <c r="O15" s="1397">
        <v>137</v>
      </c>
      <c r="P15" s="1397">
        <v>140</v>
      </c>
      <c r="Q15" s="1397">
        <v>126</v>
      </c>
      <c r="R15" s="1397"/>
      <c r="S15" s="1397"/>
      <c r="T15" s="1397"/>
      <c r="U15" s="1397"/>
      <c r="V15" s="1397"/>
      <c r="W15" s="1397">
        <v>124</v>
      </c>
      <c r="X15" s="1397">
        <v>137</v>
      </c>
      <c r="Y15" s="1397">
        <v>151</v>
      </c>
      <c r="Z15" s="1397">
        <v>158</v>
      </c>
      <c r="AA15" s="1398">
        <f>SUM(C15:Z15)</f>
        <v>2346</v>
      </c>
    </row>
    <row r="16" spans="1:29" ht="17.100000000000001" customHeight="1" x14ac:dyDescent="0.2">
      <c r="A16" s="6328" t="s">
        <v>75</v>
      </c>
      <c r="B16" s="2050" t="s">
        <v>11</v>
      </c>
      <c r="C16" s="1397">
        <v>20</v>
      </c>
      <c r="D16" s="1397">
        <v>33</v>
      </c>
      <c r="E16" s="1397">
        <v>42</v>
      </c>
      <c r="F16" s="1397">
        <v>68</v>
      </c>
      <c r="G16" s="1397">
        <v>68</v>
      </c>
      <c r="H16" s="1397">
        <v>78</v>
      </c>
      <c r="I16" s="1397">
        <v>83</v>
      </c>
      <c r="J16" s="1397">
        <v>64</v>
      </c>
      <c r="K16" s="1397">
        <v>73</v>
      </c>
      <c r="L16" s="1397">
        <v>85</v>
      </c>
      <c r="M16" s="1397">
        <v>83</v>
      </c>
      <c r="N16" s="1397">
        <v>88</v>
      </c>
      <c r="O16" s="1397">
        <v>104</v>
      </c>
      <c r="P16" s="1397">
        <v>100</v>
      </c>
      <c r="Q16" s="1397">
        <v>110</v>
      </c>
      <c r="R16" s="1397"/>
      <c r="S16" s="1397"/>
      <c r="T16" s="1397"/>
      <c r="U16" s="1397"/>
      <c r="V16" s="1397"/>
      <c r="W16" s="1397">
        <v>130</v>
      </c>
      <c r="X16" s="1397">
        <v>129</v>
      </c>
      <c r="Y16" s="1397">
        <v>133</v>
      </c>
      <c r="Z16" s="1397">
        <v>156</v>
      </c>
      <c r="AA16" s="1398">
        <f>SUM(C16:Z16)</f>
        <v>1647</v>
      </c>
    </row>
    <row r="17" spans="1:27" ht="17.100000000000001" customHeight="1" x14ac:dyDescent="0.2">
      <c r="A17" s="6329"/>
      <c r="B17" s="2051" t="s">
        <v>160</v>
      </c>
      <c r="C17" s="1399">
        <f>SUM(C14:C16)</f>
        <v>138</v>
      </c>
      <c r="D17" s="1399">
        <f t="shared" ref="D17:Z17" si="2">SUM(D14:D16)</f>
        <v>225</v>
      </c>
      <c r="E17" s="1399">
        <f t="shared" si="2"/>
        <v>252</v>
      </c>
      <c r="F17" s="1399">
        <f t="shared" si="2"/>
        <v>288</v>
      </c>
      <c r="G17" s="1399">
        <f t="shared" si="2"/>
        <v>297</v>
      </c>
      <c r="H17" s="1399">
        <f t="shared" si="2"/>
        <v>307</v>
      </c>
      <c r="I17" s="1399">
        <f t="shared" si="2"/>
        <v>318</v>
      </c>
      <c r="J17" s="1399">
        <f t="shared" si="2"/>
        <v>303</v>
      </c>
      <c r="K17" s="1399">
        <f t="shared" si="2"/>
        <v>315</v>
      </c>
      <c r="L17" s="1399">
        <f t="shared" si="2"/>
        <v>321</v>
      </c>
      <c r="M17" s="1399">
        <f t="shared" si="2"/>
        <v>326</v>
      </c>
      <c r="N17" s="1399">
        <f t="shared" si="2"/>
        <v>331</v>
      </c>
      <c r="O17" s="1399">
        <f t="shared" si="2"/>
        <v>360</v>
      </c>
      <c r="P17" s="1399">
        <f t="shared" si="2"/>
        <v>359</v>
      </c>
      <c r="Q17" s="1399">
        <f t="shared" si="2"/>
        <v>354</v>
      </c>
      <c r="R17" s="1399">
        <f t="shared" si="2"/>
        <v>0</v>
      </c>
      <c r="S17" s="1399">
        <f t="shared" si="2"/>
        <v>0</v>
      </c>
      <c r="T17" s="1399">
        <f t="shared" si="2"/>
        <v>0</v>
      </c>
      <c r="U17" s="1399">
        <f t="shared" si="2"/>
        <v>0</v>
      </c>
      <c r="V17" s="1399">
        <f t="shared" si="2"/>
        <v>0</v>
      </c>
      <c r="W17" s="1399">
        <f t="shared" si="2"/>
        <v>381</v>
      </c>
      <c r="X17" s="1399">
        <f t="shared" si="2"/>
        <v>402</v>
      </c>
      <c r="Y17" s="1399">
        <f t="shared" si="2"/>
        <v>425</v>
      </c>
      <c r="Z17" s="1399">
        <f t="shared" si="2"/>
        <v>465</v>
      </c>
      <c r="AA17" s="1403">
        <f>SUM(AA14:AA16)</f>
        <v>6167</v>
      </c>
    </row>
    <row r="18" spans="1:27" ht="17.100000000000001" customHeight="1" x14ac:dyDescent="0.2">
      <c r="A18" s="6305" t="s">
        <v>326</v>
      </c>
      <c r="B18" s="2049" t="s">
        <v>5</v>
      </c>
      <c r="C18" s="2054"/>
      <c r="D18" s="2054"/>
      <c r="E18" s="2054"/>
      <c r="F18" s="2054"/>
      <c r="G18" s="2054"/>
      <c r="H18" s="2054"/>
      <c r="I18" s="2054"/>
      <c r="J18" s="2054"/>
      <c r="K18" s="2054"/>
      <c r="L18" s="2054"/>
      <c r="M18" s="2054"/>
      <c r="N18" s="2054"/>
      <c r="O18" s="2054"/>
      <c r="P18" s="2054"/>
      <c r="Q18" s="2054"/>
      <c r="R18" s="2054"/>
      <c r="S18" s="2054"/>
      <c r="T18" s="2054"/>
      <c r="U18" s="2054"/>
      <c r="V18" s="2054"/>
      <c r="W18" s="2054"/>
      <c r="X18" s="2054"/>
      <c r="Y18" s="2054"/>
      <c r="Z18" s="2054">
        <v>2</v>
      </c>
      <c r="AA18" s="1396">
        <f>SUM(Z18)</f>
        <v>2</v>
      </c>
    </row>
    <row r="19" spans="1:27" ht="17.100000000000001" customHeight="1" x14ac:dyDescent="0.2">
      <c r="A19" s="6306" t="s">
        <v>75</v>
      </c>
      <c r="B19" s="2050" t="s">
        <v>6</v>
      </c>
      <c r="C19" s="1397"/>
      <c r="D19" s="1397"/>
      <c r="E19" s="1397"/>
      <c r="F19" s="1397"/>
      <c r="G19" s="1397"/>
      <c r="H19" s="1397"/>
      <c r="I19" s="1397"/>
      <c r="J19" s="1397"/>
      <c r="K19" s="1397"/>
      <c r="L19" s="1397"/>
      <c r="M19" s="1397"/>
      <c r="N19" s="1397"/>
      <c r="O19" s="1397"/>
      <c r="P19" s="1397"/>
      <c r="Q19" s="1397"/>
      <c r="R19" s="1397"/>
      <c r="S19" s="1397"/>
      <c r="T19" s="1397"/>
      <c r="U19" s="1397"/>
      <c r="V19" s="1397"/>
      <c r="W19" s="1397"/>
      <c r="X19" s="1397"/>
      <c r="Y19" s="1397"/>
      <c r="Z19" s="1397"/>
      <c r="AA19" s="1398">
        <f>SUM(Z19)</f>
        <v>0</v>
      </c>
    </row>
    <row r="20" spans="1:27" ht="17.100000000000001" customHeight="1" x14ac:dyDescent="0.2">
      <c r="A20" s="6306" t="s">
        <v>75</v>
      </c>
      <c r="B20" s="2050" t="s">
        <v>11</v>
      </c>
      <c r="C20" s="1397"/>
      <c r="D20" s="1397"/>
      <c r="E20" s="1397"/>
      <c r="F20" s="1397"/>
      <c r="G20" s="1397"/>
      <c r="H20" s="1397"/>
      <c r="I20" s="1397"/>
      <c r="J20" s="1397"/>
      <c r="K20" s="1397"/>
      <c r="L20" s="1397"/>
      <c r="M20" s="1397"/>
      <c r="N20" s="1397"/>
      <c r="O20" s="1397"/>
      <c r="P20" s="1397"/>
      <c r="Q20" s="1397"/>
      <c r="R20" s="1397"/>
      <c r="S20" s="1397"/>
      <c r="T20" s="1397"/>
      <c r="U20" s="1397"/>
      <c r="V20" s="1397"/>
      <c r="W20" s="1397"/>
      <c r="X20" s="1397"/>
      <c r="Y20" s="1397"/>
      <c r="Z20" s="1397"/>
      <c r="AA20" s="1398">
        <f>SUM(Z20)</f>
        <v>0</v>
      </c>
    </row>
    <row r="21" spans="1:27" ht="17.100000000000001" customHeight="1" x14ac:dyDescent="0.2">
      <c r="A21" s="6307"/>
      <c r="B21" s="2051" t="s">
        <v>160</v>
      </c>
      <c r="C21" s="1399"/>
      <c r="D21" s="1399"/>
      <c r="E21" s="1399"/>
      <c r="F21" s="1399"/>
      <c r="G21" s="1399"/>
      <c r="H21" s="1399"/>
      <c r="I21" s="1399"/>
      <c r="J21" s="1399"/>
      <c r="K21" s="1399"/>
      <c r="L21" s="1399"/>
      <c r="M21" s="1399"/>
      <c r="N21" s="1399"/>
      <c r="O21" s="1399"/>
      <c r="P21" s="1399"/>
      <c r="Q21" s="1399"/>
      <c r="R21" s="1399"/>
      <c r="S21" s="1399"/>
      <c r="T21" s="1399"/>
      <c r="U21" s="1399"/>
      <c r="V21" s="1399"/>
      <c r="W21" s="1399"/>
      <c r="X21" s="1399"/>
      <c r="Y21" s="1399"/>
      <c r="Z21" s="1399">
        <f>SUM(Z18:Z20)</f>
        <v>2</v>
      </c>
      <c r="AA21" s="1403">
        <f>SUM(AA18:AA20)</f>
        <v>2</v>
      </c>
    </row>
    <row r="22" spans="1:27" ht="17.100000000000001" customHeight="1" x14ac:dyDescent="0.2">
      <c r="A22" s="6308" t="s">
        <v>10</v>
      </c>
      <c r="B22" s="2049" t="s">
        <v>6</v>
      </c>
      <c r="C22" s="2054">
        <v>44</v>
      </c>
      <c r="D22" s="2054">
        <v>83</v>
      </c>
      <c r="E22" s="2054">
        <v>85</v>
      </c>
      <c r="F22" s="2054">
        <v>79</v>
      </c>
      <c r="G22" s="2054">
        <v>80</v>
      </c>
      <c r="H22" s="2054">
        <v>101</v>
      </c>
      <c r="I22" s="2054">
        <v>98</v>
      </c>
      <c r="J22" s="2054">
        <v>111</v>
      </c>
      <c r="K22" s="2054">
        <v>121</v>
      </c>
      <c r="L22" s="2054">
        <v>130</v>
      </c>
      <c r="M22" s="2054">
        <v>106</v>
      </c>
      <c r="N22" s="2054">
        <v>124</v>
      </c>
      <c r="O22" s="2054">
        <v>138</v>
      </c>
      <c r="P22" s="2054">
        <v>116</v>
      </c>
      <c r="Q22" s="2054">
        <v>146</v>
      </c>
      <c r="R22" s="2054"/>
      <c r="S22" s="2054"/>
      <c r="T22" s="2054"/>
      <c r="U22" s="2054"/>
      <c r="V22" s="2054"/>
      <c r="W22" s="2054">
        <v>140</v>
      </c>
      <c r="X22" s="2054">
        <v>185</v>
      </c>
      <c r="Y22" s="2054">
        <v>171</v>
      </c>
      <c r="Z22" s="1397">
        <v>189</v>
      </c>
      <c r="AA22" s="1398">
        <f>SUM(C22:Z22)</f>
        <v>2247</v>
      </c>
    </row>
    <row r="23" spans="1:27" ht="17.100000000000001" customHeight="1" x14ac:dyDescent="0.2">
      <c r="A23" s="6309" t="s">
        <v>10</v>
      </c>
      <c r="B23" s="2050" t="s">
        <v>11</v>
      </c>
      <c r="C23" s="1397">
        <v>19</v>
      </c>
      <c r="D23" s="1397">
        <v>25</v>
      </c>
      <c r="E23" s="1397">
        <v>30</v>
      </c>
      <c r="F23" s="1397">
        <v>60</v>
      </c>
      <c r="G23" s="1397">
        <v>92</v>
      </c>
      <c r="H23" s="1397">
        <v>86</v>
      </c>
      <c r="I23" s="1397">
        <v>101</v>
      </c>
      <c r="J23" s="1397">
        <v>102</v>
      </c>
      <c r="K23" s="1397">
        <v>107</v>
      </c>
      <c r="L23" s="1397">
        <v>104</v>
      </c>
      <c r="M23" s="1397">
        <v>118</v>
      </c>
      <c r="N23" s="1397">
        <v>120</v>
      </c>
      <c r="O23" s="1397">
        <v>120</v>
      </c>
      <c r="P23" s="1397">
        <v>135</v>
      </c>
      <c r="Q23" s="1397">
        <v>127</v>
      </c>
      <c r="R23" s="1397"/>
      <c r="S23" s="1397"/>
      <c r="T23" s="1397"/>
      <c r="U23" s="1397"/>
      <c r="V23" s="1397"/>
      <c r="W23" s="1397">
        <v>175</v>
      </c>
      <c r="X23" s="1397">
        <v>164</v>
      </c>
      <c r="Y23" s="1397">
        <v>185</v>
      </c>
      <c r="Z23" s="1397">
        <v>181</v>
      </c>
      <c r="AA23" s="1398">
        <f>SUM(C23:Z23)</f>
        <v>2051</v>
      </c>
    </row>
    <row r="24" spans="1:27" ht="17.100000000000001" customHeight="1" x14ac:dyDescent="0.2">
      <c r="A24" s="6309" t="s">
        <v>10</v>
      </c>
      <c r="B24" s="2050" t="s">
        <v>7</v>
      </c>
      <c r="C24" s="1397">
        <v>13</v>
      </c>
      <c r="D24" s="1397">
        <v>30</v>
      </c>
      <c r="E24" s="1397">
        <v>37</v>
      </c>
      <c r="F24" s="1397">
        <v>46</v>
      </c>
      <c r="G24" s="1397">
        <v>48</v>
      </c>
      <c r="H24" s="1397">
        <v>74</v>
      </c>
      <c r="I24" s="1397">
        <v>55</v>
      </c>
      <c r="J24" s="1397">
        <v>54</v>
      </c>
      <c r="K24" s="1397">
        <v>50</v>
      </c>
      <c r="L24" s="1397">
        <v>38</v>
      </c>
      <c r="M24" s="1397">
        <v>44</v>
      </c>
      <c r="N24" s="1397">
        <v>41</v>
      </c>
      <c r="O24" s="1397">
        <v>39</v>
      </c>
      <c r="P24" s="1397">
        <v>46</v>
      </c>
      <c r="Q24" s="1397">
        <v>38</v>
      </c>
      <c r="R24" s="1397"/>
      <c r="S24" s="1397"/>
      <c r="T24" s="1397"/>
      <c r="U24" s="1397"/>
      <c r="V24" s="1397"/>
      <c r="W24" s="1397">
        <v>45</v>
      </c>
      <c r="X24" s="1397">
        <v>64</v>
      </c>
      <c r="Y24" s="1397">
        <v>53</v>
      </c>
      <c r="Z24" s="1397">
        <v>62</v>
      </c>
      <c r="AA24" s="1398">
        <f>SUM(C24:Z24)</f>
        <v>877</v>
      </c>
    </row>
    <row r="25" spans="1:27" ht="17.100000000000001" customHeight="1" x14ac:dyDescent="0.2">
      <c r="A25" s="6310" t="s">
        <v>10</v>
      </c>
      <c r="B25" s="2051" t="s">
        <v>160</v>
      </c>
      <c r="C25" s="1399">
        <f t="shared" ref="C25:Z25" si="3">SUM(C22:C24)</f>
        <v>76</v>
      </c>
      <c r="D25" s="1399">
        <f t="shared" si="3"/>
        <v>138</v>
      </c>
      <c r="E25" s="1399">
        <f t="shared" si="3"/>
        <v>152</v>
      </c>
      <c r="F25" s="1399">
        <f t="shared" si="3"/>
        <v>185</v>
      </c>
      <c r="G25" s="1399">
        <f t="shared" si="3"/>
        <v>220</v>
      </c>
      <c r="H25" s="1399">
        <f t="shared" si="3"/>
        <v>261</v>
      </c>
      <c r="I25" s="1399">
        <f t="shared" si="3"/>
        <v>254</v>
      </c>
      <c r="J25" s="1399">
        <f t="shared" si="3"/>
        <v>267</v>
      </c>
      <c r="K25" s="1399">
        <f t="shared" si="3"/>
        <v>278</v>
      </c>
      <c r="L25" s="1399">
        <f t="shared" si="3"/>
        <v>272</v>
      </c>
      <c r="M25" s="1399">
        <f t="shared" si="3"/>
        <v>268</v>
      </c>
      <c r="N25" s="1399">
        <f t="shared" si="3"/>
        <v>285</v>
      </c>
      <c r="O25" s="1399">
        <f t="shared" si="3"/>
        <v>297</v>
      </c>
      <c r="P25" s="1399">
        <f t="shared" si="3"/>
        <v>297</v>
      </c>
      <c r="Q25" s="1399">
        <f t="shared" si="3"/>
        <v>311</v>
      </c>
      <c r="R25" s="1399">
        <f t="shared" si="3"/>
        <v>0</v>
      </c>
      <c r="S25" s="1399">
        <f t="shared" si="3"/>
        <v>0</v>
      </c>
      <c r="T25" s="1399">
        <f t="shared" si="3"/>
        <v>0</v>
      </c>
      <c r="U25" s="1399">
        <f t="shared" si="3"/>
        <v>0</v>
      </c>
      <c r="V25" s="1399">
        <f t="shared" si="3"/>
        <v>0</v>
      </c>
      <c r="W25" s="1399">
        <f t="shared" si="3"/>
        <v>360</v>
      </c>
      <c r="X25" s="1399">
        <f t="shared" si="3"/>
        <v>413</v>
      </c>
      <c r="Y25" s="1399">
        <f t="shared" si="3"/>
        <v>409</v>
      </c>
      <c r="Z25" s="1399">
        <f t="shared" si="3"/>
        <v>432</v>
      </c>
      <c r="AA25" s="1403">
        <f>SUM(AA22:AA24)</f>
        <v>5175</v>
      </c>
    </row>
    <row r="26" spans="1:27" s="1020" customFormat="1" ht="17.100000000000001" customHeight="1" x14ac:dyDescent="0.2">
      <c r="A26" s="6311" t="s">
        <v>586</v>
      </c>
      <c r="B26" s="6312"/>
      <c r="C26" s="1400">
        <f t="shared" ref="C26:P26" si="4">SUM(C9,C13,C17,C25)</f>
        <v>315</v>
      </c>
      <c r="D26" s="1400">
        <f t="shared" si="4"/>
        <v>517</v>
      </c>
      <c r="E26" s="1400">
        <f t="shared" si="4"/>
        <v>530</v>
      </c>
      <c r="F26" s="1400">
        <f t="shared" si="4"/>
        <v>634</v>
      </c>
      <c r="G26" s="1400">
        <f t="shared" si="4"/>
        <v>693</v>
      </c>
      <c r="H26" s="1400">
        <f t="shared" si="4"/>
        <v>751</v>
      </c>
      <c r="I26" s="1400">
        <f t="shared" si="4"/>
        <v>773</v>
      </c>
      <c r="J26" s="1400">
        <f t="shared" si="4"/>
        <v>795</v>
      </c>
      <c r="K26" s="1400">
        <f t="shared" si="4"/>
        <v>805</v>
      </c>
      <c r="L26" s="1400">
        <f t="shared" si="4"/>
        <v>780</v>
      </c>
      <c r="M26" s="1400">
        <f t="shared" si="4"/>
        <v>821</v>
      </c>
      <c r="N26" s="1400">
        <f t="shared" si="4"/>
        <v>876</v>
      </c>
      <c r="O26" s="1400">
        <f t="shared" si="4"/>
        <v>898</v>
      </c>
      <c r="P26" s="1400">
        <f t="shared" si="4"/>
        <v>888</v>
      </c>
      <c r="Q26" s="1400">
        <f>SUM(Q9,Q13,Q17,Q25)</f>
        <v>924</v>
      </c>
      <c r="R26" s="1400">
        <f t="shared" ref="R26:Y26" si="5">SUM(R9,R13,R17,R25)</f>
        <v>0</v>
      </c>
      <c r="S26" s="1400">
        <f t="shared" si="5"/>
        <v>0</v>
      </c>
      <c r="T26" s="1400">
        <f t="shared" si="5"/>
        <v>0</v>
      </c>
      <c r="U26" s="1400">
        <f t="shared" si="5"/>
        <v>0</v>
      </c>
      <c r="V26" s="1400">
        <f t="shared" si="5"/>
        <v>0</v>
      </c>
      <c r="W26" s="1400">
        <f t="shared" si="5"/>
        <v>1066</v>
      </c>
      <c r="X26" s="1400">
        <f t="shared" si="5"/>
        <v>1217</v>
      </c>
      <c r="Y26" s="1400">
        <f t="shared" si="5"/>
        <v>1288</v>
      </c>
      <c r="Z26" s="1400">
        <f>SUM(Z9,Z13,Z17,Z21,Z25)</f>
        <v>1383</v>
      </c>
      <c r="AA26" s="1401">
        <f>SUM(AA9+AA17+AA25)</f>
        <v>15628</v>
      </c>
    </row>
    <row r="27" spans="1:27" ht="17.100000000000001" customHeight="1" x14ac:dyDescent="0.2">
      <c r="A27" s="1402"/>
      <c r="B27" s="1402"/>
      <c r="C27" s="1402"/>
      <c r="D27" s="1402"/>
      <c r="E27" s="1402"/>
      <c r="F27" s="1402"/>
      <c r="G27" s="1402"/>
      <c r="H27" s="1402"/>
      <c r="I27" s="1402"/>
      <c r="J27" s="1402"/>
      <c r="K27" s="1402"/>
      <c r="L27" s="1402"/>
      <c r="M27" s="1402"/>
      <c r="N27" s="1402"/>
      <c r="O27" s="1402"/>
      <c r="P27" s="1402"/>
      <c r="Q27" s="1402"/>
      <c r="R27" s="1402"/>
      <c r="S27" s="1402"/>
      <c r="T27" s="1402"/>
      <c r="U27" s="1402"/>
      <c r="V27" s="1402"/>
      <c r="W27" s="1402"/>
      <c r="X27" s="1402"/>
      <c r="Y27" s="1402"/>
      <c r="Z27" s="1402"/>
      <c r="AA27" s="1402"/>
    </row>
    <row r="28" spans="1:27" ht="17.100000000000001" customHeight="1" x14ac:dyDescent="0.2">
      <c r="A28" s="6313" t="s">
        <v>16</v>
      </c>
      <c r="B28" s="6315" t="s">
        <v>356</v>
      </c>
      <c r="C28" s="6317" t="s">
        <v>588</v>
      </c>
      <c r="D28" s="6318"/>
      <c r="E28" s="6318"/>
      <c r="F28" s="6318"/>
      <c r="G28" s="6318"/>
      <c r="H28" s="6318"/>
      <c r="I28" s="6318"/>
      <c r="J28" s="6318"/>
      <c r="K28" s="6318"/>
      <c r="L28" s="6318"/>
      <c r="M28" s="6318"/>
      <c r="N28" s="6318"/>
      <c r="O28" s="6318"/>
      <c r="P28" s="6318"/>
      <c r="Q28" s="6318"/>
      <c r="R28" s="6318"/>
      <c r="S28" s="6318"/>
      <c r="T28" s="6318"/>
      <c r="U28" s="6318"/>
      <c r="V28" s="6318"/>
      <c r="W28" s="6318"/>
      <c r="X28" s="6318"/>
      <c r="Y28" s="6318"/>
      <c r="Z28" s="6319"/>
      <c r="AA28" s="6320"/>
    </row>
    <row r="29" spans="1:27" ht="17.100000000000001" customHeight="1" x14ac:dyDescent="0.2">
      <c r="A29" s="6314"/>
      <c r="B29" s="6316"/>
      <c r="C29" s="1393">
        <v>1990</v>
      </c>
      <c r="D29" s="1394">
        <v>1991</v>
      </c>
      <c r="E29" s="1394">
        <v>1992</v>
      </c>
      <c r="F29" s="1394">
        <v>1993</v>
      </c>
      <c r="G29" s="1394">
        <v>1994</v>
      </c>
      <c r="H29" s="1394">
        <v>1995</v>
      </c>
      <c r="I29" s="1394">
        <v>1996</v>
      </c>
      <c r="J29" s="1394">
        <v>1997</v>
      </c>
      <c r="K29" s="1394">
        <v>1998</v>
      </c>
      <c r="L29" s="1394">
        <v>1999</v>
      </c>
      <c r="M29" s="1394">
        <v>2000</v>
      </c>
      <c r="N29" s="1394">
        <v>2001</v>
      </c>
      <c r="O29" s="1394">
        <v>2002</v>
      </c>
      <c r="P29" s="1394">
        <v>2003</v>
      </c>
      <c r="Q29" s="1394">
        <v>2004</v>
      </c>
      <c r="R29" s="1394">
        <v>2005</v>
      </c>
      <c r="S29" s="1394">
        <v>2006</v>
      </c>
      <c r="T29" s="1394">
        <v>2007</v>
      </c>
      <c r="U29" s="1394">
        <v>2008</v>
      </c>
      <c r="V29" s="1394">
        <v>2009</v>
      </c>
      <c r="W29" s="1394">
        <v>2010</v>
      </c>
      <c r="X29" s="1394">
        <v>2011</v>
      </c>
      <c r="Y29" s="1394">
        <v>2012</v>
      </c>
      <c r="Z29" s="1395">
        <v>2013</v>
      </c>
      <c r="AA29" s="1404" t="s">
        <v>160</v>
      </c>
    </row>
    <row r="30" spans="1:27" ht="17.100000000000001" customHeight="1" x14ac:dyDescent="0.2">
      <c r="A30" s="6321" t="s">
        <v>3</v>
      </c>
      <c r="B30" s="2049" t="s">
        <v>5</v>
      </c>
      <c r="C30" s="2054">
        <v>33</v>
      </c>
      <c r="D30" s="2054">
        <v>58</v>
      </c>
      <c r="E30" s="2054">
        <v>60</v>
      </c>
      <c r="F30" s="2054">
        <v>73</v>
      </c>
      <c r="G30" s="2054">
        <v>85</v>
      </c>
      <c r="H30" s="2054">
        <v>98</v>
      </c>
      <c r="I30" s="2054">
        <v>124</v>
      </c>
      <c r="J30" s="2054">
        <v>136</v>
      </c>
      <c r="K30" s="2054">
        <v>140</v>
      </c>
      <c r="L30" s="2054">
        <v>140</v>
      </c>
      <c r="M30" s="2054">
        <v>148</v>
      </c>
      <c r="N30" s="2054">
        <v>149</v>
      </c>
      <c r="O30" s="2054">
        <v>157</v>
      </c>
      <c r="P30" s="2054">
        <v>167</v>
      </c>
      <c r="Q30" s="2054">
        <v>168</v>
      </c>
      <c r="R30" s="2054"/>
      <c r="S30" s="2054"/>
      <c r="T30" s="2054"/>
      <c r="U30" s="2054"/>
      <c r="V30" s="2054"/>
      <c r="W30" s="2054">
        <v>181</v>
      </c>
      <c r="X30" s="2054">
        <v>196</v>
      </c>
      <c r="Y30" s="2054">
        <v>203</v>
      </c>
      <c r="Z30" s="1397">
        <v>219</v>
      </c>
      <c r="AA30" s="1396">
        <f>SUM(C30:Z30)</f>
        <v>2535</v>
      </c>
    </row>
    <row r="31" spans="1:27" ht="17.100000000000001" customHeight="1" x14ac:dyDescent="0.2">
      <c r="A31" s="6322"/>
      <c r="B31" s="2050" t="s">
        <v>6</v>
      </c>
      <c r="C31" s="1397">
        <v>92</v>
      </c>
      <c r="D31" s="1397">
        <v>125</v>
      </c>
      <c r="E31" s="1397">
        <v>113</v>
      </c>
      <c r="F31" s="1397">
        <v>118</v>
      </c>
      <c r="G31" s="1397">
        <v>136</v>
      </c>
      <c r="H31" s="1397">
        <v>156</v>
      </c>
      <c r="I31" s="1397">
        <v>170</v>
      </c>
      <c r="J31" s="1397">
        <v>178</v>
      </c>
      <c r="K31" s="1397">
        <v>181</v>
      </c>
      <c r="L31" s="1397">
        <v>186</v>
      </c>
      <c r="M31" s="1397">
        <v>189</v>
      </c>
      <c r="N31" s="1397">
        <v>200</v>
      </c>
      <c r="O31" s="1397">
        <v>207</v>
      </c>
      <c r="P31" s="1397">
        <v>202</v>
      </c>
      <c r="Q31" s="1397">
        <v>220</v>
      </c>
      <c r="R31" s="1397"/>
      <c r="S31" s="1397"/>
      <c r="T31" s="1397"/>
      <c r="U31" s="1397"/>
      <c r="V31" s="1397"/>
      <c r="W31" s="1397">
        <v>211</v>
      </c>
      <c r="X31" s="1397">
        <v>214</v>
      </c>
      <c r="Y31" s="1397">
        <v>229</v>
      </c>
      <c r="Z31" s="1397">
        <v>231</v>
      </c>
      <c r="AA31" s="1398">
        <f>SUM(C31:Z31)</f>
        <v>3358</v>
      </c>
    </row>
    <row r="32" spans="1:27" ht="17.100000000000001" customHeight="1" x14ac:dyDescent="0.2">
      <c r="A32" s="6322"/>
      <c r="B32" s="2050" t="s">
        <v>7</v>
      </c>
      <c r="C32" s="1397">
        <v>48</v>
      </c>
      <c r="D32" s="1397">
        <v>61</v>
      </c>
      <c r="E32" s="1397">
        <v>54</v>
      </c>
      <c r="F32" s="1397">
        <v>68</v>
      </c>
      <c r="G32" s="1397">
        <v>84</v>
      </c>
      <c r="H32" s="1397">
        <v>98</v>
      </c>
      <c r="I32" s="1397">
        <v>105</v>
      </c>
      <c r="J32" s="1397">
        <v>110</v>
      </c>
      <c r="K32" s="1397">
        <v>122</v>
      </c>
      <c r="L32" s="1397">
        <v>123</v>
      </c>
      <c r="M32" s="1397">
        <v>131</v>
      </c>
      <c r="N32" s="1397">
        <v>127</v>
      </c>
      <c r="O32" s="1397">
        <v>128</v>
      </c>
      <c r="P32" s="1397">
        <v>137</v>
      </c>
      <c r="Q32" s="1397">
        <v>142</v>
      </c>
      <c r="R32" s="1397"/>
      <c r="S32" s="1397"/>
      <c r="T32" s="1397"/>
      <c r="U32" s="1397"/>
      <c r="V32" s="1397"/>
      <c r="W32" s="1397">
        <v>150</v>
      </c>
      <c r="X32" s="1397">
        <v>157</v>
      </c>
      <c r="Y32" s="1397">
        <v>161</v>
      </c>
      <c r="Z32" s="1397">
        <v>166</v>
      </c>
      <c r="AA32" s="1398">
        <f>SUM(C32:Z32)</f>
        <v>2172</v>
      </c>
    </row>
    <row r="33" spans="1:27" ht="17.100000000000001" customHeight="1" x14ac:dyDescent="0.2">
      <c r="A33" s="6323"/>
      <c r="B33" s="2051" t="s">
        <v>160</v>
      </c>
      <c r="C33" s="1399">
        <f>SUM(C30:C32)</f>
        <v>173</v>
      </c>
      <c r="D33" s="1399">
        <f t="shared" ref="D33:Z33" si="6">SUM(D30:D32)</f>
        <v>244</v>
      </c>
      <c r="E33" s="1399">
        <f t="shared" si="6"/>
        <v>227</v>
      </c>
      <c r="F33" s="1399">
        <f t="shared" si="6"/>
        <v>259</v>
      </c>
      <c r="G33" s="1399">
        <f t="shared" si="6"/>
        <v>305</v>
      </c>
      <c r="H33" s="1399">
        <f t="shared" si="6"/>
        <v>352</v>
      </c>
      <c r="I33" s="1399">
        <f t="shared" si="6"/>
        <v>399</v>
      </c>
      <c r="J33" s="1399">
        <f t="shared" si="6"/>
        <v>424</v>
      </c>
      <c r="K33" s="1399">
        <f t="shared" si="6"/>
        <v>443</v>
      </c>
      <c r="L33" s="1399">
        <f t="shared" si="6"/>
        <v>449</v>
      </c>
      <c r="M33" s="1399">
        <f t="shared" si="6"/>
        <v>468</v>
      </c>
      <c r="N33" s="1399">
        <f t="shared" si="6"/>
        <v>476</v>
      </c>
      <c r="O33" s="1399">
        <f t="shared" si="6"/>
        <v>492</v>
      </c>
      <c r="P33" s="1399">
        <f t="shared" si="6"/>
        <v>506</v>
      </c>
      <c r="Q33" s="1399">
        <f t="shared" si="6"/>
        <v>530</v>
      </c>
      <c r="R33" s="1399">
        <f t="shared" si="6"/>
        <v>0</v>
      </c>
      <c r="S33" s="1399">
        <f t="shared" si="6"/>
        <v>0</v>
      </c>
      <c r="T33" s="1399">
        <f t="shared" si="6"/>
        <v>0</v>
      </c>
      <c r="U33" s="1399">
        <f t="shared" si="6"/>
        <v>0</v>
      </c>
      <c r="V33" s="1399">
        <f t="shared" si="6"/>
        <v>0</v>
      </c>
      <c r="W33" s="1399">
        <f t="shared" si="6"/>
        <v>542</v>
      </c>
      <c r="X33" s="1399">
        <f t="shared" si="6"/>
        <v>567</v>
      </c>
      <c r="Y33" s="1399">
        <f t="shared" si="6"/>
        <v>593</v>
      </c>
      <c r="Z33" s="1399">
        <f t="shared" si="6"/>
        <v>616</v>
      </c>
      <c r="AA33" s="1403">
        <f>SUM(AA30:AA32)</f>
        <v>8065</v>
      </c>
    </row>
    <row r="34" spans="1:27" ht="17.100000000000001" customHeight="1" x14ac:dyDescent="0.2">
      <c r="A34" s="6324" t="s">
        <v>8</v>
      </c>
      <c r="B34" s="2049" t="s">
        <v>6</v>
      </c>
      <c r="C34" s="2054"/>
      <c r="D34" s="2054"/>
      <c r="E34" s="2054"/>
      <c r="F34" s="2054"/>
      <c r="G34" s="2054"/>
      <c r="H34" s="2054"/>
      <c r="I34" s="2054"/>
      <c r="J34" s="2054"/>
      <c r="K34" s="2054"/>
      <c r="L34" s="2054"/>
      <c r="M34" s="2054"/>
      <c r="N34" s="2054"/>
      <c r="O34" s="2054"/>
      <c r="P34" s="2054"/>
      <c r="Q34" s="2054"/>
      <c r="R34" s="2054"/>
      <c r="S34" s="2054"/>
      <c r="T34" s="2054"/>
      <c r="U34" s="2054"/>
      <c r="V34" s="2054"/>
      <c r="W34" s="2054">
        <v>36</v>
      </c>
      <c r="X34" s="2054">
        <v>39</v>
      </c>
      <c r="Y34" s="2054">
        <v>39</v>
      </c>
      <c r="Z34" s="2054">
        <v>45</v>
      </c>
      <c r="AA34" s="1396">
        <f>SUM(C34:Z34)</f>
        <v>159</v>
      </c>
    </row>
    <row r="35" spans="1:27" ht="17.100000000000001" customHeight="1" x14ac:dyDescent="0.2">
      <c r="A35" s="6325"/>
      <c r="B35" s="2050" t="s">
        <v>9</v>
      </c>
      <c r="C35" s="1397"/>
      <c r="D35" s="1397"/>
      <c r="E35" s="1397"/>
      <c r="F35" s="1397"/>
      <c r="G35" s="1397"/>
      <c r="H35" s="1397"/>
      <c r="I35" s="1397"/>
      <c r="J35" s="1397"/>
      <c r="K35" s="1397"/>
      <c r="L35" s="1397"/>
      <c r="M35" s="1397"/>
      <c r="N35" s="1397"/>
      <c r="O35" s="1397"/>
      <c r="P35" s="1397"/>
      <c r="Q35" s="1397"/>
      <c r="R35" s="1397"/>
      <c r="S35" s="1397"/>
      <c r="T35" s="1397"/>
      <c r="U35" s="1397"/>
      <c r="V35" s="1397"/>
      <c r="W35" s="1397">
        <v>36</v>
      </c>
      <c r="X35" s="1397">
        <v>38</v>
      </c>
      <c r="Y35" s="1397">
        <v>51</v>
      </c>
      <c r="Z35" s="1397">
        <v>54</v>
      </c>
      <c r="AA35" s="1398">
        <f>SUM(C35:Z35)</f>
        <v>179</v>
      </c>
    </row>
    <row r="36" spans="1:27" ht="17.100000000000001" customHeight="1" x14ac:dyDescent="0.2">
      <c r="A36" s="6325"/>
      <c r="B36" s="2050" t="s">
        <v>74</v>
      </c>
      <c r="C36" s="1397"/>
      <c r="D36" s="1397"/>
      <c r="E36" s="1397"/>
      <c r="F36" s="1397"/>
      <c r="G36" s="1397"/>
      <c r="H36" s="1397"/>
      <c r="I36" s="1397"/>
      <c r="J36" s="1397"/>
      <c r="K36" s="1397"/>
      <c r="L36" s="1397"/>
      <c r="M36" s="1397"/>
      <c r="N36" s="1397"/>
      <c r="O36" s="1397"/>
      <c r="P36" s="1397"/>
      <c r="Q36" s="1397"/>
      <c r="R36" s="1397"/>
      <c r="S36" s="1397"/>
      <c r="T36" s="1397"/>
      <c r="U36" s="1397"/>
      <c r="V36" s="1397"/>
      <c r="W36" s="1397">
        <v>21</v>
      </c>
      <c r="X36" s="1397">
        <v>26</v>
      </c>
      <c r="Y36" s="1397">
        <v>32</v>
      </c>
      <c r="Z36" s="1397">
        <v>36</v>
      </c>
      <c r="AA36" s="1398">
        <f>SUM(C36:Z36)</f>
        <v>115</v>
      </c>
    </row>
    <row r="37" spans="1:27" ht="17.100000000000001" customHeight="1" x14ac:dyDescent="0.2">
      <c r="A37" s="6326"/>
      <c r="B37" s="2051" t="s">
        <v>160</v>
      </c>
      <c r="C37" s="1399"/>
      <c r="D37" s="1399"/>
      <c r="E37" s="1399"/>
      <c r="F37" s="1399"/>
      <c r="G37" s="1399"/>
      <c r="H37" s="1399"/>
      <c r="I37" s="1399"/>
      <c r="J37" s="1399"/>
      <c r="K37" s="1399"/>
      <c r="L37" s="1399"/>
      <c r="M37" s="1399"/>
      <c r="N37" s="1399"/>
      <c r="O37" s="1399"/>
      <c r="P37" s="1399"/>
      <c r="Q37" s="1399"/>
      <c r="R37" s="1399">
        <f t="shared" ref="R37:AA37" si="7">SUM(R34:R36)</f>
        <v>0</v>
      </c>
      <c r="S37" s="1399">
        <f t="shared" si="7"/>
        <v>0</v>
      </c>
      <c r="T37" s="1399">
        <f t="shared" si="7"/>
        <v>0</v>
      </c>
      <c r="U37" s="1399">
        <f t="shared" si="7"/>
        <v>0</v>
      </c>
      <c r="V37" s="1399">
        <f t="shared" si="7"/>
        <v>0</v>
      </c>
      <c r="W37" s="1399">
        <f t="shared" si="7"/>
        <v>93</v>
      </c>
      <c r="X37" s="1399">
        <f t="shared" si="7"/>
        <v>103</v>
      </c>
      <c r="Y37" s="1399">
        <f t="shared" si="7"/>
        <v>122</v>
      </c>
      <c r="Z37" s="1399">
        <f t="shared" si="7"/>
        <v>135</v>
      </c>
      <c r="AA37" s="1403">
        <f t="shared" si="7"/>
        <v>453</v>
      </c>
    </row>
    <row r="38" spans="1:27" ht="17.100000000000001" customHeight="1" x14ac:dyDescent="0.2">
      <c r="A38" s="6327" t="s">
        <v>75</v>
      </c>
      <c r="B38" s="2049" t="s">
        <v>5</v>
      </c>
      <c r="C38" s="2054">
        <v>102</v>
      </c>
      <c r="D38" s="2054">
        <v>142</v>
      </c>
      <c r="E38" s="2054">
        <v>152</v>
      </c>
      <c r="F38" s="2054">
        <v>155</v>
      </c>
      <c r="G38" s="2054">
        <v>167</v>
      </c>
      <c r="H38" s="2054">
        <v>193</v>
      </c>
      <c r="I38" s="2054">
        <v>193</v>
      </c>
      <c r="J38" s="2054">
        <v>192</v>
      </c>
      <c r="K38" s="2054">
        <v>198</v>
      </c>
      <c r="L38" s="2054">
        <v>195</v>
      </c>
      <c r="M38" s="2054">
        <v>188</v>
      </c>
      <c r="N38" s="2054">
        <v>179</v>
      </c>
      <c r="O38" s="2054">
        <v>187</v>
      </c>
      <c r="P38" s="2054">
        <v>184</v>
      </c>
      <c r="Q38" s="2054">
        <v>181</v>
      </c>
      <c r="R38" s="2054"/>
      <c r="S38" s="2054"/>
      <c r="T38" s="2054"/>
      <c r="U38" s="2054"/>
      <c r="V38" s="2054"/>
      <c r="W38" s="2054">
        <v>179</v>
      </c>
      <c r="X38" s="2054">
        <v>188</v>
      </c>
      <c r="Y38" s="2054">
        <v>202</v>
      </c>
      <c r="Z38" s="2054">
        <v>209</v>
      </c>
      <c r="AA38" s="1396">
        <f>SUM(C38:Z38)</f>
        <v>3386</v>
      </c>
    </row>
    <row r="39" spans="1:27" ht="17.100000000000001" customHeight="1" x14ac:dyDescent="0.2">
      <c r="A39" s="6328" t="s">
        <v>75</v>
      </c>
      <c r="B39" s="2050" t="s">
        <v>6</v>
      </c>
      <c r="C39" s="1397">
        <v>92</v>
      </c>
      <c r="D39" s="1397">
        <v>144</v>
      </c>
      <c r="E39" s="1397">
        <v>161</v>
      </c>
      <c r="F39" s="1397">
        <v>171</v>
      </c>
      <c r="G39" s="1397">
        <v>177</v>
      </c>
      <c r="H39" s="1397">
        <v>178</v>
      </c>
      <c r="I39" s="1397">
        <v>189</v>
      </c>
      <c r="J39" s="1397">
        <v>196</v>
      </c>
      <c r="K39" s="1397">
        <v>204</v>
      </c>
      <c r="L39" s="1397">
        <v>215</v>
      </c>
      <c r="M39" s="1397">
        <v>225</v>
      </c>
      <c r="N39" s="1397">
        <v>228</v>
      </c>
      <c r="O39" s="1397">
        <v>234</v>
      </c>
      <c r="P39" s="1397">
        <v>233</v>
      </c>
      <c r="Q39" s="1397">
        <v>228</v>
      </c>
      <c r="R39" s="1397"/>
      <c r="S39" s="1397"/>
      <c r="T39" s="1397"/>
      <c r="U39" s="1397"/>
      <c r="V39" s="1397"/>
      <c r="W39" s="1397">
        <v>229</v>
      </c>
      <c r="X39" s="1397">
        <v>238</v>
      </c>
      <c r="Y39" s="1397">
        <v>240</v>
      </c>
      <c r="Z39" s="1397">
        <v>237</v>
      </c>
      <c r="AA39" s="1398">
        <f>SUM(C39:Z39)</f>
        <v>3819</v>
      </c>
    </row>
    <row r="40" spans="1:27" ht="17.100000000000001" customHeight="1" x14ac:dyDescent="0.2">
      <c r="A40" s="6328" t="s">
        <v>75</v>
      </c>
      <c r="B40" s="2050" t="s">
        <v>11</v>
      </c>
      <c r="C40" s="1397">
        <v>62</v>
      </c>
      <c r="D40" s="1397">
        <v>85</v>
      </c>
      <c r="E40" s="1397">
        <v>88</v>
      </c>
      <c r="F40" s="1397">
        <v>110</v>
      </c>
      <c r="G40" s="1397">
        <v>124</v>
      </c>
      <c r="H40" s="1397">
        <v>138</v>
      </c>
      <c r="I40" s="1397">
        <v>150</v>
      </c>
      <c r="J40" s="1397">
        <v>156</v>
      </c>
      <c r="K40" s="1397">
        <v>156</v>
      </c>
      <c r="L40" s="1397">
        <v>148</v>
      </c>
      <c r="M40" s="1397">
        <v>155</v>
      </c>
      <c r="N40" s="1397">
        <v>157</v>
      </c>
      <c r="O40" s="1397">
        <v>160</v>
      </c>
      <c r="P40" s="1397">
        <v>162</v>
      </c>
      <c r="Q40" s="1397">
        <v>157</v>
      </c>
      <c r="R40" s="1397"/>
      <c r="S40" s="1397"/>
      <c r="T40" s="1397"/>
      <c r="U40" s="1397"/>
      <c r="V40" s="1397"/>
      <c r="W40" s="1397">
        <v>167</v>
      </c>
      <c r="X40" s="1397">
        <v>171</v>
      </c>
      <c r="Y40" s="1397">
        <v>172</v>
      </c>
      <c r="Z40" s="1397">
        <v>182</v>
      </c>
      <c r="AA40" s="1398">
        <f>SUM(C40:Z40)</f>
        <v>2700</v>
      </c>
    </row>
    <row r="41" spans="1:27" ht="17.100000000000001" customHeight="1" x14ac:dyDescent="0.2">
      <c r="A41" s="6329"/>
      <c r="B41" s="2051" t="s">
        <v>160</v>
      </c>
      <c r="C41" s="1399">
        <f>SUM(C38:C40)</f>
        <v>256</v>
      </c>
      <c r="D41" s="1399">
        <f t="shared" ref="D41:Y41" si="8">SUM(D38:D40)</f>
        <v>371</v>
      </c>
      <c r="E41" s="1399">
        <f t="shared" si="8"/>
        <v>401</v>
      </c>
      <c r="F41" s="1399">
        <f t="shared" si="8"/>
        <v>436</v>
      </c>
      <c r="G41" s="1399">
        <f t="shared" si="8"/>
        <v>468</v>
      </c>
      <c r="H41" s="1399">
        <f t="shared" si="8"/>
        <v>509</v>
      </c>
      <c r="I41" s="1399">
        <f t="shared" si="8"/>
        <v>532</v>
      </c>
      <c r="J41" s="1399">
        <f t="shared" si="8"/>
        <v>544</v>
      </c>
      <c r="K41" s="1399">
        <f t="shared" si="8"/>
        <v>558</v>
      </c>
      <c r="L41" s="1399">
        <f t="shared" si="8"/>
        <v>558</v>
      </c>
      <c r="M41" s="1399">
        <f t="shared" si="8"/>
        <v>568</v>
      </c>
      <c r="N41" s="1399">
        <f t="shared" si="8"/>
        <v>564</v>
      </c>
      <c r="O41" s="1399">
        <f t="shared" si="8"/>
        <v>581</v>
      </c>
      <c r="P41" s="1399">
        <f t="shared" si="8"/>
        <v>579</v>
      </c>
      <c r="Q41" s="1399">
        <f t="shared" si="8"/>
        <v>566</v>
      </c>
      <c r="R41" s="1399">
        <f t="shared" si="8"/>
        <v>0</v>
      </c>
      <c r="S41" s="1399">
        <f t="shared" si="8"/>
        <v>0</v>
      </c>
      <c r="T41" s="1399">
        <f t="shared" si="8"/>
        <v>0</v>
      </c>
      <c r="U41" s="1399">
        <f t="shared" si="8"/>
        <v>0</v>
      </c>
      <c r="V41" s="1399">
        <f t="shared" si="8"/>
        <v>0</v>
      </c>
      <c r="W41" s="1399">
        <f t="shared" si="8"/>
        <v>575</v>
      </c>
      <c r="X41" s="1399">
        <f t="shared" si="8"/>
        <v>597</v>
      </c>
      <c r="Y41" s="1399">
        <f t="shared" si="8"/>
        <v>614</v>
      </c>
      <c r="Z41" s="1399">
        <f>SUM(Z38:Z40)</f>
        <v>628</v>
      </c>
      <c r="AA41" s="1403">
        <f>SUM(AA38:AA40)</f>
        <v>9905</v>
      </c>
    </row>
    <row r="42" spans="1:27" ht="17.100000000000001" customHeight="1" x14ac:dyDescent="0.2">
      <c r="A42" s="6305" t="s">
        <v>326</v>
      </c>
      <c r="B42" s="2049" t="s">
        <v>5</v>
      </c>
      <c r="C42" s="2054"/>
      <c r="D42" s="2054"/>
      <c r="E42" s="2054"/>
      <c r="F42" s="2054"/>
      <c r="G42" s="2054"/>
      <c r="H42" s="2054"/>
      <c r="I42" s="2054"/>
      <c r="J42" s="2054"/>
      <c r="K42" s="2054"/>
      <c r="L42" s="2054"/>
      <c r="M42" s="2054"/>
      <c r="N42" s="2054"/>
      <c r="O42" s="2054"/>
      <c r="P42" s="2054"/>
      <c r="Q42" s="2054"/>
      <c r="R42" s="2054"/>
      <c r="S42" s="2054"/>
      <c r="T42" s="2054"/>
      <c r="U42" s="2054"/>
      <c r="V42" s="2054"/>
      <c r="W42" s="2054"/>
      <c r="X42" s="2054"/>
      <c r="Y42" s="2054">
        <v>1</v>
      </c>
      <c r="Z42" s="2054">
        <v>2</v>
      </c>
      <c r="AA42" s="1396">
        <f>SUM(C42:Z42)</f>
        <v>3</v>
      </c>
    </row>
    <row r="43" spans="1:27" ht="17.100000000000001" customHeight="1" x14ac:dyDescent="0.2">
      <c r="A43" s="6306" t="s">
        <v>75</v>
      </c>
      <c r="B43" s="2050" t="s">
        <v>6</v>
      </c>
      <c r="C43" s="1397"/>
      <c r="D43" s="1397"/>
      <c r="E43" s="1397"/>
      <c r="F43" s="1397"/>
      <c r="G43" s="1397"/>
      <c r="H43" s="1397"/>
      <c r="I43" s="1397"/>
      <c r="J43" s="1397"/>
      <c r="K43" s="1397"/>
      <c r="L43" s="1397"/>
      <c r="M43" s="1397"/>
      <c r="N43" s="1397"/>
      <c r="O43" s="1397"/>
      <c r="P43" s="1397"/>
      <c r="Q43" s="1397"/>
      <c r="R43" s="1397"/>
      <c r="S43" s="1397"/>
      <c r="T43" s="1397"/>
      <c r="U43" s="1397"/>
      <c r="V43" s="1397"/>
      <c r="W43" s="1397"/>
      <c r="X43" s="1397"/>
      <c r="Y43" s="1397"/>
      <c r="Z43" s="1397"/>
      <c r="AA43" s="1398">
        <f>SUM(C43:Z43)</f>
        <v>0</v>
      </c>
    </row>
    <row r="44" spans="1:27" ht="17.100000000000001" customHeight="1" x14ac:dyDescent="0.2">
      <c r="A44" s="6306" t="s">
        <v>75</v>
      </c>
      <c r="B44" s="2050" t="s">
        <v>11</v>
      </c>
      <c r="C44" s="1397"/>
      <c r="D44" s="1397"/>
      <c r="E44" s="1397"/>
      <c r="F44" s="1397"/>
      <c r="G44" s="1397"/>
      <c r="H44" s="1397"/>
      <c r="I44" s="1397"/>
      <c r="J44" s="1397"/>
      <c r="K44" s="1397"/>
      <c r="L44" s="1397"/>
      <c r="M44" s="1397"/>
      <c r="N44" s="1397"/>
      <c r="O44" s="1397"/>
      <c r="P44" s="1397"/>
      <c r="Q44" s="1397"/>
      <c r="R44" s="1397"/>
      <c r="S44" s="1397"/>
      <c r="T44" s="1397"/>
      <c r="U44" s="1397"/>
      <c r="V44" s="1397"/>
      <c r="W44" s="1397"/>
      <c r="X44" s="1397"/>
      <c r="Y44" s="1397">
        <v>2</v>
      </c>
      <c r="Z44" s="1397">
        <v>2</v>
      </c>
      <c r="AA44" s="1398">
        <f>SUM(C44:Z44)</f>
        <v>4</v>
      </c>
    </row>
    <row r="45" spans="1:27" ht="17.100000000000001" customHeight="1" x14ac:dyDescent="0.2">
      <c r="A45" s="6307"/>
      <c r="B45" s="2051" t="s">
        <v>160</v>
      </c>
      <c r="C45" s="1399"/>
      <c r="D45" s="1399"/>
      <c r="E45" s="1399"/>
      <c r="F45" s="1399"/>
      <c r="G45" s="1399"/>
      <c r="H45" s="1399"/>
      <c r="I45" s="1399"/>
      <c r="J45" s="1399"/>
      <c r="K45" s="1399"/>
      <c r="L45" s="1399"/>
      <c r="M45" s="1399"/>
      <c r="N45" s="1399"/>
      <c r="O45" s="1399"/>
      <c r="P45" s="1399"/>
      <c r="Q45" s="1399"/>
      <c r="R45" s="1399"/>
      <c r="S45" s="1399"/>
      <c r="T45" s="1399"/>
      <c r="U45" s="1399"/>
      <c r="V45" s="1399"/>
      <c r="W45" s="1399"/>
      <c r="X45" s="1399"/>
      <c r="Y45" s="1399">
        <f>SUM(Y42:Y44)</f>
        <v>3</v>
      </c>
      <c r="Z45" s="1399">
        <f>SUM(Z42:Z44)</f>
        <v>4</v>
      </c>
      <c r="AA45" s="1403">
        <f>SUM(AA42:AA44)</f>
        <v>7</v>
      </c>
    </row>
    <row r="46" spans="1:27" ht="17.100000000000001" customHeight="1" x14ac:dyDescent="0.2">
      <c r="A46" s="6308" t="s">
        <v>10</v>
      </c>
      <c r="B46" s="2049" t="s">
        <v>6</v>
      </c>
      <c r="C46" s="2054">
        <v>87</v>
      </c>
      <c r="D46" s="2054">
        <v>125</v>
      </c>
      <c r="E46" s="2054">
        <v>133</v>
      </c>
      <c r="F46" s="2054">
        <v>141</v>
      </c>
      <c r="G46" s="2054">
        <v>151</v>
      </c>
      <c r="H46" s="2054">
        <v>171</v>
      </c>
      <c r="I46" s="2054">
        <v>168</v>
      </c>
      <c r="J46" s="2054">
        <v>192</v>
      </c>
      <c r="K46" s="2054">
        <v>201</v>
      </c>
      <c r="L46" s="2054">
        <v>206</v>
      </c>
      <c r="M46" s="2054">
        <v>203</v>
      </c>
      <c r="N46" s="2054">
        <v>203</v>
      </c>
      <c r="O46" s="2054">
        <v>213</v>
      </c>
      <c r="P46" s="2054">
        <v>218</v>
      </c>
      <c r="Q46" s="2054">
        <v>227</v>
      </c>
      <c r="R46" s="2054"/>
      <c r="S46" s="2054"/>
      <c r="T46" s="2054"/>
      <c r="U46" s="2054"/>
      <c r="V46" s="2054"/>
      <c r="W46" s="2054">
        <v>253</v>
      </c>
      <c r="X46" s="2054">
        <v>266</v>
      </c>
      <c r="Y46" s="2054">
        <v>276</v>
      </c>
      <c r="Z46" s="2054">
        <v>272</v>
      </c>
      <c r="AA46" s="1396">
        <f>SUM(C46:Z46)</f>
        <v>3706</v>
      </c>
    </row>
    <row r="47" spans="1:27" ht="17.100000000000001" customHeight="1" x14ac:dyDescent="0.2">
      <c r="A47" s="6309" t="s">
        <v>10</v>
      </c>
      <c r="B47" s="2050" t="s">
        <v>11</v>
      </c>
      <c r="C47" s="1397">
        <v>41</v>
      </c>
      <c r="D47" s="1397">
        <v>75</v>
      </c>
      <c r="E47" s="1397">
        <v>78</v>
      </c>
      <c r="F47" s="1397">
        <v>99</v>
      </c>
      <c r="G47" s="1397">
        <v>134</v>
      </c>
      <c r="H47" s="1397">
        <v>159</v>
      </c>
      <c r="I47" s="1397">
        <v>174</v>
      </c>
      <c r="J47" s="1397">
        <v>179</v>
      </c>
      <c r="K47" s="1397">
        <v>185</v>
      </c>
      <c r="L47" s="1397">
        <v>191</v>
      </c>
      <c r="M47" s="1397">
        <v>205</v>
      </c>
      <c r="N47" s="1397">
        <v>200</v>
      </c>
      <c r="O47" s="1397">
        <v>206</v>
      </c>
      <c r="P47" s="1397">
        <v>214</v>
      </c>
      <c r="Q47" s="1397">
        <v>227</v>
      </c>
      <c r="R47" s="1397"/>
      <c r="S47" s="1397"/>
      <c r="T47" s="1397"/>
      <c r="U47" s="1397"/>
      <c r="V47" s="1397"/>
      <c r="W47" s="1397">
        <v>234</v>
      </c>
      <c r="X47" s="1397">
        <v>238</v>
      </c>
      <c r="Y47" s="1397">
        <v>252</v>
      </c>
      <c r="Z47" s="1397">
        <v>249</v>
      </c>
      <c r="AA47" s="1398">
        <f>SUM(C47:Z47)</f>
        <v>3340</v>
      </c>
    </row>
    <row r="48" spans="1:27" ht="17.100000000000001" customHeight="1" x14ac:dyDescent="0.2">
      <c r="A48" s="6309" t="s">
        <v>10</v>
      </c>
      <c r="B48" s="2050" t="s">
        <v>7</v>
      </c>
      <c r="C48" s="1397">
        <v>28</v>
      </c>
      <c r="D48" s="1397">
        <v>42</v>
      </c>
      <c r="E48" s="1397">
        <v>47</v>
      </c>
      <c r="F48" s="1397">
        <v>59</v>
      </c>
      <c r="G48" s="1397">
        <v>70</v>
      </c>
      <c r="H48" s="1397">
        <v>98</v>
      </c>
      <c r="I48" s="1397">
        <v>105</v>
      </c>
      <c r="J48" s="1397">
        <v>108</v>
      </c>
      <c r="K48" s="1397">
        <v>104</v>
      </c>
      <c r="L48" s="1397">
        <v>96</v>
      </c>
      <c r="M48" s="1397">
        <v>100</v>
      </c>
      <c r="N48" s="1397">
        <v>95</v>
      </c>
      <c r="O48" s="1397">
        <v>95</v>
      </c>
      <c r="P48" s="1397">
        <v>103</v>
      </c>
      <c r="Q48" s="1397">
        <v>99</v>
      </c>
      <c r="R48" s="1397"/>
      <c r="S48" s="1397"/>
      <c r="T48" s="1397"/>
      <c r="U48" s="1397"/>
      <c r="V48" s="1397"/>
      <c r="W48" s="1397">
        <v>104</v>
      </c>
      <c r="X48" s="1397">
        <v>108</v>
      </c>
      <c r="Y48" s="1397">
        <v>107</v>
      </c>
      <c r="Z48" s="1397">
        <v>108</v>
      </c>
      <c r="AA48" s="1398">
        <f>SUM(C48:Z48)</f>
        <v>1676</v>
      </c>
    </row>
    <row r="49" spans="1:27" ht="17.100000000000001" customHeight="1" x14ac:dyDescent="0.2">
      <c r="A49" s="6310" t="s">
        <v>10</v>
      </c>
      <c r="B49" s="2051" t="s">
        <v>160</v>
      </c>
      <c r="C49" s="1399">
        <f t="shared" ref="C49:Z49" si="9">SUM(C46:C48)</f>
        <v>156</v>
      </c>
      <c r="D49" s="1399">
        <f t="shared" si="9"/>
        <v>242</v>
      </c>
      <c r="E49" s="1399">
        <f t="shared" si="9"/>
        <v>258</v>
      </c>
      <c r="F49" s="1399">
        <f t="shared" si="9"/>
        <v>299</v>
      </c>
      <c r="G49" s="1399">
        <f t="shared" si="9"/>
        <v>355</v>
      </c>
      <c r="H49" s="1399">
        <f t="shared" si="9"/>
        <v>428</v>
      </c>
      <c r="I49" s="1399">
        <f t="shared" si="9"/>
        <v>447</v>
      </c>
      <c r="J49" s="1399">
        <f t="shared" si="9"/>
        <v>479</v>
      </c>
      <c r="K49" s="1399">
        <f t="shared" si="9"/>
        <v>490</v>
      </c>
      <c r="L49" s="1399">
        <f t="shared" si="9"/>
        <v>493</v>
      </c>
      <c r="M49" s="1399">
        <f t="shared" si="9"/>
        <v>508</v>
      </c>
      <c r="N49" s="1399">
        <f t="shared" si="9"/>
        <v>498</v>
      </c>
      <c r="O49" s="1399">
        <f t="shared" si="9"/>
        <v>514</v>
      </c>
      <c r="P49" s="1399">
        <f t="shared" si="9"/>
        <v>535</v>
      </c>
      <c r="Q49" s="1399">
        <f t="shared" si="9"/>
        <v>553</v>
      </c>
      <c r="R49" s="1399">
        <f t="shared" si="9"/>
        <v>0</v>
      </c>
      <c r="S49" s="1399">
        <f t="shared" si="9"/>
        <v>0</v>
      </c>
      <c r="T49" s="1399">
        <f t="shared" si="9"/>
        <v>0</v>
      </c>
      <c r="U49" s="1399">
        <f t="shared" si="9"/>
        <v>0</v>
      </c>
      <c r="V49" s="1399">
        <f t="shared" si="9"/>
        <v>0</v>
      </c>
      <c r="W49" s="1399">
        <f t="shared" si="9"/>
        <v>591</v>
      </c>
      <c r="X49" s="1399">
        <f t="shared" si="9"/>
        <v>612</v>
      </c>
      <c r="Y49" s="1399">
        <f t="shared" si="9"/>
        <v>635</v>
      </c>
      <c r="Z49" s="1399">
        <f t="shared" si="9"/>
        <v>629</v>
      </c>
      <c r="AA49" s="1403">
        <f>SUM(AA46:AA48)</f>
        <v>8722</v>
      </c>
    </row>
    <row r="50" spans="1:27" ht="17.100000000000001" customHeight="1" x14ac:dyDescent="0.2">
      <c r="A50" s="6311" t="s">
        <v>586</v>
      </c>
      <c r="B50" s="6330"/>
      <c r="C50" s="2055">
        <f t="shared" ref="C50:W50" si="10">SUM(C33,C37,C41,C49)</f>
        <v>585</v>
      </c>
      <c r="D50" s="1400">
        <f t="shared" si="10"/>
        <v>857</v>
      </c>
      <c r="E50" s="1400">
        <f t="shared" si="10"/>
        <v>886</v>
      </c>
      <c r="F50" s="1400">
        <f t="shared" si="10"/>
        <v>994</v>
      </c>
      <c r="G50" s="1400">
        <f t="shared" si="10"/>
        <v>1128</v>
      </c>
      <c r="H50" s="1400">
        <f t="shared" si="10"/>
        <v>1289</v>
      </c>
      <c r="I50" s="1400">
        <f t="shared" si="10"/>
        <v>1378</v>
      </c>
      <c r="J50" s="1400">
        <f t="shared" si="10"/>
        <v>1447</v>
      </c>
      <c r="K50" s="1400">
        <f t="shared" si="10"/>
        <v>1491</v>
      </c>
      <c r="L50" s="1400">
        <f t="shared" si="10"/>
        <v>1500</v>
      </c>
      <c r="M50" s="1400">
        <f t="shared" si="10"/>
        <v>1544</v>
      </c>
      <c r="N50" s="1400">
        <f t="shared" si="10"/>
        <v>1538</v>
      </c>
      <c r="O50" s="1400">
        <f t="shared" si="10"/>
        <v>1587</v>
      </c>
      <c r="P50" s="1400">
        <f t="shared" si="10"/>
        <v>1620</v>
      </c>
      <c r="Q50" s="1400">
        <f t="shared" si="10"/>
        <v>1649</v>
      </c>
      <c r="R50" s="1400">
        <f t="shared" si="10"/>
        <v>0</v>
      </c>
      <c r="S50" s="1400">
        <f t="shared" si="10"/>
        <v>0</v>
      </c>
      <c r="T50" s="1400">
        <f t="shared" si="10"/>
        <v>0</v>
      </c>
      <c r="U50" s="1400">
        <f t="shared" si="10"/>
        <v>0</v>
      </c>
      <c r="V50" s="1400">
        <f t="shared" si="10"/>
        <v>0</v>
      </c>
      <c r="W50" s="1400">
        <f t="shared" si="10"/>
        <v>1801</v>
      </c>
      <c r="X50" s="1400">
        <f>SUM(X33,X37,X41,X45,X49)</f>
        <v>1879</v>
      </c>
      <c r="Y50" s="1400">
        <f>SUM(Y33,Y37,Y41,Y45,Y49)</f>
        <v>1967</v>
      </c>
      <c r="Z50" s="1400">
        <f>SUM(Z33,Z37,Z41,Z45,Z49)</f>
        <v>2012</v>
      </c>
      <c r="AA50" s="1401">
        <f>SUM(AA33,AA37,AA45,AA41,AA49)</f>
        <v>27152</v>
      </c>
    </row>
    <row r="51" spans="1:27" ht="17.100000000000001" customHeight="1" x14ac:dyDescent="0.2">
      <c r="A51" s="2056"/>
      <c r="B51" s="2056"/>
      <c r="C51" s="2056"/>
      <c r="D51" s="2056"/>
      <c r="E51" s="2056"/>
      <c r="F51" s="2056"/>
      <c r="G51" s="2056"/>
      <c r="H51" s="2056"/>
      <c r="I51" s="2056"/>
      <c r="J51" s="2056"/>
      <c r="K51" s="2056"/>
      <c r="L51" s="2056"/>
      <c r="M51" s="2056"/>
      <c r="N51" s="2056"/>
      <c r="O51" s="2056"/>
      <c r="P51" s="2056"/>
      <c r="Q51" s="2056"/>
      <c r="R51" s="2056"/>
      <c r="S51" s="2056"/>
      <c r="T51" s="2056"/>
      <c r="U51" s="2056"/>
      <c r="V51" s="2056"/>
      <c r="W51" s="2056"/>
      <c r="X51" s="2056"/>
      <c r="Y51" s="2056"/>
      <c r="Z51" s="2056"/>
      <c r="AA51" s="2057"/>
    </row>
    <row r="52" spans="1:27" ht="17.100000000000001" customHeight="1" x14ac:dyDescent="0.2">
      <c r="A52" s="6313" t="s">
        <v>16</v>
      </c>
      <c r="B52" s="6315" t="s">
        <v>356</v>
      </c>
      <c r="C52" s="6317" t="s">
        <v>589</v>
      </c>
      <c r="D52" s="6318"/>
      <c r="E52" s="6318"/>
      <c r="F52" s="6318"/>
      <c r="G52" s="6318"/>
      <c r="H52" s="6318"/>
      <c r="I52" s="6318"/>
      <c r="J52" s="6318"/>
      <c r="K52" s="6318"/>
      <c r="L52" s="6318"/>
      <c r="M52" s="6318"/>
      <c r="N52" s="6318"/>
      <c r="O52" s="6318"/>
      <c r="P52" s="6318"/>
      <c r="Q52" s="6318"/>
      <c r="R52" s="6318"/>
      <c r="S52" s="6318"/>
      <c r="T52" s="6318"/>
      <c r="U52" s="6318"/>
      <c r="V52" s="6318"/>
      <c r="W52" s="6318"/>
      <c r="X52" s="6318"/>
      <c r="Y52" s="6318"/>
      <c r="Z52" s="6319"/>
      <c r="AA52" s="6320"/>
    </row>
    <row r="53" spans="1:27" ht="17.100000000000001" customHeight="1" x14ac:dyDescent="0.2">
      <c r="A53" s="6314"/>
      <c r="B53" s="6316"/>
      <c r="C53" s="1393">
        <v>1990</v>
      </c>
      <c r="D53" s="1394">
        <v>1991</v>
      </c>
      <c r="E53" s="1394">
        <v>1992</v>
      </c>
      <c r="F53" s="1394">
        <v>1993</v>
      </c>
      <c r="G53" s="1394">
        <v>1994</v>
      </c>
      <c r="H53" s="1394">
        <v>1995</v>
      </c>
      <c r="I53" s="1394">
        <v>1996</v>
      </c>
      <c r="J53" s="1394">
        <v>1997</v>
      </c>
      <c r="K53" s="1394">
        <v>1998</v>
      </c>
      <c r="L53" s="1394">
        <v>1999</v>
      </c>
      <c r="M53" s="1394">
        <v>2000</v>
      </c>
      <c r="N53" s="1394">
        <v>2001</v>
      </c>
      <c r="O53" s="1394">
        <v>2002</v>
      </c>
      <c r="P53" s="1394">
        <v>2003</v>
      </c>
      <c r="Q53" s="1394">
        <v>2004</v>
      </c>
      <c r="R53" s="1394">
        <v>2005</v>
      </c>
      <c r="S53" s="1394">
        <v>2006</v>
      </c>
      <c r="T53" s="1394">
        <v>2007</v>
      </c>
      <c r="U53" s="1394">
        <v>2008</v>
      </c>
      <c r="V53" s="1394">
        <v>2009</v>
      </c>
      <c r="W53" s="1394">
        <v>2010</v>
      </c>
      <c r="X53" s="1394">
        <v>2011</v>
      </c>
      <c r="Y53" s="1394">
        <v>2012</v>
      </c>
      <c r="Z53" s="1395">
        <v>2013</v>
      </c>
      <c r="AA53" s="1404" t="s">
        <v>160</v>
      </c>
    </row>
    <row r="54" spans="1:27" ht="17.100000000000001" customHeight="1" x14ac:dyDescent="0.2">
      <c r="A54" s="6321" t="s">
        <v>3</v>
      </c>
      <c r="B54" s="2049" t="s">
        <v>5</v>
      </c>
      <c r="C54" s="2054"/>
      <c r="D54" s="2054"/>
      <c r="E54" s="2054">
        <v>108</v>
      </c>
      <c r="F54" s="2054">
        <v>172</v>
      </c>
      <c r="G54" s="2054">
        <v>187</v>
      </c>
      <c r="H54" s="2054">
        <v>205</v>
      </c>
      <c r="I54" s="2054">
        <v>226</v>
      </c>
      <c r="J54" s="2054">
        <v>245</v>
      </c>
      <c r="K54" s="2054">
        <v>259</v>
      </c>
      <c r="L54" s="2054">
        <v>265</v>
      </c>
      <c r="M54" s="2054">
        <v>274</v>
      </c>
      <c r="N54" s="2054">
        <v>272</v>
      </c>
      <c r="O54" s="2054">
        <v>282</v>
      </c>
      <c r="P54" s="2054">
        <v>295</v>
      </c>
      <c r="Q54" s="2054">
        <v>301</v>
      </c>
      <c r="R54" s="2054"/>
      <c r="S54" s="2054"/>
      <c r="T54" s="2054"/>
      <c r="U54" s="2054"/>
      <c r="V54" s="2054"/>
      <c r="W54" s="2054">
        <v>318</v>
      </c>
      <c r="X54" s="2054">
        <v>327</v>
      </c>
      <c r="Y54" s="2054">
        <v>330</v>
      </c>
      <c r="Z54" s="1397">
        <v>338</v>
      </c>
      <c r="AA54" s="1396">
        <f>SUM(C54:Z54)</f>
        <v>4404</v>
      </c>
    </row>
    <row r="55" spans="1:27" ht="17.100000000000001" customHeight="1" x14ac:dyDescent="0.2">
      <c r="A55" s="6322"/>
      <c r="B55" s="2050" t="s">
        <v>6</v>
      </c>
      <c r="C55" s="1397"/>
      <c r="D55" s="1397"/>
      <c r="E55" s="1397">
        <v>149</v>
      </c>
      <c r="F55" s="1397">
        <v>181</v>
      </c>
      <c r="G55" s="1397">
        <v>197</v>
      </c>
      <c r="H55" s="1397">
        <v>215</v>
      </c>
      <c r="I55" s="1397">
        <v>222</v>
      </c>
      <c r="J55" s="1397">
        <v>236</v>
      </c>
      <c r="K55" s="1397">
        <v>234</v>
      </c>
      <c r="L55" s="1397">
        <v>245</v>
      </c>
      <c r="M55" s="1397">
        <v>259</v>
      </c>
      <c r="N55" s="1397">
        <v>272</v>
      </c>
      <c r="O55" s="1397">
        <v>289</v>
      </c>
      <c r="P55" s="1397">
        <v>294</v>
      </c>
      <c r="Q55" s="1397">
        <v>302</v>
      </c>
      <c r="R55" s="1397"/>
      <c r="S55" s="1397"/>
      <c r="T55" s="1397"/>
      <c r="U55" s="1397"/>
      <c r="V55" s="1397"/>
      <c r="W55" s="1397">
        <v>308</v>
      </c>
      <c r="X55" s="1397">
        <v>318</v>
      </c>
      <c r="Y55" s="1397">
        <v>329</v>
      </c>
      <c r="Z55" s="1397">
        <v>330</v>
      </c>
      <c r="AA55" s="1398">
        <f>SUM(C55:Z55)</f>
        <v>4380</v>
      </c>
    </row>
    <row r="56" spans="1:27" ht="17.100000000000001" customHeight="1" x14ac:dyDescent="0.2">
      <c r="A56" s="6322"/>
      <c r="B56" s="2050" t="s">
        <v>7</v>
      </c>
      <c r="C56" s="1397"/>
      <c r="D56" s="1397"/>
      <c r="E56" s="1397">
        <v>90</v>
      </c>
      <c r="F56" s="1397">
        <v>107</v>
      </c>
      <c r="G56" s="1397">
        <v>122</v>
      </c>
      <c r="H56" s="1397">
        <v>163</v>
      </c>
      <c r="I56" s="1397">
        <v>169</v>
      </c>
      <c r="J56" s="1397">
        <v>168</v>
      </c>
      <c r="K56" s="1397">
        <v>175</v>
      </c>
      <c r="L56" s="1397">
        <v>181</v>
      </c>
      <c r="M56" s="1397">
        <v>191</v>
      </c>
      <c r="N56" s="1397">
        <v>189</v>
      </c>
      <c r="O56" s="1397">
        <v>191</v>
      </c>
      <c r="P56" s="1397">
        <v>194</v>
      </c>
      <c r="Q56" s="1397">
        <v>196</v>
      </c>
      <c r="R56" s="1397"/>
      <c r="S56" s="1397"/>
      <c r="T56" s="1397"/>
      <c r="U56" s="1397"/>
      <c r="V56" s="1397"/>
      <c r="W56" s="1397">
        <v>195</v>
      </c>
      <c r="X56" s="1397">
        <v>209</v>
      </c>
      <c r="Y56" s="1397">
        <v>220</v>
      </c>
      <c r="Z56" s="1397">
        <v>214</v>
      </c>
      <c r="AA56" s="1398">
        <f>SUM(C56:Z56)</f>
        <v>2974</v>
      </c>
    </row>
    <row r="57" spans="1:27" ht="17.100000000000001" customHeight="1" x14ac:dyDescent="0.2">
      <c r="A57" s="6323"/>
      <c r="B57" s="2051" t="s">
        <v>160</v>
      </c>
      <c r="C57" s="1399"/>
      <c r="D57" s="1399"/>
      <c r="E57" s="1399">
        <f t="shared" ref="E57:V57" si="11">SUM(E54:E56)</f>
        <v>347</v>
      </c>
      <c r="F57" s="1399">
        <f t="shared" si="11"/>
        <v>460</v>
      </c>
      <c r="G57" s="1399">
        <f t="shared" si="11"/>
        <v>506</v>
      </c>
      <c r="H57" s="1399">
        <f t="shared" si="11"/>
        <v>583</v>
      </c>
      <c r="I57" s="1399">
        <f t="shared" si="11"/>
        <v>617</v>
      </c>
      <c r="J57" s="1399">
        <f t="shared" si="11"/>
        <v>649</v>
      </c>
      <c r="K57" s="1399">
        <f t="shared" si="11"/>
        <v>668</v>
      </c>
      <c r="L57" s="1399">
        <f t="shared" si="11"/>
        <v>691</v>
      </c>
      <c r="M57" s="1399">
        <f t="shared" si="11"/>
        <v>724</v>
      </c>
      <c r="N57" s="1399">
        <f t="shared" si="11"/>
        <v>733</v>
      </c>
      <c r="O57" s="1399">
        <f t="shared" si="11"/>
        <v>762</v>
      </c>
      <c r="P57" s="1399">
        <f t="shared" si="11"/>
        <v>783</v>
      </c>
      <c r="Q57" s="1399">
        <f t="shared" si="11"/>
        <v>799</v>
      </c>
      <c r="R57" s="1399">
        <f t="shared" si="11"/>
        <v>0</v>
      </c>
      <c r="S57" s="1399">
        <f t="shared" si="11"/>
        <v>0</v>
      </c>
      <c r="T57" s="1399">
        <f t="shared" si="11"/>
        <v>0</v>
      </c>
      <c r="U57" s="1399">
        <f t="shared" si="11"/>
        <v>0</v>
      </c>
      <c r="V57" s="1399">
        <f t="shared" si="11"/>
        <v>0</v>
      </c>
      <c r="W57" s="1399">
        <f>SUM(W54:W56)</f>
        <v>821</v>
      </c>
      <c r="X57" s="1399">
        <f>SUM(X54:X56)</f>
        <v>854</v>
      </c>
      <c r="Y57" s="1399">
        <f>SUM(Y54:Y56)</f>
        <v>879</v>
      </c>
      <c r="Z57" s="1399">
        <f>SUM(Z54:Z56)</f>
        <v>882</v>
      </c>
      <c r="AA57" s="1403">
        <f>SUM(AA54:AA56)</f>
        <v>11758</v>
      </c>
    </row>
    <row r="58" spans="1:27" ht="17.100000000000001" customHeight="1" x14ac:dyDescent="0.2">
      <c r="A58" s="6324" t="s">
        <v>8</v>
      </c>
      <c r="B58" s="2049" t="s">
        <v>6</v>
      </c>
      <c r="C58" s="2054"/>
      <c r="D58" s="2054"/>
      <c r="E58" s="2054"/>
      <c r="F58" s="2054"/>
      <c r="G58" s="2054"/>
      <c r="H58" s="2054"/>
      <c r="I58" s="2054"/>
      <c r="J58" s="2054"/>
      <c r="K58" s="2054"/>
      <c r="L58" s="2054"/>
      <c r="M58" s="2054"/>
      <c r="N58" s="2054"/>
      <c r="O58" s="2054"/>
      <c r="P58" s="2054"/>
      <c r="Q58" s="2054"/>
      <c r="R58" s="2054"/>
      <c r="S58" s="2054"/>
      <c r="T58" s="2054"/>
      <c r="U58" s="2054"/>
      <c r="V58" s="2054"/>
      <c r="W58" s="2054">
        <v>40</v>
      </c>
      <c r="X58" s="2054">
        <v>45</v>
      </c>
      <c r="Y58" s="2054">
        <v>44</v>
      </c>
      <c r="Z58" s="2054">
        <v>54</v>
      </c>
      <c r="AA58" s="1396">
        <f>SUM(C58:Z58)</f>
        <v>183</v>
      </c>
    </row>
    <row r="59" spans="1:27" ht="17.100000000000001" customHeight="1" x14ac:dyDescent="0.2">
      <c r="A59" s="6325"/>
      <c r="B59" s="2050" t="s">
        <v>9</v>
      </c>
      <c r="C59" s="1397"/>
      <c r="D59" s="1397"/>
      <c r="E59" s="1397"/>
      <c r="F59" s="1397"/>
      <c r="G59" s="1397"/>
      <c r="H59" s="1397"/>
      <c r="I59" s="1397"/>
      <c r="J59" s="1397"/>
      <c r="K59" s="1397"/>
      <c r="L59" s="1397"/>
      <c r="M59" s="1397"/>
      <c r="N59" s="1397"/>
      <c r="O59" s="1397"/>
      <c r="P59" s="1397"/>
      <c r="Q59" s="1397"/>
      <c r="R59" s="1397"/>
      <c r="S59" s="1397"/>
      <c r="T59" s="1397"/>
      <c r="U59" s="1397"/>
      <c r="V59" s="1397"/>
      <c r="W59" s="1397">
        <v>41</v>
      </c>
      <c r="X59" s="1397">
        <v>46</v>
      </c>
      <c r="Y59" s="1397">
        <v>55</v>
      </c>
      <c r="Z59" s="1397">
        <v>57</v>
      </c>
      <c r="AA59" s="1398">
        <f>SUM(C59:Z59)</f>
        <v>199</v>
      </c>
    </row>
    <row r="60" spans="1:27" ht="17.100000000000001" customHeight="1" x14ac:dyDescent="0.2">
      <c r="A60" s="6325"/>
      <c r="B60" s="2050" t="s">
        <v>74</v>
      </c>
      <c r="C60" s="1397"/>
      <c r="D60" s="1397"/>
      <c r="E60" s="1397"/>
      <c r="F60" s="1397"/>
      <c r="G60" s="1397"/>
      <c r="H60" s="1397"/>
      <c r="I60" s="1397"/>
      <c r="J60" s="1397"/>
      <c r="K60" s="1397"/>
      <c r="L60" s="1397"/>
      <c r="M60" s="1397"/>
      <c r="N60" s="1397"/>
      <c r="O60" s="1397"/>
      <c r="P60" s="1397"/>
      <c r="Q60" s="1397"/>
      <c r="R60" s="1397"/>
      <c r="S60" s="1397"/>
      <c r="T60" s="1397"/>
      <c r="U60" s="1397"/>
      <c r="V60" s="1397"/>
      <c r="W60" s="1397">
        <v>27</v>
      </c>
      <c r="X60" s="1397">
        <v>30</v>
      </c>
      <c r="Y60" s="1397">
        <v>35</v>
      </c>
      <c r="Z60" s="1397">
        <v>39</v>
      </c>
      <c r="AA60" s="1398">
        <f>SUM(C60:Z60)</f>
        <v>131</v>
      </c>
    </row>
    <row r="61" spans="1:27" ht="17.100000000000001" customHeight="1" x14ac:dyDescent="0.2">
      <c r="A61" s="6326"/>
      <c r="B61" s="2051" t="s">
        <v>160</v>
      </c>
      <c r="C61" s="1399"/>
      <c r="D61" s="1399"/>
      <c r="E61" s="1399"/>
      <c r="F61" s="1399"/>
      <c r="G61" s="1399"/>
      <c r="H61" s="1399"/>
      <c r="I61" s="1399"/>
      <c r="J61" s="1399"/>
      <c r="K61" s="1399"/>
      <c r="L61" s="1399"/>
      <c r="M61" s="1399"/>
      <c r="N61" s="1399"/>
      <c r="O61" s="1399"/>
      <c r="P61" s="1399"/>
      <c r="Q61" s="1399"/>
      <c r="R61" s="1399">
        <f t="shared" ref="R61:AA61" si="12">SUM(R58:R60)</f>
        <v>0</v>
      </c>
      <c r="S61" s="1399">
        <f t="shared" si="12"/>
        <v>0</v>
      </c>
      <c r="T61" s="1399">
        <f t="shared" si="12"/>
        <v>0</v>
      </c>
      <c r="U61" s="1399">
        <f t="shared" si="12"/>
        <v>0</v>
      </c>
      <c r="V61" s="1399">
        <f t="shared" si="12"/>
        <v>0</v>
      </c>
      <c r="W61" s="1399">
        <f t="shared" si="12"/>
        <v>108</v>
      </c>
      <c r="X61" s="1399">
        <f t="shared" si="12"/>
        <v>121</v>
      </c>
      <c r="Y61" s="1399">
        <f t="shared" si="12"/>
        <v>134</v>
      </c>
      <c r="Z61" s="1399">
        <f t="shared" si="12"/>
        <v>150</v>
      </c>
      <c r="AA61" s="1403">
        <f t="shared" si="12"/>
        <v>513</v>
      </c>
    </row>
    <row r="62" spans="1:27" ht="17.100000000000001" customHeight="1" x14ac:dyDescent="0.2">
      <c r="A62" s="6327" t="s">
        <v>75</v>
      </c>
      <c r="B62" s="2049" t="s">
        <v>5</v>
      </c>
      <c r="C62" s="2054"/>
      <c r="D62" s="2054"/>
      <c r="E62" s="2054">
        <v>183</v>
      </c>
      <c r="F62" s="2054">
        <v>216</v>
      </c>
      <c r="G62" s="2054">
        <v>216</v>
      </c>
      <c r="H62" s="2054">
        <v>230</v>
      </c>
      <c r="I62" s="2054">
        <v>228</v>
      </c>
      <c r="J62" s="2054">
        <v>235</v>
      </c>
      <c r="K62" s="2054">
        <v>241</v>
      </c>
      <c r="L62" s="2054">
        <v>243</v>
      </c>
      <c r="M62" s="2054">
        <v>248</v>
      </c>
      <c r="N62" s="2054">
        <v>244</v>
      </c>
      <c r="O62" s="2054">
        <v>251</v>
      </c>
      <c r="P62" s="2054">
        <v>253</v>
      </c>
      <c r="Q62" s="2054">
        <v>260</v>
      </c>
      <c r="R62" s="2054"/>
      <c r="S62" s="2054"/>
      <c r="T62" s="2054"/>
      <c r="U62" s="2054"/>
      <c r="V62" s="2054"/>
      <c r="W62" s="2054">
        <v>267</v>
      </c>
      <c r="X62" s="2054">
        <v>267</v>
      </c>
      <c r="Y62" s="2054">
        <v>268</v>
      </c>
      <c r="Z62" s="2054">
        <v>267</v>
      </c>
      <c r="AA62" s="1396">
        <f>SUM(C62:Z62)</f>
        <v>4117</v>
      </c>
    </row>
    <row r="63" spans="1:27" ht="17.100000000000001" customHeight="1" x14ac:dyDescent="0.2">
      <c r="A63" s="6328" t="s">
        <v>75</v>
      </c>
      <c r="B63" s="2050" t="s">
        <v>6</v>
      </c>
      <c r="C63" s="1397"/>
      <c r="D63" s="1397"/>
      <c r="E63" s="1397">
        <v>190</v>
      </c>
      <c r="F63" s="1397">
        <v>217</v>
      </c>
      <c r="G63" s="1397">
        <v>224</v>
      </c>
      <c r="H63" s="1397">
        <v>234</v>
      </c>
      <c r="I63" s="1397">
        <v>237</v>
      </c>
      <c r="J63" s="1397">
        <v>256</v>
      </c>
      <c r="K63" s="1397">
        <v>275</v>
      </c>
      <c r="L63" s="1397">
        <v>284</v>
      </c>
      <c r="M63" s="1397">
        <v>286</v>
      </c>
      <c r="N63" s="1397">
        <v>286</v>
      </c>
      <c r="O63" s="1397">
        <v>292</v>
      </c>
      <c r="P63" s="1397">
        <v>295</v>
      </c>
      <c r="Q63" s="1397">
        <v>297</v>
      </c>
      <c r="R63" s="1397"/>
      <c r="S63" s="1397"/>
      <c r="T63" s="1397"/>
      <c r="U63" s="1397"/>
      <c r="V63" s="1397"/>
      <c r="W63" s="1397">
        <v>299</v>
      </c>
      <c r="X63" s="1397">
        <v>312</v>
      </c>
      <c r="Y63" s="1397">
        <v>315</v>
      </c>
      <c r="Z63" s="1397">
        <v>310</v>
      </c>
      <c r="AA63" s="1398">
        <f>SUM(C63:Z63)</f>
        <v>4609</v>
      </c>
    </row>
    <row r="64" spans="1:27" ht="17.100000000000001" customHeight="1" x14ac:dyDescent="0.2">
      <c r="A64" s="6328" t="s">
        <v>75</v>
      </c>
      <c r="B64" s="2050" t="s">
        <v>11</v>
      </c>
      <c r="C64" s="1397"/>
      <c r="D64" s="1397"/>
      <c r="E64" s="1397">
        <v>141</v>
      </c>
      <c r="F64" s="1397">
        <v>160</v>
      </c>
      <c r="G64" s="1397">
        <v>165</v>
      </c>
      <c r="H64" s="1397">
        <v>168</v>
      </c>
      <c r="I64" s="1397">
        <v>170</v>
      </c>
      <c r="J64" s="1397">
        <v>182</v>
      </c>
      <c r="K64" s="1397">
        <v>183</v>
      </c>
      <c r="L64" s="1397">
        <v>187</v>
      </c>
      <c r="M64" s="1397">
        <v>192</v>
      </c>
      <c r="N64" s="1397">
        <v>201</v>
      </c>
      <c r="O64" s="1397">
        <v>213</v>
      </c>
      <c r="P64" s="1397">
        <v>215</v>
      </c>
      <c r="Q64" s="1397">
        <v>217</v>
      </c>
      <c r="R64" s="1397"/>
      <c r="S64" s="1397"/>
      <c r="T64" s="1397"/>
      <c r="U64" s="1397"/>
      <c r="V64" s="1397"/>
      <c r="W64" s="1397">
        <v>211</v>
      </c>
      <c r="X64" s="1397">
        <v>213</v>
      </c>
      <c r="Y64" s="1397">
        <v>218</v>
      </c>
      <c r="Z64" s="1397">
        <v>218</v>
      </c>
      <c r="AA64" s="1398">
        <f>SUM(C64:Z64)</f>
        <v>3254</v>
      </c>
    </row>
    <row r="65" spans="1:27" ht="17.100000000000001" customHeight="1" x14ac:dyDescent="0.2">
      <c r="A65" s="6329"/>
      <c r="B65" s="2051" t="s">
        <v>160</v>
      </c>
      <c r="C65" s="1399"/>
      <c r="D65" s="1399"/>
      <c r="E65" s="1399">
        <f t="shared" ref="E65:Z65" si="13">SUM(E62:E64)</f>
        <v>514</v>
      </c>
      <c r="F65" s="1399">
        <f t="shared" si="13"/>
        <v>593</v>
      </c>
      <c r="G65" s="1399">
        <f t="shared" si="13"/>
        <v>605</v>
      </c>
      <c r="H65" s="1399">
        <f t="shared" si="13"/>
        <v>632</v>
      </c>
      <c r="I65" s="1399">
        <f t="shared" si="13"/>
        <v>635</v>
      </c>
      <c r="J65" s="1399">
        <f t="shared" si="13"/>
        <v>673</v>
      </c>
      <c r="K65" s="1399">
        <f t="shared" si="13"/>
        <v>699</v>
      </c>
      <c r="L65" s="1399">
        <f t="shared" si="13"/>
        <v>714</v>
      </c>
      <c r="M65" s="1399">
        <f t="shared" si="13"/>
        <v>726</v>
      </c>
      <c r="N65" s="1399">
        <f t="shared" si="13"/>
        <v>731</v>
      </c>
      <c r="O65" s="1399">
        <f t="shared" si="13"/>
        <v>756</v>
      </c>
      <c r="P65" s="1399">
        <f t="shared" si="13"/>
        <v>763</v>
      </c>
      <c r="Q65" s="1399">
        <f t="shared" si="13"/>
        <v>774</v>
      </c>
      <c r="R65" s="1399">
        <f t="shared" si="13"/>
        <v>0</v>
      </c>
      <c r="S65" s="1399">
        <f t="shared" si="13"/>
        <v>0</v>
      </c>
      <c r="T65" s="1399">
        <f t="shared" si="13"/>
        <v>0</v>
      </c>
      <c r="U65" s="1399">
        <f t="shared" si="13"/>
        <v>0</v>
      </c>
      <c r="V65" s="1399">
        <f t="shared" si="13"/>
        <v>0</v>
      </c>
      <c r="W65" s="1399">
        <f t="shared" si="13"/>
        <v>777</v>
      </c>
      <c r="X65" s="1399">
        <f t="shared" si="13"/>
        <v>792</v>
      </c>
      <c r="Y65" s="1399">
        <f t="shared" si="13"/>
        <v>801</v>
      </c>
      <c r="Z65" s="1399">
        <f t="shared" si="13"/>
        <v>795</v>
      </c>
      <c r="AA65" s="1403">
        <f>SUM(AA62:AA64)</f>
        <v>11980</v>
      </c>
    </row>
    <row r="66" spans="1:27" ht="17.100000000000001" customHeight="1" x14ac:dyDescent="0.2">
      <c r="A66" s="6305" t="s">
        <v>326</v>
      </c>
      <c r="B66" s="2049" t="s">
        <v>5</v>
      </c>
      <c r="C66" s="2054"/>
      <c r="D66" s="2054"/>
      <c r="E66" s="2054"/>
      <c r="F66" s="2054"/>
      <c r="G66" s="2054"/>
      <c r="H66" s="2054"/>
      <c r="I66" s="2054"/>
      <c r="J66" s="2054"/>
      <c r="K66" s="2054"/>
      <c r="L66" s="2054"/>
      <c r="M66" s="2054"/>
      <c r="N66" s="2054"/>
      <c r="O66" s="2054"/>
      <c r="P66" s="2054"/>
      <c r="Q66" s="2054"/>
      <c r="R66" s="2054"/>
      <c r="S66" s="2054"/>
      <c r="T66" s="2054"/>
      <c r="U66" s="2054"/>
      <c r="V66" s="2054"/>
      <c r="W66" s="2054"/>
      <c r="X66" s="2054"/>
      <c r="Y66" s="2054">
        <v>1</v>
      </c>
      <c r="Z66" s="2054">
        <v>2</v>
      </c>
      <c r="AA66" s="1396">
        <f>SUM(C66:Z66)</f>
        <v>3</v>
      </c>
    </row>
    <row r="67" spans="1:27" ht="17.100000000000001" customHeight="1" x14ac:dyDescent="0.2">
      <c r="A67" s="6306" t="s">
        <v>75</v>
      </c>
      <c r="B67" s="2050" t="s">
        <v>6</v>
      </c>
      <c r="C67" s="1397"/>
      <c r="D67" s="1397"/>
      <c r="E67" s="1397"/>
      <c r="F67" s="1397"/>
      <c r="G67" s="1397"/>
      <c r="H67" s="1397"/>
      <c r="I67" s="1397"/>
      <c r="J67" s="1397"/>
      <c r="K67" s="1397"/>
      <c r="L67" s="1397"/>
      <c r="M67" s="1397"/>
      <c r="N67" s="1397"/>
      <c r="O67" s="1397"/>
      <c r="P67" s="1397"/>
      <c r="Q67" s="1397"/>
      <c r="R67" s="1397"/>
      <c r="S67" s="1397"/>
      <c r="T67" s="1397"/>
      <c r="U67" s="1397"/>
      <c r="V67" s="1397"/>
      <c r="W67" s="1397"/>
      <c r="X67" s="1397"/>
      <c r="Y67" s="1397"/>
      <c r="Z67" s="1397"/>
      <c r="AA67" s="1398">
        <f>SUM(C67:Z67)</f>
        <v>0</v>
      </c>
    </row>
    <row r="68" spans="1:27" ht="17.100000000000001" customHeight="1" x14ac:dyDescent="0.2">
      <c r="A68" s="6306" t="s">
        <v>75</v>
      </c>
      <c r="B68" s="2050" t="s">
        <v>11</v>
      </c>
      <c r="C68" s="1397"/>
      <c r="D68" s="1397"/>
      <c r="E68" s="1397"/>
      <c r="F68" s="1397"/>
      <c r="G68" s="1397"/>
      <c r="H68" s="1397"/>
      <c r="I68" s="1397"/>
      <c r="J68" s="1397"/>
      <c r="K68" s="1397"/>
      <c r="L68" s="1397"/>
      <c r="M68" s="1397"/>
      <c r="N68" s="1397"/>
      <c r="O68" s="1397"/>
      <c r="P68" s="1397"/>
      <c r="Q68" s="1397"/>
      <c r="R68" s="1397"/>
      <c r="S68" s="1397"/>
      <c r="T68" s="1397"/>
      <c r="U68" s="1397"/>
      <c r="V68" s="1397"/>
      <c r="W68" s="1397"/>
      <c r="X68" s="1397"/>
      <c r="Y68" s="1397">
        <v>2</v>
      </c>
      <c r="Z68" s="1397">
        <v>4</v>
      </c>
      <c r="AA68" s="1398">
        <f>SUM(C68:Z68)</f>
        <v>6</v>
      </c>
    </row>
    <row r="69" spans="1:27" ht="17.100000000000001" customHeight="1" x14ac:dyDescent="0.2">
      <c r="A69" s="6307"/>
      <c r="B69" s="2051" t="s">
        <v>160</v>
      </c>
      <c r="C69" s="1399"/>
      <c r="D69" s="1399"/>
      <c r="E69" s="1399"/>
      <c r="F69" s="1399"/>
      <c r="G69" s="1399"/>
      <c r="H69" s="1399"/>
      <c r="I69" s="1399"/>
      <c r="J69" s="1399"/>
      <c r="K69" s="1399"/>
      <c r="L69" s="1399"/>
      <c r="M69" s="1399"/>
      <c r="N69" s="1399"/>
      <c r="O69" s="1399"/>
      <c r="P69" s="1399"/>
      <c r="Q69" s="1399"/>
      <c r="R69" s="1399"/>
      <c r="S69" s="1399"/>
      <c r="T69" s="1399"/>
      <c r="U69" s="1399"/>
      <c r="V69" s="1399"/>
      <c r="W69" s="1399"/>
      <c r="X69" s="1399">
        <f>SUM(X66:X68)</f>
        <v>0</v>
      </c>
      <c r="Y69" s="1399">
        <f>SUM(Y66:Y68)</f>
        <v>3</v>
      </c>
      <c r="Z69" s="1399">
        <f>SUM(Z66:Z68)</f>
        <v>6</v>
      </c>
      <c r="AA69" s="1403">
        <f>SUM(AA66:AA68)</f>
        <v>9</v>
      </c>
    </row>
    <row r="70" spans="1:27" ht="17.100000000000001" customHeight="1" x14ac:dyDescent="0.2">
      <c r="A70" s="6308" t="s">
        <v>10</v>
      </c>
      <c r="B70" s="2049" t="s">
        <v>6</v>
      </c>
      <c r="C70" s="2054"/>
      <c r="D70" s="2054"/>
      <c r="E70" s="2054">
        <v>167</v>
      </c>
      <c r="F70" s="2054">
        <v>236</v>
      </c>
      <c r="G70" s="2054">
        <v>251</v>
      </c>
      <c r="H70" s="2054">
        <v>267</v>
      </c>
      <c r="I70" s="2054">
        <v>279</v>
      </c>
      <c r="J70" s="2054">
        <v>298</v>
      </c>
      <c r="K70" s="2054">
        <v>308</v>
      </c>
      <c r="L70" s="2054">
        <v>326</v>
      </c>
      <c r="M70" s="2054">
        <v>338</v>
      </c>
      <c r="N70" s="2054">
        <v>348</v>
      </c>
      <c r="O70" s="2054">
        <v>364</v>
      </c>
      <c r="P70" s="2054">
        <v>370</v>
      </c>
      <c r="Q70" s="2054">
        <v>372</v>
      </c>
      <c r="R70" s="2054"/>
      <c r="S70" s="2054"/>
      <c r="T70" s="2054"/>
      <c r="U70" s="2054"/>
      <c r="V70" s="2054"/>
      <c r="W70" s="2054">
        <v>381</v>
      </c>
      <c r="X70" s="2054">
        <v>385</v>
      </c>
      <c r="Y70" s="2054">
        <v>388</v>
      </c>
      <c r="Z70" s="2054">
        <v>391</v>
      </c>
      <c r="AA70" s="1396">
        <f>SUM(C70:Z70)</f>
        <v>5469</v>
      </c>
    </row>
    <row r="71" spans="1:27" ht="17.100000000000001" customHeight="1" x14ac:dyDescent="0.2">
      <c r="A71" s="6309" t="s">
        <v>10</v>
      </c>
      <c r="B71" s="2050" t="s">
        <v>11</v>
      </c>
      <c r="C71" s="1397"/>
      <c r="D71" s="1397"/>
      <c r="E71" s="1397">
        <v>168</v>
      </c>
      <c r="F71" s="1397">
        <v>218</v>
      </c>
      <c r="G71" s="1397">
        <v>237</v>
      </c>
      <c r="H71" s="1397">
        <v>294</v>
      </c>
      <c r="I71" s="1397">
        <v>325</v>
      </c>
      <c r="J71" s="1397">
        <v>345</v>
      </c>
      <c r="K71" s="1397">
        <v>358</v>
      </c>
      <c r="L71" s="1397">
        <v>364</v>
      </c>
      <c r="M71" s="1397">
        <v>376</v>
      </c>
      <c r="N71" s="1397">
        <v>366</v>
      </c>
      <c r="O71" s="1397">
        <v>370</v>
      </c>
      <c r="P71" s="1397">
        <v>369</v>
      </c>
      <c r="Q71" s="1397">
        <v>375</v>
      </c>
      <c r="R71" s="1397"/>
      <c r="S71" s="1397"/>
      <c r="T71" s="1397"/>
      <c r="U71" s="1397"/>
      <c r="V71" s="1397"/>
      <c r="W71" s="1397">
        <v>349</v>
      </c>
      <c r="X71" s="1397">
        <v>359</v>
      </c>
      <c r="Y71" s="1397">
        <v>366</v>
      </c>
      <c r="Z71" s="1397">
        <v>366</v>
      </c>
      <c r="AA71" s="1398">
        <f>SUM(C71:Z71)</f>
        <v>5605</v>
      </c>
    </row>
    <row r="72" spans="1:27" ht="17.100000000000001" customHeight="1" x14ac:dyDescent="0.2">
      <c r="A72" s="6309" t="s">
        <v>10</v>
      </c>
      <c r="B72" s="2050" t="s">
        <v>7</v>
      </c>
      <c r="C72" s="1397"/>
      <c r="D72" s="1397"/>
      <c r="E72" s="1397">
        <v>80</v>
      </c>
      <c r="F72" s="1397">
        <v>106</v>
      </c>
      <c r="G72" s="1397">
        <v>110</v>
      </c>
      <c r="H72" s="1397">
        <v>136</v>
      </c>
      <c r="I72" s="1397">
        <v>145</v>
      </c>
      <c r="J72" s="1397">
        <v>157</v>
      </c>
      <c r="K72" s="1397">
        <v>164</v>
      </c>
      <c r="L72" s="1397">
        <v>168</v>
      </c>
      <c r="M72" s="1397">
        <v>168</v>
      </c>
      <c r="N72" s="1397">
        <v>163</v>
      </c>
      <c r="O72" s="1397">
        <v>164</v>
      </c>
      <c r="P72" s="1397">
        <v>169</v>
      </c>
      <c r="Q72" s="1397">
        <v>176</v>
      </c>
      <c r="R72" s="1397"/>
      <c r="S72" s="1397"/>
      <c r="T72" s="1397"/>
      <c r="U72" s="1397"/>
      <c r="V72" s="1397"/>
      <c r="W72" s="1397">
        <v>162</v>
      </c>
      <c r="X72" s="1397">
        <v>158</v>
      </c>
      <c r="Y72" s="1397">
        <v>172</v>
      </c>
      <c r="Z72" s="1397">
        <v>171</v>
      </c>
      <c r="AA72" s="1398">
        <f>SUM(C72:Z72)</f>
        <v>2569</v>
      </c>
    </row>
    <row r="73" spans="1:27" ht="17.100000000000001" customHeight="1" x14ac:dyDescent="0.2">
      <c r="A73" s="6310" t="s">
        <v>10</v>
      </c>
      <c r="B73" s="2051" t="s">
        <v>160</v>
      </c>
      <c r="C73" s="1399"/>
      <c r="D73" s="1399"/>
      <c r="E73" s="1399">
        <f t="shared" ref="E73:Z73" si="14">SUM(E70:E72)</f>
        <v>415</v>
      </c>
      <c r="F73" s="1399">
        <f t="shared" si="14"/>
        <v>560</v>
      </c>
      <c r="G73" s="1399">
        <f t="shared" si="14"/>
        <v>598</v>
      </c>
      <c r="H73" s="1399">
        <f t="shared" si="14"/>
        <v>697</v>
      </c>
      <c r="I73" s="1399">
        <f t="shared" si="14"/>
        <v>749</v>
      </c>
      <c r="J73" s="1399">
        <f t="shared" si="14"/>
        <v>800</v>
      </c>
      <c r="K73" s="1399">
        <f t="shared" si="14"/>
        <v>830</v>
      </c>
      <c r="L73" s="1399">
        <f t="shared" si="14"/>
        <v>858</v>
      </c>
      <c r="M73" s="1399">
        <f t="shared" si="14"/>
        <v>882</v>
      </c>
      <c r="N73" s="1399">
        <f t="shared" si="14"/>
        <v>877</v>
      </c>
      <c r="O73" s="1399">
        <f t="shared" si="14"/>
        <v>898</v>
      </c>
      <c r="P73" s="1399">
        <f t="shared" si="14"/>
        <v>908</v>
      </c>
      <c r="Q73" s="1399">
        <f t="shared" si="14"/>
        <v>923</v>
      </c>
      <c r="R73" s="1399">
        <f t="shared" si="14"/>
        <v>0</v>
      </c>
      <c r="S73" s="1399">
        <f t="shared" si="14"/>
        <v>0</v>
      </c>
      <c r="T73" s="1399">
        <f t="shared" si="14"/>
        <v>0</v>
      </c>
      <c r="U73" s="1399">
        <f t="shared" si="14"/>
        <v>0</v>
      </c>
      <c r="V73" s="1399">
        <f t="shared" si="14"/>
        <v>0</v>
      </c>
      <c r="W73" s="1399">
        <f t="shared" si="14"/>
        <v>892</v>
      </c>
      <c r="X73" s="1399">
        <f t="shared" si="14"/>
        <v>902</v>
      </c>
      <c r="Y73" s="1399">
        <f t="shared" si="14"/>
        <v>926</v>
      </c>
      <c r="Z73" s="1399">
        <f t="shared" si="14"/>
        <v>928</v>
      </c>
      <c r="AA73" s="1403">
        <f>SUM(AA70:AA72)</f>
        <v>13643</v>
      </c>
    </row>
    <row r="74" spans="1:27" ht="17.100000000000001" customHeight="1" x14ac:dyDescent="0.2">
      <c r="A74" s="6311" t="s">
        <v>586</v>
      </c>
      <c r="B74" s="6312"/>
      <c r="C74" s="2055"/>
      <c r="D74" s="1400"/>
      <c r="E74" s="1400">
        <f t="shared" ref="E74:V74" si="15">SUM(E57,E61,E65,E73)</f>
        <v>1276</v>
      </c>
      <c r="F74" s="1400">
        <f t="shared" si="15"/>
        <v>1613</v>
      </c>
      <c r="G74" s="1400">
        <f t="shared" si="15"/>
        <v>1709</v>
      </c>
      <c r="H74" s="1400">
        <f t="shared" si="15"/>
        <v>1912</v>
      </c>
      <c r="I74" s="1400">
        <f t="shared" si="15"/>
        <v>2001</v>
      </c>
      <c r="J74" s="1400">
        <f t="shared" si="15"/>
        <v>2122</v>
      </c>
      <c r="K74" s="1400">
        <f t="shared" si="15"/>
        <v>2197</v>
      </c>
      <c r="L74" s="1400">
        <f t="shared" si="15"/>
        <v>2263</v>
      </c>
      <c r="M74" s="1400">
        <f t="shared" si="15"/>
        <v>2332</v>
      </c>
      <c r="N74" s="1400">
        <f t="shared" si="15"/>
        <v>2341</v>
      </c>
      <c r="O74" s="1400">
        <f t="shared" si="15"/>
        <v>2416</v>
      </c>
      <c r="P74" s="1400">
        <f t="shared" si="15"/>
        <v>2454</v>
      </c>
      <c r="Q74" s="1400">
        <f t="shared" si="15"/>
        <v>2496</v>
      </c>
      <c r="R74" s="1400">
        <f t="shared" si="15"/>
        <v>0</v>
      </c>
      <c r="S74" s="1400">
        <f t="shared" si="15"/>
        <v>0</v>
      </c>
      <c r="T74" s="1400">
        <f t="shared" si="15"/>
        <v>0</v>
      </c>
      <c r="U74" s="1400">
        <f t="shared" si="15"/>
        <v>0</v>
      </c>
      <c r="V74" s="1400">
        <f t="shared" si="15"/>
        <v>0</v>
      </c>
      <c r="W74" s="1400">
        <f>SUM(W57,W61,W65,W73)</f>
        <v>2598</v>
      </c>
      <c r="X74" s="1400">
        <f>SUM(X57,X61,X65,X73)</f>
        <v>2669</v>
      </c>
      <c r="Y74" s="1400">
        <f>SUM(Y57,Y61,Y65,Y69,Y73)</f>
        <v>2743</v>
      </c>
      <c r="Z74" s="1400">
        <f>SUM(Z57,Z61,Z65,Z69,Z73)</f>
        <v>2761</v>
      </c>
      <c r="AA74" s="1401">
        <f>SUM(AA57,AA61,AA65,AA69,AA73)</f>
        <v>37903</v>
      </c>
    </row>
    <row r="75" spans="1:27" ht="17.100000000000001" customHeight="1" x14ac:dyDescent="0.2">
      <c r="A75" s="1402"/>
      <c r="B75" s="1402"/>
      <c r="C75" s="1402"/>
      <c r="D75" s="1402"/>
      <c r="E75" s="1402"/>
      <c r="F75" s="1402"/>
      <c r="G75" s="1402"/>
      <c r="H75" s="1402"/>
      <c r="I75" s="1402"/>
      <c r="J75" s="1402"/>
      <c r="K75" s="1402"/>
      <c r="L75" s="1402"/>
      <c r="M75" s="1402"/>
      <c r="N75" s="1402"/>
      <c r="O75" s="1402"/>
      <c r="P75" s="1402"/>
      <c r="Q75" s="1402"/>
      <c r="R75" s="1402"/>
      <c r="S75" s="1402"/>
      <c r="T75" s="1402"/>
      <c r="U75" s="1402"/>
      <c r="V75" s="1402"/>
      <c r="W75" s="1402"/>
      <c r="X75" s="1402"/>
      <c r="Y75" s="1402"/>
      <c r="Z75" s="1402"/>
      <c r="AA75" s="1402"/>
    </row>
    <row r="76" spans="1:27" ht="17.100000000000001" customHeight="1" x14ac:dyDescent="0.2">
      <c r="A76" s="6313" t="s">
        <v>16</v>
      </c>
      <c r="B76" s="6315" t="s">
        <v>356</v>
      </c>
      <c r="C76" s="6317" t="s">
        <v>590</v>
      </c>
      <c r="D76" s="6318"/>
      <c r="E76" s="6318"/>
      <c r="F76" s="6318"/>
      <c r="G76" s="6318"/>
      <c r="H76" s="6318"/>
      <c r="I76" s="6318"/>
      <c r="J76" s="6318"/>
      <c r="K76" s="6318"/>
      <c r="L76" s="6318"/>
      <c r="M76" s="6318"/>
      <c r="N76" s="6318"/>
      <c r="O76" s="6318"/>
      <c r="P76" s="6318"/>
      <c r="Q76" s="6318"/>
      <c r="R76" s="6318"/>
      <c r="S76" s="6318"/>
      <c r="T76" s="6318"/>
      <c r="U76" s="6318"/>
      <c r="V76" s="6318"/>
      <c r="W76" s="6318"/>
      <c r="X76" s="6318"/>
      <c r="Y76" s="6318"/>
      <c r="Z76" s="6319"/>
      <c r="AA76" s="6320"/>
    </row>
    <row r="77" spans="1:27" ht="17.100000000000001" customHeight="1" x14ac:dyDescent="0.2">
      <c r="A77" s="6314"/>
      <c r="B77" s="6316"/>
      <c r="C77" s="1393">
        <v>1990</v>
      </c>
      <c r="D77" s="1394">
        <v>1991</v>
      </c>
      <c r="E77" s="1394">
        <v>1992</v>
      </c>
      <c r="F77" s="1394">
        <v>1993</v>
      </c>
      <c r="G77" s="1394">
        <v>1994</v>
      </c>
      <c r="H77" s="1394">
        <v>1995</v>
      </c>
      <c r="I77" s="1394">
        <v>1996</v>
      </c>
      <c r="J77" s="1394">
        <v>1997</v>
      </c>
      <c r="K77" s="1394">
        <v>1998</v>
      </c>
      <c r="L77" s="1394">
        <v>1999</v>
      </c>
      <c r="M77" s="1394">
        <v>2000</v>
      </c>
      <c r="N77" s="1394">
        <v>2001</v>
      </c>
      <c r="O77" s="1394">
        <v>2002</v>
      </c>
      <c r="P77" s="1394">
        <v>2003</v>
      </c>
      <c r="Q77" s="1394">
        <v>2004</v>
      </c>
      <c r="R77" s="1394">
        <v>2005</v>
      </c>
      <c r="S77" s="1394">
        <v>2006</v>
      </c>
      <c r="T77" s="1394">
        <v>2007</v>
      </c>
      <c r="U77" s="1394">
        <v>2008</v>
      </c>
      <c r="V77" s="1394">
        <v>2009</v>
      </c>
      <c r="W77" s="1394">
        <v>2010</v>
      </c>
      <c r="X77" s="1394">
        <v>2011</v>
      </c>
      <c r="Y77" s="1394">
        <v>2012</v>
      </c>
      <c r="Z77" s="1395">
        <v>2013</v>
      </c>
      <c r="AA77" s="1405" t="s">
        <v>160</v>
      </c>
    </row>
    <row r="78" spans="1:27" ht="17.100000000000001" customHeight="1" x14ac:dyDescent="0.2">
      <c r="A78" s="6321" t="s">
        <v>3</v>
      </c>
      <c r="B78" s="2049" t="s">
        <v>5</v>
      </c>
      <c r="C78" s="2054"/>
      <c r="D78" s="2054"/>
      <c r="E78" s="2054"/>
      <c r="F78" s="2054"/>
      <c r="G78" s="2054"/>
      <c r="H78" s="2054">
        <v>202</v>
      </c>
      <c r="I78" s="2054">
        <v>221</v>
      </c>
      <c r="J78" s="2054">
        <v>230</v>
      </c>
      <c r="K78" s="2054">
        <v>236</v>
      </c>
      <c r="L78" s="2054">
        <v>237</v>
      </c>
      <c r="M78" s="2054">
        <v>256</v>
      </c>
      <c r="N78" s="2054">
        <v>258</v>
      </c>
      <c r="O78" s="2054">
        <v>266</v>
      </c>
      <c r="P78" s="2054">
        <v>206</v>
      </c>
      <c r="Q78" s="2054">
        <v>215</v>
      </c>
      <c r="R78" s="2054"/>
      <c r="S78" s="2054"/>
      <c r="T78" s="2054"/>
      <c r="U78" s="2054"/>
      <c r="V78" s="2054"/>
      <c r="W78" s="2054">
        <v>254</v>
      </c>
      <c r="X78" s="2054">
        <v>271</v>
      </c>
      <c r="Y78" s="2054">
        <v>278</v>
      </c>
      <c r="Z78" s="1397">
        <v>287</v>
      </c>
      <c r="AA78" s="1396">
        <f>SUM(C78:Z78)</f>
        <v>3417</v>
      </c>
    </row>
    <row r="79" spans="1:27" ht="17.100000000000001" customHeight="1" x14ac:dyDescent="0.2">
      <c r="A79" s="6322"/>
      <c r="B79" s="2050" t="s">
        <v>6</v>
      </c>
      <c r="C79" s="1397"/>
      <c r="D79" s="1397"/>
      <c r="E79" s="1397"/>
      <c r="F79" s="1397"/>
      <c r="G79" s="1397"/>
      <c r="H79" s="1397">
        <v>206</v>
      </c>
      <c r="I79" s="1397">
        <v>212</v>
      </c>
      <c r="J79" s="1397">
        <v>213</v>
      </c>
      <c r="K79" s="1397">
        <v>217</v>
      </c>
      <c r="L79" s="1397">
        <v>219</v>
      </c>
      <c r="M79" s="1397">
        <v>221</v>
      </c>
      <c r="N79" s="1397">
        <v>238</v>
      </c>
      <c r="O79" s="1397">
        <v>241</v>
      </c>
      <c r="P79" s="1397">
        <v>168</v>
      </c>
      <c r="Q79" s="1397">
        <v>178</v>
      </c>
      <c r="R79" s="1397"/>
      <c r="S79" s="1397"/>
      <c r="T79" s="1397"/>
      <c r="U79" s="1397"/>
      <c r="V79" s="1397"/>
      <c r="W79" s="1397">
        <v>203</v>
      </c>
      <c r="X79" s="1397">
        <v>216</v>
      </c>
      <c r="Y79" s="1397">
        <v>228</v>
      </c>
      <c r="Z79" s="1397">
        <v>229</v>
      </c>
      <c r="AA79" s="1398">
        <f>SUM(C79:Z79)</f>
        <v>2989</v>
      </c>
    </row>
    <row r="80" spans="1:27" ht="17.100000000000001" customHeight="1" x14ac:dyDescent="0.2">
      <c r="A80" s="6322"/>
      <c r="B80" s="2050" t="s">
        <v>7</v>
      </c>
      <c r="C80" s="1397"/>
      <c r="D80" s="1397"/>
      <c r="E80" s="1397"/>
      <c r="F80" s="1397"/>
      <c r="G80" s="1397"/>
      <c r="H80" s="1397">
        <v>133</v>
      </c>
      <c r="I80" s="1397">
        <v>133</v>
      </c>
      <c r="J80" s="1397">
        <v>135</v>
      </c>
      <c r="K80" s="1397">
        <v>143</v>
      </c>
      <c r="L80" s="1397">
        <v>143</v>
      </c>
      <c r="M80" s="1397">
        <v>147</v>
      </c>
      <c r="N80" s="1397">
        <v>145</v>
      </c>
      <c r="O80" s="1397">
        <v>148</v>
      </c>
      <c r="P80" s="1397">
        <v>82</v>
      </c>
      <c r="Q80" s="1397">
        <v>86</v>
      </c>
      <c r="R80" s="1397"/>
      <c r="S80" s="1397"/>
      <c r="T80" s="1397"/>
      <c r="U80" s="1397"/>
      <c r="V80" s="1397"/>
      <c r="W80" s="1397">
        <v>115</v>
      </c>
      <c r="X80" s="1397">
        <v>127</v>
      </c>
      <c r="Y80" s="1397">
        <v>134</v>
      </c>
      <c r="Z80" s="1397">
        <v>136</v>
      </c>
      <c r="AA80" s="1398">
        <f>SUM(C80:Z80)</f>
        <v>1807</v>
      </c>
    </row>
    <row r="81" spans="1:27" ht="17.100000000000001" customHeight="1" x14ac:dyDescent="0.2">
      <c r="A81" s="6323"/>
      <c r="B81" s="2051" t="s">
        <v>160</v>
      </c>
      <c r="C81" s="1399"/>
      <c r="D81" s="1399"/>
      <c r="E81" s="1399"/>
      <c r="F81" s="1399"/>
      <c r="G81" s="1399"/>
      <c r="H81" s="1399">
        <f t="shared" ref="H81:V81" si="16">SUM(H78:H80)</f>
        <v>541</v>
      </c>
      <c r="I81" s="1399">
        <f t="shared" si="16"/>
        <v>566</v>
      </c>
      <c r="J81" s="1399">
        <f t="shared" si="16"/>
        <v>578</v>
      </c>
      <c r="K81" s="1399">
        <f t="shared" si="16"/>
        <v>596</v>
      </c>
      <c r="L81" s="1399">
        <f t="shared" si="16"/>
        <v>599</v>
      </c>
      <c r="M81" s="1399">
        <f t="shared" si="16"/>
        <v>624</v>
      </c>
      <c r="N81" s="1399">
        <f t="shared" si="16"/>
        <v>641</v>
      </c>
      <c r="O81" s="1399">
        <f t="shared" si="16"/>
        <v>655</v>
      </c>
      <c r="P81" s="1399">
        <f t="shared" si="16"/>
        <v>456</v>
      </c>
      <c r="Q81" s="1399">
        <f t="shared" si="16"/>
        <v>479</v>
      </c>
      <c r="R81" s="1399">
        <f t="shared" si="16"/>
        <v>0</v>
      </c>
      <c r="S81" s="1399">
        <f t="shared" si="16"/>
        <v>0</v>
      </c>
      <c r="T81" s="1399">
        <f t="shared" si="16"/>
        <v>0</v>
      </c>
      <c r="U81" s="1399">
        <f t="shared" si="16"/>
        <v>0</v>
      </c>
      <c r="V81" s="1399">
        <f t="shared" si="16"/>
        <v>0</v>
      </c>
      <c r="W81" s="1399">
        <f>SUM(W78:W80)</f>
        <v>572</v>
      </c>
      <c r="X81" s="1399">
        <f>SUM(X78:X80)</f>
        <v>614</v>
      </c>
      <c r="Y81" s="1399">
        <f>SUM(Y78:Y80)</f>
        <v>640</v>
      </c>
      <c r="Z81" s="1399">
        <f>SUM(Z78:Z80)</f>
        <v>652</v>
      </c>
      <c r="AA81" s="1403">
        <f>SUM(AA78:AA80)</f>
        <v>8213</v>
      </c>
    </row>
    <row r="82" spans="1:27" ht="17.100000000000001" customHeight="1" x14ac:dyDescent="0.2">
      <c r="A82" s="6324" t="s">
        <v>8</v>
      </c>
      <c r="B82" s="2049" t="s">
        <v>6</v>
      </c>
      <c r="C82" s="2054"/>
      <c r="D82" s="2054"/>
      <c r="E82" s="2054"/>
      <c r="F82" s="2054"/>
      <c r="G82" s="2054"/>
      <c r="H82" s="2054"/>
      <c r="I82" s="2054"/>
      <c r="J82" s="2054"/>
      <c r="K82" s="2054"/>
      <c r="L82" s="2054"/>
      <c r="M82" s="2054"/>
      <c r="N82" s="2054"/>
      <c r="O82" s="2054"/>
      <c r="P82" s="2054"/>
      <c r="Q82" s="2054"/>
      <c r="R82" s="2054"/>
      <c r="S82" s="2054"/>
      <c r="T82" s="2054"/>
      <c r="U82" s="2054"/>
      <c r="V82" s="2054"/>
      <c r="W82" s="2054">
        <v>46</v>
      </c>
      <c r="X82" s="2054">
        <v>47</v>
      </c>
      <c r="Y82" s="2054">
        <v>52</v>
      </c>
      <c r="Z82" s="2054">
        <v>51</v>
      </c>
      <c r="AA82" s="1396">
        <f>SUM(C82:Z82)</f>
        <v>196</v>
      </c>
    </row>
    <row r="83" spans="1:27" ht="17.100000000000001" customHeight="1" x14ac:dyDescent="0.2">
      <c r="A83" s="6325"/>
      <c r="B83" s="2050" t="s">
        <v>9</v>
      </c>
      <c r="C83" s="1397"/>
      <c r="D83" s="1397"/>
      <c r="E83" s="1397"/>
      <c r="F83" s="1397"/>
      <c r="G83" s="1397"/>
      <c r="H83" s="1397"/>
      <c r="I83" s="1397"/>
      <c r="J83" s="1397"/>
      <c r="K83" s="1397"/>
      <c r="L83" s="1397"/>
      <c r="M83" s="1397"/>
      <c r="N83" s="1397"/>
      <c r="O83" s="1397"/>
      <c r="P83" s="1397"/>
      <c r="Q83" s="1397"/>
      <c r="R83" s="1397"/>
      <c r="S83" s="1397"/>
      <c r="T83" s="1397"/>
      <c r="U83" s="1397"/>
      <c r="V83" s="1397"/>
      <c r="W83" s="1397">
        <v>36</v>
      </c>
      <c r="X83" s="1397">
        <v>42</v>
      </c>
      <c r="Y83" s="1397">
        <v>47</v>
      </c>
      <c r="Z83" s="1397">
        <v>47</v>
      </c>
      <c r="AA83" s="1398">
        <f>SUM(C83:Z83)</f>
        <v>172</v>
      </c>
    </row>
    <row r="84" spans="1:27" ht="17.100000000000001" customHeight="1" x14ac:dyDescent="0.2">
      <c r="A84" s="6325"/>
      <c r="B84" s="2050" t="s">
        <v>74</v>
      </c>
      <c r="C84" s="1397"/>
      <c r="D84" s="1397"/>
      <c r="E84" s="1397"/>
      <c r="F84" s="1397"/>
      <c r="G84" s="1397"/>
      <c r="H84" s="1397"/>
      <c r="I84" s="1397"/>
      <c r="J84" s="1397"/>
      <c r="K84" s="1397"/>
      <c r="L84" s="1397"/>
      <c r="M84" s="1397"/>
      <c r="N84" s="1397"/>
      <c r="O84" s="1397"/>
      <c r="P84" s="1397"/>
      <c r="Q84" s="1397"/>
      <c r="R84" s="1397"/>
      <c r="S84" s="1397"/>
      <c r="T84" s="1397"/>
      <c r="U84" s="1397"/>
      <c r="V84" s="1397"/>
      <c r="W84" s="1397">
        <v>28</v>
      </c>
      <c r="X84" s="1397">
        <v>42</v>
      </c>
      <c r="Y84" s="1397">
        <v>45</v>
      </c>
      <c r="Z84" s="1397">
        <v>49</v>
      </c>
      <c r="AA84" s="1398">
        <f>SUM(C84:Z84)</f>
        <v>164</v>
      </c>
    </row>
    <row r="85" spans="1:27" ht="17.100000000000001" customHeight="1" x14ac:dyDescent="0.2">
      <c r="A85" s="6326"/>
      <c r="B85" s="2051" t="s">
        <v>160</v>
      </c>
      <c r="C85" s="1399"/>
      <c r="D85" s="1399"/>
      <c r="E85" s="1399"/>
      <c r="F85" s="1399"/>
      <c r="G85" s="1399"/>
      <c r="H85" s="1399"/>
      <c r="I85" s="1399"/>
      <c r="J85" s="1399"/>
      <c r="K85" s="1399"/>
      <c r="L85" s="1399"/>
      <c r="M85" s="1399"/>
      <c r="N85" s="1399"/>
      <c r="O85" s="1399"/>
      <c r="P85" s="1399"/>
      <c r="Q85" s="1399"/>
      <c r="R85" s="1399">
        <f t="shared" ref="R85:AA85" si="17">SUM(R82:R84)</f>
        <v>0</v>
      </c>
      <c r="S85" s="1399">
        <f t="shared" si="17"/>
        <v>0</v>
      </c>
      <c r="T85" s="1399">
        <f t="shared" si="17"/>
        <v>0</v>
      </c>
      <c r="U85" s="1399">
        <f t="shared" si="17"/>
        <v>0</v>
      </c>
      <c r="V85" s="1399">
        <f t="shared" si="17"/>
        <v>0</v>
      </c>
      <c r="W85" s="1399">
        <f t="shared" si="17"/>
        <v>110</v>
      </c>
      <c r="X85" s="1399">
        <f t="shared" si="17"/>
        <v>131</v>
      </c>
      <c r="Y85" s="1399">
        <f t="shared" si="17"/>
        <v>144</v>
      </c>
      <c r="Z85" s="1399">
        <f t="shared" si="17"/>
        <v>147</v>
      </c>
      <c r="AA85" s="1403">
        <f t="shared" si="17"/>
        <v>532</v>
      </c>
    </row>
    <row r="86" spans="1:27" ht="17.100000000000001" customHeight="1" x14ac:dyDescent="0.2">
      <c r="A86" s="6327" t="s">
        <v>75</v>
      </c>
      <c r="B86" s="2049" t="s">
        <v>5</v>
      </c>
      <c r="C86" s="2054"/>
      <c r="D86" s="2054"/>
      <c r="E86" s="2054"/>
      <c r="F86" s="2054"/>
      <c r="G86" s="2054"/>
      <c r="H86" s="2054">
        <v>232</v>
      </c>
      <c r="I86" s="2054">
        <v>233</v>
      </c>
      <c r="J86" s="2054">
        <v>230</v>
      </c>
      <c r="K86" s="2054">
        <v>242</v>
      </c>
      <c r="L86" s="2054">
        <v>246</v>
      </c>
      <c r="M86" s="2054">
        <v>244</v>
      </c>
      <c r="N86" s="2054">
        <v>243</v>
      </c>
      <c r="O86" s="2054">
        <v>252</v>
      </c>
      <c r="P86" s="2054">
        <v>237</v>
      </c>
      <c r="Q86" s="2054">
        <v>243</v>
      </c>
      <c r="R86" s="2054"/>
      <c r="S86" s="2054"/>
      <c r="T86" s="2054"/>
      <c r="U86" s="2054"/>
      <c r="V86" s="2054"/>
      <c r="W86" s="2054">
        <v>255</v>
      </c>
      <c r="X86" s="2054">
        <v>256</v>
      </c>
      <c r="Y86" s="2054">
        <v>259</v>
      </c>
      <c r="Z86" s="2054">
        <v>261</v>
      </c>
      <c r="AA86" s="1396">
        <f>SUM(C86:Z86)</f>
        <v>3433</v>
      </c>
    </row>
    <row r="87" spans="1:27" ht="17.100000000000001" customHeight="1" x14ac:dyDescent="0.2">
      <c r="A87" s="6328" t="s">
        <v>75</v>
      </c>
      <c r="B87" s="2050" t="s">
        <v>6</v>
      </c>
      <c r="C87" s="1397"/>
      <c r="D87" s="1397"/>
      <c r="E87" s="1397"/>
      <c r="F87" s="1397"/>
      <c r="G87" s="1397"/>
      <c r="H87" s="1397">
        <v>233</v>
      </c>
      <c r="I87" s="1397">
        <v>234</v>
      </c>
      <c r="J87" s="1397">
        <v>244</v>
      </c>
      <c r="K87" s="1397">
        <v>265</v>
      </c>
      <c r="L87" s="1397">
        <v>270</v>
      </c>
      <c r="M87" s="1397">
        <v>274</v>
      </c>
      <c r="N87" s="1397">
        <v>274</v>
      </c>
      <c r="O87" s="1397">
        <v>281</v>
      </c>
      <c r="P87" s="1397">
        <v>222</v>
      </c>
      <c r="Q87" s="1397">
        <v>228</v>
      </c>
      <c r="R87" s="1397"/>
      <c r="S87" s="1397"/>
      <c r="T87" s="1397"/>
      <c r="U87" s="1397"/>
      <c r="V87" s="1397"/>
      <c r="W87" s="1397">
        <v>255</v>
      </c>
      <c r="X87" s="1397">
        <v>261</v>
      </c>
      <c r="Y87" s="1397">
        <v>262</v>
      </c>
      <c r="Z87" s="1397">
        <v>261</v>
      </c>
      <c r="AA87" s="1398">
        <f>SUM(C87:Z87)</f>
        <v>3564</v>
      </c>
    </row>
    <row r="88" spans="1:27" ht="17.100000000000001" customHeight="1" x14ac:dyDescent="0.2">
      <c r="A88" s="6328" t="s">
        <v>75</v>
      </c>
      <c r="B88" s="2050" t="s">
        <v>11</v>
      </c>
      <c r="C88" s="1397"/>
      <c r="D88" s="1397"/>
      <c r="E88" s="1397"/>
      <c r="F88" s="1397"/>
      <c r="G88" s="1397"/>
      <c r="H88" s="1397">
        <v>167</v>
      </c>
      <c r="I88" s="1397">
        <v>175</v>
      </c>
      <c r="J88" s="1397">
        <v>183</v>
      </c>
      <c r="K88" s="1397">
        <v>187</v>
      </c>
      <c r="L88" s="1397">
        <v>190</v>
      </c>
      <c r="M88" s="1397">
        <v>194</v>
      </c>
      <c r="N88" s="1397">
        <v>194</v>
      </c>
      <c r="O88" s="1397">
        <v>204</v>
      </c>
      <c r="P88" s="1397">
        <v>173</v>
      </c>
      <c r="Q88" s="1397">
        <v>175</v>
      </c>
      <c r="R88" s="1397"/>
      <c r="S88" s="1397"/>
      <c r="T88" s="1397"/>
      <c r="U88" s="1397"/>
      <c r="V88" s="1397"/>
      <c r="W88" s="1397">
        <v>188</v>
      </c>
      <c r="X88" s="1397">
        <v>193</v>
      </c>
      <c r="Y88" s="1397">
        <v>193</v>
      </c>
      <c r="Z88" s="1397">
        <v>190</v>
      </c>
      <c r="AA88" s="1398">
        <f>SUM(C88:Z88)</f>
        <v>2606</v>
      </c>
    </row>
    <row r="89" spans="1:27" ht="17.100000000000001" customHeight="1" x14ac:dyDescent="0.2">
      <c r="A89" s="6329"/>
      <c r="B89" s="2051" t="s">
        <v>160</v>
      </c>
      <c r="C89" s="1399"/>
      <c r="D89" s="1399"/>
      <c r="E89" s="1399"/>
      <c r="F89" s="1399"/>
      <c r="G89" s="1399"/>
      <c r="H89" s="1399">
        <f t="shared" ref="H89:V89" si="18">SUM(H86:H88)</f>
        <v>632</v>
      </c>
      <c r="I89" s="1399">
        <f t="shared" si="18"/>
        <v>642</v>
      </c>
      <c r="J89" s="1399">
        <f t="shared" si="18"/>
        <v>657</v>
      </c>
      <c r="K89" s="1399">
        <f t="shared" si="18"/>
        <v>694</v>
      </c>
      <c r="L89" s="1399">
        <f t="shared" si="18"/>
        <v>706</v>
      </c>
      <c r="M89" s="1399">
        <f t="shared" si="18"/>
        <v>712</v>
      </c>
      <c r="N89" s="1399">
        <f t="shared" si="18"/>
        <v>711</v>
      </c>
      <c r="O89" s="1399">
        <f t="shared" si="18"/>
        <v>737</v>
      </c>
      <c r="P89" s="1399">
        <f t="shared" si="18"/>
        <v>632</v>
      </c>
      <c r="Q89" s="1399">
        <f t="shared" si="18"/>
        <v>646</v>
      </c>
      <c r="R89" s="1399">
        <f t="shared" si="18"/>
        <v>0</v>
      </c>
      <c r="S89" s="1399">
        <f t="shared" si="18"/>
        <v>0</v>
      </c>
      <c r="T89" s="1399">
        <f t="shared" si="18"/>
        <v>0</v>
      </c>
      <c r="U89" s="1399">
        <f t="shared" si="18"/>
        <v>0</v>
      </c>
      <c r="V89" s="1399">
        <f t="shared" si="18"/>
        <v>0</v>
      </c>
      <c r="W89" s="1399">
        <f>SUM(W86:W88)</f>
        <v>698</v>
      </c>
      <c r="X89" s="1399">
        <f>SUM(X86:X88)</f>
        <v>710</v>
      </c>
      <c r="Y89" s="1399">
        <f>SUM(Y86:Y88)</f>
        <v>714</v>
      </c>
      <c r="Z89" s="1399">
        <f>SUM(Z86:Z88)</f>
        <v>712</v>
      </c>
      <c r="AA89" s="1403">
        <f>SUM(AA86:AA88)</f>
        <v>9603</v>
      </c>
    </row>
    <row r="90" spans="1:27" ht="17.100000000000001" customHeight="1" x14ac:dyDescent="0.2">
      <c r="A90" s="6305" t="s">
        <v>326</v>
      </c>
      <c r="B90" s="2049" t="s">
        <v>5</v>
      </c>
      <c r="C90" s="2054"/>
      <c r="D90" s="2054"/>
      <c r="E90" s="2054"/>
      <c r="F90" s="2054"/>
      <c r="G90" s="2054"/>
      <c r="H90" s="2054"/>
      <c r="I90" s="2054"/>
      <c r="J90" s="2054"/>
      <c r="K90" s="2054"/>
      <c r="L90" s="2054"/>
      <c r="M90" s="2054"/>
      <c r="N90" s="2054"/>
      <c r="O90" s="2054"/>
      <c r="P90" s="2054"/>
      <c r="Q90" s="2054"/>
      <c r="R90" s="2054"/>
      <c r="S90" s="2054"/>
      <c r="T90" s="2054"/>
      <c r="U90" s="2054"/>
      <c r="V90" s="2054"/>
      <c r="W90" s="2054"/>
      <c r="X90" s="2054">
        <v>2</v>
      </c>
      <c r="Y90" s="2054">
        <v>3</v>
      </c>
      <c r="Z90" s="2054">
        <v>6</v>
      </c>
      <c r="AA90" s="1396">
        <f>SUM(C90:Z90)</f>
        <v>11</v>
      </c>
    </row>
    <row r="91" spans="1:27" ht="17.100000000000001" customHeight="1" x14ac:dyDescent="0.2">
      <c r="A91" s="6306" t="s">
        <v>75</v>
      </c>
      <c r="B91" s="2050" t="s">
        <v>6</v>
      </c>
      <c r="C91" s="1397"/>
      <c r="D91" s="1397"/>
      <c r="E91" s="1397"/>
      <c r="F91" s="1397"/>
      <c r="G91" s="1397"/>
      <c r="H91" s="1397"/>
      <c r="I91" s="1397"/>
      <c r="J91" s="1397"/>
      <c r="K91" s="1397"/>
      <c r="L91" s="1397"/>
      <c r="M91" s="1397"/>
      <c r="N91" s="1397"/>
      <c r="O91" s="1397"/>
      <c r="P91" s="1397"/>
      <c r="Q91" s="1397"/>
      <c r="R91" s="1397"/>
      <c r="S91" s="1397"/>
      <c r="T91" s="1397"/>
      <c r="U91" s="1397"/>
      <c r="V91" s="1397"/>
      <c r="W91" s="1397"/>
      <c r="X91" s="1397">
        <v>3</v>
      </c>
      <c r="Y91" s="1397">
        <v>3</v>
      </c>
      <c r="Z91" s="1397">
        <v>4</v>
      </c>
      <c r="AA91" s="1398">
        <f>SUM(C91:Z91)</f>
        <v>10</v>
      </c>
    </row>
    <row r="92" spans="1:27" ht="17.100000000000001" customHeight="1" x14ac:dyDescent="0.2">
      <c r="A92" s="6306" t="s">
        <v>75</v>
      </c>
      <c r="B92" s="2050" t="s">
        <v>11</v>
      </c>
      <c r="C92" s="1397"/>
      <c r="D92" s="1397"/>
      <c r="E92" s="1397"/>
      <c r="F92" s="1397"/>
      <c r="G92" s="1397"/>
      <c r="H92" s="1397"/>
      <c r="I92" s="1397"/>
      <c r="J92" s="1397"/>
      <c r="K92" s="1397"/>
      <c r="L92" s="1397"/>
      <c r="M92" s="1397"/>
      <c r="N92" s="1397"/>
      <c r="O92" s="1397"/>
      <c r="P92" s="1397"/>
      <c r="Q92" s="1397"/>
      <c r="R92" s="1397"/>
      <c r="S92" s="1397"/>
      <c r="T92" s="1397"/>
      <c r="U92" s="1397"/>
      <c r="V92" s="1397"/>
      <c r="W92" s="1397"/>
      <c r="X92" s="1397">
        <v>3</v>
      </c>
      <c r="Y92" s="1397">
        <v>9</v>
      </c>
      <c r="Z92" s="1397">
        <v>15</v>
      </c>
      <c r="AA92" s="1398">
        <f>SUM(C92:Z92)</f>
        <v>27</v>
      </c>
    </row>
    <row r="93" spans="1:27" ht="17.100000000000001" customHeight="1" x14ac:dyDescent="0.2">
      <c r="A93" s="6307"/>
      <c r="B93" s="2051" t="s">
        <v>160</v>
      </c>
      <c r="C93" s="1399"/>
      <c r="D93" s="1399"/>
      <c r="E93" s="1399"/>
      <c r="F93" s="1399"/>
      <c r="G93" s="1399"/>
      <c r="H93" s="1399"/>
      <c r="I93" s="1399"/>
      <c r="J93" s="1399"/>
      <c r="K93" s="1399"/>
      <c r="L93" s="1399"/>
      <c r="M93" s="1399"/>
      <c r="N93" s="1399"/>
      <c r="O93" s="1399"/>
      <c r="P93" s="1399"/>
      <c r="Q93" s="1399"/>
      <c r="R93" s="1399"/>
      <c r="S93" s="1399"/>
      <c r="T93" s="1399"/>
      <c r="U93" s="1399"/>
      <c r="V93" s="1399"/>
      <c r="W93" s="1399"/>
      <c r="X93" s="1399">
        <f>SUM(X90:X92)</f>
        <v>8</v>
      </c>
      <c r="Y93" s="1399">
        <f>SUM(Y90:Y92)</f>
        <v>15</v>
      </c>
      <c r="Z93" s="1399">
        <f>SUM(Z90:Z92)</f>
        <v>25</v>
      </c>
      <c r="AA93" s="1403">
        <f>SUM(AA90:AA92)</f>
        <v>48</v>
      </c>
    </row>
    <row r="94" spans="1:27" ht="17.100000000000001" customHeight="1" x14ac:dyDescent="0.2">
      <c r="A94" s="6308" t="s">
        <v>10</v>
      </c>
      <c r="B94" s="2049" t="s">
        <v>6</v>
      </c>
      <c r="C94" s="2054"/>
      <c r="D94" s="2054"/>
      <c r="E94" s="2054"/>
      <c r="F94" s="2054"/>
      <c r="G94" s="2054"/>
      <c r="H94" s="2054">
        <v>248</v>
      </c>
      <c r="I94" s="2054">
        <v>252</v>
      </c>
      <c r="J94" s="2054">
        <v>268</v>
      </c>
      <c r="K94" s="2054">
        <v>285</v>
      </c>
      <c r="L94" s="2054">
        <v>295</v>
      </c>
      <c r="M94" s="2054">
        <v>302</v>
      </c>
      <c r="N94" s="2054">
        <v>309</v>
      </c>
      <c r="O94" s="2054">
        <v>315</v>
      </c>
      <c r="P94" s="2054">
        <v>225</v>
      </c>
      <c r="Q94" s="2054">
        <v>232</v>
      </c>
      <c r="R94" s="2054"/>
      <c r="S94" s="2054"/>
      <c r="T94" s="2054"/>
      <c r="U94" s="2054"/>
      <c r="V94" s="2054"/>
      <c r="W94" s="2054">
        <v>257</v>
      </c>
      <c r="X94" s="2054">
        <v>268</v>
      </c>
      <c r="Y94" s="2054">
        <v>280</v>
      </c>
      <c r="Z94" s="2054">
        <v>282</v>
      </c>
      <c r="AA94" s="1396">
        <f>SUM(C94:Z94)</f>
        <v>3818</v>
      </c>
    </row>
    <row r="95" spans="1:27" ht="17.100000000000001" customHeight="1" x14ac:dyDescent="0.2">
      <c r="A95" s="6309" t="s">
        <v>10</v>
      </c>
      <c r="B95" s="2050" t="s">
        <v>11</v>
      </c>
      <c r="C95" s="1397"/>
      <c r="D95" s="1397"/>
      <c r="E95" s="1397"/>
      <c r="F95" s="1397"/>
      <c r="G95" s="1397"/>
      <c r="H95" s="1397">
        <v>288</v>
      </c>
      <c r="I95" s="1397">
        <v>304</v>
      </c>
      <c r="J95" s="1397">
        <v>317</v>
      </c>
      <c r="K95" s="1397">
        <v>324</v>
      </c>
      <c r="L95" s="1397">
        <v>329</v>
      </c>
      <c r="M95" s="1397">
        <v>338</v>
      </c>
      <c r="N95" s="1397">
        <v>333</v>
      </c>
      <c r="O95" s="1397">
        <v>333</v>
      </c>
      <c r="P95" s="1397">
        <v>230</v>
      </c>
      <c r="Q95" s="1397">
        <v>247</v>
      </c>
      <c r="R95" s="1397"/>
      <c r="S95" s="1397"/>
      <c r="T95" s="1397"/>
      <c r="U95" s="1397"/>
      <c r="V95" s="1397"/>
      <c r="W95" s="1397">
        <v>263</v>
      </c>
      <c r="X95" s="1397">
        <v>271</v>
      </c>
      <c r="Y95" s="1397">
        <v>282</v>
      </c>
      <c r="Z95" s="1397">
        <v>288</v>
      </c>
      <c r="AA95" s="1398">
        <f>SUM(C95:Z95)</f>
        <v>4147</v>
      </c>
    </row>
    <row r="96" spans="1:27" ht="17.100000000000001" customHeight="1" x14ac:dyDescent="0.2">
      <c r="A96" s="6309" t="s">
        <v>10</v>
      </c>
      <c r="B96" s="2050" t="s">
        <v>7</v>
      </c>
      <c r="C96" s="1397"/>
      <c r="D96" s="1397"/>
      <c r="E96" s="1397"/>
      <c r="F96" s="1397"/>
      <c r="G96" s="1397"/>
      <c r="H96" s="1397">
        <v>108</v>
      </c>
      <c r="I96" s="1397">
        <v>111</v>
      </c>
      <c r="J96" s="1397">
        <v>111</v>
      </c>
      <c r="K96" s="1397">
        <v>117</v>
      </c>
      <c r="L96" s="1397">
        <v>116</v>
      </c>
      <c r="M96" s="1397">
        <v>119</v>
      </c>
      <c r="N96" s="1397">
        <v>117</v>
      </c>
      <c r="O96" s="1397">
        <v>118</v>
      </c>
      <c r="P96" s="1397">
        <v>68</v>
      </c>
      <c r="Q96" s="1397">
        <v>73</v>
      </c>
      <c r="R96" s="1397"/>
      <c r="S96" s="1397"/>
      <c r="T96" s="1397"/>
      <c r="U96" s="1397"/>
      <c r="V96" s="1397"/>
      <c r="W96" s="1397">
        <v>87</v>
      </c>
      <c r="X96" s="1397">
        <v>91</v>
      </c>
      <c r="Y96" s="1397">
        <v>96</v>
      </c>
      <c r="Z96" s="1397">
        <v>97</v>
      </c>
      <c r="AA96" s="1398">
        <f>SUM(C96:Z96)</f>
        <v>1429</v>
      </c>
    </row>
    <row r="97" spans="1:27" ht="17.100000000000001" customHeight="1" x14ac:dyDescent="0.2">
      <c r="A97" s="6310" t="s">
        <v>10</v>
      </c>
      <c r="B97" s="2051" t="s">
        <v>160</v>
      </c>
      <c r="C97" s="1399"/>
      <c r="D97" s="1399"/>
      <c r="E97" s="1399"/>
      <c r="F97" s="1399"/>
      <c r="G97" s="1399"/>
      <c r="H97" s="1399">
        <f t="shared" ref="H97:V97" si="19">SUM(H94:H96)</f>
        <v>644</v>
      </c>
      <c r="I97" s="1399">
        <f t="shared" si="19"/>
        <v>667</v>
      </c>
      <c r="J97" s="1399">
        <f t="shared" si="19"/>
        <v>696</v>
      </c>
      <c r="K97" s="1399">
        <f t="shared" si="19"/>
        <v>726</v>
      </c>
      <c r="L97" s="1399">
        <f t="shared" si="19"/>
        <v>740</v>
      </c>
      <c r="M97" s="1399">
        <f t="shared" si="19"/>
        <v>759</v>
      </c>
      <c r="N97" s="1399">
        <f t="shared" si="19"/>
        <v>759</v>
      </c>
      <c r="O97" s="1399">
        <f t="shared" si="19"/>
        <v>766</v>
      </c>
      <c r="P97" s="1399">
        <f t="shared" si="19"/>
        <v>523</v>
      </c>
      <c r="Q97" s="1399">
        <f t="shared" si="19"/>
        <v>552</v>
      </c>
      <c r="R97" s="1399">
        <f t="shared" si="19"/>
        <v>0</v>
      </c>
      <c r="S97" s="1399">
        <f t="shared" si="19"/>
        <v>0</v>
      </c>
      <c r="T97" s="1399">
        <f t="shared" si="19"/>
        <v>0</v>
      </c>
      <c r="U97" s="1399">
        <f t="shared" si="19"/>
        <v>0</v>
      </c>
      <c r="V97" s="1399">
        <f t="shared" si="19"/>
        <v>0</v>
      </c>
      <c r="W97" s="1399">
        <f>SUM(W94:W96)</f>
        <v>607</v>
      </c>
      <c r="X97" s="1399">
        <f>SUM(X94:X96)</f>
        <v>630</v>
      </c>
      <c r="Y97" s="1399">
        <f>SUM(Y94:Y96)</f>
        <v>658</v>
      </c>
      <c r="Z97" s="1399">
        <f>SUM(Z94:Z96)</f>
        <v>667</v>
      </c>
      <c r="AA97" s="1403">
        <f>SUM(C97:Q97)</f>
        <v>6832</v>
      </c>
    </row>
    <row r="98" spans="1:27" ht="17.100000000000001" customHeight="1" x14ac:dyDescent="0.2">
      <c r="A98" s="6311" t="s">
        <v>586</v>
      </c>
      <c r="B98" s="6312"/>
      <c r="C98" s="2055"/>
      <c r="D98" s="1400"/>
      <c r="E98" s="1400"/>
      <c r="F98" s="1400"/>
      <c r="G98" s="1400"/>
      <c r="H98" s="1400">
        <f t="shared" ref="H98:V98" si="20">SUM(H81,H85,H89,H97)</f>
        <v>1817</v>
      </c>
      <c r="I98" s="1400">
        <f t="shared" si="20"/>
        <v>1875</v>
      </c>
      <c r="J98" s="1400">
        <f t="shared" si="20"/>
        <v>1931</v>
      </c>
      <c r="K98" s="1400">
        <f t="shared" si="20"/>
        <v>2016</v>
      </c>
      <c r="L98" s="1400">
        <f t="shared" si="20"/>
        <v>2045</v>
      </c>
      <c r="M98" s="1400">
        <f t="shared" si="20"/>
        <v>2095</v>
      </c>
      <c r="N98" s="1400">
        <f t="shared" si="20"/>
        <v>2111</v>
      </c>
      <c r="O98" s="1400">
        <f t="shared" si="20"/>
        <v>2158</v>
      </c>
      <c r="P98" s="1400">
        <f t="shared" si="20"/>
        <v>1611</v>
      </c>
      <c r="Q98" s="1400">
        <f t="shared" si="20"/>
        <v>1677</v>
      </c>
      <c r="R98" s="1400">
        <f t="shared" si="20"/>
        <v>0</v>
      </c>
      <c r="S98" s="1400">
        <f t="shared" si="20"/>
        <v>0</v>
      </c>
      <c r="T98" s="1400">
        <f t="shared" si="20"/>
        <v>0</v>
      </c>
      <c r="U98" s="1400">
        <f t="shared" si="20"/>
        <v>0</v>
      </c>
      <c r="V98" s="1400">
        <f t="shared" si="20"/>
        <v>0</v>
      </c>
      <c r="W98" s="1400">
        <f>SUM(W81,W85,W89,W97)</f>
        <v>1987</v>
      </c>
      <c r="X98" s="1400">
        <f>SUM(X81,X85,X89,X93,X97)</f>
        <v>2093</v>
      </c>
      <c r="Y98" s="1400">
        <f>SUM(Y81,Y85,Y89,Y93,Y97)</f>
        <v>2171</v>
      </c>
      <c r="Z98" s="1400">
        <f>SUM(Z81,Z85,Z89,Z93,Z97)</f>
        <v>2203</v>
      </c>
      <c r="AA98" s="1401">
        <f>SUM(AA81,AA85,AA89,AA93,AA97)</f>
        <v>25228</v>
      </c>
    </row>
    <row r="99" spans="1:27" ht="17.100000000000001" customHeight="1" x14ac:dyDescent="0.2">
      <c r="A99" s="1402"/>
      <c r="B99" s="1402"/>
      <c r="C99" s="1402"/>
      <c r="D99" s="1402"/>
      <c r="E99" s="1402"/>
      <c r="F99" s="1402"/>
      <c r="G99" s="1402"/>
      <c r="H99" s="1402"/>
      <c r="I99" s="1402"/>
      <c r="J99" s="1402"/>
      <c r="K99" s="1402"/>
      <c r="L99" s="1402"/>
      <c r="M99" s="1402"/>
      <c r="N99" s="1402"/>
      <c r="O99" s="1402"/>
      <c r="P99" s="1402"/>
      <c r="Q99" s="1402"/>
      <c r="R99" s="1402"/>
      <c r="S99" s="1402"/>
      <c r="T99" s="1402"/>
      <c r="U99" s="1402"/>
      <c r="V99" s="1402"/>
      <c r="W99" s="1402"/>
      <c r="X99" s="1402"/>
      <c r="Y99" s="1402"/>
      <c r="Z99" s="1402"/>
      <c r="AA99" s="1402"/>
    </row>
    <row r="100" spans="1:27" ht="17.100000000000001" customHeight="1" x14ac:dyDescent="0.2">
      <c r="A100" s="6313" t="s">
        <v>16</v>
      </c>
      <c r="B100" s="6315" t="s">
        <v>356</v>
      </c>
      <c r="C100" s="6317" t="s">
        <v>591</v>
      </c>
      <c r="D100" s="6318"/>
      <c r="E100" s="6318"/>
      <c r="F100" s="6318"/>
      <c r="G100" s="6318"/>
      <c r="H100" s="6318"/>
      <c r="I100" s="6318"/>
      <c r="J100" s="6318"/>
      <c r="K100" s="6318"/>
      <c r="L100" s="6318"/>
      <c r="M100" s="6318"/>
      <c r="N100" s="6318"/>
      <c r="O100" s="6318"/>
      <c r="P100" s="6318"/>
      <c r="Q100" s="6318"/>
      <c r="R100" s="6318"/>
      <c r="S100" s="6318"/>
      <c r="T100" s="6318"/>
      <c r="U100" s="6318"/>
      <c r="V100" s="6318"/>
      <c r="W100" s="6318"/>
      <c r="X100" s="6318"/>
      <c r="Y100" s="6318"/>
      <c r="Z100" s="6319"/>
      <c r="AA100" s="6320"/>
    </row>
    <row r="101" spans="1:27" ht="17.100000000000001" customHeight="1" x14ac:dyDescent="0.2">
      <c r="A101" s="6314"/>
      <c r="B101" s="6316"/>
      <c r="C101" s="1393">
        <v>1990</v>
      </c>
      <c r="D101" s="1394">
        <v>1991</v>
      </c>
      <c r="E101" s="1394">
        <v>1992</v>
      </c>
      <c r="F101" s="1394">
        <v>1993</v>
      </c>
      <c r="G101" s="1394">
        <v>1994</v>
      </c>
      <c r="H101" s="1394">
        <v>1995</v>
      </c>
      <c r="I101" s="1394">
        <v>1996</v>
      </c>
      <c r="J101" s="1394">
        <v>1997</v>
      </c>
      <c r="K101" s="1394">
        <v>1998</v>
      </c>
      <c r="L101" s="1394">
        <v>1999</v>
      </c>
      <c r="M101" s="1394">
        <v>2000</v>
      </c>
      <c r="N101" s="1394">
        <v>2001</v>
      </c>
      <c r="O101" s="1394">
        <v>2002</v>
      </c>
      <c r="P101" s="1394">
        <v>2003</v>
      </c>
      <c r="Q101" s="1394">
        <v>2004</v>
      </c>
      <c r="R101" s="1394">
        <v>2005</v>
      </c>
      <c r="S101" s="1394">
        <v>2006</v>
      </c>
      <c r="T101" s="1394">
        <v>2007</v>
      </c>
      <c r="U101" s="1394">
        <v>2008</v>
      </c>
      <c r="V101" s="1394">
        <v>2009</v>
      </c>
      <c r="W101" s="1394">
        <v>2010</v>
      </c>
      <c r="X101" s="1394">
        <v>2011</v>
      </c>
      <c r="Y101" s="1394">
        <v>2012</v>
      </c>
      <c r="Z101" s="1395">
        <v>2013</v>
      </c>
      <c r="AA101" s="1404" t="s">
        <v>160</v>
      </c>
    </row>
    <row r="102" spans="1:27" ht="17.100000000000001" customHeight="1" x14ac:dyDescent="0.2">
      <c r="A102" s="6321" t="s">
        <v>3</v>
      </c>
      <c r="B102" s="2049" t="s">
        <v>5</v>
      </c>
      <c r="C102" s="2054"/>
      <c r="D102" s="2054"/>
      <c r="E102" s="2054"/>
      <c r="F102" s="2054"/>
      <c r="G102" s="2054"/>
      <c r="H102" s="2054">
        <v>17</v>
      </c>
      <c r="I102" s="2054">
        <v>27</v>
      </c>
      <c r="J102" s="2054">
        <v>31</v>
      </c>
      <c r="K102" s="2054">
        <v>40</v>
      </c>
      <c r="L102" s="2054">
        <v>54</v>
      </c>
      <c r="M102" s="2054">
        <v>64</v>
      </c>
      <c r="N102" s="2054">
        <v>78</v>
      </c>
      <c r="O102" s="2054">
        <v>94</v>
      </c>
      <c r="P102" s="2054">
        <v>112</v>
      </c>
      <c r="Q102" s="2054">
        <v>124</v>
      </c>
      <c r="R102" s="2054"/>
      <c r="S102" s="2054"/>
      <c r="T102" s="2054"/>
      <c r="U102" s="2054"/>
      <c r="V102" s="2054"/>
      <c r="W102" s="2054">
        <v>148</v>
      </c>
      <c r="X102" s="2054">
        <v>156</v>
      </c>
      <c r="Y102" s="2054">
        <v>160</v>
      </c>
      <c r="Z102" s="1397">
        <v>166</v>
      </c>
      <c r="AA102" s="1398">
        <f>SUM(H102:Z102)</f>
        <v>1271</v>
      </c>
    </row>
    <row r="103" spans="1:27" ht="17.100000000000001" customHeight="1" x14ac:dyDescent="0.2">
      <c r="A103" s="6322"/>
      <c r="B103" s="2050" t="s">
        <v>6</v>
      </c>
      <c r="C103" s="1397"/>
      <c r="D103" s="1397"/>
      <c r="E103" s="1397"/>
      <c r="F103" s="1397"/>
      <c r="G103" s="1397"/>
      <c r="H103" s="1397">
        <v>42</v>
      </c>
      <c r="I103" s="1397">
        <v>57</v>
      </c>
      <c r="J103" s="1397">
        <v>72</v>
      </c>
      <c r="K103" s="1397">
        <v>82</v>
      </c>
      <c r="L103" s="1397">
        <v>91</v>
      </c>
      <c r="M103" s="1397">
        <v>100</v>
      </c>
      <c r="N103" s="1397">
        <v>112</v>
      </c>
      <c r="O103" s="1397">
        <v>128</v>
      </c>
      <c r="P103" s="1397">
        <v>143</v>
      </c>
      <c r="Q103" s="1397">
        <v>158</v>
      </c>
      <c r="R103" s="1397"/>
      <c r="S103" s="1397"/>
      <c r="T103" s="1397"/>
      <c r="U103" s="1397"/>
      <c r="V103" s="1397"/>
      <c r="W103" s="1397">
        <v>190</v>
      </c>
      <c r="X103" s="1397">
        <v>199</v>
      </c>
      <c r="Y103" s="1397">
        <v>204</v>
      </c>
      <c r="Z103" s="1397">
        <v>205</v>
      </c>
      <c r="AA103" s="1398">
        <f>SUM(H103:Z103)</f>
        <v>1783</v>
      </c>
    </row>
    <row r="104" spans="1:27" ht="17.100000000000001" customHeight="1" x14ac:dyDescent="0.2">
      <c r="A104" s="6322"/>
      <c r="B104" s="2050" t="s">
        <v>7</v>
      </c>
      <c r="C104" s="1397"/>
      <c r="D104" s="1397"/>
      <c r="E104" s="1397"/>
      <c r="F104" s="1397"/>
      <c r="G104" s="1397"/>
      <c r="H104" s="1397">
        <v>39</v>
      </c>
      <c r="I104" s="1397">
        <v>51</v>
      </c>
      <c r="J104" s="1397">
        <v>58</v>
      </c>
      <c r="K104" s="1397">
        <v>64</v>
      </c>
      <c r="L104" s="1397">
        <v>68</v>
      </c>
      <c r="M104" s="1397">
        <v>75</v>
      </c>
      <c r="N104" s="1397">
        <v>87</v>
      </c>
      <c r="O104" s="1397">
        <v>95</v>
      </c>
      <c r="P104" s="1397">
        <v>103</v>
      </c>
      <c r="Q104" s="1397">
        <v>110</v>
      </c>
      <c r="R104" s="1397"/>
      <c r="S104" s="1397"/>
      <c r="T104" s="1397"/>
      <c r="U104" s="1397"/>
      <c r="V104" s="1397"/>
      <c r="W104" s="1397">
        <v>115</v>
      </c>
      <c r="X104" s="1397">
        <v>116</v>
      </c>
      <c r="Y104" s="1397">
        <v>122</v>
      </c>
      <c r="Z104" s="1397">
        <v>123</v>
      </c>
      <c r="AA104" s="1398">
        <f>SUM(H104:Z104)</f>
        <v>1226</v>
      </c>
    </row>
    <row r="105" spans="1:27" ht="17.100000000000001" customHeight="1" x14ac:dyDescent="0.2">
      <c r="A105" s="6323"/>
      <c r="B105" s="2051" t="s">
        <v>160</v>
      </c>
      <c r="C105" s="1399"/>
      <c r="D105" s="1399"/>
      <c r="E105" s="1399"/>
      <c r="F105" s="1399"/>
      <c r="G105" s="1399"/>
      <c r="H105" s="1399">
        <f t="shared" ref="H105:Z105" si="21">SUM(H102:H104)</f>
        <v>98</v>
      </c>
      <c r="I105" s="1399">
        <f t="shared" si="21"/>
        <v>135</v>
      </c>
      <c r="J105" s="1399">
        <f t="shared" si="21"/>
        <v>161</v>
      </c>
      <c r="K105" s="1399">
        <f t="shared" si="21"/>
        <v>186</v>
      </c>
      <c r="L105" s="1399">
        <f t="shared" si="21"/>
        <v>213</v>
      </c>
      <c r="M105" s="1399">
        <f t="shared" si="21"/>
        <v>239</v>
      </c>
      <c r="N105" s="1399">
        <f t="shared" si="21"/>
        <v>277</v>
      </c>
      <c r="O105" s="1399">
        <f t="shared" si="21"/>
        <v>317</v>
      </c>
      <c r="P105" s="1399">
        <f t="shared" si="21"/>
        <v>358</v>
      </c>
      <c r="Q105" s="1399">
        <f t="shared" si="21"/>
        <v>392</v>
      </c>
      <c r="R105" s="1399">
        <f t="shared" si="21"/>
        <v>0</v>
      </c>
      <c r="S105" s="1399">
        <f t="shared" si="21"/>
        <v>0</v>
      </c>
      <c r="T105" s="1399">
        <f t="shared" si="21"/>
        <v>0</v>
      </c>
      <c r="U105" s="1399">
        <f t="shared" si="21"/>
        <v>0</v>
      </c>
      <c r="V105" s="1399">
        <f t="shared" si="21"/>
        <v>0</v>
      </c>
      <c r="W105" s="1399">
        <f t="shared" si="21"/>
        <v>453</v>
      </c>
      <c r="X105" s="1399">
        <f t="shared" si="21"/>
        <v>471</v>
      </c>
      <c r="Y105" s="1399">
        <f t="shared" si="21"/>
        <v>486</v>
      </c>
      <c r="Z105" s="1399">
        <f t="shared" si="21"/>
        <v>494</v>
      </c>
      <c r="AA105" s="1403">
        <f>SUM(AA102:AA104)</f>
        <v>4280</v>
      </c>
    </row>
    <row r="106" spans="1:27" ht="17.100000000000001" customHeight="1" x14ac:dyDescent="0.2">
      <c r="A106" s="6324" t="s">
        <v>8</v>
      </c>
      <c r="B106" s="2049" t="s">
        <v>6</v>
      </c>
      <c r="C106" s="2054"/>
      <c r="D106" s="2054"/>
      <c r="E106" s="2054"/>
      <c r="F106" s="2054"/>
      <c r="G106" s="2054"/>
      <c r="H106" s="2054"/>
      <c r="I106" s="2054"/>
      <c r="J106" s="2054"/>
      <c r="K106" s="2054"/>
      <c r="L106" s="2054"/>
      <c r="M106" s="2054"/>
      <c r="N106" s="2054"/>
      <c r="O106" s="2054"/>
      <c r="P106" s="2054"/>
      <c r="Q106" s="2054"/>
      <c r="R106" s="2054"/>
      <c r="S106" s="2054"/>
      <c r="T106" s="2054"/>
      <c r="U106" s="2054"/>
      <c r="V106" s="2054"/>
      <c r="W106" s="2054">
        <v>19</v>
      </c>
      <c r="X106" s="2054">
        <v>24</v>
      </c>
      <c r="Y106" s="2054">
        <v>29</v>
      </c>
      <c r="Z106" s="1397">
        <v>34</v>
      </c>
      <c r="AA106" s="1398">
        <f>SUM(H106:Z106)</f>
        <v>106</v>
      </c>
    </row>
    <row r="107" spans="1:27" ht="17.100000000000001" customHeight="1" x14ac:dyDescent="0.2">
      <c r="A107" s="6325"/>
      <c r="B107" s="2050" t="s">
        <v>9</v>
      </c>
      <c r="C107" s="1397"/>
      <c r="D107" s="1397"/>
      <c r="E107" s="1397"/>
      <c r="F107" s="1397"/>
      <c r="G107" s="1397"/>
      <c r="H107" s="1397"/>
      <c r="I107" s="1397"/>
      <c r="J107" s="1397"/>
      <c r="K107" s="1397"/>
      <c r="L107" s="1397"/>
      <c r="M107" s="1397"/>
      <c r="N107" s="1397"/>
      <c r="O107" s="1397"/>
      <c r="P107" s="1397"/>
      <c r="Q107" s="1397"/>
      <c r="R107" s="1397"/>
      <c r="S107" s="1397"/>
      <c r="T107" s="1397"/>
      <c r="U107" s="1397"/>
      <c r="V107" s="1397"/>
      <c r="W107" s="1397">
        <v>12</v>
      </c>
      <c r="X107" s="1397">
        <v>15</v>
      </c>
      <c r="Y107" s="1397">
        <v>19</v>
      </c>
      <c r="Z107" s="1397">
        <v>21</v>
      </c>
      <c r="AA107" s="1398">
        <f>SUM(H107:Z107)</f>
        <v>67</v>
      </c>
    </row>
    <row r="108" spans="1:27" ht="17.100000000000001" customHeight="1" x14ac:dyDescent="0.2">
      <c r="A108" s="6325"/>
      <c r="B108" s="2050" t="s">
        <v>74</v>
      </c>
      <c r="C108" s="1397"/>
      <c r="D108" s="1397"/>
      <c r="E108" s="1397"/>
      <c r="F108" s="1397"/>
      <c r="G108" s="1397"/>
      <c r="H108" s="1397"/>
      <c r="I108" s="1397"/>
      <c r="J108" s="1397"/>
      <c r="K108" s="1397"/>
      <c r="L108" s="1397"/>
      <c r="M108" s="1397"/>
      <c r="N108" s="1397"/>
      <c r="O108" s="1397"/>
      <c r="P108" s="1397"/>
      <c r="Q108" s="1397"/>
      <c r="R108" s="1397"/>
      <c r="S108" s="1397"/>
      <c r="T108" s="1397"/>
      <c r="U108" s="1397"/>
      <c r="V108" s="1397"/>
      <c r="W108" s="1397">
        <v>7</v>
      </c>
      <c r="X108" s="1397">
        <v>10</v>
      </c>
      <c r="Y108" s="1397">
        <v>11</v>
      </c>
      <c r="Z108" s="1397">
        <v>16</v>
      </c>
      <c r="AA108" s="1398">
        <f>SUM(H108:Z108)</f>
        <v>44</v>
      </c>
    </row>
    <row r="109" spans="1:27" ht="17.100000000000001" customHeight="1" x14ac:dyDescent="0.2">
      <c r="A109" s="6326"/>
      <c r="B109" s="2051" t="s">
        <v>160</v>
      </c>
      <c r="C109" s="1399"/>
      <c r="D109" s="1399"/>
      <c r="E109" s="1399"/>
      <c r="F109" s="1399"/>
      <c r="G109" s="1399"/>
      <c r="H109" s="1399"/>
      <c r="I109" s="1399"/>
      <c r="J109" s="1399"/>
      <c r="K109" s="1399"/>
      <c r="L109" s="1399"/>
      <c r="M109" s="1399"/>
      <c r="N109" s="1399"/>
      <c r="O109" s="1399"/>
      <c r="P109" s="1399"/>
      <c r="Q109" s="1399"/>
      <c r="R109" s="1399"/>
      <c r="S109" s="1399"/>
      <c r="T109" s="1399"/>
      <c r="U109" s="1399"/>
      <c r="V109" s="1399"/>
      <c r="W109" s="1399">
        <f>SUM(W106:W108)</f>
        <v>38</v>
      </c>
      <c r="X109" s="1399">
        <f>SUM(X106:X108)</f>
        <v>49</v>
      </c>
      <c r="Y109" s="1399">
        <f>SUM(Y106:Y108)</f>
        <v>59</v>
      </c>
      <c r="Z109" s="1399">
        <f>SUM(Z106:Z108)</f>
        <v>71</v>
      </c>
      <c r="AA109" s="1403">
        <f>SUM(AA106:AA108)</f>
        <v>217</v>
      </c>
    </row>
    <row r="110" spans="1:27" ht="17.100000000000001" customHeight="1" x14ac:dyDescent="0.2">
      <c r="A110" s="6327" t="s">
        <v>75</v>
      </c>
      <c r="B110" s="2049" t="s">
        <v>5</v>
      </c>
      <c r="C110" s="2054"/>
      <c r="D110" s="2054"/>
      <c r="E110" s="2054"/>
      <c r="F110" s="2054"/>
      <c r="G110" s="2054"/>
      <c r="H110" s="2054">
        <v>71</v>
      </c>
      <c r="I110" s="2054">
        <v>90</v>
      </c>
      <c r="J110" s="2054">
        <v>106</v>
      </c>
      <c r="K110" s="2054">
        <v>117</v>
      </c>
      <c r="L110" s="2054">
        <v>121</v>
      </c>
      <c r="M110" s="2054">
        <v>126</v>
      </c>
      <c r="N110" s="2054">
        <v>137</v>
      </c>
      <c r="O110" s="2054">
        <v>149</v>
      </c>
      <c r="P110" s="2054">
        <v>157</v>
      </c>
      <c r="Q110" s="2054">
        <v>162</v>
      </c>
      <c r="R110" s="2054"/>
      <c r="S110" s="2054"/>
      <c r="T110" s="2054"/>
      <c r="U110" s="2054"/>
      <c r="V110" s="2054"/>
      <c r="W110" s="2054">
        <v>184</v>
      </c>
      <c r="X110" s="2054">
        <v>187</v>
      </c>
      <c r="Y110" s="2054">
        <v>197</v>
      </c>
      <c r="Z110" s="1397">
        <v>199</v>
      </c>
      <c r="AA110" s="1398">
        <f>SUM(H110:Z110)</f>
        <v>2003</v>
      </c>
    </row>
    <row r="111" spans="1:27" ht="17.100000000000001" customHeight="1" x14ac:dyDescent="0.2">
      <c r="A111" s="6328" t="s">
        <v>75</v>
      </c>
      <c r="B111" s="2050" t="s">
        <v>6</v>
      </c>
      <c r="C111" s="1397"/>
      <c r="D111" s="1397"/>
      <c r="E111" s="1397"/>
      <c r="F111" s="1397"/>
      <c r="G111" s="1397"/>
      <c r="H111" s="1397">
        <v>67</v>
      </c>
      <c r="I111" s="1397">
        <v>95</v>
      </c>
      <c r="J111" s="1397">
        <v>110</v>
      </c>
      <c r="K111" s="1397">
        <v>120</v>
      </c>
      <c r="L111" s="1397">
        <v>131</v>
      </c>
      <c r="M111" s="1397">
        <v>147</v>
      </c>
      <c r="N111" s="1397">
        <v>160</v>
      </c>
      <c r="O111" s="1397">
        <v>176</v>
      </c>
      <c r="P111" s="1397">
        <v>185</v>
      </c>
      <c r="Q111" s="1397">
        <v>196</v>
      </c>
      <c r="R111" s="1397"/>
      <c r="S111" s="1397"/>
      <c r="T111" s="1397"/>
      <c r="U111" s="1397"/>
      <c r="V111" s="1397"/>
      <c r="W111" s="1397">
        <v>228</v>
      </c>
      <c r="X111" s="1397">
        <v>236</v>
      </c>
      <c r="Y111" s="1397">
        <v>239</v>
      </c>
      <c r="Z111" s="1397">
        <v>245</v>
      </c>
      <c r="AA111" s="1398">
        <f>SUM(H111:Z111)</f>
        <v>2335</v>
      </c>
    </row>
    <row r="112" spans="1:27" ht="17.100000000000001" customHeight="1" x14ac:dyDescent="0.2">
      <c r="A112" s="6328" t="s">
        <v>75</v>
      </c>
      <c r="B112" s="2050" t="s">
        <v>11</v>
      </c>
      <c r="C112" s="1397"/>
      <c r="D112" s="1397"/>
      <c r="E112" s="1397"/>
      <c r="F112" s="1397"/>
      <c r="G112" s="1397"/>
      <c r="H112" s="1397">
        <v>27</v>
      </c>
      <c r="I112" s="1397">
        <v>40</v>
      </c>
      <c r="J112" s="1397">
        <v>45</v>
      </c>
      <c r="K112" s="1397">
        <v>56</v>
      </c>
      <c r="L112" s="1397">
        <v>69</v>
      </c>
      <c r="M112" s="1397">
        <v>82</v>
      </c>
      <c r="N112" s="1397">
        <v>93</v>
      </c>
      <c r="O112" s="1397">
        <v>109</v>
      </c>
      <c r="P112" s="1397">
        <v>120</v>
      </c>
      <c r="Q112" s="1397">
        <v>129</v>
      </c>
      <c r="R112" s="1397"/>
      <c r="S112" s="1397"/>
      <c r="T112" s="1397"/>
      <c r="U112" s="1397"/>
      <c r="V112" s="1397"/>
      <c r="W112" s="1397">
        <v>168</v>
      </c>
      <c r="X112" s="1397">
        <v>166</v>
      </c>
      <c r="Y112" s="1397">
        <v>167</v>
      </c>
      <c r="Z112" s="1397">
        <v>168</v>
      </c>
      <c r="AA112" s="1398">
        <f>SUM(H112:Z112)</f>
        <v>1439</v>
      </c>
    </row>
    <row r="113" spans="1:27" ht="17.100000000000001" customHeight="1" x14ac:dyDescent="0.2">
      <c r="A113" s="6329"/>
      <c r="B113" s="2051" t="s">
        <v>160</v>
      </c>
      <c r="C113" s="1399"/>
      <c r="D113" s="1399"/>
      <c r="E113" s="1399"/>
      <c r="F113" s="1399"/>
      <c r="G113" s="1399"/>
      <c r="H113" s="1399">
        <f t="shared" ref="H113:Z113" si="22">SUM(H110:H112)</f>
        <v>165</v>
      </c>
      <c r="I113" s="1399">
        <f t="shared" si="22"/>
        <v>225</v>
      </c>
      <c r="J113" s="1399">
        <f t="shared" si="22"/>
        <v>261</v>
      </c>
      <c r="K113" s="1399">
        <f t="shared" si="22"/>
        <v>293</v>
      </c>
      <c r="L113" s="1399">
        <f t="shared" si="22"/>
        <v>321</v>
      </c>
      <c r="M113" s="1399">
        <f t="shared" si="22"/>
        <v>355</v>
      </c>
      <c r="N113" s="1399">
        <f t="shared" si="22"/>
        <v>390</v>
      </c>
      <c r="O113" s="1399">
        <f t="shared" si="22"/>
        <v>434</v>
      </c>
      <c r="P113" s="1399">
        <f t="shared" si="22"/>
        <v>462</v>
      </c>
      <c r="Q113" s="1399">
        <f t="shared" si="22"/>
        <v>487</v>
      </c>
      <c r="R113" s="1399">
        <f t="shared" si="22"/>
        <v>0</v>
      </c>
      <c r="S113" s="1399">
        <f t="shared" si="22"/>
        <v>0</v>
      </c>
      <c r="T113" s="1399">
        <f t="shared" si="22"/>
        <v>0</v>
      </c>
      <c r="U113" s="1399">
        <f t="shared" si="22"/>
        <v>0</v>
      </c>
      <c r="V113" s="1399">
        <f t="shared" si="22"/>
        <v>0</v>
      </c>
      <c r="W113" s="1399">
        <f t="shared" si="22"/>
        <v>580</v>
      </c>
      <c r="X113" s="1399">
        <f t="shared" si="22"/>
        <v>589</v>
      </c>
      <c r="Y113" s="1399">
        <f t="shared" si="22"/>
        <v>603</v>
      </c>
      <c r="Z113" s="1399">
        <f t="shared" si="22"/>
        <v>612</v>
      </c>
      <c r="AA113" s="1403">
        <f>SUM(AA110:AA112)</f>
        <v>5777</v>
      </c>
    </row>
    <row r="114" spans="1:27" ht="17.100000000000001" customHeight="1" x14ac:dyDescent="0.2">
      <c r="A114" s="6305" t="s">
        <v>326</v>
      </c>
      <c r="B114" s="2049" t="s">
        <v>5</v>
      </c>
      <c r="C114" s="2054"/>
      <c r="D114" s="2054"/>
      <c r="E114" s="2054"/>
      <c r="F114" s="2054"/>
      <c r="G114" s="2054"/>
      <c r="H114" s="2054"/>
      <c r="I114" s="2054"/>
      <c r="J114" s="2054"/>
      <c r="K114" s="2054"/>
      <c r="L114" s="2054"/>
      <c r="M114" s="2054"/>
      <c r="N114" s="2054"/>
      <c r="O114" s="2054"/>
      <c r="P114" s="2054"/>
      <c r="Q114" s="2054"/>
      <c r="R114" s="2054"/>
      <c r="S114" s="2054"/>
      <c r="T114" s="2054"/>
      <c r="U114" s="2054"/>
      <c r="V114" s="2054"/>
      <c r="W114" s="2054"/>
      <c r="X114" s="2054"/>
      <c r="Y114" s="2054">
        <v>1</v>
      </c>
      <c r="Z114" s="2054">
        <v>1</v>
      </c>
      <c r="AA114" s="1398">
        <f>SUM(H114:Z114)</f>
        <v>2</v>
      </c>
    </row>
    <row r="115" spans="1:27" ht="17.100000000000001" customHeight="1" x14ac:dyDescent="0.2">
      <c r="A115" s="6306" t="s">
        <v>75</v>
      </c>
      <c r="B115" s="2050" t="s">
        <v>6</v>
      </c>
      <c r="C115" s="1397"/>
      <c r="D115" s="1397"/>
      <c r="E115" s="1397"/>
      <c r="F115" s="1397"/>
      <c r="G115" s="1397"/>
      <c r="H115" s="1397"/>
      <c r="I115" s="1397"/>
      <c r="J115" s="1397"/>
      <c r="K115" s="1397"/>
      <c r="L115" s="1397"/>
      <c r="M115" s="1397"/>
      <c r="N115" s="1397"/>
      <c r="O115" s="1397"/>
      <c r="P115" s="1397"/>
      <c r="Q115" s="1397"/>
      <c r="R115" s="1397"/>
      <c r="S115" s="1397"/>
      <c r="T115" s="1397"/>
      <c r="U115" s="1397"/>
      <c r="V115" s="1397"/>
      <c r="W115" s="1397"/>
      <c r="X115" s="1397"/>
      <c r="Y115" s="1397"/>
      <c r="Z115" s="1397"/>
      <c r="AA115" s="1398">
        <f>SUM(H115:Z115)</f>
        <v>0</v>
      </c>
    </row>
    <row r="116" spans="1:27" ht="17.100000000000001" customHeight="1" x14ac:dyDescent="0.2">
      <c r="A116" s="6306" t="s">
        <v>75</v>
      </c>
      <c r="B116" s="2050" t="s">
        <v>11</v>
      </c>
      <c r="C116" s="1397"/>
      <c r="D116" s="1397"/>
      <c r="E116" s="1397"/>
      <c r="F116" s="1397"/>
      <c r="G116" s="1397"/>
      <c r="H116" s="1397"/>
      <c r="I116" s="1397"/>
      <c r="J116" s="1397"/>
      <c r="K116" s="1397"/>
      <c r="L116" s="1397"/>
      <c r="M116" s="1397"/>
      <c r="N116" s="1397"/>
      <c r="O116" s="1397"/>
      <c r="P116" s="1397"/>
      <c r="Q116" s="1397"/>
      <c r="R116" s="1397"/>
      <c r="S116" s="1397"/>
      <c r="T116" s="1397"/>
      <c r="U116" s="1397"/>
      <c r="V116" s="1397"/>
      <c r="W116" s="1397"/>
      <c r="X116" s="1397"/>
      <c r="Y116" s="1397">
        <v>2</v>
      </c>
      <c r="Z116" s="1397">
        <v>2</v>
      </c>
      <c r="AA116" s="1398">
        <f>SUM(H116:Z116)</f>
        <v>4</v>
      </c>
    </row>
    <row r="117" spans="1:27" ht="17.100000000000001" customHeight="1" x14ac:dyDescent="0.2">
      <c r="A117" s="6307"/>
      <c r="B117" s="2051" t="s">
        <v>160</v>
      </c>
      <c r="C117" s="1399"/>
      <c r="D117" s="1399"/>
      <c r="E117" s="1399"/>
      <c r="F117" s="1399"/>
      <c r="G117" s="1399"/>
      <c r="H117" s="1399"/>
      <c r="I117" s="1399"/>
      <c r="J117" s="1399"/>
      <c r="K117" s="1399"/>
      <c r="L117" s="1399"/>
      <c r="M117" s="1399"/>
      <c r="N117" s="1399"/>
      <c r="O117" s="1399"/>
      <c r="P117" s="1399"/>
      <c r="Q117" s="1399"/>
      <c r="R117" s="1399"/>
      <c r="S117" s="1399"/>
      <c r="T117" s="1399"/>
      <c r="U117" s="1399"/>
      <c r="V117" s="1399"/>
      <c r="W117" s="1399"/>
      <c r="X117" s="1399"/>
      <c r="Y117" s="1399">
        <f>SUM(Y114:Y116)</f>
        <v>3</v>
      </c>
      <c r="Z117" s="1399">
        <f>SUM(Z114:Z116)</f>
        <v>3</v>
      </c>
      <c r="AA117" s="1403">
        <f>SUM(AA114:AA116)</f>
        <v>6</v>
      </c>
    </row>
    <row r="118" spans="1:27" ht="17.100000000000001" customHeight="1" x14ac:dyDescent="0.2">
      <c r="A118" s="6308" t="s">
        <v>10</v>
      </c>
      <c r="B118" s="2049" t="s">
        <v>6</v>
      </c>
      <c r="C118" s="2054"/>
      <c r="D118" s="2054"/>
      <c r="E118" s="2054"/>
      <c r="F118" s="2054"/>
      <c r="G118" s="2054"/>
      <c r="H118" s="2054">
        <v>54</v>
      </c>
      <c r="I118" s="2054">
        <v>76</v>
      </c>
      <c r="J118" s="2054">
        <v>91</v>
      </c>
      <c r="K118" s="2054">
        <v>113</v>
      </c>
      <c r="L118" s="2054">
        <v>129</v>
      </c>
      <c r="M118" s="2054">
        <v>142</v>
      </c>
      <c r="N118" s="2054">
        <v>159</v>
      </c>
      <c r="O118" s="2054">
        <v>173</v>
      </c>
      <c r="P118" s="2054">
        <v>185</v>
      </c>
      <c r="Q118" s="2054">
        <v>200</v>
      </c>
      <c r="R118" s="2054"/>
      <c r="S118" s="2054"/>
      <c r="T118" s="2054"/>
      <c r="U118" s="2054"/>
      <c r="V118" s="2054"/>
      <c r="W118" s="2054">
        <v>233</v>
      </c>
      <c r="X118" s="2054">
        <v>243</v>
      </c>
      <c r="Y118" s="2054">
        <v>256</v>
      </c>
      <c r="Z118" s="1397">
        <v>254</v>
      </c>
      <c r="AA118" s="1398">
        <f>SUM(H118:Z118)</f>
        <v>2308</v>
      </c>
    </row>
    <row r="119" spans="1:27" ht="17.100000000000001" customHeight="1" x14ac:dyDescent="0.2">
      <c r="A119" s="6309" t="s">
        <v>10</v>
      </c>
      <c r="B119" s="2050" t="s">
        <v>11</v>
      </c>
      <c r="C119" s="1397"/>
      <c r="D119" s="1397"/>
      <c r="E119" s="1397"/>
      <c r="F119" s="1397"/>
      <c r="G119" s="1397"/>
      <c r="H119" s="1397">
        <v>31</v>
      </c>
      <c r="I119" s="1397">
        <v>56</v>
      </c>
      <c r="J119" s="1397">
        <v>75</v>
      </c>
      <c r="K119" s="1397">
        <v>88</v>
      </c>
      <c r="L119" s="1397">
        <v>98</v>
      </c>
      <c r="M119" s="1397">
        <v>115</v>
      </c>
      <c r="N119" s="1397">
        <v>134</v>
      </c>
      <c r="O119" s="1397">
        <v>155</v>
      </c>
      <c r="P119" s="1397">
        <v>177</v>
      </c>
      <c r="Q119" s="1397">
        <v>191</v>
      </c>
      <c r="R119" s="1397"/>
      <c r="S119" s="1397"/>
      <c r="T119" s="1397"/>
      <c r="U119" s="1397"/>
      <c r="V119" s="1397"/>
      <c r="W119" s="1397">
        <v>220</v>
      </c>
      <c r="X119" s="1397">
        <v>231</v>
      </c>
      <c r="Y119" s="1397">
        <v>236</v>
      </c>
      <c r="Z119" s="1397">
        <v>232</v>
      </c>
      <c r="AA119" s="1398">
        <f>SUM(H119:Z119)</f>
        <v>2039</v>
      </c>
    </row>
    <row r="120" spans="1:27" ht="17.100000000000001" customHeight="1" x14ac:dyDescent="0.2">
      <c r="A120" s="6309" t="s">
        <v>10</v>
      </c>
      <c r="B120" s="2050" t="s">
        <v>7</v>
      </c>
      <c r="C120" s="1397"/>
      <c r="D120" s="1397"/>
      <c r="E120" s="1397"/>
      <c r="F120" s="1397"/>
      <c r="G120" s="1397"/>
      <c r="H120" s="1397">
        <v>40</v>
      </c>
      <c r="I120" s="1397">
        <v>61</v>
      </c>
      <c r="J120" s="1397">
        <v>70</v>
      </c>
      <c r="K120" s="1397">
        <v>73</v>
      </c>
      <c r="L120" s="1397">
        <v>77</v>
      </c>
      <c r="M120" s="1397">
        <v>83</v>
      </c>
      <c r="N120" s="1397">
        <v>89</v>
      </c>
      <c r="O120" s="1397">
        <v>94</v>
      </c>
      <c r="P120" s="1397">
        <v>98</v>
      </c>
      <c r="Q120" s="1397">
        <v>102</v>
      </c>
      <c r="R120" s="1397"/>
      <c r="S120" s="1397"/>
      <c r="T120" s="1397"/>
      <c r="U120" s="1397"/>
      <c r="V120" s="1397"/>
      <c r="W120" s="1397">
        <v>106</v>
      </c>
      <c r="X120" s="1397">
        <v>107</v>
      </c>
      <c r="Y120" s="1397">
        <v>113</v>
      </c>
      <c r="Z120" s="1397">
        <v>112</v>
      </c>
      <c r="AA120" s="1398">
        <f>SUM(H120:Z120)</f>
        <v>1225</v>
      </c>
    </row>
    <row r="121" spans="1:27" ht="17.100000000000001" customHeight="1" x14ac:dyDescent="0.2">
      <c r="A121" s="6310" t="s">
        <v>10</v>
      </c>
      <c r="B121" s="2051" t="s">
        <v>160</v>
      </c>
      <c r="C121" s="1399"/>
      <c r="D121" s="1399"/>
      <c r="E121" s="1399"/>
      <c r="F121" s="1399"/>
      <c r="G121" s="1399"/>
      <c r="H121" s="1399">
        <f t="shared" ref="H121:Z121" si="23">SUM(H118:H120)</f>
        <v>125</v>
      </c>
      <c r="I121" s="1399">
        <f t="shared" si="23"/>
        <v>193</v>
      </c>
      <c r="J121" s="1399">
        <f t="shared" si="23"/>
        <v>236</v>
      </c>
      <c r="K121" s="1399">
        <f t="shared" si="23"/>
        <v>274</v>
      </c>
      <c r="L121" s="1399">
        <f t="shared" si="23"/>
        <v>304</v>
      </c>
      <c r="M121" s="1399">
        <f t="shared" si="23"/>
        <v>340</v>
      </c>
      <c r="N121" s="1399">
        <f t="shared" si="23"/>
        <v>382</v>
      </c>
      <c r="O121" s="1399">
        <f t="shared" si="23"/>
        <v>422</v>
      </c>
      <c r="P121" s="1399">
        <f t="shared" si="23"/>
        <v>460</v>
      </c>
      <c r="Q121" s="1399">
        <f t="shared" si="23"/>
        <v>493</v>
      </c>
      <c r="R121" s="1399">
        <f t="shared" si="23"/>
        <v>0</v>
      </c>
      <c r="S121" s="1399">
        <f t="shared" si="23"/>
        <v>0</v>
      </c>
      <c r="T121" s="1399">
        <f t="shared" si="23"/>
        <v>0</v>
      </c>
      <c r="U121" s="1399">
        <f t="shared" si="23"/>
        <v>0</v>
      </c>
      <c r="V121" s="1399">
        <f t="shared" si="23"/>
        <v>0</v>
      </c>
      <c r="W121" s="1399">
        <f t="shared" si="23"/>
        <v>559</v>
      </c>
      <c r="X121" s="1399">
        <f t="shared" si="23"/>
        <v>581</v>
      </c>
      <c r="Y121" s="1399">
        <f t="shared" si="23"/>
        <v>605</v>
      </c>
      <c r="Z121" s="1399">
        <f t="shared" si="23"/>
        <v>598</v>
      </c>
      <c r="AA121" s="1403">
        <f>SUM(AA118:AA120)</f>
        <v>5572</v>
      </c>
    </row>
    <row r="122" spans="1:27" ht="17.100000000000001" customHeight="1" x14ac:dyDescent="0.2">
      <c r="A122" s="6311" t="s">
        <v>586</v>
      </c>
      <c r="B122" s="6312"/>
      <c r="C122" s="2055"/>
      <c r="D122" s="1400"/>
      <c r="E122" s="1400"/>
      <c r="F122" s="1400"/>
      <c r="G122" s="1400"/>
      <c r="H122" s="1400">
        <f t="shared" ref="H122:X122" si="24">SUM(H105,H109,H113,H121)</f>
        <v>388</v>
      </c>
      <c r="I122" s="1400">
        <f t="shared" si="24"/>
        <v>553</v>
      </c>
      <c r="J122" s="1400">
        <f t="shared" si="24"/>
        <v>658</v>
      </c>
      <c r="K122" s="1400">
        <f t="shared" si="24"/>
        <v>753</v>
      </c>
      <c r="L122" s="1400">
        <f t="shared" si="24"/>
        <v>838</v>
      </c>
      <c r="M122" s="1400">
        <f t="shared" si="24"/>
        <v>934</v>
      </c>
      <c r="N122" s="1400">
        <f t="shared" si="24"/>
        <v>1049</v>
      </c>
      <c r="O122" s="1400">
        <f t="shared" si="24"/>
        <v>1173</v>
      </c>
      <c r="P122" s="1400">
        <f t="shared" si="24"/>
        <v>1280</v>
      </c>
      <c r="Q122" s="1400">
        <f t="shared" si="24"/>
        <v>1372</v>
      </c>
      <c r="R122" s="1400">
        <f t="shared" si="24"/>
        <v>0</v>
      </c>
      <c r="S122" s="1400">
        <f t="shared" si="24"/>
        <v>0</v>
      </c>
      <c r="T122" s="1400">
        <f t="shared" si="24"/>
        <v>0</v>
      </c>
      <c r="U122" s="1400">
        <f t="shared" si="24"/>
        <v>0</v>
      </c>
      <c r="V122" s="1400">
        <f t="shared" si="24"/>
        <v>0</v>
      </c>
      <c r="W122" s="1400">
        <f t="shared" si="24"/>
        <v>1630</v>
      </c>
      <c r="X122" s="1400">
        <f t="shared" si="24"/>
        <v>1690</v>
      </c>
      <c r="Y122" s="1400">
        <f>SUM(Y105,Y109,Y113,Y117,Y121)</f>
        <v>1756</v>
      </c>
      <c r="Z122" s="1400">
        <f>SUM(Z105,Z109,Z113,Z117,Z121)</f>
        <v>1778</v>
      </c>
      <c r="AA122" s="1401">
        <f>SUM(AA105,AA109,AA113,AA117,AA121)</f>
        <v>15852</v>
      </c>
    </row>
  </sheetData>
  <mergeCells count="45">
    <mergeCell ref="C28:AA28"/>
    <mergeCell ref="A4:A5"/>
    <mergeCell ref="B4:B5"/>
    <mergeCell ref="C4:AA4"/>
    <mergeCell ref="A6:A9"/>
    <mergeCell ref="A10:A13"/>
    <mergeCell ref="A14:A17"/>
    <mergeCell ref="A50:B50"/>
    <mergeCell ref="A18:A21"/>
    <mergeCell ref="A22:A25"/>
    <mergeCell ref="A26:B26"/>
    <mergeCell ref="A28:A29"/>
    <mergeCell ref="B28:B29"/>
    <mergeCell ref="A30:A33"/>
    <mergeCell ref="A34:A37"/>
    <mergeCell ref="A38:A41"/>
    <mergeCell ref="A42:A45"/>
    <mergeCell ref="A46:A49"/>
    <mergeCell ref="C76:AA76"/>
    <mergeCell ref="A52:A53"/>
    <mergeCell ref="B52:B53"/>
    <mergeCell ref="C52:AA52"/>
    <mergeCell ref="A54:A57"/>
    <mergeCell ref="A58:A61"/>
    <mergeCell ref="A62:A65"/>
    <mergeCell ref="A66:A69"/>
    <mergeCell ref="A70:A73"/>
    <mergeCell ref="A74:B74"/>
    <mergeCell ref="A76:A77"/>
    <mergeCell ref="B76:B77"/>
    <mergeCell ref="C100:AA100"/>
    <mergeCell ref="A102:A105"/>
    <mergeCell ref="A106:A109"/>
    <mergeCell ref="A110:A113"/>
    <mergeCell ref="A78:A81"/>
    <mergeCell ref="A82:A85"/>
    <mergeCell ref="A86:A89"/>
    <mergeCell ref="A90:A93"/>
    <mergeCell ref="A94:A97"/>
    <mergeCell ref="A98:B98"/>
    <mergeCell ref="A114:A117"/>
    <mergeCell ref="A118:A121"/>
    <mergeCell ref="A122:B122"/>
    <mergeCell ref="A100:A101"/>
    <mergeCell ref="B100:B101"/>
  </mergeCells>
  <pageMargins left="0.75" right="0.75" top="1" bottom="1" header="0" footer="0"/>
  <pageSetup orientation="portrait" r:id="rId1"/>
  <headerFooter alignWithMargins="0"/>
  <ignoredErrors>
    <ignoredError sqref="C14:AA25 C9:Z13 C33:Z33 E57:Z65 H81:Z89 H105:Z113" formulaRange="1"/>
    <ignoredError sqref="AA9:AA13 AA33 AA57:AA65 AA81:AA89 AA105:AA113" formula="1" formulaRange="1"/>
    <ignoredError sqref="AA34:AA45 AA69 AA93 AA117" formula="1"/>
  </ignoredErrors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1:BO100"/>
  <sheetViews>
    <sheetView showGridLines="0" zoomScaleNormal="100" workbookViewId="0">
      <pane xSplit="2" ySplit="5" topLeftCell="AR11" activePane="bottomRight" state="frozen"/>
      <selection pane="topRight" activeCell="C1" sqref="C1"/>
      <selection pane="bottomLeft" activeCell="A9" sqref="A9"/>
      <selection pane="bottomRight" activeCell="BG29" sqref="BG29"/>
    </sheetView>
  </sheetViews>
  <sheetFormatPr baseColWidth="10" defaultRowHeight="12.75" x14ac:dyDescent="0.2"/>
  <cols>
    <col min="1" max="1" width="16.140625" customWidth="1"/>
    <col min="2" max="2" width="13.28515625" customWidth="1"/>
    <col min="3" max="6" width="6.7109375" customWidth="1"/>
    <col min="7" max="7" width="7.7109375" customWidth="1"/>
    <col min="8" max="11" width="6.7109375" customWidth="1"/>
    <col min="12" max="12" width="7.7109375" customWidth="1"/>
    <col min="13" max="16" width="6.7109375" customWidth="1"/>
    <col min="17" max="17" width="7.7109375" customWidth="1"/>
    <col min="18" max="21" width="6.7109375" customWidth="1"/>
    <col min="22" max="22" width="7.7109375" customWidth="1"/>
    <col min="23" max="26" width="6.7109375" customWidth="1"/>
    <col min="27" max="27" width="7.7109375" customWidth="1"/>
    <col min="28" max="31" width="6.7109375" customWidth="1"/>
    <col min="32" max="32" width="7.7109375" customWidth="1"/>
    <col min="33" max="36" width="6.7109375" customWidth="1"/>
    <col min="37" max="37" width="7.7109375" customWidth="1"/>
    <col min="38" max="41" width="6.7109375" customWidth="1"/>
    <col min="42" max="42" width="7.7109375" customWidth="1"/>
    <col min="43" max="46" width="6.7109375" customWidth="1"/>
    <col min="47" max="47" width="7.7109375" customWidth="1"/>
    <col min="48" max="51" width="6.7109375" customWidth="1"/>
    <col min="52" max="52" width="7.7109375" customWidth="1"/>
    <col min="53" max="56" width="6.7109375" customWidth="1"/>
    <col min="57" max="57" width="7.7109375" customWidth="1"/>
    <col min="58" max="67" width="6.7109375" customWidth="1"/>
  </cols>
  <sheetData>
    <row r="1" spans="1:67" ht="63" customHeight="1" x14ac:dyDescent="0.2">
      <c r="A1" s="6332" t="s">
        <v>1373</v>
      </c>
      <c r="B1" s="6332"/>
      <c r="C1" s="735"/>
      <c r="D1" s="735"/>
      <c r="E1" s="735"/>
      <c r="F1" s="735"/>
      <c r="G1" s="735"/>
      <c r="H1" s="735"/>
      <c r="I1" s="735"/>
      <c r="J1" s="735"/>
      <c r="K1" s="735"/>
      <c r="L1" s="735"/>
      <c r="M1" s="735"/>
      <c r="N1" s="735"/>
      <c r="O1" s="735"/>
      <c r="P1" s="735"/>
      <c r="Q1" s="735"/>
      <c r="R1" s="735"/>
      <c r="S1" s="735"/>
      <c r="T1" s="735"/>
      <c r="U1" s="735"/>
      <c r="V1" s="735"/>
      <c r="W1" s="735"/>
      <c r="X1" s="735"/>
      <c r="Y1" s="735"/>
      <c r="Z1" s="735"/>
      <c r="AA1" s="735"/>
      <c r="AB1" s="735"/>
      <c r="AC1" s="735"/>
      <c r="AD1" s="735"/>
      <c r="AE1" s="735"/>
      <c r="AF1" s="735"/>
      <c r="AG1" s="735"/>
    </row>
    <row r="3" spans="1:67" ht="15" x14ac:dyDescent="0.2">
      <c r="A3" s="6342" t="s">
        <v>16</v>
      </c>
      <c r="B3" s="6342" t="s">
        <v>4</v>
      </c>
      <c r="C3" s="6340">
        <v>2003</v>
      </c>
      <c r="D3" s="6341"/>
      <c r="E3" s="6341"/>
      <c r="F3" s="6341"/>
      <c r="G3" s="6339"/>
      <c r="H3" s="1042">
        <v>2004</v>
      </c>
      <c r="I3" s="705"/>
      <c r="J3" s="705"/>
      <c r="K3" s="705"/>
      <c r="L3" s="1044"/>
      <c r="M3" s="705">
        <v>2005</v>
      </c>
      <c r="N3" s="705"/>
      <c r="O3" s="705"/>
      <c r="P3" s="705"/>
      <c r="Q3" s="1044"/>
      <c r="R3" s="705">
        <v>2006</v>
      </c>
      <c r="S3" s="705"/>
      <c r="T3" s="705"/>
      <c r="U3" s="705"/>
      <c r="V3" s="1044"/>
      <c r="W3" s="705">
        <v>2007</v>
      </c>
      <c r="X3" s="705"/>
      <c r="Y3" s="705"/>
      <c r="Z3" s="705"/>
      <c r="AA3" s="1044"/>
      <c r="AB3" s="705">
        <v>2008</v>
      </c>
      <c r="AC3" s="705"/>
      <c r="AD3" s="705"/>
      <c r="AE3" s="705"/>
      <c r="AF3" s="1044"/>
      <c r="AG3" s="705">
        <v>2009</v>
      </c>
      <c r="AH3" s="705"/>
      <c r="AI3" s="705"/>
      <c r="AJ3" s="705"/>
      <c r="AK3" s="1044"/>
      <c r="AL3" s="6337">
        <v>2010</v>
      </c>
      <c r="AM3" s="6338"/>
      <c r="AN3" s="6338"/>
      <c r="AO3" s="6338"/>
      <c r="AP3" s="6339"/>
      <c r="AQ3" s="6333">
        <v>2011</v>
      </c>
      <c r="AR3" s="6334"/>
      <c r="AS3" s="6334"/>
      <c r="AT3" s="6334"/>
      <c r="AU3" s="6335"/>
      <c r="AV3" s="6333">
        <v>2012</v>
      </c>
      <c r="AW3" s="6334"/>
      <c r="AX3" s="6334"/>
      <c r="AY3" s="6334"/>
      <c r="AZ3" s="6335"/>
      <c r="BA3" s="6333">
        <v>2013</v>
      </c>
      <c r="BB3" s="6334"/>
      <c r="BC3" s="6334"/>
      <c r="BD3" s="6334"/>
      <c r="BE3" s="6335"/>
      <c r="BF3" s="6333">
        <v>2014</v>
      </c>
      <c r="BG3" s="6334"/>
      <c r="BH3" s="6334"/>
      <c r="BI3" s="6334"/>
      <c r="BJ3" s="6335"/>
      <c r="BK3" s="6333">
        <v>2015</v>
      </c>
      <c r="BL3" s="6334"/>
      <c r="BM3" s="6334"/>
      <c r="BN3" s="6334"/>
      <c r="BO3" s="6335"/>
    </row>
    <row r="4" spans="1:67" ht="15" x14ac:dyDescent="0.2">
      <c r="A4" s="6343"/>
      <c r="B4" s="6344"/>
      <c r="C4" s="1039" t="s">
        <v>341</v>
      </c>
      <c r="D4" s="1040" t="s">
        <v>342</v>
      </c>
      <c r="E4" s="1040" t="s">
        <v>343</v>
      </c>
      <c r="F4" s="1041" t="s">
        <v>344</v>
      </c>
      <c r="G4" s="1043" t="s">
        <v>12</v>
      </c>
      <c r="H4" s="1039" t="s">
        <v>341</v>
      </c>
      <c r="I4" s="1040" t="s">
        <v>342</v>
      </c>
      <c r="J4" s="1040" t="s">
        <v>343</v>
      </c>
      <c r="K4" s="1041" t="s">
        <v>344</v>
      </c>
      <c r="L4" s="1045" t="s">
        <v>12</v>
      </c>
      <c r="M4" s="1039" t="s">
        <v>341</v>
      </c>
      <c r="N4" s="1040" t="s">
        <v>342</v>
      </c>
      <c r="O4" s="1040" t="s">
        <v>343</v>
      </c>
      <c r="P4" s="1041" t="s">
        <v>344</v>
      </c>
      <c r="Q4" s="1045" t="s">
        <v>12</v>
      </c>
      <c r="R4" s="1039" t="s">
        <v>341</v>
      </c>
      <c r="S4" s="1040" t="s">
        <v>342</v>
      </c>
      <c r="T4" s="1040" t="s">
        <v>343</v>
      </c>
      <c r="U4" s="1041" t="s">
        <v>344</v>
      </c>
      <c r="V4" s="1045" t="s">
        <v>12</v>
      </c>
      <c r="W4" s="1039" t="s">
        <v>341</v>
      </c>
      <c r="X4" s="1040" t="s">
        <v>342</v>
      </c>
      <c r="Y4" s="1040" t="s">
        <v>343</v>
      </c>
      <c r="Z4" s="1041" t="s">
        <v>344</v>
      </c>
      <c r="AA4" s="1045" t="s">
        <v>12</v>
      </c>
      <c r="AB4" s="1039" t="s">
        <v>341</v>
      </c>
      <c r="AC4" s="1040" t="s">
        <v>342</v>
      </c>
      <c r="AD4" s="1040" t="s">
        <v>343</v>
      </c>
      <c r="AE4" s="1041" t="s">
        <v>344</v>
      </c>
      <c r="AF4" s="1045" t="s">
        <v>12</v>
      </c>
      <c r="AG4" s="1039" t="s">
        <v>341</v>
      </c>
      <c r="AH4" s="1040" t="s">
        <v>342</v>
      </c>
      <c r="AI4" s="1040" t="s">
        <v>343</v>
      </c>
      <c r="AJ4" s="1041" t="s">
        <v>344</v>
      </c>
      <c r="AK4" s="1045" t="s">
        <v>12</v>
      </c>
      <c r="AL4" s="1039" t="s">
        <v>341</v>
      </c>
      <c r="AM4" s="1040" t="s">
        <v>342</v>
      </c>
      <c r="AN4" s="1040" t="s">
        <v>343</v>
      </c>
      <c r="AO4" s="1041" t="s">
        <v>344</v>
      </c>
      <c r="AP4" s="1045" t="s">
        <v>12</v>
      </c>
      <c r="AQ4" s="1039" t="s">
        <v>341</v>
      </c>
      <c r="AR4" s="1040" t="s">
        <v>342</v>
      </c>
      <c r="AS4" s="1040" t="s">
        <v>343</v>
      </c>
      <c r="AT4" s="1041" t="s">
        <v>344</v>
      </c>
      <c r="AU4" s="1045" t="s">
        <v>12</v>
      </c>
      <c r="AV4" s="1039" t="s">
        <v>341</v>
      </c>
      <c r="AW4" s="1040" t="s">
        <v>342</v>
      </c>
      <c r="AX4" s="1040" t="s">
        <v>343</v>
      </c>
      <c r="AY4" s="1041" t="s">
        <v>344</v>
      </c>
      <c r="AZ4" s="1043" t="s">
        <v>12</v>
      </c>
      <c r="BA4" s="1039" t="s">
        <v>341</v>
      </c>
      <c r="BB4" s="1040" t="s">
        <v>342</v>
      </c>
      <c r="BC4" s="1040" t="s">
        <v>343</v>
      </c>
      <c r="BD4" s="1041" t="s">
        <v>344</v>
      </c>
      <c r="BE4" s="1043" t="s">
        <v>12</v>
      </c>
      <c r="BF4" s="1039" t="s">
        <v>341</v>
      </c>
      <c r="BG4" s="1040" t="s">
        <v>342</v>
      </c>
      <c r="BH4" s="1040" t="s">
        <v>343</v>
      </c>
      <c r="BI4" s="1041" t="s">
        <v>344</v>
      </c>
      <c r="BJ4" s="1043" t="s">
        <v>12</v>
      </c>
      <c r="BK4" s="1039" t="s">
        <v>341</v>
      </c>
      <c r="BL4" s="1040" t="s">
        <v>342</v>
      </c>
      <c r="BM4" s="1040" t="s">
        <v>343</v>
      </c>
      <c r="BN4" s="1041" t="s">
        <v>344</v>
      </c>
      <c r="BO4" s="1043" t="s">
        <v>12</v>
      </c>
    </row>
    <row r="5" spans="1:67" ht="15" x14ac:dyDescent="0.2">
      <c r="A5" s="480"/>
      <c r="B5" s="480"/>
      <c r="C5" s="480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0"/>
      <c r="P5" s="480"/>
      <c r="Q5" s="480"/>
      <c r="R5" s="480"/>
      <c r="S5" s="480"/>
      <c r="T5" s="480"/>
      <c r="U5" s="480"/>
      <c r="V5" s="480"/>
      <c r="W5" s="480"/>
      <c r="X5" s="480"/>
      <c r="Y5" s="480"/>
      <c r="Z5" s="480"/>
      <c r="AA5" s="480"/>
      <c r="AB5" s="480"/>
      <c r="AC5" s="480"/>
      <c r="AD5" s="480"/>
      <c r="AE5" s="480"/>
      <c r="AF5" s="480"/>
      <c r="AG5" s="480"/>
      <c r="AH5" s="480"/>
      <c r="AI5" s="480"/>
      <c r="AJ5" s="480"/>
      <c r="AK5" s="480"/>
      <c r="AL5" s="480"/>
      <c r="AM5" s="480"/>
      <c r="AN5" s="480"/>
      <c r="AO5" s="480"/>
      <c r="AP5" s="480"/>
      <c r="AQ5" s="480"/>
      <c r="AR5" s="480"/>
      <c r="AS5" s="480"/>
      <c r="AT5" s="480"/>
      <c r="AU5" s="480"/>
      <c r="AV5" s="480"/>
      <c r="AW5" s="480"/>
      <c r="AX5" s="480"/>
      <c r="AY5" s="480"/>
      <c r="AZ5" s="480"/>
      <c r="BA5" s="480"/>
      <c r="BB5" s="480"/>
      <c r="BC5" s="480"/>
      <c r="BD5" s="480"/>
      <c r="BE5" s="480"/>
      <c r="BF5" s="480"/>
      <c r="BG5" s="480"/>
      <c r="BH5" s="480"/>
      <c r="BI5" s="480"/>
      <c r="BJ5" s="480"/>
      <c r="BK5" s="480"/>
      <c r="BL5" s="480"/>
      <c r="BM5" s="480"/>
      <c r="BN5" s="480"/>
      <c r="BO5" s="480"/>
    </row>
    <row r="6" spans="1:67" ht="15" x14ac:dyDescent="0.2">
      <c r="A6" s="5656" t="s">
        <v>161</v>
      </c>
      <c r="B6" s="1426" t="s">
        <v>5</v>
      </c>
      <c r="C6" s="481">
        <v>85</v>
      </c>
      <c r="D6" s="481">
        <v>10</v>
      </c>
      <c r="E6" s="481">
        <v>141</v>
      </c>
      <c r="F6" s="481">
        <v>108</v>
      </c>
      <c r="G6" s="482">
        <v>344</v>
      </c>
      <c r="H6" s="483">
        <v>84</v>
      </c>
      <c r="I6" s="483">
        <v>9</v>
      </c>
      <c r="J6" s="483">
        <v>135</v>
      </c>
      <c r="K6" s="483">
        <v>115</v>
      </c>
      <c r="L6" s="484">
        <v>343</v>
      </c>
      <c r="M6" s="483">
        <v>66</v>
      </c>
      <c r="N6" s="483">
        <v>10</v>
      </c>
      <c r="O6" s="483">
        <v>141</v>
      </c>
      <c r="P6" s="483">
        <v>125</v>
      </c>
      <c r="Q6" s="484">
        <v>342</v>
      </c>
      <c r="R6" s="483">
        <v>63</v>
      </c>
      <c r="S6" s="483">
        <v>9</v>
      </c>
      <c r="T6" s="483">
        <v>144</v>
      </c>
      <c r="U6" s="483">
        <v>127</v>
      </c>
      <c r="V6" s="484">
        <v>343</v>
      </c>
      <c r="W6" s="483">
        <v>54</v>
      </c>
      <c r="X6" s="483">
        <v>7</v>
      </c>
      <c r="Y6" s="483">
        <v>141</v>
      </c>
      <c r="Z6" s="483">
        <v>148</v>
      </c>
      <c r="AA6" s="484">
        <v>350</v>
      </c>
      <c r="AB6" s="485">
        <v>51</v>
      </c>
      <c r="AC6" s="483">
        <v>6</v>
      </c>
      <c r="AD6" s="483">
        <v>143</v>
      </c>
      <c r="AE6" s="483">
        <v>155</v>
      </c>
      <c r="AF6" s="484">
        <v>355</v>
      </c>
      <c r="AG6" s="485">
        <v>50</v>
      </c>
      <c r="AH6" s="483">
        <v>6</v>
      </c>
      <c r="AI6" s="483">
        <v>133</v>
      </c>
      <c r="AJ6" s="483">
        <v>153</v>
      </c>
      <c r="AK6" s="484">
        <v>342</v>
      </c>
      <c r="AL6" s="485">
        <v>50</v>
      </c>
      <c r="AM6" s="483">
        <v>6</v>
      </c>
      <c r="AN6" s="483">
        <v>135</v>
      </c>
      <c r="AO6" s="483">
        <v>155</v>
      </c>
      <c r="AP6" s="484">
        <f>SUM(AL6:AO6)</f>
        <v>346</v>
      </c>
      <c r="AQ6" s="724">
        <v>50</v>
      </c>
      <c r="AR6" s="725">
        <v>6</v>
      </c>
      <c r="AS6" s="725">
        <v>126</v>
      </c>
      <c r="AT6" s="725">
        <v>165</v>
      </c>
      <c r="AU6" s="726">
        <f>SUM(AQ6:AT6)</f>
        <v>347</v>
      </c>
      <c r="AV6" s="724">
        <v>48</v>
      </c>
      <c r="AW6" s="725">
        <v>5</v>
      </c>
      <c r="AX6" s="725">
        <v>132</v>
      </c>
      <c r="AY6" s="725">
        <v>189</v>
      </c>
      <c r="AZ6" s="726">
        <f>SUM(AV6:AY6)</f>
        <v>374</v>
      </c>
      <c r="BA6" s="724">
        <v>48</v>
      </c>
      <c r="BB6" s="725">
        <v>5</v>
      </c>
      <c r="BC6" s="725">
        <v>132</v>
      </c>
      <c r="BD6" s="725">
        <v>203</v>
      </c>
      <c r="BE6" s="726">
        <f>SUM(BA6:BD6)</f>
        <v>388</v>
      </c>
      <c r="BF6" s="724">
        <v>47</v>
      </c>
      <c r="BG6" s="725">
        <v>5</v>
      </c>
      <c r="BH6" s="725">
        <v>131</v>
      </c>
      <c r="BI6" s="725">
        <v>209</v>
      </c>
      <c r="BJ6" s="726">
        <f>SUM(BF6:BI6)</f>
        <v>392</v>
      </c>
      <c r="BK6" s="724">
        <v>47</v>
      </c>
      <c r="BL6" s="725">
        <v>5</v>
      </c>
      <c r="BM6" s="725">
        <v>134</v>
      </c>
      <c r="BN6" s="725">
        <v>213</v>
      </c>
      <c r="BO6" s="726">
        <f>SUM(BK6:BN6)</f>
        <v>399</v>
      </c>
    </row>
    <row r="7" spans="1:67" ht="15" x14ac:dyDescent="0.2">
      <c r="A7" s="5657"/>
      <c r="B7" s="1427" t="s">
        <v>6</v>
      </c>
      <c r="C7" s="486">
        <v>133</v>
      </c>
      <c r="D7" s="486">
        <v>3</v>
      </c>
      <c r="E7" s="486">
        <v>108</v>
      </c>
      <c r="F7" s="486">
        <v>97</v>
      </c>
      <c r="G7" s="487">
        <v>341</v>
      </c>
      <c r="H7" s="488">
        <v>131</v>
      </c>
      <c r="I7" s="488">
        <v>3</v>
      </c>
      <c r="J7" s="488">
        <v>103</v>
      </c>
      <c r="K7" s="488">
        <v>104</v>
      </c>
      <c r="L7" s="489">
        <v>341</v>
      </c>
      <c r="M7" s="488">
        <v>103</v>
      </c>
      <c r="N7" s="488">
        <v>3</v>
      </c>
      <c r="O7" s="488">
        <v>108</v>
      </c>
      <c r="P7" s="488">
        <v>112</v>
      </c>
      <c r="Q7" s="489">
        <v>326</v>
      </c>
      <c r="R7" s="488">
        <v>103</v>
      </c>
      <c r="S7" s="488">
        <v>3</v>
      </c>
      <c r="T7" s="488">
        <v>112</v>
      </c>
      <c r="U7" s="488">
        <v>115</v>
      </c>
      <c r="V7" s="489">
        <v>333</v>
      </c>
      <c r="W7" s="488">
        <v>94</v>
      </c>
      <c r="X7" s="488">
        <v>3</v>
      </c>
      <c r="Y7" s="488">
        <v>115</v>
      </c>
      <c r="Z7" s="488">
        <v>115</v>
      </c>
      <c r="AA7" s="489">
        <v>327</v>
      </c>
      <c r="AB7" s="490">
        <v>90</v>
      </c>
      <c r="AC7" s="488">
        <v>3</v>
      </c>
      <c r="AD7" s="488">
        <v>114</v>
      </c>
      <c r="AE7" s="488">
        <v>118</v>
      </c>
      <c r="AF7" s="489">
        <v>325</v>
      </c>
      <c r="AG7" s="490">
        <v>86</v>
      </c>
      <c r="AH7" s="488">
        <v>3</v>
      </c>
      <c r="AI7" s="488">
        <v>110</v>
      </c>
      <c r="AJ7" s="488">
        <v>122</v>
      </c>
      <c r="AK7" s="489">
        <v>321</v>
      </c>
      <c r="AL7" s="490">
        <v>84</v>
      </c>
      <c r="AM7" s="488">
        <v>3</v>
      </c>
      <c r="AN7" s="488">
        <v>107</v>
      </c>
      <c r="AO7" s="488">
        <v>123</v>
      </c>
      <c r="AP7" s="489">
        <f>SUM(AL7:AO7)</f>
        <v>317</v>
      </c>
      <c r="AQ7" s="727">
        <v>83</v>
      </c>
      <c r="AR7" s="728">
        <v>1</v>
      </c>
      <c r="AS7" s="728">
        <v>110</v>
      </c>
      <c r="AT7" s="728">
        <v>126</v>
      </c>
      <c r="AU7" s="729">
        <f>SUM(AQ7:AT7)</f>
        <v>320</v>
      </c>
      <c r="AV7" s="727">
        <v>75</v>
      </c>
      <c r="AW7" s="728">
        <v>2</v>
      </c>
      <c r="AX7" s="728">
        <v>108</v>
      </c>
      <c r="AY7" s="728">
        <v>145</v>
      </c>
      <c r="AZ7" s="729">
        <f>SUM(AV7:AY7)</f>
        <v>330</v>
      </c>
      <c r="BA7" s="727">
        <v>69</v>
      </c>
      <c r="BB7" s="728">
        <v>2</v>
      </c>
      <c r="BC7" s="728">
        <v>110</v>
      </c>
      <c r="BD7" s="728">
        <v>159</v>
      </c>
      <c r="BE7" s="729">
        <f>SUM(BA7:BD7)</f>
        <v>340</v>
      </c>
      <c r="BF7" s="727">
        <v>67</v>
      </c>
      <c r="BG7" s="728">
        <v>2</v>
      </c>
      <c r="BH7" s="728">
        <v>112</v>
      </c>
      <c r="BI7" s="728">
        <v>164</v>
      </c>
      <c r="BJ7" s="729">
        <f>SUM(BF7:BI7)</f>
        <v>345</v>
      </c>
      <c r="BK7" s="727">
        <v>65</v>
      </c>
      <c r="BL7" s="728">
        <v>2</v>
      </c>
      <c r="BM7" s="728">
        <v>116</v>
      </c>
      <c r="BN7" s="728">
        <v>170</v>
      </c>
      <c r="BO7" s="729">
        <f>SUM(BK7:BN7)</f>
        <v>353</v>
      </c>
    </row>
    <row r="8" spans="1:67" ht="15" x14ac:dyDescent="0.2">
      <c r="A8" s="5657"/>
      <c r="B8" s="1427" t="s">
        <v>7</v>
      </c>
      <c r="C8" s="486">
        <v>106</v>
      </c>
      <c r="D8" s="486">
        <v>9</v>
      </c>
      <c r="E8" s="486">
        <v>76</v>
      </c>
      <c r="F8" s="486">
        <v>24</v>
      </c>
      <c r="G8" s="487">
        <v>215</v>
      </c>
      <c r="H8" s="488">
        <v>105</v>
      </c>
      <c r="I8" s="488">
        <v>9</v>
      </c>
      <c r="J8" s="488">
        <v>73</v>
      </c>
      <c r="K8" s="488">
        <v>26</v>
      </c>
      <c r="L8" s="489">
        <v>213</v>
      </c>
      <c r="M8" s="488">
        <v>82</v>
      </c>
      <c r="N8" s="488">
        <v>11</v>
      </c>
      <c r="O8" s="488">
        <v>76</v>
      </c>
      <c r="P8" s="488">
        <v>27</v>
      </c>
      <c r="Q8" s="489">
        <v>196</v>
      </c>
      <c r="R8" s="488">
        <v>79</v>
      </c>
      <c r="S8" s="488">
        <v>10</v>
      </c>
      <c r="T8" s="488">
        <v>79</v>
      </c>
      <c r="U8" s="488">
        <v>31</v>
      </c>
      <c r="V8" s="489">
        <v>199</v>
      </c>
      <c r="W8" s="488">
        <v>67</v>
      </c>
      <c r="X8" s="488">
        <v>8</v>
      </c>
      <c r="Y8" s="488">
        <v>80</v>
      </c>
      <c r="Z8" s="488">
        <v>30</v>
      </c>
      <c r="AA8" s="489">
        <v>185</v>
      </c>
      <c r="AB8" s="490">
        <v>64</v>
      </c>
      <c r="AC8" s="488">
        <v>10</v>
      </c>
      <c r="AD8" s="488">
        <v>83</v>
      </c>
      <c r="AE8" s="488">
        <v>28</v>
      </c>
      <c r="AF8" s="489">
        <v>185</v>
      </c>
      <c r="AG8" s="490">
        <v>62</v>
      </c>
      <c r="AH8" s="488">
        <v>11</v>
      </c>
      <c r="AI8" s="488">
        <v>85</v>
      </c>
      <c r="AJ8" s="488">
        <v>27</v>
      </c>
      <c r="AK8" s="489">
        <v>185</v>
      </c>
      <c r="AL8" s="490">
        <v>64</v>
      </c>
      <c r="AM8" s="488">
        <v>11</v>
      </c>
      <c r="AN8" s="488">
        <v>94</v>
      </c>
      <c r="AO8" s="488">
        <v>30</v>
      </c>
      <c r="AP8" s="489">
        <f>SUM(AL8:AO8)</f>
        <v>199</v>
      </c>
      <c r="AQ8" s="727">
        <v>61</v>
      </c>
      <c r="AR8" s="728">
        <v>10</v>
      </c>
      <c r="AS8" s="728">
        <v>100</v>
      </c>
      <c r="AT8" s="728">
        <v>31</v>
      </c>
      <c r="AU8" s="729">
        <f>SUM(AQ8:AT8)</f>
        <v>202</v>
      </c>
      <c r="AV8" s="727">
        <v>51</v>
      </c>
      <c r="AW8" s="728">
        <v>11</v>
      </c>
      <c r="AX8" s="728">
        <v>103</v>
      </c>
      <c r="AY8" s="728">
        <v>43</v>
      </c>
      <c r="AZ8" s="729">
        <f>SUM(AV8:AY8)</f>
        <v>208</v>
      </c>
      <c r="BA8" s="727">
        <v>49</v>
      </c>
      <c r="BB8" s="728">
        <v>7</v>
      </c>
      <c r="BC8" s="728">
        <v>108</v>
      </c>
      <c r="BD8" s="728">
        <v>49</v>
      </c>
      <c r="BE8" s="729">
        <f>SUM(BA8:BD8)</f>
        <v>213</v>
      </c>
      <c r="BF8" s="727">
        <v>53</v>
      </c>
      <c r="BG8" s="728">
        <v>7</v>
      </c>
      <c r="BH8" s="728">
        <v>114</v>
      </c>
      <c r="BI8" s="728">
        <v>51</v>
      </c>
      <c r="BJ8" s="729">
        <f>SUM(BF8:BI8)</f>
        <v>225</v>
      </c>
      <c r="BK8" s="727">
        <v>52</v>
      </c>
      <c r="BL8" s="728">
        <v>7</v>
      </c>
      <c r="BM8" s="728">
        <v>120</v>
      </c>
      <c r="BN8" s="728">
        <v>51</v>
      </c>
      <c r="BO8" s="729">
        <f>SUM(BK8:BN8)</f>
        <v>230</v>
      </c>
    </row>
    <row r="9" spans="1:67" ht="15" x14ac:dyDescent="0.2">
      <c r="A9" s="5658"/>
      <c r="B9" s="2904" t="s">
        <v>160</v>
      </c>
      <c r="C9" s="2935">
        <v>324</v>
      </c>
      <c r="D9" s="2936">
        <v>22</v>
      </c>
      <c r="E9" s="2936">
        <v>325</v>
      </c>
      <c r="F9" s="2936">
        <v>229</v>
      </c>
      <c r="G9" s="2936">
        <v>900</v>
      </c>
      <c r="H9" s="2937">
        <v>320</v>
      </c>
      <c r="I9" s="2938">
        <v>21</v>
      </c>
      <c r="J9" s="2938">
        <v>311</v>
      </c>
      <c r="K9" s="2938">
        <v>245</v>
      </c>
      <c r="L9" s="2939">
        <v>897</v>
      </c>
      <c r="M9" s="2937">
        <v>251</v>
      </c>
      <c r="N9" s="2938">
        <v>24</v>
      </c>
      <c r="O9" s="2938">
        <v>325</v>
      </c>
      <c r="P9" s="2938">
        <v>264</v>
      </c>
      <c r="Q9" s="2939">
        <v>864</v>
      </c>
      <c r="R9" s="2937">
        <v>245</v>
      </c>
      <c r="S9" s="2938">
        <v>22</v>
      </c>
      <c r="T9" s="2938">
        <v>335</v>
      </c>
      <c r="U9" s="2938">
        <v>273</v>
      </c>
      <c r="V9" s="2939">
        <v>875</v>
      </c>
      <c r="W9" s="2937">
        <v>215</v>
      </c>
      <c r="X9" s="2938">
        <v>18</v>
      </c>
      <c r="Y9" s="2938">
        <v>336</v>
      </c>
      <c r="Z9" s="2938">
        <v>293</v>
      </c>
      <c r="AA9" s="2939">
        <v>862</v>
      </c>
      <c r="AB9" s="2937">
        <v>205</v>
      </c>
      <c r="AC9" s="2938">
        <v>19</v>
      </c>
      <c r="AD9" s="2938">
        <v>340</v>
      </c>
      <c r="AE9" s="2938">
        <v>301</v>
      </c>
      <c r="AF9" s="2939">
        <v>865</v>
      </c>
      <c r="AG9" s="2937">
        <v>198</v>
      </c>
      <c r="AH9" s="2938">
        <v>20</v>
      </c>
      <c r="AI9" s="2938">
        <v>328</v>
      </c>
      <c r="AJ9" s="2938">
        <v>302</v>
      </c>
      <c r="AK9" s="2939">
        <v>848</v>
      </c>
      <c r="AL9" s="2937">
        <f>SUM(AL6:AL8)</f>
        <v>198</v>
      </c>
      <c r="AM9" s="2938">
        <f>SUM(AM6:AM8)</f>
        <v>20</v>
      </c>
      <c r="AN9" s="2938">
        <f>SUM(AN6:AN8)</f>
        <v>336</v>
      </c>
      <c r="AO9" s="2938">
        <f>SUM(AO6:AO8)</f>
        <v>308</v>
      </c>
      <c r="AP9" s="2939">
        <f>SUM(AL9:AO9)</f>
        <v>862</v>
      </c>
      <c r="AQ9" s="2940">
        <f>SUM(AQ6:AQ8)</f>
        <v>194</v>
      </c>
      <c r="AR9" s="2941">
        <f>SUM(AR6:AR8)</f>
        <v>17</v>
      </c>
      <c r="AS9" s="2941">
        <f>SUM(AS6:AS8)</f>
        <v>336</v>
      </c>
      <c r="AT9" s="2941">
        <f>SUM(AT6:AT8)</f>
        <v>322</v>
      </c>
      <c r="AU9" s="2942">
        <f>SUM(AQ9:AT9)</f>
        <v>869</v>
      </c>
      <c r="AV9" s="2940">
        <f>SUM(AV6:AV8)</f>
        <v>174</v>
      </c>
      <c r="AW9" s="2941">
        <f>SUM(AW6:AW8)</f>
        <v>18</v>
      </c>
      <c r="AX9" s="2941">
        <f>SUM(AX6:AX8)</f>
        <v>343</v>
      </c>
      <c r="AY9" s="2941">
        <f>SUM(AY6:AY8)</f>
        <v>377</v>
      </c>
      <c r="AZ9" s="2942">
        <f>SUM(AV9:AY9)</f>
        <v>912</v>
      </c>
      <c r="BA9" s="2940">
        <f t="shared" ref="BA9:BJ9" si="0">SUM(BA6:BA8)</f>
        <v>166</v>
      </c>
      <c r="BB9" s="2941">
        <f t="shared" si="0"/>
        <v>14</v>
      </c>
      <c r="BC9" s="2941">
        <f t="shared" si="0"/>
        <v>350</v>
      </c>
      <c r="BD9" s="2941">
        <f t="shared" si="0"/>
        <v>411</v>
      </c>
      <c r="BE9" s="2942">
        <f t="shared" si="0"/>
        <v>941</v>
      </c>
      <c r="BF9" s="2940">
        <f t="shared" si="0"/>
        <v>167</v>
      </c>
      <c r="BG9" s="2941">
        <f t="shared" si="0"/>
        <v>14</v>
      </c>
      <c r="BH9" s="2941">
        <f t="shared" si="0"/>
        <v>357</v>
      </c>
      <c r="BI9" s="2941">
        <f t="shared" si="0"/>
        <v>424</v>
      </c>
      <c r="BJ9" s="2942">
        <f t="shared" si="0"/>
        <v>962</v>
      </c>
      <c r="BK9" s="2940">
        <f t="shared" ref="BK9:BO9" si="1">SUM(BK6:BK8)</f>
        <v>164</v>
      </c>
      <c r="BL9" s="2941">
        <f t="shared" si="1"/>
        <v>14</v>
      </c>
      <c r="BM9" s="2941">
        <f t="shared" si="1"/>
        <v>370</v>
      </c>
      <c r="BN9" s="2941">
        <f t="shared" si="1"/>
        <v>434</v>
      </c>
      <c r="BO9" s="2942">
        <f t="shared" si="1"/>
        <v>982</v>
      </c>
    </row>
    <row r="11" spans="1:67" ht="15" x14ac:dyDescent="0.2">
      <c r="A11" s="5670" t="s">
        <v>825</v>
      </c>
      <c r="B11" s="1426" t="s">
        <v>6</v>
      </c>
      <c r="C11" s="492"/>
      <c r="D11" s="481"/>
      <c r="E11" s="481"/>
      <c r="F11" s="481"/>
      <c r="G11" s="482"/>
      <c r="H11" s="483"/>
      <c r="I11" s="483"/>
      <c r="J11" s="483"/>
      <c r="K11" s="483"/>
      <c r="L11" s="493"/>
      <c r="M11" s="485"/>
      <c r="N11" s="483"/>
      <c r="O11" s="483">
        <v>2</v>
      </c>
      <c r="P11" s="483">
        <v>9</v>
      </c>
      <c r="Q11" s="484">
        <v>11</v>
      </c>
      <c r="R11" s="483"/>
      <c r="S11" s="483"/>
      <c r="T11" s="483">
        <v>2</v>
      </c>
      <c r="U11" s="483">
        <v>19</v>
      </c>
      <c r="V11" s="493">
        <v>21</v>
      </c>
      <c r="W11" s="485"/>
      <c r="X11" s="483"/>
      <c r="Y11" s="483"/>
      <c r="Z11" s="483">
        <v>28</v>
      </c>
      <c r="AA11" s="484">
        <v>28</v>
      </c>
      <c r="AB11" s="483"/>
      <c r="AC11" s="483"/>
      <c r="AD11" s="483"/>
      <c r="AE11" s="483">
        <v>36</v>
      </c>
      <c r="AF11" s="493">
        <v>36</v>
      </c>
      <c r="AG11" s="485"/>
      <c r="AH11" s="483"/>
      <c r="AI11" s="483"/>
      <c r="AJ11" s="483">
        <v>46</v>
      </c>
      <c r="AK11" s="484">
        <v>46</v>
      </c>
      <c r="AL11" s="485"/>
      <c r="AM11" s="483"/>
      <c r="AN11" s="483"/>
      <c r="AO11" s="483">
        <v>49</v>
      </c>
      <c r="AP11" s="484">
        <f>SUM(AL11:AO11)</f>
        <v>49</v>
      </c>
      <c r="AQ11" s="724"/>
      <c r="AR11" s="725"/>
      <c r="AS11" s="725"/>
      <c r="AT11" s="725">
        <v>58</v>
      </c>
      <c r="AU11" s="726">
        <f>SUM(AQ11:AT11)</f>
        <v>58</v>
      </c>
      <c r="AV11" s="724"/>
      <c r="AW11" s="725"/>
      <c r="AX11" s="725">
        <v>1</v>
      </c>
      <c r="AY11" s="725">
        <v>64</v>
      </c>
      <c r="AZ11" s="726">
        <f>SUM(AV11:AY11)</f>
        <v>65</v>
      </c>
      <c r="BA11" s="724"/>
      <c r="BB11" s="725"/>
      <c r="BC11" s="725">
        <v>1</v>
      </c>
      <c r="BD11" s="725">
        <v>63</v>
      </c>
      <c r="BE11" s="726">
        <f>SUM(BA11:BD11)</f>
        <v>64</v>
      </c>
      <c r="BF11" s="724"/>
      <c r="BG11" s="725"/>
      <c r="BH11" s="725">
        <v>1</v>
      </c>
      <c r="BI11" s="725">
        <v>67</v>
      </c>
      <c r="BJ11" s="726">
        <f>SUM(BF11:BI11)</f>
        <v>68</v>
      </c>
      <c r="BK11" s="724"/>
      <c r="BL11" s="725"/>
      <c r="BM11" s="725">
        <v>2</v>
      </c>
      <c r="BN11" s="725">
        <v>71</v>
      </c>
      <c r="BO11" s="726">
        <f>SUM(BK11:BN11)</f>
        <v>73</v>
      </c>
    </row>
    <row r="12" spans="1:67" ht="15" x14ac:dyDescent="0.2">
      <c r="A12" s="5671"/>
      <c r="B12" s="1427" t="s">
        <v>9</v>
      </c>
      <c r="C12" s="494"/>
      <c r="D12" s="486"/>
      <c r="E12" s="486"/>
      <c r="F12" s="486"/>
      <c r="G12" s="487"/>
      <c r="H12" s="488"/>
      <c r="I12" s="488"/>
      <c r="J12" s="488"/>
      <c r="K12" s="488"/>
      <c r="L12" s="495"/>
      <c r="M12" s="490">
        <v>1</v>
      </c>
      <c r="N12" s="488"/>
      <c r="O12" s="488"/>
      <c r="P12" s="488">
        <v>3</v>
      </c>
      <c r="Q12" s="489">
        <v>4</v>
      </c>
      <c r="R12" s="488"/>
      <c r="S12" s="488"/>
      <c r="T12" s="488">
        <v>7</v>
      </c>
      <c r="U12" s="488">
        <v>13</v>
      </c>
      <c r="V12" s="495">
        <v>20</v>
      </c>
      <c r="W12" s="490"/>
      <c r="X12" s="488"/>
      <c r="Y12" s="488">
        <v>7</v>
      </c>
      <c r="Z12" s="488">
        <v>14</v>
      </c>
      <c r="AA12" s="489">
        <v>21</v>
      </c>
      <c r="AB12" s="488"/>
      <c r="AC12" s="488"/>
      <c r="AD12" s="488">
        <v>9</v>
      </c>
      <c r="AE12" s="488">
        <v>18</v>
      </c>
      <c r="AF12" s="495">
        <v>27</v>
      </c>
      <c r="AG12" s="490">
        <v>2</v>
      </c>
      <c r="AH12" s="488"/>
      <c r="AI12" s="488">
        <v>15</v>
      </c>
      <c r="AJ12" s="488">
        <v>28</v>
      </c>
      <c r="AK12" s="489">
        <v>45</v>
      </c>
      <c r="AL12" s="490">
        <v>3</v>
      </c>
      <c r="AM12" s="488"/>
      <c r="AN12" s="488">
        <v>19</v>
      </c>
      <c r="AO12" s="488">
        <v>33</v>
      </c>
      <c r="AP12" s="489">
        <f>SUM(AL12:AO12)</f>
        <v>55</v>
      </c>
      <c r="AQ12" s="727">
        <v>3</v>
      </c>
      <c r="AR12" s="728"/>
      <c r="AS12" s="728">
        <v>25</v>
      </c>
      <c r="AT12" s="728">
        <v>39</v>
      </c>
      <c r="AU12" s="729">
        <f>SUM(AQ12:AT12)</f>
        <v>67</v>
      </c>
      <c r="AV12" s="727">
        <v>4</v>
      </c>
      <c r="AW12" s="728">
        <v>1</v>
      </c>
      <c r="AX12" s="728">
        <v>21</v>
      </c>
      <c r="AY12" s="728">
        <v>43</v>
      </c>
      <c r="AZ12" s="729">
        <f>SUM(AV12:AY12)</f>
        <v>69</v>
      </c>
      <c r="BA12" s="727">
        <v>2</v>
      </c>
      <c r="BB12" s="728">
        <v>1</v>
      </c>
      <c r="BC12" s="728">
        <v>22</v>
      </c>
      <c r="BD12" s="728">
        <v>42</v>
      </c>
      <c r="BE12" s="729">
        <f>SUM(BA12:BD12)</f>
        <v>67</v>
      </c>
      <c r="BF12" s="727">
        <v>2</v>
      </c>
      <c r="BG12" s="728">
        <v>1</v>
      </c>
      <c r="BH12" s="728">
        <v>23</v>
      </c>
      <c r="BI12" s="728">
        <v>43</v>
      </c>
      <c r="BJ12" s="729">
        <f>SUM(BF12:BI12)</f>
        <v>69</v>
      </c>
      <c r="BK12" s="727">
        <v>2</v>
      </c>
      <c r="BL12" s="728">
        <v>1</v>
      </c>
      <c r="BM12" s="728">
        <v>26</v>
      </c>
      <c r="BN12" s="728">
        <v>46</v>
      </c>
      <c r="BO12" s="729">
        <f>SUM(BK12:BN12)</f>
        <v>75</v>
      </c>
    </row>
    <row r="13" spans="1:67" ht="15" x14ac:dyDescent="0.2">
      <c r="A13" s="5671"/>
      <c r="B13" s="1427" t="s">
        <v>74</v>
      </c>
      <c r="C13" s="494"/>
      <c r="D13" s="486"/>
      <c r="E13" s="486"/>
      <c r="F13" s="486"/>
      <c r="G13" s="487"/>
      <c r="H13" s="488"/>
      <c r="I13" s="488"/>
      <c r="J13" s="488"/>
      <c r="K13" s="488"/>
      <c r="L13" s="495"/>
      <c r="M13" s="490"/>
      <c r="N13" s="488"/>
      <c r="O13" s="488"/>
      <c r="P13" s="488">
        <v>8</v>
      </c>
      <c r="Q13" s="489">
        <v>8</v>
      </c>
      <c r="R13" s="488"/>
      <c r="S13" s="488"/>
      <c r="T13" s="488">
        <v>1</v>
      </c>
      <c r="U13" s="488">
        <v>15</v>
      </c>
      <c r="V13" s="495">
        <v>16</v>
      </c>
      <c r="W13" s="490"/>
      <c r="X13" s="488"/>
      <c r="Y13" s="488"/>
      <c r="Z13" s="488">
        <v>26</v>
      </c>
      <c r="AA13" s="489">
        <v>26</v>
      </c>
      <c r="AB13" s="488"/>
      <c r="AC13" s="488"/>
      <c r="AD13" s="488"/>
      <c r="AE13" s="488">
        <v>29</v>
      </c>
      <c r="AF13" s="495">
        <v>29</v>
      </c>
      <c r="AG13" s="490"/>
      <c r="AH13" s="488"/>
      <c r="AI13" s="488">
        <v>2</v>
      </c>
      <c r="AJ13" s="488">
        <v>40</v>
      </c>
      <c r="AK13" s="489">
        <v>42</v>
      </c>
      <c r="AL13" s="490"/>
      <c r="AM13" s="488"/>
      <c r="AN13" s="488">
        <v>2</v>
      </c>
      <c r="AO13" s="488">
        <v>44</v>
      </c>
      <c r="AP13" s="489">
        <f>SUM(AL13:AO13)</f>
        <v>46</v>
      </c>
      <c r="AQ13" s="727"/>
      <c r="AR13" s="728"/>
      <c r="AS13" s="728">
        <v>2</v>
      </c>
      <c r="AT13" s="728">
        <v>51</v>
      </c>
      <c r="AU13" s="729">
        <f>SUM(AQ13:AT13)</f>
        <v>53</v>
      </c>
      <c r="AV13" s="727"/>
      <c r="AW13" s="728"/>
      <c r="AX13" s="728">
        <v>2</v>
      </c>
      <c r="AY13" s="728">
        <v>54</v>
      </c>
      <c r="AZ13" s="729">
        <f>SUM(AV13:AY13)</f>
        <v>56</v>
      </c>
      <c r="BA13" s="727"/>
      <c r="BB13" s="728"/>
      <c r="BC13" s="728">
        <v>2</v>
      </c>
      <c r="BD13" s="728">
        <v>61</v>
      </c>
      <c r="BE13" s="729">
        <f>SUM(BA13:BD13)</f>
        <v>63</v>
      </c>
      <c r="BF13" s="727"/>
      <c r="BG13" s="728"/>
      <c r="BH13" s="728">
        <v>3</v>
      </c>
      <c r="BI13" s="728">
        <v>69</v>
      </c>
      <c r="BJ13" s="729">
        <f>SUM(BF13:BI13)</f>
        <v>72</v>
      </c>
      <c r="BK13" s="727"/>
      <c r="BL13" s="728"/>
      <c r="BM13" s="728">
        <v>3</v>
      </c>
      <c r="BN13" s="728">
        <v>71</v>
      </c>
      <c r="BO13" s="729">
        <f>SUM(BK13:BN13)</f>
        <v>74</v>
      </c>
    </row>
    <row r="14" spans="1:67" ht="15" x14ac:dyDescent="0.2">
      <c r="A14" s="5672"/>
      <c r="B14" s="2904" t="s">
        <v>160</v>
      </c>
      <c r="C14" s="2967"/>
      <c r="D14" s="2968"/>
      <c r="E14" s="2968"/>
      <c r="F14" s="2968"/>
      <c r="G14" s="2968"/>
      <c r="H14" s="2969"/>
      <c r="I14" s="2970"/>
      <c r="J14" s="2970"/>
      <c r="K14" s="2970"/>
      <c r="L14" s="2971"/>
      <c r="M14" s="2969">
        <v>1</v>
      </c>
      <c r="N14" s="2970"/>
      <c r="O14" s="2970">
        <v>2</v>
      </c>
      <c r="P14" s="2970">
        <v>20</v>
      </c>
      <c r="Q14" s="2971">
        <v>23</v>
      </c>
      <c r="R14" s="2969"/>
      <c r="S14" s="2970"/>
      <c r="T14" s="2970">
        <v>10</v>
      </c>
      <c r="U14" s="2970">
        <v>47</v>
      </c>
      <c r="V14" s="2971">
        <v>57</v>
      </c>
      <c r="W14" s="2969"/>
      <c r="X14" s="2970"/>
      <c r="Y14" s="2970">
        <v>7</v>
      </c>
      <c r="Z14" s="2970">
        <v>68</v>
      </c>
      <c r="AA14" s="2971">
        <v>75</v>
      </c>
      <c r="AB14" s="2969"/>
      <c r="AC14" s="2970"/>
      <c r="AD14" s="2970">
        <v>9</v>
      </c>
      <c r="AE14" s="2970">
        <v>83</v>
      </c>
      <c r="AF14" s="2971">
        <v>92</v>
      </c>
      <c r="AG14" s="2969">
        <v>2</v>
      </c>
      <c r="AH14" s="2970"/>
      <c r="AI14" s="2970">
        <v>17</v>
      </c>
      <c r="AJ14" s="2970">
        <v>114</v>
      </c>
      <c r="AK14" s="2971">
        <v>133</v>
      </c>
      <c r="AL14" s="2969">
        <f t="shared" ref="AL14:AU14" si="2">SUM(AL11:AL13)</f>
        <v>3</v>
      </c>
      <c r="AM14" s="2970"/>
      <c r="AN14" s="2970">
        <f t="shared" si="2"/>
        <v>21</v>
      </c>
      <c r="AO14" s="2970">
        <f t="shared" si="2"/>
        <v>126</v>
      </c>
      <c r="AP14" s="2971">
        <f t="shared" si="2"/>
        <v>150</v>
      </c>
      <c r="AQ14" s="2972">
        <f t="shared" si="2"/>
        <v>3</v>
      </c>
      <c r="AR14" s="2973"/>
      <c r="AS14" s="2973">
        <f t="shared" si="2"/>
        <v>27</v>
      </c>
      <c r="AT14" s="2973">
        <f t="shared" si="2"/>
        <v>148</v>
      </c>
      <c r="AU14" s="2974">
        <f t="shared" si="2"/>
        <v>178</v>
      </c>
      <c r="AV14" s="2972">
        <f t="shared" ref="AV14:BA14" si="3">SUM(AV11:AV13)</f>
        <v>4</v>
      </c>
      <c r="AW14" s="2973">
        <f t="shared" si="3"/>
        <v>1</v>
      </c>
      <c r="AX14" s="2973">
        <f t="shared" si="3"/>
        <v>24</v>
      </c>
      <c r="AY14" s="2973">
        <f t="shared" si="3"/>
        <v>161</v>
      </c>
      <c r="AZ14" s="2974">
        <f t="shared" si="3"/>
        <v>190</v>
      </c>
      <c r="BA14" s="2972">
        <f t="shared" si="3"/>
        <v>2</v>
      </c>
      <c r="BB14" s="2973">
        <f t="shared" ref="BB14:BJ14" si="4">SUM(BB11:BB13)</f>
        <v>1</v>
      </c>
      <c r="BC14" s="2973">
        <f t="shared" si="4"/>
        <v>25</v>
      </c>
      <c r="BD14" s="2973">
        <f t="shared" si="4"/>
        <v>166</v>
      </c>
      <c r="BE14" s="2974">
        <f t="shared" si="4"/>
        <v>194</v>
      </c>
      <c r="BF14" s="2972">
        <f t="shared" si="4"/>
        <v>2</v>
      </c>
      <c r="BG14" s="2973">
        <f t="shared" si="4"/>
        <v>1</v>
      </c>
      <c r="BH14" s="2973">
        <f t="shared" si="4"/>
        <v>27</v>
      </c>
      <c r="BI14" s="2973">
        <f t="shared" si="4"/>
        <v>179</v>
      </c>
      <c r="BJ14" s="2974">
        <f t="shared" si="4"/>
        <v>209</v>
      </c>
      <c r="BK14" s="2972">
        <f t="shared" ref="BK14:BO14" si="5">SUM(BK11:BK13)</f>
        <v>2</v>
      </c>
      <c r="BL14" s="2973">
        <f t="shared" si="5"/>
        <v>1</v>
      </c>
      <c r="BM14" s="2973">
        <f t="shared" si="5"/>
        <v>31</v>
      </c>
      <c r="BN14" s="2973">
        <f t="shared" si="5"/>
        <v>188</v>
      </c>
      <c r="BO14" s="2974">
        <f t="shared" si="5"/>
        <v>222</v>
      </c>
    </row>
    <row r="15" spans="1:67" ht="15" x14ac:dyDescent="0.25">
      <c r="A15" s="251"/>
      <c r="B15" s="491"/>
      <c r="C15" s="491"/>
      <c r="D15" s="491"/>
      <c r="E15" s="491"/>
      <c r="F15" s="491"/>
      <c r="G15" s="491"/>
      <c r="H15" s="491"/>
      <c r="I15" s="491"/>
      <c r="J15" s="491"/>
      <c r="K15" s="491"/>
      <c r="L15" s="491"/>
      <c r="M15" s="491"/>
      <c r="N15" s="491"/>
      <c r="O15" s="491"/>
      <c r="P15" s="491"/>
      <c r="Q15" s="491"/>
      <c r="R15" s="491"/>
      <c r="S15" s="491"/>
      <c r="T15" s="491"/>
      <c r="U15" s="491"/>
      <c r="V15" s="491"/>
      <c r="W15" s="491"/>
      <c r="X15" s="491"/>
      <c r="Y15" s="491"/>
      <c r="Z15" s="491"/>
      <c r="AA15" s="491"/>
      <c r="AB15" s="491"/>
      <c r="AC15" s="491"/>
      <c r="AD15" s="491"/>
      <c r="AE15" s="491"/>
      <c r="AF15" s="491"/>
      <c r="AG15" s="491"/>
      <c r="AH15" s="491"/>
      <c r="AI15" s="491"/>
      <c r="AJ15" s="491"/>
      <c r="AK15" s="491"/>
      <c r="AL15" s="491"/>
      <c r="AM15" s="491"/>
      <c r="AN15" s="491"/>
      <c r="AO15" s="491"/>
      <c r="AP15" s="491"/>
      <c r="AQ15" s="491"/>
      <c r="AR15" s="491"/>
      <c r="AS15" s="491"/>
      <c r="AT15" s="491"/>
      <c r="AU15" s="491"/>
      <c r="AV15" s="491"/>
      <c r="AW15" s="491"/>
      <c r="AX15" s="491"/>
      <c r="AY15" s="491"/>
      <c r="AZ15" s="491"/>
      <c r="BA15" s="491"/>
      <c r="BB15" s="491"/>
      <c r="BC15" s="491"/>
      <c r="BD15" s="491"/>
      <c r="BE15" s="491"/>
      <c r="BF15" s="491"/>
      <c r="BG15" s="491"/>
      <c r="BH15" s="491"/>
      <c r="BI15" s="491"/>
      <c r="BJ15" s="491"/>
      <c r="BK15" s="491"/>
      <c r="BL15" s="491"/>
      <c r="BM15" s="491"/>
      <c r="BN15" s="491"/>
      <c r="BO15" s="491"/>
    </row>
    <row r="16" spans="1:67" ht="15" x14ac:dyDescent="0.2">
      <c r="A16" s="5678" t="s">
        <v>162</v>
      </c>
      <c r="B16" s="1426" t="s">
        <v>5</v>
      </c>
      <c r="C16" s="481">
        <v>23</v>
      </c>
      <c r="D16" s="481">
        <v>1</v>
      </c>
      <c r="E16" s="481">
        <v>58</v>
      </c>
      <c r="F16" s="481">
        <v>182</v>
      </c>
      <c r="G16" s="482">
        <v>264</v>
      </c>
      <c r="H16" s="483">
        <v>23</v>
      </c>
      <c r="I16" s="483">
        <v>1</v>
      </c>
      <c r="J16" s="483">
        <v>56</v>
      </c>
      <c r="K16" s="483">
        <v>194</v>
      </c>
      <c r="L16" s="484">
        <v>274</v>
      </c>
      <c r="M16" s="483">
        <v>18</v>
      </c>
      <c r="N16" s="483">
        <v>1</v>
      </c>
      <c r="O16" s="483">
        <v>58</v>
      </c>
      <c r="P16" s="483">
        <v>212</v>
      </c>
      <c r="Q16" s="484">
        <v>289</v>
      </c>
      <c r="R16" s="483">
        <v>16</v>
      </c>
      <c r="S16" s="483">
        <v>1</v>
      </c>
      <c r="T16" s="483">
        <v>57</v>
      </c>
      <c r="U16" s="483">
        <v>215</v>
      </c>
      <c r="V16" s="484">
        <v>289</v>
      </c>
      <c r="W16" s="483">
        <v>15</v>
      </c>
      <c r="X16" s="483">
        <v>1</v>
      </c>
      <c r="Y16" s="483">
        <v>53</v>
      </c>
      <c r="Z16" s="483">
        <v>221</v>
      </c>
      <c r="AA16" s="484">
        <v>290</v>
      </c>
      <c r="AB16" s="485">
        <v>15</v>
      </c>
      <c r="AC16" s="483">
        <v>1</v>
      </c>
      <c r="AD16" s="483">
        <v>51</v>
      </c>
      <c r="AE16" s="483">
        <v>221</v>
      </c>
      <c r="AF16" s="493">
        <v>288</v>
      </c>
      <c r="AG16" s="485">
        <v>15</v>
      </c>
      <c r="AH16" s="483">
        <v>1</v>
      </c>
      <c r="AI16" s="483">
        <v>51</v>
      </c>
      <c r="AJ16" s="483">
        <v>227</v>
      </c>
      <c r="AK16" s="484">
        <v>294</v>
      </c>
      <c r="AL16" s="485">
        <v>15</v>
      </c>
      <c r="AM16" s="483">
        <v>1</v>
      </c>
      <c r="AN16" s="483">
        <v>49</v>
      </c>
      <c r="AO16" s="483">
        <v>234</v>
      </c>
      <c r="AP16" s="484">
        <f>SUM(AL16:AO16)</f>
        <v>299</v>
      </c>
      <c r="AQ16" s="724">
        <v>15</v>
      </c>
      <c r="AR16" s="725">
        <v>1</v>
      </c>
      <c r="AS16" s="725">
        <v>46</v>
      </c>
      <c r="AT16" s="725">
        <v>241</v>
      </c>
      <c r="AU16" s="726">
        <f>SUM(AQ16:AT16)</f>
        <v>303</v>
      </c>
      <c r="AV16" s="724">
        <v>15</v>
      </c>
      <c r="AW16" s="725">
        <v>1</v>
      </c>
      <c r="AX16" s="725">
        <v>44</v>
      </c>
      <c r="AY16" s="725">
        <v>246</v>
      </c>
      <c r="AZ16" s="726">
        <f>SUM(AV16:AY16)</f>
        <v>306</v>
      </c>
      <c r="BA16" s="724">
        <v>14</v>
      </c>
      <c r="BB16" s="725">
        <v>1</v>
      </c>
      <c r="BC16" s="725">
        <v>43</v>
      </c>
      <c r="BD16" s="725">
        <v>255</v>
      </c>
      <c r="BE16" s="726">
        <f>SUM(BA16:BD16)</f>
        <v>313</v>
      </c>
      <c r="BF16" s="724">
        <v>14</v>
      </c>
      <c r="BG16" s="725">
        <v>1</v>
      </c>
      <c r="BH16" s="725">
        <v>43</v>
      </c>
      <c r="BI16" s="725">
        <v>256</v>
      </c>
      <c r="BJ16" s="726">
        <f>SUM(BF16:BI16)</f>
        <v>314</v>
      </c>
      <c r="BK16" s="724">
        <v>14</v>
      </c>
      <c r="BL16" s="725">
        <v>1</v>
      </c>
      <c r="BM16" s="725">
        <v>43</v>
      </c>
      <c r="BN16" s="725">
        <v>261</v>
      </c>
      <c r="BO16" s="726">
        <f>SUM(BK16:BN16)</f>
        <v>319</v>
      </c>
    </row>
    <row r="17" spans="1:67" ht="15" x14ac:dyDescent="0.2">
      <c r="A17" s="5679"/>
      <c r="B17" s="1427" t="s">
        <v>6</v>
      </c>
      <c r="C17" s="486">
        <v>71</v>
      </c>
      <c r="D17" s="486">
        <v>1</v>
      </c>
      <c r="E17" s="486">
        <v>102</v>
      </c>
      <c r="F17" s="486">
        <v>132</v>
      </c>
      <c r="G17" s="487">
        <v>306</v>
      </c>
      <c r="H17" s="488">
        <v>70</v>
      </c>
      <c r="I17" s="488">
        <v>1</v>
      </c>
      <c r="J17" s="488">
        <v>97</v>
      </c>
      <c r="K17" s="488">
        <v>142</v>
      </c>
      <c r="L17" s="489">
        <v>310</v>
      </c>
      <c r="M17" s="488">
        <v>55</v>
      </c>
      <c r="N17" s="488">
        <v>1</v>
      </c>
      <c r="O17" s="488">
        <v>100</v>
      </c>
      <c r="P17" s="488">
        <v>154</v>
      </c>
      <c r="Q17" s="489">
        <v>310</v>
      </c>
      <c r="R17" s="488">
        <v>54</v>
      </c>
      <c r="S17" s="488">
        <v>1</v>
      </c>
      <c r="T17" s="488">
        <v>92</v>
      </c>
      <c r="U17" s="488">
        <v>159</v>
      </c>
      <c r="V17" s="489">
        <v>306</v>
      </c>
      <c r="W17" s="488">
        <v>46</v>
      </c>
      <c r="X17" s="488">
        <v>2</v>
      </c>
      <c r="Y17" s="488">
        <v>93</v>
      </c>
      <c r="Z17" s="488">
        <v>162</v>
      </c>
      <c r="AA17" s="489">
        <v>303</v>
      </c>
      <c r="AB17" s="490">
        <v>43</v>
      </c>
      <c r="AC17" s="488">
        <v>2</v>
      </c>
      <c r="AD17" s="488">
        <v>90</v>
      </c>
      <c r="AE17" s="488">
        <v>170</v>
      </c>
      <c r="AF17" s="495">
        <v>305</v>
      </c>
      <c r="AG17" s="490">
        <v>39</v>
      </c>
      <c r="AH17" s="488">
        <v>2</v>
      </c>
      <c r="AI17" s="488">
        <v>95</v>
      </c>
      <c r="AJ17" s="488">
        <v>176</v>
      </c>
      <c r="AK17" s="489">
        <v>312</v>
      </c>
      <c r="AL17" s="490">
        <v>37</v>
      </c>
      <c r="AM17" s="488">
        <v>2</v>
      </c>
      <c r="AN17" s="488">
        <v>93</v>
      </c>
      <c r="AO17" s="488">
        <v>189</v>
      </c>
      <c r="AP17" s="489">
        <f>SUM(AL17:AO17)</f>
        <v>321</v>
      </c>
      <c r="AQ17" s="727">
        <v>36</v>
      </c>
      <c r="AR17" s="728">
        <v>2</v>
      </c>
      <c r="AS17" s="728">
        <v>78</v>
      </c>
      <c r="AT17" s="728">
        <v>204</v>
      </c>
      <c r="AU17" s="729">
        <f>SUM(AQ17:AT17)</f>
        <v>320</v>
      </c>
      <c r="AV17" s="727">
        <v>33</v>
      </c>
      <c r="AW17" s="728">
        <v>2</v>
      </c>
      <c r="AX17" s="728">
        <v>80</v>
      </c>
      <c r="AY17" s="728">
        <v>205</v>
      </c>
      <c r="AZ17" s="729">
        <f>SUM(AV17:AY17)</f>
        <v>320</v>
      </c>
      <c r="BA17" s="727">
        <v>33</v>
      </c>
      <c r="BB17" s="728">
        <v>1</v>
      </c>
      <c r="BC17" s="728">
        <v>78</v>
      </c>
      <c r="BD17" s="728">
        <v>214</v>
      </c>
      <c r="BE17" s="729">
        <f>SUM(BA17:BD17)</f>
        <v>326</v>
      </c>
      <c r="BF17" s="727">
        <v>33</v>
      </c>
      <c r="BG17" s="728">
        <v>1</v>
      </c>
      <c r="BH17" s="728">
        <v>78</v>
      </c>
      <c r="BI17" s="728">
        <v>216</v>
      </c>
      <c r="BJ17" s="729">
        <f>SUM(BF17:BI17)</f>
        <v>328</v>
      </c>
      <c r="BK17" s="727">
        <v>33</v>
      </c>
      <c r="BL17" s="728">
        <v>1</v>
      </c>
      <c r="BM17" s="728">
        <v>83</v>
      </c>
      <c r="BN17" s="728">
        <v>218</v>
      </c>
      <c r="BO17" s="729">
        <f>SUM(BK17:BN17)</f>
        <v>335</v>
      </c>
    </row>
    <row r="18" spans="1:67" ht="15" x14ac:dyDescent="0.2">
      <c r="A18" s="5679"/>
      <c r="B18" s="1427" t="s">
        <v>11</v>
      </c>
      <c r="C18" s="486">
        <v>31</v>
      </c>
      <c r="D18" s="486">
        <v>8</v>
      </c>
      <c r="E18" s="486">
        <v>72</v>
      </c>
      <c r="F18" s="486">
        <v>103</v>
      </c>
      <c r="G18" s="487">
        <v>214</v>
      </c>
      <c r="H18" s="488">
        <v>31</v>
      </c>
      <c r="I18" s="488">
        <v>7</v>
      </c>
      <c r="J18" s="488">
        <v>69</v>
      </c>
      <c r="K18" s="488">
        <v>111</v>
      </c>
      <c r="L18" s="489">
        <v>218</v>
      </c>
      <c r="M18" s="488">
        <v>24</v>
      </c>
      <c r="N18" s="488">
        <v>8</v>
      </c>
      <c r="O18" s="488">
        <v>72</v>
      </c>
      <c r="P18" s="488">
        <v>120</v>
      </c>
      <c r="Q18" s="489">
        <v>224</v>
      </c>
      <c r="R18" s="488">
        <v>20</v>
      </c>
      <c r="S18" s="488">
        <v>6</v>
      </c>
      <c r="T18" s="488">
        <v>67</v>
      </c>
      <c r="U18" s="488">
        <v>126</v>
      </c>
      <c r="V18" s="489">
        <v>219</v>
      </c>
      <c r="W18" s="488">
        <v>19</v>
      </c>
      <c r="X18" s="488">
        <v>6</v>
      </c>
      <c r="Y18" s="488">
        <v>65</v>
      </c>
      <c r="Z18" s="488">
        <v>133</v>
      </c>
      <c r="AA18" s="489">
        <v>223</v>
      </c>
      <c r="AB18" s="490">
        <v>19</v>
      </c>
      <c r="AC18" s="488">
        <v>4</v>
      </c>
      <c r="AD18" s="488">
        <v>61</v>
      </c>
      <c r="AE18" s="488">
        <v>141</v>
      </c>
      <c r="AF18" s="495">
        <v>225</v>
      </c>
      <c r="AG18" s="490">
        <v>17</v>
      </c>
      <c r="AH18" s="488">
        <v>4</v>
      </c>
      <c r="AI18" s="488">
        <v>57</v>
      </c>
      <c r="AJ18" s="488">
        <v>149</v>
      </c>
      <c r="AK18" s="489">
        <v>227</v>
      </c>
      <c r="AL18" s="490">
        <v>17</v>
      </c>
      <c r="AM18" s="488">
        <v>4</v>
      </c>
      <c r="AN18" s="488">
        <v>54</v>
      </c>
      <c r="AO18" s="488">
        <v>166</v>
      </c>
      <c r="AP18" s="489">
        <f>SUM(AL18:AO18)</f>
        <v>241</v>
      </c>
      <c r="AQ18" s="727">
        <v>17</v>
      </c>
      <c r="AR18" s="728">
        <v>3</v>
      </c>
      <c r="AS18" s="728">
        <v>53</v>
      </c>
      <c r="AT18" s="728">
        <v>177</v>
      </c>
      <c r="AU18" s="729">
        <f>SUM(AQ18:AT18)</f>
        <v>250</v>
      </c>
      <c r="AV18" s="727">
        <v>17</v>
      </c>
      <c r="AW18" s="728">
        <v>3</v>
      </c>
      <c r="AX18" s="728">
        <v>56</v>
      </c>
      <c r="AY18" s="728">
        <v>175</v>
      </c>
      <c r="AZ18" s="729">
        <f>SUM(AV18:AY18)</f>
        <v>251</v>
      </c>
      <c r="BA18" s="727">
        <v>14</v>
      </c>
      <c r="BB18" s="728">
        <v>4</v>
      </c>
      <c r="BC18" s="728">
        <v>58</v>
      </c>
      <c r="BD18" s="728">
        <v>185</v>
      </c>
      <c r="BE18" s="729">
        <f>SUM(BA18:BD18)</f>
        <v>261</v>
      </c>
      <c r="BF18" s="727">
        <v>15</v>
      </c>
      <c r="BG18" s="728">
        <v>4</v>
      </c>
      <c r="BH18" s="728">
        <v>57</v>
      </c>
      <c r="BI18" s="728">
        <v>189</v>
      </c>
      <c r="BJ18" s="729">
        <f>SUM(BF18:BI18)</f>
        <v>265</v>
      </c>
      <c r="BK18" s="727">
        <v>15</v>
      </c>
      <c r="BL18" s="728">
        <v>4</v>
      </c>
      <c r="BM18" s="728">
        <v>57</v>
      </c>
      <c r="BN18" s="728">
        <v>191</v>
      </c>
      <c r="BO18" s="729">
        <f>SUM(BK18:BN18)</f>
        <v>267</v>
      </c>
    </row>
    <row r="19" spans="1:67" ht="15" x14ac:dyDescent="0.2">
      <c r="A19" s="5680"/>
      <c r="B19" s="2904" t="s">
        <v>160</v>
      </c>
      <c r="C19" s="2959">
        <v>125</v>
      </c>
      <c r="D19" s="2960">
        <v>10</v>
      </c>
      <c r="E19" s="2960">
        <v>232</v>
      </c>
      <c r="F19" s="2960">
        <v>417</v>
      </c>
      <c r="G19" s="2960">
        <v>784</v>
      </c>
      <c r="H19" s="2961">
        <v>124</v>
      </c>
      <c r="I19" s="2962">
        <v>9</v>
      </c>
      <c r="J19" s="2962">
        <v>222</v>
      </c>
      <c r="K19" s="2962">
        <v>447</v>
      </c>
      <c r="L19" s="2963">
        <v>802</v>
      </c>
      <c r="M19" s="2961">
        <v>97</v>
      </c>
      <c r="N19" s="2962">
        <v>10</v>
      </c>
      <c r="O19" s="2962">
        <v>230</v>
      </c>
      <c r="P19" s="2962">
        <v>486</v>
      </c>
      <c r="Q19" s="2963">
        <v>823</v>
      </c>
      <c r="R19" s="2961">
        <v>90</v>
      </c>
      <c r="S19" s="2962">
        <v>8</v>
      </c>
      <c r="T19" s="2962">
        <v>216</v>
      </c>
      <c r="U19" s="2962">
        <v>500</v>
      </c>
      <c r="V19" s="2963">
        <v>814</v>
      </c>
      <c r="W19" s="2961">
        <v>80</v>
      </c>
      <c r="X19" s="2962">
        <v>9</v>
      </c>
      <c r="Y19" s="2962">
        <v>211</v>
      </c>
      <c r="Z19" s="2962">
        <v>516</v>
      </c>
      <c r="AA19" s="2963">
        <v>816</v>
      </c>
      <c r="AB19" s="2961">
        <v>77</v>
      </c>
      <c r="AC19" s="2962">
        <v>7</v>
      </c>
      <c r="AD19" s="2962">
        <v>202</v>
      </c>
      <c r="AE19" s="2962">
        <v>532</v>
      </c>
      <c r="AF19" s="2963">
        <v>818</v>
      </c>
      <c r="AG19" s="2961">
        <v>71</v>
      </c>
      <c r="AH19" s="2962">
        <v>7</v>
      </c>
      <c r="AI19" s="2962">
        <v>203</v>
      </c>
      <c r="AJ19" s="2962">
        <v>552</v>
      </c>
      <c r="AK19" s="2963">
        <v>833</v>
      </c>
      <c r="AL19" s="2961">
        <f>SUM(AL16:AL18)</f>
        <v>69</v>
      </c>
      <c r="AM19" s="2962">
        <f>SUM(AM16:AM18)</f>
        <v>7</v>
      </c>
      <c r="AN19" s="2962">
        <f>SUM(AN16:AN18)</f>
        <v>196</v>
      </c>
      <c r="AO19" s="2962">
        <f>SUM(AO16:AO18)</f>
        <v>589</v>
      </c>
      <c r="AP19" s="2963">
        <f>SUM(AL19:AO19)</f>
        <v>861</v>
      </c>
      <c r="AQ19" s="2964">
        <f>SUM(AQ16:AQ18)</f>
        <v>68</v>
      </c>
      <c r="AR19" s="2965">
        <f>SUM(AR16:AR18)</f>
        <v>6</v>
      </c>
      <c r="AS19" s="2965">
        <f>SUM(AS16:AS18)</f>
        <v>177</v>
      </c>
      <c r="AT19" s="2965">
        <f>SUM(AT16:AT18)</f>
        <v>622</v>
      </c>
      <c r="AU19" s="2966">
        <f>SUM(AQ19:AT19)</f>
        <v>873</v>
      </c>
      <c r="AV19" s="2964">
        <f>SUM(AV16:AV18)</f>
        <v>65</v>
      </c>
      <c r="AW19" s="2965">
        <f>SUM(AW16:AW18)</f>
        <v>6</v>
      </c>
      <c r="AX19" s="2965">
        <f>SUM(AX16:AX18)</f>
        <v>180</v>
      </c>
      <c r="AY19" s="2965">
        <f>SUM(AY16:AY18)</f>
        <v>626</v>
      </c>
      <c r="AZ19" s="2966">
        <f>SUM(AV19:AY19)</f>
        <v>877</v>
      </c>
      <c r="BA19" s="2964">
        <f t="shared" ref="BA19:BJ19" si="6">SUM(BA16:BA18)</f>
        <v>61</v>
      </c>
      <c r="BB19" s="2965">
        <f t="shared" si="6"/>
        <v>6</v>
      </c>
      <c r="BC19" s="2965">
        <f t="shared" si="6"/>
        <v>179</v>
      </c>
      <c r="BD19" s="2965">
        <f t="shared" si="6"/>
        <v>654</v>
      </c>
      <c r="BE19" s="2966">
        <f t="shared" si="6"/>
        <v>900</v>
      </c>
      <c r="BF19" s="2964">
        <f t="shared" si="6"/>
        <v>62</v>
      </c>
      <c r="BG19" s="2965">
        <f t="shared" si="6"/>
        <v>6</v>
      </c>
      <c r="BH19" s="2965">
        <f t="shared" si="6"/>
        <v>178</v>
      </c>
      <c r="BI19" s="2965">
        <f t="shared" si="6"/>
        <v>661</v>
      </c>
      <c r="BJ19" s="2966">
        <f t="shared" si="6"/>
        <v>907</v>
      </c>
      <c r="BK19" s="2964">
        <f t="shared" ref="BK19:BO19" si="7">SUM(BK16:BK18)</f>
        <v>62</v>
      </c>
      <c r="BL19" s="2965">
        <f t="shared" si="7"/>
        <v>6</v>
      </c>
      <c r="BM19" s="2965">
        <f t="shared" si="7"/>
        <v>183</v>
      </c>
      <c r="BN19" s="2965">
        <f t="shared" si="7"/>
        <v>670</v>
      </c>
      <c r="BO19" s="2966">
        <f t="shared" si="7"/>
        <v>921</v>
      </c>
    </row>
    <row r="20" spans="1:67" ht="15" x14ac:dyDescent="0.2">
      <c r="B20" s="1824"/>
      <c r="C20" s="1824"/>
      <c r="D20" s="1824"/>
      <c r="E20" s="1824"/>
      <c r="F20" s="1824"/>
      <c r="G20" s="1824"/>
      <c r="H20" s="1824"/>
      <c r="I20" s="1824"/>
      <c r="J20" s="1824"/>
      <c r="K20" s="1824"/>
      <c r="L20" s="1824"/>
      <c r="M20" s="1824"/>
      <c r="N20" s="1824"/>
      <c r="O20" s="1824"/>
      <c r="P20" s="1824"/>
      <c r="Q20" s="1824"/>
      <c r="R20" s="1824"/>
      <c r="S20" s="1824"/>
      <c r="T20" s="1824"/>
      <c r="U20" s="1824"/>
      <c r="V20" s="1824"/>
      <c r="W20" s="1824"/>
      <c r="X20" s="1824"/>
      <c r="Y20" s="1824"/>
      <c r="Z20" s="1824"/>
      <c r="AA20" s="1824"/>
      <c r="AB20" s="1824"/>
      <c r="AC20" s="1824"/>
      <c r="AD20" s="1824"/>
      <c r="AE20" s="1824"/>
      <c r="AF20" s="1824"/>
      <c r="AG20" s="1824"/>
      <c r="AH20" s="1824"/>
      <c r="AI20" s="1824"/>
      <c r="AJ20" s="1824"/>
      <c r="AK20" s="1824"/>
      <c r="AL20" s="1824"/>
      <c r="AM20" s="1824"/>
      <c r="AN20" s="1824"/>
      <c r="AO20" s="1824"/>
      <c r="AP20" s="1824"/>
      <c r="AQ20" s="1824"/>
      <c r="AR20" s="1824"/>
      <c r="AS20" s="1824"/>
      <c r="AT20" s="1824"/>
      <c r="AU20" s="1824"/>
      <c r="AV20" s="1824"/>
      <c r="AW20" s="1824"/>
      <c r="AX20" s="1824"/>
      <c r="AY20" s="1824"/>
      <c r="AZ20" s="1824"/>
      <c r="BA20" s="1824"/>
      <c r="BB20" s="1824"/>
      <c r="BC20" s="1824"/>
      <c r="BD20" s="1824"/>
      <c r="BE20" s="1824"/>
      <c r="BF20" s="1824"/>
      <c r="BG20" s="1824"/>
      <c r="BH20" s="1824"/>
      <c r="BI20" s="1824"/>
      <c r="BJ20" s="1824"/>
      <c r="BK20" s="1824"/>
      <c r="BL20" s="1824"/>
      <c r="BM20" s="1824"/>
      <c r="BN20" s="1824"/>
      <c r="BO20" s="1824"/>
    </row>
    <row r="21" spans="1:67" ht="15" x14ac:dyDescent="0.2">
      <c r="A21" s="6347" t="s">
        <v>411</v>
      </c>
      <c r="B21" s="1426" t="s">
        <v>5</v>
      </c>
      <c r="C21" s="481"/>
      <c r="D21" s="481"/>
      <c r="E21" s="481"/>
      <c r="F21" s="481"/>
      <c r="G21" s="482"/>
      <c r="H21" s="483"/>
      <c r="I21" s="483"/>
      <c r="J21" s="483"/>
      <c r="K21" s="483"/>
      <c r="L21" s="484"/>
      <c r="M21" s="483"/>
      <c r="N21" s="483"/>
      <c r="O21" s="483"/>
      <c r="P21" s="483"/>
      <c r="Q21" s="484"/>
      <c r="R21" s="483"/>
      <c r="S21" s="483"/>
      <c r="T21" s="483"/>
      <c r="U21" s="483"/>
      <c r="V21" s="484"/>
      <c r="W21" s="483"/>
      <c r="X21" s="483"/>
      <c r="Y21" s="483"/>
      <c r="Z21" s="483"/>
      <c r="AA21" s="484"/>
      <c r="AB21" s="485"/>
      <c r="AC21" s="483"/>
      <c r="AD21" s="483"/>
      <c r="AE21" s="483"/>
      <c r="AF21" s="493"/>
      <c r="AG21" s="485"/>
      <c r="AH21" s="483"/>
      <c r="AI21" s="483"/>
      <c r="AJ21" s="483"/>
      <c r="AK21" s="484"/>
      <c r="AL21" s="485"/>
      <c r="AM21" s="483"/>
      <c r="AN21" s="483"/>
      <c r="AO21" s="483"/>
      <c r="AP21" s="484"/>
      <c r="AQ21" s="724"/>
      <c r="AR21" s="725"/>
      <c r="AS21" s="725"/>
      <c r="AT21" s="725"/>
      <c r="AU21" s="726"/>
      <c r="AV21" s="724"/>
      <c r="AW21" s="725"/>
      <c r="AX21" s="725"/>
      <c r="AY21" s="725"/>
      <c r="AZ21" s="726"/>
      <c r="BA21" s="724"/>
      <c r="BB21" s="725"/>
      <c r="BC21" s="725">
        <v>1</v>
      </c>
      <c r="BD21" s="725">
        <v>7</v>
      </c>
      <c r="BE21" s="726">
        <f>SUM(BA21:BD21)</f>
        <v>8</v>
      </c>
      <c r="BF21" s="724"/>
      <c r="BG21" s="725"/>
      <c r="BH21" s="725">
        <v>2</v>
      </c>
      <c r="BI21" s="725">
        <v>9</v>
      </c>
      <c r="BJ21" s="726">
        <f>SUM(BF21:BI21)</f>
        <v>11</v>
      </c>
      <c r="BK21" s="724"/>
      <c r="BL21" s="725"/>
      <c r="BM21" s="725">
        <v>2</v>
      </c>
      <c r="BN21" s="725">
        <v>14</v>
      </c>
      <c r="BO21" s="726">
        <f>SUM(BK21:BN21)</f>
        <v>16</v>
      </c>
    </row>
    <row r="22" spans="1:67" ht="15" x14ac:dyDescent="0.2">
      <c r="A22" s="6348"/>
      <c r="B22" s="1427" t="s">
        <v>6</v>
      </c>
      <c r="C22" s="486"/>
      <c r="D22" s="486"/>
      <c r="E22" s="486"/>
      <c r="F22" s="486"/>
      <c r="G22" s="487"/>
      <c r="H22" s="488"/>
      <c r="I22" s="488"/>
      <c r="J22" s="488"/>
      <c r="K22" s="488"/>
      <c r="L22" s="489"/>
      <c r="M22" s="488"/>
      <c r="N22" s="488"/>
      <c r="O22" s="488"/>
      <c r="P22" s="488"/>
      <c r="Q22" s="489"/>
      <c r="R22" s="488"/>
      <c r="S22" s="488"/>
      <c r="T22" s="488"/>
      <c r="U22" s="488"/>
      <c r="V22" s="489"/>
      <c r="W22" s="488"/>
      <c r="X22" s="488"/>
      <c r="Y22" s="488"/>
      <c r="Z22" s="488"/>
      <c r="AA22" s="489"/>
      <c r="AB22" s="490"/>
      <c r="AC22" s="488"/>
      <c r="AD22" s="488"/>
      <c r="AE22" s="488"/>
      <c r="AF22" s="495"/>
      <c r="AG22" s="490"/>
      <c r="AH22" s="488"/>
      <c r="AI22" s="488"/>
      <c r="AJ22" s="488"/>
      <c r="AK22" s="489"/>
      <c r="AL22" s="490"/>
      <c r="AM22" s="488"/>
      <c r="AN22" s="488"/>
      <c r="AO22" s="488"/>
      <c r="AP22" s="489"/>
      <c r="AQ22" s="727"/>
      <c r="AR22" s="728"/>
      <c r="AS22" s="728"/>
      <c r="AT22" s="728"/>
      <c r="AU22" s="729"/>
      <c r="AV22" s="727"/>
      <c r="AW22" s="728"/>
      <c r="AX22" s="728"/>
      <c r="AY22" s="728"/>
      <c r="AZ22" s="729"/>
      <c r="BA22" s="727"/>
      <c r="BB22" s="728"/>
      <c r="BC22" s="728">
        <v>3</v>
      </c>
      <c r="BD22" s="728">
        <v>4</v>
      </c>
      <c r="BE22" s="729">
        <f>SUM(BA22:BD22)</f>
        <v>7</v>
      </c>
      <c r="BF22" s="727"/>
      <c r="BG22" s="728"/>
      <c r="BH22" s="728">
        <v>5</v>
      </c>
      <c r="BI22" s="728">
        <v>6</v>
      </c>
      <c r="BJ22" s="729">
        <f>SUM(BF22:BI22)</f>
        <v>11</v>
      </c>
      <c r="BK22" s="727"/>
      <c r="BL22" s="728"/>
      <c r="BM22" s="728">
        <v>2</v>
      </c>
      <c r="BN22" s="728">
        <v>11</v>
      </c>
      <c r="BO22" s="729">
        <f>SUM(BK22:BN22)</f>
        <v>13</v>
      </c>
    </row>
    <row r="23" spans="1:67" ht="15" x14ac:dyDescent="0.2">
      <c r="A23" s="6348"/>
      <c r="B23" s="1427" t="s">
        <v>11</v>
      </c>
      <c r="C23" s="486"/>
      <c r="D23" s="486"/>
      <c r="E23" s="486"/>
      <c r="F23" s="486"/>
      <c r="G23" s="487"/>
      <c r="H23" s="488"/>
      <c r="I23" s="488"/>
      <c r="J23" s="488"/>
      <c r="K23" s="488"/>
      <c r="L23" s="489"/>
      <c r="M23" s="488"/>
      <c r="N23" s="488"/>
      <c r="O23" s="488"/>
      <c r="P23" s="488"/>
      <c r="Q23" s="489"/>
      <c r="R23" s="488"/>
      <c r="S23" s="488"/>
      <c r="T23" s="488"/>
      <c r="U23" s="488"/>
      <c r="V23" s="489"/>
      <c r="W23" s="488"/>
      <c r="X23" s="488"/>
      <c r="Y23" s="488"/>
      <c r="Z23" s="488"/>
      <c r="AA23" s="489"/>
      <c r="AB23" s="490"/>
      <c r="AC23" s="488"/>
      <c r="AD23" s="488"/>
      <c r="AE23" s="488"/>
      <c r="AF23" s="495"/>
      <c r="AG23" s="490"/>
      <c r="AH23" s="488"/>
      <c r="AI23" s="488"/>
      <c r="AJ23" s="488"/>
      <c r="AK23" s="489"/>
      <c r="AL23" s="490"/>
      <c r="AM23" s="488"/>
      <c r="AN23" s="488"/>
      <c r="AO23" s="488"/>
      <c r="AP23" s="489"/>
      <c r="AQ23" s="727"/>
      <c r="AR23" s="728"/>
      <c r="AS23" s="728"/>
      <c r="AT23" s="728"/>
      <c r="AU23" s="729"/>
      <c r="AV23" s="727"/>
      <c r="AW23" s="728"/>
      <c r="AX23" s="728"/>
      <c r="AY23" s="728"/>
      <c r="AZ23" s="729"/>
      <c r="BA23" s="727">
        <v>1</v>
      </c>
      <c r="BB23" s="728"/>
      <c r="BC23" s="728"/>
      <c r="BD23" s="728">
        <v>13</v>
      </c>
      <c r="BE23" s="729">
        <f>SUM(BA23:BD23)</f>
        <v>14</v>
      </c>
      <c r="BF23" s="727"/>
      <c r="BG23" s="728"/>
      <c r="BH23" s="728"/>
      <c r="BI23" s="728">
        <v>14</v>
      </c>
      <c r="BJ23" s="729">
        <f>SUM(BF23:BI23)</f>
        <v>14</v>
      </c>
      <c r="BK23" s="727"/>
      <c r="BL23" s="728"/>
      <c r="BM23" s="728"/>
      <c r="BN23" s="728">
        <v>14</v>
      </c>
      <c r="BO23" s="729">
        <f>SUM(BK23:BN23)</f>
        <v>14</v>
      </c>
    </row>
    <row r="24" spans="1:67" ht="15" x14ac:dyDescent="0.2">
      <c r="A24" s="6349"/>
      <c r="B24" s="2904" t="s">
        <v>160</v>
      </c>
      <c r="C24" s="2951"/>
      <c r="D24" s="2952"/>
      <c r="E24" s="2952"/>
      <c r="F24" s="2952"/>
      <c r="G24" s="2952"/>
      <c r="H24" s="2953"/>
      <c r="I24" s="2954"/>
      <c r="J24" s="2954"/>
      <c r="K24" s="2954"/>
      <c r="L24" s="2955"/>
      <c r="M24" s="2953"/>
      <c r="N24" s="2954"/>
      <c r="O24" s="2954"/>
      <c r="P24" s="2954"/>
      <c r="Q24" s="2955"/>
      <c r="R24" s="2953"/>
      <c r="S24" s="2954"/>
      <c r="T24" s="2954"/>
      <c r="U24" s="2954"/>
      <c r="V24" s="2955"/>
      <c r="W24" s="2953"/>
      <c r="X24" s="2954"/>
      <c r="Y24" s="2954"/>
      <c r="Z24" s="2954"/>
      <c r="AA24" s="2955"/>
      <c r="AB24" s="2953"/>
      <c r="AC24" s="2954"/>
      <c r="AD24" s="2954"/>
      <c r="AE24" s="2954"/>
      <c r="AF24" s="2955"/>
      <c r="AG24" s="2953"/>
      <c r="AH24" s="2954"/>
      <c r="AI24" s="2954"/>
      <c r="AJ24" s="2954"/>
      <c r="AK24" s="2955"/>
      <c r="AL24" s="2953"/>
      <c r="AM24" s="2954"/>
      <c r="AN24" s="2954"/>
      <c r="AO24" s="2954"/>
      <c r="AP24" s="2955"/>
      <c r="AQ24" s="2956"/>
      <c r="AR24" s="2957"/>
      <c r="AS24" s="2957"/>
      <c r="AT24" s="2957"/>
      <c r="AU24" s="2958"/>
      <c r="AV24" s="2956"/>
      <c r="AW24" s="2957"/>
      <c r="AX24" s="2957"/>
      <c r="AY24" s="2957"/>
      <c r="AZ24" s="2958"/>
      <c r="BA24" s="2956">
        <f t="shared" ref="BA24:BJ24" si="8">SUM(BA21:BA23)</f>
        <v>1</v>
      </c>
      <c r="BB24" s="4379"/>
      <c r="BC24" s="2957">
        <f t="shared" si="8"/>
        <v>4</v>
      </c>
      <c r="BD24" s="2957">
        <f t="shared" si="8"/>
        <v>24</v>
      </c>
      <c r="BE24" s="2958">
        <f t="shared" si="8"/>
        <v>29</v>
      </c>
      <c r="BF24" s="2956"/>
      <c r="BG24" s="2957"/>
      <c r="BH24" s="2957">
        <f t="shared" si="8"/>
        <v>7</v>
      </c>
      <c r="BI24" s="2957">
        <f t="shared" si="8"/>
        <v>29</v>
      </c>
      <c r="BJ24" s="2958">
        <f t="shared" si="8"/>
        <v>36</v>
      </c>
      <c r="BK24" s="2956"/>
      <c r="BL24" s="2957"/>
      <c r="BM24" s="2957">
        <f t="shared" ref="BM24:BO24" si="9">SUM(BM21:BM23)</f>
        <v>4</v>
      </c>
      <c r="BN24" s="2957">
        <f t="shared" si="9"/>
        <v>39</v>
      </c>
      <c r="BO24" s="2958">
        <f t="shared" si="9"/>
        <v>43</v>
      </c>
    </row>
    <row r="25" spans="1:67" ht="15" x14ac:dyDescent="0.25">
      <c r="A25" s="251"/>
      <c r="B25" s="491"/>
      <c r="C25" s="491"/>
      <c r="D25" s="491"/>
      <c r="E25" s="491"/>
      <c r="F25" s="491"/>
      <c r="G25" s="491"/>
      <c r="H25" s="491"/>
      <c r="I25" s="491"/>
      <c r="J25" s="491"/>
      <c r="K25" s="491"/>
      <c r="L25" s="491"/>
      <c r="M25" s="491"/>
      <c r="N25" s="491"/>
      <c r="O25" s="491"/>
      <c r="P25" s="491"/>
      <c r="Q25" s="491"/>
      <c r="R25" s="491"/>
      <c r="S25" s="491"/>
      <c r="T25" s="491"/>
      <c r="U25" s="491"/>
      <c r="V25" s="491"/>
      <c r="W25" s="491"/>
      <c r="X25" s="491"/>
      <c r="Y25" s="491"/>
      <c r="Z25" s="491"/>
      <c r="AA25" s="491"/>
      <c r="AB25" s="491"/>
      <c r="AC25" s="491"/>
      <c r="AD25" s="491"/>
      <c r="AE25" s="491"/>
      <c r="AF25" s="491"/>
      <c r="AG25" s="491"/>
      <c r="AH25" s="491"/>
      <c r="AI25" s="491"/>
      <c r="AJ25" s="491"/>
      <c r="AK25" s="491"/>
      <c r="AL25" s="491"/>
      <c r="AM25" s="491"/>
      <c r="AN25" s="491"/>
      <c r="AO25" s="491"/>
      <c r="AP25" s="491"/>
      <c r="AQ25" s="491"/>
      <c r="AR25" s="491"/>
      <c r="AS25" s="491"/>
      <c r="AT25" s="491"/>
      <c r="AU25" s="491"/>
      <c r="AV25" s="491"/>
      <c r="AW25" s="491"/>
      <c r="AX25" s="491"/>
      <c r="AY25" s="491"/>
      <c r="AZ25" s="491"/>
      <c r="BA25" s="491"/>
      <c r="BB25" s="491"/>
      <c r="BC25" s="491"/>
      <c r="BD25" s="491"/>
      <c r="BE25" s="491"/>
      <c r="BF25" s="491"/>
      <c r="BG25" s="491"/>
      <c r="BH25" s="491"/>
      <c r="BI25" s="491"/>
      <c r="BJ25" s="491"/>
      <c r="BK25" s="491"/>
      <c r="BL25" s="491"/>
      <c r="BM25" s="491"/>
      <c r="BN25" s="491"/>
      <c r="BO25" s="491"/>
    </row>
    <row r="26" spans="1:67" ht="15" x14ac:dyDescent="0.2">
      <c r="A26" s="5661" t="s">
        <v>163</v>
      </c>
      <c r="B26" s="1426" t="s">
        <v>6</v>
      </c>
      <c r="C26" s="481">
        <v>129</v>
      </c>
      <c r="D26" s="481">
        <v>3</v>
      </c>
      <c r="E26" s="481">
        <v>154</v>
      </c>
      <c r="F26" s="481">
        <v>110</v>
      </c>
      <c r="G26" s="496">
        <v>396</v>
      </c>
      <c r="H26" s="485">
        <v>127</v>
      </c>
      <c r="I26" s="483">
        <v>3</v>
      </c>
      <c r="J26" s="483">
        <v>147</v>
      </c>
      <c r="K26" s="483">
        <v>117</v>
      </c>
      <c r="L26" s="484">
        <v>394</v>
      </c>
      <c r="M26" s="483">
        <v>99</v>
      </c>
      <c r="N26" s="483">
        <v>3</v>
      </c>
      <c r="O26" s="483">
        <v>153</v>
      </c>
      <c r="P26" s="483">
        <v>127</v>
      </c>
      <c r="Q26" s="493">
        <v>382</v>
      </c>
      <c r="R26" s="485">
        <v>98</v>
      </c>
      <c r="S26" s="483">
        <v>3</v>
      </c>
      <c r="T26" s="483">
        <v>153</v>
      </c>
      <c r="U26" s="483">
        <v>139</v>
      </c>
      <c r="V26" s="484">
        <v>393</v>
      </c>
      <c r="W26" s="483">
        <v>97</v>
      </c>
      <c r="X26" s="483">
        <v>2</v>
      </c>
      <c r="Y26" s="483">
        <v>143</v>
      </c>
      <c r="Z26" s="483">
        <v>134</v>
      </c>
      <c r="AA26" s="493">
        <v>376</v>
      </c>
      <c r="AB26" s="485">
        <v>88</v>
      </c>
      <c r="AC26" s="483">
        <v>2</v>
      </c>
      <c r="AD26" s="483">
        <v>139</v>
      </c>
      <c r="AE26" s="483">
        <v>160</v>
      </c>
      <c r="AF26" s="484">
        <v>389</v>
      </c>
      <c r="AG26" s="483">
        <v>80</v>
      </c>
      <c r="AH26" s="483">
        <v>3</v>
      </c>
      <c r="AI26" s="483">
        <v>133</v>
      </c>
      <c r="AJ26" s="483">
        <v>160</v>
      </c>
      <c r="AK26" s="484">
        <v>376</v>
      </c>
      <c r="AL26" s="483">
        <v>78</v>
      </c>
      <c r="AM26" s="483">
        <v>3</v>
      </c>
      <c r="AN26" s="483">
        <v>137</v>
      </c>
      <c r="AO26" s="483">
        <v>164</v>
      </c>
      <c r="AP26" s="484">
        <f>SUM(AL26:AO26)</f>
        <v>382</v>
      </c>
      <c r="AQ26" s="725">
        <v>77</v>
      </c>
      <c r="AR26" s="725">
        <v>3</v>
      </c>
      <c r="AS26" s="725">
        <v>132</v>
      </c>
      <c r="AT26" s="725">
        <v>181</v>
      </c>
      <c r="AU26" s="726">
        <f>SUM(AQ26:AT26)</f>
        <v>393</v>
      </c>
      <c r="AV26" s="725">
        <v>76</v>
      </c>
      <c r="AW26" s="725">
        <v>2</v>
      </c>
      <c r="AX26" s="725">
        <v>132</v>
      </c>
      <c r="AY26" s="725">
        <v>190</v>
      </c>
      <c r="AZ26" s="726">
        <f>SUM(AV26:AY26)</f>
        <v>400</v>
      </c>
      <c r="BA26" s="725">
        <v>69</v>
      </c>
      <c r="BB26" s="725">
        <v>4</v>
      </c>
      <c r="BC26" s="725">
        <v>128</v>
      </c>
      <c r="BD26" s="725">
        <v>204</v>
      </c>
      <c r="BE26" s="726">
        <f>SUM(BA26:BD26)</f>
        <v>405</v>
      </c>
      <c r="BF26" s="725">
        <v>69</v>
      </c>
      <c r="BG26" s="725">
        <v>4</v>
      </c>
      <c r="BH26" s="725">
        <v>129</v>
      </c>
      <c r="BI26" s="725">
        <v>206</v>
      </c>
      <c r="BJ26" s="726">
        <f>SUM(BF26:BI26)</f>
        <v>408</v>
      </c>
      <c r="BK26" s="725">
        <v>69</v>
      </c>
      <c r="BL26" s="725">
        <v>4</v>
      </c>
      <c r="BM26" s="725">
        <v>131</v>
      </c>
      <c r="BN26" s="725">
        <v>206</v>
      </c>
      <c r="BO26" s="726">
        <f>SUM(BK26:BN26)</f>
        <v>410</v>
      </c>
    </row>
    <row r="27" spans="1:67" ht="15" x14ac:dyDescent="0.2">
      <c r="A27" s="5662"/>
      <c r="B27" s="1427" t="s">
        <v>11</v>
      </c>
      <c r="C27" s="486">
        <v>95</v>
      </c>
      <c r="D27" s="486">
        <v>8</v>
      </c>
      <c r="E27" s="486">
        <v>158</v>
      </c>
      <c r="F27" s="486">
        <v>98</v>
      </c>
      <c r="G27" s="497">
        <v>359</v>
      </c>
      <c r="H27" s="490">
        <v>94</v>
      </c>
      <c r="I27" s="488">
        <v>7</v>
      </c>
      <c r="J27" s="488">
        <v>150</v>
      </c>
      <c r="K27" s="488">
        <v>106</v>
      </c>
      <c r="L27" s="489">
        <v>357</v>
      </c>
      <c r="M27" s="488">
        <v>74</v>
      </c>
      <c r="N27" s="488">
        <v>8</v>
      </c>
      <c r="O27" s="488">
        <v>157</v>
      </c>
      <c r="P27" s="488">
        <v>113</v>
      </c>
      <c r="Q27" s="495">
        <v>352</v>
      </c>
      <c r="R27" s="490">
        <v>72</v>
      </c>
      <c r="S27" s="488">
        <v>12</v>
      </c>
      <c r="T27" s="488">
        <v>164</v>
      </c>
      <c r="U27" s="488">
        <v>127</v>
      </c>
      <c r="V27" s="489">
        <v>375</v>
      </c>
      <c r="W27" s="488">
        <v>68</v>
      </c>
      <c r="X27" s="488">
        <v>15</v>
      </c>
      <c r="Y27" s="488">
        <v>161</v>
      </c>
      <c r="Z27" s="488">
        <v>126</v>
      </c>
      <c r="AA27" s="495">
        <v>370</v>
      </c>
      <c r="AB27" s="490">
        <v>63</v>
      </c>
      <c r="AC27" s="488">
        <v>14</v>
      </c>
      <c r="AD27" s="488">
        <v>155</v>
      </c>
      <c r="AE27" s="488">
        <v>146</v>
      </c>
      <c r="AF27" s="489">
        <v>378</v>
      </c>
      <c r="AG27" s="488">
        <v>51</v>
      </c>
      <c r="AH27" s="488">
        <v>13</v>
      </c>
      <c r="AI27" s="488">
        <v>141</v>
      </c>
      <c r="AJ27" s="488">
        <v>150</v>
      </c>
      <c r="AK27" s="489">
        <v>355</v>
      </c>
      <c r="AL27" s="488">
        <v>51</v>
      </c>
      <c r="AM27" s="488">
        <v>13</v>
      </c>
      <c r="AN27" s="488">
        <v>141</v>
      </c>
      <c r="AO27" s="488">
        <v>152</v>
      </c>
      <c r="AP27" s="489">
        <f>SUM(AL27:AO27)</f>
        <v>357</v>
      </c>
      <c r="AQ27" s="728">
        <v>50</v>
      </c>
      <c r="AR27" s="728">
        <v>22</v>
      </c>
      <c r="AS27" s="728">
        <v>129</v>
      </c>
      <c r="AT27" s="728">
        <v>161</v>
      </c>
      <c r="AU27" s="729">
        <f>SUM(AQ27:AT27)</f>
        <v>362</v>
      </c>
      <c r="AV27" s="728">
        <v>49</v>
      </c>
      <c r="AW27" s="728">
        <v>11</v>
      </c>
      <c r="AX27" s="728">
        <v>135</v>
      </c>
      <c r="AY27" s="728">
        <v>173</v>
      </c>
      <c r="AZ27" s="729">
        <f>SUM(AV27:AY27)</f>
        <v>368</v>
      </c>
      <c r="BA27" s="728">
        <v>48</v>
      </c>
      <c r="BB27" s="728">
        <v>10</v>
      </c>
      <c r="BC27" s="728">
        <v>140</v>
      </c>
      <c r="BD27" s="728">
        <v>184</v>
      </c>
      <c r="BE27" s="729">
        <f>SUM(BA27:BD27)</f>
        <v>382</v>
      </c>
      <c r="BF27" s="728">
        <v>48</v>
      </c>
      <c r="BG27" s="728">
        <v>11</v>
      </c>
      <c r="BH27" s="728">
        <v>142</v>
      </c>
      <c r="BI27" s="728">
        <v>190</v>
      </c>
      <c r="BJ27" s="729">
        <f>SUM(BF27:BI27)</f>
        <v>391</v>
      </c>
      <c r="BK27" s="728">
        <v>48</v>
      </c>
      <c r="BL27" s="728">
        <v>11</v>
      </c>
      <c r="BM27" s="728">
        <v>145</v>
      </c>
      <c r="BN27" s="728">
        <v>192</v>
      </c>
      <c r="BO27" s="729">
        <f>SUM(BK27:BN27)</f>
        <v>396</v>
      </c>
    </row>
    <row r="28" spans="1:67" ht="15" x14ac:dyDescent="0.2">
      <c r="A28" s="5662"/>
      <c r="B28" s="1427" t="s">
        <v>7</v>
      </c>
      <c r="C28" s="486">
        <v>92</v>
      </c>
      <c r="D28" s="486">
        <v>5</v>
      </c>
      <c r="E28" s="486">
        <v>62</v>
      </c>
      <c r="F28" s="486">
        <v>21</v>
      </c>
      <c r="G28" s="497">
        <v>180</v>
      </c>
      <c r="H28" s="490">
        <v>91</v>
      </c>
      <c r="I28" s="488">
        <v>4</v>
      </c>
      <c r="J28" s="488">
        <v>59</v>
      </c>
      <c r="K28" s="488">
        <v>23</v>
      </c>
      <c r="L28" s="489">
        <v>177</v>
      </c>
      <c r="M28" s="488">
        <v>71</v>
      </c>
      <c r="N28" s="488">
        <v>5</v>
      </c>
      <c r="O28" s="488">
        <v>62</v>
      </c>
      <c r="P28" s="488">
        <v>23</v>
      </c>
      <c r="Q28" s="495">
        <v>161</v>
      </c>
      <c r="R28" s="490">
        <v>69</v>
      </c>
      <c r="S28" s="488">
        <v>5</v>
      </c>
      <c r="T28" s="488">
        <v>63</v>
      </c>
      <c r="U28" s="488">
        <v>24</v>
      </c>
      <c r="V28" s="489">
        <v>161</v>
      </c>
      <c r="W28" s="488">
        <v>60</v>
      </c>
      <c r="X28" s="488">
        <v>2</v>
      </c>
      <c r="Y28" s="488">
        <v>63</v>
      </c>
      <c r="Z28" s="488">
        <v>25</v>
      </c>
      <c r="AA28" s="495">
        <v>150</v>
      </c>
      <c r="AB28" s="490">
        <v>60</v>
      </c>
      <c r="AC28" s="488">
        <v>2</v>
      </c>
      <c r="AD28" s="488">
        <v>63</v>
      </c>
      <c r="AE28" s="488">
        <v>29</v>
      </c>
      <c r="AF28" s="489">
        <v>154</v>
      </c>
      <c r="AG28" s="488">
        <v>60</v>
      </c>
      <c r="AH28" s="488">
        <v>2</v>
      </c>
      <c r="AI28" s="488">
        <v>59</v>
      </c>
      <c r="AJ28" s="488">
        <v>32</v>
      </c>
      <c r="AK28" s="489">
        <v>153</v>
      </c>
      <c r="AL28" s="488">
        <v>58</v>
      </c>
      <c r="AM28" s="488">
        <v>2</v>
      </c>
      <c r="AN28" s="488">
        <v>60</v>
      </c>
      <c r="AO28" s="488">
        <v>32</v>
      </c>
      <c r="AP28" s="489">
        <f>SUM(AL28:AO28)</f>
        <v>152</v>
      </c>
      <c r="AQ28" s="728">
        <v>57</v>
      </c>
      <c r="AR28" s="728">
        <v>2</v>
      </c>
      <c r="AS28" s="728">
        <v>64</v>
      </c>
      <c r="AT28" s="728">
        <v>33</v>
      </c>
      <c r="AU28" s="729">
        <f>SUM(AQ28:AT28)</f>
        <v>156</v>
      </c>
      <c r="AV28" s="728">
        <v>54</v>
      </c>
      <c r="AW28" s="728">
        <v>3</v>
      </c>
      <c r="AX28" s="728">
        <v>66</v>
      </c>
      <c r="AY28" s="728">
        <v>35</v>
      </c>
      <c r="AZ28" s="729">
        <f>SUM(AV28:AY28)</f>
        <v>158</v>
      </c>
      <c r="BA28" s="728">
        <v>49</v>
      </c>
      <c r="BB28" s="728">
        <v>3</v>
      </c>
      <c r="BC28" s="728">
        <v>69</v>
      </c>
      <c r="BD28" s="728">
        <v>39</v>
      </c>
      <c r="BE28" s="729">
        <f>SUM(BA28:BD28)</f>
        <v>160</v>
      </c>
      <c r="BF28" s="728">
        <v>49</v>
      </c>
      <c r="BG28" s="728">
        <v>3</v>
      </c>
      <c r="BH28" s="728">
        <v>71</v>
      </c>
      <c r="BI28" s="728">
        <v>39</v>
      </c>
      <c r="BJ28" s="729">
        <f>SUM(BF28:BI28)</f>
        <v>162</v>
      </c>
      <c r="BK28" s="728">
        <v>49</v>
      </c>
      <c r="BL28" s="728">
        <v>3</v>
      </c>
      <c r="BM28" s="728">
        <v>74</v>
      </c>
      <c r="BN28" s="728">
        <v>38</v>
      </c>
      <c r="BO28" s="729">
        <f>SUM(BK28:BN28)</f>
        <v>164</v>
      </c>
    </row>
    <row r="29" spans="1:67" ht="15" x14ac:dyDescent="0.2">
      <c r="A29" s="5663"/>
      <c r="B29" s="2904" t="s">
        <v>160</v>
      </c>
      <c r="C29" s="2943">
        <v>316</v>
      </c>
      <c r="D29" s="2944">
        <v>16</v>
      </c>
      <c r="E29" s="2944">
        <v>374</v>
      </c>
      <c r="F29" s="2944">
        <v>229</v>
      </c>
      <c r="G29" s="2944">
        <v>935</v>
      </c>
      <c r="H29" s="2945">
        <v>312</v>
      </c>
      <c r="I29" s="2946">
        <v>14</v>
      </c>
      <c r="J29" s="2946">
        <v>356</v>
      </c>
      <c r="K29" s="2946">
        <v>246</v>
      </c>
      <c r="L29" s="2947">
        <v>928</v>
      </c>
      <c r="M29" s="2945">
        <v>244</v>
      </c>
      <c r="N29" s="2946">
        <v>16</v>
      </c>
      <c r="O29" s="2946">
        <v>372</v>
      </c>
      <c r="P29" s="2946">
        <v>263</v>
      </c>
      <c r="Q29" s="2947">
        <v>895</v>
      </c>
      <c r="R29" s="2945">
        <v>239</v>
      </c>
      <c r="S29" s="2946">
        <v>20</v>
      </c>
      <c r="T29" s="2946">
        <v>380</v>
      </c>
      <c r="U29" s="2946">
        <v>290</v>
      </c>
      <c r="V29" s="2947">
        <v>929</v>
      </c>
      <c r="W29" s="2945">
        <v>225</v>
      </c>
      <c r="X29" s="2946">
        <v>19</v>
      </c>
      <c r="Y29" s="2946">
        <v>367</v>
      </c>
      <c r="Z29" s="2946">
        <v>285</v>
      </c>
      <c r="AA29" s="2947">
        <v>896</v>
      </c>
      <c r="AB29" s="2945">
        <v>211</v>
      </c>
      <c r="AC29" s="2946">
        <v>18</v>
      </c>
      <c r="AD29" s="2946">
        <v>357</v>
      </c>
      <c r="AE29" s="2946">
        <v>335</v>
      </c>
      <c r="AF29" s="2947">
        <v>921</v>
      </c>
      <c r="AG29" s="2945">
        <v>191</v>
      </c>
      <c r="AH29" s="2946">
        <v>18</v>
      </c>
      <c r="AI29" s="2946">
        <v>333</v>
      </c>
      <c r="AJ29" s="2946">
        <v>342</v>
      </c>
      <c r="AK29" s="2947">
        <v>884</v>
      </c>
      <c r="AL29" s="2945">
        <f t="shared" ref="AL29:AU29" si="10">SUM(AL26:AL28)</f>
        <v>187</v>
      </c>
      <c r="AM29" s="2946">
        <f t="shared" si="10"/>
        <v>18</v>
      </c>
      <c r="AN29" s="2946">
        <f t="shared" si="10"/>
        <v>338</v>
      </c>
      <c r="AO29" s="2946">
        <f t="shared" si="10"/>
        <v>348</v>
      </c>
      <c r="AP29" s="2947">
        <f t="shared" si="10"/>
        <v>891</v>
      </c>
      <c r="AQ29" s="2948">
        <f t="shared" si="10"/>
        <v>184</v>
      </c>
      <c r="AR29" s="2949">
        <f t="shared" si="10"/>
        <v>27</v>
      </c>
      <c r="AS29" s="2949">
        <f t="shared" si="10"/>
        <v>325</v>
      </c>
      <c r="AT29" s="2949">
        <f t="shared" si="10"/>
        <v>375</v>
      </c>
      <c r="AU29" s="2950">
        <f t="shared" si="10"/>
        <v>911</v>
      </c>
      <c r="AV29" s="2948">
        <f t="shared" ref="AV29:BA29" si="11">SUM(AV26:AV28)</f>
        <v>179</v>
      </c>
      <c r="AW29" s="2949">
        <f t="shared" si="11"/>
        <v>16</v>
      </c>
      <c r="AX29" s="2949">
        <f t="shared" si="11"/>
        <v>333</v>
      </c>
      <c r="AY29" s="2949">
        <f t="shared" si="11"/>
        <v>398</v>
      </c>
      <c r="AZ29" s="2950">
        <f t="shared" si="11"/>
        <v>926</v>
      </c>
      <c r="BA29" s="2948">
        <f t="shared" si="11"/>
        <v>166</v>
      </c>
      <c r="BB29" s="2949">
        <f t="shared" ref="BB29:BJ29" si="12">SUM(BB26:BB28)</f>
        <v>17</v>
      </c>
      <c r="BC29" s="2949">
        <f t="shared" si="12"/>
        <v>337</v>
      </c>
      <c r="BD29" s="2949">
        <f t="shared" si="12"/>
        <v>427</v>
      </c>
      <c r="BE29" s="2950">
        <f t="shared" si="12"/>
        <v>947</v>
      </c>
      <c r="BF29" s="2948">
        <f t="shared" si="12"/>
        <v>166</v>
      </c>
      <c r="BG29" s="2949">
        <f t="shared" si="12"/>
        <v>18</v>
      </c>
      <c r="BH29" s="2949">
        <f t="shared" si="12"/>
        <v>342</v>
      </c>
      <c r="BI29" s="2949">
        <f t="shared" si="12"/>
        <v>435</v>
      </c>
      <c r="BJ29" s="2950">
        <f t="shared" si="12"/>
        <v>961</v>
      </c>
      <c r="BK29" s="2948">
        <f t="shared" ref="BK29:BO29" si="13">SUM(BK26:BK28)</f>
        <v>166</v>
      </c>
      <c r="BL29" s="2949">
        <f t="shared" si="13"/>
        <v>18</v>
      </c>
      <c r="BM29" s="2949">
        <f t="shared" si="13"/>
        <v>350</v>
      </c>
      <c r="BN29" s="2949">
        <f t="shared" si="13"/>
        <v>436</v>
      </c>
      <c r="BO29" s="2950">
        <f t="shared" si="13"/>
        <v>970</v>
      </c>
    </row>
    <row r="30" spans="1:67" ht="15" x14ac:dyDescent="0.2">
      <c r="A30" s="480"/>
      <c r="B30" s="480"/>
      <c r="C30" s="480"/>
      <c r="D30" s="480"/>
      <c r="E30" s="480"/>
      <c r="F30" s="480"/>
      <c r="G30" s="480"/>
      <c r="H30" s="480"/>
      <c r="I30" s="480"/>
      <c r="J30" s="480"/>
      <c r="K30" s="480"/>
      <c r="L30" s="480"/>
      <c r="M30" s="480"/>
      <c r="N30" s="480"/>
      <c r="O30" s="480"/>
      <c r="P30" s="480"/>
      <c r="Q30" s="480"/>
      <c r="R30" s="480"/>
      <c r="S30" s="480"/>
      <c r="T30" s="480"/>
      <c r="U30" s="480"/>
      <c r="V30" s="480"/>
      <c r="W30" s="480"/>
      <c r="X30" s="480"/>
      <c r="Y30" s="480"/>
      <c r="Z30" s="480"/>
      <c r="AA30" s="480"/>
      <c r="AB30" s="480"/>
      <c r="AC30" s="480"/>
      <c r="AD30" s="480"/>
      <c r="AE30" s="480"/>
      <c r="AF30" s="480"/>
      <c r="AG30" s="480"/>
      <c r="AH30" s="480"/>
      <c r="AI30" s="480"/>
      <c r="AJ30" s="480"/>
      <c r="AK30" s="480"/>
      <c r="AL30" s="480"/>
      <c r="AM30" s="480"/>
      <c r="AN30" s="480"/>
      <c r="AO30" s="480"/>
      <c r="AP30" s="480"/>
      <c r="AQ30" s="480"/>
      <c r="AR30" s="480"/>
      <c r="AS30" s="480"/>
      <c r="AT30" s="480"/>
      <c r="AU30" s="480"/>
      <c r="AV30" s="480"/>
      <c r="AW30" s="480"/>
      <c r="AX30" s="480"/>
      <c r="AY30" s="480"/>
      <c r="AZ30" s="480"/>
      <c r="BA30" s="480"/>
      <c r="BB30" s="480"/>
      <c r="BC30" s="480"/>
      <c r="BD30" s="480"/>
      <c r="BE30" s="480"/>
      <c r="BF30" s="480"/>
      <c r="BG30" s="480"/>
      <c r="BH30" s="480"/>
      <c r="BI30" s="480"/>
      <c r="BJ30" s="480"/>
      <c r="BK30" s="480"/>
      <c r="BL30" s="480"/>
      <c r="BM30" s="480"/>
      <c r="BN30" s="480"/>
      <c r="BO30" s="480"/>
    </row>
    <row r="31" spans="1:67" ht="15" x14ac:dyDescent="0.2">
      <c r="A31" s="6345" t="s">
        <v>586</v>
      </c>
      <c r="B31" s="6346"/>
      <c r="C31" s="701">
        <v>765</v>
      </c>
      <c r="D31" s="701">
        <v>48</v>
      </c>
      <c r="E31" s="701">
        <v>931</v>
      </c>
      <c r="F31" s="701">
        <v>875</v>
      </c>
      <c r="G31" s="701">
        <v>2619</v>
      </c>
      <c r="H31" s="702">
        <v>756</v>
      </c>
      <c r="I31" s="703">
        <v>44</v>
      </c>
      <c r="J31" s="703">
        <v>889</v>
      </c>
      <c r="K31" s="703">
        <v>938</v>
      </c>
      <c r="L31" s="704">
        <v>2627</v>
      </c>
      <c r="M31" s="702">
        <v>593</v>
      </c>
      <c r="N31" s="703">
        <v>50</v>
      </c>
      <c r="O31" s="703">
        <v>929</v>
      </c>
      <c r="P31" s="703">
        <v>1033</v>
      </c>
      <c r="Q31" s="704">
        <v>2605</v>
      </c>
      <c r="R31" s="702">
        <v>574</v>
      </c>
      <c r="S31" s="703">
        <v>50</v>
      </c>
      <c r="T31" s="703">
        <v>941</v>
      </c>
      <c r="U31" s="703">
        <v>1110</v>
      </c>
      <c r="V31" s="704">
        <v>2675</v>
      </c>
      <c r="W31" s="702">
        <v>520</v>
      </c>
      <c r="X31" s="703">
        <v>46</v>
      </c>
      <c r="Y31" s="703">
        <v>921</v>
      </c>
      <c r="Z31" s="703">
        <v>1162</v>
      </c>
      <c r="AA31" s="704">
        <v>2649</v>
      </c>
      <c r="AB31" s="702">
        <v>493</v>
      </c>
      <c r="AC31" s="703">
        <v>44</v>
      </c>
      <c r="AD31" s="703">
        <v>908</v>
      </c>
      <c r="AE31" s="703">
        <v>1251</v>
      </c>
      <c r="AF31" s="704">
        <v>2696</v>
      </c>
      <c r="AG31" s="702">
        <v>462</v>
      </c>
      <c r="AH31" s="703">
        <v>45</v>
      </c>
      <c r="AI31" s="703">
        <v>881</v>
      </c>
      <c r="AJ31" s="703">
        <v>1310</v>
      </c>
      <c r="AK31" s="704">
        <v>2698</v>
      </c>
      <c r="AL31" s="702">
        <f t="shared" ref="AL31:AZ31" si="14">SUM(AL9,AL14,AL19,AL29)</f>
        <v>457</v>
      </c>
      <c r="AM31" s="703">
        <f t="shared" si="14"/>
        <v>45</v>
      </c>
      <c r="AN31" s="703">
        <f t="shared" si="14"/>
        <v>891</v>
      </c>
      <c r="AO31" s="703">
        <f t="shared" si="14"/>
        <v>1371</v>
      </c>
      <c r="AP31" s="704">
        <f t="shared" si="14"/>
        <v>2764</v>
      </c>
      <c r="AQ31" s="730">
        <f t="shared" si="14"/>
        <v>449</v>
      </c>
      <c r="AR31" s="731">
        <f t="shared" si="14"/>
        <v>50</v>
      </c>
      <c r="AS31" s="731">
        <f t="shared" si="14"/>
        <v>865</v>
      </c>
      <c r="AT31" s="731">
        <f t="shared" si="14"/>
        <v>1467</v>
      </c>
      <c r="AU31" s="732">
        <f t="shared" si="14"/>
        <v>2831</v>
      </c>
      <c r="AV31" s="730">
        <f t="shared" si="14"/>
        <v>422</v>
      </c>
      <c r="AW31" s="731">
        <f t="shared" si="14"/>
        <v>41</v>
      </c>
      <c r="AX31" s="731">
        <f t="shared" si="14"/>
        <v>880</v>
      </c>
      <c r="AY31" s="731">
        <f t="shared" si="14"/>
        <v>1562</v>
      </c>
      <c r="AZ31" s="732">
        <f t="shared" si="14"/>
        <v>2905</v>
      </c>
      <c r="BA31" s="730">
        <f t="shared" ref="BA31:BJ31" si="15">SUM(BA9,BA14,BA19,BA24,BA29)</f>
        <v>396</v>
      </c>
      <c r="BB31" s="731">
        <f t="shared" si="15"/>
        <v>38</v>
      </c>
      <c r="BC31" s="731">
        <f t="shared" si="15"/>
        <v>895</v>
      </c>
      <c r="BD31" s="731">
        <f t="shared" si="15"/>
        <v>1682</v>
      </c>
      <c r="BE31" s="732">
        <f t="shared" si="15"/>
        <v>3011</v>
      </c>
      <c r="BF31" s="730">
        <f t="shared" si="15"/>
        <v>397</v>
      </c>
      <c r="BG31" s="731">
        <f t="shared" si="15"/>
        <v>39</v>
      </c>
      <c r="BH31" s="731">
        <f t="shared" si="15"/>
        <v>911</v>
      </c>
      <c r="BI31" s="731">
        <f t="shared" si="15"/>
        <v>1728</v>
      </c>
      <c r="BJ31" s="732">
        <f t="shared" si="15"/>
        <v>3075</v>
      </c>
      <c r="BK31" s="730">
        <f t="shared" ref="BK31:BO31" si="16">SUM(BK9,BK14,BK19,BK24,BK29)</f>
        <v>394</v>
      </c>
      <c r="BL31" s="731">
        <f t="shared" si="16"/>
        <v>39</v>
      </c>
      <c r="BM31" s="731">
        <f t="shared" si="16"/>
        <v>938</v>
      </c>
      <c r="BN31" s="731">
        <f t="shared" si="16"/>
        <v>1767</v>
      </c>
      <c r="BO31" s="732">
        <f t="shared" si="16"/>
        <v>3138</v>
      </c>
    </row>
    <row r="33" spans="1:47" x14ac:dyDescent="0.2">
      <c r="A33" s="6336" t="s">
        <v>354</v>
      </c>
      <c r="B33" s="6336"/>
      <c r="C33" s="6336"/>
      <c r="R33" s="452"/>
      <c r="S33" s="452"/>
      <c r="T33" s="452"/>
      <c r="U33" s="451"/>
      <c r="W33" s="452"/>
      <c r="X33" s="452"/>
      <c r="Y33" s="452"/>
      <c r="Z33" s="451"/>
      <c r="AB33" s="452"/>
      <c r="AC33" s="452"/>
      <c r="AD33" s="452"/>
      <c r="AE33" s="451"/>
      <c r="AG33" s="452"/>
      <c r="AH33" s="452"/>
      <c r="AI33" s="452"/>
      <c r="AJ33" s="451"/>
      <c r="AL33" s="452"/>
      <c r="AM33" s="452"/>
      <c r="AN33" s="452"/>
      <c r="AO33" s="451"/>
      <c r="AQ33" s="452"/>
      <c r="AR33" s="452"/>
      <c r="AS33" s="452"/>
      <c r="AT33" s="451"/>
      <c r="AU33" s="733"/>
    </row>
    <row r="34" spans="1:47" ht="15" x14ac:dyDescent="0.25">
      <c r="A34" s="87"/>
      <c r="B34" s="192"/>
      <c r="C34" s="192" t="s">
        <v>660</v>
      </c>
      <c r="AU34" s="144"/>
    </row>
    <row r="35" spans="1:47" ht="15" x14ac:dyDescent="0.25">
      <c r="A35" s="87"/>
      <c r="B35" s="192"/>
      <c r="C35" s="192" t="s">
        <v>661</v>
      </c>
      <c r="R35" s="450"/>
      <c r="S35" s="450"/>
      <c r="T35" s="450"/>
      <c r="U35" s="450"/>
      <c r="V35" s="450"/>
      <c r="W35" s="450"/>
      <c r="X35" s="450"/>
      <c r="Y35" s="450"/>
      <c r="Z35" s="450"/>
      <c r="AA35" s="450"/>
      <c r="AB35" s="450"/>
      <c r="AC35" s="450"/>
      <c r="AD35" s="450"/>
      <c r="AE35" s="450"/>
      <c r="AF35" s="450"/>
      <c r="AG35" s="450"/>
      <c r="AH35" s="450"/>
      <c r="AI35" s="450"/>
      <c r="AJ35" s="450"/>
      <c r="AK35" s="450"/>
      <c r="AL35" s="450"/>
      <c r="AM35" s="450"/>
      <c r="AN35" s="450"/>
      <c r="AO35" s="450"/>
      <c r="AQ35" s="450"/>
      <c r="AR35" s="450"/>
      <c r="AS35" s="450"/>
      <c r="AT35" s="450"/>
      <c r="AU35" s="723"/>
    </row>
    <row r="36" spans="1:47" ht="15" x14ac:dyDescent="0.25">
      <c r="A36" s="87"/>
      <c r="B36" s="192"/>
      <c r="C36" s="192" t="s">
        <v>662</v>
      </c>
      <c r="AN36" s="760"/>
      <c r="AS36" s="450"/>
    </row>
    <row r="37" spans="1:47" ht="15" x14ac:dyDescent="0.25">
      <c r="C37" s="192" t="s">
        <v>663</v>
      </c>
    </row>
    <row r="40" spans="1:47" x14ac:dyDescent="0.2">
      <c r="AP40">
        <v>2003</v>
      </c>
    </row>
    <row r="41" spans="1:47" x14ac:dyDescent="0.2">
      <c r="AP41">
        <v>2004</v>
      </c>
    </row>
    <row r="42" spans="1:47" x14ac:dyDescent="0.2">
      <c r="AP42">
        <v>2005</v>
      </c>
    </row>
    <row r="43" spans="1:47" x14ac:dyDescent="0.2">
      <c r="AP43">
        <v>2006</v>
      </c>
    </row>
    <row r="44" spans="1:47" x14ac:dyDescent="0.2">
      <c r="AP44">
        <v>2007</v>
      </c>
    </row>
    <row r="45" spans="1:47" x14ac:dyDescent="0.2">
      <c r="AP45">
        <v>2008</v>
      </c>
    </row>
    <row r="46" spans="1:47" x14ac:dyDescent="0.2">
      <c r="AP46">
        <v>2009</v>
      </c>
    </row>
    <row r="47" spans="1:47" x14ac:dyDescent="0.2">
      <c r="AP47">
        <v>2010</v>
      </c>
    </row>
    <row r="48" spans="1:47" x14ac:dyDescent="0.2">
      <c r="AP48">
        <v>2011</v>
      </c>
    </row>
    <row r="49" spans="42:42" x14ac:dyDescent="0.2">
      <c r="AP49">
        <v>2012</v>
      </c>
    </row>
    <row r="50" spans="42:42" x14ac:dyDescent="0.2">
      <c r="AP50">
        <v>2013</v>
      </c>
    </row>
    <row r="51" spans="42:42" x14ac:dyDescent="0.2">
      <c r="AP51">
        <v>2014</v>
      </c>
    </row>
    <row r="52" spans="42:42" x14ac:dyDescent="0.2">
      <c r="AP52">
        <v>2015</v>
      </c>
    </row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</sheetData>
  <mergeCells count="17">
    <mergeCell ref="BK3:BO3"/>
    <mergeCell ref="A33:C33"/>
    <mergeCell ref="AL3:AP3"/>
    <mergeCell ref="C3:G3"/>
    <mergeCell ref="A3:A4"/>
    <mergeCell ref="B3:B4"/>
    <mergeCell ref="A6:A9"/>
    <mergeCell ref="A11:A14"/>
    <mergeCell ref="A31:B31"/>
    <mergeCell ref="A16:A19"/>
    <mergeCell ref="A26:A29"/>
    <mergeCell ref="A21:A24"/>
    <mergeCell ref="A1:B1"/>
    <mergeCell ref="BF3:BJ3"/>
    <mergeCell ref="BA3:BE3"/>
    <mergeCell ref="AV3:AZ3"/>
    <mergeCell ref="AQ3:AU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52" pageOrder="overThenDown" orientation="landscape" r:id="rId1"/>
  <colBreaks count="1" manualBreakCount="1">
    <brk id="32" max="1048575" man="1"/>
  </colBreaks>
  <ignoredErrors>
    <ignoredError sqref="AP6:AP8 AP26:AP28 AP11:AP13" formulaRange="1"/>
    <ignoredError sqref="AP16:AP18" formula="1" formulaRange="1"/>
    <ignoredError sqref="AP15 AP19 AP9 AU9:AZ9 AU15:AZ19 AU11:AZ14" formula="1"/>
  </ignoredErrors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1:BO75"/>
  <sheetViews>
    <sheetView showGridLines="0" zoomScaleNormal="100" zoomScaleSheetLayoutView="30" workbookViewId="0">
      <pane xSplit="2" ySplit="5" topLeftCell="BB6" activePane="bottomRight" state="frozen"/>
      <selection pane="topRight" activeCell="C1" sqref="C1"/>
      <selection pane="bottomLeft" activeCell="A9" sqref="A9"/>
      <selection pane="bottomRight" activeCell="BQ23" sqref="BQ23"/>
    </sheetView>
  </sheetViews>
  <sheetFormatPr baseColWidth="10" defaultRowHeight="12.75" x14ac:dyDescent="0.2"/>
  <cols>
    <col min="1" max="1" width="15.28515625" style="951" customWidth="1"/>
    <col min="2" max="2" width="11.42578125" style="951"/>
    <col min="3" max="67" width="9.7109375" style="951" customWidth="1"/>
    <col min="68" max="16384" width="11.42578125" style="951"/>
  </cols>
  <sheetData>
    <row r="1" spans="1:67" ht="74.25" customHeight="1" x14ac:dyDescent="0.2">
      <c r="A1" s="6350" t="s">
        <v>1375</v>
      </c>
      <c r="B1" s="6350"/>
      <c r="C1" s="1406"/>
      <c r="D1" s="1406"/>
      <c r="E1" s="1406"/>
      <c r="F1" s="1406"/>
      <c r="G1" s="1406"/>
      <c r="H1" s="1406"/>
      <c r="I1" s="1406"/>
      <c r="J1" s="1406"/>
      <c r="K1" s="1406"/>
      <c r="L1" s="1406"/>
      <c r="M1" s="1406"/>
      <c r="N1" s="1406"/>
      <c r="O1" s="1406"/>
      <c r="P1" s="1406"/>
      <c r="Q1" s="1406"/>
      <c r="R1" s="1406"/>
      <c r="S1" s="1406"/>
      <c r="T1" s="1406"/>
      <c r="U1" s="1406"/>
      <c r="V1" s="1406"/>
      <c r="W1" s="1406"/>
      <c r="X1" s="1406"/>
      <c r="Y1" s="1406"/>
      <c r="Z1" s="1406"/>
      <c r="AA1" s="1406"/>
      <c r="AB1" s="1406"/>
      <c r="AC1" s="1406"/>
      <c r="AD1" s="1406"/>
      <c r="AE1" s="1406"/>
      <c r="AF1" s="1406"/>
      <c r="AG1" s="1406"/>
    </row>
    <row r="3" spans="1:67" ht="15" x14ac:dyDescent="0.2">
      <c r="A3" s="6358" t="s">
        <v>16</v>
      </c>
      <c r="B3" s="6358" t="s">
        <v>4</v>
      </c>
      <c r="C3" s="6359">
        <v>2003</v>
      </c>
      <c r="D3" s="6360"/>
      <c r="E3" s="6360"/>
      <c r="F3" s="6360"/>
      <c r="G3" s="6361"/>
      <c r="H3" s="1407">
        <v>2004</v>
      </c>
      <c r="I3" s="1408"/>
      <c r="J3" s="1408"/>
      <c r="K3" s="1408"/>
      <c r="L3" s="1409"/>
      <c r="M3" s="1408">
        <v>2005</v>
      </c>
      <c r="N3" s="1408"/>
      <c r="O3" s="1408"/>
      <c r="P3" s="1408"/>
      <c r="Q3" s="1409"/>
      <c r="R3" s="1408">
        <v>2006</v>
      </c>
      <c r="S3" s="1408"/>
      <c r="T3" s="1408"/>
      <c r="U3" s="1408"/>
      <c r="V3" s="1409"/>
      <c r="W3" s="1408">
        <v>2007</v>
      </c>
      <c r="X3" s="1408"/>
      <c r="Y3" s="1408"/>
      <c r="Z3" s="1408"/>
      <c r="AA3" s="1409"/>
      <c r="AB3" s="1408">
        <v>2008</v>
      </c>
      <c r="AC3" s="1408"/>
      <c r="AD3" s="1408"/>
      <c r="AE3" s="1408"/>
      <c r="AF3" s="1409"/>
      <c r="AG3" s="1408">
        <v>2009</v>
      </c>
      <c r="AH3" s="1408"/>
      <c r="AI3" s="1408"/>
      <c r="AJ3" s="1408"/>
      <c r="AK3" s="1409"/>
      <c r="AL3" s="6333">
        <v>2010</v>
      </c>
      <c r="AM3" s="6362"/>
      <c r="AN3" s="6362"/>
      <c r="AO3" s="6362"/>
      <c r="AP3" s="6361"/>
      <c r="AQ3" s="6333">
        <v>2011</v>
      </c>
      <c r="AR3" s="6351"/>
      <c r="AS3" s="6351"/>
      <c r="AT3" s="6351"/>
      <c r="AU3" s="6352"/>
      <c r="AV3" s="6333">
        <v>2012</v>
      </c>
      <c r="AW3" s="6351"/>
      <c r="AX3" s="6351"/>
      <c r="AY3" s="6351"/>
      <c r="AZ3" s="6352"/>
      <c r="BA3" s="6333">
        <v>2013</v>
      </c>
      <c r="BB3" s="6351"/>
      <c r="BC3" s="6351"/>
      <c r="BD3" s="6351"/>
      <c r="BE3" s="6352"/>
      <c r="BF3" s="6333">
        <v>2014</v>
      </c>
      <c r="BG3" s="6351"/>
      <c r="BH3" s="6351"/>
      <c r="BI3" s="6351"/>
      <c r="BJ3" s="6352"/>
      <c r="BK3" s="6333">
        <v>2015</v>
      </c>
      <c r="BL3" s="6351"/>
      <c r="BM3" s="6351"/>
      <c r="BN3" s="6351"/>
      <c r="BO3" s="6352"/>
    </row>
    <row r="4" spans="1:67" ht="15" x14ac:dyDescent="0.2">
      <c r="A4" s="6316"/>
      <c r="B4" s="6314"/>
      <c r="C4" s="2905" t="s">
        <v>698</v>
      </c>
      <c r="D4" s="2906" t="s">
        <v>824</v>
      </c>
      <c r="E4" s="2906" t="s">
        <v>632</v>
      </c>
      <c r="F4" s="2907" t="s">
        <v>633</v>
      </c>
      <c r="G4" s="1043" t="s">
        <v>12</v>
      </c>
      <c r="H4" s="2905" t="s">
        <v>698</v>
      </c>
      <c r="I4" s="2906" t="s">
        <v>824</v>
      </c>
      <c r="J4" s="2906" t="s">
        <v>632</v>
      </c>
      <c r="K4" s="2907" t="s">
        <v>633</v>
      </c>
      <c r="L4" s="1045" t="s">
        <v>12</v>
      </c>
      <c r="M4" s="2905" t="s">
        <v>698</v>
      </c>
      <c r="N4" s="2906" t="s">
        <v>824</v>
      </c>
      <c r="O4" s="2906" t="s">
        <v>632</v>
      </c>
      <c r="P4" s="2907" t="s">
        <v>633</v>
      </c>
      <c r="Q4" s="1045" t="s">
        <v>12</v>
      </c>
      <c r="R4" s="2905" t="s">
        <v>698</v>
      </c>
      <c r="S4" s="2906" t="s">
        <v>824</v>
      </c>
      <c r="T4" s="2906" t="s">
        <v>632</v>
      </c>
      <c r="U4" s="2907" t="s">
        <v>633</v>
      </c>
      <c r="V4" s="1045" t="s">
        <v>12</v>
      </c>
      <c r="W4" s="2905" t="s">
        <v>698</v>
      </c>
      <c r="X4" s="2906" t="s">
        <v>824</v>
      </c>
      <c r="Y4" s="2906" t="s">
        <v>632</v>
      </c>
      <c r="Z4" s="2907" t="s">
        <v>633</v>
      </c>
      <c r="AA4" s="1045" t="s">
        <v>12</v>
      </c>
      <c r="AB4" s="2905" t="s">
        <v>698</v>
      </c>
      <c r="AC4" s="2906" t="s">
        <v>824</v>
      </c>
      <c r="AD4" s="2906" t="s">
        <v>632</v>
      </c>
      <c r="AE4" s="2907" t="s">
        <v>633</v>
      </c>
      <c r="AF4" s="1045" t="s">
        <v>12</v>
      </c>
      <c r="AG4" s="2905" t="s">
        <v>698</v>
      </c>
      <c r="AH4" s="2906" t="s">
        <v>824</v>
      </c>
      <c r="AI4" s="2906" t="s">
        <v>632</v>
      </c>
      <c r="AJ4" s="2907" t="s">
        <v>633</v>
      </c>
      <c r="AK4" s="1045" t="s">
        <v>12</v>
      </c>
      <c r="AL4" s="2905" t="s">
        <v>698</v>
      </c>
      <c r="AM4" s="2906" t="s">
        <v>824</v>
      </c>
      <c r="AN4" s="2906" t="s">
        <v>632</v>
      </c>
      <c r="AO4" s="2907" t="s">
        <v>633</v>
      </c>
      <c r="AP4" s="1045" t="s">
        <v>12</v>
      </c>
      <c r="AQ4" s="2905" t="s">
        <v>698</v>
      </c>
      <c r="AR4" s="2906" t="s">
        <v>824</v>
      </c>
      <c r="AS4" s="2906" t="s">
        <v>632</v>
      </c>
      <c r="AT4" s="2907" t="s">
        <v>633</v>
      </c>
      <c r="AU4" s="1045" t="s">
        <v>12</v>
      </c>
      <c r="AV4" s="2905" t="s">
        <v>698</v>
      </c>
      <c r="AW4" s="2906" t="s">
        <v>824</v>
      </c>
      <c r="AX4" s="2906" t="s">
        <v>632</v>
      </c>
      <c r="AY4" s="2907" t="s">
        <v>633</v>
      </c>
      <c r="AZ4" s="1043" t="s">
        <v>12</v>
      </c>
      <c r="BA4" s="2905" t="s">
        <v>698</v>
      </c>
      <c r="BB4" s="2906" t="s">
        <v>824</v>
      </c>
      <c r="BC4" s="2906" t="s">
        <v>632</v>
      </c>
      <c r="BD4" s="2907" t="s">
        <v>633</v>
      </c>
      <c r="BE4" s="1043" t="s">
        <v>12</v>
      </c>
      <c r="BF4" s="2905" t="s">
        <v>698</v>
      </c>
      <c r="BG4" s="2906" t="s">
        <v>824</v>
      </c>
      <c r="BH4" s="2906" t="s">
        <v>632</v>
      </c>
      <c r="BI4" s="2907" t="s">
        <v>633</v>
      </c>
      <c r="BJ4" s="1043" t="s">
        <v>12</v>
      </c>
      <c r="BK4" s="2905" t="s">
        <v>698</v>
      </c>
      <c r="BL4" s="2906" t="s">
        <v>824</v>
      </c>
      <c r="BM4" s="2906" t="s">
        <v>632</v>
      </c>
      <c r="BN4" s="2907" t="s">
        <v>633</v>
      </c>
      <c r="BO4" s="1043" t="s">
        <v>12</v>
      </c>
    </row>
    <row r="5" spans="1:67" ht="15" x14ac:dyDescent="0.2">
      <c r="A5" s="1410"/>
      <c r="B5" s="1410"/>
      <c r="C5" s="1410"/>
      <c r="D5" s="1410"/>
      <c r="E5" s="1410"/>
      <c r="F5" s="1410"/>
      <c r="G5" s="1410"/>
      <c r="H5" s="1410"/>
      <c r="I5" s="1410"/>
      <c r="J5" s="1410"/>
      <c r="K5" s="1410"/>
      <c r="L5" s="1410"/>
      <c r="M5" s="1410"/>
      <c r="N5" s="1410"/>
      <c r="O5" s="1410"/>
      <c r="P5" s="1410"/>
      <c r="Q5" s="1410"/>
      <c r="R5" s="1410"/>
      <c r="S5" s="1410"/>
      <c r="T5" s="1410"/>
      <c r="U5" s="1410"/>
      <c r="V5" s="1410"/>
      <c r="W5" s="1410"/>
      <c r="X5" s="1410"/>
      <c r="Y5" s="1410"/>
      <c r="Z5" s="1410"/>
      <c r="AA5" s="1410"/>
      <c r="AB5" s="1410"/>
      <c r="AC5" s="1410"/>
      <c r="AD5" s="1410"/>
      <c r="AE5" s="1410"/>
      <c r="AF5" s="1410"/>
      <c r="AG5" s="1410"/>
      <c r="AH5" s="1410"/>
      <c r="AI5" s="1410"/>
      <c r="AJ5" s="1410"/>
      <c r="AK5" s="1410"/>
      <c r="AL5" s="1410"/>
      <c r="AM5" s="1410"/>
      <c r="AN5" s="1410"/>
      <c r="AO5" s="1410"/>
      <c r="AP5" s="1410"/>
      <c r="AQ5" s="1410"/>
      <c r="AR5" s="1410"/>
      <c r="AS5" s="1410"/>
      <c r="AT5" s="1410"/>
      <c r="AU5" s="1410"/>
      <c r="AV5" s="1410"/>
      <c r="AW5" s="1410"/>
      <c r="AX5" s="1410"/>
      <c r="AY5" s="1410"/>
      <c r="AZ5" s="1410"/>
      <c r="BA5" s="1410"/>
      <c r="BB5" s="1410"/>
      <c r="BC5" s="1410"/>
      <c r="BD5" s="1410"/>
      <c r="BE5" s="1410"/>
      <c r="BF5" s="1410"/>
      <c r="BG5" s="1410"/>
      <c r="BH5" s="1410"/>
      <c r="BI5" s="1410"/>
      <c r="BJ5" s="1410"/>
      <c r="BK5" s="1410"/>
      <c r="BL5" s="1410"/>
      <c r="BM5" s="1410"/>
      <c r="BN5" s="1410"/>
      <c r="BO5" s="1410"/>
    </row>
    <row r="6" spans="1:67" ht="15" x14ac:dyDescent="0.2">
      <c r="A6" s="5633" t="s">
        <v>3</v>
      </c>
      <c r="B6" s="6365" t="s">
        <v>5</v>
      </c>
      <c r="C6" s="1411">
        <v>85</v>
      </c>
      <c r="D6" s="1411">
        <v>10</v>
      </c>
      <c r="E6" s="1411">
        <v>141</v>
      </c>
      <c r="F6" s="1411">
        <v>108</v>
      </c>
      <c r="G6" s="482">
        <v>344</v>
      </c>
      <c r="H6" s="1412">
        <v>84</v>
      </c>
      <c r="I6" s="1412">
        <v>9</v>
      </c>
      <c r="J6" s="1412">
        <v>135</v>
      </c>
      <c r="K6" s="1412">
        <v>115</v>
      </c>
      <c r="L6" s="726">
        <v>343</v>
      </c>
      <c r="M6" s="1412">
        <v>66</v>
      </c>
      <c r="N6" s="1412">
        <v>10</v>
      </c>
      <c r="O6" s="1412">
        <v>141</v>
      </c>
      <c r="P6" s="1412">
        <v>125</v>
      </c>
      <c r="Q6" s="726">
        <v>342</v>
      </c>
      <c r="R6" s="1412">
        <v>63</v>
      </c>
      <c r="S6" s="1412">
        <v>9</v>
      </c>
      <c r="T6" s="1412">
        <v>144</v>
      </c>
      <c r="U6" s="1412">
        <v>127</v>
      </c>
      <c r="V6" s="726">
        <v>343</v>
      </c>
      <c r="W6" s="1412">
        <v>54</v>
      </c>
      <c r="X6" s="1412">
        <v>7</v>
      </c>
      <c r="Y6" s="1412">
        <v>141</v>
      </c>
      <c r="Z6" s="1412">
        <v>148</v>
      </c>
      <c r="AA6" s="726">
        <v>350</v>
      </c>
      <c r="AB6" s="1413">
        <v>51</v>
      </c>
      <c r="AC6" s="1412">
        <v>6</v>
      </c>
      <c r="AD6" s="1412">
        <v>143</v>
      </c>
      <c r="AE6" s="1412">
        <v>155</v>
      </c>
      <c r="AF6" s="726">
        <v>355</v>
      </c>
      <c r="AG6" s="1413">
        <v>50</v>
      </c>
      <c r="AH6" s="1412">
        <v>6</v>
      </c>
      <c r="AI6" s="1412">
        <v>133</v>
      </c>
      <c r="AJ6" s="1412">
        <v>153</v>
      </c>
      <c r="AK6" s="726">
        <v>342</v>
      </c>
      <c r="AL6" s="1413">
        <v>50</v>
      </c>
      <c r="AM6" s="1412">
        <v>6</v>
      </c>
      <c r="AN6" s="1412">
        <v>135</v>
      </c>
      <c r="AO6" s="1412">
        <v>155</v>
      </c>
      <c r="AP6" s="726">
        <v>346</v>
      </c>
      <c r="AQ6" s="1413">
        <v>50</v>
      </c>
      <c r="AR6" s="1412">
        <v>6</v>
      </c>
      <c r="AS6" s="1412">
        <v>126</v>
      </c>
      <c r="AT6" s="1412">
        <v>165</v>
      </c>
      <c r="AU6" s="726">
        <v>347</v>
      </c>
      <c r="AV6" s="1413">
        <v>48</v>
      </c>
      <c r="AW6" s="1412">
        <v>5</v>
      </c>
      <c r="AX6" s="1412">
        <v>132</v>
      </c>
      <c r="AY6" s="1412">
        <v>189</v>
      </c>
      <c r="AZ6" s="726">
        <v>374</v>
      </c>
      <c r="BA6" s="1413">
        <f>+'PTC-GRADO'!BA6</f>
        <v>48</v>
      </c>
      <c r="BB6" s="1412">
        <f>+'PTC-GRADO'!BB6</f>
        <v>5</v>
      </c>
      <c r="BC6" s="1412">
        <f>+'PTC-GRADO'!BC6</f>
        <v>132</v>
      </c>
      <c r="BD6" s="1412">
        <f>+'PTC-GRADO'!BD6</f>
        <v>203</v>
      </c>
      <c r="BE6" s="726">
        <f>SUM(BA6:BD6)</f>
        <v>388</v>
      </c>
      <c r="BF6" s="1413">
        <f>+'PTC-GRADO'!BF6</f>
        <v>47</v>
      </c>
      <c r="BG6" s="1412">
        <f>+'PTC-GRADO'!BG6</f>
        <v>5</v>
      </c>
      <c r="BH6" s="1412">
        <f>+'PTC-GRADO'!BH6</f>
        <v>131</v>
      </c>
      <c r="BI6" s="1412">
        <f>+'PTC-GRADO'!BI6</f>
        <v>209</v>
      </c>
      <c r="BJ6" s="726">
        <f t="shared" ref="BJ6:BJ11" si="0">SUM(BF6:BI6)</f>
        <v>392</v>
      </c>
      <c r="BK6" s="1413">
        <f>+'PTC-GRADO'!BK6</f>
        <v>47</v>
      </c>
      <c r="BL6" s="1412">
        <f>+'PTC-GRADO'!BL6</f>
        <v>5</v>
      </c>
      <c r="BM6" s="1412">
        <f>+'PTC-GRADO'!BM6</f>
        <v>134</v>
      </c>
      <c r="BN6" s="1412">
        <f>+'PTC-GRADO'!BN6</f>
        <v>213</v>
      </c>
      <c r="BO6" s="726">
        <f t="shared" ref="BO6:BO11" si="1">SUM(BK6:BN6)</f>
        <v>399</v>
      </c>
    </row>
    <row r="7" spans="1:67" ht="15" customHeight="1" x14ac:dyDescent="0.2">
      <c r="A7" s="5634"/>
      <c r="B7" s="6366"/>
      <c r="C7" s="1828">
        <v>0.24709302325581395</v>
      </c>
      <c r="D7" s="1828">
        <v>2.9069767441860465E-2</v>
      </c>
      <c r="E7" s="1828">
        <v>0.40988372093023256</v>
      </c>
      <c r="F7" s="1828">
        <v>0.31395348837209303</v>
      </c>
      <c r="G7" s="2908">
        <v>1</v>
      </c>
      <c r="H7" s="1828">
        <v>0.24489795918367346</v>
      </c>
      <c r="I7" s="1828">
        <v>2.6239067055393587E-2</v>
      </c>
      <c r="J7" s="1828">
        <v>0.39358600583090381</v>
      </c>
      <c r="K7" s="1828">
        <v>0.33527696793002915</v>
      </c>
      <c r="L7" s="2908">
        <v>1</v>
      </c>
      <c r="M7" s="1828">
        <v>0.19298245614035087</v>
      </c>
      <c r="N7" s="1828">
        <v>2.9239766081871343E-2</v>
      </c>
      <c r="O7" s="1828">
        <v>0.41228070175438597</v>
      </c>
      <c r="P7" s="1828">
        <v>0.36549707602339182</v>
      </c>
      <c r="Q7" s="2908">
        <v>1</v>
      </c>
      <c r="R7" s="1828">
        <v>0.18367346938775511</v>
      </c>
      <c r="S7" s="1828">
        <v>2.6239067055393587E-2</v>
      </c>
      <c r="T7" s="1828">
        <v>0.41982507288629739</v>
      </c>
      <c r="U7" s="1828">
        <v>0.37026239067055394</v>
      </c>
      <c r="V7" s="2908">
        <v>1</v>
      </c>
      <c r="W7" s="1828">
        <v>0.15428571428571428</v>
      </c>
      <c r="X7" s="1828">
        <v>0.02</v>
      </c>
      <c r="Y7" s="1828">
        <v>0.40285714285714286</v>
      </c>
      <c r="Z7" s="1828">
        <v>0.42285714285714288</v>
      </c>
      <c r="AA7" s="2909">
        <v>1</v>
      </c>
      <c r="AB7" s="2910">
        <v>0.14366197183098592</v>
      </c>
      <c r="AC7" s="1828">
        <v>1.6901408450704224E-2</v>
      </c>
      <c r="AD7" s="1828">
        <v>0.40281690140845072</v>
      </c>
      <c r="AE7" s="1828">
        <v>0.43661971830985913</v>
      </c>
      <c r="AF7" s="2908">
        <v>1</v>
      </c>
      <c r="AG7" s="2910">
        <v>0.14619883040935672</v>
      </c>
      <c r="AH7" s="1828">
        <v>1.7543859649122806E-2</v>
      </c>
      <c r="AI7" s="1828">
        <v>0.3888888888888889</v>
      </c>
      <c r="AJ7" s="1828">
        <v>0.44736842105263158</v>
      </c>
      <c r="AK7" s="2908">
        <v>1</v>
      </c>
      <c r="AL7" s="2910">
        <v>0.14450867052023122</v>
      </c>
      <c r="AM7" s="1828">
        <v>1.7341040462427744E-2</v>
      </c>
      <c r="AN7" s="1828">
        <v>0.39017341040462428</v>
      </c>
      <c r="AO7" s="1828">
        <v>0.44797687861271679</v>
      </c>
      <c r="AP7" s="2908">
        <v>1</v>
      </c>
      <c r="AQ7" s="2910">
        <v>0.14409221902017291</v>
      </c>
      <c r="AR7" s="1828">
        <v>1.7291066282420751E-2</v>
      </c>
      <c r="AS7" s="1828">
        <v>0.36311239193083572</v>
      </c>
      <c r="AT7" s="1828">
        <v>0.47550432276657062</v>
      </c>
      <c r="AU7" s="2908">
        <v>1</v>
      </c>
      <c r="AV7" s="2910">
        <v>0.12834224598930483</v>
      </c>
      <c r="AW7" s="1828">
        <v>1.3368983957219251E-2</v>
      </c>
      <c r="AX7" s="1828">
        <v>0.35294117647058826</v>
      </c>
      <c r="AY7" s="1828">
        <v>0.50534759358288772</v>
      </c>
      <c r="AZ7" s="2908">
        <v>1</v>
      </c>
      <c r="BA7" s="2910">
        <f>BA6/$BE$6</f>
        <v>0.12371134020618557</v>
      </c>
      <c r="BB7" s="1828">
        <f>BB6/$BE$6</f>
        <v>1.2886597938144329E-2</v>
      </c>
      <c r="BC7" s="1828">
        <f>BC6/$BE$6</f>
        <v>0.34020618556701032</v>
      </c>
      <c r="BD7" s="1828">
        <f>BD6/$BE$6</f>
        <v>0.52319587628865982</v>
      </c>
      <c r="BE7" s="2908">
        <f>BE6/$BE$6</f>
        <v>1</v>
      </c>
      <c r="BF7" s="2910">
        <f>BF6/$BJ$6</f>
        <v>0.11989795918367346</v>
      </c>
      <c r="BG7" s="1828">
        <f>BG6/$BJ$6</f>
        <v>1.2755102040816327E-2</v>
      </c>
      <c r="BH7" s="1828">
        <f>BH6/$BJ$6</f>
        <v>0.33418367346938777</v>
      </c>
      <c r="BI7" s="1828">
        <f>BI6/$BJ$6</f>
        <v>0.53316326530612246</v>
      </c>
      <c r="BJ7" s="2908">
        <f t="shared" si="0"/>
        <v>1</v>
      </c>
      <c r="BK7" s="2910">
        <f>BK6/$BO$6</f>
        <v>0.11779448621553884</v>
      </c>
      <c r="BL7" s="1828">
        <f t="shared" ref="BL7:BN7" si="2">BL6/$BO$6</f>
        <v>1.2531328320802004E-2</v>
      </c>
      <c r="BM7" s="1828">
        <f t="shared" si="2"/>
        <v>0.33583959899749372</v>
      </c>
      <c r="BN7" s="1828">
        <f t="shared" si="2"/>
        <v>0.53383458646616544</v>
      </c>
      <c r="BO7" s="2908">
        <f t="shared" si="1"/>
        <v>1</v>
      </c>
    </row>
    <row r="8" spans="1:67" ht="15" x14ac:dyDescent="0.2">
      <c r="A8" s="5634"/>
      <c r="B8" s="6366" t="s">
        <v>6</v>
      </c>
      <c r="C8" s="2911">
        <v>133</v>
      </c>
      <c r="D8" s="2911">
        <v>3</v>
      </c>
      <c r="E8" s="2911">
        <v>108</v>
      </c>
      <c r="F8" s="2911">
        <v>97</v>
      </c>
      <c r="G8" s="2912">
        <v>341</v>
      </c>
      <c r="H8" s="2913">
        <v>131</v>
      </c>
      <c r="I8" s="2913">
        <v>3</v>
      </c>
      <c r="J8" s="2913">
        <v>103</v>
      </c>
      <c r="K8" s="2913">
        <v>104</v>
      </c>
      <c r="L8" s="2914">
        <v>341</v>
      </c>
      <c r="M8" s="2913">
        <v>103</v>
      </c>
      <c r="N8" s="2913">
        <v>3</v>
      </c>
      <c r="O8" s="2913">
        <v>108</v>
      </c>
      <c r="P8" s="2913">
        <v>112</v>
      </c>
      <c r="Q8" s="2914">
        <v>326</v>
      </c>
      <c r="R8" s="2913">
        <v>103</v>
      </c>
      <c r="S8" s="2913">
        <v>3</v>
      </c>
      <c r="T8" s="2913">
        <v>112</v>
      </c>
      <c r="U8" s="2913">
        <v>115</v>
      </c>
      <c r="V8" s="2914">
        <v>333</v>
      </c>
      <c r="W8" s="2913">
        <v>94</v>
      </c>
      <c r="X8" s="2913">
        <v>3</v>
      </c>
      <c r="Y8" s="2913">
        <v>115</v>
      </c>
      <c r="Z8" s="2913">
        <v>115</v>
      </c>
      <c r="AA8" s="2914">
        <v>327</v>
      </c>
      <c r="AB8" s="2915">
        <v>90</v>
      </c>
      <c r="AC8" s="2913">
        <v>3</v>
      </c>
      <c r="AD8" s="2913">
        <v>114</v>
      </c>
      <c r="AE8" s="2913">
        <v>118</v>
      </c>
      <c r="AF8" s="2914">
        <v>325</v>
      </c>
      <c r="AG8" s="2915">
        <v>86</v>
      </c>
      <c r="AH8" s="2913">
        <v>3</v>
      </c>
      <c r="AI8" s="2913">
        <v>110</v>
      </c>
      <c r="AJ8" s="2913">
        <v>122</v>
      </c>
      <c r="AK8" s="2914">
        <v>321</v>
      </c>
      <c r="AL8" s="2915">
        <v>84</v>
      </c>
      <c r="AM8" s="2913">
        <v>3</v>
      </c>
      <c r="AN8" s="2913">
        <v>107</v>
      </c>
      <c r="AO8" s="2913">
        <v>123</v>
      </c>
      <c r="AP8" s="2914">
        <v>317</v>
      </c>
      <c r="AQ8" s="2915">
        <v>83</v>
      </c>
      <c r="AR8" s="2913">
        <v>1</v>
      </c>
      <c r="AS8" s="2913">
        <v>110</v>
      </c>
      <c r="AT8" s="2913">
        <v>126</v>
      </c>
      <c r="AU8" s="2914">
        <v>320</v>
      </c>
      <c r="AV8" s="2915">
        <v>75</v>
      </c>
      <c r="AW8" s="2913">
        <v>2</v>
      </c>
      <c r="AX8" s="2913">
        <v>108</v>
      </c>
      <c r="AY8" s="2913">
        <v>145</v>
      </c>
      <c r="AZ8" s="2914">
        <v>330</v>
      </c>
      <c r="BA8" s="2915">
        <f>+'PTC-GRADO'!BA7</f>
        <v>69</v>
      </c>
      <c r="BB8" s="2913">
        <f>+'PTC-GRADO'!BB7</f>
        <v>2</v>
      </c>
      <c r="BC8" s="2913">
        <f>+'PTC-GRADO'!BC7</f>
        <v>110</v>
      </c>
      <c r="BD8" s="2913">
        <f>+'PTC-GRADO'!BD7</f>
        <v>159</v>
      </c>
      <c r="BE8" s="2914">
        <f>SUM(BA8:BD8)</f>
        <v>340</v>
      </c>
      <c r="BF8" s="2915">
        <f>+'PTC-GRADO'!BF7</f>
        <v>67</v>
      </c>
      <c r="BG8" s="2913">
        <f>+'PTC-GRADO'!BG7</f>
        <v>2</v>
      </c>
      <c r="BH8" s="2913">
        <f>+'PTC-GRADO'!BH7</f>
        <v>112</v>
      </c>
      <c r="BI8" s="2913">
        <f>+'PTC-GRADO'!BI7</f>
        <v>164</v>
      </c>
      <c r="BJ8" s="2914">
        <f t="shared" si="0"/>
        <v>345</v>
      </c>
      <c r="BK8" s="2915">
        <f>+'PTC-GRADO'!BK7</f>
        <v>65</v>
      </c>
      <c r="BL8" s="2913">
        <f>+'PTC-GRADO'!BL7</f>
        <v>2</v>
      </c>
      <c r="BM8" s="2913">
        <f>+'PTC-GRADO'!BM7</f>
        <v>116</v>
      </c>
      <c r="BN8" s="2913">
        <f>+'PTC-GRADO'!BN7</f>
        <v>170</v>
      </c>
      <c r="BO8" s="2914">
        <f t="shared" si="1"/>
        <v>353</v>
      </c>
    </row>
    <row r="9" spans="1:67" ht="15" customHeight="1" x14ac:dyDescent="0.2">
      <c r="A9" s="5634"/>
      <c r="B9" s="6366"/>
      <c r="C9" s="2916">
        <v>0.39002932551319647</v>
      </c>
      <c r="D9" s="2916">
        <v>8.7976539589442824E-3</v>
      </c>
      <c r="E9" s="2916">
        <v>0.31671554252199413</v>
      </c>
      <c r="F9" s="2916">
        <v>0.28445747800586513</v>
      </c>
      <c r="G9" s="2917">
        <v>1</v>
      </c>
      <c r="H9" s="2916">
        <v>0.38416422287390029</v>
      </c>
      <c r="I9" s="2916">
        <v>8.7976539589442824E-3</v>
      </c>
      <c r="J9" s="2916">
        <v>0.30205278592375367</v>
      </c>
      <c r="K9" s="2916">
        <v>0.30498533724340177</v>
      </c>
      <c r="L9" s="2917">
        <v>1</v>
      </c>
      <c r="M9" s="2916">
        <v>0.31595092024539878</v>
      </c>
      <c r="N9" s="2916">
        <v>9.202453987730062E-3</v>
      </c>
      <c r="O9" s="2916">
        <v>0.33128834355828218</v>
      </c>
      <c r="P9" s="2916">
        <v>0.34355828220858897</v>
      </c>
      <c r="Q9" s="2917">
        <v>1</v>
      </c>
      <c r="R9" s="2916">
        <v>0.30930930930930933</v>
      </c>
      <c r="S9" s="2916">
        <v>9.0090090090090089E-3</v>
      </c>
      <c r="T9" s="2916">
        <v>0.33633633633633636</v>
      </c>
      <c r="U9" s="2916">
        <v>0.34534534534534533</v>
      </c>
      <c r="V9" s="2917">
        <v>1</v>
      </c>
      <c r="W9" s="2916">
        <v>0.28746177370030579</v>
      </c>
      <c r="X9" s="2916">
        <v>9.1743119266055051E-3</v>
      </c>
      <c r="Y9" s="2916">
        <v>0.35168195718654433</v>
      </c>
      <c r="Z9" s="2916">
        <v>0.35168195718654433</v>
      </c>
      <c r="AA9" s="2918">
        <v>1</v>
      </c>
      <c r="AB9" s="2919">
        <v>0.27692307692307694</v>
      </c>
      <c r="AC9" s="2916">
        <v>9.2307692307692316E-3</v>
      </c>
      <c r="AD9" s="2916">
        <v>0.35076923076923078</v>
      </c>
      <c r="AE9" s="2916">
        <v>0.36307692307692307</v>
      </c>
      <c r="AF9" s="2917">
        <v>1</v>
      </c>
      <c r="AG9" s="2919">
        <v>0.26791277258566976</v>
      </c>
      <c r="AH9" s="2916">
        <v>9.3457943925233638E-3</v>
      </c>
      <c r="AI9" s="2916">
        <v>0.34267912772585668</v>
      </c>
      <c r="AJ9" s="2916">
        <v>0.38006230529595014</v>
      </c>
      <c r="AK9" s="2917">
        <v>1</v>
      </c>
      <c r="AL9" s="2919">
        <v>0.26498422712933756</v>
      </c>
      <c r="AM9" s="2916">
        <v>9.4637223974763408E-3</v>
      </c>
      <c r="AN9" s="2916">
        <v>0.33753943217665616</v>
      </c>
      <c r="AO9" s="2916">
        <v>0.38801261829652994</v>
      </c>
      <c r="AP9" s="2917">
        <v>1</v>
      </c>
      <c r="AQ9" s="2919">
        <v>0.25937500000000002</v>
      </c>
      <c r="AR9" s="2916">
        <v>3.1250000000000002E-3</v>
      </c>
      <c r="AS9" s="2916">
        <v>0.34375</v>
      </c>
      <c r="AT9" s="2916">
        <v>0.39374999999999999</v>
      </c>
      <c r="AU9" s="2917">
        <v>1</v>
      </c>
      <c r="AV9" s="2919">
        <v>0.22727272727272727</v>
      </c>
      <c r="AW9" s="2916">
        <v>6.0606060606060606E-3</v>
      </c>
      <c r="AX9" s="2916">
        <v>0.32727272727272727</v>
      </c>
      <c r="AY9" s="2916">
        <v>0.43939393939393939</v>
      </c>
      <c r="AZ9" s="2917">
        <v>1</v>
      </c>
      <c r="BA9" s="2919">
        <f>BA8/$BE$8</f>
        <v>0.20294117647058824</v>
      </c>
      <c r="BB9" s="2916">
        <f>BB8/$BE$8</f>
        <v>5.8823529411764705E-3</v>
      </c>
      <c r="BC9" s="2916">
        <f>BC8/$BE$8</f>
        <v>0.3235294117647059</v>
      </c>
      <c r="BD9" s="2916">
        <f>BD8/$BE$8</f>
        <v>0.46764705882352942</v>
      </c>
      <c r="BE9" s="2917">
        <f>BE8/$BE$8</f>
        <v>1</v>
      </c>
      <c r="BF9" s="2919">
        <f>BF8/$BJ$8</f>
        <v>0.19420289855072465</v>
      </c>
      <c r="BG9" s="2916">
        <f>BG8/$BJ$8</f>
        <v>5.7971014492753624E-3</v>
      </c>
      <c r="BH9" s="2916">
        <f>BH8/$BJ$8</f>
        <v>0.32463768115942027</v>
      </c>
      <c r="BI9" s="2916">
        <f>BI8/$BJ$8</f>
        <v>0.47536231884057972</v>
      </c>
      <c r="BJ9" s="2917">
        <f t="shared" si="0"/>
        <v>1</v>
      </c>
      <c r="BK9" s="2919">
        <f>BK8/$BO$8</f>
        <v>0.18413597733711048</v>
      </c>
      <c r="BL9" s="2916">
        <f t="shared" ref="BL9:BN9" si="3">BL8/$BO$8</f>
        <v>5.6657223796033997E-3</v>
      </c>
      <c r="BM9" s="2916">
        <f t="shared" si="3"/>
        <v>0.32861189801699719</v>
      </c>
      <c r="BN9" s="2916">
        <f t="shared" si="3"/>
        <v>0.48158640226628896</v>
      </c>
      <c r="BO9" s="2917">
        <f t="shared" si="1"/>
        <v>1</v>
      </c>
    </row>
    <row r="10" spans="1:67" ht="15" x14ac:dyDescent="0.2">
      <c r="A10" s="5634"/>
      <c r="B10" s="6366" t="s">
        <v>7</v>
      </c>
      <c r="C10" s="1414">
        <v>106</v>
      </c>
      <c r="D10" s="1414">
        <v>9</v>
      </c>
      <c r="E10" s="1414">
        <v>76</v>
      </c>
      <c r="F10" s="1414">
        <v>24</v>
      </c>
      <c r="G10" s="487">
        <v>215</v>
      </c>
      <c r="H10" s="1415">
        <v>105</v>
      </c>
      <c r="I10" s="1415">
        <v>9</v>
      </c>
      <c r="J10" s="1415">
        <v>73</v>
      </c>
      <c r="K10" s="1415">
        <v>26</v>
      </c>
      <c r="L10" s="729">
        <v>213</v>
      </c>
      <c r="M10" s="1415">
        <v>82</v>
      </c>
      <c r="N10" s="1415">
        <v>11</v>
      </c>
      <c r="O10" s="1415">
        <v>76</v>
      </c>
      <c r="P10" s="1415">
        <v>27</v>
      </c>
      <c r="Q10" s="729">
        <v>196</v>
      </c>
      <c r="R10" s="1415">
        <v>79</v>
      </c>
      <c r="S10" s="1415">
        <v>10</v>
      </c>
      <c r="T10" s="1415">
        <v>79</v>
      </c>
      <c r="U10" s="1415">
        <v>31</v>
      </c>
      <c r="V10" s="729">
        <v>199</v>
      </c>
      <c r="W10" s="1415">
        <v>67</v>
      </c>
      <c r="X10" s="1415">
        <v>8</v>
      </c>
      <c r="Y10" s="1415">
        <v>80</v>
      </c>
      <c r="Z10" s="1415">
        <v>30</v>
      </c>
      <c r="AA10" s="729">
        <v>185</v>
      </c>
      <c r="AB10" s="1416">
        <v>64</v>
      </c>
      <c r="AC10" s="1415">
        <v>10</v>
      </c>
      <c r="AD10" s="1415">
        <v>83</v>
      </c>
      <c r="AE10" s="1415">
        <v>28</v>
      </c>
      <c r="AF10" s="729">
        <v>185</v>
      </c>
      <c r="AG10" s="1416">
        <v>62</v>
      </c>
      <c r="AH10" s="1415">
        <v>11</v>
      </c>
      <c r="AI10" s="1415">
        <v>85</v>
      </c>
      <c r="AJ10" s="1415">
        <v>27</v>
      </c>
      <c r="AK10" s="729">
        <v>185</v>
      </c>
      <c r="AL10" s="1416">
        <v>64</v>
      </c>
      <c r="AM10" s="1415">
        <v>11</v>
      </c>
      <c r="AN10" s="1415">
        <v>94</v>
      </c>
      <c r="AO10" s="1415">
        <v>30</v>
      </c>
      <c r="AP10" s="729">
        <v>199</v>
      </c>
      <c r="AQ10" s="1416">
        <v>61</v>
      </c>
      <c r="AR10" s="1415">
        <v>10</v>
      </c>
      <c r="AS10" s="1415">
        <v>100</v>
      </c>
      <c r="AT10" s="1415">
        <v>31</v>
      </c>
      <c r="AU10" s="729">
        <v>202</v>
      </c>
      <c r="AV10" s="1416">
        <v>51</v>
      </c>
      <c r="AW10" s="1415">
        <v>11</v>
      </c>
      <c r="AX10" s="1415">
        <v>103</v>
      </c>
      <c r="AY10" s="1415">
        <v>43</v>
      </c>
      <c r="AZ10" s="729">
        <v>208</v>
      </c>
      <c r="BA10" s="1416">
        <f>+'PTC-GRADO'!BA8</f>
        <v>49</v>
      </c>
      <c r="BB10" s="1415">
        <f>+'PTC-GRADO'!BB8</f>
        <v>7</v>
      </c>
      <c r="BC10" s="1415">
        <f>+'PTC-GRADO'!BC8</f>
        <v>108</v>
      </c>
      <c r="BD10" s="1415">
        <f>+'PTC-GRADO'!BD8</f>
        <v>49</v>
      </c>
      <c r="BE10" s="729">
        <f>SUM(BA10:BD10)</f>
        <v>213</v>
      </c>
      <c r="BF10" s="1416">
        <f>+'PTC-GRADO'!BF8</f>
        <v>53</v>
      </c>
      <c r="BG10" s="1415">
        <f>+'PTC-GRADO'!BG8</f>
        <v>7</v>
      </c>
      <c r="BH10" s="1415">
        <f>+'PTC-GRADO'!BH8</f>
        <v>114</v>
      </c>
      <c r="BI10" s="1415">
        <f>+'PTC-GRADO'!BI8</f>
        <v>51</v>
      </c>
      <c r="BJ10" s="729">
        <f t="shared" si="0"/>
        <v>225</v>
      </c>
      <c r="BK10" s="1416">
        <f>+'PTC-GRADO'!BK8</f>
        <v>52</v>
      </c>
      <c r="BL10" s="1415">
        <f>+'PTC-GRADO'!BL8</f>
        <v>7</v>
      </c>
      <c r="BM10" s="1415">
        <f>+'PTC-GRADO'!BM8</f>
        <v>120</v>
      </c>
      <c r="BN10" s="1415">
        <f>+'PTC-GRADO'!BN8</f>
        <v>51</v>
      </c>
      <c r="BO10" s="729">
        <f t="shared" si="1"/>
        <v>230</v>
      </c>
    </row>
    <row r="11" spans="1:67" ht="15" customHeight="1" x14ac:dyDescent="0.2">
      <c r="A11" s="5634"/>
      <c r="B11" s="6367"/>
      <c r="C11" s="1828">
        <v>0.49302325581395351</v>
      </c>
      <c r="D11" s="1828">
        <v>4.1860465116279069E-2</v>
      </c>
      <c r="E11" s="1828">
        <v>0.35348837209302325</v>
      </c>
      <c r="F11" s="1828">
        <v>0.11162790697674418</v>
      </c>
      <c r="G11" s="2908">
        <v>1</v>
      </c>
      <c r="H11" s="1828">
        <v>0.49295774647887325</v>
      </c>
      <c r="I11" s="1828">
        <v>4.2253521126760563E-2</v>
      </c>
      <c r="J11" s="1828">
        <v>0.34272300469483569</v>
      </c>
      <c r="K11" s="1828">
        <v>0.12206572769953052</v>
      </c>
      <c r="L11" s="2908">
        <v>1</v>
      </c>
      <c r="M11" s="1828">
        <v>0.41836734693877553</v>
      </c>
      <c r="N11" s="1828">
        <v>5.6122448979591837E-2</v>
      </c>
      <c r="O11" s="1828">
        <v>0.38775510204081631</v>
      </c>
      <c r="P11" s="1828">
        <v>0.13775510204081631</v>
      </c>
      <c r="Q11" s="2908">
        <v>1</v>
      </c>
      <c r="R11" s="1828">
        <v>0.39698492462311558</v>
      </c>
      <c r="S11" s="1828">
        <v>5.0251256281407038E-2</v>
      </c>
      <c r="T11" s="1828">
        <v>0.39698492462311558</v>
      </c>
      <c r="U11" s="1828">
        <v>0.15577889447236182</v>
      </c>
      <c r="V11" s="2908">
        <v>1</v>
      </c>
      <c r="W11" s="1828">
        <v>0.36216216216216218</v>
      </c>
      <c r="X11" s="1828">
        <v>4.3243243243243246E-2</v>
      </c>
      <c r="Y11" s="1828">
        <v>0.43243243243243246</v>
      </c>
      <c r="Z11" s="1828">
        <v>0.16216216216216217</v>
      </c>
      <c r="AA11" s="2909">
        <v>1</v>
      </c>
      <c r="AB11" s="2910">
        <v>0.34594594594594597</v>
      </c>
      <c r="AC11" s="1828">
        <v>5.4054054054054057E-2</v>
      </c>
      <c r="AD11" s="1828">
        <v>0.44864864864864867</v>
      </c>
      <c r="AE11" s="1828">
        <v>0.15135135135135136</v>
      </c>
      <c r="AF11" s="2908">
        <v>1</v>
      </c>
      <c r="AG11" s="2910">
        <v>0.33513513513513515</v>
      </c>
      <c r="AH11" s="1828">
        <v>5.9459459459459463E-2</v>
      </c>
      <c r="AI11" s="1828">
        <v>0.45945945945945948</v>
      </c>
      <c r="AJ11" s="1828">
        <v>0.14594594594594595</v>
      </c>
      <c r="AK11" s="2908">
        <v>1</v>
      </c>
      <c r="AL11" s="2910">
        <v>0.32160804020100503</v>
      </c>
      <c r="AM11" s="1828">
        <v>5.5276381909547742E-2</v>
      </c>
      <c r="AN11" s="1828">
        <v>0.47236180904522612</v>
      </c>
      <c r="AO11" s="1828">
        <v>0.15075376884422109</v>
      </c>
      <c r="AP11" s="2908">
        <v>1</v>
      </c>
      <c r="AQ11" s="2910">
        <v>0.30198019801980197</v>
      </c>
      <c r="AR11" s="1828">
        <v>4.9504950495049507E-2</v>
      </c>
      <c r="AS11" s="1828">
        <v>0.49504950495049505</v>
      </c>
      <c r="AT11" s="1828">
        <v>0.15346534653465346</v>
      </c>
      <c r="AU11" s="2908">
        <v>1</v>
      </c>
      <c r="AV11" s="2910">
        <v>0.24519230769230768</v>
      </c>
      <c r="AW11" s="1828">
        <v>5.2884615384615384E-2</v>
      </c>
      <c r="AX11" s="1828">
        <v>0.49519230769230771</v>
      </c>
      <c r="AY11" s="1828">
        <v>0.20673076923076922</v>
      </c>
      <c r="AZ11" s="2908">
        <v>1</v>
      </c>
      <c r="BA11" s="2910">
        <f>BA10/$BE$10</f>
        <v>0.2300469483568075</v>
      </c>
      <c r="BB11" s="1828">
        <f>BB10/$BE$10</f>
        <v>3.2863849765258218E-2</v>
      </c>
      <c r="BC11" s="1828">
        <f>BC10/$BE$10</f>
        <v>0.50704225352112675</v>
      </c>
      <c r="BD11" s="1828">
        <f>BD10/$BE$10</f>
        <v>0.2300469483568075</v>
      </c>
      <c r="BE11" s="2908">
        <f>BE10/$BE$10</f>
        <v>1</v>
      </c>
      <c r="BF11" s="2910">
        <f>BF10/$BJ$10</f>
        <v>0.23555555555555555</v>
      </c>
      <c r="BG11" s="1828">
        <f>BG10/$BJ$10</f>
        <v>3.111111111111111E-2</v>
      </c>
      <c r="BH11" s="1828">
        <f>BH10/$BJ$10</f>
        <v>0.50666666666666671</v>
      </c>
      <c r="BI11" s="1828">
        <f>BI10/$BJ$10</f>
        <v>0.22666666666666666</v>
      </c>
      <c r="BJ11" s="2908">
        <f t="shared" si="0"/>
        <v>1</v>
      </c>
      <c r="BK11" s="2910">
        <f>BK10/$BO$10</f>
        <v>0.22608695652173913</v>
      </c>
      <c r="BL11" s="1828">
        <f t="shared" ref="BL11:BN11" si="4">BL10/$BO$10</f>
        <v>3.0434782608695653E-2</v>
      </c>
      <c r="BM11" s="1828">
        <f t="shared" si="4"/>
        <v>0.52173913043478259</v>
      </c>
      <c r="BN11" s="1828">
        <f t="shared" si="4"/>
        <v>0.22173913043478261</v>
      </c>
      <c r="BO11" s="2908">
        <f t="shared" si="1"/>
        <v>1</v>
      </c>
    </row>
    <row r="12" spans="1:67" ht="15" x14ac:dyDescent="0.2">
      <c r="A12" s="5634"/>
      <c r="B12" s="6363" t="s">
        <v>12</v>
      </c>
      <c r="C12" s="2929">
        <v>324</v>
      </c>
      <c r="D12" s="2930">
        <v>22</v>
      </c>
      <c r="E12" s="2930">
        <v>325</v>
      </c>
      <c r="F12" s="2930">
        <v>229</v>
      </c>
      <c r="G12" s="2930">
        <v>900</v>
      </c>
      <c r="H12" s="2931">
        <v>320</v>
      </c>
      <c r="I12" s="2932">
        <v>21</v>
      </c>
      <c r="J12" s="2932">
        <v>311</v>
      </c>
      <c r="K12" s="2932">
        <v>245</v>
      </c>
      <c r="L12" s="2933">
        <v>897</v>
      </c>
      <c r="M12" s="2931">
        <v>251</v>
      </c>
      <c r="N12" s="2932">
        <v>24</v>
      </c>
      <c r="O12" s="2932">
        <v>325</v>
      </c>
      <c r="P12" s="2932">
        <v>264</v>
      </c>
      <c r="Q12" s="2933">
        <v>864</v>
      </c>
      <c r="R12" s="2931">
        <v>245</v>
      </c>
      <c r="S12" s="2932">
        <v>22</v>
      </c>
      <c r="T12" s="2932">
        <v>335</v>
      </c>
      <c r="U12" s="2932">
        <v>273</v>
      </c>
      <c r="V12" s="2933">
        <v>875</v>
      </c>
      <c r="W12" s="2931">
        <v>215</v>
      </c>
      <c r="X12" s="2932">
        <v>18</v>
      </c>
      <c r="Y12" s="2932">
        <v>336</v>
      </c>
      <c r="Z12" s="2932">
        <v>293</v>
      </c>
      <c r="AA12" s="2933">
        <v>862</v>
      </c>
      <c r="AB12" s="2931">
        <v>205</v>
      </c>
      <c r="AC12" s="2932">
        <v>19</v>
      </c>
      <c r="AD12" s="2932">
        <v>340</v>
      </c>
      <c r="AE12" s="2932">
        <v>301</v>
      </c>
      <c r="AF12" s="2933">
        <v>865</v>
      </c>
      <c r="AG12" s="2931">
        <v>198</v>
      </c>
      <c r="AH12" s="2932">
        <v>20</v>
      </c>
      <c r="AI12" s="2932">
        <v>328</v>
      </c>
      <c r="AJ12" s="2932">
        <v>302</v>
      </c>
      <c r="AK12" s="2933">
        <v>848</v>
      </c>
      <c r="AL12" s="2931">
        <v>198.40949289764956</v>
      </c>
      <c r="AM12" s="2932">
        <v>20.026804762859904</v>
      </c>
      <c r="AN12" s="2932">
        <v>336.7277128425813</v>
      </c>
      <c r="AO12" s="2932">
        <v>308.83598949690929</v>
      </c>
      <c r="AP12" s="2933">
        <v>864.00000000000011</v>
      </c>
      <c r="AQ12" s="2931">
        <v>194.40346721902017</v>
      </c>
      <c r="AR12" s="2932">
        <v>17.020416066282422</v>
      </c>
      <c r="AS12" s="2932">
        <v>336.70686239193083</v>
      </c>
      <c r="AT12" s="2932">
        <v>322.86925432276661</v>
      </c>
      <c r="AU12" s="2933">
        <v>871</v>
      </c>
      <c r="AV12" s="2931">
        <v>174.35561497326205</v>
      </c>
      <c r="AW12" s="2932">
        <v>18.019429590017825</v>
      </c>
      <c r="AX12" s="2932">
        <v>343.68021390374327</v>
      </c>
      <c r="AY12" s="2932">
        <v>377.94474153297682</v>
      </c>
      <c r="AZ12" s="2933">
        <v>914</v>
      </c>
      <c r="BA12" s="2931">
        <f t="shared" ref="BA12:BJ12" si="5">SUM(BA6,BA8,BA10)</f>
        <v>166</v>
      </c>
      <c r="BB12" s="2932">
        <f t="shared" si="5"/>
        <v>14</v>
      </c>
      <c r="BC12" s="2932">
        <f t="shared" si="5"/>
        <v>350</v>
      </c>
      <c r="BD12" s="2932">
        <f t="shared" si="5"/>
        <v>411</v>
      </c>
      <c r="BE12" s="2933">
        <f t="shared" si="5"/>
        <v>941</v>
      </c>
      <c r="BF12" s="2931">
        <f t="shared" si="5"/>
        <v>167</v>
      </c>
      <c r="BG12" s="2932">
        <f t="shared" si="5"/>
        <v>14</v>
      </c>
      <c r="BH12" s="2932">
        <f t="shared" si="5"/>
        <v>357</v>
      </c>
      <c r="BI12" s="2932">
        <f t="shared" si="5"/>
        <v>424</v>
      </c>
      <c r="BJ12" s="2933">
        <f t="shared" si="5"/>
        <v>962</v>
      </c>
      <c r="BK12" s="2931">
        <f t="shared" ref="BK12:BO12" si="6">SUM(BK6,BK8,BK10)</f>
        <v>164</v>
      </c>
      <c r="BL12" s="2932">
        <f t="shared" si="6"/>
        <v>14</v>
      </c>
      <c r="BM12" s="2932">
        <f t="shared" si="6"/>
        <v>370</v>
      </c>
      <c r="BN12" s="2932">
        <f t="shared" si="6"/>
        <v>434</v>
      </c>
      <c r="BO12" s="2933">
        <f t="shared" si="6"/>
        <v>982</v>
      </c>
    </row>
    <row r="13" spans="1:67" ht="12.75" customHeight="1" x14ac:dyDescent="0.2">
      <c r="A13" s="5635"/>
      <c r="B13" s="6364"/>
      <c r="C13" s="2925">
        <v>0.36</v>
      </c>
      <c r="D13" s="2926">
        <v>2.4444444444444446E-2</v>
      </c>
      <c r="E13" s="2926">
        <v>0.3611111111111111</v>
      </c>
      <c r="F13" s="2926">
        <v>0.25444444444444442</v>
      </c>
      <c r="G13" s="2927">
        <v>1</v>
      </c>
      <c r="H13" s="2925">
        <v>0.35674470457079155</v>
      </c>
      <c r="I13" s="2926">
        <v>2.3411371237458192E-2</v>
      </c>
      <c r="J13" s="2926">
        <v>0.34671125975473799</v>
      </c>
      <c r="K13" s="2926">
        <v>0.27313266443701228</v>
      </c>
      <c r="L13" s="2927">
        <v>1</v>
      </c>
      <c r="M13" s="2925">
        <v>0.29050925925925924</v>
      </c>
      <c r="N13" s="2926">
        <v>2.7777777777777776E-2</v>
      </c>
      <c r="O13" s="2926">
        <v>0.37615740740740738</v>
      </c>
      <c r="P13" s="2926">
        <v>0.30555555555555558</v>
      </c>
      <c r="Q13" s="2927">
        <v>1</v>
      </c>
      <c r="R13" s="2925">
        <v>0.28000000000000003</v>
      </c>
      <c r="S13" s="2926">
        <v>2.5142857142857144E-2</v>
      </c>
      <c r="T13" s="2926">
        <v>0.38285714285714284</v>
      </c>
      <c r="U13" s="2926">
        <v>0.312</v>
      </c>
      <c r="V13" s="2927">
        <v>1</v>
      </c>
      <c r="W13" s="2925">
        <v>0.24941995359628771</v>
      </c>
      <c r="X13" s="2926">
        <v>2.0881670533642691E-2</v>
      </c>
      <c r="Y13" s="2926">
        <v>0.38979118329466356</v>
      </c>
      <c r="Z13" s="2926">
        <v>0.33990719257540603</v>
      </c>
      <c r="AA13" s="2927">
        <v>1</v>
      </c>
      <c r="AB13" s="2925">
        <v>0.23699421965317918</v>
      </c>
      <c r="AC13" s="2926">
        <v>2.1965317919075144E-2</v>
      </c>
      <c r="AD13" s="2926">
        <v>0.39306358381502893</v>
      </c>
      <c r="AE13" s="2926">
        <v>0.34797687861271676</v>
      </c>
      <c r="AF13" s="2927">
        <v>1</v>
      </c>
      <c r="AG13" s="2925">
        <v>0.23349056603773585</v>
      </c>
      <c r="AH13" s="2926">
        <v>2.358490566037736E-2</v>
      </c>
      <c r="AI13" s="2926">
        <v>0.3867924528301887</v>
      </c>
      <c r="AJ13" s="2926">
        <v>0.35613207547169812</v>
      </c>
      <c r="AK13" s="2927">
        <v>1</v>
      </c>
      <c r="AL13" s="2925">
        <v>0.22964061677968695</v>
      </c>
      <c r="AM13" s="2926">
        <v>2.3179172179235995E-2</v>
      </c>
      <c r="AN13" s="2926">
        <v>0.38973114912335793</v>
      </c>
      <c r="AO13" s="2926">
        <v>0.35744906191771902</v>
      </c>
      <c r="AP13" s="2927">
        <v>1</v>
      </c>
      <c r="AQ13" s="2925">
        <v>0.22319571437315749</v>
      </c>
      <c r="AR13" s="2926">
        <v>1.9541235437752495E-2</v>
      </c>
      <c r="AS13" s="2926">
        <v>0.38657504292988615</v>
      </c>
      <c r="AT13" s="2926">
        <v>0.37068800725920392</v>
      </c>
      <c r="AU13" s="2927">
        <v>1</v>
      </c>
      <c r="AV13" s="2925">
        <v>0.19076106671035234</v>
      </c>
      <c r="AW13" s="2926">
        <v>1.9714912024089523E-2</v>
      </c>
      <c r="AX13" s="2926">
        <v>0.37601773950081319</v>
      </c>
      <c r="AY13" s="2926">
        <v>0.41350628176474485</v>
      </c>
      <c r="AZ13" s="2927">
        <v>1</v>
      </c>
      <c r="BA13" s="1429">
        <f>BA12/$BE$12</f>
        <v>0.17640807651434645</v>
      </c>
      <c r="BB13" s="1428">
        <f>BB12/$BE$12</f>
        <v>1.487778958554729E-2</v>
      </c>
      <c r="BC13" s="1428">
        <f>BC12/$BE$12</f>
        <v>0.37194473963868224</v>
      </c>
      <c r="BD13" s="1428">
        <f>BD12/$BE$12</f>
        <v>0.43676939426142403</v>
      </c>
      <c r="BE13" s="2928">
        <f>BE12/$BE$12</f>
        <v>1</v>
      </c>
      <c r="BF13" s="1429">
        <f>BF12/$BJ$12</f>
        <v>0.17359667359667361</v>
      </c>
      <c r="BG13" s="1428">
        <f>BG12/$BJ$12</f>
        <v>1.4553014553014554E-2</v>
      </c>
      <c r="BH13" s="1428">
        <f>BH12/$BJ$12</f>
        <v>0.37110187110187109</v>
      </c>
      <c r="BI13" s="1428">
        <f>BI12/$BJ$12</f>
        <v>0.44074844074844077</v>
      </c>
      <c r="BJ13" s="2928">
        <f>SUM(BF13:BI13)</f>
        <v>1</v>
      </c>
      <c r="BK13" s="1429">
        <f>BK12/$BO$12</f>
        <v>0.16700610997963339</v>
      </c>
      <c r="BL13" s="1428">
        <f t="shared" ref="BL13:BN13" si="7">BL12/$BO$12</f>
        <v>1.4256619144602852E-2</v>
      </c>
      <c r="BM13" s="1428">
        <f t="shared" si="7"/>
        <v>0.37678207739307534</v>
      </c>
      <c r="BN13" s="1428">
        <f t="shared" si="7"/>
        <v>0.44195519348268841</v>
      </c>
      <c r="BO13" s="2928">
        <f>SUM(BK13:BN13)</f>
        <v>1</v>
      </c>
    </row>
    <row r="15" spans="1:67" ht="15" x14ac:dyDescent="0.2">
      <c r="A15" s="5625" t="s">
        <v>8</v>
      </c>
      <c r="B15" s="6365" t="s">
        <v>6</v>
      </c>
      <c r="C15" s="1411"/>
      <c r="D15" s="1411"/>
      <c r="E15" s="1411"/>
      <c r="F15" s="1411"/>
      <c r="G15" s="482"/>
      <c r="H15" s="1412"/>
      <c r="I15" s="1412"/>
      <c r="J15" s="1412"/>
      <c r="K15" s="1412"/>
      <c r="L15" s="726"/>
      <c r="M15" s="1412"/>
      <c r="N15" s="1412"/>
      <c r="O15" s="1412">
        <v>2</v>
      </c>
      <c r="P15" s="1412">
        <v>9</v>
      </c>
      <c r="Q15" s="726">
        <v>11</v>
      </c>
      <c r="R15" s="1412"/>
      <c r="S15" s="1412"/>
      <c r="T15" s="1412">
        <v>2</v>
      </c>
      <c r="U15" s="1412">
        <v>19</v>
      </c>
      <c r="V15" s="726">
        <v>21</v>
      </c>
      <c r="W15" s="1412"/>
      <c r="X15" s="1412"/>
      <c r="Y15" s="1412"/>
      <c r="Z15" s="1412">
        <v>28</v>
      </c>
      <c r="AA15" s="726">
        <v>28</v>
      </c>
      <c r="AB15" s="1413"/>
      <c r="AC15" s="1412"/>
      <c r="AD15" s="1412"/>
      <c r="AE15" s="1412">
        <v>36</v>
      </c>
      <c r="AF15" s="726">
        <v>36</v>
      </c>
      <c r="AG15" s="1413"/>
      <c r="AH15" s="1412"/>
      <c r="AI15" s="1412"/>
      <c r="AJ15" s="1412">
        <v>46</v>
      </c>
      <c r="AK15" s="726">
        <v>46</v>
      </c>
      <c r="AL15" s="1413"/>
      <c r="AM15" s="1412"/>
      <c r="AN15" s="1412"/>
      <c r="AO15" s="1412">
        <v>49</v>
      </c>
      <c r="AP15" s="726">
        <v>49</v>
      </c>
      <c r="AQ15" s="1413"/>
      <c r="AR15" s="1412"/>
      <c r="AS15" s="1412"/>
      <c r="AT15" s="1412">
        <v>58</v>
      </c>
      <c r="AU15" s="726">
        <v>58</v>
      </c>
      <c r="AV15" s="1413"/>
      <c r="AW15" s="1412"/>
      <c r="AX15" s="1412">
        <v>1</v>
      </c>
      <c r="AY15" s="1412">
        <v>64</v>
      </c>
      <c r="AZ15" s="726">
        <v>65</v>
      </c>
      <c r="BA15" s="1413">
        <f>+'PTC-GRADO'!BA11</f>
        <v>0</v>
      </c>
      <c r="BB15" s="1412">
        <f>+'PTC-GRADO'!BB11</f>
        <v>0</v>
      </c>
      <c r="BC15" s="1412">
        <f>+'PTC-GRADO'!BC11</f>
        <v>1</v>
      </c>
      <c r="BD15" s="1412">
        <f>+'PTC-GRADO'!BD11</f>
        <v>63</v>
      </c>
      <c r="BE15" s="726">
        <f>SUM(BA15:BD15)</f>
        <v>64</v>
      </c>
      <c r="BF15" s="1413">
        <f>+'PTC-GRADO'!BF11</f>
        <v>0</v>
      </c>
      <c r="BG15" s="1412">
        <f>+'PTC-GRADO'!BG11</f>
        <v>0</v>
      </c>
      <c r="BH15" s="1412">
        <f>+'PTC-GRADO'!BH11</f>
        <v>1</v>
      </c>
      <c r="BI15" s="1412">
        <f>+'PTC-GRADO'!BI11</f>
        <v>67</v>
      </c>
      <c r="BJ15" s="726">
        <f t="shared" ref="BJ15:BJ20" si="8">SUM(BF15:BI15)</f>
        <v>68</v>
      </c>
      <c r="BK15" s="1413">
        <f>+'PTC-GRADO'!BK11</f>
        <v>0</v>
      </c>
      <c r="BL15" s="1412">
        <f>+'PTC-GRADO'!BL11</f>
        <v>0</v>
      </c>
      <c r="BM15" s="1412">
        <f>+'PTC-GRADO'!BM11</f>
        <v>2</v>
      </c>
      <c r="BN15" s="1412">
        <f>+'PTC-GRADO'!BN11</f>
        <v>71</v>
      </c>
      <c r="BO15" s="726">
        <f t="shared" ref="BO15:BO20" si="9">SUM(BK15:BN15)</f>
        <v>73</v>
      </c>
    </row>
    <row r="16" spans="1:67" ht="15" customHeight="1" x14ac:dyDescent="0.2">
      <c r="A16" s="5626"/>
      <c r="B16" s="6366"/>
      <c r="C16" s="1828"/>
      <c r="D16" s="1828"/>
      <c r="E16" s="1828"/>
      <c r="F16" s="1828"/>
      <c r="G16" s="2908"/>
      <c r="H16" s="1828"/>
      <c r="I16" s="1828"/>
      <c r="J16" s="1828"/>
      <c r="K16" s="1828"/>
      <c r="L16" s="2908"/>
      <c r="M16" s="1828"/>
      <c r="N16" s="1828"/>
      <c r="O16" s="1828">
        <v>0.18181818181818182</v>
      </c>
      <c r="P16" s="1828">
        <v>0.81818181818181823</v>
      </c>
      <c r="Q16" s="2908">
        <v>1</v>
      </c>
      <c r="R16" s="1828"/>
      <c r="S16" s="1828"/>
      <c r="T16" s="1828">
        <v>9.5238095238095233E-2</v>
      </c>
      <c r="U16" s="1828">
        <v>0.90476190476190477</v>
      </c>
      <c r="V16" s="2908">
        <v>1</v>
      </c>
      <c r="W16" s="1828"/>
      <c r="X16" s="1828"/>
      <c r="Y16" s="1828"/>
      <c r="Z16" s="1828">
        <v>1</v>
      </c>
      <c r="AA16" s="2909">
        <v>1</v>
      </c>
      <c r="AB16" s="2910"/>
      <c r="AC16" s="1828"/>
      <c r="AD16" s="1828"/>
      <c r="AE16" s="1828">
        <f>+AE15/AF15</f>
        <v>1</v>
      </c>
      <c r="AF16" s="2908">
        <f>+AF15/AF15</f>
        <v>1</v>
      </c>
      <c r="AG16" s="2910"/>
      <c r="AH16" s="1828"/>
      <c r="AI16" s="1828"/>
      <c r="AJ16" s="1828">
        <v>1</v>
      </c>
      <c r="AK16" s="2908">
        <v>1</v>
      </c>
      <c r="AL16" s="2910"/>
      <c r="AM16" s="1828"/>
      <c r="AN16" s="1828"/>
      <c r="AO16" s="1828">
        <v>1</v>
      </c>
      <c r="AP16" s="2908">
        <v>1</v>
      </c>
      <c r="AQ16" s="2910"/>
      <c r="AR16" s="1828"/>
      <c r="AS16" s="1828"/>
      <c r="AT16" s="1828">
        <v>1</v>
      </c>
      <c r="AU16" s="2908">
        <v>1</v>
      </c>
      <c r="AV16" s="2910"/>
      <c r="AW16" s="1828"/>
      <c r="AX16" s="1828">
        <v>1.5384615384615385E-2</v>
      </c>
      <c r="AY16" s="1828">
        <v>0.98461538461538467</v>
      </c>
      <c r="AZ16" s="2908">
        <v>1</v>
      </c>
      <c r="BA16" s="2910">
        <f>BA15/$BE$15</f>
        <v>0</v>
      </c>
      <c r="BB16" s="1828">
        <f>BB15/$BE$15</f>
        <v>0</v>
      </c>
      <c r="BC16" s="1828">
        <f>BC15/$BE$15</f>
        <v>1.5625E-2</v>
      </c>
      <c r="BD16" s="1828">
        <f>BD15/$BE$15</f>
        <v>0.984375</v>
      </c>
      <c r="BE16" s="2908">
        <f>BE15/$BE$15</f>
        <v>1</v>
      </c>
      <c r="BF16" s="2910">
        <f>BF15/$BJ$15</f>
        <v>0</v>
      </c>
      <c r="BG16" s="1828">
        <f>BG15/$BJ$15</f>
        <v>0</v>
      </c>
      <c r="BH16" s="1828">
        <f>BH15/$BJ$15</f>
        <v>1.4705882352941176E-2</v>
      </c>
      <c r="BI16" s="1828">
        <f>BI15/$BJ$15</f>
        <v>0.98529411764705888</v>
      </c>
      <c r="BJ16" s="2908">
        <f t="shared" si="8"/>
        <v>1</v>
      </c>
      <c r="BK16" s="2910">
        <f>BK15/$BO$15</f>
        <v>0</v>
      </c>
      <c r="BL16" s="1828">
        <f t="shared" ref="BL16:BN16" si="10">BL15/$BO$15</f>
        <v>0</v>
      </c>
      <c r="BM16" s="1828">
        <f t="shared" si="10"/>
        <v>2.7397260273972601E-2</v>
      </c>
      <c r="BN16" s="1828">
        <f t="shared" si="10"/>
        <v>0.9726027397260274</v>
      </c>
      <c r="BO16" s="2908">
        <f t="shared" si="9"/>
        <v>1</v>
      </c>
    </row>
    <row r="17" spans="1:67" ht="15" x14ac:dyDescent="0.2">
      <c r="A17" s="5626"/>
      <c r="B17" s="6366" t="s">
        <v>9</v>
      </c>
      <c r="C17" s="2911"/>
      <c r="D17" s="2911"/>
      <c r="E17" s="2911"/>
      <c r="F17" s="2911"/>
      <c r="G17" s="2912"/>
      <c r="H17" s="2913"/>
      <c r="I17" s="2913"/>
      <c r="J17" s="2913"/>
      <c r="K17" s="2913"/>
      <c r="L17" s="2914"/>
      <c r="M17" s="2913">
        <v>1</v>
      </c>
      <c r="N17" s="2913"/>
      <c r="O17" s="2913"/>
      <c r="P17" s="2913">
        <v>3</v>
      </c>
      <c r="Q17" s="2914">
        <v>4</v>
      </c>
      <c r="R17" s="2913"/>
      <c r="S17" s="2913"/>
      <c r="T17" s="2913">
        <v>7</v>
      </c>
      <c r="U17" s="2913">
        <v>13</v>
      </c>
      <c r="V17" s="2914">
        <v>20</v>
      </c>
      <c r="W17" s="2913"/>
      <c r="X17" s="2913"/>
      <c r="Y17" s="2913">
        <v>7</v>
      </c>
      <c r="Z17" s="2913">
        <v>14</v>
      </c>
      <c r="AA17" s="2914">
        <v>21</v>
      </c>
      <c r="AB17" s="2915"/>
      <c r="AC17" s="2913"/>
      <c r="AD17" s="2913">
        <v>9</v>
      </c>
      <c r="AE17" s="2913">
        <v>18</v>
      </c>
      <c r="AF17" s="2914">
        <v>27</v>
      </c>
      <c r="AG17" s="2915">
        <v>2</v>
      </c>
      <c r="AH17" s="2913"/>
      <c r="AI17" s="2913">
        <v>15</v>
      </c>
      <c r="AJ17" s="2913">
        <v>28</v>
      </c>
      <c r="AK17" s="2914">
        <v>45</v>
      </c>
      <c r="AL17" s="2915">
        <v>3</v>
      </c>
      <c r="AM17" s="2913"/>
      <c r="AN17" s="2913">
        <v>19</v>
      </c>
      <c r="AO17" s="2913">
        <v>33</v>
      </c>
      <c r="AP17" s="2914">
        <v>55</v>
      </c>
      <c r="AQ17" s="2915">
        <v>3</v>
      </c>
      <c r="AR17" s="2913"/>
      <c r="AS17" s="2913">
        <v>25</v>
      </c>
      <c r="AT17" s="2913">
        <v>39</v>
      </c>
      <c r="AU17" s="2914">
        <v>67</v>
      </c>
      <c r="AV17" s="2915">
        <v>4</v>
      </c>
      <c r="AW17" s="2913">
        <v>1</v>
      </c>
      <c r="AX17" s="2913">
        <v>21</v>
      </c>
      <c r="AY17" s="2913">
        <v>43</v>
      </c>
      <c r="AZ17" s="2914">
        <v>69</v>
      </c>
      <c r="BA17" s="2915">
        <f>+'PTC-GRADO'!BA12</f>
        <v>2</v>
      </c>
      <c r="BB17" s="2913">
        <f>+'PTC-GRADO'!BB12</f>
        <v>1</v>
      </c>
      <c r="BC17" s="2913">
        <f>+'PTC-GRADO'!BC12</f>
        <v>22</v>
      </c>
      <c r="BD17" s="2913">
        <f>+'PTC-GRADO'!BD12</f>
        <v>42</v>
      </c>
      <c r="BE17" s="2914">
        <f>SUM(BA17:BD17)</f>
        <v>67</v>
      </c>
      <c r="BF17" s="2915">
        <f>+'PTC-GRADO'!BF12</f>
        <v>2</v>
      </c>
      <c r="BG17" s="2913">
        <f>+'PTC-GRADO'!BG12</f>
        <v>1</v>
      </c>
      <c r="BH17" s="2913">
        <f>+'PTC-GRADO'!BH12</f>
        <v>23</v>
      </c>
      <c r="BI17" s="2913">
        <f>+'PTC-GRADO'!BI12</f>
        <v>43</v>
      </c>
      <c r="BJ17" s="2914">
        <f t="shared" si="8"/>
        <v>69</v>
      </c>
      <c r="BK17" s="2915">
        <f>+'PTC-GRADO'!BK12</f>
        <v>2</v>
      </c>
      <c r="BL17" s="2913">
        <f>+'PTC-GRADO'!BL12</f>
        <v>1</v>
      </c>
      <c r="BM17" s="2913">
        <f>+'PTC-GRADO'!BM12</f>
        <v>26</v>
      </c>
      <c r="BN17" s="2913">
        <f>+'PTC-GRADO'!BN12</f>
        <v>46</v>
      </c>
      <c r="BO17" s="2914">
        <f t="shared" si="9"/>
        <v>75</v>
      </c>
    </row>
    <row r="18" spans="1:67" ht="15" customHeight="1" x14ac:dyDescent="0.2">
      <c r="A18" s="5626"/>
      <c r="B18" s="6366"/>
      <c r="C18" s="2916"/>
      <c r="D18" s="2916"/>
      <c r="E18" s="2916"/>
      <c r="F18" s="2916"/>
      <c r="G18" s="2917"/>
      <c r="H18" s="2916"/>
      <c r="I18" s="2916"/>
      <c r="J18" s="2916"/>
      <c r="K18" s="2916"/>
      <c r="L18" s="2917"/>
      <c r="M18" s="2916">
        <v>0.25</v>
      </c>
      <c r="N18" s="2916"/>
      <c r="O18" s="2916"/>
      <c r="P18" s="2916">
        <v>0.75</v>
      </c>
      <c r="Q18" s="2917">
        <v>1</v>
      </c>
      <c r="R18" s="2916"/>
      <c r="S18" s="2916"/>
      <c r="T18" s="2916">
        <v>0.35</v>
      </c>
      <c r="U18" s="2916">
        <v>0.65</v>
      </c>
      <c r="V18" s="2917">
        <v>1</v>
      </c>
      <c r="W18" s="2916"/>
      <c r="X18" s="2916"/>
      <c r="Y18" s="2916">
        <v>0.33333333333333331</v>
      </c>
      <c r="Z18" s="2916">
        <v>0.66666666666666663</v>
      </c>
      <c r="AA18" s="2918">
        <v>1</v>
      </c>
      <c r="AB18" s="2919"/>
      <c r="AC18" s="2916"/>
      <c r="AD18" s="2916">
        <v>0.33333333333333331</v>
      </c>
      <c r="AE18" s="2916">
        <v>0.66666666666666663</v>
      </c>
      <c r="AF18" s="2917">
        <v>1</v>
      </c>
      <c r="AG18" s="2919">
        <v>4.4444444444444446E-2</v>
      </c>
      <c r="AH18" s="2916"/>
      <c r="AI18" s="2916">
        <v>0.33333333333333331</v>
      </c>
      <c r="AJ18" s="2916">
        <v>0.62222222222222223</v>
      </c>
      <c r="AK18" s="2917">
        <v>1</v>
      </c>
      <c r="AL18" s="2919">
        <v>5.4545454545454543E-2</v>
      </c>
      <c r="AM18" s="2916"/>
      <c r="AN18" s="2916">
        <v>0.34545454545454546</v>
      </c>
      <c r="AO18" s="2916">
        <v>0.6</v>
      </c>
      <c r="AP18" s="2917">
        <v>1</v>
      </c>
      <c r="AQ18" s="2919">
        <v>4.4776119402985072E-2</v>
      </c>
      <c r="AR18" s="2916"/>
      <c r="AS18" s="2916">
        <v>0.37313432835820898</v>
      </c>
      <c r="AT18" s="2916">
        <v>1.7179487179487178</v>
      </c>
      <c r="AU18" s="2917">
        <v>1</v>
      </c>
      <c r="AV18" s="2919">
        <v>5.7971014492753624E-2</v>
      </c>
      <c r="AW18" s="2916">
        <v>1.4492753623188406E-2</v>
      </c>
      <c r="AX18" s="2916">
        <v>0.30434782608695654</v>
      </c>
      <c r="AY18" s="2916">
        <v>0.62318840579710144</v>
      </c>
      <c r="AZ18" s="2917">
        <v>1</v>
      </c>
      <c r="BA18" s="2919">
        <f>BA17/$BE$17</f>
        <v>2.9850746268656716E-2</v>
      </c>
      <c r="BB18" s="2916">
        <f>BB17/$BE$17</f>
        <v>1.4925373134328358E-2</v>
      </c>
      <c r="BC18" s="2916">
        <f>BC17/$BE$17</f>
        <v>0.32835820895522388</v>
      </c>
      <c r="BD18" s="2916">
        <f>BD17/$BE$17</f>
        <v>0.62686567164179108</v>
      </c>
      <c r="BE18" s="2917">
        <f>BE17/$BE$17</f>
        <v>1</v>
      </c>
      <c r="BF18" s="2919">
        <f>BF17/$BJ$17</f>
        <v>2.8985507246376812E-2</v>
      </c>
      <c r="BG18" s="2916">
        <f>BG17/$BJ$17</f>
        <v>1.4492753623188406E-2</v>
      </c>
      <c r="BH18" s="2916">
        <f>BH17/$BJ$17</f>
        <v>0.33333333333333331</v>
      </c>
      <c r="BI18" s="2916">
        <f>BI17/$BJ$17</f>
        <v>0.62318840579710144</v>
      </c>
      <c r="BJ18" s="2917">
        <f t="shared" si="8"/>
        <v>1</v>
      </c>
      <c r="BK18" s="2919">
        <f>BK17/$BO$17</f>
        <v>2.6666666666666668E-2</v>
      </c>
      <c r="BL18" s="2916">
        <f t="shared" ref="BL18:BN18" si="11">BL17/$BO$17</f>
        <v>1.3333333333333334E-2</v>
      </c>
      <c r="BM18" s="2916">
        <f t="shared" si="11"/>
        <v>0.34666666666666668</v>
      </c>
      <c r="BN18" s="2916">
        <f t="shared" si="11"/>
        <v>0.61333333333333329</v>
      </c>
      <c r="BO18" s="2917">
        <f t="shared" si="9"/>
        <v>1</v>
      </c>
    </row>
    <row r="19" spans="1:67" ht="15" x14ac:dyDescent="0.2">
      <c r="A19" s="5626"/>
      <c r="B19" s="6366" t="s">
        <v>74</v>
      </c>
      <c r="C19" s="1414"/>
      <c r="D19" s="1414"/>
      <c r="E19" s="1414"/>
      <c r="F19" s="1414"/>
      <c r="G19" s="487"/>
      <c r="H19" s="1415"/>
      <c r="I19" s="1415"/>
      <c r="J19" s="1415"/>
      <c r="K19" s="1415"/>
      <c r="L19" s="729"/>
      <c r="M19" s="1415"/>
      <c r="N19" s="1415"/>
      <c r="O19" s="1415"/>
      <c r="P19" s="1415">
        <v>8</v>
      </c>
      <c r="Q19" s="729">
        <v>8</v>
      </c>
      <c r="R19" s="1415"/>
      <c r="S19" s="1415"/>
      <c r="T19" s="1415">
        <v>1</v>
      </c>
      <c r="U19" s="1415">
        <v>15</v>
      </c>
      <c r="V19" s="729">
        <v>16</v>
      </c>
      <c r="W19" s="1415"/>
      <c r="X19" s="1415"/>
      <c r="Y19" s="1415"/>
      <c r="Z19" s="1415">
        <v>26</v>
      </c>
      <c r="AA19" s="729">
        <v>26</v>
      </c>
      <c r="AB19" s="1416"/>
      <c r="AC19" s="1415"/>
      <c r="AD19" s="1415"/>
      <c r="AE19" s="1415">
        <v>29</v>
      </c>
      <c r="AF19" s="729">
        <v>29</v>
      </c>
      <c r="AG19" s="1416"/>
      <c r="AH19" s="1415"/>
      <c r="AI19" s="1415">
        <v>2</v>
      </c>
      <c r="AJ19" s="1415">
        <v>40</v>
      </c>
      <c r="AK19" s="729">
        <v>42</v>
      </c>
      <c r="AL19" s="1416"/>
      <c r="AM19" s="1415"/>
      <c r="AN19" s="1415">
        <v>2</v>
      </c>
      <c r="AO19" s="1415">
        <v>44</v>
      </c>
      <c r="AP19" s="729">
        <v>46</v>
      </c>
      <c r="AQ19" s="1416"/>
      <c r="AR19" s="1415"/>
      <c r="AS19" s="1415">
        <v>2</v>
      </c>
      <c r="AT19" s="1415">
        <v>51</v>
      </c>
      <c r="AU19" s="729">
        <v>53</v>
      </c>
      <c r="AV19" s="1416"/>
      <c r="AW19" s="1415"/>
      <c r="AX19" s="1415">
        <v>2</v>
      </c>
      <c r="AY19" s="1415">
        <v>54</v>
      </c>
      <c r="AZ19" s="729">
        <v>56</v>
      </c>
      <c r="BA19" s="1416">
        <f>+'PTC-GRADO'!BA13</f>
        <v>0</v>
      </c>
      <c r="BB19" s="1415">
        <f>+'PTC-GRADO'!BB13</f>
        <v>0</v>
      </c>
      <c r="BC19" s="1415">
        <f>+'PTC-GRADO'!BC13</f>
        <v>2</v>
      </c>
      <c r="BD19" s="1415">
        <f>+'PTC-GRADO'!BD13</f>
        <v>61</v>
      </c>
      <c r="BE19" s="729">
        <f>SUM(BA19:BD19)</f>
        <v>63</v>
      </c>
      <c r="BF19" s="1416">
        <f>+'PTC-GRADO'!BF13</f>
        <v>0</v>
      </c>
      <c r="BG19" s="1415">
        <f>+'PTC-GRADO'!BG13</f>
        <v>0</v>
      </c>
      <c r="BH19" s="1415">
        <f>+'PTC-GRADO'!BH13</f>
        <v>3</v>
      </c>
      <c r="BI19" s="1415">
        <f>+'PTC-GRADO'!BI13</f>
        <v>69</v>
      </c>
      <c r="BJ19" s="729">
        <f t="shared" si="8"/>
        <v>72</v>
      </c>
      <c r="BK19" s="1416">
        <f>+'PTC-GRADO'!BK13</f>
        <v>0</v>
      </c>
      <c r="BL19" s="1415">
        <f>+'PTC-GRADO'!BL13</f>
        <v>0</v>
      </c>
      <c r="BM19" s="1415">
        <f>+'PTC-GRADO'!BM13</f>
        <v>3</v>
      </c>
      <c r="BN19" s="1415">
        <f>+'PTC-GRADO'!BN13</f>
        <v>71</v>
      </c>
      <c r="BO19" s="729">
        <f t="shared" si="9"/>
        <v>74</v>
      </c>
    </row>
    <row r="20" spans="1:67" ht="15" customHeight="1" x14ac:dyDescent="0.2">
      <c r="A20" s="5626"/>
      <c r="B20" s="6367"/>
      <c r="C20" s="1828"/>
      <c r="D20" s="1828"/>
      <c r="E20" s="1828"/>
      <c r="F20" s="1828"/>
      <c r="G20" s="2908"/>
      <c r="H20" s="1828"/>
      <c r="I20" s="1828"/>
      <c r="J20" s="1828"/>
      <c r="K20" s="1828"/>
      <c r="L20" s="2908"/>
      <c r="M20" s="1828"/>
      <c r="N20" s="1828"/>
      <c r="O20" s="1828"/>
      <c r="P20" s="1828">
        <v>1</v>
      </c>
      <c r="Q20" s="2908">
        <v>1</v>
      </c>
      <c r="R20" s="1828"/>
      <c r="S20" s="1828"/>
      <c r="T20" s="1828">
        <v>6.25E-2</v>
      </c>
      <c r="U20" s="1828">
        <v>0.9375</v>
      </c>
      <c r="V20" s="2908">
        <v>1</v>
      </c>
      <c r="W20" s="1828"/>
      <c r="X20" s="1828"/>
      <c r="Y20" s="1828"/>
      <c r="Z20" s="1828">
        <v>1</v>
      </c>
      <c r="AA20" s="2909">
        <v>1</v>
      </c>
      <c r="AB20" s="2910"/>
      <c r="AC20" s="1828"/>
      <c r="AD20" s="1828"/>
      <c r="AE20" s="1828">
        <v>1</v>
      </c>
      <c r="AF20" s="2908">
        <v>1</v>
      </c>
      <c r="AG20" s="2910"/>
      <c r="AH20" s="1828"/>
      <c r="AI20" s="1828">
        <v>4.7619047619047616E-2</v>
      </c>
      <c r="AJ20" s="1828">
        <v>0.95238095238095233</v>
      </c>
      <c r="AK20" s="2908">
        <v>1</v>
      </c>
      <c r="AL20" s="2910"/>
      <c r="AM20" s="1828"/>
      <c r="AN20" s="1828">
        <v>4.3478260869565216E-2</v>
      </c>
      <c r="AO20" s="1828">
        <v>0.95652173913043481</v>
      </c>
      <c r="AP20" s="2908">
        <v>1</v>
      </c>
      <c r="AQ20" s="2910"/>
      <c r="AR20" s="1828"/>
      <c r="AS20" s="1828">
        <v>3.7735849056603772E-2</v>
      </c>
      <c r="AT20" s="1828">
        <v>0.96226415094339623</v>
      </c>
      <c r="AU20" s="2908">
        <v>1</v>
      </c>
      <c r="AV20" s="2910"/>
      <c r="AW20" s="1828"/>
      <c r="AX20" s="1828">
        <v>3.5714285714285712E-2</v>
      </c>
      <c r="AY20" s="1828">
        <v>0.9642857142857143</v>
      </c>
      <c r="AZ20" s="2908">
        <v>1</v>
      </c>
      <c r="BA20" s="2910">
        <f>BA19/$BE$19</f>
        <v>0</v>
      </c>
      <c r="BB20" s="1828">
        <f>BB19/$BE$19</f>
        <v>0</v>
      </c>
      <c r="BC20" s="1828">
        <f>BC19/$BE$19</f>
        <v>3.1746031746031744E-2</v>
      </c>
      <c r="BD20" s="1828">
        <f>BD19/$BE$19</f>
        <v>0.96825396825396826</v>
      </c>
      <c r="BE20" s="2908">
        <f>BE19/$BE$19</f>
        <v>1</v>
      </c>
      <c r="BF20" s="2910">
        <f>BF19/$BJ$19</f>
        <v>0</v>
      </c>
      <c r="BG20" s="1828">
        <f>BG19/$BJ$19</f>
        <v>0</v>
      </c>
      <c r="BH20" s="1828">
        <f>BH19/$BJ$19</f>
        <v>4.1666666666666664E-2</v>
      </c>
      <c r="BI20" s="1828">
        <f>BI19/$BJ$19</f>
        <v>0.95833333333333337</v>
      </c>
      <c r="BJ20" s="2908">
        <f t="shared" si="8"/>
        <v>1</v>
      </c>
      <c r="BK20" s="2910">
        <f>BK19/$BO$19</f>
        <v>0</v>
      </c>
      <c r="BL20" s="1828">
        <f t="shared" ref="BL20:BN20" si="12">BL19/$BO$19</f>
        <v>0</v>
      </c>
      <c r="BM20" s="1828">
        <f t="shared" si="12"/>
        <v>4.0540540540540543E-2</v>
      </c>
      <c r="BN20" s="1828">
        <f t="shared" si="12"/>
        <v>0.95945945945945943</v>
      </c>
      <c r="BO20" s="2908">
        <f t="shared" si="9"/>
        <v>1</v>
      </c>
    </row>
    <row r="21" spans="1:67" ht="15" x14ac:dyDescent="0.2">
      <c r="A21" s="5626"/>
      <c r="B21" s="6364" t="s">
        <v>12</v>
      </c>
      <c r="C21" s="2929"/>
      <c r="D21" s="2930"/>
      <c r="E21" s="2930"/>
      <c r="F21" s="2930"/>
      <c r="G21" s="2930"/>
      <c r="H21" s="2931"/>
      <c r="I21" s="2932"/>
      <c r="J21" s="2932"/>
      <c r="K21" s="2932"/>
      <c r="L21" s="2933"/>
      <c r="M21" s="2931">
        <v>1</v>
      </c>
      <c r="N21" s="2932"/>
      <c r="O21" s="2932">
        <v>2</v>
      </c>
      <c r="P21" s="2932">
        <v>20</v>
      </c>
      <c r="Q21" s="2933">
        <v>23</v>
      </c>
      <c r="R21" s="2931"/>
      <c r="S21" s="2932"/>
      <c r="T21" s="2932">
        <v>10</v>
      </c>
      <c r="U21" s="2932">
        <v>47</v>
      </c>
      <c r="V21" s="2933">
        <v>57</v>
      </c>
      <c r="W21" s="2931"/>
      <c r="X21" s="2932"/>
      <c r="Y21" s="2932">
        <v>7</v>
      </c>
      <c r="Z21" s="2932">
        <v>68</v>
      </c>
      <c r="AA21" s="2933">
        <v>75</v>
      </c>
      <c r="AB21" s="2931"/>
      <c r="AC21" s="2932"/>
      <c r="AD21" s="2932">
        <v>9</v>
      </c>
      <c r="AE21" s="2932">
        <v>83</v>
      </c>
      <c r="AF21" s="2933">
        <v>92</v>
      </c>
      <c r="AG21" s="2931">
        <v>2</v>
      </c>
      <c r="AH21" s="2932"/>
      <c r="AI21" s="2932">
        <v>17</v>
      </c>
      <c r="AJ21" s="2932">
        <v>114</v>
      </c>
      <c r="AK21" s="2933">
        <v>133</v>
      </c>
      <c r="AL21" s="2931">
        <v>3.0545454545454547</v>
      </c>
      <c r="AM21" s="2932"/>
      <c r="AN21" s="2932">
        <v>21.345454545454544</v>
      </c>
      <c r="AO21" s="2932">
        <v>127.6</v>
      </c>
      <c r="AP21" s="2933">
        <v>152</v>
      </c>
      <c r="AQ21" s="2931">
        <v>3.044776119402985</v>
      </c>
      <c r="AR21" s="2932"/>
      <c r="AS21" s="2932">
        <v>27.373134328358208</v>
      </c>
      <c r="AT21" s="2932">
        <v>150.71794871794873</v>
      </c>
      <c r="AU21" s="2933">
        <v>180</v>
      </c>
      <c r="AV21" s="2931">
        <v>4.0579710144927539</v>
      </c>
      <c r="AW21" s="2932">
        <v>1.0144927536231885</v>
      </c>
      <c r="AX21" s="2932">
        <v>24.319732441471572</v>
      </c>
      <c r="AY21" s="2932">
        <v>162.60780379041248</v>
      </c>
      <c r="AZ21" s="2933">
        <v>192</v>
      </c>
      <c r="BA21" s="2931">
        <f t="shared" ref="BA21:BJ21" si="13">SUM(BA15,BA17,BA19)</f>
        <v>2</v>
      </c>
      <c r="BB21" s="2932">
        <f t="shared" si="13"/>
        <v>1</v>
      </c>
      <c r="BC21" s="2932">
        <f t="shared" si="13"/>
        <v>25</v>
      </c>
      <c r="BD21" s="2932">
        <f t="shared" si="13"/>
        <v>166</v>
      </c>
      <c r="BE21" s="2933">
        <f t="shared" si="13"/>
        <v>194</v>
      </c>
      <c r="BF21" s="2931">
        <f t="shared" si="13"/>
        <v>2</v>
      </c>
      <c r="BG21" s="2932">
        <f t="shared" si="13"/>
        <v>1</v>
      </c>
      <c r="BH21" s="2932">
        <f t="shared" si="13"/>
        <v>27</v>
      </c>
      <c r="BI21" s="2932">
        <f t="shared" si="13"/>
        <v>179</v>
      </c>
      <c r="BJ21" s="2933">
        <f t="shared" si="13"/>
        <v>209</v>
      </c>
      <c r="BK21" s="2931">
        <f t="shared" ref="BK21:BO21" si="14">SUM(BK15,BK17,BK19)</f>
        <v>2</v>
      </c>
      <c r="BL21" s="2932">
        <f t="shared" si="14"/>
        <v>1</v>
      </c>
      <c r="BM21" s="2932">
        <f t="shared" si="14"/>
        <v>31</v>
      </c>
      <c r="BN21" s="2932">
        <f t="shared" si="14"/>
        <v>188</v>
      </c>
      <c r="BO21" s="2933">
        <f t="shared" si="14"/>
        <v>222</v>
      </c>
    </row>
    <row r="22" spans="1:67" x14ac:dyDescent="0.2">
      <c r="A22" s="5627"/>
      <c r="B22" s="6368"/>
      <c r="C22" s="2925"/>
      <c r="D22" s="2926"/>
      <c r="E22" s="2926"/>
      <c r="F22" s="2926"/>
      <c r="G22" s="2927"/>
      <c r="H22" s="2925"/>
      <c r="I22" s="2926"/>
      <c r="J22" s="2926"/>
      <c r="K22" s="2926"/>
      <c r="L22" s="2927"/>
      <c r="M22" s="2925">
        <v>4.3478260869565216E-2</v>
      </c>
      <c r="N22" s="2926"/>
      <c r="O22" s="2926">
        <v>8.6956521739130432E-2</v>
      </c>
      <c r="P22" s="2926">
        <v>0.86956521739130432</v>
      </c>
      <c r="Q22" s="2927">
        <v>1</v>
      </c>
      <c r="R22" s="2925"/>
      <c r="S22" s="2926"/>
      <c r="T22" s="2926">
        <v>0.17543859649122806</v>
      </c>
      <c r="U22" s="2926">
        <v>0.82456140350877194</v>
      </c>
      <c r="V22" s="2927">
        <v>1</v>
      </c>
      <c r="W22" s="2925"/>
      <c r="X22" s="2926"/>
      <c r="Y22" s="2926">
        <v>9.3333333333333338E-2</v>
      </c>
      <c r="Z22" s="2926">
        <v>0.90666666666666662</v>
      </c>
      <c r="AA22" s="2927">
        <v>1</v>
      </c>
      <c r="AB22" s="2925"/>
      <c r="AC22" s="2926"/>
      <c r="AD22" s="2926">
        <v>9.7826086956521743E-2</v>
      </c>
      <c r="AE22" s="2926">
        <v>0.90217391304347827</v>
      </c>
      <c r="AF22" s="2927">
        <v>1</v>
      </c>
      <c r="AG22" s="2925">
        <v>1.5037593984962405E-2</v>
      </c>
      <c r="AH22" s="2926"/>
      <c r="AI22" s="2926">
        <v>0.12781954887218044</v>
      </c>
      <c r="AJ22" s="2926">
        <v>0.8571428571428571</v>
      </c>
      <c r="AK22" s="2927">
        <v>1</v>
      </c>
      <c r="AL22" s="2925">
        <v>2.0095693779904306E-2</v>
      </c>
      <c r="AM22" s="2926"/>
      <c r="AN22" s="2926">
        <v>0.14043062200956938</v>
      </c>
      <c r="AO22" s="2926">
        <v>0.83947368421052626</v>
      </c>
      <c r="AP22" s="2927">
        <v>1</v>
      </c>
      <c r="AQ22" s="2925">
        <v>1.6915422885572139E-2</v>
      </c>
      <c r="AR22" s="2926">
        <v>0</v>
      </c>
      <c r="AS22" s="2926">
        <v>0.15207296849087892</v>
      </c>
      <c r="AT22" s="2926">
        <v>0.83732193732193738</v>
      </c>
      <c r="AU22" s="2927">
        <v>1</v>
      </c>
      <c r="AV22" s="2925">
        <v>2.1135265700483092E-2</v>
      </c>
      <c r="AW22" s="2926">
        <v>5.283816425120773E-3</v>
      </c>
      <c r="AX22" s="2926">
        <v>0.12666527313266443</v>
      </c>
      <c r="AY22" s="2926">
        <v>0.84691564474173164</v>
      </c>
      <c r="AZ22" s="2927">
        <v>1</v>
      </c>
      <c r="BA22" s="1429">
        <f>BA21/$BE$21</f>
        <v>1.0309278350515464E-2</v>
      </c>
      <c r="BB22" s="1428">
        <f>BB21/$BE$21</f>
        <v>5.1546391752577319E-3</v>
      </c>
      <c r="BC22" s="1428">
        <f>BC21/$BE$21</f>
        <v>0.12886597938144329</v>
      </c>
      <c r="BD22" s="1428">
        <f>BD21/$BE$21</f>
        <v>0.85567010309278346</v>
      </c>
      <c r="BE22" s="2928">
        <f>BE21/$BE$21</f>
        <v>1</v>
      </c>
      <c r="BF22" s="1429">
        <f>BF21/$BJ$21</f>
        <v>9.5693779904306216E-3</v>
      </c>
      <c r="BG22" s="1428">
        <f>BG21/$BJ$21</f>
        <v>4.7846889952153108E-3</v>
      </c>
      <c r="BH22" s="1428">
        <f>BH21/$BJ$21</f>
        <v>0.12918660287081341</v>
      </c>
      <c r="BI22" s="1428">
        <f>BI21/$BJ$21</f>
        <v>0.8564593301435407</v>
      </c>
      <c r="BJ22" s="2928">
        <f>BJ21/$BJ$21</f>
        <v>1</v>
      </c>
      <c r="BK22" s="1429">
        <f>BK21/$BO$21</f>
        <v>9.0090090090090089E-3</v>
      </c>
      <c r="BL22" s="1428">
        <f t="shared" ref="BL22:BN22" si="15">BL21/$BO$21</f>
        <v>4.5045045045045045E-3</v>
      </c>
      <c r="BM22" s="1428">
        <f t="shared" si="15"/>
        <v>0.13963963963963963</v>
      </c>
      <c r="BN22" s="1428">
        <f t="shared" si="15"/>
        <v>0.84684684684684686</v>
      </c>
      <c r="BO22" s="2928">
        <f>SUM(BK22:BN22)</f>
        <v>1</v>
      </c>
    </row>
    <row r="23" spans="1:67" ht="15" x14ac:dyDescent="0.2">
      <c r="A23" s="1417"/>
      <c r="B23" s="1417"/>
      <c r="C23" s="1417"/>
      <c r="D23" s="1417"/>
      <c r="E23" s="1417"/>
      <c r="F23" s="1417"/>
      <c r="G23" s="1417"/>
      <c r="H23" s="1417"/>
      <c r="I23" s="1417"/>
      <c r="J23" s="1417"/>
      <c r="K23" s="1417"/>
      <c r="L23" s="1417"/>
      <c r="M23" s="1417"/>
      <c r="N23" s="1417"/>
      <c r="O23" s="1417"/>
      <c r="P23" s="1417"/>
      <c r="Q23" s="1417"/>
      <c r="R23" s="1417"/>
      <c r="S23" s="1417"/>
      <c r="T23" s="1417"/>
      <c r="U23" s="1417"/>
      <c r="V23" s="1417"/>
      <c r="W23" s="1417"/>
      <c r="X23" s="1417"/>
      <c r="Y23" s="1417"/>
      <c r="Z23" s="1417"/>
      <c r="AA23" s="1417"/>
      <c r="AB23" s="1417"/>
      <c r="AC23" s="1417"/>
      <c r="AD23" s="1417"/>
      <c r="AE23" s="1417"/>
      <c r="AF23" s="1417"/>
      <c r="AG23" s="1417"/>
      <c r="AH23" s="1417"/>
      <c r="AI23" s="1417"/>
      <c r="AJ23" s="1417"/>
      <c r="AK23" s="1417"/>
      <c r="AL23" s="1417"/>
      <c r="AM23" s="1417"/>
      <c r="AN23" s="1417"/>
      <c r="AO23" s="1417"/>
      <c r="AP23" s="1417"/>
      <c r="AQ23" s="1417"/>
      <c r="AR23" s="1417"/>
      <c r="AS23" s="1417"/>
      <c r="AT23" s="1417"/>
      <c r="AU23" s="1417"/>
      <c r="AV23" s="1417"/>
      <c r="AW23" s="1417"/>
      <c r="AX23" s="1417"/>
      <c r="AY23" s="1417"/>
      <c r="AZ23" s="1417"/>
      <c r="BA23" s="1417"/>
      <c r="BB23" s="1417"/>
      <c r="BC23" s="1417"/>
      <c r="BD23" s="1417"/>
      <c r="BE23" s="1417"/>
      <c r="BF23" s="1417"/>
      <c r="BG23" s="1417"/>
      <c r="BH23" s="1417"/>
      <c r="BI23" s="1417"/>
      <c r="BJ23" s="1417"/>
      <c r="BK23" s="1417"/>
      <c r="BL23" s="1417"/>
      <c r="BM23" s="1417"/>
      <c r="BN23" s="1417"/>
      <c r="BO23" s="1417"/>
    </row>
    <row r="24" spans="1:67" ht="15" x14ac:dyDescent="0.2">
      <c r="A24" s="5637" t="s">
        <v>75</v>
      </c>
      <c r="B24" s="6365" t="s">
        <v>5</v>
      </c>
      <c r="C24" s="1411">
        <v>23</v>
      </c>
      <c r="D24" s="1411">
        <v>1</v>
      </c>
      <c r="E24" s="1411">
        <v>58</v>
      </c>
      <c r="F24" s="1411">
        <v>182</v>
      </c>
      <c r="G24" s="482">
        <v>264</v>
      </c>
      <c r="H24" s="1412">
        <v>23</v>
      </c>
      <c r="I24" s="1412">
        <v>1</v>
      </c>
      <c r="J24" s="1412">
        <v>56</v>
      </c>
      <c r="K24" s="1412">
        <v>194</v>
      </c>
      <c r="L24" s="726">
        <v>274</v>
      </c>
      <c r="M24" s="1412">
        <v>18</v>
      </c>
      <c r="N24" s="1412">
        <v>1</v>
      </c>
      <c r="O24" s="1412">
        <v>58</v>
      </c>
      <c r="P24" s="1412">
        <v>212</v>
      </c>
      <c r="Q24" s="726">
        <v>289</v>
      </c>
      <c r="R24" s="1412">
        <v>16</v>
      </c>
      <c r="S24" s="1412">
        <v>1</v>
      </c>
      <c r="T24" s="1412">
        <v>57</v>
      </c>
      <c r="U24" s="1412">
        <v>215</v>
      </c>
      <c r="V24" s="726">
        <v>289</v>
      </c>
      <c r="W24" s="1412">
        <v>15</v>
      </c>
      <c r="X24" s="1412">
        <v>1</v>
      </c>
      <c r="Y24" s="1412">
        <v>53</v>
      </c>
      <c r="Z24" s="1412">
        <v>221</v>
      </c>
      <c r="AA24" s="726">
        <v>290</v>
      </c>
      <c r="AB24" s="1413">
        <v>15</v>
      </c>
      <c r="AC24" s="1412">
        <v>1</v>
      </c>
      <c r="AD24" s="1412">
        <v>51</v>
      </c>
      <c r="AE24" s="1412">
        <v>221</v>
      </c>
      <c r="AF24" s="726">
        <v>288</v>
      </c>
      <c r="AG24" s="1413">
        <v>15</v>
      </c>
      <c r="AH24" s="1412">
        <v>1</v>
      </c>
      <c r="AI24" s="1412">
        <v>51</v>
      </c>
      <c r="AJ24" s="1412">
        <v>227</v>
      </c>
      <c r="AK24" s="726">
        <v>294</v>
      </c>
      <c r="AL24" s="1413">
        <v>15</v>
      </c>
      <c r="AM24" s="1412">
        <v>1</v>
      </c>
      <c r="AN24" s="1412">
        <v>49</v>
      </c>
      <c r="AO24" s="1412">
        <v>234</v>
      </c>
      <c r="AP24" s="726">
        <v>299</v>
      </c>
      <c r="AQ24" s="1413">
        <v>15</v>
      </c>
      <c r="AR24" s="1412">
        <v>1</v>
      </c>
      <c r="AS24" s="1412">
        <v>46</v>
      </c>
      <c r="AT24" s="1412">
        <v>241</v>
      </c>
      <c r="AU24" s="726">
        <v>303</v>
      </c>
      <c r="AV24" s="1413">
        <v>15</v>
      </c>
      <c r="AW24" s="1412">
        <v>1</v>
      </c>
      <c r="AX24" s="1412">
        <v>44</v>
      </c>
      <c r="AY24" s="1412">
        <v>246</v>
      </c>
      <c r="AZ24" s="726">
        <v>306</v>
      </c>
      <c r="BA24" s="1413">
        <f>+'PTC-GRADO'!BA16</f>
        <v>14</v>
      </c>
      <c r="BB24" s="1412">
        <f>+'PTC-GRADO'!BB16</f>
        <v>1</v>
      </c>
      <c r="BC24" s="1412">
        <f>+'PTC-GRADO'!BC16</f>
        <v>43</v>
      </c>
      <c r="BD24" s="1412">
        <f>+'PTC-GRADO'!BD16</f>
        <v>255</v>
      </c>
      <c r="BE24" s="726">
        <f>SUM(BA24:BD24)</f>
        <v>313</v>
      </c>
      <c r="BF24" s="1413">
        <f>+'PTC-GRADO'!BF16</f>
        <v>14</v>
      </c>
      <c r="BG24" s="1412">
        <f>+'PTC-GRADO'!BG16</f>
        <v>1</v>
      </c>
      <c r="BH24" s="1412">
        <f>+'PTC-GRADO'!BH16</f>
        <v>43</v>
      </c>
      <c r="BI24" s="1412">
        <f>+'PTC-GRADO'!BI16</f>
        <v>256</v>
      </c>
      <c r="BJ24" s="726">
        <f t="shared" ref="BJ24:BJ29" si="16">SUM(BF24:BI24)</f>
        <v>314</v>
      </c>
      <c r="BK24" s="1413">
        <f>+'PTC-GRADO'!BK16</f>
        <v>14</v>
      </c>
      <c r="BL24" s="1412">
        <f>+'PTC-GRADO'!BL16</f>
        <v>1</v>
      </c>
      <c r="BM24" s="1412">
        <f>+'PTC-GRADO'!BM16</f>
        <v>43</v>
      </c>
      <c r="BN24" s="1412">
        <f>+'PTC-GRADO'!BN16</f>
        <v>261</v>
      </c>
      <c r="BO24" s="726">
        <f t="shared" ref="BO24:BO29" si="17">SUM(BK24:BN24)</f>
        <v>319</v>
      </c>
    </row>
    <row r="25" spans="1:67" ht="15" customHeight="1" x14ac:dyDescent="0.2">
      <c r="A25" s="5638"/>
      <c r="B25" s="6366"/>
      <c r="C25" s="1828">
        <v>8.7121212121212127E-2</v>
      </c>
      <c r="D25" s="1828">
        <v>3.787878787878788E-3</v>
      </c>
      <c r="E25" s="1828">
        <v>0.2196969696969697</v>
      </c>
      <c r="F25" s="1828">
        <v>0.68939393939393945</v>
      </c>
      <c r="G25" s="2908">
        <v>1</v>
      </c>
      <c r="H25" s="1828">
        <v>8.3941605839416053E-2</v>
      </c>
      <c r="I25" s="1828">
        <v>3.6496350364963502E-3</v>
      </c>
      <c r="J25" s="1828">
        <v>0.20437956204379562</v>
      </c>
      <c r="K25" s="1828">
        <v>0.70802919708029199</v>
      </c>
      <c r="L25" s="2908">
        <v>1</v>
      </c>
      <c r="M25" s="1828">
        <v>6.228373702422145E-2</v>
      </c>
      <c r="N25" s="1828">
        <v>3.4602076124567475E-3</v>
      </c>
      <c r="O25" s="1828">
        <v>0.20069204152249134</v>
      </c>
      <c r="P25" s="1828">
        <v>0.73356401384083048</v>
      </c>
      <c r="Q25" s="2908">
        <v>1</v>
      </c>
      <c r="R25" s="1828">
        <v>5.536332179930796E-2</v>
      </c>
      <c r="S25" s="1828">
        <v>3.4602076124567475E-3</v>
      </c>
      <c r="T25" s="1828">
        <v>0.1972318339100346</v>
      </c>
      <c r="U25" s="1828">
        <v>0.74394463667820065</v>
      </c>
      <c r="V25" s="2908">
        <v>1</v>
      </c>
      <c r="W25" s="1828">
        <v>5.1724137931034482E-2</v>
      </c>
      <c r="X25" s="1828">
        <v>3.4482758620689655E-3</v>
      </c>
      <c r="Y25" s="1828">
        <v>0.18275862068965518</v>
      </c>
      <c r="Z25" s="1828">
        <v>0.76206896551724135</v>
      </c>
      <c r="AA25" s="2909">
        <v>1</v>
      </c>
      <c r="AB25" s="2910">
        <v>5.2083333333333336E-2</v>
      </c>
      <c r="AC25" s="1828">
        <v>3.472222222222222E-3</v>
      </c>
      <c r="AD25" s="1828">
        <v>0.17708333333333334</v>
      </c>
      <c r="AE25" s="1828">
        <v>0.76736111111111116</v>
      </c>
      <c r="AF25" s="2908">
        <v>1</v>
      </c>
      <c r="AG25" s="2910">
        <v>5.1020408163265307E-2</v>
      </c>
      <c r="AH25" s="1828">
        <v>3.4013605442176869E-3</v>
      </c>
      <c r="AI25" s="1828">
        <v>0.17346938775510204</v>
      </c>
      <c r="AJ25" s="1828">
        <v>0.77210884353741494</v>
      </c>
      <c r="AK25" s="2908">
        <v>1</v>
      </c>
      <c r="AL25" s="2910">
        <v>5.016722408026756E-2</v>
      </c>
      <c r="AM25" s="1828">
        <v>3.3444816053511705E-3</v>
      </c>
      <c r="AN25" s="1828">
        <v>0.16387959866220736</v>
      </c>
      <c r="AO25" s="1828">
        <v>0.78260869565217395</v>
      </c>
      <c r="AP25" s="2908">
        <v>1</v>
      </c>
      <c r="AQ25" s="2910">
        <v>4.9504950495049507E-2</v>
      </c>
      <c r="AR25" s="1828">
        <v>3.3003300330033004E-3</v>
      </c>
      <c r="AS25" s="1828">
        <v>0.15181518151815182</v>
      </c>
      <c r="AT25" s="1828">
        <v>0.79537953795379535</v>
      </c>
      <c r="AU25" s="2908">
        <v>1</v>
      </c>
      <c r="AV25" s="2910">
        <v>4.9019607843137254E-2</v>
      </c>
      <c r="AW25" s="1828">
        <v>3.2679738562091504E-3</v>
      </c>
      <c r="AX25" s="1828">
        <v>0.1437908496732026</v>
      </c>
      <c r="AY25" s="1828">
        <v>0.80392156862745101</v>
      </c>
      <c r="AZ25" s="2908">
        <v>1</v>
      </c>
      <c r="BA25" s="2910">
        <f>BA24/$BE$24</f>
        <v>4.472843450479233E-2</v>
      </c>
      <c r="BB25" s="1828">
        <f>BB24/$BE$24</f>
        <v>3.1948881789137379E-3</v>
      </c>
      <c r="BC25" s="1828">
        <f>BC24/$BE$24</f>
        <v>0.13738019169329074</v>
      </c>
      <c r="BD25" s="1828">
        <f>BD24/$BE$24</f>
        <v>0.81469648562300323</v>
      </c>
      <c r="BE25" s="2908">
        <f>BE24/$BE$24</f>
        <v>1</v>
      </c>
      <c r="BF25" s="2910">
        <f>BF24/$BJ$24</f>
        <v>4.4585987261146494E-2</v>
      </c>
      <c r="BG25" s="1828">
        <f>BG24/$BJ$24</f>
        <v>3.1847133757961785E-3</v>
      </c>
      <c r="BH25" s="1828">
        <f>BH24/$BJ$24</f>
        <v>0.13694267515923567</v>
      </c>
      <c r="BI25" s="1828">
        <f>BI24/$BJ$24</f>
        <v>0.8152866242038217</v>
      </c>
      <c r="BJ25" s="2908">
        <f t="shared" si="16"/>
        <v>1</v>
      </c>
      <c r="BK25" s="2910">
        <f>BK24/$BO$24</f>
        <v>4.3887147335423198E-2</v>
      </c>
      <c r="BL25" s="1828">
        <f t="shared" ref="BL25:BN25" si="18">BL24/$BO$24</f>
        <v>3.134796238244514E-3</v>
      </c>
      <c r="BM25" s="1828">
        <f t="shared" si="18"/>
        <v>0.13479623824451412</v>
      </c>
      <c r="BN25" s="1828">
        <f t="shared" si="18"/>
        <v>0.81818181818181823</v>
      </c>
      <c r="BO25" s="2908">
        <f t="shared" si="17"/>
        <v>1</v>
      </c>
    </row>
    <row r="26" spans="1:67" ht="15" x14ac:dyDescent="0.2">
      <c r="A26" s="5638"/>
      <c r="B26" s="6366" t="s">
        <v>6</v>
      </c>
      <c r="C26" s="2911">
        <v>71</v>
      </c>
      <c r="D26" s="2911">
        <v>1</v>
      </c>
      <c r="E26" s="2911">
        <v>102</v>
      </c>
      <c r="F26" s="2911">
        <v>132</v>
      </c>
      <c r="G26" s="2912">
        <v>306</v>
      </c>
      <c r="H26" s="2913">
        <v>70</v>
      </c>
      <c r="I26" s="2913">
        <v>1</v>
      </c>
      <c r="J26" s="2913">
        <v>97</v>
      </c>
      <c r="K26" s="2913">
        <v>142</v>
      </c>
      <c r="L26" s="2914">
        <v>310</v>
      </c>
      <c r="M26" s="2913">
        <v>55</v>
      </c>
      <c r="N26" s="2913">
        <v>1</v>
      </c>
      <c r="O26" s="2913">
        <v>100</v>
      </c>
      <c r="P26" s="2913">
        <v>154</v>
      </c>
      <c r="Q26" s="2914">
        <v>310</v>
      </c>
      <c r="R26" s="2913">
        <v>54</v>
      </c>
      <c r="S26" s="2913">
        <v>1</v>
      </c>
      <c r="T26" s="2913">
        <v>92</v>
      </c>
      <c r="U26" s="2913">
        <v>159</v>
      </c>
      <c r="V26" s="2914">
        <v>306</v>
      </c>
      <c r="W26" s="2913">
        <v>46</v>
      </c>
      <c r="X26" s="2913">
        <v>2</v>
      </c>
      <c r="Y26" s="2913">
        <v>93</v>
      </c>
      <c r="Z26" s="2913">
        <v>162</v>
      </c>
      <c r="AA26" s="2914">
        <v>303</v>
      </c>
      <c r="AB26" s="2915">
        <v>43</v>
      </c>
      <c r="AC26" s="2913">
        <v>2</v>
      </c>
      <c r="AD26" s="2913">
        <v>90</v>
      </c>
      <c r="AE26" s="2913">
        <v>170</v>
      </c>
      <c r="AF26" s="2914">
        <v>305</v>
      </c>
      <c r="AG26" s="2915">
        <v>39</v>
      </c>
      <c r="AH26" s="2913">
        <v>2</v>
      </c>
      <c r="AI26" s="2913">
        <v>95</v>
      </c>
      <c r="AJ26" s="2913">
        <v>176</v>
      </c>
      <c r="AK26" s="2914">
        <v>312</v>
      </c>
      <c r="AL26" s="2915">
        <v>37</v>
      </c>
      <c r="AM26" s="2913">
        <v>2</v>
      </c>
      <c r="AN26" s="2913">
        <v>93</v>
      </c>
      <c r="AO26" s="2913">
        <v>189</v>
      </c>
      <c r="AP26" s="2914">
        <v>321</v>
      </c>
      <c r="AQ26" s="2915">
        <v>36</v>
      </c>
      <c r="AR26" s="2913">
        <v>2</v>
      </c>
      <c r="AS26" s="2913">
        <v>78</v>
      </c>
      <c r="AT26" s="2913">
        <v>204</v>
      </c>
      <c r="AU26" s="2914">
        <v>320</v>
      </c>
      <c r="AV26" s="2915">
        <v>33</v>
      </c>
      <c r="AW26" s="2913">
        <v>2</v>
      </c>
      <c r="AX26" s="2913">
        <v>80</v>
      </c>
      <c r="AY26" s="2913">
        <v>205</v>
      </c>
      <c r="AZ26" s="2914">
        <v>320</v>
      </c>
      <c r="BA26" s="2915">
        <f>+'PTC-GRADO'!BA17</f>
        <v>33</v>
      </c>
      <c r="BB26" s="2913">
        <f>+'PTC-GRADO'!BB17</f>
        <v>1</v>
      </c>
      <c r="BC26" s="2913">
        <f>+'PTC-GRADO'!BC17</f>
        <v>78</v>
      </c>
      <c r="BD26" s="2913">
        <f>+'PTC-GRADO'!BD17</f>
        <v>214</v>
      </c>
      <c r="BE26" s="2914">
        <f>SUM(BA26:BD26)</f>
        <v>326</v>
      </c>
      <c r="BF26" s="2915">
        <f>+'PTC-GRADO'!BF17</f>
        <v>33</v>
      </c>
      <c r="BG26" s="2913">
        <f>+'PTC-GRADO'!BG17</f>
        <v>1</v>
      </c>
      <c r="BH26" s="2913">
        <f>+'PTC-GRADO'!BH17</f>
        <v>78</v>
      </c>
      <c r="BI26" s="2913">
        <f>+'PTC-GRADO'!BI17</f>
        <v>216</v>
      </c>
      <c r="BJ26" s="2914">
        <f t="shared" si="16"/>
        <v>328</v>
      </c>
      <c r="BK26" s="2915">
        <f>+'PTC-GRADO'!BK17</f>
        <v>33</v>
      </c>
      <c r="BL26" s="2913">
        <f>+'PTC-GRADO'!BL17</f>
        <v>1</v>
      </c>
      <c r="BM26" s="2913">
        <f>+'PTC-GRADO'!BM17</f>
        <v>83</v>
      </c>
      <c r="BN26" s="2913">
        <f>+'PTC-GRADO'!BN17</f>
        <v>218</v>
      </c>
      <c r="BO26" s="2914">
        <f t="shared" si="17"/>
        <v>335</v>
      </c>
    </row>
    <row r="27" spans="1:67" ht="15" customHeight="1" x14ac:dyDescent="0.2">
      <c r="A27" s="5638"/>
      <c r="B27" s="6366"/>
      <c r="C27" s="2916">
        <v>0.23202614379084968</v>
      </c>
      <c r="D27" s="2916">
        <v>3.2679738562091504E-3</v>
      </c>
      <c r="E27" s="2916">
        <v>0.33333333333333331</v>
      </c>
      <c r="F27" s="2916">
        <v>0.43137254901960786</v>
      </c>
      <c r="G27" s="2917">
        <v>1</v>
      </c>
      <c r="H27" s="2916">
        <v>0.22580645161290322</v>
      </c>
      <c r="I27" s="2916">
        <v>3.2258064516129032E-3</v>
      </c>
      <c r="J27" s="2916">
        <v>0.31290322580645163</v>
      </c>
      <c r="K27" s="2916">
        <v>0.45806451612903226</v>
      </c>
      <c r="L27" s="2917">
        <v>1</v>
      </c>
      <c r="M27" s="2916">
        <v>0.17741935483870969</v>
      </c>
      <c r="N27" s="2916">
        <v>3.2258064516129032E-3</v>
      </c>
      <c r="O27" s="2916">
        <v>0.32258064516129031</v>
      </c>
      <c r="P27" s="2916">
        <v>0.49677419354838709</v>
      </c>
      <c r="Q27" s="2917">
        <v>1</v>
      </c>
      <c r="R27" s="2916">
        <v>0.17647058823529413</v>
      </c>
      <c r="S27" s="2916">
        <v>3.2679738562091504E-3</v>
      </c>
      <c r="T27" s="2916">
        <v>0.30065359477124182</v>
      </c>
      <c r="U27" s="2916">
        <v>0.51960784313725494</v>
      </c>
      <c r="V27" s="2917">
        <v>1</v>
      </c>
      <c r="W27" s="2916">
        <v>0.15181518151815182</v>
      </c>
      <c r="X27" s="2916">
        <v>6.6006600660066007E-3</v>
      </c>
      <c r="Y27" s="2916">
        <v>0.30693069306930693</v>
      </c>
      <c r="Z27" s="2916">
        <v>0.53465346534653468</v>
      </c>
      <c r="AA27" s="2918">
        <v>1</v>
      </c>
      <c r="AB27" s="2919">
        <v>0.14098360655737704</v>
      </c>
      <c r="AC27" s="2916">
        <v>6.5573770491803279E-3</v>
      </c>
      <c r="AD27" s="2916">
        <v>0.29508196721311475</v>
      </c>
      <c r="AE27" s="2916">
        <v>0.55737704918032782</v>
      </c>
      <c r="AF27" s="2917">
        <v>1</v>
      </c>
      <c r="AG27" s="2919">
        <v>0.125</v>
      </c>
      <c r="AH27" s="2916">
        <f>+AH26/$AK$26</f>
        <v>6.41025641025641E-3</v>
      </c>
      <c r="AI27" s="2916">
        <f>+AI26/$AK$26</f>
        <v>0.30448717948717946</v>
      </c>
      <c r="AJ27" s="2916">
        <f>+AJ26/$AK$26</f>
        <v>0.5641025641025641</v>
      </c>
      <c r="AK27" s="2917">
        <f>+AK26/$AK$26</f>
        <v>1</v>
      </c>
      <c r="AL27" s="2919">
        <v>0.11526479750778816</v>
      </c>
      <c r="AM27" s="2916">
        <v>6.2305295950155761E-3</v>
      </c>
      <c r="AN27" s="2916">
        <v>0.28971962616822428</v>
      </c>
      <c r="AO27" s="2916">
        <v>0.58878504672897192</v>
      </c>
      <c r="AP27" s="2917">
        <v>1</v>
      </c>
      <c r="AQ27" s="2919">
        <v>0.1125</v>
      </c>
      <c r="AR27" s="2916">
        <v>6.2500000000000003E-3</v>
      </c>
      <c r="AS27" s="2916">
        <v>0.24374999999999999</v>
      </c>
      <c r="AT27" s="2916">
        <v>0.63749999999999996</v>
      </c>
      <c r="AU27" s="2917">
        <v>1</v>
      </c>
      <c r="AV27" s="2919">
        <v>0.10312499999999999</v>
      </c>
      <c r="AW27" s="2916">
        <v>6.2500000000000003E-3</v>
      </c>
      <c r="AX27" s="2916">
        <v>0.25</v>
      </c>
      <c r="AY27" s="2916">
        <v>0.640625</v>
      </c>
      <c r="AZ27" s="2917">
        <v>1</v>
      </c>
      <c r="BA27" s="2919">
        <f>BA26/$BE$26</f>
        <v>0.10122699386503067</v>
      </c>
      <c r="BB27" s="2916">
        <f>BB26/$BE$26</f>
        <v>3.0674846625766872E-3</v>
      </c>
      <c r="BC27" s="2916">
        <f>BC26/$BE$26</f>
        <v>0.2392638036809816</v>
      </c>
      <c r="BD27" s="2916">
        <f>BD26/$BE$26</f>
        <v>0.65644171779141103</v>
      </c>
      <c r="BE27" s="2917">
        <f>BE26/$BE$26</f>
        <v>1</v>
      </c>
      <c r="BF27" s="2919">
        <f>BF26/$BJ$26</f>
        <v>0.10060975609756098</v>
      </c>
      <c r="BG27" s="2916">
        <f>BG26/$BJ$26</f>
        <v>3.0487804878048782E-3</v>
      </c>
      <c r="BH27" s="2916">
        <f>BH26/$BJ$26</f>
        <v>0.23780487804878048</v>
      </c>
      <c r="BI27" s="2916">
        <f>BI26/$BJ$26</f>
        <v>0.65853658536585369</v>
      </c>
      <c r="BJ27" s="2917">
        <f t="shared" si="16"/>
        <v>1</v>
      </c>
      <c r="BK27" s="2919">
        <f>BK26/$BO$26</f>
        <v>9.8507462686567168E-2</v>
      </c>
      <c r="BL27" s="2916">
        <f t="shared" ref="BL27:BN27" si="19">BL26/$BO$26</f>
        <v>2.9850746268656717E-3</v>
      </c>
      <c r="BM27" s="2916">
        <f t="shared" si="19"/>
        <v>0.24776119402985075</v>
      </c>
      <c r="BN27" s="2916">
        <f t="shared" si="19"/>
        <v>0.65074626865671636</v>
      </c>
      <c r="BO27" s="2917">
        <f t="shared" si="17"/>
        <v>1</v>
      </c>
    </row>
    <row r="28" spans="1:67" ht="15" x14ac:dyDescent="0.2">
      <c r="A28" s="5638"/>
      <c r="B28" s="6366" t="s">
        <v>11</v>
      </c>
      <c r="C28" s="1414">
        <v>31</v>
      </c>
      <c r="D28" s="1414">
        <v>8</v>
      </c>
      <c r="E28" s="1414">
        <v>72</v>
      </c>
      <c r="F28" s="1414">
        <v>103</v>
      </c>
      <c r="G28" s="487">
        <v>214</v>
      </c>
      <c r="H28" s="1415">
        <v>31</v>
      </c>
      <c r="I28" s="1415">
        <v>7</v>
      </c>
      <c r="J28" s="1415">
        <v>69</v>
      </c>
      <c r="K28" s="1415">
        <v>111</v>
      </c>
      <c r="L28" s="729">
        <v>218</v>
      </c>
      <c r="M28" s="1415">
        <v>24</v>
      </c>
      <c r="N28" s="1415">
        <v>8</v>
      </c>
      <c r="O28" s="1415">
        <v>72</v>
      </c>
      <c r="P28" s="1415">
        <v>120</v>
      </c>
      <c r="Q28" s="729">
        <v>224</v>
      </c>
      <c r="R28" s="1415">
        <v>20</v>
      </c>
      <c r="S28" s="1415">
        <v>6</v>
      </c>
      <c r="T28" s="1415">
        <v>67</v>
      </c>
      <c r="U28" s="1415">
        <v>126</v>
      </c>
      <c r="V28" s="729">
        <v>219</v>
      </c>
      <c r="W28" s="1415">
        <v>19</v>
      </c>
      <c r="X28" s="1415">
        <v>6</v>
      </c>
      <c r="Y28" s="1415">
        <v>65</v>
      </c>
      <c r="Z28" s="1415">
        <v>133</v>
      </c>
      <c r="AA28" s="729">
        <v>223</v>
      </c>
      <c r="AB28" s="1416">
        <v>19</v>
      </c>
      <c r="AC28" s="1415">
        <v>4</v>
      </c>
      <c r="AD28" s="1415">
        <v>61</v>
      </c>
      <c r="AE28" s="1415">
        <v>141</v>
      </c>
      <c r="AF28" s="729">
        <v>225</v>
      </c>
      <c r="AG28" s="1416">
        <v>17</v>
      </c>
      <c r="AH28" s="1415">
        <v>4</v>
      </c>
      <c r="AI28" s="1415">
        <v>57</v>
      </c>
      <c r="AJ28" s="1415">
        <v>149</v>
      </c>
      <c r="AK28" s="729">
        <v>227</v>
      </c>
      <c r="AL28" s="1416">
        <v>17</v>
      </c>
      <c r="AM28" s="1415">
        <v>4</v>
      </c>
      <c r="AN28" s="1415">
        <v>54</v>
      </c>
      <c r="AO28" s="1415">
        <v>166</v>
      </c>
      <c r="AP28" s="729">
        <v>241</v>
      </c>
      <c r="AQ28" s="1416">
        <v>17</v>
      </c>
      <c r="AR28" s="1415">
        <v>3</v>
      </c>
      <c r="AS28" s="1415">
        <v>53</v>
      </c>
      <c r="AT28" s="1415">
        <v>177</v>
      </c>
      <c r="AU28" s="729">
        <v>250</v>
      </c>
      <c r="AV28" s="1416">
        <v>17</v>
      </c>
      <c r="AW28" s="1415">
        <v>3</v>
      </c>
      <c r="AX28" s="1415">
        <v>56</v>
      </c>
      <c r="AY28" s="1415">
        <v>175</v>
      </c>
      <c r="AZ28" s="729">
        <v>251</v>
      </c>
      <c r="BA28" s="1416">
        <f>+'PTC-GRADO'!BA18</f>
        <v>14</v>
      </c>
      <c r="BB28" s="1415">
        <f>+'PTC-GRADO'!BB18</f>
        <v>4</v>
      </c>
      <c r="BC28" s="1415">
        <f>+'PTC-GRADO'!BC18</f>
        <v>58</v>
      </c>
      <c r="BD28" s="1415">
        <f>+'PTC-GRADO'!BD18</f>
        <v>185</v>
      </c>
      <c r="BE28" s="729">
        <f>SUM(BA28:BD28)</f>
        <v>261</v>
      </c>
      <c r="BF28" s="1416">
        <f>+'PTC-GRADO'!BF18</f>
        <v>15</v>
      </c>
      <c r="BG28" s="1415">
        <f>+'PTC-GRADO'!BG18</f>
        <v>4</v>
      </c>
      <c r="BH28" s="1415">
        <f>+'PTC-GRADO'!BH18</f>
        <v>57</v>
      </c>
      <c r="BI28" s="1415">
        <f>+'PTC-GRADO'!BI18</f>
        <v>189</v>
      </c>
      <c r="BJ28" s="729">
        <f t="shared" si="16"/>
        <v>265</v>
      </c>
      <c r="BK28" s="1416">
        <f>+'PTC-GRADO'!BK18</f>
        <v>15</v>
      </c>
      <c r="BL28" s="1415">
        <f>+'PTC-GRADO'!BL18</f>
        <v>4</v>
      </c>
      <c r="BM28" s="1415">
        <f>+'PTC-GRADO'!BM18</f>
        <v>57</v>
      </c>
      <c r="BN28" s="1415">
        <f>+'PTC-GRADO'!BN18</f>
        <v>191</v>
      </c>
      <c r="BO28" s="729">
        <f t="shared" si="17"/>
        <v>267</v>
      </c>
    </row>
    <row r="29" spans="1:67" ht="15" customHeight="1" x14ac:dyDescent="0.2">
      <c r="A29" s="5638"/>
      <c r="B29" s="6367"/>
      <c r="C29" s="1828">
        <v>0.14485981308411214</v>
      </c>
      <c r="D29" s="1828">
        <v>3.7383177570093455E-2</v>
      </c>
      <c r="E29" s="1828">
        <v>0.3364485981308411</v>
      </c>
      <c r="F29" s="1828">
        <v>0.48130841121495327</v>
      </c>
      <c r="G29" s="2908">
        <v>1</v>
      </c>
      <c r="H29" s="1828">
        <v>0.14220183486238533</v>
      </c>
      <c r="I29" s="1828">
        <v>3.2110091743119268E-2</v>
      </c>
      <c r="J29" s="1828">
        <v>0.3165137614678899</v>
      </c>
      <c r="K29" s="1828">
        <v>0.50917431192660545</v>
      </c>
      <c r="L29" s="2908">
        <v>1</v>
      </c>
      <c r="M29" s="1828">
        <v>0.10714285714285714</v>
      </c>
      <c r="N29" s="1828">
        <v>3.5714285714285712E-2</v>
      </c>
      <c r="O29" s="1828">
        <v>0.32142857142857145</v>
      </c>
      <c r="P29" s="1828">
        <v>0.5357142857142857</v>
      </c>
      <c r="Q29" s="2908">
        <v>1</v>
      </c>
      <c r="R29" s="1828">
        <v>9.1324200913242004E-2</v>
      </c>
      <c r="S29" s="1828">
        <v>2.7397260273972601E-2</v>
      </c>
      <c r="T29" s="1828">
        <v>0.30593607305936071</v>
      </c>
      <c r="U29" s="1828">
        <v>0.57534246575342463</v>
      </c>
      <c r="V29" s="2908">
        <v>1</v>
      </c>
      <c r="W29" s="1828">
        <v>8.520179372197309E-2</v>
      </c>
      <c r="X29" s="1828">
        <v>2.6905829596412557E-2</v>
      </c>
      <c r="Y29" s="1828">
        <v>0.2914798206278027</v>
      </c>
      <c r="Z29" s="1828">
        <v>0.5964125560538116</v>
      </c>
      <c r="AA29" s="2909">
        <v>1</v>
      </c>
      <c r="AB29" s="2910">
        <v>8.4444444444444447E-2</v>
      </c>
      <c r="AC29" s="1828">
        <v>1.7777777777777778E-2</v>
      </c>
      <c r="AD29" s="1828">
        <v>0.27111111111111114</v>
      </c>
      <c r="AE29" s="1828">
        <v>0.62666666666666671</v>
      </c>
      <c r="AF29" s="2908">
        <v>1</v>
      </c>
      <c r="AG29" s="2910">
        <v>7.4889867841409691E-2</v>
      </c>
      <c r="AH29" s="1828">
        <f>+AH28/$AK$28</f>
        <v>1.7621145374449341E-2</v>
      </c>
      <c r="AI29" s="1828">
        <f>+AI28/$AK$28</f>
        <v>0.25110132158590309</v>
      </c>
      <c r="AJ29" s="1828">
        <f>+AJ28/$AK$28</f>
        <v>0.65638766519823788</v>
      </c>
      <c r="AK29" s="2908">
        <f>+AK28/$AK$28</f>
        <v>1</v>
      </c>
      <c r="AL29" s="2910">
        <v>7.0539419087136929E-2</v>
      </c>
      <c r="AM29" s="1828">
        <v>1.6597510373443983E-2</v>
      </c>
      <c r="AN29" s="1828">
        <v>0.22406639004149378</v>
      </c>
      <c r="AO29" s="1828">
        <v>0.68879668049792531</v>
      </c>
      <c r="AP29" s="2908">
        <v>1</v>
      </c>
      <c r="AQ29" s="2910">
        <v>6.8000000000000005E-2</v>
      </c>
      <c r="AR29" s="1828">
        <v>1.2E-2</v>
      </c>
      <c r="AS29" s="1828">
        <v>0.21199999999999999</v>
      </c>
      <c r="AT29" s="1828">
        <v>0.70799999999999996</v>
      </c>
      <c r="AU29" s="2908">
        <v>1</v>
      </c>
      <c r="AV29" s="2910">
        <v>6.7729083665338641E-2</v>
      </c>
      <c r="AW29" s="1828">
        <v>1.1952191235059761E-2</v>
      </c>
      <c r="AX29" s="1828">
        <v>0.22310756972111553</v>
      </c>
      <c r="AY29" s="1828">
        <v>0.6972111553784861</v>
      </c>
      <c r="AZ29" s="2908">
        <v>1</v>
      </c>
      <c r="BA29" s="2910">
        <f>BA28/$BE$28</f>
        <v>5.3639846743295021E-2</v>
      </c>
      <c r="BB29" s="1828">
        <f>BB28/$BE$28</f>
        <v>1.532567049808429E-2</v>
      </c>
      <c r="BC29" s="1828">
        <f>BC28/$BE$28</f>
        <v>0.22222222222222221</v>
      </c>
      <c r="BD29" s="1828">
        <f>BD28/$BE$28</f>
        <v>0.70881226053639845</v>
      </c>
      <c r="BE29" s="2908">
        <f>BE28/$BE$28</f>
        <v>1</v>
      </c>
      <c r="BF29" s="2910">
        <f>BF28/$BJ$28</f>
        <v>5.6603773584905662E-2</v>
      </c>
      <c r="BG29" s="1828">
        <f>BG28/$BJ$28</f>
        <v>1.509433962264151E-2</v>
      </c>
      <c r="BH29" s="1828">
        <f>BH28/$BJ$28</f>
        <v>0.21509433962264152</v>
      </c>
      <c r="BI29" s="1828">
        <f>BI28/$BJ$28</f>
        <v>0.71320754716981127</v>
      </c>
      <c r="BJ29" s="2908">
        <f t="shared" si="16"/>
        <v>1</v>
      </c>
      <c r="BK29" s="2910">
        <f>BK28/$BO$28</f>
        <v>5.6179775280898875E-2</v>
      </c>
      <c r="BL29" s="1828">
        <f t="shared" ref="BL29:BN29" si="20">BL28/$BO$28</f>
        <v>1.4981273408239701E-2</v>
      </c>
      <c r="BM29" s="1828">
        <f t="shared" si="20"/>
        <v>0.21348314606741572</v>
      </c>
      <c r="BN29" s="1828">
        <f t="shared" si="20"/>
        <v>0.71535580524344566</v>
      </c>
      <c r="BO29" s="2908">
        <f t="shared" si="17"/>
        <v>1</v>
      </c>
    </row>
    <row r="30" spans="1:67" ht="15" x14ac:dyDescent="0.2">
      <c r="A30" s="5638"/>
      <c r="B30" s="6364" t="s">
        <v>12</v>
      </c>
      <c r="C30" s="2929">
        <v>125</v>
      </c>
      <c r="D30" s="2930">
        <v>10</v>
      </c>
      <c r="E30" s="2930">
        <v>232</v>
      </c>
      <c r="F30" s="2930">
        <v>417</v>
      </c>
      <c r="G30" s="2930">
        <v>784</v>
      </c>
      <c r="H30" s="2931">
        <v>124</v>
      </c>
      <c r="I30" s="2932">
        <v>9</v>
      </c>
      <c r="J30" s="2932">
        <v>222</v>
      </c>
      <c r="K30" s="2932">
        <v>447</v>
      </c>
      <c r="L30" s="2933">
        <v>802</v>
      </c>
      <c r="M30" s="2931">
        <v>97</v>
      </c>
      <c r="N30" s="2932">
        <v>10</v>
      </c>
      <c r="O30" s="2932">
        <v>230</v>
      </c>
      <c r="P30" s="2932">
        <v>486</v>
      </c>
      <c r="Q30" s="2933">
        <v>823</v>
      </c>
      <c r="R30" s="2931">
        <v>90</v>
      </c>
      <c r="S30" s="2932">
        <v>8</v>
      </c>
      <c r="T30" s="2932">
        <v>216</v>
      </c>
      <c r="U30" s="2932">
        <v>500</v>
      </c>
      <c r="V30" s="2933">
        <v>814</v>
      </c>
      <c r="W30" s="2931">
        <v>80</v>
      </c>
      <c r="X30" s="2932">
        <v>9</v>
      </c>
      <c r="Y30" s="2932">
        <v>211</v>
      </c>
      <c r="Z30" s="2932">
        <v>516</v>
      </c>
      <c r="AA30" s="2933">
        <v>816</v>
      </c>
      <c r="AB30" s="2931">
        <v>77</v>
      </c>
      <c r="AC30" s="2932">
        <v>7</v>
      </c>
      <c r="AD30" s="2932">
        <v>202</v>
      </c>
      <c r="AE30" s="2932">
        <v>532</v>
      </c>
      <c r="AF30" s="2933">
        <v>818</v>
      </c>
      <c r="AG30" s="2931">
        <v>71</v>
      </c>
      <c r="AH30" s="2932">
        <v>7</v>
      </c>
      <c r="AI30" s="2932">
        <v>203</v>
      </c>
      <c r="AJ30" s="2932">
        <v>552</v>
      </c>
      <c r="AK30" s="2933">
        <v>833</v>
      </c>
      <c r="AL30" s="2931">
        <v>69.16543202158806</v>
      </c>
      <c r="AM30" s="2932">
        <v>7.0095750112003667</v>
      </c>
      <c r="AN30" s="2932">
        <v>196.45359922483044</v>
      </c>
      <c r="AO30" s="2932">
        <v>590.37139374238109</v>
      </c>
      <c r="AP30" s="2933">
        <v>863</v>
      </c>
      <c r="AQ30" s="2931">
        <v>68.162004950495046</v>
      </c>
      <c r="AR30" s="2932">
        <v>6.0095503300330027</v>
      </c>
      <c r="AS30" s="2932">
        <v>177.39556518151815</v>
      </c>
      <c r="AT30" s="2932">
        <v>623.4328795379538</v>
      </c>
      <c r="AU30" s="2933">
        <v>875</v>
      </c>
      <c r="AV30" s="2931">
        <v>65.152144607843127</v>
      </c>
      <c r="AW30" s="2932">
        <v>6.0095179738562088</v>
      </c>
      <c r="AX30" s="2932">
        <v>180.39379084967319</v>
      </c>
      <c r="AY30" s="2932">
        <v>627.4445465686274</v>
      </c>
      <c r="AZ30" s="2933">
        <v>879</v>
      </c>
      <c r="BA30" s="2931">
        <f t="shared" ref="BA30:BJ30" si="21">SUM(BA24,BA26,BA28)</f>
        <v>61</v>
      </c>
      <c r="BB30" s="2932">
        <f t="shared" si="21"/>
        <v>6</v>
      </c>
      <c r="BC30" s="2932">
        <f t="shared" si="21"/>
        <v>179</v>
      </c>
      <c r="BD30" s="2932">
        <f t="shared" si="21"/>
        <v>654</v>
      </c>
      <c r="BE30" s="2933">
        <f t="shared" si="21"/>
        <v>900</v>
      </c>
      <c r="BF30" s="2931">
        <f t="shared" si="21"/>
        <v>62</v>
      </c>
      <c r="BG30" s="2932">
        <f t="shared" si="21"/>
        <v>6</v>
      </c>
      <c r="BH30" s="2932">
        <f t="shared" si="21"/>
        <v>178</v>
      </c>
      <c r="BI30" s="2932">
        <f t="shared" si="21"/>
        <v>661</v>
      </c>
      <c r="BJ30" s="2933">
        <f t="shared" si="21"/>
        <v>907</v>
      </c>
      <c r="BK30" s="2931">
        <f t="shared" ref="BK30:BO30" si="22">SUM(BK24,BK26,BK28)</f>
        <v>62</v>
      </c>
      <c r="BL30" s="2932">
        <f t="shared" si="22"/>
        <v>6</v>
      </c>
      <c r="BM30" s="2932">
        <f t="shared" si="22"/>
        <v>183</v>
      </c>
      <c r="BN30" s="2932">
        <f t="shared" si="22"/>
        <v>670</v>
      </c>
      <c r="BO30" s="2933">
        <f t="shared" si="22"/>
        <v>921</v>
      </c>
    </row>
    <row r="31" spans="1:67" x14ac:dyDescent="0.2">
      <c r="A31" s="5639"/>
      <c r="B31" s="6368"/>
      <c r="C31" s="2925">
        <v>0.15943877551020408</v>
      </c>
      <c r="D31" s="2926">
        <v>1.2755102040816327E-2</v>
      </c>
      <c r="E31" s="2926">
        <v>0.29591836734693877</v>
      </c>
      <c r="F31" s="2926">
        <v>0.53188775510204078</v>
      </c>
      <c r="G31" s="2927">
        <v>1</v>
      </c>
      <c r="H31" s="2925">
        <v>0.15461346633416459</v>
      </c>
      <c r="I31" s="2926">
        <v>1.1221945137157107E-2</v>
      </c>
      <c r="J31" s="2926">
        <v>0.27680798004987534</v>
      </c>
      <c r="K31" s="2926">
        <v>0.55735660847880297</v>
      </c>
      <c r="L31" s="2927">
        <v>1</v>
      </c>
      <c r="M31" s="2925">
        <v>0.11786148238153099</v>
      </c>
      <c r="N31" s="2926">
        <v>1.2150668286755772E-2</v>
      </c>
      <c r="O31" s="2926">
        <v>0.27946537059538273</v>
      </c>
      <c r="P31" s="2926">
        <v>0.59052247873633046</v>
      </c>
      <c r="Q31" s="2927">
        <v>1</v>
      </c>
      <c r="R31" s="2925">
        <v>0.11056511056511056</v>
      </c>
      <c r="S31" s="2926">
        <v>9.8280098280098278E-3</v>
      </c>
      <c r="T31" s="2926">
        <v>0.26535626535626533</v>
      </c>
      <c r="U31" s="2926">
        <v>0.61425061425061422</v>
      </c>
      <c r="V31" s="2927">
        <v>1</v>
      </c>
      <c r="W31" s="2925">
        <v>9.8039215686274508E-2</v>
      </c>
      <c r="X31" s="2926">
        <v>1.1029411764705883E-2</v>
      </c>
      <c r="Y31" s="2926">
        <v>0.25857843137254904</v>
      </c>
      <c r="Z31" s="2926">
        <v>0.63235294117647056</v>
      </c>
      <c r="AA31" s="2927">
        <v>1</v>
      </c>
      <c r="AB31" s="2925">
        <v>9.4132029339853304E-2</v>
      </c>
      <c r="AC31" s="2926">
        <v>8.557457212713936E-3</v>
      </c>
      <c r="AD31" s="2926">
        <v>0.24694376528117359</v>
      </c>
      <c r="AE31" s="2926">
        <v>0.65036674816625917</v>
      </c>
      <c r="AF31" s="2927">
        <v>1</v>
      </c>
      <c r="AG31" s="2925">
        <v>8.5234093637454988E-2</v>
      </c>
      <c r="AH31" s="2926">
        <v>8.4033613445378148E-3</v>
      </c>
      <c r="AI31" s="2926">
        <v>0.24369747899159663</v>
      </c>
      <c r="AJ31" s="2926">
        <v>0.66266506602641051</v>
      </c>
      <c r="AK31" s="2927">
        <v>1</v>
      </c>
      <c r="AL31" s="2925">
        <v>8.0145344173334951E-2</v>
      </c>
      <c r="AM31" s="2926">
        <v>8.1223348913098108E-3</v>
      </c>
      <c r="AN31" s="2926">
        <v>0.22764032355136785</v>
      </c>
      <c r="AO31" s="2926">
        <v>0.6840919973839874</v>
      </c>
      <c r="AP31" s="2927">
        <v>1</v>
      </c>
      <c r="AQ31" s="2925">
        <v>7.7899434229137199E-2</v>
      </c>
      <c r="AR31" s="2926">
        <v>6.8680575200377172E-3</v>
      </c>
      <c r="AS31" s="2926">
        <v>0.20273778877887788</v>
      </c>
      <c r="AT31" s="2926">
        <v>0.7124947194719472</v>
      </c>
      <c r="AU31" s="2927">
        <v>1</v>
      </c>
      <c r="AV31" s="2925">
        <v>7.4120756095384668E-2</v>
      </c>
      <c r="AW31" s="2926">
        <v>6.8367667506896573E-3</v>
      </c>
      <c r="AX31" s="2926">
        <v>0.20522615568791033</v>
      </c>
      <c r="AY31" s="2926">
        <v>0.71381632146601526</v>
      </c>
      <c r="AZ31" s="2927">
        <v>1</v>
      </c>
      <c r="BA31" s="1429">
        <f>BA30/$BE$30</f>
        <v>6.7777777777777784E-2</v>
      </c>
      <c r="BB31" s="1428">
        <f>BB30/$BE$30</f>
        <v>6.6666666666666671E-3</v>
      </c>
      <c r="BC31" s="1428">
        <f>BC30/$BE$30</f>
        <v>0.19888888888888889</v>
      </c>
      <c r="BD31" s="1428">
        <f>BD30/$BE$30</f>
        <v>0.72666666666666668</v>
      </c>
      <c r="BE31" s="2928">
        <f>BE30/$BE$30</f>
        <v>1</v>
      </c>
      <c r="BF31" s="1429">
        <f>BF30/$BJ$30</f>
        <v>6.8357221609702312E-2</v>
      </c>
      <c r="BG31" s="1428">
        <f>BG30/$BJ$30</f>
        <v>6.615214994487321E-3</v>
      </c>
      <c r="BH31" s="1428">
        <f>BH30/$BJ$30</f>
        <v>0.19625137816979052</v>
      </c>
      <c r="BI31" s="1428">
        <f>BI30/$BJ$30</f>
        <v>0.72877618522601983</v>
      </c>
      <c r="BJ31" s="2928">
        <f>SUM(BF31:BI31)</f>
        <v>1</v>
      </c>
      <c r="BK31" s="1429">
        <f>BK30/$BO$30</f>
        <v>6.7318132464712271E-2</v>
      </c>
      <c r="BL31" s="1428">
        <f t="shared" ref="BL31:BN31" si="23">BL30/$BO$30</f>
        <v>6.5146579804560263E-3</v>
      </c>
      <c r="BM31" s="1428">
        <f t="shared" si="23"/>
        <v>0.1986970684039088</v>
      </c>
      <c r="BN31" s="1428">
        <f t="shared" si="23"/>
        <v>0.7274701411509229</v>
      </c>
      <c r="BO31" s="2928">
        <f>SUM(BK31:BN31)</f>
        <v>1</v>
      </c>
    </row>
    <row r="32" spans="1:67" ht="15" x14ac:dyDescent="0.2">
      <c r="A32" s="1418"/>
      <c r="B32" s="1418"/>
      <c r="C32" s="1825"/>
      <c r="D32" s="1825"/>
      <c r="E32" s="1825"/>
      <c r="F32" s="1825"/>
      <c r="G32" s="1826"/>
      <c r="H32" s="1825"/>
      <c r="I32" s="1825"/>
      <c r="J32" s="1825"/>
      <c r="K32" s="1825"/>
      <c r="L32" s="1826"/>
      <c r="M32" s="1825"/>
      <c r="N32" s="1825"/>
      <c r="O32" s="1825"/>
      <c r="P32" s="1825"/>
      <c r="Q32" s="1826"/>
      <c r="R32" s="1825"/>
      <c r="S32" s="1825"/>
      <c r="T32" s="1825"/>
      <c r="U32" s="1825"/>
      <c r="V32" s="1826"/>
      <c r="W32" s="1825"/>
      <c r="X32" s="1825"/>
      <c r="Y32" s="1825"/>
      <c r="Z32" s="1825"/>
      <c r="AA32" s="1826"/>
      <c r="AB32" s="1825"/>
      <c r="AC32" s="1825"/>
      <c r="AD32" s="1825"/>
      <c r="AE32" s="1825"/>
      <c r="AF32" s="1826"/>
      <c r="AG32" s="1825"/>
      <c r="AH32" s="1825"/>
      <c r="AI32" s="1825"/>
      <c r="AJ32" s="1825"/>
      <c r="AK32" s="1827"/>
      <c r="AL32" s="1825"/>
      <c r="AM32" s="1825"/>
      <c r="AN32" s="1825"/>
      <c r="AO32" s="1825"/>
      <c r="AP32" s="1826"/>
      <c r="AQ32" s="1825"/>
      <c r="AR32" s="1825"/>
      <c r="AS32" s="1825"/>
      <c r="AT32" s="1825"/>
      <c r="AU32" s="1827"/>
      <c r="AV32" s="1825"/>
      <c r="AW32" s="1825"/>
      <c r="AX32" s="1825"/>
      <c r="AY32" s="1825"/>
      <c r="AZ32" s="1825"/>
      <c r="BA32" s="1828"/>
      <c r="BB32" s="1828"/>
      <c r="BC32" s="1828"/>
      <c r="BD32" s="1828"/>
      <c r="BE32" s="1828"/>
      <c r="BF32" s="1828"/>
      <c r="BG32" s="1828"/>
      <c r="BH32" s="1828"/>
      <c r="BI32" s="1828"/>
      <c r="BJ32" s="1828"/>
      <c r="BK32" s="1828"/>
      <c r="BL32" s="1828"/>
      <c r="BM32" s="1828"/>
      <c r="BN32" s="1828"/>
      <c r="BO32" s="1828"/>
    </row>
    <row r="33" spans="1:67" ht="15" x14ac:dyDescent="0.2">
      <c r="A33" s="6372" t="s">
        <v>326</v>
      </c>
      <c r="B33" s="6365" t="s">
        <v>5</v>
      </c>
      <c r="C33" s="1411"/>
      <c r="D33" s="1411"/>
      <c r="E33" s="1411"/>
      <c r="F33" s="1411"/>
      <c r="G33" s="482"/>
      <c r="H33" s="1412"/>
      <c r="I33" s="1412"/>
      <c r="J33" s="1412"/>
      <c r="K33" s="1412"/>
      <c r="L33" s="726"/>
      <c r="M33" s="1412"/>
      <c r="N33" s="1412"/>
      <c r="O33" s="1412"/>
      <c r="P33" s="1412"/>
      <c r="Q33" s="726"/>
      <c r="R33" s="1412"/>
      <c r="S33" s="1412"/>
      <c r="T33" s="1412"/>
      <c r="U33" s="1412"/>
      <c r="V33" s="726"/>
      <c r="W33" s="1412"/>
      <c r="X33" s="1412"/>
      <c r="Y33" s="1412"/>
      <c r="Z33" s="1412"/>
      <c r="AA33" s="726"/>
      <c r="AB33" s="1413"/>
      <c r="AC33" s="1412"/>
      <c r="AD33" s="1412"/>
      <c r="AE33" s="1412"/>
      <c r="AF33" s="726"/>
      <c r="AG33" s="1413"/>
      <c r="AH33" s="1412"/>
      <c r="AI33" s="1412"/>
      <c r="AJ33" s="1412"/>
      <c r="AK33" s="726"/>
      <c r="AL33" s="1413"/>
      <c r="AM33" s="1412"/>
      <c r="AN33" s="1412"/>
      <c r="AO33" s="1412"/>
      <c r="AP33" s="726"/>
      <c r="AQ33" s="1413"/>
      <c r="AR33" s="1412"/>
      <c r="AS33" s="1412"/>
      <c r="AT33" s="1412"/>
      <c r="AU33" s="726"/>
      <c r="AV33" s="1413"/>
      <c r="AW33" s="1412"/>
      <c r="AX33" s="1412"/>
      <c r="AY33" s="1412"/>
      <c r="AZ33" s="726"/>
      <c r="BA33" s="1413">
        <f>+'PTC-GRADO'!BA21</f>
        <v>0</v>
      </c>
      <c r="BB33" s="1412">
        <f>+'PTC-GRADO'!BB21</f>
        <v>0</v>
      </c>
      <c r="BC33" s="1412">
        <f>+'PTC-GRADO'!BC21</f>
        <v>1</v>
      </c>
      <c r="BD33" s="1412">
        <f>+'PTC-GRADO'!BD21</f>
        <v>7</v>
      </c>
      <c r="BE33" s="726">
        <f t="shared" ref="BE33:BE38" si="24">SUM(BA33:BD33)</f>
        <v>8</v>
      </c>
      <c r="BF33" s="1413">
        <f>+'PTC-GRADO'!BF21</f>
        <v>0</v>
      </c>
      <c r="BG33" s="1412">
        <f>+'PTC-GRADO'!BG21</f>
        <v>0</v>
      </c>
      <c r="BH33" s="1412">
        <f>+'PTC-GRADO'!BH21</f>
        <v>2</v>
      </c>
      <c r="BI33" s="1412">
        <f>+'PTC-GRADO'!BI21</f>
        <v>9</v>
      </c>
      <c r="BJ33" s="726">
        <f t="shared" ref="BJ33:BJ38" si="25">SUM(BF33:BI33)</f>
        <v>11</v>
      </c>
      <c r="BK33" s="1413">
        <f>+'PTC-GRADO'!BK21</f>
        <v>0</v>
      </c>
      <c r="BL33" s="1412">
        <f>+'PTC-GRADO'!BL21</f>
        <v>0</v>
      </c>
      <c r="BM33" s="1412">
        <f>+'PTC-GRADO'!BM21</f>
        <v>2</v>
      </c>
      <c r="BN33" s="1412">
        <f>+'PTC-GRADO'!BN21</f>
        <v>14</v>
      </c>
      <c r="BO33" s="726">
        <f t="shared" ref="BO33:BO38" si="26">SUM(BK33:BN33)</f>
        <v>16</v>
      </c>
    </row>
    <row r="34" spans="1:67" ht="15" customHeight="1" x14ac:dyDescent="0.2">
      <c r="A34" s="6373"/>
      <c r="B34" s="6366"/>
      <c r="C34" s="1828"/>
      <c r="D34" s="1828"/>
      <c r="E34" s="1828"/>
      <c r="F34" s="1828"/>
      <c r="G34" s="2908"/>
      <c r="H34" s="1828"/>
      <c r="I34" s="1828"/>
      <c r="J34" s="1828"/>
      <c r="K34" s="1828"/>
      <c r="L34" s="2908"/>
      <c r="M34" s="1828"/>
      <c r="N34" s="1828"/>
      <c r="O34" s="1828"/>
      <c r="P34" s="1828"/>
      <c r="Q34" s="2908"/>
      <c r="R34" s="1828"/>
      <c r="S34" s="1828"/>
      <c r="T34" s="1828"/>
      <c r="U34" s="1828"/>
      <c r="V34" s="2908"/>
      <c r="W34" s="1828"/>
      <c r="X34" s="1828"/>
      <c r="Y34" s="1828"/>
      <c r="Z34" s="1828"/>
      <c r="AA34" s="2909"/>
      <c r="AB34" s="2910"/>
      <c r="AC34" s="1828"/>
      <c r="AD34" s="1828"/>
      <c r="AE34" s="1828"/>
      <c r="AF34" s="2908"/>
      <c r="AG34" s="2910"/>
      <c r="AH34" s="1828"/>
      <c r="AI34" s="1828"/>
      <c r="AJ34" s="1828"/>
      <c r="AK34" s="2908"/>
      <c r="AL34" s="2910"/>
      <c r="AM34" s="1828"/>
      <c r="AN34" s="1828"/>
      <c r="AO34" s="1828"/>
      <c r="AP34" s="2908"/>
      <c r="AQ34" s="2910"/>
      <c r="AR34" s="1828"/>
      <c r="AS34" s="1828"/>
      <c r="AT34" s="1828"/>
      <c r="AU34" s="2908"/>
      <c r="AV34" s="2910"/>
      <c r="AW34" s="1828"/>
      <c r="AX34" s="1828"/>
      <c r="AY34" s="1828"/>
      <c r="AZ34" s="2908"/>
      <c r="BA34" s="2910">
        <f>BA33/$BE$33</f>
        <v>0</v>
      </c>
      <c r="BB34" s="1828">
        <f>BB33/$BE$33</f>
        <v>0</v>
      </c>
      <c r="BC34" s="1828">
        <f>BC33/$BE$33</f>
        <v>0.125</v>
      </c>
      <c r="BD34" s="1828">
        <f>BD33/$BE$33</f>
        <v>0.875</v>
      </c>
      <c r="BE34" s="2908">
        <f t="shared" si="24"/>
        <v>1</v>
      </c>
      <c r="BF34" s="2910">
        <f>BF33/$BJ$33</f>
        <v>0</v>
      </c>
      <c r="BG34" s="1828">
        <f>BG33/$BJ$33</f>
        <v>0</v>
      </c>
      <c r="BH34" s="1828">
        <f>BH33/$BJ$33</f>
        <v>0.18181818181818182</v>
      </c>
      <c r="BI34" s="1828">
        <f>BI33/$BJ$33</f>
        <v>0.81818181818181823</v>
      </c>
      <c r="BJ34" s="2908">
        <f t="shared" si="25"/>
        <v>1</v>
      </c>
      <c r="BK34" s="2910">
        <f>BK33/$BO$33</f>
        <v>0</v>
      </c>
      <c r="BL34" s="1828">
        <f t="shared" ref="BL34:BN34" si="27">BL33/$BO$33</f>
        <v>0</v>
      </c>
      <c r="BM34" s="1828">
        <f t="shared" si="27"/>
        <v>0.125</v>
      </c>
      <c r="BN34" s="1828">
        <f t="shared" si="27"/>
        <v>0.875</v>
      </c>
      <c r="BO34" s="2908">
        <f t="shared" si="26"/>
        <v>1</v>
      </c>
    </row>
    <row r="35" spans="1:67" ht="15" x14ac:dyDescent="0.2">
      <c r="A35" s="6373"/>
      <c r="B35" s="6366" t="s">
        <v>6</v>
      </c>
      <c r="C35" s="2911"/>
      <c r="D35" s="2911"/>
      <c r="E35" s="2911"/>
      <c r="F35" s="2911"/>
      <c r="G35" s="2912"/>
      <c r="H35" s="2913"/>
      <c r="I35" s="2913"/>
      <c r="J35" s="2913"/>
      <c r="K35" s="2913"/>
      <c r="L35" s="2914"/>
      <c r="M35" s="2913"/>
      <c r="N35" s="2913"/>
      <c r="O35" s="2913"/>
      <c r="P35" s="2913"/>
      <c r="Q35" s="2914"/>
      <c r="R35" s="2913"/>
      <c r="S35" s="2913"/>
      <c r="T35" s="2913"/>
      <c r="U35" s="2913"/>
      <c r="V35" s="2914"/>
      <c r="W35" s="2913"/>
      <c r="X35" s="2913"/>
      <c r="Y35" s="2913"/>
      <c r="Z35" s="2913"/>
      <c r="AA35" s="2914"/>
      <c r="AB35" s="2915"/>
      <c r="AC35" s="2913"/>
      <c r="AD35" s="2913"/>
      <c r="AE35" s="2913"/>
      <c r="AF35" s="2914"/>
      <c r="AG35" s="2915"/>
      <c r="AH35" s="2913"/>
      <c r="AI35" s="2913"/>
      <c r="AJ35" s="2913"/>
      <c r="AK35" s="2914"/>
      <c r="AL35" s="2915"/>
      <c r="AM35" s="2913"/>
      <c r="AN35" s="2913"/>
      <c r="AO35" s="2913"/>
      <c r="AP35" s="2914"/>
      <c r="AQ35" s="2915"/>
      <c r="AR35" s="2913"/>
      <c r="AS35" s="2913"/>
      <c r="AT35" s="2913"/>
      <c r="AU35" s="2914"/>
      <c r="AV35" s="2915"/>
      <c r="AW35" s="2913"/>
      <c r="AX35" s="2913"/>
      <c r="AY35" s="2913"/>
      <c r="AZ35" s="2914"/>
      <c r="BA35" s="2915">
        <f>+'PTC-GRADO'!BA22</f>
        <v>0</v>
      </c>
      <c r="BB35" s="2913">
        <f>+'PTC-GRADO'!BB22</f>
        <v>0</v>
      </c>
      <c r="BC35" s="2913">
        <f>+'PTC-GRADO'!BC22</f>
        <v>3</v>
      </c>
      <c r="BD35" s="2913">
        <f>+'PTC-GRADO'!BD22</f>
        <v>4</v>
      </c>
      <c r="BE35" s="2914">
        <f t="shared" si="24"/>
        <v>7</v>
      </c>
      <c r="BF35" s="2915">
        <f>+'PTC-GRADO'!BF22</f>
        <v>0</v>
      </c>
      <c r="BG35" s="2913">
        <f>+'PTC-GRADO'!BG22</f>
        <v>0</v>
      </c>
      <c r="BH35" s="2913">
        <f>+'PTC-GRADO'!BH22</f>
        <v>5</v>
      </c>
      <c r="BI35" s="2913">
        <f>+'PTC-GRADO'!BI22</f>
        <v>6</v>
      </c>
      <c r="BJ35" s="2914">
        <f t="shared" si="25"/>
        <v>11</v>
      </c>
      <c r="BK35" s="2915">
        <f>+'PTC-GRADO'!BK22</f>
        <v>0</v>
      </c>
      <c r="BL35" s="2913">
        <f>+'PTC-GRADO'!BL22</f>
        <v>0</v>
      </c>
      <c r="BM35" s="2913">
        <f>+'PTC-GRADO'!BM22</f>
        <v>2</v>
      </c>
      <c r="BN35" s="2913">
        <f>+'PTC-GRADO'!BN22</f>
        <v>11</v>
      </c>
      <c r="BO35" s="2914">
        <f t="shared" si="26"/>
        <v>13</v>
      </c>
    </row>
    <row r="36" spans="1:67" ht="15" customHeight="1" x14ac:dyDescent="0.2">
      <c r="A36" s="6373"/>
      <c r="B36" s="6366"/>
      <c r="C36" s="2916"/>
      <c r="D36" s="2916"/>
      <c r="E36" s="2916"/>
      <c r="F36" s="2916"/>
      <c r="G36" s="2917"/>
      <c r="H36" s="2916"/>
      <c r="I36" s="2916"/>
      <c r="J36" s="2916"/>
      <c r="K36" s="2916"/>
      <c r="L36" s="2917"/>
      <c r="M36" s="2916"/>
      <c r="N36" s="2916"/>
      <c r="O36" s="2916"/>
      <c r="P36" s="2916"/>
      <c r="Q36" s="2917"/>
      <c r="R36" s="2916"/>
      <c r="S36" s="2916"/>
      <c r="T36" s="2916"/>
      <c r="U36" s="2916"/>
      <c r="V36" s="2917"/>
      <c r="W36" s="2916"/>
      <c r="X36" s="2916"/>
      <c r="Y36" s="2916"/>
      <c r="Z36" s="2916"/>
      <c r="AA36" s="2918"/>
      <c r="AB36" s="2919"/>
      <c r="AC36" s="2916"/>
      <c r="AD36" s="2916"/>
      <c r="AE36" s="2916"/>
      <c r="AF36" s="2917"/>
      <c r="AG36" s="2919"/>
      <c r="AH36" s="2916"/>
      <c r="AI36" s="2916"/>
      <c r="AJ36" s="2916"/>
      <c r="AK36" s="2917"/>
      <c r="AL36" s="2919"/>
      <c r="AM36" s="2916"/>
      <c r="AN36" s="2916"/>
      <c r="AO36" s="2916"/>
      <c r="AP36" s="2917"/>
      <c r="AQ36" s="2919"/>
      <c r="AR36" s="2916"/>
      <c r="AS36" s="2916"/>
      <c r="AT36" s="2916"/>
      <c r="AU36" s="2917"/>
      <c r="AV36" s="2919"/>
      <c r="AW36" s="2916"/>
      <c r="AX36" s="2916"/>
      <c r="AY36" s="2916"/>
      <c r="AZ36" s="2917"/>
      <c r="BA36" s="2919">
        <f>BA35/$BE$35</f>
        <v>0</v>
      </c>
      <c r="BB36" s="2916">
        <f>BB35/$BE$35</f>
        <v>0</v>
      </c>
      <c r="BC36" s="2916">
        <f>BC35/$BE$35</f>
        <v>0.42857142857142855</v>
      </c>
      <c r="BD36" s="2916">
        <f>BD35/$BE$35</f>
        <v>0.5714285714285714</v>
      </c>
      <c r="BE36" s="2917">
        <f t="shared" si="24"/>
        <v>1</v>
      </c>
      <c r="BF36" s="2919">
        <f>BF35/$BJ$35</f>
        <v>0</v>
      </c>
      <c r="BG36" s="2916">
        <f>BG35/$BJ$35</f>
        <v>0</v>
      </c>
      <c r="BH36" s="2916">
        <f>BH35/$BJ$35</f>
        <v>0.45454545454545453</v>
      </c>
      <c r="BI36" s="2916">
        <f>BI35/$BJ$35</f>
        <v>0.54545454545454541</v>
      </c>
      <c r="BJ36" s="2917">
        <f t="shared" si="25"/>
        <v>1</v>
      </c>
      <c r="BK36" s="2919">
        <f>BK35/$BO$35</f>
        <v>0</v>
      </c>
      <c r="BL36" s="2916">
        <f t="shared" ref="BL36:BN36" si="28">BL35/$BO$35</f>
        <v>0</v>
      </c>
      <c r="BM36" s="2916">
        <f t="shared" si="28"/>
        <v>0.15384615384615385</v>
      </c>
      <c r="BN36" s="2916">
        <f t="shared" si="28"/>
        <v>0.84615384615384615</v>
      </c>
      <c r="BO36" s="2917">
        <f t="shared" si="26"/>
        <v>1</v>
      </c>
    </row>
    <row r="37" spans="1:67" ht="15" x14ac:dyDescent="0.2">
      <c r="A37" s="6373"/>
      <c r="B37" s="6366" t="s">
        <v>11</v>
      </c>
      <c r="C37" s="1414"/>
      <c r="D37" s="1414"/>
      <c r="E37" s="1414"/>
      <c r="F37" s="1414"/>
      <c r="G37" s="487"/>
      <c r="H37" s="1415"/>
      <c r="I37" s="1415"/>
      <c r="J37" s="1415"/>
      <c r="K37" s="1415"/>
      <c r="L37" s="729"/>
      <c r="M37" s="1415"/>
      <c r="N37" s="1415"/>
      <c r="O37" s="1415"/>
      <c r="P37" s="1415"/>
      <c r="Q37" s="729"/>
      <c r="R37" s="1415"/>
      <c r="S37" s="1415"/>
      <c r="T37" s="1415"/>
      <c r="U37" s="1415"/>
      <c r="V37" s="729"/>
      <c r="W37" s="1415"/>
      <c r="X37" s="1415"/>
      <c r="Y37" s="1415"/>
      <c r="Z37" s="1415"/>
      <c r="AA37" s="729"/>
      <c r="AB37" s="1416"/>
      <c r="AC37" s="1415"/>
      <c r="AD37" s="1415"/>
      <c r="AE37" s="1415"/>
      <c r="AF37" s="729"/>
      <c r="AG37" s="1416"/>
      <c r="AH37" s="1415"/>
      <c r="AI37" s="1415"/>
      <c r="AJ37" s="1415"/>
      <c r="AK37" s="729"/>
      <c r="AL37" s="1416"/>
      <c r="AM37" s="1415"/>
      <c r="AN37" s="1415"/>
      <c r="AO37" s="1415"/>
      <c r="AP37" s="729"/>
      <c r="AQ37" s="1416"/>
      <c r="AR37" s="1415"/>
      <c r="AS37" s="1415"/>
      <c r="AT37" s="1415"/>
      <c r="AU37" s="729"/>
      <c r="AV37" s="1416"/>
      <c r="AW37" s="1415"/>
      <c r="AX37" s="1415"/>
      <c r="AY37" s="1415"/>
      <c r="AZ37" s="729"/>
      <c r="BA37" s="1416">
        <f>+'PTC-GRADO'!BA23</f>
        <v>1</v>
      </c>
      <c r="BB37" s="1415">
        <f>+'PTC-GRADO'!BB23</f>
        <v>0</v>
      </c>
      <c r="BC37" s="1415">
        <f>+'PTC-GRADO'!BC23</f>
        <v>0</v>
      </c>
      <c r="BD37" s="1415">
        <f>+'PTC-GRADO'!BD23</f>
        <v>13</v>
      </c>
      <c r="BE37" s="729">
        <f t="shared" si="24"/>
        <v>14</v>
      </c>
      <c r="BF37" s="1416">
        <f>+'PTC-GRADO'!BF23</f>
        <v>0</v>
      </c>
      <c r="BG37" s="1415">
        <f>+'PTC-GRADO'!BG23</f>
        <v>0</v>
      </c>
      <c r="BH37" s="1415">
        <f>+'PTC-GRADO'!BH23</f>
        <v>0</v>
      </c>
      <c r="BI37" s="1415">
        <f>+'PTC-GRADO'!BI23</f>
        <v>14</v>
      </c>
      <c r="BJ37" s="729">
        <f t="shared" si="25"/>
        <v>14</v>
      </c>
      <c r="BK37" s="1416">
        <f>+'PTC-GRADO'!BK23</f>
        <v>0</v>
      </c>
      <c r="BL37" s="1415">
        <f>+'PTC-GRADO'!BL23</f>
        <v>0</v>
      </c>
      <c r="BM37" s="1415">
        <f>+'PTC-GRADO'!BM23</f>
        <v>0</v>
      </c>
      <c r="BN37" s="1415">
        <f>+'PTC-GRADO'!BN23</f>
        <v>14</v>
      </c>
      <c r="BO37" s="729">
        <f t="shared" si="26"/>
        <v>14</v>
      </c>
    </row>
    <row r="38" spans="1:67" ht="15" customHeight="1" x14ac:dyDescent="0.2">
      <c r="A38" s="6373"/>
      <c r="B38" s="6367"/>
      <c r="C38" s="1828"/>
      <c r="D38" s="1828"/>
      <c r="E38" s="1828"/>
      <c r="F38" s="1828"/>
      <c r="G38" s="2908"/>
      <c r="H38" s="1828"/>
      <c r="I38" s="1828"/>
      <c r="J38" s="1828"/>
      <c r="K38" s="1828"/>
      <c r="L38" s="2908"/>
      <c r="M38" s="1828"/>
      <c r="N38" s="1828"/>
      <c r="O38" s="1828"/>
      <c r="P38" s="1828"/>
      <c r="Q38" s="2908"/>
      <c r="R38" s="1828"/>
      <c r="S38" s="1828"/>
      <c r="T38" s="1828"/>
      <c r="U38" s="1828"/>
      <c r="V38" s="2908"/>
      <c r="W38" s="1828"/>
      <c r="X38" s="1828"/>
      <c r="Y38" s="1828"/>
      <c r="Z38" s="1828"/>
      <c r="AA38" s="2909"/>
      <c r="AB38" s="2910"/>
      <c r="AC38" s="1828"/>
      <c r="AD38" s="1828"/>
      <c r="AE38" s="1828"/>
      <c r="AF38" s="2908"/>
      <c r="AG38" s="2910"/>
      <c r="AH38" s="1828"/>
      <c r="AI38" s="1828"/>
      <c r="AJ38" s="1828"/>
      <c r="AK38" s="2908"/>
      <c r="AL38" s="2910"/>
      <c r="AM38" s="1828"/>
      <c r="AN38" s="1828"/>
      <c r="AO38" s="1828"/>
      <c r="AP38" s="2908"/>
      <c r="AQ38" s="2910"/>
      <c r="AR38" s="1828"/>
      <c r="AS38" s="1828"/>
      <c r="AT38" s="1828"/>
      <c r="AU38" s="2908"/>
      <c r="AV38" s="2910"/>
      <c r="AW38" s="1828"/>
      <c r="AX38" s="1828"/>
      <c r="AY38" s="1828"/>
      <c r="AZ38" s="2908"/>
      <c r="BA38" s="2910">
        <f>BA37/$BE$37</f>
        <v>7.1428571428571425E-2</v>
      </c>
      <c r="BB38" s="1828">
        <f>BB37/$BE$37</f>
        <v>0</v>
      </c>
      <c r="BC38" s="1828">
        <f>BC37/$BE$37</f>
        <v>0</v>
      </c>
      <c r="BD38" s="1828">
        <f>BD37/$BE$37</f>
        <v>0.9285714285714286</v>
      </c>
      <c r="BE38" s="2908">
        <f t="shared" si="24"/>
        <v>1</v>
      </c>
      <c r="BF38" s="2910">
        <f>BF37/$BJ$37</f>
        <v>0</v>
      </c>
      <c r="BG38" s="1828">
        <f>BG37/$BJ$37</f>
        <v>0</v>
      </c>
      <c r="BH38" s="1828">
        <f>BH37/$BJ$37</f>
        <v>0</v>
      </c>
      <c r="BI38" s="1828">
        <f>BI37/$BJ$37</f>
        <v>1</v>
      </c>
      <c r="BJ38" s="2908">
        <f t="shared" si="25"/>
        <v>1</v>
      </c>
      <c r="BK38" s="2910">
        <f>BK37/$BO$37</f>
        <v>0</v>
      </c>
      <c r="BL38" s="1828">
        <f t="shared" ref="BL38:BN38" si="29">BL37/$BO$37</f>
        <v>0</v>
      </c>
      <c r="BM38" s="1828">
        <f t="shared" si="29"/>
        <v>0</v>
      </c>
      <c r="BN38" s="1828">
        <f t="shared" si="29"/>
        <v>1</v>
      </c>
      <c r="BO38" s="2908">
        <f t="shared" si="26"/>
        <v>1</v>
      </c>
    </row>
    <row r="39" spans="1:67" ht="15" x14ac:dyDescent="0.2">
      <c r="A39" s="6373"/>
      <c r="B39" s="6364" t="s">
        <v>12</v>
      </c>
      <c r="C39" s="2929"/>
      <c r="D39" s="2930"/>
      <c r="E39" s="2930"/>
      <c r="F39" s="2930"/>
      <c r="G39" s="2930"/>
      <c r="H39" s="2931"/>
      <c r="I39" s="2932"/>
      <c r="J39" s="2932"/>
      <c r="K39" s="2932"/>
      <c r="L39" s="2933"/>
      <c r="M39" s="2931"/>
      <c r="N39" s="2932"/>
      <c r="O39" s="2932"/>
      <c r="P39" s="2932"/>
      <c r="Q39" s="2933"/>
      <c r="R39" s="2931"/>
      <c r="S39" s="2932"/>
      <c r="T39" s="2932"/>
      <c r="U39" s="2932"/>
      <c r="V39" s="2933"/>
      <c r="W39" s="2931"/>
      <c r="X39" s="2932"/>
      <c r="Y39" s="2932"/>
      <c r="Z39" s="2932"/>
      <c r="AA39" s="2933"/>
      <c r="AB39" s="2931"/>
      <c r="AC39" s="2932"/>
      <c r="AD39" s="2932"/>
      <c r="AE39" s="2932"/>
      <c r="AF39" s="2933"/>
      <c r="AG39" s="2931"/>
      <c r="AH39" s="2932"/>
      <c r="AI39" s="2932"/>
      <c r="AJ39" s="2932"/>
      <c r="AK39" s="2933"/>
      <c r="AL39" s="2931"/>
      <c r="AM39" s="2932"/>
      <c r="AN39" s="2932"/>
      <c r="AO39" s="2932"/>
      <c r="AP39" s="2933"/>
      <c r="AQ39" s="2931"/>
      <c r="AR39" s="2932"/>
      <c r="AS39" s="2932"/>
      <c r="AT39" s="2932"/>
      <c r="AU39" s="2933"/>
      <c r="AV39" s="2931"/>
      <c r="AW39" s="2932"/>
      <c r="AX39" s="2932"/>
      <c r="AY39" s="2932"/>
      <c r="AZ39" s="2933"/>
      <c r="BA39" s="2931">
        <f t="shared" ref="BA39:BJ39" si="30">SUM(BA33,BA35,BA37)</f>
        <v>1</v>
      </c>
      <c r="BB39" s="2932">
        <f t="shared" si="30"/>
        <v>0</v>
      </c>
      <c r="BC39" s="2932">
        <f t="shared" si="30"/>
        <v>4</v>
      </c>
      <c r="BD39" s="2932">
        <f t="shared" si="30"/>
        <v>24</v>
      </c>
      <c r="BE39" s="2933">
        <f t="shared" si="30"/>
        <v>29</v>
      </c>
      <c r="BF39" s="2931">
        <f t="shared" si="30"/>
        <v>0</v>
      </c>
      <c r="BG39" s="2932">
        <f t="shared" si="30"/>
        <v>0</v>
      </c>
      <c r="BH39" s="2932">
        <f t="shared" si="30"/>
        <v>7</v>
      </c>
      <c r="BI39" s="2932">
        <f t="shared" si="30"/>
        <v>29</v>
      </c>
      <c r="BJ39" s="2933">
        <f t="shared" si="30"/>
        <v>36</v>
      </c>
      <c r="BK39" s="2931">
        <f t="shared" ref="BK39:BO39" si="31">SUM(BK33,BK35,BK37)</f>
        <v>0</v>
      </c>
      <c r="BL39" s="2932">
        <f t="shared" si="31"/>
        <v>0</v>
      </c>
      <c r="BM39" s="2932">
        <f t="shared" si="31"/>
        <v>4</v>
      </c>
      <c r="BN39" s="2932">
        <f t="shared" si="31"/>
        <v>39</v>
      </c>
      <c r="BO39" s="2933">
        <f t="shared" si="31"/>
        <v>43</v>
      </c>
    </row>
    <row r="40" spans="1:67" x14ac:dyDescent="0.2">
      <c r="A40" s="6374"/>
      <c r="B40" s="6368"/>
      <c r="C40" s="2925"/>
      <c r="D40" s="2926"/>
      <c r="E40" s="2926"/>
      <c r="F40" s="2926"/>
      <c r="G40" s="2927"/>
      <c r="H40" s="2925"/>
      <c r="I40" s="2926"/>
      <c r="J40" s="2926"/>
      <c r="K40" s="2926"/>
      <c r="L40" s="2927"/>
      <c r="M40" s="2925"/>
      <c r="N40" s="2926"/>
      <c r="O40" s="2926"/>
      <c r="P40" s="2926"/>
      <c r="Q40" s="2927"/>
      <c r="R40" s="2925"/>
      <c r="S40" s="2926"/>
      <c r="T40" s="2926"/>
      <c r="U40" s="2926"/>
      <c r="V40" s="2927"/>
      <c r="W40" s="2925"/>
      <c r="X40" s="2926"/>
      <c r="Y40" s="2926"/>
      <c r="Z40" s="2926"/>
      <c r="AA40" s="2927"/>
      <c r="AB40" s="2925"/>
      <c r="AC40" s="2926"/>
      <c r="AD40" s="2926"/>
      <c r="AE40" s="2926"/>
      <c r="AF40" s="2927"/>
      <c r="AG40" s="2925"/>
      <c r="AH40" s="2926"/>
      <c r="AI40" s="2926"/>
      <c r="AJ40" s="2926"/>
      <c r="AK40" s="2927"/>
      <c r="AL40" s="2925"/>
      <c r="AM40" s="2926"/>
      <c r="AN40" s="2926"/>
      <c r="AO40" s="2926"/>
      <c r="AP40" s="2927"/>
      <c r="AQ40" s="2925"/>
      <c r="AR40" s="2926"/>
      <c r="AS40" s="2926"/>
      <c r="AT40" s="2926"/>
      <c r="AU40" s="2927"/>
      <c r="AV40" s="2925"/>
      <c r="AW40" s="2926"/>
      <c r="AX40" s="2926"/>
      <c r="AY40" s="2926"/>
      <c r="AZ40" s="2927"/>
      <c r="BA40" s="1429">
        <f>BA39/$BE$39</f>
        <v>3.4482758620689655E-2</v>
      </c>
      <c r="BB40" s="1428">
        <f>BB39/$BE$39</f>
        <v>0</v>
      </c>
      <c r="BC40" s="1428">
        <f>BC39/$BE$39</f>
        <v>0.13793103448275862</v>
      </c>
      <c r="BD40" s="1428">
        <f>BD39/$BE$39</f>
        <v>0.82758620689655171</v>
      </c>
      <c r="BE40" s="2928">
        <f>SUM(BA40:BD40)</f>
        <v>1</v>
      </c>
      <c r="BF40" s="1429">
        <f>BF39/$BJ$39</f>
        <v>0</v>
      </c>
      <c r="BG40" s="1428">
        <f>BG39/$BJ$39</f>
        <v>0</v>
      </c>
      <c r="BH40" s="1428">
        <f>BH39/$BJ$39</f>
        <v>0.19444444444444445</v>
      </c>
      <c r="BI40" s="1428">
        <f>BI39/$BJ$39</f>
        <v>0.80555555555555558</v>
      </c>
      <c r="BJ40" s="2928">
        <f>SUM(BF40:BI40)</f>
        <v>1</v>
      </c>
      <c r="BK40" s="1429">
        <f>BK39/$BO$39</f>
        <v>0</v>
      </c>
      <c r="BL40" s="1428">
        <f t="shared" ref="BL40:BN40" si="32">BL39/$BO$39</f>
        <v>0</v>
      </c>
      <c r="BM40" s="1428">
        <f t="shared" si="32"/>
        <v>9.3023255813953487E-2</v>
      </c>
      <c r="BN40" s="1428">
        <f t="shared" si="32"/>
        <v>0.90697674418604646</v>
      </c>
      <c r="BO40" s="2928">
        <f>SUM(BK40:BN40)</f>
        <v>1</v>
      </c>
    </row>
    <row r="41" spans="1:67" ht="15" x14ac:dyDescent="0.2">
      <c r="A41" s="1418"/>
      <c r="B41" s="1418"/>
      <c r="C41" s="1825"/>
      <c r="D41" s="1825"/>
      <c r="E41" s="1825"/>
      <c r="F41" s="1825"/>
      <c r="G41" s="1826"/>
      <c r="H41" s="1825"/>
      <c r="I41" s="1825"/>
      <c r="J41" s="1825"/>
      <c r="K41" s="1825"/>
      <c r="L41" s="1826"/>
      <c r="M41" s="1825"/>
      <c r="N41" s="1825"/>
      <c r="O41" s="1825"/>
      <c r="P41" s="1825"/>
      <c r="Q41" s="1826"/>
      <c r="R41" s="1825"/>
      <c r="S41" s="1825"/>
      <c r="T41" s="1825"/>
      <c r="U41" s="1825"/>
      <c r="V41" s="1826"/>
      <c r="W41" s="1825"/>
      <c r="X41" s="1825"/>
      <c r="Y41" s="1825"/>
      <c r="Z41" s="1825"/>
      <c r="AA41" s="1826"/>
      <c r="AB41" s="1825"/>
      <c r="AC41" s="1825"/>
      <c r="AD41" s="1825"/>
      <c r="AE41" s="1825"/>
      <c r="AF41" s="1826"/>
      <c r="AG41" s="1825"/>
      <c r="AH41" s="1825"/>
      <c r="AI41" s="1825"/>
      <c r="AJ41" s="1825"/>
      <c r="AK41" s="1827"/>
      <c r="AL41" s="1825"/>
      <c r="AM41" s="1825"/>
      <c r="AN41" s="1825"/>
      <c r="AO41" s="1825"/>
      <c r="AP41" s="1826"/>
      <c r="AQ41" s="1825"/>
      <c r="AR41" s="1825"/>
      <c r="AS41" s="1825"/>
      <c r="AT41" s="1825"/>
      <c r="AU41" s="1827"/>
      <c r="AV41" s="1825"/>
      <c r="AW41" s="1825"/>
      <c r="AX41" s="1825"/>
      <c r="AY41" s="1825"/>
      <c r="AZ41" s="1825"/>
      <c r="BA41" s="1828"/>
      <c r="BB41" s="1828"/>
      <c r="BC41" s="1828"/>
      <c r="BD41" s="1828"/>
      <c r="BE41" s="1828"/>
      <c r="BF41" s="1828"/>
      <c r="BG41" s="1828"/>
      <c r="BH41" s="1828"/>
      <c r="BI41" s="1828"/>
      <c r="BJ41" s="1828"/>
      <c r="BK41" s="1828"/>
      <c r="BL41" s="1828"/>
      <c r="BM41" s="1828"/>
      <c r="BN41" s="1828"/>
      <c r="BO41" s="1828"/>
    </row>
    <row r="42" spans="1:67" ht="15" x14ac:dyDescent="0.2">
      <c r="A42" s="6369" t="s">
        <v>10</v>
      </c>
      <c r="B42" s="6365" t="s">
        <v>6</v>
      </c>
      <c r="C42" s="1411">
        <v>129</v>
      </c>
      <c r="D42" s="1411">
        <v>3</v>
      </c>
      <c r="E42" s="1411">
        <v>154</v>
      </c>
      <c r="F42" s="1411">
        <v>110</v>
      </c>
      <c r="G42" s="482">
        <v>396</v>
      </c>
      <c r="H42" s="1412">
        <v>127</v>
      </c>
      <c r="I42" s="1412">
        <v>3</v>
      </c>
      <c r="J42" s="1412">
        <v>147</v>
      </c>
      <c r="K42" s="1412">
        <v>117</v>
      </c>
      <c r="L42" s="726">
        <v>394</v>
      </c>
      <c r="M42" s="1412">
        <v>99</v>
      </c>
      <c r="N42" s="1412">
        <v>3</v>
      </c>
      <c r="O42" s="1412">
        <v>153</v>
      </c>
      <c r="P42" s="1412">
        <v>127</v>
      </c>
      <c r="Q42" s="726">
        <v>382</v>
      </c>
      <c r="R42" s="1412">
        <v>98</v>
      </c>
      <c r="S42" s="1412">
        <v>3</v>
      </c>
      <c r="T42" s="1412">
        <v>153</v>
      </c>
      <c r="U42" s="1412">
        <v>139</v>
      </c>
      <c r="V42" s="726">
        <v>393</v>
      </c>
      <c r="W42" s="1412">
        <v>97</v>
      </c>
      <c r="X42" s="1412">
        <v>2</v>
      </c>
      <c r="Y42" s="1412">
        <v>143</v>
      </c>
      <c r="Z42" s="1412">
        <v>134</v>
      </c>
      <c r="AA42" s="726">
        <v>376</v>
      </c>
      <c r="AB42" s="1413">
        <v>88</v>
      </c>
      <c r="AC42" s="1412">
        <v>2</v>
      </c>
      <c r="AD42" s="1412">
        <v>139</v>
      </c>
      <c r="AE42" s="1412">
        <v>160</v>
      </c>
      <c r="AF42" s="726">
        <v>389</v>
      </c>
      <c r="AG42" s="1413">
        <v>80</v>
      </c>
      <c r="AH42" s="1412">
        <v>3</v>
      </c>
      <c r="AI42" s="1412">
        <v>133</v>
      </c>
      <c r="AJ42" s="1412">
        <v>160</v>
      </c>
      <c r="AK42" s="726">
        <v>376</v>
      </c>
      <c r="AL42" s="1413">
        <v>78</v>
      </c>
      <c r="AM42" s="1412">
        <v>3</v>
      </c>
      <c r="AN42" s="1412">
        <v>137</v>
      </c>
      <c r="AO42" s="1412">
        <v>164</v>
      </c>
      <c r="AP42" s="726">
        <v>382</v>
      </c>
      <c r="AQ42" s="1413">
        <v>77</v>
      </c>
      <c r="AR42" s="1412">
        <v>3</v>
      </c>
      <c r="AS42" s="1412">
        <v>132</v>
      </c>
      <c r="AT42" s="1412">
        <v>181</v>
      </c>
      <c r="AU42" s="726">
        <v>393</v>
      </c>
      <c r="AV42" s="1413">
        <v>76</v>
      </c>
      <c r="AW42" s="1412">
        <v>2</v>
      </c>
      <c r="AX42" s="1412">
        <v>132</v>
      </c>
      <c r="AY42" s="1412">
        <v>190</v>
      </c>
      <c r="AZ42" s="726">
        <v>400</v>
      </c>
      <c r="BA42" s="1413">
        <f>+'PTC-GRADO'!BA26</f>
        <v>69</v>
      </c>
      <c r="BB42" s="1412">
        <f>+'PTC-GRADO'!BB26</f>
        <v>4</v>
      </c>
      <c r="BC42" s="1412">
        <f>+'PTC-GRADO'!BC26</f>
        <v>128</v>
      </c>
      <c r="BD42" s="1412">
        <f>+'PTC-GRADO'!BD26</f>
        <v>204</v>
      </c>
      <c r="BE42" s="726">
        <f>SUM(BA42:BD42)</f>
        <v>405</v>
      </c>
      <c r="BF42" s="1413">
        <f>+'PTC-GRADO'!BF26</f>
        <v>69</v>
      </c>
      <c r="BG42" s="1412">
        <f>+'PTC-GRADO'!BG26</f>
        <v>4</v>
      </c>
      <c r="BH42" s="1412">
        <f>+'PTC-GRADO'!BH26</f>
        <v>129</v>
      </c>
      <c r="BI42" s="1412">
        <f>+'PTC-GRADO'!BI26</f>
        <v>206</v>
      </c>
      <c r="BJ42" s="726">
        <f t="shared" ref="BJ42:BJ47" si="33">SUM(BF42:BI42)</f>
        <v>408</v>
      </c>
      <c r="BK42" s="1413">
        <f>+'PTC-GRADO'!BK26</f>
        <v>69</v>
      </c>
      <c r="BL42" s="1412">
        <f>+'PTC-GRADO'!BL26</f>
        <v>4</v>
      </c>
      <c r="BM42" s="1412">
        <f>+'PTC-GRADO'!BM26</f>
        <v>131</v>
      </c>
      <c r="BN42" s="1412">
        <f>+'PTC-GRADO'!BN26</f>
        <v>206</v>
      </c>
      <c r="BO42" s="726">
        <f t="shared" ref="BO42:BO47" si="34">SUM(BK42:BN42)</f>
        <v>410</v>
      </c>
    </row>
    <row r="43" spans="1:67" ht="15" customHeight="1" x14ac:dyDescent="0.2">
      <c r="A43" s="6370"/>
      <c r="B43" s="6366"/>
      <c r="C43" s="1828">
        <v>0.32575757575757575</v>
      </c>
      <c r="D43" s="1828">
        <v>7.575757575757576E-3</v>
      </c>
      <c r="E43" s="1828">
        <v>0.3888888888888889</v>
      </c>
      <c r="F43" s="1828">
        <v>0.27777777777777779</v>
      </c>
      <c r="G43" s="2908">
        <v>1</v>
      </c>
      <c r="H43" s="1828">
        <v>0.32233502538071068</v>
      </c>
      <c r="I43" s="1828">
        <v>7.6142131979695434E-3</v>
      </c>
      <c r="J43" s="1828">
        <v>0.37309644670050762</v>
      </c>
      <c r="K43" s="1828">
        <v>0.29695431472081218</v>
      </c>
      <c r="L43" s="2908">
        <v>1</v>
      </c>
      <c r="M43" s="1828">
        <v>0.25916230366492149</v>
      </c>
      <c r="N43" s="1828">
        <v>7.8534031413612562E-3</v>
      </c>
      <c r="O43" s="1828">
        <v>0.40052356020942409</v>
      </c>
      <c r="P43" s="1828">
        <v>0.33246073298429318</v>
      </c>
      <c r="Q43" s="2908">
        <v>1</v>
      </c>
      <c r="R43" s="1828">
        <v>0.24936386768447838</v>
      </c>
      <c r="S43" s="1828">
        <v>7.6335877862595417E-3</v>
      </c>
      <c r="T43" s="1828">
        <v>0.38931297709923662</v>
      </c>
      <c r="U43" s="1828">
        <v>0.35368956743002544</v>
      </c>
      <c r="V43" s="2908">
        <v>1</v>
      </c>
      <c r="W43" s="1828">
        <v>0.25797872340425532</v>
      </c>
      <c r="X43" s="1828">
        <v>5.3191489361702126E-3</v>
      </c>
      <c r="Y43" s="1828">
        <v>0.38031914893617019</v>
      </c>
      <c r="Z43" s="1828">
        <v>0.35638297872340424</v>
      </c>
      <c r="AA43" s="2909">
        <v>1</v>
      </c>
      <c r="AB43" s="2910">
        <v>0.2262210796915167</v>
      </c>
      <c r="AC43" s="1828">
        <v>5.1413881748071976E-3</v>
      </c>
      <c r="AD43" s="1828">
        <v>0.35732647814910024</v>
      </c>
      <c r="AE43" s="1828">
        <v>0.41131105398457585</v>
      </c>
      <c r="AF43" s="2908">
        <v>1</v>
      </c>
      <c r="AG43" s="2910">
        <v>0.21276595744680851</v>
      </c>
      <c r="AH43" s="1828">
        <v>7.9787234042553185E-3</v>
      </c>
      <c r="AI43" s="1828">
        <v>0.35372340425531917</v>
      </c>
      <c r="AJ43" s="1828">
        <v>0.42553191489361702</v>
      </c>
      <c r="AK43" s="2908">
        <v>1</v>
      </c>
      <c r="AL43" s="2910">
        <v>0.20418848167539266</v>
      </c>
      <c r="AM43" s="1828">
        <v>7.8534031413612562E-3</v>
      </c>
      <c r="AN43" s="1828">
        <v>0.3586387434554974</v>
      </c>
      <c r="AO43" s="1828">
        <v>0.4293193717277487</v>
      </c>
      <c r="AP43" s="2908">
        <v>1</v>
      </c>
      <c r="AQ43" s="2910">
        <v>0.19592875318066158</v>
      </c>
      <c r="AR43" s="1828">
        <v>7.6335877862595417E-3</v>
      </c>
      <c r="AS43" s="1828">
        <v>0.33587786259541985</v>
      </c>
      <c r="AT43" s="1828">
        <v>0.46055979643765904</v>
      </c>
      <c r="AU43" s="2908">
        <v>1</v>
      </c>
      <c r="AV43" s="2910">
        <v>0.19</v>
      </c>
      <c r="AW43" s="1828">
        <v>5.0000000000000001E-3</v>
      </c>
      <c r="AX43" s="1828">
        <v>0.33</v>
      </c>
      <c r="AY43" s="1828">
        <v>0.47499999999999998</v>
      </c>
      <c r="AZ43" s="2908">
        <v>1</v>
      </c>
      <c r="BA43" s="2910">
        <f>BA42/$BE$42</f>
        <v>0.17037037037037037</v>
      </c>
      <c r="BB43" s="1828">
        <f>BB42/$BE$42</f>
        <v>9.876543209876543E-3</v>
      </c>
      <c r="BC43" s="1828">
        <f>BC42/$BE$42</f>
        <v>0.31604938271604938</v>
      </c>
      <c r="BD43" s="1828">
        <f>BD42/$BE$42</f>
        <v>0.50370370370370365</v>
      </c>
      <c r="BE43" s="2908">
        <f>BE42/$BE$42</f>
        <v>1</v>
      </c>
      <c r="BF43" s="2910">
        <f>BF42/$BJ$42</f>
        <v>0.16911764705882354</v>
      </c>
      <c r="BG43" s="1828">
        <f>BG42/$BJ$42</f>
        <v>9.8039215686274508E-3</v>
      </c>
      <c r="BH43" s="1828">
        <f>BH42/$BJ$42</f>
        <v>0.31617647058823528</v>
      </c>
      <c r="BI43" s="1828">
        <f>BI42/$BJ$42</f>
        <v>0.50490196078431371</v>
      </c>
      <c r="BJ43" s="2908">
        <f t="shared" si="33"/>
        <v>1</v>
      </c>
      <c r="BK43" s="2910">
        <f>BK42/$BO$42</f>
        <v>0.16829268292682928</v>
      </c>
      <c r="BL43" s="1828">
        <f t="shared" ref="BL43:BN43" si="35">BL42/$BO$42</f>
        <v>9.7560975609756097E-3</v>
      </c>
      <c r="BM43" s="1828">
        <f t="shared" si="35"/>
        <v>0.31951219512195123</v>
      </c>
      <c r="BN43" s="1828">
        <f t="shared" si="35"/>
        <v>0.5024390243902439</v>
      </c>
      <c r="BO43" s="2908">
        <f t="shared" si="34"/>
        <v>1</v>
      </c>
    </row>
    <row r="44" spans="1:67" ht="15" x14ac:dyDescent="0.2">
      <c r="A44" s="6370"/>
      <c r="B44" s="6366" t="s">
        <v>11</v>
      </c>
      <c r="C44" s="2911">
        <v>95</v>
      </c>
      <c r="D44" s="2911">
        <v>8</v>
      </c>
      <c r="E44" s="2911">
        <v>158</v>
      </c>
      <c r="F44" s="2911">
        <v>98</v>
      </c>
      <c r="G44" s="2912">
        <v>359</v>
      </c>
      <c r="H44" s="2913">
        <v>94</v>
      </c>
      <c r="I44" s="2913">
        <v>7</v>
      </c>
      <c r="J44" s="2913">
        <v>150</v>
      </c>
      <c r="K44" s="2913">
        <v>106</v>
      </c>
      <c r="L44" s="2914">
        <v>357</v>
      </c>
      <c r="M44" s="2913">
        <v>74</v>
      </c>
      <c r="N44" s="2913">
        <v>8</v>
      </c>
      <c r="O44" s="2913">
        <v>157</v>
      </c>
      <c r="P44" s="2913">
        <v>113</v>
      </c>
      <c r="Q44" s="2914">
        <v>352</v>
      </c>
      <c r="R44" s="2913">
        <v>72</v>
      </c>
      <c r="S44" s="2913">
        <v>12</v>
      </c>
      <c r="T44" s="2913">
        <v>164</v>
      </c>
      <c r="U44" s="2913">
        <v>127</v>
      </c>
      <c r="V44" s="2914">
        <v>375</v>
      </c>
      <c r="W44" s="2913">
        <v>68</v>
      </c>
      <c r="X44" s="2913">
        <v>15</v>
      </c>
      <c r="Y44" s="2913">
        <v>161</v>
      </c>
      <c r="Z44" s="2913">
        <v>126</v>
      </c>
      <c r="AA44" s="2914">
        <v>370</v>
      </c>
      <c r="AB44" s="2915">
        <v>63</v>
      </c>
      <c r="AC44" s="2913">
        <v>14</v>
      </c>
      <c r="AD44" s="2913">
        <v>155</v>
      </c>
      <c r="AE44" s="2913">
        <v>146</v>
      </c>
      <c r="AF44" s="2914">
        <v>378</v>
      </c>
      <c r="AG44" s="2915">
        <v>51</v>
      </c>
      <c r="AH44" s="2913">
        <v>13</v>
      </c>
      <c r="AI44" s="2913">
        <v>141</v>
      </c>
      <c r="AJ44" s="2913">
        <v>150</v>
      </c>
      <c r="AK44" s="2914">
        <v>355</v>
      </c>
      <c r="AL44" s="2915">
        <v>51</v>
      </c>
      <c r="AM44" s="2913">
        <v>13</v>
      </c>
      <c r="AN44" s="2913">
        <v>141</v>
      </c>
      <c r="AO44" s="2913">
        <v>152</v>
      </c>
      <c r="AP44" s="2914">
        <v>357</v>
      </c>
      <c r="AQ44" s="2915">
        <v>50</v>
      </c>
      <c r="AR44" s="2913">
        <v>22</v>
      </c>
      <c r="AS44" s="2913">
        <v>129</v>
      </c>
      <c r="AT44" s="2913">
        <v>161</v>
      </c>
      <c r="AU44" s="2914">
        <v>362</v>
      </c>
      <c r="AV44" s="2915">
        <v>49</v>
      </c>
      <c r="AW44" s="2913">
        <v>11</v>
      </c>
      <c r="AX44" s="2913">
        <v>135</v>
      </c>
      <c r="AY44" s="2913">
        <v>173</v>
      </c>
      <c r="AZ44" s="2914">
        <v>368</v>
      </c>
      <c r="BA44" s="2915">
        <f>+'PTC-GRADO'!BA27</f>
        <v>48</v>
      </c>
      <c r="BB44" s="2913">
        <f>+'PTC-GRADO'!BB27</f>
        <v>10</v>
      </c>
      <c r="BC44" s="2913">
        <f>+'PTC-GRADO'!BC27</f>
        <v>140</v>
      </c>
      <c r="BD44" s="2913">
        <f>+'PTC-GRADO'!BD27</f>
        <v>184</v>
      </c>
      <c r="BE44" s="2914">
        <f>SUM(BA44:BD44)</f>
        <v>382</v>
      </c>
      <c r="BF44" s="2915">
        <f>+'PTC-GRADO'!BF27</f>
        <v>48</v>
      </c>
      <c r="BG44" s="2913">
        <f>+'PTC-GRADO'!BG27</f>
        <v>11</v>
      </c>
      <c r="BH44" s="2913">
        <f>+'PTC-GRADO'!BH27</f>
        <v>142</v>
      </c>
      <c r="BI44" s="2913">
        <f>+'PTC-GRADO'!BI27</f>
        <v>190</v>
      </c>
      <c r="BJ44" s="2914">
        <f t="shared" si="33"/>
        <v>391</v>
      </c>
      <c r="BK44" s="2915">
        <f>+'PTC-GRADO'!BK27</f>
        <v>48</v>
      </c>
      <c r="BL44" s="2913">
        <f>+'PTC-GRADO'!BL27</f>
        <v>11</v>
      </c>
      <c r="BM44" s="2913">
        <f>+'PTC-GRADO'!BM27</f>
        <v>145</v>
      </c>
      <c r="BN44" s="2913">
        <f>+'PTC-GRADO'!BN27</f>
        <v>192</v>
      </c>
      <c r="BO44" s="2914">
        <f t="shared" si="34"/>
        <v>396</v>
      </c>
    </row>
    <row r="45" spans="1:67" ht="15" customHeight="1" x14ac:dyDescent="0.2">
      <c r="A45" s="6370"/>
      <c r="B45" s="6366"/>
      <c r="C45" s="2916">
        <v>0.26462395543175488</v>
      </c>
      <c r="D45" s="2916">
        <v>2.2284122562674095E-2</v>
      </c>
      <c r="E45" s="2916">
        <v>0.44011142061281339</v>
      </c>
      <c r="F45" s="2916">
        <v>0.27298050139275765</v>
      </c>
      <c r="G45" s="2917">
        <v>1</v>
      </c>
      <c r="H45" s="2916">
        <v>0.26330532212885155</v>
      </c>
      <c r="I45" s="2916">
        <v>1.9607843137254902E-2</v>
      </c>
      <c r="J45" s="2916">
        <v>0.42016806722689076</v>
      </c>
      <c r="K45" s="2916">
        <v>0.2969187675070028</v>
      </c>
      <c r="L45" s="2917">
        <v>1</v>
      </c>
      <c r="M45" s="2916">
        <v>0.21022727272727273</v>
      </c>
      <c r="N45" s="2916">
        <v>2.2727272727272728E-2</v>
      </c>
      <c r="O45" s="2916">
        <v>0.44602272727272729</v>
      </c>
      <c r="P45" s="2916">
        <v>0.32102272727272729</v>
      </c>
      <c r="Q45" s="2917">
        <v>1</v>
      </c>
      <c r="R45" s="2916">
        <v>0.192</v>
      </c>
      <c r="S45" s="2916">
        <v>3.2000000000000001E-2</v>
      </c>
      <c r="T45" s="2916">
        <v>0.43733333333333335</v>
      </c>
      <c r="U45" s="2916">
        <v>0.33866666666666667</v>
      </c>
      <c r="V45" s="2917">
        <v>1</v>
      </c>
      <c r="W45" s="2916">
        <v>0.18378378378378379</v>
      </c>
      <c r="X45" s="2916">
        <v>4.0540540540540543E-2</v>
      </c>
      <c r="Y45" s="2916">
        <v>0.43513513513513513</v>
      </c>
      <c r="Z45" s="2916">
        <v>0.34054054054054056</v>
      </c>
      <c r="AA45" s="2918">
        <v>1</v>
      </c>
      <c r="AB45" s="2919">
        <v>0.16666666666666666</v>
      </c>
      <c r="AC45" s="2916">
        <v>3.7037037037037035E-2</v>
      </c>
      <c r="AD45" s="2916">
        <v>0.41005291005291006</v>
      </c>
      <c r="AE45" s="2916">
        <v>0.38624338624338622</v>
      </c>
      <c r="AF45" s="2917">
        <v>1</v>
      </c>
      <c r="AG45" s="2919">
        <v>0.14366197183098592</v>
      </c>
      <c r="AH45" s="2916">
        <v>3.6619718309859155E-2</v>
      </c>
      <c r="AI45" s="2916">
        <v>0.39718309859154932</v>
      </c>
      <c r="AJ45" s="2916">
        <v>0.42253521126760563</v>
      </c>
      <c r="AK45" s="2917">
        <v>1</v>
      </c>
      <c r="AL45" s="2919">
        <v>0.14285714285714285</v>
      </c>
      <c r="AM45" s="2916">
        <v>3.6414565826330535E-2</v>
      </c>
      <c r="AN45" s="2916">
        <v>0.3949579831932773</v>
      </c>
      <c r="AO45" s="2916">
        <v>0.42577030812324929</v>
      </c>
      <c r="AP45" s="2917">
        <v>1</v>
      </c>
      <c r="AQ45" s="2919">
        <v>0.13812154696132597</v>
      </c>
      <c r="AR45" s="2916">
        <v>6.0773480662983423E-2</v>
      </c>
      <c r="AS45" s="2916">
        <v>0.35635359116022097</v>
      </c>
      <c r="AT45" s="2916">
        <v>0.44475138121546959</v>
      </c>
      <c r="AU45" s="2917">
        <v>1</v>
      </c>
      <c r="AV45" s="2919">
        <v>0.13315217391304349</v>
      </c>
      <c r="AW45" s="2916">
        <v>2.9891304347826088E-2</v>
      </c>
      <c r="AX45" s="2916">
        <v>0.36684782608695654</v>
      </c>
      <c r="AY45" s="2916">
        <v>0.47010869565217389</v>
      </c>
      <c r="AZ45" s="2917">
        <v>1</v>
      </c>
      <c r="BA45" s="2919">
        <f>BA44/$BE$44</f>
        <v>0.1256544502617801</v>
      </c>
      <c r="BB45" s="2916">
        <f>BB44/$BE$44</f>
        <v>2.6178010471204188E-2</v>
      </c>
      <c r="BC45" s="2916">
        <f>BC44/$BE$44</f>
        <v>0.36649214659685864</v>
      </c>
      <c r="BD45" s="2916">
        <f>BD44/$BE$44</f>
        <v>0.48167539267015708</v>
      </c>
      <c r="BE45" s="2917">
        <f>BE44/$BE$44</f>
        <v>1</v>
      </c>
      <c r="BF45" s="2919">
        <f>BF44/$BJ$44</f>
        <v>0.12276214833759591</v>
      </c>
      <c r="BG45" s="2916">
        <f>BG44/$BJ$44</f>
        <v>2.8132992327365727E-2</v>
      </c>
      <c r="BH45" s="2916">
        <f>BH44/$BJ$44</f>
        <v>0.3631713554987212</v>
      </c>
      <c r="BI45" s="2916">
        <f>BI44/$BJ$44</f>
        <v>0.48593350383631712</v>
      </c>
      <c r="BJ45" s="2917">
        <f t="shared" si="33"/>
        <v>1</v>
      </c>
      <c r="BK45" s="2919">
        <f>BK44/$BO$44</f>
        <v>0.12121212121212122</v>
      </c>
      <c r="BL45" s="2916">
        <f t="shared" ref="BL45:BN45" si="36">BL44/$BO$44</f>
        <v>2.7777777777777776E-2</v>
      </c>
      <c r="BM45" s="2916">
        <f t="shared" si="36"/>
        <v>0.36616161616161619</v>
      </c>
      <c r="BN45" s="2916">
        <f t="shared" si="36"/>
        <v>0.48484848484848486</v>
      </c>
      <c r="BO45" s="2917">
        <f t="shared" si="34"/>
        <v>1</v>
      </c>
    </row>
    <row r="46" spans="1:67" ht="15" x14ac:dyDescent="0.2">
      <c r="A46" s="6370"/>
      <c r="B46" s="6366" t="s">
        <v>7</v>
      </c>
      <c r="C46" s="1414">
        <v>92</v>
      </c>
      <c r="D46" s="1414">
        <v>5</v>
      </c>
      <c r="E46" s="1414">
        <v>62</v>
      </c>
      <c r="F46" s="1414">
        <v>21</v>
      </c>
      <c r="G46" s="487">
        <v>180</v>
      </c>
      <c r="H46" s="1415">
        <v>91</v>
      </c>
      <c r="I46" s="1415">
        <v>4</v>
      </c>
      <c r="J46" s="1415">
        <v>59</v>
      </c>
      <c r="K46" s="1415">
        <v>23</v>
      </c>
      <c r="L46" s="729">
        <v>177</v>
      </c>
      <c r="M46" s="1415">
        <v>71</v>
      </c>
      <c r="N46" s="1415">
        <v>5</v>
      </c>
      <c r="O46" s="1415">
        <v>62</v>
      </c>
      <c r="P46" s="1415">
        <v>23</v>
      </c>
      <c r="Q46" s="729">
        <v>161</v>
      </c>
      <c r="R46" s="1415">
        <v>69</v>
      </c>
      <c r="S46" s="1415">
        <v>5</v>
      </c>
      <c r="T46" s="1415">
        <v>63</v>
      </c>
      <c r="U46" s="1415">
        <v>24</v>
      </c>
      <c r="V46" s="729">
        <v>161</v>
      </c>
      <c r="W46" s="1415">
        <v>60</v>
      </c>
      <c r="X46" s="1415">
        <v>2</v>
      </c>
      <c r="Y46" s="1415">
        <v>63</v>
      </c>
      <c r="Z46" s="1415">
        <v>25</v>
      </c>
      <c r="AA46" s="729">
        <v>150</v>
      </c>
      <c r="AB46" s="1416">
        <v>60</v>
      </c>
      <c r="AC46" s="1415">
        <v>2</v>
      </c>
      <c r="AD46" s="1415">
        <v>63</v>
      </c>
      <c r="AE46" s="1415">
        <v>29</v>
      </c>
      <c r="AF46" s="729">
        <v>154</v>
      </c>
      <c r="AG46" s="1416">
        <v>60</v>
      </c>
      <c r="AH46" s="1415">
        <v>2</v>
      </c>
      <c r="AI46" s="1415">
        <v>59</v>
      </c>
      <c r="AJ46" s="1415">
        <v>32</v>
      </c>
      <c r="AK46" s="729">
        <v>153</v>
      </c>
      <c r="AL46" s="1416">
        <v>58</v>
      </c>
      <c r="AM46" s="1415">
        <v>2</v>
      </c>
      <c r="AN46" s="1415">
        <v>60</v>
      </c>
      <c r="AO46" s="1415">
        <v>32</v>
      </c>
      <c r="AP46" s="729">
        <v>152</v>
      </c>
      <c r="AQ46" s="1416">
        <v>57</v>
      </c>
      <c r="AR46" s="1415">
        <v>2</v>
      </c>
      <c r="AS46" s="1415">
        <v>64</v>
      </c>
      <c r="AT46" s="1415">
        <v>33</v>
      </c>
      <c r="AU46" s="729">
        <v>156</v>
      </c>
      <c r="AV46" s="1416">
        <v>54</v>
      </c>
      <c r="AW46" s="1415">
        <v>3</v>
      </c>
      <c r="AX46" s="1415">
        <v>66</v>
      </c>
      <c r="AY46" s="1415">
        <v>35</v>
      </c>
      <c r="AZ46" s="729">
        <v>158</v>
      </c>
      <c r="BA46" s="1416">
        <f>+'PTC-GRADO'!BA28</f>
        <v>49</v>
      </c>
      <c r="BB46" s="1415">
        <f>+'PTC-GRADO'!BB28</f>
        <v>3</v>
      </c>
      <c r="BC46" s="1415">
        <f>+'PTC-GRADO'!BC28</f>
        <v>69</v>
      </c>
      <c r="BD46" s="1415">
        <f>+'PTC-GRADO'!BD28</f>
        <v>39</v>
      </c>
      <c r="BE46" s="729">
        <f>SUM(BA46:BD46)</f>
        <v>160</v>
      </c>
      <c r="BF46" s="1416">
        <f>+'PTC-GRADO'!BF28</f>
        <v>49</v>
      </c>
      <c r="BG46" s="1415">
        <f>+'PTC-GRADO'!BG28</f>
        <v>3</v>
      </c>
      <c r="BH46" s="1415">
        <f>+'PTC-GRADO'!BH28</f>
        <v>71</v>
      </c>
      <c r="BI46" s="1415">
        <f>+'PTC-GRADO'!BI28</f>
        <v>39</v>
      </c>
      <c r="BJ46" s="729">
        <f t="shared" si="33"/>
        <v>162</v>
      </c>
      <c r="BK46" s="1416">
        <f>+'PTC-GRADO'!BK28</f>
        <v>49</v>
      </c>
      <c r="BL46" s="1415">
        <f>+'PTC-GRADO'!BL28</f>
        <v>3</v>
      </c>
      <c r="BM46" s="1415">
        <f>+'PTC-GRADO'!BM28</f>
        <v>74</v>
      </c>
      <c r="BN46" s="1415">
        <f>+'PTC-GRADO'!BN28</f>
        <v>38</v>
      </c>
      <c r="BO46" s="729">
        <f t="shared" si="34"/>
        <v>164</v>
      </c>
    </row>
    <row r="47" spans="1:67" ht="15" customHeight="1" x14ac:dyDescent="0.2">
      <c r="A47" s="6370"/>
      <c r="B47" s="6367"/>
      <c r="C47" s="1828">
        <v>0.51111111111111107</v>
      </c>
      <c r="D47" s="1828">
        <v>2.7777777777777776E-2</v>
      </c>
      <c r="E47" s="1828">
        <v>0.34444444444444444</v>
      </c>
      <c r="F47" s="1828">
        <v>0.11666666666666667</v>
      </c>
      <c r="G47" s="2908">
        <v>1</v>
      </c>
      <c r="H47" s="1828">
        <v>0.51412429378531077</v>
      </c>
      <c r="I47" s="1828">
        <v>2.2598870056497175E-2</v>
      </c>
      <c r="J47" s="1828">
        <v>0.33333333333333331</v>
      </c>
      <c r="K47" s="1828">
        <v>0.12994350282485875</v>
      </c>
      <c r="L47" s="2908">
        <v>1</v>
      </c>
      <c r="M47" s="1828">
        <v>0.44099378881987578</v>
      </c>
      <c r="N47" s="1828">
        <v>3.1055900621118012E-2</v>
      </c>
      <c r="O47" s="1828">
        <v>0.38509316770186336</v>
      </c>
      <c r="P47" s="1828">
        <v>0.14285714285714285</v>
      </c>
      <c r="Q47" s="2908">
        <v>1</v>
      </c>
      <c r="R47" s="1828">
        <v>0.42857142857142855</v>
      </c>
      <c r="S47" s="1828">
        <v>3.1055900621118012E-2</v>
      </c>
      <c r="T47" s="1828">
        <v>0.39130434782608697</v>
      </c>
      <c r="U47" s="1828">
        <v>0.14906832298136646</v>
      </c>
      <c r="V47" s="2908">
        <v>1</v>
      </c>
      <c r="W47" s="1828">
        <v>0.4</v>
      </c>
      <c r="X47" s="1828">
        <v>1.3333333333333334E-2</v>
      </c>
      <c r="Y47" s="1828">
        <v>0.42</v>
      </c>
      <c r="Z47" s="1828">
        <v>0.16666666666666666</v>
      </c>
      <c r="AA47" s="2909">
        <v>1</v>
      </c>
      <c r="AB47" s="2910">
        <v>0.38961038961038963</v>
      </c>
      <c r="AC47" s="1828">
        <v>1.2987012987012988E-2</v>
      </c>
      <c r="AD47" s="1828">
        <v>0.40909090909090912</v>
      </c>
      <c r="AE47" s="1828">
        <v>0.18831168831168832</v>
      </c>
      <c r="AF47" s="2908">
        <v>1</v>
      </c>
      <c r="AG47" s="2910">
        <v>0.39215686274509803</v>
      </c>
      <c r="AH47" s="1828">
        <v>1.3071895424836602E-2</v>
      </c>
      <c r="AI47" s="1828">
        <v>0.38562091503267976</v>
      </c>
      <c r="AJ47" s="1828">
        <v>0.20915032679738563</v>
      </c>
      <c r="AK47" s="2908">
        <v>1</v>
      </c>
      <c r="AL47" s="2910">
        <v>0.38157894736842107</v>
      </c>
      <c r="AM47" s="1828">
        <v>1.3157894736842105E-2</v>
      </c>
      <c r="AN47" s="1828">
        <v>0.39473684210526316</v>
      </c>
      <c r="AO47" s="1828">
        <v>0.21052631578947367</v>
      </c>
      <c r="AP47" s="2908">
        <v>1</v>
      </c>
      <c r="AQ47" s="2910">
        <v>0.36538461538461536</v>
      </c>
      <c r="AR47" s="1828">
        <v>1.282051282051282E-2</v>
      </c>
      <c r="AS47" s="1828">
        <v>0.41025641025641024</v>
      </c>
      <c r="AT47" s="1828">
        <v>0.21153846153846154</v>
      </c>
      <c r="AU47" s="2908">
        <v>1</v>
      </c>
      <c r="AV47" s="2910">
        <v>0.34177215189873417</v>
      </c>
      <c r="AW47" s="1828">
        <v>1.8987341772151899E-2</v>
      </c>
      <c r="AX47" s="1828">
        <v>0.41772151898734178</v>
      </c>
      <c r="AY47" s="1828">
        <v>0.22151898734177214</v>
      </c>
      <c r="AZ47" s="2908">
        <v>1</v>
      </c>
      <c r="BA47" s="2910">
        <f>BA46/$BE$46</f>
        <v>0.30625000000000002</v>
      </c>
      <c r="BB47" s="1828">
        <f>BB46/$BE$46</f>
        <v>1.8749999999999999E-2</v>
      </c>
      <c r="BC47" s="1828">
        <f>BC46/$BE$46</f>
        <v>0.43125000000000002</v>
      </c>
      <c r="BD47" s="1828">
        <f>BD46/$BE$46</f>
        <v>0.24374999999999999</v>
      </c>
      <c r="BE47" s="2908">
        <f>BE46/$BE$46</f>
        <v>1</v>
      </c>
      <c r="BF47" s="2910">
        <f>BF46/$BJ$46</f>
        <v>0.30246913580246915</v>
      </c>
      <c r="BG47" s="1828">
        <f>BG46/$BJ$46</f>
        <v>1.8518518518518517E-2</v>
      </c>
      <c r="BH47" s="1828">
        <f>BH46/$BJ$46</f>
        <v>0.43827160493827161</v>
      </c>
      <c r="BI47" s="1828">
        <f>BI46/$BJ$46</f>
        <v>0.24074074074074073</v>
      </c>
      <c r="BJ47" s="2908">
        <f t="shared" si="33"/>
        <v>1</v>
      </c>
      <c r="BK47" s="2910">
        <f>BK46/$BO$46</f>
        <v>0.29878048780487804</v>
      </c>
      <c r="BL47" s="1828">
        <f t="shared" ref="BL47:BN47" si="37">BL46/$BO$46</f>
        <v>1.8292682926829267E-2</v>
      </c>
      <c r="BM47" s="1828">
        <f t="shared" si="37"/>
        <v>0.45121951219512196</v>
      </c>
      <c r="BN47" s="1828">
        <f t="shared" si="37"/>
        <v>0.23170731707317074</v>
      </c>
      <c r="BO47" s="2908">
        <f t="shared" si="34"/>
        <v>1</v>
      </c>
    </row>
    <row r="48" spans="1:67" ht="15" x14ac:dyDescent="0.2">
      <c r="A48" s="6370"/>
      <c r="B48" s="6364" t="s">
        <v>12</v>
      </c>
      <c r="C48" s="2929">
        <v>316</v>
      </c>
      <c r="D48" s="2930">
        <v>16</v>
      </c>
      <c r="E48" s="2930">
        <v>374</v>
      </c>
      <c r="F48" s="2930">
        <v>229</v>
      </c>
      <c r="G48" s="2930">
        <v>935</v>
      </c>
      <c r="H48" s="2931">
        <v>312</v>
      </c>
      <c r="I48" s="2932">
        <v>14</v>
      </c>
      <c r="J48" s="2932">
        <v>356</v>
      </c>
      <c r="K48" s="2932">
        <v>246</v>
      </c>
      <c r="L48" s="2933">
        <v>928</v>
      </c>
      <c r="M48" s="2931">
        <v>244</v>
      </c>
      <c r="N48" s="2932">
        <v>16</v>
      </c>
      <c r="O48" s="2932">
        <v>372</v>
      </c>
      <c r="P48" s="2932">
        <v>263</v>
      </c>
      <c r="Q48" s="2933">
        <v>895</v>
      </c>
      <c r="R48" s="2931">
        <v>239</v>
      </c>
      <c r="S48" s="2932">
        <v>20</v>
      </c>
      <c r="T48" s="2932">
        <v>380</v>
      </c>
      <c r="U48" s="2932">
        <v>290</v>
      </c>
      <c r="V48" s="2933">
        <v>929</v>
      </c>
      <c r="W48" s="2931">
        <v>225</v>
      </c>
      <c r="X48" s="2932">
        <v>19</v>
      </c>
      <c r="Y48" s="2932">
        <v>367</v>
      </c>
      <c r="Z48" s="2932">
        <v>285</v>
      </c>
      <c r="AA48" s="2933">
        <v>896</v>
      </c>
      <c r="AB48" s="2931">
        <v>211</v>
      </c>
      <c r="AC48" s="2932">
        <v>18</v>
      </c>
      <c r="AD48" s="2932">
        <v>357</v>
      </c>
      <c r="AE48" s="2932">
        <v>335</v>
      </c>
      <c r="AF48" s="2933">
        <v>921</v>
      </c>
      <c r="AG48" s="2931">
        <v>191</v>
      </c>
      <c r="AH48" s="2932">
        <v>18</v>
      </c>
      <c r="AI48" s="2932">
        <v>333</v>
      </c>
      <c r="AJ48" s="2932">
        <v>342</v>
      </c>
      <c r="AK48" s="2933">
        <v>884</v>
      </c>
      <c r="AL48" s="2931">
        <v>187.34704562453251</v>
      </c>
      <c r="AM48" s="2932">
        <v>18.044267968967691</v>
      </c>
      <c r="AN48" s="2932">
        <v>338.75359672664871</v>
      </c>
      <c r="AO48" s="2932">
        <v>348.85508967985101</v>
      </c>
      <c r="AP48" s="2933">
        <v>893</v>
      </c>
      <c r="AQ48" s="2931">
        <v>184.334050300142</v>
      </c>
      <c r="AR48" s="2932">
        <v>27.068407068449243</v>
      </c>
      <c r="AS48" s="2932">
        <v>325.69223145375565</v>
      </c>
      <c r="AT48" s="2932">
        <v>375.90531117765318</v>
      </c>
      <c r="AU48" s="2933">
        <v>913</v>
      </c>
      <c r="AV48" s="2931">
        <v>179.32315217391306</v>
      </c>
      <c r="AW48" s="2932">
        <v>16.034891304347823</v>
      </c>
      <c r="AX48" s="2932">
        <v>333.69684782608698</v>
      </c>
      <c r="AY48" s="2932">
        <v>398.94510869565221</v>
      </c>
      <c r="AZ48" s="2933">
        <v>928</v>
      </c>
      <c r="BA48" s="2931">
        <f t="shared" ref="BA48:BJ48" si="38">SUM(BA42,BA44,BA46)</f>
        <v>166</v>
      </c>
      <c r="BB48" s="2932">
        <f t="shared" si="38"/>
        <v>17</v>
      </c>
      <c r="BC48" s="2932">
        <f t="shared" si="38"/>
        <v>337</v>
      </c>
      <c r="BD48" s="2932">
        <f t="shared" si="38"/>
        <v>427</v>
      </c>
      <c r="BE48" s="2933">
        <f t="shared" si="38"/>
        <v>947</v>
      </c>
      <c r="BF48" s="2931">
        <f t="shared" si="38"/>
        <v>166</v>
      </c>
      <c r="BG48" s="2932">
        <f t="shared" si="38"/>
        <v>18</v>
      </c>
      <c r="BH48" s="2932">
        <f t="shared" si="38"/>
        <v>342</v>
      </c>
      <c r="BI48" s="2932">
        <f t="shared" si="38"/>
        <v>435</v>
      </c>
      <c r="BJ48" s="2933">
        <f t="shared" si="38"/>
        <v>961</v>
      </c>
      <c r="BK48" s="2931">
        <f t="shared" ref="BK48:BO48" si="39">SUM(BK42,BK44,BK46)</f>
        <v>166</v>
      </c>
      <c r="BL48" s="2932">
        <f t="shared" si="39"/>
        <v>18</v>
      </c>
      <c r="BM48" s="2932">
        <f t="shared" si="39"/>
        <v>350</v>
      </c>
      <c r="BN48" s="2932">
        <f t="shared" si="39"/>
        <v>436</v>
      </c>
      <c r="BO48" s="2933">
        <f t="shared" si="39"/>
        <v>970</v>
      </c>
    </row>
    <row r="49" spans="1:67" x14ac:dyDescent="0.2">
      <c r="A49" s="6371"/>
      <c r="B49" s="6368"/>
      <c r="C49" s="2925">
        <v>0.33796791443850266</v>
      </c>
      <c r="D49" s="2926">
        <v>1.7112299465240642E-2</v>
      </c>
      <c r="E49" s="2926">
        <v>0.4</v>
      </c>
      <c r="F49" s="2926">
        <v>0.2449197860962567</v>
      </c>
      <c r="G49" s="2927">
        <v>1</v>
      </c>
      <c r="H49" s="2925">
        <v>0.33620689655172414</v>
      </c>
      <c r="I49" s="2926">
        <v>1.5086206896551725E-2</v>
      </c>
      <c r="J49" s="2926">
        <v>0.38362068965517243</v>
      </c>
      <c r="K49" s="2926">
        <v>0.26508620689655171</v>
      </c>
      <c r="L49" s="2927">
        <v>1</v>
      </c>
      <c r="M49" s="2925">
        <v>0.27262569832402234</v>
      </c>
      <c r="N49" s="2926">
        <v>1.7877094972067038E-2</v>
      </c>
      <c r="O49" s="2926">
        <v>0.41564245810055866</v>
      </c>
      <c r="P49" s="2926">
        <v>0.29385474860335198</v>
      </c>
      <c r="Q49" s="2927">
        <v>1</v>
      </c>
      <c r="R49" s="2925">
        <v>0.2572658772874058</v>
      </c>
      <c r="S49" s="2926">
        <v>2.1528525296017224E-2</v>
      </c>
      <c r="T49" s="2926">
        <v>0.40904198062432723</v>
      </c>
      <c r="U49" s="2926">
        <v>0.31216361679224974</v>
      </c>
      <c r="V49" s="2927">
        <v>1</v>
      </c>
      <c r="W49" s="2925">
        <v>0.25111607142857145</v>
      </c>
      <c r="X49" s="2926">
        <v>2.1205357142857144E-2</v>
      </c>
      <c r="Y49" s="2926">
        <v>0.4095982142857143</v>
      </c>
      <c r="Z49" s="2926">
        <v>0.31808035714285715</v>
      </c>
      <c r="AA49" s="2927">
        <v>1</v>
      </c>
      <c r="AB49" s="2925">
        <v>0.22909880564603691</v>
      </c>
      <c r="AC49" s="2926">
        <v>1.9543973941368076E-2</v>
      </c>
      <c r="AD49" s="2926">
        <v>0.38762214983713356</v>
      </c>
      <c r="AE49" s="2926">
        <v>0.36373507057546145</v>
      </c>
      <c r="AF49" s="2927">
        <v>1</v>
      </c>
      <c r="AG49" s="2925">
        <v>0.2160633484162896</v>
      </c>
      <c r="AH49" s="2926">
        <v>2.0361990950226245E-2</v>
      </c>
      <c r="AI49" s="2926">
        <v>0.37669683257918551</v>
      </c>
      <c r="AJ49" s="2926">
        <v>0.38687782805429866</v>
      </c>
      <c r="AK49" s="2927">
        <v>1</v>
      </c>
      <c r="AL49" s="2925">
        <v>0.20979512387965568</v>
      </c>
      <c r="AM49" s="2926">
        <v>2.0206347109706261E-2</v>
      </c>
      <c r="AN49" s="2926">
        <v>0.37934333340050247</v>
      </c>
      <c r="AO49" s="2926">
        <v>0.39065519561013551</v>
      </c>
      <c r="AP49" s="2927">
        <v>1</v>
      </c>
      <c r="AQ49" s="2925">
        <v>0.20189928839007887</v>
      </c>
      <c r="AR49" s="2926">
        <v>2.9647762396987121E-2</v>
      </c>
      <c r="AS49" s="2926">
        <v>0.35672752623631504</v>
      </c>
      <c r="AT49" s="2926">
        <v>0.41172542297661902</v>
      </c>
      <c r="AU49" s="2927">
        <v>1</v>
      </c>
      <c r="AV49" s="2925">
        <v>0.19323615535982011</v>
      </c>
      <c r="AW49" s="2926">
        <v>1.7278977698650673E-2</v>
      </c>
      <c r="AX49" s="2926">
        <v>0.35958712050224889</v>
      </c>
      <c r="AY49" s="2926">
        <v>0.42989774643928041</v>
      </c>
      <c r="AZ49" s="2927">
        <v>1</v>
      </c>
      <c r="BA49" s="1429">
        <f>BA48/$BE$48</f>
        <v>0.17529039070749736</v>
      </c>
      <c r="BB49" s="1428">
        <f>BB48/$BE$48</f>
        <v>1.7951425554382259E-2</v>
      </c>
      <c r="BC49" s="1428">
        <f>BC48/$BE$48</f>
        <v>0.35586061246040129</v>
      </c>
      <c r="BD49" s="1428">
        <f>BD48/$BE$48</f>
        <v>0.45089757127771912</v>
      </c>
      <c r="BE49" s="2928">
        <f>BE48/$BE$48</f>
        <v>1</v>
      </c>
      <c r="BF49" s="1429">
        <f>BF48/$BJ$48</f>
        <v>0.17273673257023933</v>
      </c>
      <c r="BG49" s="1428">
        <f>BG48/$BJ$48</f>
        <v>1.8730489073881373E-2</v>
      </c>
      <c r="BH49" s="1428">
        <f>BH48/$BJ$48</f>
        <v>0.35587929240374611</v>
      </c>
      <c r="BI49" s="1428">
        <f>BI48/$BJ$48</f>
        <v>0.45265348595213317</v>
      </c>
      <c r="BJ49" s="2928">
        <f>SUM(BF49:BI49)</f>
        <v>1</v>
      </c>
      <c r="BK49" s="1429">
        <f>BK48/$BO$48</f>
        <v>0.1711340206185567</v>
      </c>
      <c r="BL49" s="1428">
        <f t="shared" ref="BL49:BN49" si="40">BL48/$BO$48</f>
        <v>1.8556701030927835E-2</v>
      </c>
      <c r="BM49" s="1428">
        <f t="shared" si="40"/>
        <v>0.36082474226804123</v>
      </c>
      <c r="BN49" s="1428">
        <f t="shared" si="40"/>
        <v>0.44948453608247424</v>
      </c>
      <c r="BO49" s="2928">
        <f>SUM(BK49:BN49)</f>
        <v>1</v>
      </c>
    </row>
    <row r="50" spans="1:67" ht="15" x14ac:dyDescent="0.2">
      <c r="A50" s="1410"/>
      <c r="B50" s="1410"/>
      <c r="C50" s="1410"/>
      <c r="D50" s="1410"/>
      <c r="E50" s="1410"/>
      <c r="F50" s="1410"/>
      <c r="G50" s="1410"/>
      <c r="H50" s="1410"/>
      <c r="I50" s="1410"/>
      <c r="J50" s="1410"/>
      <c r="K50" s="1410"/>
      <c r="L50" s="1410"/>
      <c r="M50" s="1410"/>
      <c r="N50" s="1410"/>
      <c r="O50" s="1410"/>
      <c r="P50" s="1410"/>
      <c r="Q50" s="1410"/>
      <c r="R50" s="1410"/>
      <c r="S50" s="1410"/>
      <c r="T50" s="1410"/>
      <c r="U50" s="1410"/>
      <c r="V50" s="1410"/>
      <c r="W50" s="1410"/>
      <c r="X50" s="1410"/>
      <c r="Y50" s="1410"/>
      <c r="Z50" s="1410"/>
      <c r="AA50" s="1410"/>
      <c r="AB50" s="1410"/>
      <c r="AC50" s="1410"/>
      <c r="AD50" s="1410"/>
      <c r="AE50" s="1410"/>
      <c r="AF50" s="1410"/>
      <c r="AG50" s="1410"/>
      <c r="AH50" s="1410"/>
      <c r="AI50" s="1410"/>
      <c r="AJ50" s="1410"/>
      <c r="AK50" s="1410"/>
      <c r="AL50" s="1410"/>
      <c r="AM50" s="1410"/>
      <c r="AN50" s="1410"/>
      <c r="AO50" s="1410"/>
      <c r="AP50" s="1410"/>
      <c r="AQ50" s="1410"/>
      <c r="AR50" s="1410"/>
      <c r="AS50" s="1410"/>
      <c r="AT50" s="1410"/>
      <c r="AU50" s="1410"/>
      <c r="AV50" s="1410"/>
      <c r="AW50" s="1410"/>
      <c r="AX50" s="1410"/>
      <c r="AY50" s="1410"/>
      <c r="AZ50" s="1410"/>
      <c r="BA50" s="1410"/>
      <c r="BB50" s="1410"/>
      <c r="BC50" s="1410"/>
      <c r="BD50" s="1410"/>
      <c r="BE50" s="1410"/>
      <c r="BF50" s="1410"/>
      <c r="BG50" s="1410"/>
      <c r="BH50" s="1410"/>
      <c r="BI50" s="1410"/>
      <c r="BJ50" s="1410"/>
      <c r="BK50" s="1410"/>
      <c r="BL50" s="1410"/>
      <c r="BM50" s="1410"/>
      <c r="BN50" s="1410"/>
      <c r="BO50" s="1410"/>
    </row>
    <row r="51" spans="1:67" ht="15" x14ac:dyDescent="0.2">
      <c r="A51" s="6354" t="s">
        <v>76</v>
      </c>
      <c r="B51" s="6355"/>
      <c r="C51" s="2920">
        <v>765</v>
      </c>
      <c r="D51" s="2921">
        <v>48</v>
      </c>
      <c r="E51" s="2921">
        <v>931</v>
      </c>
      <c r="F51" s="2921">
        <v>875</v>
      </c>
      <c r="G51" s="2921">
        <v>2619</v>
      </c>
      <c r="H51" s="2922">
        <v>756</v>
      </c>
      <c r="I51" s="2923">
        <v>44</v>
      </c>
      <c r="J51" s="2923">
        <v>889</v>
      </c>
      <c r="K51" s="2923">
        <v>938</v>
      </c>
      <c r="L51" s="2924">
        <v>2627</v>
      </c>
      <c r="M51" s="2922">
        <v>593</v>
      </c>
      <c r="N51" s="2923">
        <v>50</v>
      </c>
      <c r="O51" s="2923">
        <v>929</v>
      </c>
      <c r="P51" s="2923">
        <v>1033</v>
      </c>
      <c r="Q51" s="2924">
        <v>2605</v>
      </c>
      <c r="R51" s="2922">
        <v>574</v>
      </c>
      <c r="S51" s="2923">
        <v>50</v>
      </c>
      <c r="T51" s="2923">
        <v>941</v>
      </c>
      <c r="U51" s="2923">
        <v>1110</v>
      </c>
      <c r="V51" s="2924">
        <v>2675</v>
      </c>
      <c r="W51" s="2922">
        <v>520</v>
      </c>
      <c r="X51" s="2923">
        <v>46</v>
      </c>
      <c r="Y51" s="2923">
        <v>921</v>
      </c>
      <c r="Z51" s="2923">
        <v>1162</v>
      </c>
      <c r="AA51" s="2924">
        <v>2649</v>
      </c>
      <c r="AB51" s="2922">
        <v>493</v>
      </c>
      <c r="AC51" s="2923">
        <v>44</v>
      </c>
      <c r="AD51" s="2923">
        <v>908</v>
      </c>
      <c r="AE51" s="2923">
        <v>1251</v>
      </c>
      <c r="AF51" s="2924">
        <v>2696</v>
      </c>
      <c r="AG51" s="2922">
        <v>462</v>
      </c>
      <c r="AH51" s="2923">
        <v>45</v>
      </c>
      <c r="AI51" s="2923">
        <v>881</v>
      </c>
      <c r="AJ51" s="2923">
        <v>1310</v>
      </c>
      <c r="AK51" s="2924">
        <v>2698</v>
      </c>
      <c r="AL51" s="2922">
        <v>457.97651599831556</v>
      </c>
      <c r="AM51" s="2923">
        <v>45.080647743027967</v>
      </c>
      <c r="AN51" s="2923">
        <v>893.28036333951491</v>
      </c>
      <c r="AO51" s="2923">
        <v>1375.6624729191415</v>
      </c>
      <c r="AP51" s="2924">
        <v>2772</v>
      </c>
      <c r="AQ51" s="2922">
        <v>449.94429858906022</v>
      </c>
      <c r="AR51" s="2923">
        <v>50.098373464764663</v>
      </c>
      <c r="AS51" s="2923">
        <v>867.16779335556282</v>
      </c>
      <c r="AT51" s="2923">
        <v>1472.9253937563224</v>
      </c>
      <c r="AU51" s="2924">
        <v>2839</v>
      </c>
      <c r="AV51" s="2922">
        <v>422.88888276951099</v>
      </c>
      <c r="AW51" s="2923">
        <v>41.078331621845045</v>
      </c>
      <c r="AX51" s="2923">
        <v>882.09058502097491</v>
      </c>
      <c r="AY51" s="2923">
        <v>1566.9422005876688</v>
      </c>
      <c r="AZ51" s="2924">
        <v>2913</v>
      </c>
      <c r="BA51" s="2922">
        <f t="shared" ref="BA51:BJ51" si="41">SUM(BA12,BA21,BA30,BA39,BA48)</f>
        <v>396</v>
      </c>
      <c r="BB51" s="2923">
        <f t="shared" si="41"/>
        <v>38</v>
      </c>
      <c r="BC51" s="2923">
        <f t="shared" si="41"/>
        <v>895</v>
      </c>
      <c r="BD51" s="2923">
        <f t="shared" si="41"/>
        <v>1682</v>
      </c>
      <c r="BE51" s="2924">
        <f t="shared" si="41"/>
        <v>3011</v>
      </c>
      <c r="BF51" s="2922">
        <f t="shared" si="41"/>
        <v>397</v>
      </c>
      <c r="BG51" s="2923">
        <f t="shared" si="41"/>
        <v>39</v>
      </c>
      <c r="BH51" s="2923">
        <f t="shared" si="41"/>
        <v>911</v>
      </c>
      <c r="BI51" s="2923">
        <f t="shared" si="41"/>
        <v>1728</v>
      </c>
      <c r="BJ51" s="2924">
        <f t="shared" si="41"/>
        <v>3075</v>
      </c>
      <c r="BK51" s="2922">
        <f t="shared" ref="BK51:BO51" si="42">SUM(BK12,BK21,BK30,BK39,BK48)</f>
        <v>394</v>
      </c>
      <c r="BL51" s="2923">
        <f t="shared" si="42"/>
        <v>39</v>
      </c>
      <c r="BM51" s="2923">
        <f t="shared" si="42"/>
        <v>938</v>
      </c>
      <c r="BN51" s="2923">
        <f t="shared" si="42"/>
        <v>1767</v>
      </c>
      <c r="BO51" s="2924">
        <f t="shared" si="42"/>
        <v>3138</v>
      </c>
    </row>
    <row r="52" spans="1:67" s="1419" customFormat="1" ht="15" x14ac:dyDescent="0.25">
      <c r="A52" s="6356"/>
      <c r="B52" s="6357"/>
      <c r="C52" s="2925">
        <v>0.29209621993127149</v>
      </c>
      <c r="D52" s="2926">
        <v>1.8327605956471937E-2</v>
      </c>
      <c r="E52" s="2926">
        <v>0.3554791905307369</v>
      </c>
      <c r="F52" s="2926">
        <v>0.33409698358151968</v>
      </c>
      <c r="G52" s="2927">
        <v>1</v>
      </c>
      <c r="H52" s="2925">
        <v>0.28778073848496383</v>
      </c>
      <c r="I52" s="2926">
        <v>1.6749143509706889E-2</v>
      </c>
      <c r="J52" s="2926">
        <v>0.33840883136657784</v>
      </c>
      <c r="K52" s="2926">
        <v>0.35706128663875142</v>
      </c>
      <c r="L52" s="2927">
        <v>1</v>
      </c>
      <c r="M52" s="2925">
        <v>0.22763915547024952</v>
      </c>
      <c r="N52" s="2926">
        <v>1.9193857965451054E-2</v>
      </c>
      <c r="O52" s="2926">
        <v>0.35662188099808062</v>
      </c>
      <c r="P52" s="2926">
        <v>0.3965451055662188</v>
      </c>
      <c r="Q52" s="2927">
        <v>1</v>
      </c>
      <c r="R52" s="2925">
        <v>0.21457943925233644</v>
      </c>
      <c r="S52" s="2926">
        <v>1.8691588785046728E-2</v>
      </c>
      <c r="T52" s="2926">
        <v>0.35177570093457944</v>
      </c>
      <c r="U52" s="2926">
        <v>0.41495327102803736</v>
      </c>
      <c r="V52" s="2927">
        <v>1</v>
      </c>
      <c r="W52" s="2925">
        <v>0.19630049075122688</v>
      </c>
      <c r="X52" s="2926">
        <v>1.7365043412608531E-2</v>
      </c>
      <c r="Y52" s="2926">
        <v>0.34767836919592299</v>
      </c>
      <c r="Z52" s="2926">
        <v>0.43865609664024158</v>
      </c>
      <c r="AA52" s="2927">
        <v>1</v>
      </c>
      <c r="AB52" s="2925">
        <v>0.18286350148367952</v>
      </c>
      <c r="AC52" s="2926">
        <v>1.6320474777448073E-2</v>
      </c>
      <c r="AD52" s="2926">
        <v>0.33679525222551931</v>
      </c>
      <c r="AE52" s="2926">
        <v>0.46402077151335314</v>
      </c>
      <c r="AF52" s="2927">
        <v>1</v>
      </c>
      <c r="AG52" s="2925">
        <v>0.17123795404002964</v>
      </c>
      <c r="AH52" s="2926">
        <v>1.6679021497405487E-2</v>
      </c>
      <c r="AI52" s="2926">
        <v>0.32653817642698296</v>
      </c>
      <c r="AJ52" s="2926">
        <v>0.4855448480355819</v>
      </c>
      <c r="AK52" s="2934">
        <v>1</v>
      </c>
      <c r="AL52" s="2925">
        <v>0.16521519336158569</v>
      </c>
      <c r="AM52" s="2926">
        <v>1.6262859936157274E-2</v>
      </c>
      <c r="AN52" s="2926">
        <v>0.32225121332594331</v>
      </c>
      <c r="AO52" s="2926">
        <v>0.49627073337631367</v>
      </c>
      <c r="AP52" s="2934">
        <v>1</v>
      </c>
      <c r="AQ52" s="2925">
        <v>0.15848689629766122</v>
      </c>
      <c r="AR52" s="2926">
        <v>1.7646485898120699E-2</v>
      </c>
      <c r="AS52" s="2926">
        <v>0.30544832453524579</v>
      </c>
      <c r="AT52" s="2926">
        <v>0.51881838455664753</v>
      </c>
      <c r="AU52" s="2927">
        <v>1</v>
      </c>
      <c r="AV52" s="2925">
        <v>0.14517297726382114</v>
      </c>
      <c r="AW52" s="2926">
        <v>1.4101727298951268E-2</v>
      </c>
      <c r="AX52" s="2926">
        <v>0.30281173533160827</v>
      </c>
      <c r="AY52" s="2926">
        <v>0.53791356010561919</v>
      </c>
      <c r="AZ52" s="2927">
        <v>1</v>
      </c>
      <c r="BA52" s="2925">
        <f>BA51/$BE$51</f>
        <v>0.1315177681833278</v>
      </c>
      <c r="BB52" s="2926">
        <f>BB51/$BE$51</f>
        <v>1.2620391896379941E-2</v>
      </c>
      <c r="BC52" s="2926">
        <f>BC51/$BE$51</f>
        <v>0.29724344071736963</v>
      </c>
      <c r="BD52" s="2926">
        <f>BD51/$BE$51</f>
        <v>0.55861839920292267</v>
      </c>
      <c r="BE52" s="2927">
        <f>BE51/$BE$51</f>
        <v>1</v>
      </c>
      <c r="BF52" s="2925">
        <f>BF51/$BJ$51</f>
        <v>0.12910569105691058</v>
      </c>
      <c r="BG52" s="2926">
        <f>BG51/$BJ$51</f>
        <v>1.2682926829268294E-2</v>
      </c>
      <c r="BH52" s="2926">
        <f>BH51/$BJ$51</f>
        <v>0.29626016260162602</v>
      </c>
      <c r="BI52" s="2926">
        <f>BI51/$BJ$51</f>
        <v>0.56195121951219518</v>
      </c>
      <c r="BJ52" s="2927">
        <f>SUM(BF52:BI52)</f>
        <v>1</v>
      </c>
      <c r="BK52" s="2925">
        <f>BK51/$BO$51</f>
        <v>0.12555768005098789</v>
      </c>
      <c r="BL52" s="2926">
        <f t="shared" ref="BL52:BN52" si="43">BL51/$BO$51</f>
        <v>1.24282982791587E-2</v>
      </c>
      <c r="BM52" s="2926">
        <f t="shared" si="43"/>
        <v>0.29891650732950925</v>
      </c>
      <c r="BN52" s="2926">
        <f t="shared" si="43"/>
        <v>0.56309751434034416</v>
      </c>
      <c r="BO52" s="2927">
        <f>SUM(BK52:BN52)</f>
        <v>1</v>
      </c>
    </row>
    <row r="53" spans="1:67" x14ac:dyDescent="0.2">
      <c r="C53" s="4175" t="s">
        <v>1374</v>
      </c>
      <c r="E53" s="4173">
        <f t="shared" ref="E53:AI53" si="44">SUM(D52:E52)</f>
        <v>0.37380679648720883</v>
      </c>
      <c r="F53" s="4173"/>
      <c r="G53" s="4173"/>
      <c r="H53" s="4173"/>
      <c r="I53" s="4173"/>
      <c r="J53" s="4173">
        <f t="shared" si="44"/>
        <v>0.35515797487628475</v>
      </c>
      <c r="K53" s="4173"/>
      <c r="L53" s="4173"/>
      <c r="M53" s="4173"/>
      <c r="N53" s="4173"/>
      <c r="O53" s="4173">
        <f t="shared" si="44"/>
        <v>0.37581573896353165</v>
      </c>
      <c r="P53" s="4173"/>
      <c r="Q53" s="4173"/>
      <c r="R53" s="4173"/>
      <c r="S53" s="4173"/>
      <c r="T53" s="4173">
        <f t="shared" si="44"/>
        <v>0.37046728971962617</v>
      </c>
      <c r="U53" s="4173"/>
      <c r="V53" s="4173"/>
      <c r="W53" s="4173"/>
      <c r="X53" s="4173"/>
      <c r="Y53" s="4173">
        <f t="shared" si="44"/>
        <v>0.36504341260853151</v>
      </c>
      <c r="Z53" s="4173"/>
      <c r="AA53" s="4173"/>
      <c r="AB53" s="4173"/>
      <c r="AC53" s="4173"/>
      <c r="AD53" s="4173">
        <f t="shared" si="44"/>
        <v>0.35311572700296739</v>
      </c>
      <c r="AE53" s="4173"/>
      <c r="AF53" s="4173"/>
      <c r="AG53" s="4173"/>
      <c r="AH53" s="4173"/>
      <c r="AI53" s="4173">
        <f t="shared" si="44"/>
        <v>0.34321719792438843</v>
      </c>
      <c r="AJ53" s="4173"/>
      <c r="AK53" s="4173"/>
      <c r="AL53" s="4173"/>
      <c r="AM53" s="4173"/>
      <c r="AN53" s="4173">
        <f>SUM(AM52:AN52)</f>
        <v>0.33851407326210059</v>
      </c>
      <c r="AO53" s="4174"/>
      <c r="AP53" s="4175"/>
      <c r="AQ53" s="4176"/>
      <c r="AR53" s="4176"/>
      <c r="AS53" s="4173">
        <f>SUM(AR52:AS52)</f>
        <v>0.32309481043336646</v>
      </c>
      <c r="AT53" s="4174"/>
      <c r="AU53" s="4177"/>
      <c r="AV53" s="4175"/>
      <c r="AW53" s="4175"/>
      <c r="AX53" s="4173">
        <f>SUM(AW52:AX52)</f>
        <v>0.31691346263055953</v>
      </c>
      <c r="AY53" s="4175"/>
      <c r="AZ53" s="4175"/>
      <c r="BA53" s="4175"/>
      <c r="BB53" s="4175"/>
      <c r="BC53" s="4173">
        <f>SUM(BB52:BC52)</f>
        <v>0.30986383261374956</v>
      </c>
      <c r="BD53" s="4175"/>
      <c r="BE53" s="4175"/>
      <c r="BF53" s="4175"/>
      <c r="BG53" s="4175"/>
      <c r="BH53" s="4173">
        <f>SUM(BG52:BH52)</f>
        <v>0.30894308943089432</v>
      </c>
      <c r="BM53" s="4173">
        <f>SUM(BL52:BM52)</f>
        <v>0.31134480560866795</v>
      </c>
    </row>
    <row r="54" spans="1:67" x14ac:dyDescent="0.2">
      <c r="A54" s="6353" t="s">
        <v>354</v>
      </c>
      <c r="B54" s="6353"/>
      <c r="C54" s="6353"/>
      <c r="R54" s="452"/>
      <c r="S54" s="452"/>
      <c r="T54" s="452"/>
      <c r="U54" s="1420"/>
      <c r="W54" s="452"/>
      <c r="X54" s="452"/>
      <c r="Y54" s="452"/>
      <c r="Z54" s="1420"/>
      <c r="AB54" s="452"/>
      <c r="AC54" s="452"/>
      <c r="AD54" s="452"/>
      <c r="AE54" s="1420"/>
      <c r="AG54" s="452"/>
      <c r="AH54" s="452"/>
      <c r="AI54" s="452"/>
      <c r="AJ54" s="1420"/>
      <c r="AL54" s="452"/>
      <c r="AM54" s="452"/>
      <c r="BM54" s="4173"/>
    </row>
    <row r="55" spans="1:67" x14ac:dyDescent="0.2">
      <c r="A55" s="1421"/>
      <c r="B55" s="952"/>
      <c r="AU55" s="1422"/>
    </row>
    <row r="56" spans="1:67" x14ac:dyDescent="0.2">
      <c r="A56" s="1421"/>
      <c r="B56" s="952"/>
      <c r="R56" s="450"/>
      <c r="S56" s="450"/>
      <c r="T56" s="450"/>
      <c r="U56" s="450"/>
      <c r="V56" s="450"/>
      <c r="W56" s="450"/>
      <c r="X56" s="450"/>
      <c r="Y56" s="450"/>
      <c r="Z56" s="450"/>
      <c r="AA56" s="450"/>
      <c r="AB56" s="450"/>
      <c r="AC56" s="450"/>
      <c r="AD56" s="450"/>
      <c r="AE56" s="450"/>
      <c r="AF56" s="450"/>
      <c r="AG56" s="450"/>
      <c r="AH56" s="450"/>
      <c r="AI56" s="450"/>
      <c r="AJ56" s="450"/>
      <c r="AK56" s="450"/>
      <c r="AL56" s="450"/>
      <c r="AM56" s="450"/>
      <c r="AN56" s="450"/>
      <c r="AO56" s="450"/>
      <c r="AQ56" s="450"/>
      <c r="AR56" s="450"/>
      <c r="AS56" s="450"/>
      <c r="AT56" s="450"/>
      <c r="AU56" s="1423"/>
    </row>
    <row r="57" spans="1:67" x14ac:dyDescent="0.2">
      <c r="A57" s="1421"/>
      <c r="B57" s="952"/>
      <c r="AN57" s="1424"/>
    </row>
    <row r="59" spans="1:67" ht="15" x14ac:dyDescent="0.25">
      <c r="A59" s="1425"/>
    </row>
    <row r="63" spans="1:67" x14ac:dyDescent="0.2">
      <c r="BA63" s="4380">
        <v>2003</v>
      </c>
    </row>
    <row r="64" spans="1:67" x14ac:dyDescent="0.2">
      <c r="BA64" s="4380">
        <v>2004</v>
      </c>
    </row>
    <row r="65" spans="53:53" x14ac:dyDescent="0.2">
      <c r="BA65" s="4380">
        <v>2005</v>
      </c>
    </row>
    <row r="66" spans="53:53" x14ac:dyDescent="0.2">
      <c r="BA66" s="4380">
        <v>2006</v>
      </c>
    </row>
    <row r="67" spans="53:53" x14ac:dyDescent="0.2">
      <c r="BA67" s="4380">
        <v>2007</v>
      </c>
    </row>
    <row r="68" spans="53:53" x14ac:dyDescent="0.2">
      <c r="BA68" s="4380">
        <v>2008</v>
      </c>
    </row>
    <row r="69" spans="53:53" x14ac:dyDescent="0.2">
      <c r="BA69" s="4380">
        <v>2009</v>
      </c>
    </row>
    <row r="70" spans="53:53" x14ac:dyDescent="0.2">
      <c r="BA70" s="4380">
        <v>2010</v>
      </c>
    </row>
    <row r="71" spans="53:53" x14ac:dyDescent="0.2">
      <c r="BA71" s="4380">
        <v>2011</v>
      </c>
    </row>
    <row r="72" spans="53:53" x14ac:dyDescent="0.2">
      <c r="BA72" s="4380">
        <v>2012</v>
      </c>
    </row>
    <row r="73" spans="53:53" x14ac:dyDescent="0.2">
      <c r="BA73" s="4380">
        <v>2013</v>
      </c>
    </row>
    <row r="74" spans="53:53" x14ac:dyDescent="0.2">
      <c r="BA74" s="4380">
        <v>2014</v>
      </c>
    </row>
    <row r="75" spans="53:53" x14ac:dyDescent="0.2">
      <c r="BA75" s="4380">
        <v>2015</v>
      </c>
    </row>
  </sheetData>
  <mergeCells count="37">
    <mergeCell ref="BK3:BO3"/>
    <mergeCell ref="A42:A49"/>
    <mergeCell ref="B48:B49"/>
    <mergeCell ref="B42:B43"/>
    <mergeCell ref="B44:B45"/>
    <mergeCell ref="B46:B47"/>
    <mergeCell ref="A33:A40"/>
    <mergeCell ref="B39:B40"/>
    <mergeCell ref="B33:B34"/>
    <mergeCell ref="B35:B36"/>
    <mergeCell ref="B37:B38"/>
    <mergeCell ref="A24:A31"/>
    <mergeCell ref="B30:B31"/>
    <mergeCell ref="B24:B25"/>
    <mergeCell ref="B26:B27"/>
    <mergeCell ref="B28:B29"/>
    <mergeCell ref="A15:A22"/>
    <mergeCell ref="B21:B22"/>
    <mergeCell ref="B15:B16"/>
    <mergeCell ref="B17:B18"/>
    <mergeCell ref="B19:B20"/>
    <mergeCell ref="A1:B1"/>
    <mergeCell ref="BF3:BJ3"/>
    <mergeCell ref="A54:C54"/>
    <mergeCell ref="BA3:BE3"/>
    <mergeCell ref="A51:B52"/>
    <mergeCell ref="A3:A4"/>
    <mergeCell ref="B3:B4"/>
    <mergeCell ref="C3:G3"/>
    <mergeCell ref="AL3:AP3"/>
    <mergeCell ref="AQ3:AU3"/>
    <mergeCell ref="AV3:AZ3"/>
    <mergeCell ref="A6:A13"/>
    <mergeCell ref="B12:B13"/>
    <mergeCell ref="B6:B7"/>
    <mergeCell ref="B8:B9"/>
    <mergeCell ref="B10:B11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scale="45" pageOrder="overThenDown" orientation="landscape" r:id="rId1"/>
  <rowBreaks count="1" manualBreakCount="1">
    <brk id="54" max="61" man="1"/>
  </rowBreaks>
  <colBreaks count="2" manualBreakCount="2">
    <brk id="27" max="115" man="1"/>
    <brk id="52" max="115" man="1"/>
  </colBreaks>
  <ignoredErrors>
    <ignoredError sqref="BE6 BE15 BE24 BE28 BE42 BE46" formulaRange="1"/>
    <ignoredError sqref="BE10 BE8 BE16:BE19 BE26 BE44" formula="1" formulaRange="1"/>
    <ignoredError sqref="BE7 BE9 BE11 BE20 BE25 BE27 BE43 BE45 BE39 BJ12 BJ30 BJ39 BJ48 BO21:BO30 BO12 BO39 BO48" formula="1"/>
  </ignoredErrors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  <pageSetUpPr fitToPage="1"/>
  </sheetPr>
  <dimension ref="A1:O159"/>
  <sheetViews>
    <sheetView showGridLines="0" zoomScaleNormal="100" workbookViewId="0">
      <pane xSplit="2" ySplit="4" topLeftCell="C5" activePane="bottomRight" state="frozen"/>
      <selection pane="topRight" activeCell="C1" sqref="C1"/>
      <selection pane="bottomLeft" activeCell="A6" sqref="A6"/>
      <selection pane="bottomRight" activeCell="Q25" sqref="Q25"/>
    </sheetView>
  </sheetViews>
  <sheetFormatPr baseColWidth="10" defaultRowHeight="12.75" x14ac:dyDescent="0.2"/>
  <cols>
    <col min="1" max="1" width="17.140625" customWidth="1"/>
    <col min="3" max="7" width="11.42578125" customWidth="1"/>
    <col min="9" max="9" width="11.42578125" hidden="1" customWidth="1"/>
  </cols>
  <sheetData>
    <row r="1" spans="1:15" ht="15.75" x14ac:dyDescent="0.25">
      <c r="A1" s="1025" t="s">
        <v>626</v>
      </c>
      <c r="C1" s="960"/>
      <c r="D1" s="960"/>
      <c r="E1" s="960"/>
      <c r="F1" s="960"/>
      <c r="G1" s="960"/>
      <c r="H1" s="960"/>
      <c r="I1" s="960"/>
      <c r="J1" s="960"/>
      <c r="K1" s="960"/>
      <c r="L1" s="960"/>
    </row>
    <row r="2" spans="1:15" ht="39" customHeight="1" x14ac:dyDescent="0.2">
      <c r="A2" s="6375" t="s">
        <v>785</v>
      </c>
      <c r="B2" s="6375"/>
      <c r="C2" s="6375"/>
      <c r="D2" s="6375"/>
      <c r="E2" s="6375"/>
      <c r="F2" s="6375"/>
      <c r="G2" s="6375"/>
      <c r="H2" s="6375"/>
      <c r="I2" s="6375"/>
      <c r="J2" s="6375"/>
      <c r="K2" s="6375"/>
      <c r="L2" s="6375"/>
      <c r="M2" s="6375"/>
    </row>
    <row r="3" spans="1:15" ht="23.25" customHeight="1" x14ac:dyDescent="0.2">
      <c r="A3" s="2327" t="s">
        <v>16</v>
      </c>
      <c r="B3" s="2327" t="s">
        <v>4</v>
      </c>
      <c r="C3" s="1644">
        <v>2004</v>
      </c>
      <c r="D3" s="1645">
        <v>2005</v>
      </c>
      <c r="E3" s="1646">
        <v>2006</v>
      </c>
      <c r="F3" s="1645">
        <v>2007</v>
      </c>
      <c r="G3" s="1645">
        <v>2008</v>
      </c>
      <c r="H3" s="1645">
        <v>2009</v>
      </c>
      <c r="I3" s="1647">
        <v>2009</v>
      </c>
      <c r="J3" s="1645">
        <v>2010</v>
      </c>
      <c r="K3" s="1645">
        <v>2011</v>
      </c>
      <c r="L3" s="1645">
        <v>2012</v>
      </c>
      <c r="M3" s="1645">
        <v>2013</v>
      </c>
      <c r="N3" s="1645">
        <v>2014</v>
      </c>
      <c r="O3" s="1645">
        <v>2015</v>
      </c>
    </row>
    <row r="4" spans="1:15" ht="15.75" x14ac:dyDescent="0.25">
      <c r="A4" s="455"/>
      <c r="B4" s="455"/>
      <c r="C4" s="456"/>
      <c r="D4" s="455"/>
      <c r="E4" s="455"/>
      <c r="F4" s="455"/>
      <c r="G4" s="455"/>
      <c r="H4" s="455"/>
      <c r="I4" s="714"/>
      <c r="J4" s="455"/>
      <c r="K4" s="455"/>
      <c r="L4" s="455"/>
      <c r="M4" s="455"/>
      <c r="N4" s="455"/>
      <c r="O4" s="455"/>
    </row>
    <row r="5" spans="1:15" ht="15" x14ac:dyDescent="0.25">
      <c r="A5" s="5656" t="s">
        <v>161</v>
      </c>
      <c r="B5" s="457" t="s">
        <v>5</v>
      </c>
      <c r="C5" s="458">
        <v>109</v>
      </c>
      <c r="D5" s="458">
        <v>113</v>
      </c>
      <c r="E5" s="458">
        <v>150</v>
      </c>
      <c r="F5" s="458">
        <v>147</v>
      </c>
      <c r="G5" s="458">
        <v>162</v>
      </c>
      <c r="H5" s="458">
        <v>182</v>
      </c>
      <c r="I5" s="715">
        <f>156</f>
        <v>156</v>
      </c>
      <c r="J5" s="458">
        <v>182</v>
      </c>
      <c r="K5" s="458">
        <v>167</v>
      </c>
      <c r="L5" s="458">
        <v>198</v>
      </c>
      <c r="M5" s="458">
        <v>214</v>
      </c>
      <c r="N5" s="458">
        <v>213</v>
      </c>
      <c r="O5" s="458">
        <v>191</v>
      </c>
    </row>
    <row r="6" spans="1:15" ht="15" x14ac:dyDescent="0.25">
      <c r="A6" s="5657"/>
      <c r="B6" s="459" t="s">
        <v>6</v>
      </c>
      <c r="C6" s="458">
        <v>97</v>
      </c>
      <c r="D6" s="458">
        <v>110</v>
      </c>
      <c r="E6" s="458">
        <v>155</v>
      </c>
      <c r="F6" s="458">
        <v>159</v>
      </c>
      <c r="G6" s="458">
        <v>159</v>
      </c>
      <c r="H6" s="458">
        <v>171</v>
      </c>
      <c r="I6" s="715">
        <f>139</f>
        <v>139</v>
      </c>
      <c r="J6" s="458">
        <v>175</v>
      </c>
      <c r="K6" s="458">
        <v>167</v>
      </c>
      <c r="L6" s="458">
        <v>172</v>
      </c>
      <c r="M6" s="458">
        <v>182</v>
      </c>
      <c r="N6" s="458">
        <v>194</v>
      </c>
      <c r="O6" s="458">
        <v>174</v>
      </c>
    </row>
    <row r="7" spans="1:15" ht="15" x14ac:dyDescent="0.25">
      <c r="A7" s="5657"/>
      <c r="B7" s="459" t="s">
        <v>7</v>
      </c>
      <c r="C7" s="458">
        <v>44</v>
      </c>
      <c r="D7" s="458">
        <v>53</v>
      </c>
      <c r="E7" s="458">
        <v>69</v>
      </c>
      <c r="F7" s="458">
        <v>70</v>
      </c>
      <c r="G7" s="458">
        <v>67</v>
      </c>
      <c r="H7" s="458">
        <v>79</v>
      </c>
      <c r="I7" s="715">
        <v>61</v>
      </c>
      <c r="J7" s="458">
        <v>90</v>
      </c>
      <c r="K7" s="458">
        <v>92</v>
      </c>
      <c r="L7" s="458">
        <v>103</v>
      </c>
      <c r="M7" s="458">
        <v>107</v>
      </c>
      <c r="N7" s="458">
        <v>108</v>
      </c>
      <c r="O7" s="458">
        <v>103</v>
      </c>
    </row>
    <row r="8" spans="1:15" ht="15" x14ac:dyDescent="0.25">
      <c r="A8" s="5658"/>
      <c r="B8" s="2829" t="s">
        <v>12</v>
      </c>
      <c r="C8" s="2830">
        <f>SUM(C5:C7)</f>
        <v>250</v>
      </c>
      <c r="D8" s="2830">
        <f t="shared" ref="D8:M8" si="0">SUM(D5:D7)</f>
        <v>276</v>
      </c>
      <c r="E8" s="2830">
        <f t="shared" si="0"/>
        <v>374</v>
      </c>
      <c r="F8" s="2830">
        <f t="shared" si="0"/>
        <v>376</v>
      </c>
      <c r="G8" s="2830">
        <f t="shared" si="0"/>
        <v>388</v>
      </c>
      <c r="H8" s="2830">
        <f t="shared" si="0"/>
        <v>432</v>
      </c>
      <c r="I8" s="2830">
        <f t="shared" si="0"/>
        <v>356</v>
      </c>
      <c r="J8" s="2830">
        <f t="shared" si="0"/>
        <v>447</v>
      </c>
      <c r="K8" s="2830">
        <f t="shared" si="0"/>
        <v>426</v>
      </c>
      <c r="L8" s="2830">
        <f t="shared" si="0"/>
        <v>473</v>
      </c>
      <c r="M8" s="2830">
        <f t="shared" si="0"/>
        <v>503</v>
      </c>
      <c r="N8" s="2830">
        <f>SUM(N5:N7)</f>
        <v>515</v>
      </c>
      <c r="O8" s="2830">
        <f>SUM(O5:O7)</f>
        <v>468</v>
      </c>
    </row>
    <row r="10" spans="1:15" ht="15" x14ac:dyDescent="0.25">
      <c r="A10" s="5670" t="s">
        <v>825</v>
      </c>
      <c r="B10" s="457" t="s">
        <v>6</v>
      </c>
      <c r="C10" s="461"/>
      <c r="D10" s="461">
        <v>6</v>
      </c>
      <c r="E10" s="461">
        <v>8</v>
      </c>
      <c r="F10" s="461">
        <v>24</v>
      </c>
      <c r="G10" s="461">
        <v>28</v>
      </c>
      <c r="H10" s="461">
        <v>32</v>
      </c>
      <c r="I10" s="717">
        <f>32</f>
        <v>32</v>
      </c>
      <c r="J10" s="461">
        <v>39</v>
      </c>
      <c r="K10" s="461">
        <v>43</v>
      </c>
      <c r="L10" s="461">
        <v>45</v>
      </c>
      <c r="M10" s="461">
        <v>45</v>
      </c>
      <c r="N10" s="461">
        <v>42</v>
      </c>
      <c r="O10" s="461">
        <v>34</v>
      </c>
    </row>
    <row r="11" spans="1:15" ht="15" x14ac:dyDescent="0.25">
      <c r="A11" s="5671"/>
      <c r="B11" s="459" t="s">
        <v>9</v>
      </c>
      <c r="C11" s="458"/>
      <c r="D11" s="458">
        <v>4</v>
      </c>
      <c r="E11" s="458">
        <v>2</v>
      </c>
      <c r="F11" s="458">
        <v>7</v>
      </c>
      <c r="G11" s="458">
        <v>12</v>
      </c>
      <c r="H11" s="458">
        <v>15</v>
      </c>
      <c r="I11" s="715">
        <f>15</f>
        <v>15</v>
      </c>
      <c r="J11" s="458">
        <v>24</v>
      </c>
      <c r="K11" s="458">
        <v>28</v>
      </c>
      <c r="L11" s="458">
        <v>34</v>
      </c>
      <c r="M11" s="458">
        <v>32</v>
      </c>
      <c r="N11" s="458">
        <v>26</v>
      </c>
      <c r="O11" s="458">
        <v>34</v>
      </c>
    </row>
    <row r="12" spans="1:15" ht="15" x14ac:dyDescent="0.25">
      <c r="A12" s="5671"/>
      <c r="B12" s="459" t="s">
        <v>74</v>
      </c>
      <c r="C12" s="462"/>
      <c r="D12" s="462">
        <v>1</v>
      </c>
      <c r="E12" s="462">
        <v>14</v>
      </c>
      <c r="F12" s="462">
        <v>16</v>
      </c>
      <c r="G12" s="462">
        <v>21</v>
      </c>
      <c r="H12" s="462">
        <v>23</v>
      </c>
      <c r="I12" s="718">
        <f>23</f>
        <v>23</v>
      </c>
      <c r="J12" s="462">
        <v>30</v>
      </c>
      <c r="K12" s="462">
        <v>39</v>
      </c>
      <c r="L12" s="462">
        <v>44</v>
      </c>
      <c r="M12" s="462">
        <v>47</v>
      </c>
      <c r="N12" s="462">
        <v>47</v>
      </c>
      <c r="O12" s="462">
        <v>46</v>
      </c>
    </row>
    <row r="13" spans="1:15" ht="15" x14ac:dyDescent="0.25">
      <c r="A13" s="5672"/>
      <c r="B13" s="2827" t="s">
        <v>12</v>
      </c>
      <c r="C13" s="2828"/>
      <c r="D13" s="2828">
        <f>SUM(D10:D12)</f>
        <v>11</v>
      </c>
      <c r="E13" s="2828">
        <f t="shared" ref="E13:M13" si="1">SUM(E10:E12)</f>
        <v>24</v>
      </c>
      <c r="F13" s="2828">
        <f t="shared" si="1"/>
        <v>47</v>
      </c>
      <c r="G13" s="2828">
        <f t="shared" si="1"/>
        <v>61</v>
      </c>
      <c r="H13" s="2828">
        <f t="shared" si="1"/>
        <v>70</v>
      </c>
      <c r="I13" s="2828">
        <f t="shared" si="1"/>
        <v>70</v>
      </c>
      <c r="J13" s="2828">
        <f t="shared" si="1"/>
        <v>93</v>
      </c>
      <c r="K13" s="2828">
        <f t="shared" si="1"/>
        <v>110</v>
      </c>
      <c r="L13" s="2828">
        <f t="shared" si="1"/>
        <v>123</v>
      </c>
      <c r="M13" s="2828">
        <f t="shared" si="1"/>
        <v>124</v>
      </c>
      <c r="N13" s="2828">
        <f>SUM(N10:N12)</f>
        <v>115</v>
      </c>
      <c r="O13" s="2828">
        <f>SUM(O10:O12)</f>
        <v>114</v>
      </c>
    </row>
    <row r="14" spans="1:15" ht="15" x14ac:dyDescent="0.25">
      <c r="A14" s="251"/>
      <c r="B14" s="460"/>
      <c r="C14" s="251"/>
      <c r="D14" s="251"/>
      <c r="E14" s="251"/>
      <c r="F14" s="251"/>
      <c r="G14" s="251"/>
      <c r="H14" s="251"/>
      <c r="I14" s="716"/>
      <c r="J14" s="251"/>
      <c r="K14" s="251"/>
      <c r="L14" s="251"/>
      <c r="M14" s="251"/>
      <c r="N14" s="251"/>
      <c r="O14" s="251"/>
    </row>
    <row r="15" spans="1:15" ht="15" x14ac:dyDescent="0.25">
      <c r="A15" s="5678" t="s">
        <v>162</v>
      </c>
      <c r="B15" s="457" t="s">
        <v>5</v>
      </c>
      <c r="C15" s="461">
        <v>162</v>
      </c>
      <c r="D15" s="461">
        <v>172</v>
      </c>
      <c r="E15" s="461">
        <v>175</v>
      </c>
      <c r="F15" s="461">
        <v>159</v>
      </c>
      <c r="G15" s="461">
        <v>169</v>
      </c>
      <c r="H15" s="461">
        <v>178</v>
      </c>
      <c r="I15" s="717">
        <f>178</f>
        <v>178</v>
      </c>
      <c r="J15" s="461">
        <v>159</v>
      </c>
      <c r="K15" s="461">
        <v>159</v>
      </c>
      <c r="L15" s="461">
        <v>163</v>
      </c>
      <c r="M15" s="461">
        <v>172</v>
      </c>
      <c r="N15" s="461">
        <v>156</v>
      </c>
      <c r="O15" s="461">
        <v>109</v>
      </c>
    </row>
    <row r="16" spans="1:15" ht="15" x14ac:dyDescent="0.25">
      <c r="A16" s="5679"/>
      <c r="B16" s="459" t="s">
        <v>6</v>
      </c>
      <c r="C16" s="458">
        <v>168</v>
      </c>
      <c r="D16" s="458">
        <v>139</v>
      </c>
      <c r="E16" s="458">
        <v>183</v>
      </c>
      <c r="F16" s="458">
        <v>169</v>
      </c>
      <c r="G16" s="458">
        <v>181</v>
      </c>
      <c r="H16" s="458">
        <v>195</v>
      </c>
      <c r="I16" s="715">
        <f>194+1</f>
        <v>195</v>
      </c>
      <c r="J16" s="458">
        <v>173</v>
      </c>
      <c r="K16" s="458">
        <v>156</v>
      </c>
      <c r="L16" s="458">
        <v>116</v>
      </c>
      <c r="M16" s="458">
        <v>123</v>
      </c>
      <c r="N16" s="458">
        <v>121</v>
      </c>
      <c r="O16" s="458">
        <v>96</v>
      </c>
    </row>
    <row r="17" spans="1:15" ht="15" x14ac:dyDescent="0.25">
      <c r="A17" s="5679"/>
      <c r="B17" s="459" t="s">
        <v>11</v>
      </c>
      <c r="C17" s="462">
        <v>140</v>
      </c>
      <c r="D17" s="462">
        <v>181</v>
      </c>
      <c r="E17" s="462">
        <v>146</v>
      </c>
      <c r="F17" s="462">
        <v>139</v>
      </c>
      <c r="G17" s="462">
        <v>147</v>
      </c>
      <c r="H17" s="462">
        <v>152</v>
      </c>
      <c r="I17" s="718">
        <f>152</f>
        <v>152</v>
      </c>
      <c r="J17" s="462">
        <v>144</v>
      </c>
      <c r="K17" s="462">
        <v>143</v>
      </c>
      <c r="L17" s="462">
        <v>132</v>
      </c>
      <c r="M17" s="462">
        <v>135</v>
      </c>
      <c r="N17" s="462">
        <v>139</v>
      </c>
      <c r="O17" s="462">
        <v>126</v>
      </c>
    </row>
    <row r="18" spans="1:15" ht="15" x14ac:dyDescent="0.25">
      <c r="A18" s="5680"/>
      <c r="B18" s="2825" t="s">
        <v>12</v>
      </c>
      <c r="C18" s="2826">
        <f>SUM(C15:C17)</f>
        <v>470</v>
      </c>
      <c r="D18" s="2826">
        <f t="shared" ref="D18:M18" si="2">SUM(D15:D17)</f>
        <v>492</v>
      </c>
      <c r="E18" s="2826">
        <f t="shared" si="2"/>
        <v>504</v>
      </c>
      <c r="F18" s="2826">
        <f t="shared" si="2"/>
        <v>467</v>
      </c>
      <c r="G18" s="2826">
        <f t="shared" si="2"/>
        <v>497</v>
      </c>
      <c r="H18" s="2826">
        <f t="shared" si="2"/>
        <v>525</v>
      </c>
      <c r="I18" s="2826">
        <f t="shared" si="2"/>
        <v>525</v>
      </c>
      <c r="J18" s="2826">
        <f t="shared" si="2"/>
        <v>476</v>
      </c>
      <c r="K18" s="2826">
        <f t="shared" si="2"/>
        <v>458</v>
      </c>
      <c r="L18" s="2826">
        <f t="shared" si="2"/>
        <v>411</v>
      </c>
      <c r="M18" s="2826">
        <f t="shared" si="2"/>
        <v>430</v>
      </c>
      <c r="N18" s="2826">
        <f>SUM(N15:N17)</f>
        <v>416</v>
      </c>
      <c r="O18" s="2826">
        <f>SUM(O15:O17)</f>
        <v>331</v>
      </c>
    </row>
    <row r="20" spans="1:15" ht="15" x14ac:dyDescent="0.25">
      <c r="A20" s="6347" t="s">
        <v>411</v>
      </c>
      <c r="B20" s="457" t="s">
        <v>5</v>
      </c>
      <c r="C20" s="1812"/>
      <c r="D20" s="1813"/>
      <c r="E20" s="1813"/>
      <c r="F20" s="1813"/>
      <c r="G20" s="1813"/>
      <c r="H20" s="1813"/>
      <c r="I20" s="1814"/>
      <c r="J20" s="1813"/>
      <c r="K20" s="1813"/>
      <c r="L20" s="1815"/>
      <c r="M20" s="461">
        <v>3</v>
      </c>
      <c r="N20" s="461">
        <v>1</v>
      </c>
      <c r="O20" s="461">
        <v>2</v>
      </c>
    </row>
    <row r="21" spans="1:15" ht="15" x14ac:dyDescent="0.25">
      <c r="A21" s="6348"/>
      <c r="B21" s="459" t="s">
        <v>6</v>
      </c>
      <c r="C21" s="1816"/>
      <c r="D21" s="1817"/>
      <c r="E21" s="1817"/>
      <c r="F21" s="1817"/>
      <c r="G21" s="1817"/>
      <c r="H21" s="1817"/>
      <c r="I21" s="1818"/>
      <c r="J21" s="1817"/>
      <c r="K21" s="1817"/>
      <c r="L21" s="1819"/>
      <c r="M21" s="458"/>
      <c r="N21" s="458"/>
      <c r="O21" s="458">
        <v>1</v>
      </c>
    </row>
    <row r="22" spans="1:15" ht="15" x14ac:dyDescent="0.25">
      <c r="A22" s="6348"/>
      <c r="B22" s="459" t="s">
        <v>11</v>
      </c>
      <c r="C22" s="1820"/>
      <c r="D22" s="1821"/>
      <c r="E22" s="1821"/>
      <c r="F22" s="1821"/>
      <c r="G22" s="1821"/>
      <c r="H22" s="1821"/>
      <c r="I22" s="1822"/>
      <c r="J22" s="1821"/>
      <c r="K22" s="1821"/>
      <c r="L22" s="1823"/>
      <c r="M22" s="462">
        <v>3</v>
      </c>
      <c r="N22" s="462">
        <v>2</v>
      </c>
      <c r="O22" s="462">
        <v>2</v>
      </c>
    </row>
    <row r="23" spans="1:15" ht="15" x14ac:dyDescent="0.25">
      <c r="A23" s="6349"/>
      <c r="B23" s="2820" t="s">
        <v>12</v>
      </c>
      <c r="C23" s="2821"/>
      <c r="D23" s="2822"/>
      <c r="E23" s="2822"/>
      <c r="F23" s="2822"/>
      <c r="G23" s="2822"/>
      <c r="H23" s="2822"/>
      <c r="I23" s="2822"/>
      <c r="J23" s="2822"/>
      <c r="K23" s="2822"/>
      <c r="L23" s="2823"/>
      <c r="M23" s="2824">
        <f>SUM(M20:M22)</f>
        <v>6</v>
      </c>
      <c r="N23" s="2824">
        <f>SUM(N20:N22)</f>
        <v>3</v>
      </c>
      <c r="O23" s="2824">
        <f>SUM(O20:O22)</f>
        <v>5</v>
      </c>
    </row>
    <row r="24" spans="1:15" ht="15" x14ac:dyDescent="0.25">
      <c r="A24" s="251"/>
      <c r="B24" s="460"/>
      <c r="C24" s="251"/>
      <c r="D24" s="251"/>
      <c r="E24" s="251"/>
      <c r="F24" s="251"/>
      <c r="G24" s="251"/>
      <c r="H24" s="251"/>
      <c r="I24" s="716"/>
      <c r="J24" s="251"/>
      <c r="K24" s="251"/>
      <c r="L24" s="251"/>
      <c r="M24" s="251"/>
      <c r="N24" s="251"/>
      <c r="O24" s="251"/>
    </row>
    <row r="25" spans="1:15" ht="15" x14ac:dyDescent="0.25">
      <c r="A25" s="5661" t="s">
        <v>163</v>
      </c>
      <c r="B25" s="463" t="s">
        <v>6</v>
      </c>
      <c r="C25" s="461">
        <v>107</v>
      </c>
      <c r="D25" s="461">
        <v>150</v>
      </c>
      <c r="E25" s="461">
        <v>135</v>
      </c>
      <c r="F25" s="461">
        <v>122</v>
      </c>
      <c r="G25" s="461">
        <v>121</v>
      </c>
      <c r="H25" s="461">
        <v>143</v>
      </c>
      <c r="I25" s="717">
        <f>143</f>
        <v>143</v>
      </c>
      <c r="J25" s="461">
        <v>155</v>
      </c>
      <c r="K25" s="461">
        <v>154</v>
      </c>
      <c r="L25" s="461">
        <v>166</v>
      </c>
      <c r="M25" s="461">
        <v>165</v>
      </c>
      <c r="N25" s="461">
        <v>159</v>
      </c>
      <c r="O25" s="461">
        <v>143</v>
      </c>
    </row>
    <row r="26" spans="1:15" ht="15" x14ac:dyDescent="0.25">
      <c r="A26" s="5662"/>
      <c r="B26" s="464" t="s">
        <v>11</v>
      </c>
      <c r="C26" s="458">
        <v>141</v>
      </c>
      <c r="D26" s="458">
        <v>119</v>
      </c>
      <c r="E26" s="458">
        <v>167</v>
      </c>
      <c r="F26" s="458">
        <v>154</v>
      </c>
      <c r="G26" s="458">
        <v>178</v>
      </c>
      <c r="H26" s="458">
        <v>190</v>
      </c>
      <c r="I26" s="715">
        <f>190</f>
        <v>190</v>
      </c>
      <c r="J26" s="458">
        <v>199</v>
      </c>
      <c r="K26" s="458">
        <v>185</v>
      </c>
      <c r="L26" s="458">
        <v>191</v>
      </c>
      <c r="M26" s="458">
        <v>195</v>
      </c>
      <c r="N26" s="458">
        <v>191</v>
      </c>
      <c r="O26" s="458">
        <v>187</v>
      </c>
    </row>
    <row r="27" spans="1:15" ht="15" x14ac:dyDescent="0.25">
      <c r="A27" s="5662"/>
      <c r="B27" s="464" t="s">
        <v>7</v>
      </c>
      <c r="C27" s="462">
        <v>16</v>
      </c>
      <c r="D27" s="462">
        <v>18</v>
      </c>
      <c r="E27" s="462">
        <v>29</v>
      </c>
      <c r="F27" s="462">
        <v>24</v>
      </c>
      <c r="G27" s="462">
        <v>30</v>
      </c>
      <c r="H27" s="462">
        <v>36</v>
      </c>
      <c r="I27" s="718">
        <f>36</f>
        <v>36</v>
      </c>
      <c r="J27" s="462">
        <v>46</v>
      </c>
      <c r="K27" s="462">
        <v>41</v>
      </c>
      <c r="L27" s="462">
        <v>30</v>
      </c>
      <c r="M27" s="462">
        <v>37</v>
      </c>
      <c r="N27" s="462">
        <v>43</v>
      </c>
      <c r="O27" s="462">
        <v>41</v>
      </c>
    </row>
    <row r="28" spans="1:15" ht="15" x14ac:dyDescent="0.25">
      <c r="A28" s="5663"/>
      <c r="B28" s="2818" t="s">
        <v>12</v>
      </c>
      <c r="C28" s="2819">
        <f>SUM(C25:C27)</f>
        <v>264</v>
      </c>
      <c r="D28" s="2819">
        <f t="shared" ref="D28:M28" si="3">SUM(D25:D27)</f>
        <v>287</v>
      </c>
      <c r="E28" s="2819">
        <f t="shared" si="3"/>
        <v>331</v>
      </c>
      <c r="F28" s="2819">
        <f t="shared" si="3"/>
        <v>300</v>
      </c>
      <c r="G28" s="2819">
        <f t="shared" si="3"/>
        <v>329</v>
      </c>
      <c r="H28" s="2819">
        <f t="shared" si="3"/>
        <v>369</v>
      </c>
      <c r="I28" s="2819">
        <f t="shared" si="3"/>
        <v>369</v>
      </c>
      <c r="J28" s="2819">
        <f t="shared" si="3"/>
        <v>400</v>
      </c>
      <c r="K28" s="2819">
        <f t="shared" si="3"/>
        <v>380</v>
      </c>
      <c r="L28" s="2819">
        <f t="shared" si="3"/>
        <v>387</v>
      </c>
      <c r="M28" s="2819">
        <f t="shared" si="3"/>
        <v>397</v>
      </c>
      <c r="N28" s="2819">
        <f>SUM(N25:N27)</f>
        <v>393</v>
      </c>
      <c r="O28" s="2819">
        <f>SUM(O25:O27)</f>
        <v>371</v>
      </c>
    </row>
    <row r="29" spans="1:15" ht="15" x14ac:dyDescent="0.25">
      <c r="A29" s="251"/>
      <c r="B29" s="460"/>
      <c r="C29" s="251"/>
      <c r="D29" s="251"/>
      <c r="E29" s="251"/>
      <c r="F29" s="251"/>
      <c r="G29" s="251"/>
      <c r="H29" s="251"/>
      <c r="I29" s="716"/>
      <c r="J29" s="251"/>
      <c r="K29" s="251"/>
      <c r="L29" s="251"/>
      <c r="M29" s="251"/>
      <c r="N29" s="251"/>
      <c r="O29" s="251"/>
    </row>
    <row r="30" spans="1:15" ht="15" x14ac:dyDescent="0.25">
      <c r="A30" s="5571" t="s">
        <v>60</v>
      </c>
      <c r="B30" s="465" t="s">
        <v>5</v>
      </c>
      <c r="C30" s="466">
        <f>SUM(C5,C15,C20)</f>
        <v>271</v>
      </c>
      <c r="D30" s="466">
        <f t="shared" ref="D30:M30" si="4">SUM(D5,D15,D20)</f>
        <v>285</v>
      </c>
      <c r="E30" s="466">
        <f t="shared" si="4"/>
        <v>325</v>
      </c>
      <c r="F30" s="466">
        <f t="shared" si="4"/>
        <v>306</v>
      </c>
      <c r="G30" s="466">
        <f t="shared" si="4"/>
        <v>331</v>
      </c>
      <c r="H30" s="466">
        <f t="shared" si="4"/>
        <v>360</v>
      </c>
      <c r="I30" s="466">
        <f t="shared" si="4"/>
        <v>334</v>
      </c>
      <c r="J30" s="466">
        <f t="shared" si="4"/>
        <v>341</v>
      </c>
      <c r="K30" s="466">
        <f t="shared" si="4"/>
        <v>326</v>
      </c>
      <c r="L30" s="466">
        <f t="shared" si="4"/>
        <v>361</v>
      </c>
      <c r="M30" s="466">
        <f t="shared" si="4"/>
        <v>389</v>
      </c>
      <c r="N30" s="466">
        <f>SUM(N5,N15,N20)</f>
        <v>370</v>
      </c>
      <c r="O30" s="466">
        <f>SUM(O5,O15,O20)</f>
        <v>302</v>
      </c>
    </row>
    <row r="31" spans="1:15" ht="15" x14ac:dyDescent="0.25">
      <c r="A31" s="5572"/>
      <c r="B31" s="467" t="s">
        <v>6</v>
      </c>
      <c r="C31" s="468">
        <f>SUM(C6,C10,C16,C21,C25)</f>
        <v>372</v>
      </c>
      <c r="D31" s="468">
        <f t="shared" ref="D31:M31" si="5">SUM(D6,D10,D16,D21,D25)</f>
        <v>405</v>
      </c>
      <c r="E31" s="468">
        <f t="shared" si="5"/>
        <v>481</v>
      </c>
      <c r="F31" s="468">
        <f t="shared" si="5"/>
        <v>474</v>
      </c>
      <c r="G31" s="468">
        <f t="shared" si="5"/>
        <v>489</v>
      </c>
      <c r="H31" s="468">
        <f t="shared" si="5"/>
        <v>541</v>
      </c>
      <c r="I31" s="468">
        <f t="shared" si="5"/>
        <v>509</v>
      </c>
      <c r="J31" s="468">
        <f t="shared" si="5"/>
        <v>542</v>
      </c>
      <c r="K31" s="468">
        <f t="shared" si="5"/>
        <v>520</v>
      </c>
      <c r="L31" s="468">
        <f t="shared" si="5"/>
        <v>499</v>
      </c>
      <c r="M31" s="468">
        <f t="shared" si="5"/>
        <v>515</v>
      </c>
      <c r="N31" s="468">
        <f>SUM(N6,N10,N16,N21,N25)</f>
        <v>516</v>
      </c>
      <c r="O31" s="468">
        <f>SUM(O6,O10,O16,O21,O25)</f>
        <v>448</v>
      </c>
    </row>
    <row r="32" spans="1:15" ht="15" x14ac:dyDescent="0.25">
      <c r="A32" s="5572"/>
      <c r="B32" s="467" t="s">
        <v>11</v>
      </c>
      <c r="C32" s="468">
        <f>SUM(C17,C22,C26)</f>
        <v>281</v>
      </c>
      <c r="D32" s="468">
        <f t="shared" ref="D32:M32" si="6">SUM(D17,D22,D26)</f>
        <v>300</v>
      </c>
      <c r="E32" s="468">
        <f t="shared" si="6"/>
        <v>313</v>
      </c>
      <c r="F32" s="468">
        <f t="shared" si="6"/>
        <v>293</v>
      </c>
      <c r="G32" s="468">
        <f t="shared" si="6"/>
        <v>325</v>
      </c>
      <c r="H32" s="468">
        <f t="shared" si="6"/>
        <v>342</v>
      </c>
      <c r="I32" s="468">
        <f t="shared" si="6"/>
        <v>342</v>
      </c>
      <c r="J32" s="468">
        <f t="shared" si="6"/>
        <v>343</v>
      </c>
      <c r="K32" s="468">
        <f t="shared" si="6"/>
        <v>328</v>
      </c>
      <c r="L32" s="468">
        <f t="shared" si="6"/>
        <v>323</v>
      </c>
      <c r="M32" s="468">
        <f t="shared" si="6"/>
        <v>333</v>
      </c>
      <c r="N32" s="468">
        <f>SUM(N17,N22,N26)</f>
        <v>332</v>
      </c>
      <c r="O32" s="468">
        <f>SUM(O17,O22,O26)</f>
        <v>315</v>
      </c>
    </row>
    <row r="33" spans="1:15" ht="15" x14ac:dyDescent="0.25">
      <c r="A33" s="5572"/>
      <c r="B33" s="467" t="s">
        <v>7</v>
      </c>
      <c r="C33" s="468">
        <f>SUM(C7,C27)</f>
        <v>60</v>
      </c>
      <c r="D33" s="468">
        <f t="shared" ref="D33:M33" si="7">SUM(D7,D27)</f>
        <v>71</v>
      </c>
      <c r="E33" s="468">
        <f t="shared" si="7"/>
        <v>98</v>
      </c>
      <c r="F33" s="468">
        <f t="shared" si="7"/>
        <v>94</v>
      </c>
      <c r="G33" s="468">
        <f t="shared" si="7"/>
        <v>97</v>
      </c>
      <c r="H33" s="468">
        <f t="shared" si="7"/>
        <v>115</v>
      </c>
      <c r="I33" s="468">
        <f t="shared" si="7"/>
        <v>97</v>
      </c>
      <c r="J33" s="468">
        <f t="shared" si="7"/>
        <v>136</v>
      </c>
      <c r="K33" s="468">
        <f t="shared" si="7"/>
        <v>133</v>
      </c>
      <c r="L33" s="468">
        <f t="shared" si="7"/>
        <v>133</v>
      </c>
      <c r="M33" s="468">
        <f t="shared" si="7"/>
        <v>144</v>
      </c>
      <c r="N33" s="468">
        <f>SUM(N7,N27)</f>
        <v>151</v>
      </c>
      <c r="O33" s="468">
        <f>SUM(O7,O27)</f>
        <v>144</v>
      </c>
    </row>
    <row r="34" spans="1:15" ht="15" x14ac:dyDescent="0.25">
      <c r="A34" s="5572"/>
      <c r="B34" s="467" t="s">
        <v>9</v>
      </c>
      <c r="C34" s="468">
        <f>SUM(C11)</f>
        <v>0</v>
      </c>
      <c r="D34" s="468">
        <f t="shared" ref="D34:M34" si="8">SUM(D11)</f>
        <v>4</v>
      </c>
      <c r="E34" s="468">
        <f t="shared" si="8"/>
        <v>2</v>
      </c>
      <c r="F34" s="468">
        <f t="shared" si="8"/>
        <v>7</v>
      </c>
      <c r="G34" s="468">
        <f t="shared" si="8"/>
        <v>12</v>
      </c>
      <c r="H34" s="468">
        <f t="shared" si="8"/>
        <v>15</v>
      </c>
      <c r="I34" s="468">
        <f t="shared" si="8"/>
        <v>15</v>
      </c>
      <c r="J34" s="468">
        <f t="shared" si="8"/>
        <v>24</v>
      </c>
      <c r="K34" s="468">
        <f t="shared" si="8"/>
        <v>28</v>
      </c>
      <c r="L34" s="468">
        <f t="shared" si="8"/>
        <v>34</v>
      </c>
      <c r="M34" s="468">
        <f t="shared" si="8"/>
        <v>32</v>
      </c>
      <c r="N34" s="468">
        <f>SUM(N11)</f>
        <v>26</v>
      </c>
      <c r="O34" s="468">
        <f>SUM(O11)</f>
        <v>34</v>
      </c>
    </row>
    <row r="35" spans="1:15" ht="15" x14ac:dyDescent="0.25">
      <c r="A35" s="5572"/>
      <c r="B35" s="469" t="s">
        <v>74</v>
      </c>
      <c r="C35" s="470">
        <f>SUM(C12)</f>
        <v>0</v>
      </c>
      <c r="D35" s="470">
        <f t="shared" ref="D35:M35" si="9">SUM(D12)</f>
        <v>1</v>
      </c>
      <c r="E35" s="470">
        <f t="shared" si="9"/>
        <v>14</v>
      </c>
      <c r="F35" s="470">
        <f t="shared" si="9"/>
        <v>16</v>
      </c>
      <c r="G35" s="470">
        <f t="shared" si="9"/>
        <v>21</v>
      </c>
      <c r="H35" s="470">
        <f t="shared" si="9"/>
        <v>23</v>
      </c>
      <c r="I35" s="470">
        <f t="shared" si="9"/>
        <v>23</v>
      </c>
      <c r="J35" s="470">
        <f t="shared" si="9"/>
        <v>30</v>
      </c>
      <c r="K35" s="470">
        <f t="shared" si="9"/>
        <v>39</v>
      </c>
      <c r="L35" s="470">
        <f t="shared" si="9"/>
        <v>44</v>
      </c>
      <c r="M35" s="470">
        <f t="shared" si="9"/>
        <v>47</v>
      </c>
      <c r="N35" s="470">
        <f>SUM(N12)</f>
        <v>47</v>
      </c>
      <c r="O35" s="470">
        <f>SUM(O12)</f>
        <v>46</v>
      </c>
    </row>
    <row r="36" spans="1:15" ht="15" x14ac:dyDescent="0.25">
      <c r="A36" s="5573"/>
      <c r="B36" s="706" t="s">
        <v>12</v>
      </c>
      <c r="C36" s="707">
        <f>SUM(C30:C35)</f>
        <v>984</v>
      </c>
      <c r="D36" s="707">
        <f t="shared" ref="D36:M36" si="10">SUM(D30:D35)</f>
        <v>1066</v>
      </c>
      <c r="E36" s="707">
        <f t="shared" si="10"/>
        <v>1233</v>
      </c>
      <c r="F36" s="707">
        <f t="shared" si="10"/>
        <v>1190</v>
      </c>
      <c r="G36" s="707">
        <f t="shared" si="10"/>
        <v>1275</v>
      </c>
      <c r="H36" s="707">
        <f t="shared" si="10"/>
        <v>1396</v>
      </c>
      <c r="I36" s="707">
        <f t="shared" si="10"/>
        <v>1320</v>
      </c>
      <c r="J36" s="707">
        <f t="shared" si="10"/>
        <v>1416</v>
      </c>
      <c r="K36" s="707">
        <f t="shared" si="10"/>
        <v>1374</v>
      </c>
      <c r="L36" s="707">
        <f t="shared" si="10"/>
        <v>1394</v>
      </c>
      <c r="M36" s="707">
        <f t="shared" si="10"/>
        <v>1460</v>
      </c>
      <c r="N36" s="707">
        <f>SUM(N30:N35)</f>
        <v>1442</v>
      </c>
      <c r="O36" s="707">
        <f>SUM(O30:O35)</f>
        <v>1289</v>
      </c>
    </row>
    <row r="37" spans="1:15" x14ac:dyDescent="0.2">
      <c r="A37" s="2377" t="s">
        <v>355</v>
      </c>
      <c r="B37" s="4178"/>
      <c r="C37" s="4178"/>
      <c r="D37" s="441"/>
      <c r="E37" s="441"/>
      <c r="F37" s="441"/>
      <c r="G37" s="442"/>
      <c r="H37" s="192"/>
      <c r="I37" s="192"/>
      <c r="J37" s="192"/>
    </row>
    <row r="38" spans="1:15" ht="12.75" customHeight="1" x14ac:dyDescent="0.2">
      <c r="B38" s="192"/>
      <c r="C38" s="192"/>
      <c r="D38" s="192"/>
      <c r="E38" s="192"/>
      <c r="F38" s="192"/>
      <c r="G38" s="192"/>
      <c r="H38" s="192"/>
      <c r="I38" s="759" t="s">
        <v>353</v>
      </c>
      <c r="J38" s="759"/>
      <c r="M38" s="10"/>
    </row>
    <row r="39" spans="1:15" x14ac:dyDescent="0.2">
      <c r="A39" s="758"/>
      <c r="I39" s="759"/>
      <c r="J39" s="759"/>
    </row>
    <row r="40" spans="1:15" x14ac:dyDescent="0.2">
      <c r="I40" s="759"/>
      <c r="J40" s="759"/>
    </row>
    <row r="65" spans="4:4" hidden="1" x14ac:dyDescent="0.2"/>
    <row r="66" spans="4:4" hidden="1" x14ac:dyDescent="0.2"/>
    <row r="67" spans="4:4" hidden="1" x14ac:dyDescent="0.2"/>
    <row r="68" spans="4:4" hidden="1" x14ac:dyDescent="0.2"/>
    <row r="69" spans="4:4" hidden="1" x14ac:dyDescent="0.2">
      <c r="D69" s="192" t="s">
        <v>161</v>
      </c>
    </row>
    <row r="70" spans="4:4" hidden="1" x14ac:dyDescent="0.2">
      <c r="D70" s="192" t="s">
        <v>410</v>
      </c>
    </row>
    <row r="71" spans="4:4" hidden="1" x14ac:dyDescent="0.2">
      <c r="D71" s="192" t="s">
        <v>162</v>
      </c>
    </row>
    <row r="72" spans="4:4" hidden="1" x14ac:dyDescent="0.2">
      <c r="D72" s="192" t="s">
        <v>411</v>
      </c>
    </row>
    <row r="73" spans="4:4" hidden="1" x14ac:dyDescent="0.2">
      <c r="D73" s="192" t="s">
        <v>163</v>
      </c>
    </row>
    <row r="74" spans="4:4" hidden="1" x14ac:dyDescent="0.2"/>
    <row r="75" spans="4:4" hidden="1" x14ac:dyDescent="0.2"/>
    <row r="76" spans="4:4" hidden="1" x14ac:dyDescent="0.2"/>
    <row r="77" spans="4:4" hidden="1" x14ac:dyDescent="0.2"/>
    <row r="78" spans="4:4" hidden="1" x14ac:dyDescent="0.2"/>
    <row r="79" spans="4:4" hidden="1" x14ac:dyDescent="0.2"/>
    <row r="80" spans="4:4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</sheetData>
  <mergeCells count="7">
    <mergeCell ref="A2:M2"/>
    <mergeCell ref="A30:A36"/>
    <mergeCell ref="A20:A23"/>
    <mergeCell ref="A5:A8"/>
    <mergeCell ref="A10:A13"/>
    <mergeCell ref="A15:A18"/>
    <mergeCell ref="A25:A28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scale="59" orientation="landscape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1:CC152"/>
  <sheetViews>
    <sheetView showGridLines="0" zoomScaleNormal="100" zoomScaleSheetLayoutView="70" workbookViewId="0">
      <pane xSplit="1" ySplit="6" topLeftCell="BE16" activePane="bottomRight" state="frozen"/>
      <selection pane="topRight" activeCell="B1" sqref="B1"/>
      <selection pane="bottomLeft" activeCell="A8" sqref="A8"/>
      <selection pane="bottomRight" activeCell="CD21" sqref="CD21"/>
    </sheetView>
  </sheetViews>
  <sheetFormatPr baseColWidth="10" defaultRowHeight="12.75" x14ac:dyDescent="0.2"/>
  <cols>
    <col min="1" max="1" width="20.42578125" style="89" customWidth="1"/>
    <col min="2" max="5" width="5.7109375" style="89" customWidth="1"/>
    <col min="6" max="6" width="6.7109375" style="89" customWidth="1"/>
    <col min="7" max="10" width="5.7109375" style="89" customWidth="1"/>
    <col min="11" max="11" width="6.7109375" style="89" customWidth="1"/>
    <col min="12" max="15" width="5.7109375" style="89" customWidth="1"/>
    <col min="16" max="16" width="6.7109375" style="89" customWidth="1"/>
    <col min="17" max="20" width="5.7109375" style="23" customWidth="1"/>
    <col min="21" max="21" width="6.7109375" style="23" customWidth="1"/>
    <col min="22" max="25" width="5.7109375" style="23" customWidth="1"/>
    <col min="26" max="26" width="6.7109375" style="23" customWidth="1"/>
    <col min="27" max="30" width="5.7109375" style="23" customWidth="1"/>
    <col min="31" max="31" width="6.7109375" style="23" customWidth="1"/>
    <col min="32" max="35" width="5.7109375" style="23" customWidth="1"/>
    <col min="36" max="36" width="6.7109375" style="33" customWidth="1"/>
    <col min="37" max="40" width="5.7109375" style="23" customWidth="1"/>
    <col min="41" max="41" width="6.7109375" style="33" customWidth="1"/>
    <col min="42" max="45" width="5.7109375" style="23" customWidth="1"/>
    <col min="46" max="46" width="6.7109375" style="23" customWidth="1"/>
    <col min="47" max="50" width="5.7109375" style="23" customWidth="1"/>
    <col min="51" max="51" width="6.7109375" style="23" customWidth="1"/>
    <col min="52" max="55" width="5.7109375" style="23" customWidth="1"/>
    <col min="56" max="56" width="6.7109375" style="23" customWidth="1"/>
    <col min="57" max="60" width="5.7109375" style="23" customWidth="1"/>
    <col min="61" max="61" width="6.7109375" style="23" customWidth="1"/>
    <col min="62" max="65" width="5.7109375" style="23" customWidth="1"/>
    <col min="66" max="66" width="6.7109375" style="23" customWidth="1"/>
    <col min="67" max="70" width="5.7109375" style="23" customWidth="1"/>
    <col min="71" max="71" width="7.28515625" style="23" customWidth="1"/>
    <col min="72" max="75" width="5.7109375" style="23" customWidth="1"/>
    <col min="76" max="76" width="7.28515625" style="23" bestFit="1" customWidth="1"/>
    <col min="77" max="80" width="5.7109375" style="23" customWidth="1"/>
    <col min="81" max="81" width="7.28515625" style="23" bestFit="1" customWidth="1"/>
    <col min="82" max="16384" width="11.42578125" style="23"/>
  </cols>
  <sheetData>
    <row r="1" spans="1:81" ht="31.5" x14ac:dyDescent="0.2">
      <c r="A1" s="4179" t="s">
        <v>345</v>
      </c>
      <c r="C1" s="2374"/>
      <c r="D1" s="2374"/>
      <c r="E1" s="2374"/>
      <c r="F1" s="2374"/>
      <c r="G1" s="2374"/>
      <c r="H1" s="2374"/>
      <c r="I1" s="2374"/>
      <c r="J1" s="2374"/>
      <c r="K1" s="2374"/>
      <c r="L1" s="2374"/>
      <c r="M1" s="2374"/>
      <c r="N1" s="2374"/>
      <c r="O1" s="2374"/>
      <c r="P1" s="2374"/>
      <c r="Q1" s="2374"/>
      <c r="R1" s="2374"/>
      <c r="S1" s="2374"/>
      <c r="T1" s="2374"/>
      <c r="U1" s="2374"/>
      <c r="V1" s="2374"/>
      <c r="W1" s="2374"/>
      <c r="X1" s="2374"/>
      <c r="Y1" s="2374"/>
      <c r="Z1" s="2374"/>
      <c r="AA1" s="2374"/>
      <c r="AB1" s="2374"/>
      <c r="AC1" s="2374"/>
      <c r="AD1" s="2374"/>
      <c r="AE1" s="2374"/>
      <c r="AF1" s="2374"/>
      <c r="AG1" s="2374"/>
      <c r="AH1" s="2374"/>
      <c r="AI1" s="2374"/>
      <c r="AJ1" s="2374"/>
      <c r="AK1" s="2374"/>
      <c r="AL1" s="2374"/>
      <c r="AM1" s="2374"/>
      <c r="AN1" s="2374"/>
      <c r="AO1" s="2374"/>
      <c r="AP1" s="2374"/>
      <c r="AQ1" s="2374"/>
      <c r="AR1" s="2374"/>
      <c r="AS1" s="2374"/>
      <c r="AT1" s="2374"/>
      <c r="AU1" s="2374"/>
      <c r="AV1" s="2374"/>
      <c r="AW1" s="2374"/>
      <c r="AX1" s="2374"/>
      <c r="AY1" s="2374"/>
      <c r="AZ1" s="2374"/>
      <c r="BA1" s="2374"/>
      <c r="BB1" s="2374"/>
      <c r="BC1" s="2374"/>
      <c r="BD1" s="2374"/>
    </row>
    <row r="2" spans="1:81" ht="14.25" x14ac:dyDescent="0.2">
      <c r="A2" s="447"/>
      <c r="B2" s="447"/>
      <c r="C2" s="447"/>
      <c r="D2" s="447"/>
      <c r="E2" s="447"/>
      <c r="F2" s="447"/>
      <c r="G2" s="447"/>
      <c r="H2" s="447"/>
      <c r="I2" s="447"/>
      <c r="J2" s="447"/>
      <c r="K2" s="447"/>
      <c r="L2" s="447"/>
      <c r="M2" s="447"/>
      <c r="N2" s="447"/>
      <c r="O2" s="447"/>
      <c r="P2" s="447"/>
      <c r="Q2" s="447"/>
      <c r="R2" s="124"/>
      <c r="S2" s="124"/>
      <c r="T2" s="447"/>
      <c r="U2" s="124"/>
      <c r="V2" s="447"/>
      <c r="W2" s="124"/>
      <c r="X2" s="124"/>
      <c r="Y2" s="447"/>
      <c r="Z2" s="124"/>
      <c r="AA2" s="447"/>
      <c r="AB2" s="124"/>
      <c r="AC2" s="124"/>
      <c r="AD2" s="447"/>
      <c r="AE2" s="124"/>
      <c r="AF2" s="32"/>
      <c r="AG2" s="32"/>
      <c r="AH2" s="32"/>
      <c r="AI2" s="32"/>
      <c r="AJ2" s="125"/>
      <c r="AT2" s="1"/>
    </row>
    <row r="3" spans="1:81" ht="15.75" x14ac:dyDescent="0.2">
      <c r="A3" s="6042" t="s">
        <v>164</v>
      </c>
      <c r="B3" s="6381">
        <v>2000</v>
      </c>
      <c r="C3" s="6380"/>
      <c r="D3" s="6380"/>
      <c r="E3" s="6380"/>
      <c r="F3" s="6380"/>
      <c r="G3" s="6381">
        <v>2001</v>
      </c>
      <c r="H3" s="6380"/>
      <c r="I3" s="6380"/>
      <c r="J3" s="6380"/>
      <c r="K3" s="6380"/>
      <c r="L3" s="6381">
        <v>2002</v>
      </c>
      <c r="M3" s="6380"/>
      <c r="N3" s="6380"/>
      <c r="O3" s="6380"/>
      <c r="P3" s="6380"/>
      <c r="Q3" s="6381">
        <v>2003</v>
      </c>
      <c r="R3" s="6380"/>
      <c r="S3" s="6380"/>
      <c r="T3" s="6380"/>
      <c r="U3" s="6380"/>
      <c r="V3" s="6380">
        <v>2004</v>
      </c>
      <c r="W3" s="6380"/>
      <c r="X3" s="6380"/>
      <c r="Y3" s="6380"/>
      <c r="Z3" s="6380"/>
      <c r="AA3" s="6380">
        <v>2005</v>
      </c>
      <c r="AB3" s="6380"/>
      <c r="AC3" s="6380"/>
      <c r="AD3" s="6380"/>
      <c r="AE3" s="6380"/>
      <c r="AF3" s="6380">
        <v>2006</v>
      </c>
      <c r="AG3" s="6380"/>
      <c r="AH3" s="6380"/>
      <c r="AI3" s="6380"/>
      <c r="AJ3" s="6380"/>
      <c r="AK3" s="6380">
        <v>2007</v>
      </c>
      <c r="AL3" s="6380"/>
      <c r="AM3" s="6380"/>
      <c r="AN3" s="6380"/>
      <c r="AO3" s="6380"/>
      <c r="AP3" s="6380">
        <v>2008</v>
      </c>
      <c r="AQ3" s="6380"/>
      <c r="AR3" s="6380"/>
      <c r="AS3" s="6380"/>
      <c r="AT3" s="6380"/>
      <c r="AU3" s="6380">
        <v>2009</v>
      </c>
      <c r="AV3" s="6380"/>
      <c r="AW3" s="6380"/>
      <c r="AX3" s="6380"/>
      <c r="AY3" s="6380"/>
      <c r="AZ3" s="6380">
        <v>2010</v>
      </c>
      <c r="BA3" s="6380"/>
      <c r="BB3" s="6380"/>
      <c r="BC3" s="6380"/>
      <c r="BD3" s="6380"/>
      <c r="BE3" s="6380">
        <v>2011</v>
      </c>
      <c r="BF3" s="6380"/>
      <c r="BG3" s="6380"/>
      <c r="BH3" s="6380"/>
      <c r="BI3" s="6380"/>
      <c r="BJ3" s="6380">
        <v>2012</v>
      </c>
      <c r="BK3" s="6380"/>
      <c r="BL3" s="6380"/>
      <c r="BM3" s="6380"/>
      <c r="BN3" s="6380"/>
      <c r="BO3" s="6380">
        <v>2013</v>
      </c>
      <c r="BP3" s="6380"/>
      <c r="BQ3" s="6380"/>
      <c r="BR3" s="6380"/>
      <c r="BS3" s="6380"/>
      <c r="BT3" s="6380">
        <v>2014</v>
      </c>
      <c r="BU3" s="6380"/>
      <c r="BV3" s="6380"/>
      <c r="BW3" s="6380"/>
      <c r="BX3" s="6380"/>
      <c r="BY3" s="6380">
        <v>2015</v>
      </c>
      <c r="BZ3" s="6380"/>
      <c r="CA3" s="6380"/>
      <c r="CB3" s="6380"/>
      <c r="CC3" s="6380"/>
    </row>
    <row r="4" spans="1:81" ht="12.75" customHeight="1" x14ac:dyDescent="0.2">
      <c r="A4" s="6382"/>
      <c r="B4" s="6377" t="s">
        <v>689</v>
      </c>
      <c r="C4" s="6378"/>
      <c r="D4" s="6378"/>
      <c r="E4" s="6379"/>
      <c r="F4" s="5880" t="s">
        <v>160</v>
      </c>
      <c r="G4" s="6377" t="s">
        <v>689</v>
      </c>
      <c r="H4" s="6378"/>
      <c r="I4" s="6378"/>
      <c r="J4" s="6379"/>
      <c r="K4" s="5880" t="s">
        <v>160</v>
      </c>
      <c r="L4" s="6377" t="s">
        <v>689</v>
      </c>
      <c r="M4" s="6378"/>
      <c r="N4" s="6378"/>
      <c r="O4" s="6379"/>
      <c r="P4" s="5880" t="s">
        <v>160</v>
      </c>
      <c r="Q4" s="6377" t="s">
        <v>689</v>
      </c>
      <c r="R4" s="6378"/>
      <c r="S4" s="6378"/>
      <c r="T4" s="6379"/>
      <c r="U4" s="5880" t="s">
        <v>160</v>
      </c>
      <c r="V4" s="6377" t="s">
        <v>689</v>
      </c>
      <c r="W4" s="6378"/>
      <c r="X4" s="6378"/>
      <c r="Y4" s="6379"/>
      <c r="Z4" s="5880" t="s">
        <v>160</v>
      </c>
      <c r="AA4" s="6377" t="s">
        <v>689</v>
      </c>
      <c r="AB4" s="6378"/>
      <c r="AC4" s="6378"/>
      <c r="AD4" s="6379"/>
      <c r="AE4" s="5880" t="s">
        <v>160</v>
      </c>
      <c r="AF4" s="6377" t="s">
        <v>689</v>
      </c>
      <c r="AG4" s="6378"/>
      <c r="AH4" s="6378"/>
      <c r="AI4" s="6379"/>
      <c r="AJ4" s="5880" t="s">
        <v>160</v>
      </c>
      <c r="AK4" s="6377" t="s">
        <v>689</v>
      </c>
      <c r="AL4" s="6378"/>
      <c r="AM4" s="6378"/>
      <c r="AN4" s="6379"/>
      <c r="AO4" s="5880" t="s">
        <v>160</v>
      </c>
      <c r="AP4" s="6377" t="s">
        <v>689</v>
      </c>
      <c r="AQ4" s="6378"/>
      <c r="AR4" s="6378"/>
      <c r="AS4" s="6379"/>
      <c r="AT4" s="5880" t="s">
        <v>160</v>
      </c>
      <c r="AU4" s="6377" t="s">
        <v>689</v>
      </c>
      <c r="AV4" s="6378"/>
      <c r="AW4" s="6378"/>
      <c r="AX4" s="6379"/>
      <c r="AY4" s="5880" t="s">
        <v>160</v>
      </c>
      <c r="AZ4" s="6377" t="s">
        <v>689</v>
      </c>
      <c r="BA4" s="6378"/>
      <c r="BB4" s="6378"/>
      <c r="BC4" s="6379"/>
      <c r="BD4" s="5880" t="s">
        <v>160</v>
      </c>
      <c r="BE4" s="6377" t="s">
        <v>689</v>
      </c>
      <c r="BF4" s="6378"/>
      <c r="BG4" s="6378"/>
      <c r="BH4" s="6379"/>
      <c r="BI4" s="5880" t="s">
        <v>160</v>
      </c>
      <c r="BJ4" s="6377" t="s">
        <v>689</v>
      </c>
      <c r="BK4" s="6378"/>
      <c r="BL4" s="6378"/>
      <c r="BM4" s="6379"/>
      <c r="BN4" s="5880" t="s">
        <v>160</v>
      </c>
      <c r="BO4" s="6377" t="s">
        <v>689</v>
      </c>
      <c r="BP4" s="6378"/>
      <c r="BQ4" s="6378"/>
      <c r="BR4" s="6379"/>
      <c r="BS4" s="5880" t="s">
        <v>160</v>
      </c>
      <c r="BT4" s="6377" t="s">
        <v>689</v>
      </c>
      <c r="BU4" s="6378"/>
      <c r="BV4" s="6378"/>
      <c r="BW4" s="6379"/>
      <c r="BX4" s="5880" t="s">
        <v>160</v>
      </c>
      <c r="BY4" s="6377" t="s">
        <v>689</v>
      </c>
      <c r="BZ4" s="6378"/>
      <c r="CA4" s="6378"/>
      <c r="CB4" s="6379"/>
      <c r="CC4" s="5880" t="s">
        <v>160</v>
      </c>
    </row>
    <row r="5" spans="1:81" ht="15" x14ac:dyDescent="0.2">
      <c r="A5" s="6043"/>
      <c r="B5" s="4220" t="s">
        <v>145</v>
      </c>
      <c r="C5" s="4219">
        <v>1</v>
      </c>
      <c r="D5" s="4219">
        <v>2</v>
      </c>
      <c r="E5" s="4221">
        <v>3</v>
      </c>
      <c r="F5" s="6376"/>
      <c r="G5" s="4220" t="s">
        <v>145</v>
      </c>
      <c r="H5" s="4219">
        <v>1</v>
      </c>
      <c r="I5" s="4219">
        <v>2</v>
      </c>
      <c r="J5" s="4221">
        <v>3</v>
      </c>
      <c r="K5" s="6376"/>
      <c r="L5" s="4220" t="s">
        <v>145</v>
      </c>
      <c r="M5" s="4219">
        <v>1</v>
      </c>
      <c r="N5" s="4219">
        <v>2</v>
      </c>
      <c r="O5" s="4221">
        <v>3</v>
      </c>
      <c r="P5" s="6376"/>
      <c r="Q5" s="4220" t="s">
        <v>145</v>
      </c>
      <c r="R5" s="4219">
        <v>1</v>
      </c>
      <c r="S5" s="4219">
        <v>2</v>
      </c>
      <c r="T5" s="4221">
        <v>3</v>
      </c>
      <c r="U5" s="6376"/>
      <c r="V5" s="4220" t="s">
        <v>145</v>
      </c>
      <c r="W5" s="4219">
        <v>1</v>
      </c>
      <c r="X5" s="4219">
        <v>2</v>
      </c>
      <c r="Y5" s="4221">
        <v>3</v>
      </c>
      <c r="Z5" s="6376"/>
      <c r="AA5" s="4220" t="s">
        <v>145</v>
      </c>
      <c r="AB5" s="4219">
        <v>1</v>
      </c>
      <c r="AC5" s="4219">
        <v>2</v>
      </c>
      <c r="AD5" s="4221">
        <v>3</v>
      </c>
      <c r="AE5" s="6376"/>
      <c r="AF5" s="4220" t="s">
        <v>145</v>
      </c>
      <c r="AG5" s="4219">
        <v>1</v>
      </c>
      <c r="AH5" s="4219">
        <v>2</v>
      </c>
      <c r="AI5" s="4221">
        <v>3</v>
      </c>
      <c r="AJ5" s="6376"/>
      <c r="AK5" s="4220" t="s">
        <v>145</v>
      </c>
      <c r="AL5" s="4219">
        <v>1</v>
      </c>
      <c r="AM5" s="4219">
        <v>2</v>
      </c>
      <c r="AN5" s="4221">
        <v>3</v>
      </c>
      <c r="AO5" s="6376"/>
      <c r="AP5" s="4220" t="s">
        <v>145</v>
      </c>
      <c r="AQ5" s="4219">
        <v>1</v>
      </c>
      <c r="AR5" s="4219">
        <v>2</v>
      </c>
      <c r="AS5" s="4221">
        <v>3</v>
      </c>
      <c r="AT5" s="6376"/>
      <c r="AU5" s="4220" t="s">
        <v>145</v>
      </c>
      <c r="AV5" s="4219">
        <v>1</v>
      </c>
      <c r="AW5" s="4219">
        <v>2</v>
      </c>
      <c r="AX5" s="4221">
        <v>3</v>
      </c>
      <c r="AY5" s="6376"/>
      <c r="AZ5" s="4220" t="s">
        <v>145</v>
      </c>
      <c r="BA5" s="4219">
        <v>1</v>
      </c>
      <c r="BB5" s="4219">
        <v>2</v>
      </c>
      <c r="BC5" s="4221">
        <v>3</v>
      </c>
      <c r="BD5" s="6376"/>
      <c r="BE5" s="4220" t="s">
        <v>145</v>
      </c>
      <c r="BF5" s="4219">
        <v>1</v>
      </c>
      <c r="BG5" s="4219">
        <v>2</v>
      </c>
      <c r="BH5" s="4221">
        <v>3</v>
      </c>
      <c r="BI5" s="6376"/>
      <c r="BJ5" s="4220" t="s">
        <v>145</v>
      </c>
      <c r="BK5" s="4219">
        <v>1</v>
      </c>
      <c r="BL5" s="4219">
        <v>2</v>
      </c>
      <c r="BM5" s="4221">
        <v>3</v>
      </c>
      <c r="BN5" s="6376"/>
      <c r="BO5" s="4220" t="s">
        <v>145</v>
      </c>
      <c r="BP5" s="4219">
        <v>1</v>
      </c>
      <c r="BQ5" s="4219">
        <v>2</v>
      </c>
      <c r="BR5" s="4221">
        <v>3</v>
      </c>
      <c r="BS5" s="6376"/>
      <c r="BT5" s="4220" t="s">
        <v>145</v>
      </c>
      <c r="BU5" s="4219">
        <v>1</v>
      </c>
      <c r="BV5" s="4219">
        <v>2</v>
      </c>
      <c r="BW5" s="4221">
        <v>3</v>
      </c>
      <c r="BX5" s="6376"/>
      <c r="BY5" s="4220" t="s">
        <v>145</v>
      </c>
      <c r="BZ5" s="4219">
        <v>1</v>
      </c>
      <c r="CA5" s="4219">
        <v>2</v>
      </c>
      <c r="CB5" s="4221">
        <v>3</v>
      </c>
      <c r="CC5" s="6376"/>
    </row>
    <row r="6" spans="1:81" ht="15" x14ac:dyDescent="0.2">
      <c r="A6" s="1930"/>
      <c r="B6" s="321"/>
      <c r="C6" s="321"/>
      <c r="D6" s="250"/>
      <c r="E6" s="250"/>
      <c r="F6" s="250"/>
      <c r="G6" s="321"/>
      <c r="H6" s="321"/>
      <c r="I6" s="250"/>
      <c r="J6" s="250"/>
      <c r="K6" s="250"/>
      <c r="L6" s="321"/>
      <c r="M6" s="321"/>
      <c r="N6" s="250"/>
      <c r="O6" s="250"/>
      <c r="P6" s="250"/>
      <c r="Q6" s="321"/>
      <c r="R6" s="321"/>
      <c r="S6" s="250"/>
      <c r="T6" s="250"/>
      <c r="U6" s="250"/>
      <c r="V6" s="321"/>
      <c r="W6" s="321"/>
      <c r="X6" s="250"/>
      <c r="Y6" s="250"/>
      <c r="Z6" s="250"/>
      <c r="AA6" s="321"/>
      <c r="AB6" s="321"/>
      <c r="AC6" s="250"/>
      <c r="AD6" s="250"/>
      <c r="AE6" s="250"/>
      <c r="AF6" s="321"/>
      <c r="AG6" s="321"/>
      <c r="AH6" s="250"/>
      <c r="AI6" s="250"/>
      <c r="AJ6" s="250"/>
      <c r="AK6" s="321"/>
      <c r="AL6" s="321"/>
      <c r="AM6" s="250"/>
      <c r="AN6" s="250"/>
      <c r="AO6" s="250"/>
      <c r="AP6" s="321"/>
      <c r="AQ6" s="321"/>
      <c r="AR6" s="250"/>
      <c r="AS6" s="250"/>
      <c r="AT6" s="250"/>
      <c r="AU6" s="321"/>
      <c r="AV6" s="321"/>
      <c r="AW6" s="250"/>
      <c r="AX6" s="250"/>
      <c r="AY6" s="250"/>
      <c r="AZ6" s="321"/>
      <c r="BA6" s="321"/>
      <c r="BB6" s="250"/>
      <c r="BC6" s="250"/>
      <c r="BD6" s="250"/>
      <c r="BE6" s="321"/>
      <c r="BF6" s="321"/>
      <c r="BG6" s="250"/>
      <c r="BH6" s="250"/>
      <c r="BI6" s="250"/>
      <c r="BJ6" s="321"/>
      <c r="BK6" s="321"/>
      <c r="BL6" s="250"/>
      <c r="BM6" s="250"/>
      <c r="BN6" s="250"/>
      <c r="BO6" s="321"/>
      <c r="BP6" s="321"/>
      <c r="BQ6" s="250"/>
      <c r="BR6" s="250"/>
      <c r="BS6" s="250"/>
      <c r="BT6" s="321"/>
      <c r="BU6" s="321"/>
      <c r="BV6" s="250"/>
      <c r="BW6" s="250"/>
      <c r="BX6" s="250"/>
      <c r="BY6" s="321"/>
      <c r="BZ6" s="321"/>
      <c r="CA6" s="250"/>
      <c r="CB6" s="250"/>
      <c r="CC6" s="250"/>
    </row>
    <row r="7" spans="1:81" ht="14.1" customHeight="1" x14ac:dyDescent="0.2">
      <c r="A7" s="1931" t="s">
        <v>5</v>
      </c>
      <c r="B7" s="897">
        <v>14</v>
      </c>
      <c r="C7" s="898">
        <v>18</v>
      </c>
      <c r="D7" s="898">
        <v>4</v>
      </c>
      <c r="E7" s="898"/>
      <c r="F7" s="4222">
        <f>SUM(B7:E7)</f>
        <v>36</v>
      </c>
      <c r="G7" s="897">
        <v>9</v>
      </c>
      <c r="H7" s="898">
        <v>25</v>
      </c>
      <c r="I7" s="898">
        <v>5</v>
      </c>
      <c r="J7" s="898"/>
      <c r="K7" s="4222">
        <f>SUM(G7:J7)</f>
        <v>39</v>
      </c>
      <c r="L7" s="897">
        <v>10</v>
      </c>
      <c r="M7" s="898">
        <v>26</v>
      </c>
      <c r="N7" s="898">
        <v>7</v>
      </c>
      <c r="O7" s="898"/>
      <c r="P7" s="4222">
        <f>SUM(L7:O7)</f>
        <v>43</v>
      </c>
      <c r="Q7" s="897">
        <v>9</v>
      </c>
      <c r="R7" s="898">
        <v>26</v>
      </c>
      <c r="S7" s="898">
        <v>7</v>
      </c>
      <c r="T7" s="898"/>
      <c r="U7" s="4222">
        <f>SUM(Q7:T7)</f>
        <v>42</v>
      </c>
      <c r="V7" s="897">
        <v>11</v>
      </c>
      <c r="W7" s="898">
        <v>31</v>
      </c>
      <c r="X7" s="898">
        <v>7</v>
      </c>
      <c r="Y7" s="898"/>
      <c r="Z7" s="4222">
        <f>SUM(V7:Y7)</f>
        <v>49</v>
      </c>
      <c r="AA7" s="897">
        <v>13</v>
      </c>
      <c r="AB7" s="898">
        <v>32</v>
      </c>
      <c r="AC7" s="898">
        <v>7</v>
      </c>
      <c r="AD7" s="898"/>
      <c r="AE7" s="4222">
        <f>SUM(AA7:AD7)</f>
        <v>52</v>
      </c>
      <c r="AF7" s="897">
        <v>16</v>
      </c>
      <c r="AG7" s="898">
        <v>35</v>
      </c>
      <c r="AH7" s="898">
        <v>8</v>
      </c>
      <c r="AI7" s="898">
        <v>1</v>
      </c>
      <c r="AJ7" s="4222">
        <f>SUM(AF7:AI7)</f>
        <v>60</v>
      </c>
      <c r="AK7" s="897">
        <v>18</v>
      </c>
      <c r="AL7" s="898">
        <v>40</v>
      </c>
      <c r="AM7" s="898">
        <v>8</v>
      </c>
      <c r="AN7" s="898">
        <v>1</v>
      </c>
      <c r="AO7" s="4222">
        <f>SUM(AK7:AN7)</f>
        <v>67</v>
      </c>
      <c r="AP7" s="897">
        <v>13</v>
      </c>
      <c r="AQ7" s="898">
        <v>48</v>
      </c>
      <c r="AR7" s="898">
        <v>9</v>
      </c>
      <c r="AS7" s="898">
        <v>1</v>
      </c>
      <c r="AT7" s="4222">
        <f>SUM(AP7:AS7)</f>
        <v>71</v>
      </c>
      <c r="AU7" s="897">
        <v>12</v>
      </c>
      <c r="AV7" s="898">
        <v>48</v>
      </c>
      <c r="AW7" s="898">
        <v>10</v>
      </c>
      <c r="AX7" s="898">
        <v>1</v>
      </c>
      <c r="AY7" s="4222">
        <f>SUM(AU7:AX7)</f>
        <v>71</v>
      </c>
      <c r="AZ7" s="897">
        <v>14</v>
      </c>
      <c r="BA7" s="898">
        <v>55</v>
      </c>
      <c r="BB7" s="898">
        <v>18</v>
      </c>
      <c r="BC7" s="898">
        <v>1</v>
      </c>
      <c r="BD7" s="4222">
        <f>SUM(AZ7:BC7)</f>
        <v>88</v>
      </c>
      <c r="BE7" s="897">
        <v>20</v>
      </c>
      <c r="BF7" s="898">
        <v>55</v>
      </c>
      <c r="BG7" s="898">
        <v>18</v>
      </c>
      <c r="BH7" s="898">
        <v>1</v>
      </c>
      <c r="BI7" s="4222">
        <f>SUM(BE7:BH7)</f>
        <v>94</v>
      </c>
      <c r="BJ7" s="897">
        <v>22</v>
      </c>
      <c r="BK7" s="898">
        <v>54</v>
      </c>
      <c r="BL7" s="898">
        <v>19</v>
      </c>
      <c r="BM7" s="898">
        <v>1</v>
      </c>
      <c r="BN7" s="4222">
        <f>SUM(BJ7:BM7)</f>
        <v>96</v>
      </c>
      <c r="BO7" s="897">
        <v>27</v>
      </c>
      <c r="BP7" s="898">
        <v>59</v>
      </c>
      <c r="BQ7" s="898">
        <v>23</v>
      </c>
      <c r="BR7" s="898">
        <v>1</v>
      </c>
      <c r="BS7" s="4222">
        <f>SUM(BO7:BR7)</f>
        <v>110</v>
      </c>
      <c r="BT7" s="897">
        <v>18</v>
      </c>
      <c r="BU7" s="898">
        <v>65</v>
      </c>
      <c r="BV7" s="898">
        <v>25</v>
      </c>
      <c r="BW7" s="898">
        <v>3</v>
      </c>
      <c r="BX7" s="4222">
        <f>SUM(BT7:BW7)</f>
        <v>111</v>
      </c>
      <c r="BY7" s="897">
        <v>19</v>
      </c>
      <c r="BZ7" s="898">
        <v>62</v>
      </c>
      <c r="CA7" s="898">
        <v>26</v>
      </c>
      <c r="CB7" s="898">
        <v>3</v>
      </c>
      <c r="CC7" s="4222">
        <f>SUM(BY7:CB7)</f>
        <v>110</v>
      </c>
    </row>
    <row r="8" spans="1:81" ht="14.1" customHeight="1" x14ac:dyDescent="0.2">
      <c r="A8" s="1932" t="s">
        <v>6</v>
      </c>
      <c r="B8" s="907">
        <v>4</v>
      </c>
      <c r="C8" s="908">
        <v>35</v>
      </c>
      <c r="D8" s="908">
        <v>4</v>
      </c>
      <c r="E8" s="908">
        <v>1</v>
      </c>
      <c r="F8" s="4223">
        <f t="shared" ref="F8:F29" si="0">SUM(B8:E8)</f>
        <v>44</v>
      </c>
      <c r="G8" s="907">
        <v>4</v>
      </c>
      <c r="H8" s="908">
        <v>41</v>
      </c>
      <c r="I8" s="908">
        <v>8</v>
      </c>
      <c r="J8" s="908">
        <v>1</v>
      </c>
      <c r="K8" s="4223">
        <f t="shared" ref="K8:K31" si="1">SUM(G8:J8)</f>
        <v>54</v>
      </c>
      <c r="L8" s="907">
        <v>2</v>
      </c>
      <c r="M8" s="908">
        <v>57</v>
      </c>
      <c r="N8" s="908">
        <v>7</v>
      </c>
      <c r="O8" s="908">
        <v>1</v>
      </c>
      <c r="P8" s="4223">
        <f t="shared" ref="P8:P31" si="2">SUM(L8:O8)</f>
        <v>67</v>
      </c>
      <c r="Q8" s="907">
        <v>3</v>
      </c>
      <c r="R8" s="908">
        <v>56</v>
      </c>
      <c r="S8" s="908">
        <v>8</v>
      </c>
      <c r="T8" s="908">
        <v>1</v>
      </c>
      <c r="U8" s="4223">
        <f t="shared" ref="U8:U31" si="3">SUM(Q8:T8)</f>
        <v>68</v>
      </c>
      <c r="V8" s="907">
        <v>2</v>
      </c>
      <c r="W8" s="908">
        <v>59</v>
      </c>
      <c r="X8" s="908">
        <v>8</v>
      </c>
      <c r="Y8" s="908">
        <v>1</v>
      </c>
      <c r="Z8" s="4223">
        <f t="shared" ref="Z8:Z31" si="4">SUM(V8:Y8)</f>
        <v>70</v>
      </c>
      <c r="AA8" s="907">
        <v>1</v>
      </c>
      <c r="AB8" s="908">
        <v>63</v>
      </c>
      <c r="AC8" s="908">
        <v>9</v>
      </c>
      <c r="AD8" s="908">
        <v>2</v>
      </c>
      <c r="AE8" s="4223">
        <f t="shared" ref="AE8:AE31" si="5">SUM(AA8:AD8)</f>
        <v>75</v>
      </c>
      <c r="AF8" s="907">
        <v>3</v>
      </c>
      <c r="AG8" s="908">
        <v>63</v>
      </c>
      <c r="AH8" s="908">
        <v>18</v>
      </c>
      <c r="AI8" s="908">
        <v>2</v>
      </c>
      <c r="AJ8" s="4223">
        <f t="shared" ref="AJ8:AJ31" si="6">SUM(AF8:AI8)</f>
        <v>86</v>
      </c>
      <c r="AK8" s="907">
        <v>5</v>
      </c>
      <c r="AL8" s="908">
        <v>69</v>
      </c>
      <c r="AM8" s="908">
        <v>17</v>
      </c>
      <c r="AN8" s="908">
        <v>3</v>
      </c>
      <c r="AO8" s="4223">
        <f t="shared" ref="AO8:AO31" si="7">SUM(AK8:AN8)</f>
        <v>94</v>
      </c>
      <c r="AP8" s="907">
        <v>2</v>
      </c>
      <c r="AQ8" s="908">
        <v>64</v>
      </c>
      <c r="AR8" s="908">
        <v>25</v>
      </c>
      <c r="AS8" s="908">
        <v>4</v>
      </c>
      <c r="AT8" s="4223">
        <f t="shared" ref="AT8:AT31" si="8">SUM(AP8:AS8)</f>
        <v>95</v>
      </c>
      <c r="AU8" s="907">
        <v>2</v>
      </c>
      <c r="AV8" s="908">
        <v>65</v>
      </c>
      <c r="AW8" s="908">
        <v>26</v>
      </c>
      <c r="AX8" s="908">
        <v>4</v>
      </c>
      <c r="AY8" s="4223">
        <f t="shared" ref="AY8:AY31" si="9">SUM(AU8:AX8)</f>
        <v>97</v>
      </c>
      <c r="AZ8" s="907">
        <v>3</v>
      </c>
      <c r="BA8" s="908">
        <v>59</v>
      </c>
      <c r="BB8" s="908">
        <v>22</v>
      </c>
      <c r="BC8" s="908">
        <v>5</v>
      </c>
      <c r="BD8" s="4223">
        <f t="shared" ref="BD8:BD31" si="10">SUM(AZ8:BC8)</f>
        <v>89</v>
      </c>
      <c r="BE8" s="907">
        <v>2</v>
      </c>
      <c r="BF8" s="908">
        <v>60</v>
      </c>
      <c r="BG8" s="908">
        <v>22</v>
      </c>
      <c r="BH8" s="908">
        <v>4</v>
      </c>
      <c r="BI8" s="4223">
        <f t="shared" ref="BI8:BI31" si="11">SUM(BE8:BH8)</f>
        <v>88</v>
      </c>
      <c r="BJ8" s="907">
        <v>5</v>
      </c>
      <c r="BK8" s="908">
        <v>64</v>
      </c>
      <c r="BL8" s="908">
        <v>15</v>
      </c>
      <c r="BM8" s="908">
        <v>4</v>
      </c>
      <c r="BN8" s="4223">
        <f t="shared" ref="BN8:BN31" si="12">SUM(BJ8:BM8)</f>
        <v>88</v>
      </c>
      <c r="BO8" s="907">
        <v>6</v>
      </c>
      <c r="BP8" s="908">
        <v>77</v>
      </c>
      <c r="BQ8" s="908">
        <v>16</v>
      </c>
      <c r="BR8" s="908">
        <v>5</v>
      </c>
      <c r="BS8" s="4223">
        <f t="shared" ref="BS8:BS31" si="13">SUM(BO8:BR8)</f>
        <v>104</v>
      </c>
      <c r="BT8" s="907">
        <v>9</v>
      </c>
      <c r="BU8" s="908">
        <v>79</v>
      </c>
      <c r="BV8" s="908">
        <v>17</v>
      </c>
      <c r="BW8" s="908">
        <v>4</v>
      </c>
      <c r="BX8" s="4223">
        <f t="shared" ref="BX8:BX31" si="14">SUM(BT8:BW8)</f>
        <v>109</v>
      </c>
      <c r="BY8" s="907">
        <v>10</v>
      </c>
      <c r="BZ8" s="908">
        <v>75</v>
      </c>
      <c r="CA8" s="908">
        <v>20</v>
      </c>
      <c r="CB8" s="908">
        <v>6</v>
      </c>
      <c r="CC8" s="4223">
        <f t="shared" ref="CC8:CC9" si="15">SUM(BY8:CB8)</f>
        <v>111</v>
      </c>
    </row>
    <row r="9" spans="1:81" ht="14.1" customHeight="1" x14ac:dyDescent="0.2">
      <c r="A9" s="1936" t="s">
        <v>7</v>
      </c>
      <c r="B9" s="4236">
        <v>1</v>
      </c>
      <c r="C9" s="4224">
        <v>5</v>
      </c>
      <c r="D9" s="4224">
        <v>1</v>
      </c>
      <c r="E9" s="4224"/>
      <c r="F9" s="4225">
        <f t="shared" si="0"/>
        <v>7</v>
      </c>
      <c r="G9" s="4236"/>
      <c r="H9" s="4224">
        <v>6</v>
      </c>
      <c r="I9" s="4224">
        <v>3</v>
      </c>
      <c r="J9" s="4224"/>
      <c r="K9" s="4225">
        <f t="shared" si="1"/>
        <v>9</v>
      </c>
      <c r="L9" s="4236"/>
      <c r="M9" s="4224">
        <v>8</v>
      </c>
      <c r="N9" s="4224">
        <v>4</v>
      </c>
      <c r="O9" s="4224"/>
      <c r="P9" s="4225">
        <f t="shared" si="2"/>
        <v>12</v>
      </c>
      <c r="Q9" s="4236"/>
      <c r="R9" s="4224">
        <v>8</v>
      </c>
      <c r="S9" s="4224">
        <v>3</v>
      </c>
      <c r="T9" s="4224"/>
      <c r="U9" s="4225">
        <f t="shared" si="3"/>
        <v>11</v>
      </c>
      <c r="V9" s="4236"/>
      <c r="W9" s="4224">
        <v>7</v>
      </c>
      <c r="X9" s="4224">
        <v>4</v>
      </c>
      <c r="Y9" s="4224"/>
      <c r="Z9" s="4225">
        <f t="shared" si="4"/>
        <v>11</v>
      </c>
      <c r="AA9" s="4236">
        <v>1</v>
      </c>
      <c r="AB9" s="4224">
        <v>7</v>
      </c>
      <c r="AC9" s="4224">
        <v>4</v>
      </c>
      <c r="AD9" s="4224"/>
      <c r="AE9" s="4225">
        <f t="shared" si="5"/>
        <v>12</v>
      </c>
      <c r="AF9" s="4236">
        <v>1</v>
      </c>
      <c r="AG9" s="4224">
        <v>5</v>
      </c>
      <c r="AH9" s="4224">
        <v>5</v>
      </c>
      <c r="AI9" s="4224"/>
      <c r="AJ9" s="4225">
        <f t="shared" si="6"/>
        <v>11</v>
      </c>
      <c r="AK9" s="4236">
        <v>1</v>
      </c>
      <c r="AL9" s="4224">
        <v>7</v>
      </c>
      <c r="AM9" s="4224">
        <v>4</v>
      </c>
      <c r="AN9" s="4224"/>
      <c r="AO9" s="4225">
        <f t="shared" si="7"/>
        <v>12</v>
      </c>
      <c r="AP9" s="4236"/>
      <c r="AQ9" s="4224">
        <v>5</v>
      </c>
      <c r="AR9" s="4224">
        <v>3</v>
      </c>
      <c r="AS9" s="4224"/>
      <c r="AT9" s="4225">
        <f t="shared" si="8"/>
        <v>8</v>
      </c>
      <c r="AU9" s="4236"/>
      <c r="AV9" s="4224">
        <v>5</v>
      </c>
      <c r="AW9" s="4224">
        <v>3</v>
      </c>
      <c r="AX9" s="4224"/>
      <c r="AY9" s="4225">
        <f t="shared" si="9"/>
        <v>8</v>
      </c>
      <c r="AZ9" s="4236">
        <v>1</v>
      </c>
      <c r="BA9" s="4224">
        <v>2</v>
      </c>
      <c r="BB9" s="4224">
        <v>3</v>
      </c>
      <c r="BC9" s="4224"/>
      <c r="BD9" s="4225">
        <f t="shared" si="10"/>
        <v>6</v>
      </c>
      <c r="BE9" s="4236">
        <v>1</v>
      </c>
      <c r="BF9" s="4224">
        <v>2</v>
      </c>
      <c r="BG9" s="4224">
        <v>3</v>
      </c>
      <c r="BH9" s="4224"/>
      <c r="BI9" s="4225">
        <f t="shared" si="11"/>
        <v>6</v>
      </c>
      <c r="BJ9" s="4236">
        <v>2</v>
      </c>
      <c r="BK9" s="4224">
        <v>1</v>
      </c>
      <c r="BL9" s="4224">
        <v>3</v>
      </c>
      <c r="BM9" s="4224"/>
      <c r="BN9" s="4225">
        <f t="shared" si="12"/>
        <v>6</v>
      </c>
      <c r="BO9" s="4236">
        <v>4</v>
      </c>
      <c r="BP9" s="4224">
        <v>2</v>
      </c>
      <c r="BQ9" s="4224">
        <v>2</v>
      </c>
      <c r="BR9" s="4224"/>
      <c r="BS9" s="4225">
        <f t="shared" si="13"/>
        <v>8</v>
      </c>
      <c r="BT9" s="4236">
        <v>4</v>
      </c>
      <c r="BU9" s="4224">
        <v>5</v>
      </c>
      <c r="BV9" s="4224">
        <v>2</v>
      </c>
      <c r="BW9" s="4224"/>
      <c r="BX9" s="4225">
        <f t="shared" si="14"/>
        <v>11</v>
      </c>
      <c r="BY9" s="4236">
        <v>4</v>
      </c>
      <c r="BZ9" s="4224">
        <v>7</v>
      </c>
      <c r="CA9" s="4224">
        <v>2</v>
      </c>
      <c r="CB9" s="4224"/>
      <c r="CC9" s="4225">
        <f t="shared" si="15"/>
        <v>13</v>
      </c>
    </row>
    <row r="10" spans="1:81" ht="15" customHeight="1" x14ac:dyDescent="0.2">
      <c r="A10" s="2899" t="s">
        <v>161</v>
      </c>
      <c r="B10" s="4241">
        <f>SUM(B7:B9)</f>
        <v>19</v>
      </c>
      <c r="C10" s="4226">
        <f t="shared" ref="C10:BN10" si="16">SUM(C7:C9)</f>
        <v>58</v>
      </c>
      <c r="D10" s="4226">
        <f t="shared" si="16"/>
        <v>9</v>
      </c>
      <c r="E10" s="4226">
        <f t="shared" si="16"/>
        <v>1</v>
      </c>
      <c r="F10" s="4227">
        <f t="shared" si="16"/>
        <v>87</v>
      </c>
      <c r="G10" s="4241">
        <f t="shared" si="16"/>
        <v>13</v>
      </c>
      <c r="H10" s="4226">
        <f t="shared" si="16"/>
        <v>72</v>
      </c>
      <c r="I10" s="4226">
        <f t="shared" si="16"/>
        <v>16</v>
      </c>
      <c r="J10" s="4226">
        <f t="shared" si="16"/>
        <v>1</v>
      </c>
      <c r="K10" s="4227">
        <f t="shared" si="16"/>
        <v>102</v>
      </c>
      <c r="L10" s="4241">
        <f t="shared" si="16"/>
        <v>12</v>
      </c>
      <c r="M10" s="4226">
        <f t="shared" si="16"/>
        <v>91</v>
      </c>
      <c r="N10" s="4226">
        <f t="shared" si="16"/>
        <v>18</v>
      </c>
      <c r="O10" s="4226">
        <f t="shared" si="16"/>
        <v>1</v>
      </c>
      <c r="P10" s="4227">
        <f t="shared" si="16"/>
        <v>122</v>
      </c>
      <c r="Q10" s="4241">
        <f t="shared" si="16"/>
        <v>12</v>
      </c>
      <c r="R10" s="4226">
        <f t="shared" si="16"/>
        <v>90</v>
      </c>
      <c r="S10" s="4226">
        <f t="shared" si="16"/>
        <v>18</v>
      </c>
      <c r="T10" s="4226">
        <f t="shared" si="16"/>
        <v>1</v>
      </c>
      <c r="U10" s="4227">
        <f t="shared" si="16"/>
        <v>121</v>
      </c>
      <c r="V10" s="4241">
        <f t="shared" si="16"/>
        <v>13</v>
      </c>
      <c r="W10" s="4226">
        <f t="shared" si="16"/>
        <v>97</v>
      </c>
      <c r="X10" s="4226">
        <f t="shared" si="16"/>
        <v>19</v>
      </c>
      <c r="Y10" s="4226">
        <f t="shared" si="16"/>
        <v>1</v>
      </c>
      <c r="Z10" s="4227">
        <f t="shared" si="16"/>
        <v>130</v>
      </c>
      <c r="AA10" s="4241">
        <f t="shared" si="16"/>
        <v>15</v>
      </c>
      <c r="AB10" s="4226">
        <f t="shared" si="16"/>
        <v>102</v>
      </c>
      <c r="AC10" s="4226">
        <f t="shared" si="16"/>
        <v>20</v>
      </c>
      <c r="AD10" s="4226">
        <f t="shared" si="16"/>
        <v>2</v>
      </c>
      <c r="AE10" s="4227">
        <f t="shared" si="16"/>
        <v>139</v>
      </c>
      <c r="AF10" s="4241">
        <f t="shared" si="16"/>
        <v>20</v>
      </c>
      <c r="AG10" s="4226">
        <f t="shared" si="16"/>
        <v>103</v>
      </c>
      <c r="AH10" s="4226">
        <f t="shared" si="16"/>
        <v>31</v>
      </c>
      <c r="AI10" s="4226">
        <f t="shared" si="16"/>
        <v>3</v>
      </c>
      <c r="AJ10" s="4227">
        <f t="shared" si="16"/>
        <v>157</v>
      </c>
      <c r="AK10" s="4241">
        <f t="shared" si="16"/>
        <v>24</v>
      </c>
      <c r="AL10" s="4226">
        <f t="shared" si="16"/>
        <v>116</v>
      </c>
      <c r="AM10" s="4226">
        <f t="shared" si="16"/>
        <v>29</v>
      </c>
      <c r="AN10" s="4226">
        <f t="shared" si="16"/>
        <v>4</v>
      </c>
      <c r="AO10" s="4227">
        <f t="shared" si="16"/>
        <v>173</v>
      </c>
      <c r="AP10" s="4241">
        <f t="shared" si="16"/>
        <v>15</v>
      </c>
      <c r="AQ10" s="4226">
        <f t="shared" si="16"/>
        <v>117</v>
      </c>
      <c r="AR10" s="4226">
        <f t="shared" si="16"/>
        <v>37</v>
      </c>
      <c r="AS10" s="4226">
        <f t="shared" si="16"/>
        <v>5</v>
      </c>
      <c r="AT10" s="4227">
        <f t="shared" si="16"/>
        <v>174</v>
      </c>
      <c r="AU10" s="4241">
        <f t="shared" si="16"/>
        <v>14</v>
      </c>
      <c r="AV10" s="4226">
        <f t="shared" si="16"/>
        <v>118</v>
      </c>
      <c r="AW10" s="4226">
        <f t="shared" si="16"/>
        <v>39</v>
      </c>
      <c r="AX10" s="4226">
        <f t="shared" si="16"/>
        <v>5</v>
      </c>
      <c r="AY10" s="4227">
        <f t="shared" si="16"/>
        <v>176</v>
      </c>
      <c r="AZ10" s="4241">
        <f t="shared" si="16"/>
        <v>18</v>
      </c>
      <c r="BA10" s="4226">
        <f t="shared" si="16"/>
        <v>116</v>
      </c>
      <c r="BB10" s="4226">
        <f t="shared" si="16"/>
        <v>43</v>
      </c>
      <c r="BC10" s="4226">
        <f t="shared" si="16"/>
        <v>6</v>
      </c>
      <c r="BD10" s="4227">
        <f t="shared" si="16"/>
        <v>183</v>
      </c>
      <c r="BE10" s="4241">
        <f t="shared" si="16"/>
        <v>23</v>
      </c>
      <c r="BF10" s="4226">
        <f t="shared" si="16"/>
        <v>117</v>
      </c>
      <c r="BG10" s="4226">
        <f t="shared" si="16"/>
        <v>43</v>
      </c>
      <c r="BH10" s="4226">
        <f t="shared" si="16"/>
        <v>5</v>
      </c>
      <c r="BI10" s="4227">
        <f t="shared" si="16"/>
        <v>188</v>
      </c>
      <c r="BJ10" s="4241">
        <f t="shared" si="16"/>
        <v>29</v>
      </c>
      <c r="BK10" s="4226">
        <f t="shared" si="16"/>
        <v>119</v>
      </c>
      <c r="BL10" s="4226">
        <f t="shared" si="16"/>
        <v>37</v>
      </c>
      <c r="BM10" s="4226">
        <f t="shared" si="16"/>
        <v>5</v>
      </c>
      <c r="BN10" s="4227">
        <f t="shared" si="16"/>
        <v>190</v>
      </c>
      <c r="BO10" s="4241">
        <f t="shared" ref="BO10:BX10" si="17">SUM(BO7:BO9)</f>
        <v>37</v>
      </c>
      <c r="BP10" s="4226">
        <f t="shared" si="17"/>
        <v>138</v>
      </c>
      <c r="BQ10" s="4226">
        <f t="shared" si="17"/>
        <v>41</v>
      </c>
      <c r="BR10" s="4226">
        <f t="shared" si="17"/>
        <v>6</v>
      </c>
      <c r="BS10" s="4227">
        <f t="shared" si="17"/>
        <v>222</v>
      </c>
      <c r="BT10" s="4241">
        <f t="shared" si="17"/>
        <v>31</v>
      </c>
      <c r="BU10" s="4226">
        <f t="shared" si="17"/>
        <v>149</v>
      </c>
      <c r="BV10" s="4226">
        <f t="shared" si="17"/>
        <v>44</v>
      </c>
      <c r="BW10" s="4226">
        <f t="shared" si="17"/>
        <v>7</v>
      </c>
      <c r="BX10" s="4227">
        <f t="shared" si="17"/>
        <v>231</v>
      </c>
      <c r="BY10" s="4241">
        <f t="shared" ref="BY10:CC10" si="18">SUM(BY7:BY9)</f>
        <v>33</v>
      </c>
      <c r="BZ10" s="4226">
        <f t="shared" si="18"/>
        <v>144</v>
      </c>
      <c r="CA10" s="4226">
        <f t="shared" si="18"/>
        <v>48</v>
      </c>
      <c r="CB10" s="4226">
        <f t="shared" si="18"/>
        <v>9</v>
      </c>
      <c r="CC10" s="4227">
        <f t="shared" si="18"/>
        <v>234</v>
      </c>
    </row>
    <row r="11" spans="1:81" ht="15" customHeight="1" x14ac:dyDescent="0.2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AJ11" s="23"/>
      <c r="AO11" s="23"/>
    </row>
    <row r="12" spans="1:81" ht="15" customHeight="1" x14ac:dyDescent="0.2">
      <c r="A12" s="1931" t="s">
        <v>6</v>
      </c>
      <c r="B12" s="897"/>
      <c r="C12" s="898"/>
      <c r="D12" s="898"/>
      <c r="E12" s="898"/>
      <c r="F12" s="4222"/>
      <c r="G12" s="897"/>
      <c r="H12" s="898"/>
      <c r="I12" s="898"/>
      <c r="J12" s="898"/>
      <c r="K12" s="4222"/>
      <c r="L12" s="897"/>
      <c r="M12" s="898"/>
      <c r="N12" s="898"/>
      <c r="O12" s="898"/>
      <c r="P12" s="4222"/>
      <c r="Q12" s="897"/>
      <c r="R12" s="898"/>
      <c r="S12" s="898"/>
      <c r="T12" s="898"/>
      <c r="U12" s="4222"/>
      <c r="V12" s="897"/>
      <c r="W12" s="898"/>
      <c r="X12" s="898"/>
      <c r="Y12" s="898"/>
      <c r="Z12" s="4222"/>
      <c r="AA12" s="897"/>
      <c r="AB12" s="898">
        <v>4</v>
      </c>
      <c r="AC12" s="898">
        <v>3</v>
      </c>
      <c r="AD12" s="898"/>
      <c r="AE12" s="4222">
        <f t="shared" si="5"/>
        <v>7</v>
      </c>
      <c r="AF12" s="897"/>
      <c r="AG12" s="898">
        <v>3</v>
      </c>
      <c r="AH12" s="898">
        <v>4</v>
      </c>
      <c r="AI12" s="898"/>
      <c r="AJ12" s="4222">
        <f t="shared" si="6"/>
        <v>7</v>
      </c>
      <c r="AK12" s="897">
        <v>7</v>
      </c>
      <c r="AL12" s="898">
        <v>6</v>
      </c>
      <c r="AM12" s="898">
        <v>3</v>
      </c>
      <c r="AN12" s="898"/>
      <c r="AO12" s="4222">
        <f t="shared" si="7"/>
        <v>16</v>
      </c>
      <c r="AP12" s="897">
        <v>16</v>
      </c>
      <c r="AQ12" s="898">
        <v>12</v>
      </c>
      <c r="AR12" s="898">
        <v>5</v>
      </c>
      <c r="AS12" s="898">
        <v>2</v>
      </c>
      <c r="AT12" s="4222">
        <f t="shared" si="8"/>
        <v>35</v>
      </c>
      <c r="AU12" s="897">
        <v>16</v>
      </c>
      <c r="AV12" s="898">
        <v>14</v>
      </c>
      <c r="AW12" s="898">
        <v>5</v>
      </c>
      <c r="AX12" s="898">
        <v>1</v>
      </c>
      <c r="AY12" s="4222">
        <f t="shared" si="9"/>
        <v>36</v>
      </c>
      <c r="AZ12" s="897">
        <v>11</v>
      </c>
      <c r="BA12" s="898">
        <v>22</v>
      </c>
      <c r="BB12" s="898">
        <v>5</v>
      </c>
      <c r="BC12" s="898">
        <v>1</v>
      </c>
      <c r="BD12" s="4222">
        <f t="shared" si="10"/>
        <v>39</v>
      </c>
      <c r="BE12" s="897">
        <v>13</v>
      </c>
      <c r="BF12" s="898">
        <v>23</v>
      </c>
      <c r="BG12" s="898">
        <v>6</v>
      </c>
      <c r="BH12" s="898">
        <v>1</v>
      </c>
      <c r="BI12" s="4222">
        <f t="shared" si="11"/>
        <v>43</v>
      </c>
      <c r="BJ12" s="897">
        <v>8</v>
      </c>
      <c r="BK12" s="898">
        <v>27</v>
      </c>
      <c r="BL12" s="898">
        <v>7</v>
      </c>
      <c r="BM12" s="898"/>
      <c r="BN12" s="4222">
        <f t="shared" si="12"/>
        <v>42</v>
      </c>
      <c r="BO12" s="897">
        <v>6</v>
      </c>
      <c r="BP12" s="898">
        <v>33</v>
      </c>
      <c r="BQ12" s="898">
        <v>7</v>
      </c>
      <c r="BR12" s="898"/>
      <c r="BS12" s="4222">
        <f t="shared" si="13"/>
        <v>46</v>
      </c>
      <c r="BT12" s="897">
        <v>6</v>
      </c>
      <c r="BU12" s="898">
        <v>30</v>
      </c>
      <c r="BV12" s="898">
        <v>8</v>
      </c>
      <c r="BW12" s="898"/>
      <c r="BX12" s="4222">
        <f t="shared" si="14"/>
        <v>44</v>
      </c>
      <c r="BY12" s="897">
        <v>6</v>
      </c>
      <c r="BZ12" s="898">
        <v>34</v>
      </c>
      <c r="CA12" s="898">
        <v>9</v>
      </c>
      <c r="CB12" s="898"/>
      <c r="CC12" s="4222">
        <f t="shared" ref="CC12:CC14" si="19">SUM(BY12:CB12)</f>
        <v>49</v>
      </c>
    </row>
    <row r="13" spans="1:81" ht="15" customHeight="1" x14ac:dyDescent="0.2">
      <c r="A13" s="1932" t="s">
        <v>9</v>
      </c>
      <c r="B13" s="907"/>
      <c r="C13" s="908"/>
      <c r="D13" s="908"/>
      <c r="E13" s="908"/>
      <c r="F13" s="4223"/>
      <c r="G13" s="907"/>
      <c r="H13" s="908"/>
      <c r="I13" s="908"/>
      <c r="J13" s="908"/>
      <c r="K13" s="4223"/>
      <c r="L13" s="907"/>
      <c r="M13" s="908"/>
      <c r="N13" s="908"/>
      <c r="O13" s="908"/>
      <c r="P13" s="4223"/>
      <c r="Q13" s="907"/>
      <c r="R13" s="908"/>
      <c r="S13" s="908"/>
      <c r="T13" s="908"/>
      <c r="U13" s="4223"/>
      <c r="V13" s="907"/>
      <c r="W13" s="908"/>
      <c r="X13" s="908"/>
      <c r="Y13" s="908"/>
      <c r="Z13" s="4223"/>
      <c r="AA13" s="907"/>
      <c r="AB13" s="908">
        <v>1</v>
      </c>
      <c r="AC13" s="908"/>
      <c r="AD13" s="908"/>
      <c r="AE13" s="4223">
        <f t="shared" si="5"/>
        <v>1</v>
      </c>
      <c r="AF13" s="907"/>
      <c r="AG13" s="908">
        <v>1</v>
      </c>
      <c r="AH13" s="908"/>
      <c r="AI13" s="908"/>
      <c r="AJ13" s="4223">
        <f t="shared" si="6"/>
        <v>1</v>
      </c>
      <c r="AK13" s="907"/>
      <c r="AL13" s="908">
        <v>1</v>
      </c>
      <c r="AM13" s="908"/>
      <c r="AN13" s="908"/>
      <c r="AO13" s="4223">
        <f t="shared" si="7"/>
        <v>1</v>
      </c>
      <c r="AP13" s="907">
        <v>3</v>
      </c>
      <c r="AQ13" s="908">
        <v>7</v>
      </c>
      <c r="AR13" s="908">
        <v>1</v>
      </c>
      <c r="AS13" s="908"/>
      <c r="AT13" s="4223">
        <f t="shared" si="8"/>
        <v>11</v>
      </c>
      <c r="AU13" s="907">
        <v>3</v>
      </c>
      <c r="AV13" s="908">
        <v>8</v>
      </c>
      <c r="AW13" s="908">
        <v>2</v>
      </c>
      <c r="AX13" s="908"/>
      <c r="AY13" s="4223">
        <f t="shared" si="9"/>
        <v>13</v>
      </c>
      <c r="AZ13" s="907">
        <v>5</v>
      </c>
      <c r="BA13" s="908">
        <v>7</v>
      </c>
      <c r="BB13" s="908">
        <v>2</v>
      </c>
      <c r="BC13" s="908">
        <v>1</v>
      </c>
      <c r="BD13" s="4223">
        <f t="shared" si="10"/>
        <v>15</v>
      </c>
      <c r="BE13" s="907">
        <v>5</v>
      </c>
      <c r="BF13" s="908">
        <v>7</v>
      </c>
      <c r="BG13" s="908">
        <v>2</v>
      </c>
      <c r="BH13" s="908">
        <v>1</v>
      </c>
      <c r="BI13" s="4223">
        <f t="shared" si="11"/>
        <v>15</v>
      </c>
      <c r="BJ13" s="907">
        <v>6</v>
      </c>
      <c r="BK13" s="908">
        <v>9</v>
      </c>
      <c r="BL13" s="908">
        <v>2</v>
      </c>
      <c r="BM13" s="908">
        <v>1</v>
      </c>
      <c r="BN13" s="4223">
        <f t="shared" si="12"/>
        <v>18</v>
      </c>
      <c r="BO13" s="907">
        <v>5</v>
      </c>
      <c r="BP13" s="908">
        <v>10</v>
      </c>
      <c r="BQ13" s="908">
        <v>2</v>
      </c>
      <c r="BR13" s="908">
        <v>1</v>
      </c>
      <c r="BS13" s="4223">
        <f t="shared" si="13"/>
        <v>18</v>
      </c>
      <c r="BT13" s="907">
        <v>2</v>
      </c>
      <c r="BU13" s="908">
        <v>15</v>
      </c>
      <c r="BV13" s="908">
        <v>1</v>
      </c>
      <c r="BW13" s="908">
        <v>1</v>
      </c>
      <c r="BX13" s="4223">
        <f t="shared" si="14"/>
        <v>19</v>
      </c>
      <c r="BY13" s="907">
        <v>3</v>
      </c>
      <c r="BZ13" s="908">
        <v>16</v>
      </c>
      <c r="CA13" s="908">
        <v>1</v>
      </c>
      <c r="CB13" s="908">
        <v>2</v>
      </c>
      <c r="CC13" s="4223">
        <f t="shared" si="19"/>
        <v>22</v>
      </c>
    </row>
    <row r="14" spans="1:81" ht="15" customHeight="1" x14ac:dyDescent="0.2">
      <c r="A14" s="1936" t="s">
        <v>74</v>
      </c>
      <c r="B14" s="4236"/>
      <c r="C14" s="4224"/>
      <c r="D14" s="4224"/>
      <c r="E14" s="4224"/>
      <c r="F14" s="4225"/>
      <c r="G14" s="4236"/>
      <c r="H14" s="4224"/>
      <c r="I14" s="4224"/>
      <c r="J14" s="4224"/>
      <c r="K14" s="4225"/>
      <c r="L14" s="4236"/>
      <c r="M14" s="4224"/>
      <c r="N14" s="4224"/>
      <c r="O14" s="4224"/>
      <c r="P14" s="4225"/>
      <c r="Q14" s="4236"/>
      <c r="R14" s="4224"/>
      <c r="S14" s="4224"/>
      <c r="T14" s="4224"/>
      <c r="U14" s="4225"/>
      <c r="V14" s="4236"/>
      <c r="W14" s="4224"/>
      <c r="X14" s="4224"/>
      <c r="Y14" s="4224"/>
      <c r="Z14" s="4225"/>
      <c r="AA14" s="4236">
        <v>1</v>
      </c>
      <c r="AB14" s="4224">
        <v>1</v>
      </c>
      <c r="AC14" s="4224">
        <v>1</v>
      </c>
      <c r="AD14" s="4224">
        <v>1</v>
      </c>
      <c r="AE14" s="4225">
        <f t="shared" si="5"/>
        <v>4</v>
      </c>
      <c r="AF14" s="4236">
        <v>2</v>
      </c>
      <c r="AG14" s="4224">
        <v>2</v>
      </c>
      <c r="AH14" s="4224">
        <v>1</v>
      </c>
      <c r="AI14" s="4224">
        <v>2</v>
      </c>
      <c r="AJ14" s="4225">
        <f t="shared" si="6"/>
        <v>7</v>
      </c>
      <c r="AK14" s="4236">
        <v>7</v>
      </c>
      <c r="AL14" s="4224">
        <v>9</v>
      </c>
      <c r="AM14" s="4224">
        <v>1</v>
      </c>
      <c r="AN14" s="4224">
        <v>1</v>
      </c>
      <c r="AO14" s="4225">
        <f t="shared" si="7"/>
        <v>18</v>
      </c>
      <c r="AP14" s="4236">
        <v>6</v>
      </c>
      <c r="AQ14" s="4224">
        <v>17</v>
      </c>
      <c r="AR14" s="4224"/>
      <c r="AS14" s="4224">
        <v>3</v>
      </c>
      <c r="AT14" s="4225">
        <f t="shared" si="8"/>
        <v>26</v>
      </c>
      <c r="AU14" s="4236">
        <v>7</v>
      </c>
      <c r="AV14" s="4224">
        <v>16</v>
      </c>
      <c r="AW14" s="4224"/>
      <c r="AX14" s="4224">
        <v>2</v>
      </c>
      <c r="AY14" s="4225">
        <f t="shared" si="9"/>
        <v>25</v>
      </c>
      <c r="AZ14" s="4236">
        <v>11</v>
      </c>
      <c r="BA14" s="4224">
        <v>25</v>
      </c>
      <c r="BB14" s="4224">
        <v>1</v>
      </c>
      <c r="BC14" s="4224">
        <v>3</v>
      </c>
      <c r="BD14" s="4225">
        <f t="shared" si="10"/>
        <v>40</v>
      </c>
      <c r="BE14" s="4236">
        <v>10</v>
      </c>
      <c r="BF14" s="4224">
        <v>25</v>
      </c>
      <c r="BG14" s="4224">
        <v>1</v>
      </c>
      <c r="BH14" s="4224">
        <v>3</v>
      </c>
      <c r="BI14" s="4225">
        <f t="shared" si="11"/>
        <v>39</v>
      </c>
      <c r="BJ14" s="4236">
        <v>12</v>
      </c>
      <c r="BK14" s="4224">
        <v>29</v>
      </c>
      <c r="BL14" s="4224">
        <v>2</v>
      </c>
      <c r="BM14" s="4224">
        <v>3</v>
      </c>
      <c r="BN14" s="4225">
        <f t="shared" si="12"/>
        <v>46</v>
      </c>
      <c r="BO14" s="4236">
        <v>13</v>
      </c>
      <c r="BP14" s="4224">
        <v>33</v>
      </c>
      <c r="BQ14" s="4224">
        <v>2</v>
      </c>
      <c r="BR14" s="4224">
        <v>3</v>
      </c>
      <c r="BS14" s="4225">
        <f t="shared" si="13"/>
        <v>51</v>
      </c>
      <c r="BT14" s="4236">
        <v>11</v>
      </c>
      <c r="BU14" s="4224">
        <v>33</v>
      </c>
      <c r="BV14" s="4224">
        <v>5</v>
      </c>
      <c r="BW14" s="4224">
        <v>3</v>
      </c>
      <c r="BX14" s="4225">
        <f t="shared" si="14"/>
        <v>52</v>
      </c>
      <c r="BY14" s="4236">
        <v>7</v>
      </c>
      <c r="BZ14" s="4224">
        <v>32</v>
      </c>
      <c r="CA14" s="4224">
        <v>5</v>
      </c>
      <c r="CB14" s="4224">
        <v>3</v>
      </c>
      <c r="CC14" s="4225">
        <f t="shared" si="19"/>
        <v>47</v>
      </c>
    </row>
    <row r="15" spans="1:81" ht="15" customHeight="1" x14ac:dyDescent="0.2">
      <c r="A15" s="2900" t="s">
        <v>410</v>
      </c>
      <c r="B15" s="4242"/>
      <c r="C15" s="4230"/>
      <c r="D15" s="4230"/>
      <c r="E15" s="4230"/>
      <c r="F15" s="4243"/>
      <c r="G15" s="4242"/>
      <c r="H15" s="4230"/>
      <c r="I15" s="4230"/>
      <c r="J15" s="4230"/>
      <c r="K15" s="4243"/>
      <c r="L15" s="4242"/>
      <c r="M15" s="4230"/>
      <c r="N15" s="4230"/>
      <c r="O15" s="4230"/>
      <c r="P15" s="4243"/>
      <c r="Q15" s="4242"/>
      <c r="R15" s="4230"/>
      <c r="S15" s="4230"/>
      <c r="T15" s="4230"/>
      <c r="U15" s="4243"/>
      <c r="V15" s="4242"/>
      <c r="W15" s="4230"/>
      <c r="X15" s="4230"/>
      <c r="Y15" s="4230"/>
      <c r="Z15" s="4243"/>
      <c r="AA15" s="4242">
        <f>SUM(AA12:AA14)</f>
        <v>1</v>
      </c>
      <c r="AB15" s="4230">
        <f t="shared" ref="AB15:BX15" si="20">SUM(AB12:AB14)</f>
        <v>6</v>
      </c>
      <c r="AC15" s="4230">
        <f t="shared" si="20"/>
        <v>4</v>
      </c>
      <c r="AD15" s="4230">
        <f t="shared" si="20"/>
        <v>1</v>
      </c>
      <c r="AE15" s="4243">
        <f t="shared" si="20"/>
        <v>12</v>
      </c>
      <c r="AF15" s="4242">
        <f t="shared" si="20"/>
        <v>2</v>
      </c>
      <c r="AG15" s="4230">
        <f t="shared" si="20"/>
        <v>6</v>
      </c>
      <c r="AH15" s="4230">
        <f t="shared" si="20"/>
        <v>5</v>
      </c>
      <c r="AI15" s="4230">
        <f t="shared" si="20"/>
        <v>2</v>
      </c>
      <c r="AJ15" s="4243">
        <f t="shared" si="20"/>
        <v>15</v>
      </c>
      <c r="AK15" s="4242">
        <f t="shared" si="20"/>
        <v>14</v>
      </c>
      <c r="AL15" s="4230">
        <f t="shared" si="20"/>
        <v>16</v>
      </c>
      <c r="AM15" s="4230">
        <f t="shared" si="20"/>
        <v>4</v>
      </c>
      <c r="AN15" s="4230">
        <f t="shared" si="20"/>
        <v>1</v>
      </c>
      <c r="AO15" s="4243">
        <f t="shared" si="20"/>
        <v>35</v>
      </c>
      <c r="AP15" s="4242">
        <f t="shared" si="20"/>
        <v>25</v>
      </c>
      <c r="AQ15" s="4230">
        <f t="shared" si="20"/>
        <v>36</v>
      </c>
      <c r="AR15" s="4230">
        <f t="shared" si="20"/>
        <v>6</v>
      </c>
      <c r="AS15" s="4230">
        <f t="shared" si="20"/>
        <v>5</v>
      </c>
      <c r="AT15" s="4243">
        <f t="shared" si="20"/>
        <v>72</v>
      </c>
      <c r="AU15" s="4242">
        <f t="shared" si="20"/>
        <v>26</v>
      </c>
      <c r="AV15" s="4230">
        <f t="shared" si="20"/>
        <v>38</v>
      </c>
      <c r="AW15" s="4230">
        <f t="shared" si="20"/>
        <v>7</v>
      </c>
      <c r="AX15" s="4230">
        <f t="shared" si="20"/>
        <v>3</v>
      </c>
      <c r="AY15" s="4243">
        <f t="shared" si="20"/>
        <v>74</v>
      </c>
      <c r="AZ15" s="4242">
        <f t="shared" si="20"/>
        <v>27</v>
      </c>
      <c r="BA15" s="4230">
        <f t="shared" si="20"/>
        <v>54</v>
      </c>
      <c r="BB15" s="4230">
        <f t="shared" si="20"/>
        <v>8</v>
      </c>
      <c r="BC15" s="4230">
        <f t="shared" si="20"/>
        <v>5</v>
      </c>
      <c r="BD15" s="4243">
        <f t="shared" si="20"/>
        <v>94</v>
      </c>
      <c r="BE15" s="4242">
        <f t="shared" si="20"/>
        <v>28</v>
      </c>
      <c r="BF15" s="4230">
        <f t="shared" si="20"/>
        <v>55</v>
      </c>
      <c r="BG15" s="4230">
        <f t="shared" si="20"/>
        <v>9</v>
      </c>
      <c r="BH15" s="4230">
        <f t="shared" si="20"/>
        <v>5</v>
      </c>
      <c r="BI15" s="4243">
        <f t="shared" si="20"/>
        <v>97</v>
      </c>
      <c r="BJ15" s="4242">
        <f t="shared" si="20"/>
        <v>26</v>
      </c>
      <c r="BK15" s="4230">
        <f t="shared" si="20"/>
        <v>65</v>
      </c>
      <c r="BL15" s="4230">
        <f t="shared" si="20"/>
        <v>11</v>
      </c>
      <c r="BM15" s="4230">
        <f t="shared" si="20"/>
        <v>4</v>
      </c>
      <c r="BN15" s="4243">
        <f t="shared" si="20"/>
        <v>106</v>
      </c>
      <c r="BO15" s="4242">
        <f t="shared" si="20"/>
        <v>24</v>
      </c>
      <c r="BP15" s="4230">
        <f t="shared" si="20"/>
        <v>76</v>
      </c>
      <c r="BQ15" s="4230">
        <f t="shared" si="20"/>
        <v>11</v>
      </c>
      <c r="BR15" s="4230">
        <f t="shared" si="20"/>
        <v>4</v>
      </c>
      <c r="BS15" s="4243">
        <f t="shared" si="20"/>
        <v>115</v>
      </c>
      <c r="BT15" s="4242">
        <f t="shared" si="20"/>
        <v>19</v>
      </c>
      <c r="BU15" s="4230">
        <f t="shared" si="20"/>
        <v>78</v>
      </c>
      <c r="BV15" s="4230">
        <f t="shared" si="20"/>
        <v>14</v>
      </c>
      <c r="BW15" s="4230">
        <f t="shared" si="20"/>
        <v>4</v>
      </c>
      <c r="BX15" s="4243">
        <f t="shared" si="20"/>
        <v>115</v>
      </c>
      <c r="BY15" s="4242">
        <f t="shared" ref="BY15:CC15" si="21">SUM(BY12:BY14)</f>
        <v>16</v>
      </c>
      <c r="BZ15" s="4230">
        <f t="shared" si="21"/>
        <v>82</v>
      </c>
      <c r="CA15" s="4230">
        <f t="shared" si="21"/>
        <v>15</v>
      </c>
      <c r="CB15" s="4230">
        <f t="shared" si="21"/>
        <v>5</v>
      </c>
      <c r="CC15" s="4243">
        <f t="shared" si="21"/>
        <v>118</v>
      </c>
    </row>
    <row r="16" spans="1:81" ht="12.75" customHeight="1" x14ac:dyDescent="0.2">
      <c r="A16" s="1930"/>
      <c r="B16" s="1930"/>
      <c r="C16" s="1930"/>
      <c r="D16" s="1930"/>
      <c r="E16" s="1930"/>
      <c r="F16" s="1930"/>
      <c r="G16" s="1930"/>
      <c r="H16" s="1930"/>
      <c r="I16" s="1930"/>
      <c r="J16" s="1930"/>
      <c r="K16" s="1930"/>
      <c r="L16" s="1930"/>
      <c r="M16" s="1930"/>
      <c r="N16" s="1930"/>
      <c r="O16" s="1930"/>
      <c r="P16" s="1930"/>
      <c r="Q16" s="1930"/>
      <c r="R16" s="1930"/>
      <c r="S16" s="1930"/>
      <c r="T16" s="1930"/>
      <c r="U16" s="1930"/>
      <c r="V16" s="1930"/>
      <c r="W16" s="1930"/>
      <c r="X16" s="1930"/>
      <c r="Y16" s="1930"/>
      <c r="Z16" s="1930"/>
      <c r="AA16" s="1930"/>
      <c r="AB16" s="1930"/>
      <c r="AC16" s="1930"/>
      <c r="AD16" s="1930"/>
      <c r="AE16" s="1930"/>
      <c r="AF16" s="1930"/>
      <c r="AG16" s="1930"/>
      <c r="AH16" s="1930"/>
      <c r="AI16" s="1930"/>
      <c r="AJ16" s="1930"/>
      <c r="AK16" s="1930"/>
      <c r="AL16" s="1930"/>
      <c r="AM16" s="1930"/>
      <c r="AN16" s="1930"/>
      <c r="AO16" s="1930"/>
      <c r="AP16" s="1930"/>
      <c r="AQ16" s="1930"/>
      <c r="AR16" s="1930"/>
      <c r="AS16" s="1930"/>
      <c r="AT16" s="1930"/>
      <c r="AU16" s="1930"/>
      <c r="AV16" s="1930"/>
      <c r="AW16" s="1930"/>
      <c r="AX16" s="1930"/>
      <c r="AY16" s="1930"/>
      <c r="AZ16" s="1930"/>
      <c r="BA16" s="1930"/>
      <c r="BB16" s="1930"/>
      <c r="BC16" s="1930"/>
      <c r="BD16" s="1930"/>
      <c r="BE16" s="1930"/>
      <c r="BF16" s="1930"/>
      <c r="BG16" s="1930"/>
      <c r="BH16" s="1930"/>
      <c r="BI16" s="1930"/>
      <c r="BJ16" s="1930"/>
      <c r="BK16" s="1930"/>
      <c r="BL16" s="1930"/>
      <c r="BM16" s="1930"/>
      <c r="BN16" s="1930"/>
      <c r="BO16" s="1930"/>
      <c r="BP16" s="1930"/>
      <c r="BQ16" s="1930"/>
      <c r="BR16" s="1930"/>
      <c r="BS16" s="1930"/>
      <c r="BT16" s="1930"/>
      <c r="BU16" s="1930"/>
      <c r="BV16" s="1930"/>
      <c r="BW16" s="1930"/>
      <c r="BX16" s="1930"/>
      <c r="BY16" s="1930"/>
      <c r="BZ16" s="1930"/>
      <c r="CA16" s="1930"/>
      <c r="CB16" s="1930"/>
      <c r="CC16" s="1930"/>
    </row>
    <row r="17" spans="1:81" ht="14.1" customHeight="1" x14ac:dyDescent="0.2">
      <c r="A17" s="1931" t="s">
        <v>5</v>
      </c>
      <c r="B17" s="897">
        <v>24</v>
      </c>
      <c r="C17" s="898">
        <v>69</v>
      </c>
      <c r="D17" s="898">
        <v>33</v>
      </c>
      <c r="E17" s="898">
        <v>20</v>
      </c>
      <c r="F17" s="4222"/>
      <c r="G17" s="897">
        <v>12</v>
      </c>
      <c r="H17" s="898">
        <v>66</v>
      </c>
      <c r="I17" s="898">
        <v>34</v>
      </c>
      <c r="J17" s="898">
        <v>22</v>
      </c>
      <c r="K17" s="4222">
        <f t="shared" si="1"/>
        <v>134</v>
      </c>
      <c r="L17" s="897">
        <v>10</v>
      </c>
      <c r="M17" s="898">
        <v>71</v>
      </c>
      <c r="N17" s="898">
        <v>35</v>
      </c>
      <c r="O17" s="898">
        <v>23</v>
      </c>
      <c r="P17" s="4222">
        <f t="shared" si="2"/>
        <v>139</v>
      </c>
      <c r="Q17" s="897">
        <v>10</v>
      </c>
      <c r="R17" s="898">
        <v>72</v>
      </c>
      <c r="S17" s="898">
        <v>35</v>
      </c>
      <c r="T17" s="898">
        <v>24</v>
      </c>
      <c r="U17" s="4222">
        <f t="shared" si="3"/>
        <v>141</v>
      </c>
      <c r="V17" s="897">
        <v>8</v>
      </c>
      <c r="W17" s="898">
        <v>78</v>
      </c>
      <c r="X17" s="898">
        <v>32</v>
      </c>
      <c r="Y17" s="898">
        <v>27</v>
      </c>
      <c r="Z17" s="4222">
        <f t="shared" si="4"/>
        <v>145</v>
      </c>
      <c r="AA17" s="897">
        <v>15</v>
      </c>
      <c r="AB17" s="898">
        <v>77</v>
      </c>
      <c r="AC17" s="898">
        <v>34</v>
      </c>
      <c r="AD17" s="898">
        <v>27</v>
      </c>
      <c r="AE17" s="4222">
        <f t="shared" si="5"/>
        <v>153</v>
      </c>
      <c r="AF17" s="897">
        <v>14</v>
      </c>
      <c r="AG17" s="898">
        <v>78</v>
      </c>
      <c r="AH17" s="898">
        <v>37</v>
      </c>
      <c r="AI17" s="898">
        <v>32</v>
      </c>
      <c r="AJ17" s="4222">
        <f t="shared" si="6"/>
        <v>161</v>
      </c>
      <c r="AK17" s="897">
        <v>13</v>
      </c>
      <c r="AL17" s="898">
        <v>77</v>
      </c>
      <c r="AM17" s="898">
        <v>38</v>
      </c>
      <c r="AN17" s="898">
        <v>33</v>
      </c>
      <c r="AO17" s="4222">
        <f t="shared" si="7"/>
        <v>161</v>
      </c>
      <c r="AP17" s="897">
        <v>10</v>
      </c>
      <c r="AQ17" s="898">
        <v>72</v>
      </c>
      <c r="AR17" s="898">
        <v>45</v>
      </c>
      <c r="AS17" s="898">
        <v>34</v>
      </c>
      <c r="AT17" s="4222">
        <f t="shared" si="8"/>
        <v>161</v>
      </c>
      <c r="AU17" s="897">
        <v>11</v>
      </c>
      <c r="AV17" s="898">
        <v>71</v>
      </c>
      <c r="AW17" s="898">
        <v>45</v>
      </c>
      <c r="AX17" s="898">
        <v>35</v>
      </c>
      <c r="AY17" s="4222">
        <f t="shared" si="9"/>
        <v>162</v>
      </c>
      <c r="AZ17" s="897">
        <v>8</v>
      </c>
      <c r="BA17" s="898">
        <v>72</v>
      </c>
      <c r="BB17" s="898">
        <v>41</v>
      </c>
      <c r="BC17" s="898">
        <v>42</v>
      </c>
      <c r="BD17" s="4222">
        <f t="shared" si="10"/>
        <v>163</v>
      </c>
      <c r="BE17" s="897">
        <v>9</v>
      </c>
      <c r="BF17" s="898">
        <v>71</v>
      </c>
      <c r="BG17" s="898">
        <v>41</v>
      </c>
      <c r="BH17" s="898">
        <v>40</v>
      </c>
      <c r="BI17" s="4222">
        <f t="shared" si="11"/>
        <v>161</v>
      </c>
      <c r="BJ17" s="897">
        <v>13</v>
      </c>
      <c r="BK17" s="898">
        <v>74</v>
      </c>
      <c r="BL17" s="898">
        <v>37</v>
      </c>
      <c r="BM17" s="898">
        <v>42</v>
      </c>
      <c r="BN17" s="4222">
        <f t="shared" si="12"/>
        <v>166</v>
      </c>
      <c r="BO17" s="897">
        <v>22</v>
      </c>
      <c r="BP17" s="898">
        <v>81</v>
      </c>
      <c r="BQ17" s="898">
        <v>40</v>
      </c>
      <c r="BR17" s="898">
        <v>50</v>
      </c>
      <c r="BS17" s="4222">
        <f t="shared" si="13"/>
        <v>193</v>
      </c>
      <c r="BT17" s="897">
        <v>25</v>
      </c>
      <c r="BU17" s="898">
        <v>85</v>
      </c>
      <c r="BV17" s="898">
        <v>40</v>
      </c>
      <c r="BW17" s="898">
        <v>51</v>
      </c>
      <c r="BX17" s="4222">
        <f t="shared" si="14"/>
        <v>201</v>
      </c>
      <c r="BY17" s="897">
        <v>25</v>
      </c>
      <c r="BZ17" s="898">
        <v>94</v>
      </c>
      <c r="CA17" s="898">
        <v>39</v>
      </c>
      <c r="CB17" s="898">
        <v>50</v>
      </c>
      <c r="CC17" s="4222">
        <f t="shared" ref="CC17:CC19" si="22">SUM(BY17:CB17)</f>
        <v>208</v>
      </c>
    </row>
    <row r="18" spans="1:81" ht="14.1" customHeight="1" x14ac:dyDescent="0.2">
      <c r="A18" s="1932" t="s">
        <v>6</v>
      </c>
      <c r="B18" s="907">
        <v>6</v>
      </c>
      <c r="C18" s="908">
        <v>54</v>
      </c>
      <c r="D18" s="908">
        <v>18</v>
      </c>
      <c r="E18" s="908">
        <v>4</v>
      </c>
      <c r="F18" s="4223">
        <f t="shared" si="0"/>
        <v>82</v>
      </c>
      <c r="G18" s="907">
        <v>3</v>
      </c>
      <c r="H18" s="908">
        <v>56</v>
      </c>
      <c r="I18" s="908">
        <v>26</v>
      </c>
      <c r="J18" s="908">
        <v>5</v>
      </c>
      <c r="K18" s="4223">
        <f t="shared" si="1"/>
        <v>90</v>
      </c>
      <c r="L18" s="907">
        <v>1</v>
      </c>
      <c r="M18" s="908">
        <v>64</v>
      </c>
      <c r="N18" s="908">
        <v>32</v>
      </c>
      <c r="O18" s="908">
        <v>7</v>
      </c>
      <c r="P18" s="4223">
        <f t="shared" si="2"/>
        <v>104</v>
      </c>
      <c r="Q18" s="907">
        <v>2</v>
      </c>
      <c r="R18" s="908">
        <v>65</v>
      </c>
      <c r="S18" s="908">
        <v>33</v>
      </c>
      <c r="T18" s="908">
        <v>7</v>
      </c>
      <c r="U18" s="4223">
        <f t="shared" si="3"/>
        <v>107</v>
      </c>
      <c r="V18" s="907">
        <v>2</v>
      </c>
      <c r="W18" s="908">
        <v>63</v>
      </c>
      <c r="X18" s="908">
        <v>41</v>
      </c>
      <c r="Y18" s="908">
        <v>9</v>
      </c>
      <c r="Z18" s="4223">
        <f t="shared" si="4"/>
        <v>115</v>
      </c>
      <c r="AA18" s="907"/>
      <c r="AB18" s="908">
        <v>58</v>
      </c>
      <c r="AC18" s="908">
        <v>41</v>
      </c>
      <c r="AD18" s="908">
        <v>11</v>
      </c>
      <c r="AE18" s="4223">
        <f t="shared" si="5"/>
        <v>110</v>
      </c>
      <c r="AF18" s="907"/>
      <c r="AG18" s="908">
        <v>57</v>
      </c>
      <c r="AH18" s="908">
        <v>43</v>
      </c>
      <c r="AI18" s="908">
        <v>12</v>
      </c>
      <c r="AJ18" s="4223">
        <f t="shared" si="6"/>
        <v>112</v>
      </c>
      <c r="AK18" s="907">
        <v>1</v>
      </c>
      <c r="AL18" s="908">
        <v>60</v>
      </c>
      <c r="AM18" s="908">
        <v>44</v>
      </c>
      <c r="AN18" s="908">
        <v>12</v>
      </c>
      <c r="AO18" s="4223">
        <f t="shared" si="7"/>
        <v>117</v>
      </c>
      <c r="AP18" s="907">
        <v>6</v>
      </c>
      <c r="AQ18" s="908">
        <v>64</v>
      </c>
      <c r="AR18" s="908">
        <v>46</v>
      </c>
      <c r="AS18" s="908">
        <v>12</v>
      </c>
      <c r="AT18" s="4223">
        <f t="shared" si="8"/>
        <v>128</v>
      </c>
      <c r="AU18" s="907">
        <v>7</v>
      </c>
      <c r="AV18" s="908">
        <v>64</v>
      </c>
      <c r="AW18" s="908">
        <v>47</v>
      </c>
      <c r="AX18" s="908">
        <v>14</v>
      </c>
      <c r="AY18" s="4223">
        <f t="shared" si="9"/>
        <v>132</v>
      </c>
      <c r="AZ18" s="907">
        <v>6</v>
      </c>
      <c r="BA18" s="908">
        <v>66</v>
      </c>
      <c r="BB18" s="908">
        <v>48</v>
      </c>
      <c r="BC18" s="908">
        <v>17</v>
      </c>
      <c r="BD18" s="4223">
        <f t="shared" si="10"/>
        <v>137</v>
      </c>
      <c r="BE18" s="907">
        <v>4</v>
      </c>
      <c r="BF18" s="908">
        <v>67</v>
      </c>
      <c r="BG18" s="908">
        <v>47</v>
      </c>
      <c r="BH18" s="908">
        <v>16</v>
      </c>
      <c r="BI18" s="4223">
        <f t="shared" si="11"/>
        <v>134</v>
      </c>
      <c r="BJ18" s="907">
        <v>6</v>
      </c>
      <c r="BK18" s="908">
        <v>64</v>
      </c>
      <c r="BL18" s="908">
        <v>45</v>
      </c>
      <c r="BM18" s="908">
        <v>16</v>
      </c>
      <c r="BN18" s="4223">
        <f t="shared" si="12"/>
        <v>131</v>
      </c>
      <c r="BO18" s="907">
        <v>5</v>
      </c>
      <c r="BP18" s="908">
        <v>73</v>
      </c>
      <c r="BQ18" s="908">
        <v>43</v>
      </c>
      <c r="BR18" s="908">
        <v>16</v>
      </c>
      <c r="BS18" s="4223">
        <f t="shared" si="13"/>
        <v>137</v>
      </c>
      <c r="BT18" s="907">
        <v>9</v>
      </c>
      <c r="BU18" s="908">
        <v>72</v>
      </c>
      <c r="BV18" s="908">
        <v>40</v>
      </c>
      <c r="BW18" s="908">
        <v>18</v>
      </c>
      <c r="BX18" s="4223">
        <f t="shared" si="14"/>
        <v>139</v>
      </c>
      <c r="BY18" s="907">
        <v>11</v>
      </c>
      <c r="BZ18" s="908">
        <v>71</v>
      </c>
      <c r="CA18" s="908">
        <v>44</v>
      </c>
      <c r="CB18" s="908">
        <v>19</v>
      </c>
      <c r="CC18" s="4223">
        <f t="shared" si="22"/>
        <v>145</v>
      </c>
    </row>
    <row r="19" spans="1:81" ht="14.1" customHeight="1" x14ac:dyDescent="0.2">
      <c r="A19" s="1936" t="s">
        <v>11</v>
      </c>
      <c r="B19" s="4236">
        <v>17</v>
      </c>
      <c r="C19" s="4224">
        <v>23</v>
      </c>
      <c r="D19" s="4224">
        <v>9</v>
      </c>
      <c r="E19" s="4224">
        <v>2</v>
      </c>
      <c r="F19" s="4225">
        <f t="shared" si="0"/>
        <v>51</v>
      </c>
      <c r="G19" s="4236">
        <v>9</v>
      </c>
      <c r="H19" s="4224">
        <v>34</v>
      </c>
      <c r="I19" s="4224">
        <v>10</v>
      </c>
      <c r="J19" s="4224">
        <v>2</v>
      </c>
      <c r="K19" s="4225">
        <f t="shared" si="1"/>
        <v>55</v>
      </c>
      <c r="L19" s="4236">
        <v>10</v>
      </c>
      <c r="M19" s="4224">
        <v>41</v>
      </c>
      <c r="N19" s="4224">
        <v>12</v>
      </c>
      <c r="O19" s="4224">
        <v>2</v>
      </c>
      <c r="P19" s="4225">
        <f t="shared" si="2"/>
        <v>65</v>
      </c>
      <c r="Q19" s="4236">
        <v>11</v>
      </c>
      <c r="R19" s="4224">
        <v>41</v>
      </c>
      <c r="S19" s="4224">
        <v>11</v>
      </c>
      <c r="T19" s="4224">
        <v>2</v>
      </c>
      <c r="U19" s="4225">
        <f t="shared" si="3"/>
        <v>65</v>
      </c>
      <c r="V19" s="4236">
        <v>12</v>
      </c>
      <c r="W19" s="4224">
        <v>43</v>
      </c>
      <c r="X19" s="4224">
        <v>12</v>
      </c>
      <c r="Y19" s="4224">
        <v>3</v>
      </c>
      <c r="Z19" s="4225">
        <f t="shared" si="4"/>
        <v>70</v>
      </c>
      <c r="AA19" s="4236">
        <v>14</v>
      </c>
      <c r="AB19" s="4224">
        <v>43</v>
      </c>
      <c r="AC19" s="4224">
        <v>10</v>
      </c>
      <c r="AD19" s="4224">
        <v>5</v>
      </c>
      <c r="AE19" s="4225">
        <f t="shared" si="5"/>
        <v>72</v>
      </c>
      <c r="AF19" s="4236">
        <v>8</v>
      </c>
      <c r="AG19" s="4224">
        <v>49</v>
      </c>
      <c r="AH19" s="4224">
        <v>11</v>
      </c>
      <c r="AI19" s="4224">
        <v>7</v>
      </c>
      <c r="AJ19" s="4225">
        <f t="shared" si="6"/>
        <v>75</v>
      </c>
      <c r="AK19" s="4236">
        <v>8</v>
      </c>
      <c r="AL19" s="4224">
        <v>59</v>
      </c>
      <c r="AM19" s="4224">
        <v>14</v>
      </c>
      <c r="AN19" s="4224">
        <v>7</v>
      </c>
      <c r="AO19" s="4225">
        <f t="shared" si="7"/>
        <v>88</v>
      </c>
      <c r="AP19" s="4236">
        <v>8</v>
      </c>
      <c r="AQ19" s="4224">
        <v>60</v>
      </c>
      <c r="AR19" s="4224">
        <v>15</v>
      </c>
      <c r="AS19" s="4224">
        <v>9</v>
      </c>
      <c r="AT19" s="4225">
        <f t="shared" si="8"/>
        <v>92</v>
      </c>
      <c r="AU19" s="4236">
        <v>8</v>
      </c>
      <c r="AV19" s="4224">
        <v>60</v>
      </c>
      <c r="AW19" s="4224">
        <v>15</v>
      </c>
      <c r="AX19" s="4224">
        <v>9</v>
      </c>
      <c r="AY19" s="4225">
        <f t="shared" si="9"/>
        <v>92</v>
      </c>
      <c r="AZ19" s="4236">
        <v>21</v>
      </c>
      <c r="BA19" s="4224">
        <v>68</v>
      </c>
      <c r="BB19" s="4224">
        <v>12</v>
      </c>
      <c r="BC19" s="4224">
        <v>13</v>
      </c>
      <c r="BD19" s="4225">
        <f t="shared" si="10"/>
        <v>114</v>
      </c>
      <c r="BE19" s="4236">
        <v>17</v>
      </c>
      <c r="BF19" s="4224">
        <v>68</v>
      </c>
      <c r="BG19" s="4224">
        <v>12</v>
      </c>
      <c r="BH19" s="4224">
        <v>13</v>
      </c>
      <c r="BI19" s="4225">
        <f t="shared" si="11"/>
        <v>110</v>
      </c>
      <c r="BJ19" s="4236">
        <v>16</v>
      </c>
      <c r="BK19" s="4224">
        <v>64</v>
      </c>
      <c r="BL19" s="4224">
        <v>17</v>
      </c>
      <c r="BM19" s="4224">
        <v>13</v>
      </c>
      <c r="BN19" s="4225">
        <f t="shared" si="12"/>
        <v>110</v>
      </c>
      <c r="BO19" s="4236">
        <v>19</v>
      </c>
      <c r="BP19" s="4224">
        <v>62</v>
      </c>
      <c r="BQ19" s="4224">
        <v>26</v>
      </c>
      <c r="BR19" s="4224">
        <v>13</v>
      </c>
      <c r="BS19" s="4225">
        <f t="shared" si="13"/>
        <v>120</v>
      </c>
      <c r="BT19" s="4236">
        <v>20</v>
      </c>
      <c r="BU19" s="4224">
        <v>61</v>
      </c>
      <c r="BV19" s="4224">
        <v>27</v>
      </c>
      <c r="BW19" s="4224">
        <v>13</v>
      </c>
      <c r="BX19" s="4225">
        <f t="shared" si="14"/>
        <v>121</v>
      </c>
      <c r="BY19" s="4236">
        <v>20</v>
      </c>
      <c r="BZ19" s="4224">
        <v>65</v>
      </c>
      <c r="CA19" s="4224">
        <v>25</v>
      </c>
      <c r="CB19" s="4224">
        <v>14</v>
      </c>
      <c r="CC19" s="4225">
        <f t="shared" si="22"/>
        <v>124</v>
      </c>
    </row>
    <row r="20" spans="1:81" ht="15" customHeight="1" x14ac:dyDescent="0.2">
      <c r="A20" s="2901" t="s">
        <v>162</v>
      </c>
      <c r="B20" s="4244">
        <f>SUM(B17:B19)</f>
        <v>47</v>
      </c>
      <c r="C20" s="4231">
        <f t="shared" ref="C20:BN20" si="23">SUM(C17:C19)</f>
        <v>146</v>
      </c>
      <c r="D20" s="4231">
        <f t="shared" si="23"/>
        <v>60</v>
      </c>
      <c r="E20" s="4231">
        <f t="shared" si="23"/>
        <v>26</v>
      </c>
      <c r="F20" s="4232">
        <f t="shared" si="23"/>
        <v>133</v>
      </c>
      <c r="G20" s="4244">
        <f t="shared" si="23"/>
        <v>24</v>
      </c>
      <c r="H20" s="4231">
        <f t="shared" si="23"/>
        <v>156</v>
      </c>
      <c r="I20" s="4231">
        <f t="shared" si="23"/>
        <v>70</v>
      </c>
      <c r="J20" s="4231">
        <f t="shared" si="23"/>
        <v>29</v>
      </c>
      <c r="K20" s="4232">
        <f t="shared" si="23"/>
        <v>279</v>
      </c>
      <c r="L20" s="4244">
        <f t="shared" si="23"/>
        <v>21</v>
      </c>
      <c r="M20" s="4231">
        <f t="shared" si="23"/>
        <v>176</v>
      </c>
      <c r="N20" s="4231">
        <f t="shared" si="23"/>
        <v>79</v>
      </c>
      <c r="O20" s="4231">
        <f t="shared" si="23"/>
        <v>32</v>
      </c>
      <c r="P20" s="4232">
        <f t="shared" si="23"/>
        <v>308</v>
      </c>
      <c r="Q20" s="4244">
        <f t="shared" si="23"/>
        <v>23</v>
      </c>
      <c r="R20" s="4231">
        <f t="shared" si="23"/>
        <v>178</v>
      </c>
      <c r="S20" s="4231">
        <f t="shared" si="23"/>
        <v>79</v>
      </c>
      <c r="T20" s="4231">
        <f t="shared" si="23"/>
        <v>33</v>
      </c>
      <c r="U20" s="4232">
        <f t="shared" si="23"/>
        <v>313</v>
      </c>
      <c r="V20" s="4244">
        <f t="shared" si="23"/>
        <v>22</v>
      </c>
      <c r="W20" s="4231">
        <f t="shared" si="23"/>
        <v>184</v>
      </c>
      <c r="X20" s="4231">
        <f t="shared" si="23"/>
        <v>85</v>
      </c>
      <c r="Y20" s="4231">
        <f t="shared" si="23"/>
        <v>39</v>
      </c>
      <c r="Z20" s="4232">
        <f t="shared" si="23"/>
        <v>330</v>
      </c>
      <c r="AA20" s="4244">
        <f t="shared" si="23"/>
        <v>29</v>
      </c>
      <c r="AB20" s="4231">
        <f t="shared" si="23"/>
        <v>178</v>
      </c>
      <c r="AC20" s="4231">
        <f t="shared" si="23"/>
        <v>85</v>
      </c>
      <c r="AD20" s="4231">
        <f t="shared" si="23"/>
        <v>43</v>
      </c>
      <c r="AE20" s="4232">
        <f t="shared" si="23"/>
        <v>335</v>
      </c>
      <c r="AF20" s="4244">
        <f t="shared" si="23"/>
        <v>22</v>
      </c>
      <c r="AG20" s="4231">
        <f t="shared" si="23"/>
        <v>184</v>
      </c>
      <c r="AH20" s="4231">
        <f t="shared" si="23"/>
        <v>91</v>
      </c>
      <c r="AI20" s="4231">
        <f t="shared" si="23"/>
        <v>51</v>
      </c>
      <c r="AJ20" s="4232">
        <f t="shared" si="23"/>
        <v>348</v>
      </c>
      <c r="AK20" s="4244">
        <f t="shared" si="23"/>
        <v>22</v>
      </c>
      <c r="AL20" s="4231">
        <f t="shared" si="23"/>
        <v>196</v>
      </c>
      <c r="AM20" s="4231">
        <f t="shared" si="23"/>
        <v>96</v>
      </c>
      <c r="AN20" s="4231">
        <f t="shared" si="23"/>
        <v>52</v>
      </c>
      <c r="AO20" s="4232">
        <f t="shared" si="23"/>
        <v>366</v>
      </c>
      <c r="AP20" s="4244">
        <f t="shared" si="23"/>
        <v>24</v>
      </c>
      <c r="AQ20" s="4231">
        <f t="shared" si="23"/>
        <v>196</v>
      </c>
      <c r="AR20" s="4231">
        <f t="shared" si="23"/>
        <v>106</v>
      </c>
      <c r="AS20" s="4231">
        <f t="shared" si="23"/>
        <v>55</v>
      </c>
      <c r="AT20" s="4232">
        <f t="shared" si="23"/>
        <v>381</v>
      </c>
      <c r="AU20" s="4244">
        <f t="shared" si="23"/>
        <v>26</v>
      </c>
      <c r="AV20" s="4231">
        <f t="shared" si="23"/>
        <v>195</v>
      </c>
      <c r="AW20" s="4231">
        <f t="shared" si="23"/>
        <v>107</v>
      </c>
      <c r="AX20" s="4231">
        <f t="shared" si="23"/>
        <v>58</v>
      </c>
      <c r="AY20" s="4232">
        <f t="shared" si="23"/>
        <v>386</v>
      </c>
      <c r="AZ20" s="4244">
        <f t="shared" si="23"/>
        <v>35</v>
      </c>
      <c r="BA20" s="4231">
        <f t="shared" si="23"/>
        <v>206</v>
      </c>
      <c r="BB20" s="4231">
        <f t="shared" si="23"/>
        <v>101</v>
      </c>
      <c r="BC20" s="4231">
        <f t="shared" si="23"/>
        <v>72</v>
      </c>
      <c r="BD20" s="4232">
        <f t="shared" si="23"/>
        <v>414</v>
      </c>
      <c r="BE20" s="4244">
        <f t="shared" si="23"/>
        <v>30</v>
      </c>
      <c r="BF20" s="4231">
        <f t="shared" si="23"/>
        <v>206</v>
      </c>
      <c r="BG20" s="4231">
        <f t="shared" si="23"/>
        <v>100</v>
      </c>
      <c r="BH20" s="4231">
        <f t="shared" si="23"/>
        <v>69</v>
      </c>
      <c r="BI20" s="4232">
        <f t="shared" si="23"/>
        <v>405</v>
      </c>
      <c r="BJ20" s="4244">
        <f t="shared" si="23"/>
        <v>35</v>
      </c>
      <c r="BK20" s="4231">
        <f t="shared" si="23"/>
        <v>202</v>
      </c>
      <c r="BL20" s="4231">
        <f t="shared" si="23"/>
        <v>99</v>
      </c>
      <c r="BM20" s="4231">
        <f t="shared" si="23"/>
        <v>71</v>
      </c>
      <c r="BN20" s="4232">
        <f t="shared" si="23"/>
        <v>407</v>
      </c>
      <c r="BO20" s="4244">
        <f t="shared" ref="BO20:BX20" si="24">SUM(BO17:BO19)</f>
        <v>46</v>
      </c>
      <c r="BP20" s="4231">
        <f t="shared" si="24"/>
        <v>216</v>
      </c>
      <c r="BQ20" s="4231">
        <f t="shared" si="24"/>
        <v>109</v>
      </c>
      <c r="BR20" s="4231">
        <f t="shared" si="24"/>
        <v>79</v>
      </c>
      <c r="BS20" s="4232">
        <f t="shared" si="24"/>
        <v>450</v>
      </c>
      <c r="BT20" s="4244">
        <f t="shared" si="24"/>
        <v>54</v>
      </c>
      <c r="BU20" s="4231">
        <f t="shared" si="24"/>
        <v>218</v>
      </c>
      <c r="BV20" s="4231">
        <f t="shared" si="24"/>
        <v>107</v>
      </c>
      <c r="BW20" s="4231">
        <f t="shared" si="24"/>
        <v>82</v>
      </c>
      <c r="BX20" s="4232">
        <f t="shared" si="24"/>
        <v>461</v>
      </c>
      <c r="BY20" s="4244">
        <f t="shared" ref="BY20:CC20" si="25">SUM(BY17:BY19)</f>
        <v>56</v>
      </c>
      <c r="BZ20" s="4231">
        <f t="shared" si="25"/>
        <v>230</v>
      </c>
      <c r="CA20" s="4231">
        <f t="shared" si="25"/>
        <v>108</v>
      </c>
      <c r="CB20" s="4231">
        <f t="shared" si="25"/>
        <v>83</v>
      </c>
      <c r="CC20" s="4232">
        <f t="shared" si="25"/>
        <v>477</v>
      </c>
    </row>
    <row r="21" spans="1:81" ht="14.1" customHeight="1" x14ac:dyDescent="0.2">
      <c r="A21" s="23"/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AJ21" s="23"/>
      <c r="AO21" s="23"/>
    </row>
    <row r="22" spans="1:81" ht="14.1" customHeight="1" x14ac:dyDescent="0.2">
      <c r="A22" s="1931" t="s">
        <v>5</v>
      </c>
      <c r="B22" s="897"/>
      <c r="C22" s="898"/>
      <c r="D22" s="898"/>
      <c r="E22" s="898"/>
      <c r="F22" s="4222"/>
      <c r="G22" s="897"/>
      <c r="H22" s="898"/>
      <c r="I22" s="898"/>
      <c r="J22" s="898"/>
      <c r="K22" s="4222"/>
      <c r="L22" s="897"/>
      <c r="M22" s="898"/>
      <c r="N22" s="898"/>
      <c r="O22" s="898"/>
      <c r="P22" s="4222"/>
      <c r="Q22" s="897"/>
      <c r="R22" s="898"/>
      <c r="S22" s="898"/>
      <c r="T22" s="898"/>
      <c r="U22" s="4222"/>
      <c r="V22" s="897"/>
      <c r="W22" s="898"/>
      <c r="X22" s="898"/>
      <c r="Y22" s="898"/>
      <c r="Z22" s="4222"/>
      <c r="AA22" s="897"/>
      <c r="AB22" s="898"/>
      <c r="AC22" s="898"/>
      <c r="AD22" s="898"/>
      <c r="AE22" s="4222"/>
      <c r="AF22" s="897"/>
      <c r="AG22" s="898"/>
      <c r="AH22" s="898"/>
      <c r="AI22" s="898"/>
      <c r="AJ22" s="4222"/>
      <c r="AK22" s="897"/>
      <c r="AL22" s="898"/>
      <c r="AM22" s="898"/>
      <c r="AN22" s="898"/>
      <c r="AO22" s="4222"/>
      <c r="AP22" s="897"/>
      <c r="AQ22" s="898"/>
      <c r="AR22" s="898"/>
      <c r="AS22" s="898"/>
      <c r="AT22" s="4222"/>
      <c r="AU22" s="897"/>
      <c r="AV22" s="898"/>
      <c r="AW22" s="898"/>
      <c r="AX22" s="898"/>
      <c r="AY22" s="4222"/>
      <c r="AZ22" s="897"/>
      <c r="BA22" s="898">
        <v>2</v>
      </c>
      <c r="BB22" s="898"/>
      <c r="BC22" s="898"/>
      <c r="BD22" s="4222">
        <f t="shared" si="10"/>
        <v>2</v>
      </c>
      <c r="BE22" s="897">
        <v>1</v>
      </c>
      <c r="BF22" s="898">
        <v>3</v>
      </c>
      <c r="BG22" s="898"/>
      <c r="BH22" s="898"/>
      <c r="BI22" s="4222">
        <f t="shared" si="11"/>
        <v>4</v>
      </c>
      <c r="BJ22" s="897">
        <v>1</v>
      </c>
      <c r="BK22" s="898">
        <v>3</v>
      </c>
      <c r="BL22" s="898"/>
      <c r="BM22" s="898"/>
      <c r="BN22" s="4222">
        <f t="shared" si="12"/>
        <v>4</v>
      </c>
      <c r="BO22" s="897">
        <v>1</v>
      </c>
      <c r="BP22" s="898">
        <v>8</v>
      </c>
      <c r="BQ22" s="898"/>
      <c r="BR22" s="898"/>
      <c r="BS22" s="4222">
        <f t="shared" si="13"/>
        <v>9</v>
      </c>
      <c r="BT22" s="897">
        <v>1</v>
      </c>
      <c r="BU22" s="898">
        <v>5</v>
      </c>
      <c r="BV22" s="898"/>
      <c r="BW22" s="898"/>
      <c r="BX22" s="4222">
        <f t="shared" si="14"/>
        <v>6</v>
      </c>
      <c r="BY22" s="897">
        <v>3</v>
      </c>
      <c r="BZ22" s="898">
        <v>4</v>
      </c>
      <c r="CA22" s="898">
        <v>1</v>
      </c>
      <c r="CB22" s="898"/>
      <c r="CC22" s="4222">
        <f t="shared" ref="CC22:CC24" si="26">SUM(BY22:CB22)</f>
        <v>8</v>
      </c>
    </row>
    <row r="23" spans="1:81" ht="14.1" customHeight="1" x14ac:dyDescent="0.2">
      <c r="A23" s="1932" t="s">
        <v>6</v>
      </c>
      <c r="B23" s="907"/>
      <c r="C23" s="908"/>
      <c r="D23" s="908"/>
      <c r="E23" s="908"/>
      <c r="F23" s="4223"/>
      <c r="G23" s="907"/>
      <c r="H23" s="908"/>
      <c r="I23" s="908"/>
      <c r="J23" s="908"/>
      <c r="K23" s="4223"/>
      <c r="L23" s="907"/>
      <c r="M23" s="908"/>
      <c r="N23" s="908"/>
      <c r="O23" s="908"/>
      <c r="P23" s="4223"/>
      <c r="Q23" s="907"/>
      <c r="R23" s="908"/>
      <c r="S23" s="908"/>
      <c r="T23" s="908"/>
      <c r="U23" s="4223"/>
      <c r="V23" s="907"/>
      <c r="W23" s="908"/>
      <c r="X23" s="908"/>
      <c r="Y23" s="908"/>
      <c r="Z23" s="4223"/>
      <c r="AA23" s="907"/>
      <c r="AB23" s="908"/>
      <c r="AC23" s="908"/>
      <c r="AD23" s="908"/>
      <c r="AE23" s="4223"/>
      <c r="AF23" s="907"/>
      <c r="AG23" s="908"/>
      <c r="AH23" s="908"/>
      <c r="AI23" s="908"/>
      <c r="AJ23" s="4223"/>
      <c r="AK23" s="907"/>
      <c r="AL23" s="908"/>
      <c r="AM23" s="908"/>
      <c r="AN23" s="908"/>
      <c r="AO23" s="4223"/>
      <c r="AP23" s="907"/>
      <c r="AQ23" s="908"/>
      <c r="AR23" s="908"/>
      <c r="AS23" s="908"/>
      <c r="AT23" s="4223"/>
      <c r="AU23" s="907"/>
      <c r="AV23" s="908"/>
      <c r="AW23" s="908"/>
      <c r="AX23" s="908"/>
      <c r="AY23" s="4223"/>
      <c r="AZ23" s="907"/>
      <c r="BA23" s="908"/>
      <c r="BB23" s="908"/>
      <c r="BC23" s="908"/>
      <c r="BD23" s="4223">
        <f t="shared" si="10"/>
        <v>0</v>
      </c>
      <c r="BE23" s="907"/>
      <c r="BF23" s="908"/>
      <c r="BG23" s="908"/>
      <c r="BH23" s="908"/>
      <c r="BI23" s="4223">
        <f t="shared" si="11"/>
        <v>0</v>
      </c>
      <c r="BJ23" s="907"/>
      <c r="BK23" s="908">
        <v>1</v>
      </c>
      <c r="BL23" s="908"/>
      <c r="BM23" s="908"/>
      <c r="BN23" s="4223">
        <f t="shared" si="12"/>
        <v>1</v>
      </c>
      <c r="BO23" s="907">
        <v>4</v>
      </c>
      <c r="BP23" s="908">
        <v>1</v>
      </c>
      <c r="BQ23" s="908"/>
      <c r="BR23" s="908"/>
      <c r="BS23" s="4223">
        <f t="shared" si="13"/>
        <v>5</v>
      </c>
      <c r="BT23" s="907">
        <v>5</v>
      </c>
      <c r="BU23" s="908">
        <v>1</v>
      </c>
      <c r="BV23" s="908">
        <v>1</v>
      </c>
      <c r="BW23" s="908"/>
      <c r="BX23" s="4223">
        <f t="shared" si="14"/>
        <v>7</v>
      </c>
      <c r="BY23" s="907">
        <v>6</v>
      </c>
      <c r="BZ23" s="908">
        <v>3</v>
      </c>
      <c r="CA23" s="908">
        <v>2</v>
      </c>
      <c r="CB23" s="908"/>
      <c r="CC23" s="4223">
        <f t="shared" si="26"/>
        <v>11</v>
      </c>
    </row>
    <row r="24" spans="1:81" ht="14.1" customHeight="1" x14ac:dyDescent="0.2">
      <c r="A24" s="1936" t="s">
        <v>11</v>
      </c>
      <c r="B24" s="4236"/>
      <c r="C24" s="4224"/>
      <c r="D24" s="4224"/>
      <c r="E24" s="4224"/>
      <c r="F24" s="4225"/>
      <c r="G24" s="4236"/>
      <c r="H24" s="4224"/>
      <c r="I24" s="4224"/>
      <c r="J24" s="4224"/>
      <c r="K24" s="4225"/>
      <c r="L24" s="4236"/>
      <c r="M24" s="4224"/>
      <c r="N24" s="4224"/>
      <c r="O24" s="4224"/>
      <c r="P24" s="4225"/>
      <c r="Q24" s="4236"/>
      <c r="R24" s="4224"/>
      <c r="S24" s="4224"/>
      <c r="T24" s="4224"/>
      <c r="U24" s="4225"/>
      <c r="V24" s="4236"/>
      <c r="W24" s="4224"/>
      <c r="X24" s="4224"/>
      <c r="Y24" s="4224"/>
      <c r="Z24" s="4225"/>
      <c r="AA24" s="4236"/>
      <c r="AB24" s="4224"/>
      <c r="AC24" s="4224"/>
      <c r="AD24" s="4224"/>
      <c r="AE24" s="4225"/>
      <c r="AF24" s="4236"/>
      <c r="AG24" s="4224"/>
      <c r="AH24" s="4224"/>
      <c r="AI24" s="4224"/>
      <c r="AJ24" s="4225"/>
      <c r="AK24" s="4236"/>
      <c r="AL24" s="4224"/>
      <c r="AM24" s="4224"/>
      <c r="AN24" s="4224"/>
      <c r="AO24" s="4225"/>
      <c r="AP24" s="4236"/>
      <c r="AQ24" s="4224"/>
      <c r="AR24" s="4224"/>
      <c r="AS24" s="4224"/>
      <c r="AT24" s="4225"/>
      <c r="AU24" s="4236"/>
      <c r="AV24" s="4224"/>
      <c r="AW24" s="4224"/>
      <c r="AX24" s="4224"/>
      <c r="AY24" s="4225"/>
      <c r="AZ24" s="4236"/>
      <c r="BA24" s="4224">
        <v>1</v>
      </c>
      <c r="BB24" s="4224">
        <v>1</v>
      </c>
      <c r="BC24" s="4224"/>
      <c r="BD24" s="4225">
        <f t="shared" si="10"/>
        <v>2</v>
      </c>
      <c r="BE24" s="4236">
        <v>1</v>
      </c>
      <c r="BF24" s="4224">
        <v>5</v>
      </c>
      <c r="BG24" s="4224">
        <v>1</v>
      </c>
      <c r="BH24" s="4224"/>
      <c r="BI24" s="4225">
        <f t="shared" si="11"/>
        <v>7</v>
      </c>
      <c r="BJ24" s="4236">
        <v>1</v>
      </c>
      <c r="BK24" s="4224">
        <v>5</v>
      </c>
      <c r="BL24" s="4224">
        <v>2</v>
      </c>
      <c r="BM24" s="4224"/>
      <c r="BN24" s="4225">
        <f t="shared" si="12"/>
        <v>8</v>
      </c>
      <c r="BO24" s="4236">
        <v>5</v>
      </c>
      <c r="BP24" s="4224">
        <v>8</v>
      </c>
      <c r="BQ24" s="4224">
        <v>4</v>
      </c>
      <c r="BR24" s="4224"/>
      <c r="BS24" s="4225">
        <f t="shared" si="13"/>
        <v>17</v>
      </c>
      <c r="BT24" s="4236">
        <v>5</v>
      </c>
      <c r="BU24" s="4224">
        <v>7</v>
      </c>
      <c r="BV24" s="4224">
        <v>3</v>
      </c>
      <c r="BW24" s="4224"/>
      <c r="BX24" s="4225">
        <f t="shared" si="14"/>
        <v>15</v>
      </c>
      <c r="BY24" s="4236">
        <v>6</v>
      </c>
      <c r="BZ24" s="4224">
        <v>6</v>
      </c>
      <c r="CA24" s="4224">
        <v>3</v>
      </c>
      <c r="CB24" s="4224"/>
      <c r="CC24" s="4225">
        <f t="shared" si="26"/>
        <v>15</v>
      </c>
    </row>
    <row r="25" spans="1:81" ht="15" customHeight="1" x14ac:dyDescent="0.2">
      <c r="A25" s="2902" t="s">
        <v>411</v>
      </c>
      <c r="B25" s="4245"/>
      <c r="C25" s="4233"/>
      <c r="D25" s="4233"/>
      <c r="E25" s="4233"/>
      <c r="F25" s="4246"/>
      <c r="G25" s="4245"/>
      <c r="H25" s="4233"/>
      <c r="I25" s="4233"/>
      <c r="J25" s="4233"/>
      <c r="K25" s="4246"/>
      <c r="L25" s="4245"/>
      <c r="M25" s="4233"/>
      <c r="N25" s="4233"/>
      <c r="O25" s="4233"/>
      <c r="P25" s="4246"/>
      <c r="Q25" s="4245"/>
      <c r="R25" s="4233"/>
      <c r="S25" s="4233"/>
      <c r="T25" s="4233"/>
      <c r="U25" s="4246"/>
      <c r="V25" s="4245"/>
      <c r="W25" s="4233"/>
      <c r="X25" s="4233"/>
      <c r="Y25" s="4233"/>
      <c r="Z25" s="4246"/>
      <c r="AA25" s="4245"/>
      <c r="AB25" s="4233"/>
      <c r="AC25" s="4233"/>
      <c r="AD25" s="4233"/>
      <c r="AE25" s="4246"/>
      <c r="AF25" s="4245"/>
      <c r="AG25" s="4233"/>
      <c r="AH25" s="4233"/>
      <c r="AI25" s="4233"/>
      <c r="AJ25" s="4246"/>
      <c r="AK25" s="4245"/>
      <c r="AL25" s="4233"/>
      <c r="AM25" s="4233"/>
      <c r="AN25" s="4233"/>
      <c r="AO25" s="4246"/>
      <c r="AP25" s="4245"/>
      <c r="AQ25" s="4233"/>
      <c r="AR25" s="4233"/>
      <c r="AS25" s="4233"/>
      <c r="AT25" s="4246"/>
      <c r="AU25" s="4245"/>
      <c r="AV25" s="4233"/>
      <c r="AW25" s="4233"/>
      <c r="AX25" s="4233"/>
      <c r="AY25" s="4246"/>
      <c r="AZ25" s="4245"/>
      <c r="BA25" s="4233">
        <f>SUM(BA22:BA24)</f>
        <v>3</v>
      </c>
      <c r="BB25" s="4233">
        <f t="shared" ref="BB25:BX25" si="27">SUM(BB22:BB24)</f>
        <v>1</v>
      </c>
      <c r="BC25" s="4233"/>
      <c r="BD25" s="4246">
        <f t="shared" si="27"/>
        <v>4</v>
      </c>
      <c r="BE25" s="4245">
        <f t="shared" si="27"/>
        <v>2</v>
      </c>
      <c r="BF25" s="4233">
        <f t="shared" si="27"/>
        <v>8</v>
      </c>
      <c r="BG25" s="4233">
        <f t="shared" si="27"/>
        <v>1</v>
      </c>
      <c r="BH25" s="4233"/>
      <c r="BI25" s="4246">
        <f t="shared" si="27"/>
        <v>11</v>
      </c>
      <c r="BJ25" s="4245">
        <f t="shared" si="27"/>
        <v>2</v>
      </c>
      <c r="BK25" s="4233">
        <f t="shared" si="27"/>
        <v>9</v>
      </c>
      <c r="BL25" s="4233">
        <f t="shared" si="27"/>
        <v>2</v>
      </c>
      <c r="BM25" s="4233"/>
      <c r="BN25" s="4246">
        <f t="shared" si="27"/>
        <v>13</v>
      </c>
      <c r="BO25" s="4245">
        <f t="shared" si="27"/>
        <v>10</v>
      </c>
      <c r="BP25" s="4233">
        <f t="shared" si="27"/>
        <v>17</v>
      </c>
      <c r="BQ25" s="4233">
        <f t="shared" si="27"/>
        <v>4</v>
      </c>
      <c r="BR25" s="4233"/>
      <c r="BS25" s="4246">
        <f t="shared" si="27"/>
        <v>31</v>
      </c>
      <c r="BT25" s="4245">
        <f t="shared" si="27"/>
        <v>11</v>
      </c>
      <c r="BU25" s="4233">
        <f t="shared" si="27"/>
        <v>13</v>
      </c>
      <c r="BV25" s="4233">
        <f t="shared" si="27"/>
        <v>4</v>
      </c>
      <c r="BW25" s="4233"/>
      <c r="BX25" s="4246">
        <f t="shared" si="27"/>
        <v>28</v>
      </c>
      <c r="BY25" s="4245">
        <f t="shared" ref="BY25:CA25" si="28">SUM(BY22:BY24)</f>
        <v>15</v>
      </c>
      <c r="BZ25" s="4233">
        <f t="shared" si="28"/>
        <v>13</v>
      </c>
      <c r="CA25" s="4233">
        <f t="shared" si="28"/>
        <v>6</v>
      </c>
      <c r="CB25" s="4233"/>
      <c r="CC25" s="4246">
        <f t="shared" ref="CC25" si="29">SUM(CC22:CC24)</f>
        <v>34</v>
      </c>
    </row>
    <row r="26" spans="1:81" ht="15" customHeight="1" x14ac:dyDescent="0.2">
      <c r="A26" s="250"/>
      <c r="B26" s="4228"/>
      <c r="C26" s="4228"/>
      <c r="D26" s="4229"/>
      <c r="E26" s="4229"/>
      <c r="F26" s="4229"/>
      <c r="G26" s="4228"/>
      <c r="H26" s="4228"/>
      <c r="I26" s="4229"/>
      <c r="J26" s="4229"/>
      <c r="K26" s="4222"/>
      <c r="L26" s="4228"/>
      <c r="M26" s="4228"/>
      <c r="N26" s="4229"/>
      <c r="O26" s="4229"/>
      <c r="P26" s="4222"/>
      <c r="Q26" s="4228"/>
      <c r="R26" s="4228"/>
      <c r="S26" s="4229"/>
      <c r="T26" s="4229"/>
      <c r="U26" s="4222"/>
      <c r="V26" s="4228"/>
      <c r="W26" s="4228"/>
      <c r="X26" s="4229"/>
      <c r="Y26" s="4229"/>
      <c r="Z26" s="4222"/>
      <c r="AA26" s="4228"/>
      <c r="AB26" s="4228"/>
      <c r="AC26" s="4229"/>
      <c r="AD26" s="4229"/>
      <c r="AE26" s="4222"/>
      <c r="AF26" s="4228"/>
      <c r="AG26" s="4228"/>
      <c r="AH26" s="4229"/>
      <c r="AI26" s="4229"/>
      <c r="AJ26" s="4222">
        <f t="shared" si="6"/>
        <v>0</v>
      </c>
      <c r="AK26" s="4228"/>
      <c r="AL26" s="4228"/>
      <c r="AM26" s="4229"/>
      <c r="AN26" s="4229"/>
      <c r="AO26" s="4222">
        <f t="shared" si="7"/>
        <v>0</v>
      </c>
      <c r="AP26" s="4228"/>
      <c r="AQ26" s="4228"/>
      <c r="AR26" s="4229"/>
      <c r="AS26" s="4229"/>
      <c r="AT26" s="4222">
        <f t="shared" si="8"/>
        <v>0</v>
      </c>
      <c r="AU26" s="4228"/>
      <c r="AV26" s="4228"/>
      <c r="AW26" s="4229"/>
      <c r="AX26" s="4229"/>
      <c r="AY26" s="4222">
        <f t="shared" si="9"/>
        <v>0</v>
      </c>
      <c r="AZ26" s="4228"/>
      <c r="BA26" s="4228"/>
      <c r="BB26" s="4229"/>
      <c r="BC26" s="4229"/>
      <c r="BD26" s="4222">
        <f t="shared" si="10"/>
        <v>0</v>
      </c>
      <c r="BE26" s="4228"/>
      <c r="BF26" s="4228"/>
      <c r="BG26" s="4229"/>
      <c r="BH26" s="4229"/>
      <c r="BI26" s="4222">
        <f t="shared" si="11"/>
        <v>0</v>
      </c>
      <c r="BJ26" s="4228"/>
      <c r="BK26" s="4228"/>
      <c r="BL26" s="4229"/>
      <c r="BM26" s="4229"/>
      <c r="BN26" s="4222">
        <f t="shared" si="12"/>
        <v>0</v>
      </c>
      <c r="BO26" s="4228"/>
      <c r="BP26" s="4228"/>
      <c r="BQ26" s="4229"/>
      <c r="BR26" s="4229"/>
      <c r="BS26" s="4222">
        <f t="shared" si="13"/>
        <v>0</v>
      </c>
      <c r="BT26" s="4228"/>
      <c r="BU26" s="4228"/>
      <c r="BV26" s="4229"/>
      <c r="BW26" s="4229"/>
      <c r="BX26" s="4222">
        <f t="shared" si="14"/>
        <v>0</v>
      </c>
      <c r="BY26" s="4228"/>
      <c r="BZ26" s="4228"/>
      <c r="CA26" s="4229"/>
      <c r="CB26" s="4229"/>
      <c r="CC26" s="4222">
        <f t="shared" ref="CC26:CC29" si="30">SUM(BY26:CB26)</f>
        <v>0</v>
      </c>
    </row>
    <row r="27" spans="1:81" ht="15" customHeight="1" x14ac:dyDescent="0.2">
      <c r="A27" s="1931" t="s">
        <v>6</v>
      </c>
      <c r="B27" s="897">
        <v>8</v>
      </c>
      <c r="C27" s="898">
        <v>41</v>
      </c>
      <c r="D27" s="898">
        <v>5</v>
      </c>
      <c r="E27" s="898">
        <v>2</v>
      </c>
      <c r="F27" s="4222">
        <f t="shared" si="0"/>
        <v>56</v>
      </c>
      <c r="G27" s="897">
        <v>5</v>
      </c>
      <c r="H27" s="898">
        <v>41</v>
      </c>
      <c r="I27" s="898">
        <v>14</v>
      </c>
      <c r="J27" s="898">
        <v>2</v>
      </c>
      <c r="K27" s="4222">
        <f t="shared" si="1"/>
        <v>62</v>
      </c>
      <c r="L27" s="897">
        <v>1</v>
      </c>
      <c r="M27" s="898">
        <v>40</v>
      </c>
      <c r="N27" s="898">
        <v>20</v>
      </c>
      <c r="O27" s="898">
        <v>2</v>
      </c>
      <c r="P27" s="4222">
        <f t="shared" si="2"/>
        <v>63</v>
      </c>
      <c r="Q27" s="897">
        <v>1</v>
      </c>
      <c r="R27" s="898">
        <v>41</v>
      </c>
      <c r="S27" s="898">
        <v>21</v>
      </c>
      <c r="T27" s="898">
        <v>2</v>
      </c>
      <c r="U27" s="4222">
        <f t="shared" si="3"/>
        <v>65</v>
      </c>
      <c r="V27" s="897"/>
      <c r="W27" s="898">
        <v>50</v>
      </c>
      <c r="X27" s="898">
        <v>24</v>
      </c>
      <c r="Y27" s="898">
        <v>2</v>
      </c>
      <c r="Z27" s="4222">
        <f t="shared" si="4"/>
        <v>76</v>
      </c>
      <c r="AA27" s="897"/>
      <c r="AB27" s="898">
        <v>50</v>
      </c>
      <c r="AC27" s="898">
        <v>25</v>
      </c>
      <c r="AD27" s="898">
        <v>5</v>
      </c>
      <c r="AE27" s="4222">
        <f t="shared" si="5"/>
        <v>80</v>
      </c>
      <c r="AF27" s="897">
        <v>1</v>
      </c>
      <c r="AG27" s="898">
        <v>53</v>
      </c>
      <c r="AH27" s="898">
        <v>31</v>
      </c>
      <c r="AI27" s="898">
        <v>5</v>
      </c>
      <c r="AJ27" s="4222">
        <f t="shared" si="6"/>
        <v>90</v>
      </c>
      <c r="AK27" s="897">
        <v>1</v>
      </c>
      <c r="AL27" s="898">
        <v>58</v>
      </c>
      <c r="AM27" s="898">
        <v>34</v>
      </c>
      <c r="AN27" s="898">
        <v>5</v>
      </c>
      <c r="AO27" s="4222">
        <f t="shared" si="7"/>
        <v>98</v>
      </c>
      <c r="AP27" s="897">
        <v>2</v>
      </c>
      <c r="AQ27" s="898">
        <v>65</v>
      </c>
      <c r="AR27" s="898">
        <v>38</v>
      </c>
      <c r="AS27" s="898">
        <v>7</v>
      </c>
      <c r="AT27" s="4222">
        <f t="shared" si="8"/>
        <v>112</v>
      </c>
      <c r="AU27" s="897">
        <v>2</v>
      </c>
      <c r="AV27" s="898">
        <v>65</v>
      </c>
      <c r="AW27" s="898">
        <v>38</v>
      </c>
      <c r="AX27" s="898">
        <v>7</v>
      </c>
      <c r="AY27" s="4222">
        <f t="shared" si="9"/>
        <v>112</v>
      </c>
      <c r="AZ27" s="897">
        <v>3</v>
      </c>
      <c r="BA27" s="898">
        <v>68</v>
      </c>
      <c r="BB27" s="898">
        <v>34</v>
      </c>
      <c r="BC27" s="898">
        <v>11</v>
      </c>
      <c r="BD27" s="4222">
        <f t="shared" si="10"/>
        <v>116</v>
      </c>
      <c r="BE27" s="897">
        <v>3</v>
      </c>
      <c r="BF27" s="898">
        <v>67</v>
      </c>
      <c r="BG27" s="898">
        <v>34</v>
      </c>
      <c r="BH27" s="898">
        <v>11</v>
      </c>
      <c r="BI27" s="4222">
        <f t="shared" si="11"/>
        <v>115</v>
      </c>
      <c r="BJ27" s="897">
        <v>8</v>
      </c>
      <c r="BK27" s="898">
        <v>65</v>
      </c>
      <c r="BL27" s="898">
        <v>35</v>
      </c>
      <c r="BM27" s="898">
        <v>12</v>
      </c>
      <c r="BN27" s="4222">
        <f t="shared" si="12"/>
        <v>120</v>
      </c>
      <c r="BO27" s="897">
        <v>15</v>
      </c>
      <c r="BP27" s="898">
        <v>63</v>
      </c>
      <c r="BQ27" s="898">
        <v>34</v>
      </c>
      <c r="BR27" s="898">
        <v>13</v>
      </c>
      <c r="BS27" s="4222">
        <f t="shared" si="13"/>
        <v>125</v>
      </c>
      <c r="BT27" s="897">
        <v>17</v>
      </c>
      <c r="BU27" s="898">
        <v>66</v>
      </c>
      <c r="BV27" s="898">
        <v>29</v>
      </c>
      <c r="BW27" s="898">
        <v>16</v>
      </c>
      <c r="BX27" s="4222">
        <f t="shared" si="14"/>
        <v>128</v>
      </c>
      <c r="BY27" s="897">
        <v>14</v>
      </c>
      <c r="BZ27" s="898">
        <v>60</v>
      </c>
      <c r="CA27" s="898">
        <v>32</v>
      </c>
      <c r="CB27" s="898">
        <v>17</v>
      </c>
      <c r="CC27" s="4222">
        <f t="shared" si="30"/>
        <v>123</v>
      </c>
    </row>
    <row r="28" spans="1:81" ht="15" customHeight="1" x14ac:dyDescent="0.2">
      <c r="A28" s="1932" t="s">
        <v>11</v>
      </c>
      <c r="B28" s="907">
        <v>2</v>
      </c>
      <c r="C28" s="908">
        <v>19</v>
      </c>
      <c r="D28" s="908">
        <v>1</v>
      </c>
      <c r="E28" s="908"/>
      <c r="F28" s="4223">
        <f t="shared" si="0"/>
        <v>22</v>
      </c>
      <c r="G28" s="907">
        <v>5</v>
      </c>
      <c r="H28" s="908">
        <v>23</v>
      </c>
      <c r="I28" s="908"/>
      <c r="J28" s="908"/>
      <c r="K28" s="4223">
        <f t="shared" si="1"/>
        <v>28</v>
      </c>
      <c r="L28" s="907">
        <v>4</v>
      </c>
      <c r="M28" s="908">
        <v>25</v>
      </c>
      <c r="N28" s="908">
        <v>2</v>
      </c>
      <c r="O28" s="908"/>
      <c r="P28" s="4223">
        <f t="shared" si="2"/>
        <v>31</v>
      </c>
      <c r="Q28" s="907">
        <v>4</v>
      </c>
      <c r="R28" s="908">
        <v>27</v>
      </c>
      <c r="S28" s="908">
        <v>2</v>
      </c>
      <c r="T28" s="908"/>
      <c r="U28" s="4223">
        <f t="shared" si="3"/>
        <v>33</v>
      </c>
      <c r="V28" s="907">
        <v>7</v>
      </c>
      <c r="W28" s="908">
        <v>41</v>
      </c>
      <c r="X28" s="908">
        <v>4</v>
      </c>
      <c r="Y28" s="908"/>
      <c r="Z28" s="4223">
        <f t="shared" si="4"/>
        <v>52</v>
      </c>
      <c r="AA28" s="907">
        <v>4</v>
      </c>
      <c r="AB28" s="908">
        <v>45</v>
      </c>
      <c r="AC28" s="908">
        <v>4</v>
      </c>
      <c r="AD28" s="908"/>
      <c r="AE28" s="4223">
        <f t="shared" si="5"/>
        <v>53</v>
      </c>
      <c r="AF28" s="907">
        <v>3</v>
      </c>
      <c r="AG28" s="908">
        <v>45</v>
      </c>
      <c r="AH28" s="908">
        <v>4</v>
      </c>
      <c r="AI28" s="908">
        <v>2</v>
      </c>
      <c r="AJ28" s="4223">
        <f t="shared" si="6"/>
        <v>54</v>
      </c>
      <c r="AK28" s="907">
        <v>3</v>
      </c>
      <c r="AL28" s="908">
        <v>43</v>
      </c>
      <c r="AM28" s="908">
        <v>6</v>
      </c>
      <c r="AN28" s="908">
        <v>2</v>
      </c>
      <c r="AO28" s="4223">
        <f t="shared" si="7"/>
        <v>54</v>
      </c>
      <c r="AP28" s="907">
        <v>7</v>
      </c>
      <c r="AQ28" s="908">
        <v>55</v>
      </c>
      <c r="AR28" s="908">
        <v>12</v>
      </c>
      <c r="AS28" s="908">
        <v>2</v>
      </c>
      <c r="AT28" s="4223">
        <f t="shared" si="8"/>
        <v>76</v>
      </c>
      <c r="AU28" s="907">
        <v>7</v>
      </c>
      <c r="AV28" s="908">
        <v>55</v>
      </c>
      <c r="AW28" s="908">
        <v>12</v>
      </c>
      <c r="AX28" s="908">
        <v>2</v>
      </c>
      <c r="AY28" s="4223">
        <f t="shared" si="9"/>
        <v>76</v>
      </c>
      <c r="AZ28" s="907">
        <v>8</v>
      </c>
      <c r="BA28" s="908">
        <v>53</v>
      </c>
      <c r="BB28" s="908">
        <v>14</v>
      </c>
      <c r="BC28" s="908">
        <v>1</v>
      </c>
      <c r="BD28" s="4223">
        <f t="shared" si="10"/>
        <v>76</v>
      </c>
      <c r="BE28" s="907">
        <v>8</v>
      </c>
      <c r="BF28" s="908">
        <v>55</v>
      </c>
      <c r="BG28" s="908">
        <v>14</v>
      </c>
      <c r="BH28" s="908">
        <v>2</v>
      </c>
      <c r="BI28" s="4223">
        <f t="shared" si="11"/>
        <v>79</v>
      </c>
      <c r="BJ28" s="907">
        <v>9</v>
      </c>
      <c r="BK28" s="908">
        <v>61</v>
      </c>
      <c r="BL28" s="908">
        <v>14</v>
      </c>
      <c r="BM28" s="908">
        <v>2</v>
      </c>
      <c r="BN28" s="4223">
        <f t="shared" si="12"/>
        <v>86</v>
      </c>
      <c r="BO28" s="907">
        <v>14</v>
      </c>
      <c r="BP28" s="908">
        <v>66</v>
      </c>
      <c r="BQ28" s="908">
        <v>15</v>
      </c>
      <c r="BR28" s="908">
        <v>3</v>
      </c>
      <c r="BS28" s="4223">
        <f t="shared" si="13"/>
        <v>98</v>
      </c>
      <c r="BT28" s="907">
        <v>23</v>
      </c>
      <c r="BU28" s="908">
        <v>61</v>
      </c>
      <c r="BV28" s="908">
        <v>15</v>
      </c>
      <c r="BW28" s="908">
        <v>3</v>
      </c>
      <c r="BX28" s="4223">
        <f t="shared" si="14"/>
        <v>102</v>
      </c>
      <c r="BY28" s="907">
        <v>17</v>
      </c>
      <c r="BZ28" s="908">
        <v>67</v>
      </c>
      <c r="CA28" s="908">
        <v>20</v>
      </c>
      <c r="CB28" s="908">
        <v>4</v>
      </c>
      <c r="CC28" s="4223">
        <f t="shared" si="30"/>
        <v>108</v>
      </c>
    </row>
    <row r="29" spans="1:81" ht="15" customHeight="1" x14ac:dyDescent="0.2">
      <c r="A29" s="1936" t="s">
        <v>7</v>
      </c>
      <c r="B29" s="4236"/>
      <c r="C29" s="4224">
        <v>7</v>
      </c>
      <c r="D29" s="4224">
        <v>1</v>
      </c>
      <c r="E29" s="4224"/>
      <c r="F29" s="4225">
        <f t="shared" si="0"/>
        <v>8</v>
      </c>
      <c r="G29" s="4236"/>
      <c r="H29" s="4224">
        <v>9</v>
      </c>
      <c r="I29" s="4224"/>
      <c r="J29" s="4224">
        <v>1</v>
      </c>
      <c r="K29" s="4225">
        <f t="shared" si="1"/>
        <v>10</v>
      </c>
      <c r="L29" s="4236"/>
      <c r="M29" s="4224">
        <v>8</v>
      </c>
      <c r="N29" s="4224">
        <v>1</v>
      </c>
      <c r="O29" s="4224"/>
      <c r="P29" s="4225">
        <f t="shared" si="2"/>
        <v>9</v>
      </c>
      <c r="Q29" s="4236"/>
      <c r="R29" s="4224">
        <v>8</v>
      </c>
      <c r="S29" s="4224">
        <v>1</v>
      </c>
      <c r="T29" s="4224"/>
      <c r="U29" s="4225">
        <f t="shared" si="3"/>
        <v>9</v>
      </c>
      <c r="V29" s="4236"/>
      <c r="W29" s="4224">
        <v>10</v>
      </c>
      <c r="X29" s="4224">
        <v>2</v>
      </c>
      <c r="Y29" s="4224"/>
      <c r="Z29" s="4225">
        <f t="shared" si="4"/>
        <v>12</v>
      </c>
      <c r="AA29" s="4236"/>
      <c r="AB29" s="4224">
        <v>10</v>
      </c>
      <c r="AC29" s="4224">
        <v>5</v>
      </c>
      <c r="AD29" s="4224"/>
      <c r="AE29" s="4225">
        <f t="shared" si="5"/>
        <v>15</v>
      </c>
      <c r="AF29" s="4236"/>
      <c r="AG29" s="4224">
        <v>12</v>
      </c>
      <c r="AH29" s="4224">
        <v>5</v>
      </c>
      <c r="AI29" s="4224"/>
      <c r="AJ29" s="4225">
        <f t="shared" si="6"/>
        <v>17</v>
      </c>
      <c r="AK29" s="4236"/>
      <c r="AL29" s="4224">
        <v>14</v>
      </c>
      <c r="AM29" s="4224">
        <v>6</v>
      </c>
      <c r="AN29" s="4224"/>
      <c r="AO29" s="4225">
        <f t="shared" si="7"/>
        <v>20</v>
      </c>
      <c r="AP29" s="4236"/>
      <c r="AQ29" s="4224">
        <v>9</v>
      </c>
      <c r="AR29" s="4224">
        <v>9</v>
      </c>
      <c r="AS29" s="4224"/>
      <c r="AT29" s="4225">
        <f t="shared" si="8"/>
        <v>18</v>
      </c>
      <c r="AU29" s="4236"/>
      <c r="AV29" s="4224">
        <v>9</v>
      </c>
      <c r="AW29" s="4224">
        <v>9</v>
      </c>
      <c r="AX29" s="4224"/>
      <c r="AY29" s="4225">
        <f t="shared" si="9"/>
        <v>18</v>
      </c>
      <c r="AZ29" s="4236">
        <v>1</v>
      </c>
      <c r="BA29" s="4224">
        <v>8</v>
      </c>
      <c r="BB29" s="4224">
        <v>9</v>
      </c>
      <c r="BC29" s="4224">
        <v>1</v>
      </c>
      <c r="BD29" s="4225">
        <f t="shared" si="10"/>
        <v>19</v>
      </c>
      <c r="BE29" s="4236">
        <v>1</v>
      </c>
      <c r="BF29" s="4224">
        <v>8</v>
      </c>
      <c r="BG29" s="4224">
        <v>9</v>
      </c>
      <c r="BH29" s="4224">
        <v>1</v>
      </c>
      <c r="BI29" s="4225">
        <f t="shared" si="11"/>
        <v>19</v>
      </c>
      <c r="BJ29" s="4236">
        <v>1</v>
      </c>
      <c r="BK29" s="4224">
        <v>9</v>
      </c>
      <c r="BL29" s="4224">
        <v>8</v>
      </c>
      <c r="BM29" s="4224">
        <v>1</v>
      </c>
      <c r="BN29" s="4225">
        <f t="shared" si="12"/>
        <v>19</v>
      </c>
      <c r="BO29" s="4236">
        <v>2</v>
      </c>
      <c r="BP29" s="4224">
        <v>11</v>
      </c>
      <c r="BQ29" s="4224">
        <v>5</v>
      </c>
      <c r="BR29" s="4224">
        <v>2</v>
      </c>
      <c r="BS29" s="4225">
        <f t="shared" si="13"/>
        <v>20</v>
      </c>
      <c r="BT29" s="4236">
        <v>1</v>
      </c>
      <c r="BU29" s="4224">
        <v>10</v>
      </c>
      <c r="BV29" s="4224">
        <v>6</v>
      </c>
      <c r="BW29" s="4224">
        <v>2</v>
      </c>
      <c r="BX29" s="4225">
        <f t="shared" si="14"/>
        <v>19</v>
      </c>
      <c r="BY29" s="4236"/>
      <c r="BZ29" s="4224">
        <v>9</v>
      </c>
      <c r="CA29" s="4224">
        <v>5</v>
      </c>
      <c r="CB29" s="4224">
        <v>2</v>
      </c>
      <c r="CC29" s="4225">
        <f t="shared" si="30"/>
        <v>16</v>
      </c>
    </row>
    <row r="30" spans="1:81" ht="15" customHeight="1" x14ac:dyDescent="0.2">
      <c r="A30" s="2903" t="s">
        <v>163</v>
      </c>
      <c r="B30" s="4247">
        <f>SUM(B27:B29)</f>
        <v>10</v>
      </c>
      <c r="C30" s="4234">
        <f t="shared" ref="C30:BN30" si="31">SUM(C27:C29)</f>
        <v>67</v>
      </c>
      <c r="D30" s="4234">
        <f t="shared" si="31"/>
        <v>7</v>
      </c>
      <c r="E30" s="4234">
        <f t="shared" si="31"/>
        <v>2</v>
      </c>
      <c r="F30" s="4235">
        <f t="shared" si="31"/>
        <v>86</v>
      </c>
      <c r="G30" s="4247">
        <f t="shared" si="31"/>
        <v>10</v>
      </c>
      <c r="H30" s="4234">
        <f t="shared" si="31"/>
        <v>73</v>
      </c>
      <c r="I30" s="4234">
        <f t="shared" si="31"/>
        <v>14</v>
      </c>
      <c r="J30" s="4234">
        <f t="shared" si="31"/>
        <v>3</v>
      </c>
      <c r="K30" s="4235">
        <f t="shared" si="31"/>
        <v>100</v>
      </c>
      <c r="L30" s="4247">
        <f t="shared" si="31"/>
        <v>5</v>
      </c>
      <c r="M30" s="4234">
        <f t="shared" si="31"/>
        <v>73</v>
      </c>
      <c r="N30" s="4234">
        <f t="shared" si="31"/>
        <v>23</v>
      </c>
      <c r="O30" s="4234">
        <f t="shared" si="31"/>
        <v>2</v>
      </c>
      <c r="P30" s="4235">
        <f t="shared" si="31"/>
        <v>103</v>
      </c>
      <c r="Q30" s="4247">
        <f t="shared" si="31"/>
        <v>5</v>
      </c>
      <c r="R30" s="4234">
        <f t="shared" si="31"/>
        <v>76</v>
      </c>
      <c r="S30" s="4234">
        <f t="shared" si="31"/>
        <v>24</v>
      </c>
      <c r="T30" s="4234">
        <f t="shared" si="31"/>
        <v>2</v>
      </c>
      <c r="U30" s="4235">
        <f t="shared" si="31"/>
        <v>107</v>
      </c>
      <c r="V30" s="4247">
        <f t="shared" si="31"/>
        <v>7</v>
      </c>
      <c r="W30" s="4234">
        <f t="shared" si="31"/>
        <v>101</v>
      </c>
      <c r="X30" s="4234">
        <f t="shared" si="31"/>
        <v>30</v>
      </c>
      <c r="Y30" s="4234">
        <f t="shared" si="31"/>
        <v>2</v>
      </c>
      <c r="Z30" s="4235">
        <f t="shared" si="31"/>
        <v>140</v>
      </c>
      <c r="AA30" s="4247">
        <f t="shared" si="31"/>
        <v>4</v>
      </c>
      <c r="AB30" s="4234">
        <f t="shared" si="31"/>
        <v>105</v>
      </c>
      <c r="AC30" s="4234">
        <f t="shared" si="31"/>
        <v>34</v>
      </c>
      <c r="AD30" s="4234">
        <f t="shared" si="31"/>
        <v>5</v>
      </c>
      <c r="AE30" s="4235">
        <f t="shared" si="31"/>
        <v>148</v>
      </c>
      <c r="AF30" s="4247">
        <f t="shared" si="31"/>
        <v>4</v>
      </c>
      <c r="AG30" s="4234">
        <f t="shared" si="31"/>
        <v>110</v>
      </c>
      <c r="AH30" s="4234">
        <f t="shared" si="31"/>
        <v>40</v>
      </c>
      <c r="AI30" s="4234">
        <f t="shared" si="31"/>
        <v>7</v>
      </c>
      <c r="AJ30" s="4235">
        <f t="shared" si="31"/>
        <v>161</v>
      </c>
      <c r="AK30" s="4247">
        <f t="shared" si="31"/>
        <v>4</v>
      </c>
      <c r="AL30" s="4234">
        <f t="shared" si="31"/>
        <v>115</v>
      </c>
      <c r="AM30" s="4234">
        <f t="shared" si="31"/>
        <v>46</v>
      </c>
      <c r="AN30" s="4234">
        <f t="shared" si="31"/>
        <v>7</v>
      </c>
      <c r="AO30" s="4235">
        <f t="shared" si="31"/>
        <v>172</v>
      </c>
      <c r="AP30" s="4247">
        <f t="shared" si="31"/>
        <v>9</v>
      </c>
      <c r="AQ30" s="4234">
        <f t="shared" si="31"/>
        <v>129</v>
      </c>
      <c r="AR30" s="4234">
        <f t="shared" si="31"/>
        <v>59</v>
      </c>
      <c r="AS30" s="4234">
        <f t="shared" si="31"/>
        <v>9</v>
      </c>
      <c r="AT30" s="4235">
        <f t="shared" si="31"/>
        <v>206</v>
      </c>
      <c r="AU30" s="4247">
        <f t="shared" si="31"/>
        <v>9</v>
      </c>
      <c r="AV30" s="4234">
        <f t="shared" si="31"/>
        <v>129</v>
      </c>
      <c r="AW30" s="4234">
        <f t="shared" si="31"/>
        <v>59</v>
      </c>
      <c r="AX30" s="4234">
        <f t="shared" si="31"/>
        <v>9</v>
      </c>
      <c r="AY30" s="4235">
        <f t="shared" si="31"/>
        <v>206</v>
      </c>
      <c r="AZ30" s="4247">
        <f t="shared" si="31"/>
        <v>12</v>
      </c>
      <c r="BA30" s="4234">
        <f t="shared" si="31"/>
        <v>129</v>
      </c>
      <c r="BB30" s="4234">
        <f t="shared" si="31"/>
        <v>57</v>
      </c>
      <c r="BC30" s="4234">
        <f t="shared" si="31"/>
        <v>13</v>
      </c>
      <c r="BD30" s="4235">
        <f t="shared" si="31"/>
        <v>211</v>
      </c>
      <c r="BE30" s="4247">
        <f t="shared" si="31"/>
        <v>12</v>
      </c>
      <c r="BF30" s="4234">
        <f t="shared" si="31"/>
        <v>130</v>
      </c>
      <c r="BG30" s="4234">
        <f t="shared" si="31"/>
        <v>57</v>
      </c>
      <c r="BH30" s="4234">
        <f t="shared" si="31"/>
        <v>14</v>
      </c>
      <c r="BI30" s="4235">
        <f t="shared" si="31"/>
        <v>213</v>
      </c>
      <c r="BJ30" s="4247">
        <f t="shared" si="31"/>
        <v>18</v>
      </c>
      <c r="BK30" s="4234">
        <f t="shared" si="31"/>
        <v>135</v>
      </c>
      <c r="BL30" s="4234">
        <f t="shared" si="31"/>
        <v>57</v>
      </c>
      <c r="BM30" s="4234">
        <f t="shared" si="31"/>
        <v>15</v>
      </c>
      <c r="BN30" s="4235">
        <f t="shared" si="31"/>
        <v>225</v>
      </c>
      <c r="BO30" s="4247">
        <f t="shared" ref="BO30:BX30" si="32">SUM(BO27:BO29)</f>
        <v>31</v>
      </c>
      <c r="BP30" s="4234">
        <f t="shared" si="32"/>
        <v>140</v>
      </c>
      <c r="BQ30" s="4234">
        <f t="shared" si="32"/>
        <v>54</v>
      </c>
      <c r="BR30" s="4234">
        <f t="shared" si="32"/>
        <v>18</v>
      </c>
      <c r="BS30" s="4235">
        <f t="shared" si="32"/>
        <v>243</v>
      </c>
      <c r="BT30" s="4247">
        <f t="shared" si="32"/>
        <v>41</v>
      </c>
      <c r="BU30" s="4234">
        <f t="shared" si="32"/>
        <v>137</v>
      </c>
      <c r="BV30" s="4234">
        <f t="shared" si="32"/>
        <v>50</v>
      </c>
      <c r="BW30" s="4234">
        <f t="shared" si="32"/>
        <v>21</v>
      </c>
      <c r="BX30" s="4235">
        <f t="shared" si="32"/>
        <v>249</v>
      </c>
      <c r="BY30" s="4247">
        <f t="shared" ref="BY30:CC30" si="33">SUM(BY27:BY29)</f>
        <v>31</v>
      </c>
      <c r="BZ30" s="4234">
        <f t="shared" si="33"/>
        <v>136</v>
      </c>
      <c r="CA30" s="4234">
        <f t="shared" si="33"/>
        <v>57</v>
      </c>
      <c r="CB30" s="4234">
        <f t="shared" si="33"/>
        <v>23</v>
      </c>
      <c r="CC30" s="4235">
        <f t="shared" si="33"/>
        <v>247</v>
      </c>
    </row>
    <row r="31" spans="1:81" ht="14.1" customHeight="1" x14ac:dyDescent="0.2">
      <c r="A31" s="1930"/>
      <c r="B31" s="4228"/>
      <c r="C31" s="4228"/>
      <c r="D31" s="4229"/>
      <c r="E31" s="4229"/>
      <c r="F31" s="4229"/>
      <c r="G31" s="4228"/>
      <c r="H31" s="4228"/>
      <c r="I31" s="4229"/>
      <c r="J31" s="4229"/>
      <c r="K31" s="4222">
        <f t="shared" si="1"/>
        <v>0</v>
      </c>
      <c r="L31" s="4228"/>
      <c r="M31" s="4228"/>
      <c r="N31" s="4229"/>
      <c r="O31" s="4229"/>
      <c r="P31" s="4222">
        <f t="shared" si="2"/>
        <v>0</v>
      </c>
      <c r="Q31" s="4228"/>
      <c r="R31" s="4228"/>
      <c r="S31" s="4229"/>
      <c r="T31" s="4229"/>
      <c r="U31" s="4222">
        <f t="shared" si="3"/>
        <v>0</v>
      </c>
      <c r="V31" s="4228"/>
      <c r="W31" s="4228"/>
      <c r="X31" s="4229"/>
      <c r="Y31" s="4229"/>
      <c r="Z31" s="4222">
        <f t="shared" si="4"/>
        <v>0</v>
      </c>
      <c r="AA31" s="4228"/>
      <c r="AB31" s="4228"/>
      <c r="AC31" s="4229"/>
      <c r="AD31" s="4229"/>
      <c r="AE31" s="4222">
        <f t="shared" si="5"/>
        <v>0</v>
      </c>
      <c r="AF31" s="4228"/>
      <c r="AG31" s="4228"/>
      <c r="AH31" s="4229"/>
      <c r="AI31" s="4229"/>
      <c r="AJ31" s="4222">
        <f t="shared" si="6"/>
        <v>0</v>
      </c>
      <c r="AK31" s="4228"/>
      <c r="AL31" s="4228"/>
      <c r="AM31" s="4229"/>
      <c r="AN31" s="4229"/>
      <c r="AO31" s="4222">
        <f t="shared" si="7"/>
        <v>0</v>
      </c>
      <c r="AP31" s="4228"/>
      <c r="AQ31" s="4228"/>
      <c r="AR31" s="4229"/>
      <c r="AS31" s="4229"/>
      <c r="AT31" s="4222">
        <f t="shared" si="8"/>
        <v>0</v>
      </c>
      <c r="AU31" s="4228"/>
      <c r="AV31" s="4228"/>
      <c r="AW31" s="4229"/>
      <c r="AX31" s="4229"/>
      <c r="AY31" s="4222">
        <f t="shared" si="9"/>
        <v>0</v>
      </c>
      <c r="AZ31" s="4228"/>
      <c r="BA31" s="4228"/>
      <c r="BB31" s="4229"/>
      <c r="BC31" s="4229"/>
      <c r="BD31" s="4222">
        <f t="shared" si="10"/>
        <v>0</v>
      </c>
      <c r="BE31" s="4228"/>
      <c r="BF31" s="4228"/>
      <c r="BG31" s="4229"/>
      <c r="BH31" s="4229"/>
      <c r="BI31" s="4222">
        <f t="shared" si="11"/>
        <v>0</v>
      </c>
      <c r="BJ31" s="4228"/>
      <c r="BK31" s="4228"/>
      <c r="BL31" s="4229"/>
      <c r="BM31" s="4229"/>
      <c r="BN31" s="4222">
        <f t="shared" si="12"/>
        <v>0</v>
      </c>
      <c r="BO31" s="4228"/>
      <c r="BP31" s="4228"/>
      <c r="BQ31" s="4229"/>
      <c r="BR31" s="4229"/>
      <c r="BS31" s="4222">
        <f t="shared" si="13"/>
        <v>0</v>
      </c>
      <c r="BT31" s="4228"/>
      <c r="BU31" s="4228"/>
      <c r="BV31" s="4229"/>
      <c r="BW31" s="4229"/>
      <c r="BX31" s="4222">
        <f t="shared" si="14"/>
        <v>0</v>
      </c>
      <c r="BY31" s="4228"/>
      <c r="BZ31" s="4228"/>
      <c r="CA31" s="4229"/>
      <c r="CB31" s="4229"/>
      <c r="CC31" s="4222">
        <f t="shared" ref="CC31" si="34">SUM(BY31:CB31)</f>
        <v>0</v>
      </c>
    </row>
    <row r="32" spans="1:81" ht="14.1" customHeight="1" x14ac:dyDescent="0.2">
      <c r="A32" s="1931" t="s">
        <v>5</v>
      </c>
      <c r="B32" s="897">
        <f>SUM(B7,B17,B22)</f>
        <v>38</v>
      </c>
      <c r="C32" s="898">
        <f t="shared" ref="C32:BN32" si="35">SUM(C7,C17,C22)</f>
        <v>87</v>
      </c>
      <c r="D32" s="898">
        <f t="shared" si="35"/>
        <v>37</v>
      </c>
      <c r="E32" s="898">
        <f t="shared" si="35"/>
        <v>20</v>
      </c>
      <c r="F32" s="4248">
        <f>SUM(B32:E32)</f>
        <v>182</v>
      </c>
      <c r="G32" s="897">
        <f t="shared" si="35"/>
        <v>21</v>
      </c>
      <c r="H32" s="898">
        <f t="shared" si="35"/>
        <v>91</v>
      </c>
      <c r="I32" s="898">
        <f t="shared" si="35"/>
        <v>39</v>
      </c>
      <c r="J32" s="898">
        <f t="shared" si="35"/>
        <v>22</v>
      </c>
      <c r="K32" s="4248">
        <f t="shared" si="35"/>
        <v>173</v>
      </c>
      <c r="L32" s="897">
        <f t="shared" si="35"/>
        <v>20</v>
      </c>
      <c r="M32" s="898">
        <f t="shared" si="35"/>
        <v>97</v>
      </c>
      <c r="N32" s="898">
        <f t="shared" si="35"/>
        <v>42</v>
      </c>
      <c r="O32" s="898">
        <f t="shared" si="35"/>
        <v>23</v>
      </c>
      <c r="P32" s="4248">
        <f t="shared" si="35"/>
        <v>182</v>
      </c>
      <c r="Q32" s="897">
        <f t="shared" si="35"/>
        <v>19</v>
      </c>
      <c r="R32" s="898">
        <f t="shared" si="35"/>
        <v>98</v>
      </c>
      <c r="S32" s="898">
        <f t="shared" si="35"/>
        <v>42</v>
      </c>
      <c r="T32" s="898">
        <f t="shared" si="35"/>
        <v>24</v>
      </c>
      <c r="U32" s="4248">
        <f t="shared" si="35"/>
        <v>183</v>
      </c>
      <c r="V32" s="897">
        <f t="shared" si="35"/>
        <v>19</v>
      </c>
      <c r="W32" s="898">
        <f t="shared" si="35"/>
        <v>109</v>
      </c>
      <c r="X32" s="898">
        <f t="shared" si="35"/>
        <v>39</v>
      </c>
      <c r="Y32" s="898">
        <f t="shared" si="35"/>
        <v>27</v>
      </c>
      <c r="Z32" s="4248">
        <f t="shared" si="35"/>
        <v>194</v>
      </c>
      <c r="AA32" s="897">
        <f t="shared" si="35"/>
        <v>28</v>
      </c>
      <c r="AB32" s="898">
        <f t="shared" si="35"/>
        <v>109</v>
      </c>
      <c r="AC32" s="898">
        <f t="shared" si="35"/>
        <v>41</v>
      </c>
      <c r="AD32" s="898">
        <f t="shared" si="35"/>
        <v>27</v>
      </c>
      <c r="AE32" s="4248">
        <f t="shared" si="35"/>
        <v>205</v>
      </c>
      <c r="AF32" s="897">
        <f t="shared" si="35"/>
        <v>30</v>
      </c>
      <c r="AG32" s="898">
        <f t="shared" si="35"/>
        <v>113</v>
      </c>
      <c r="AH32" s="898">
        <f t="shared" si="35"/>
        <v>45</v>
      </c>
      <c r="AI32" s="898">
        <f t="shared" si="35"/>
        <v>33</v>
      </c>
      <c r="AJ32" s="4248">
        <f t="shared" si="35"/>
        <v>221</v>
      </c>
      <c r="AK32" s="897">
        <f t="shared" si="35"/>
        <v>31</v>
      </c>
      <c r="AL32" s="898">
        <f t="shared" si="35"/>
        <v>117</v>
      </c>
      <c r="AM32" s="898">
        <f t="shared" si="35"/>
        <v>46</v>
      </c>
      <c r="AN32" s="898">
        <f t="shared" si="35"/>
        <v>34</v>
      </c>
      <c r="AO32" s="4248">
        <f t="shared" si="35"/>
        <v>228</v>
      </c>
      <c r="AP32" s="897">
        <f t="shared" si="35"/>
        <v>23</v>
      </c>
      <c r="AQ32" s="898">
        <f t="shared" si="35"/>
        <v>120</v>
      </c>
      <c r="AR32" s="898">
        <f t="shared" si="35"/>
        <v>54</v>
      </c>
      <c r="AS32" s="898">
        <f t="shared" si="35"/>
        <v>35</v>
      </c>
      <c r="AT32" s="4248">
        <f t="shared" si="35"/>
        <v>232</v>
      </c>
      <c r="AU32" s="897">
        <f t="shared" si="35"/>
        <v>23</v>
      </c>
      <c r="AV32" s="898">
        <f t="shared" si="35"/>
        <v>119</v>
      </c>
      <c r="AW32" s="898">
        <f t="shared" si="35"/>
        <v>55</v>
      </c>
      <c r="AX32" s="898">
        <f t="shared" si="35"/>
        <v>36</v>
      </c>
      <c r="AY32" s="4248">
        <f t="shared" si="35"/>
        <v>233</v>
      </c>
      <c r="AZ32" s="897">
        <f t="shared" si="35"/>
        <v>22</v>
      </c>
      <c r="BA32" s="898">
        <f t="shared" si="35"/>
        <v>129</v>
      </c>
      <c r="BB32" s="898">
        <f t="shared" si="35"/>
        <v>59</v>
      </c>
      <c r="BC32" s="898">
        <f t="shared" si="35"/>
        <v>43</v>
      </c>
      <c r="BD32" s="4248">
        <f t="shared" si="35"/>
        <v>253</v>
      </c>
      <c r="BE32" s="897">
        <f t="shared" si="35"/>
        <v>30</v>
      </c>
      <c r="BF32" s="898">
        <f t="shared" si="35"/>
        <v>129</v>
      </c>
      <c r="BG32" s="898">
        <f t="shared" si="35"/>
        <v>59</v>
      </c>
      <c r="BH32" s="898">
        <f t="shared" si="35"/>
        <v>41</v>
      </c>
      <c r="BI32" s="4248">
        <f t="shared" si="35"/>
        <v>259</v>
      </c>
      <c r="BJ32" s="897">
        <f t="shared" si="35"/>
        <v>36</v>
      </c>
      <c r="BK32" s="898">
        <f t="shared" si="35"/>
        <v>131</v>
      </c>
      <c r="BL32" s="898">
        <f t="shared" si="35"/>
        <v>56</v>
      </c>
      <c r="BM32" s="898">
        <f t="shared" si="35"/>
        <v>43</v>
      </c>
      <c r="BN32" s="4248">
        <f t="shared" si="35"/>
        <v>266</v>
      </c>
      <c r="BO32" s="897">
        <f t="shared" ref="BO32:BX32" si="36">SUM(BO7,BO17,BO22)</f>
        <v>50</v>
      </c>
      <c r="BP32" s="898">
        <f t="shared" si="36"/>
        <v>148</v>
      </c>
      <c r="BQ32" s="898">
        <f t="shared" si="36"/>
        <v>63</v>
      </c>
      <c r="BR32" s="898">
        <f t="shared" si="36"/>
        <v>51</v>
      </c>
      <c r="BS32" s="4248">
        <f t="shared" si="36"/>
        <v>312</v>
      </c>
      <c r="BT32" s="897">
        <f t="shared" si="36"/>
        <v>44</v>
      </c>
      <c r="BU32" s="898">
        <f t="shared" si="36"/>
        <v>155</v>
      </c>
      <c r="BV32" s="898">
        <f t="shared" si="36"/>
        <v>65</v>
      </c>
      <c r="BW32" s="898">
        <f t="shared" si="36"/>
        <v>54</v>
      </c>
      <c r="BX32" s="4248">
        <f t="shared" si="36"/>
        <v>318</v>
      </c>
      <c r="BY32" s="897">
        <f t="shared" ref="BY32:CC32" si="37">SUM(BY7,BY17,BY22)</f>
        <v>47</v>
      </c>
      <c r="BZ32" s="898">
        <f t="shared" si="37"/>
        <v>160</v>
      </c>
      <c r="CA32" s="898">
        <f t="shared" si="37"/>
        <v>66</v>
      </c>
      <c r="CB32" s="898">
        <f t="shared" si="37"/>
        <v>53</v>
      </c>
      <c r="CC32" s="4248">
        <f t="shared" si="37"/>
        <v>326</v>
      </c>
    </row>
    <row r="33" spans="1:81" ht="14.1" customHeight="1" x14ac:dyDescent="0.2">
      <c r="A33" s="1936" t="s">
        <v>6</v>
      </c>
      <c r="B33" s="4236">
        <f>SUM(B8,B12,B18,B23,B27)</f>
        <v>18</v>
      </c>
      <c r="C33" s="4224">
        <f t="shared" ref="C33:BN33" si="38">SUM(C8,C12,C18,C23,C27)</f>
        <v>130</v>
      </c>
      <c r="D33" s="4224">
        <f t="shared" si="38"/>
        <v>27</v>
      </c>
      <c r="E33" s="4224">
        <f t="shared" si="38"/>
        <v>7</v>
      </c>
      <c r="F33" s="338">
        <f t="shared" ref="F33:F37" si="39">SUM(B33:E33)</f>
        <v>182</v>
      </c>
      <c r="G33" s="4236">
        <f t="shared" si="38"/>
        <v>12</v>
      </c>
      <c r="H33" s="4224">
        <f t="shared" si="38"/>
        <v>138</v>
      </c>
      <c r="I33" s="4224">
        <f t="shared" si="38"/>
        <v>48</v>
      </c>
      <c r="J33" s="4224">
        <f t="shared" si="38"/>
        <v>8</v>
      </c>
      <c r="K33" s="338">
        <f t="shared" si="38"/>
        <v>206</v>
      </c>
      <c r="L33" s="4236">
        <f t="shared" si="38"/>
        <v>4</v>
      </c>
      <c r="M33" s="4224">
        <f t="shared" si="38"/>
        <v>161</v>
      </c>
      <c r="N33" s="4224">
        <f t="shared" si="38"/>
        <v>59</v>
      </c>
      <c r="O33" s="4224">
        <f t="shared" si="38"/>
        <v>10</v>
      </c>
      <c r="P33" s="338">
        <f t="shared" si="38"/>
        <v>234</v>
      </c>
      <c r="Q33" s="4236">
        <f t="shared" si="38"/>
        <v>6</v>
      </c>
      <c r="R33" s="4224">
        <f t="shared" si="38"/>
        <v>162</v>
      </c>
      <c r="S33" s="4224">
        <f t="shared" si="38"/>
        <v>62</v>
      </c>
      <c r="T33" s="4224">
        <f t="shared" si="38"/>
        <v>10</v>
      </c>
      <c r="U33" s="338">
        <f t="shared" si="38"/>
        <v>240</v>
      </c>
      <c r="V33" s="4236">
        <f t="shared" si="38"/>
        <v>4</v>
      </c>
      <c r="W33" s="4224">
        <f t="shared" si="38"/>
        <v>172</v>
      </c>
      <c r="X33" s="4224">
        <f t="shared" si="38"/>
        <v>73</v>
      </c>
      <c r="Y33" s="4224">
        <f t="shared" si="38"/>
        <v>12</v>
      </c>
      <c r="Z33" s="338">
        <f t="shared" si="38"/>
        <v>261</v>
      </c>
      <c r="AA33" s="4236">
        <f t="shared" si="38"/>
        <v>1</v>
      </c>
      <c r="AB33" s="4224">
        <f t="shared" si="38"/>
        <v>175</v>
      </c>
      <c r="AC33" s="4224">
        <f t="shared" si="38"/>
        <v>78</v>
      </c>
      <c r="AD33" s="4224">
        <f t="shared" si="38"/>
        <v>18</v>
      </c>
      <c r="AE33" s="338">
        <f t="shared" si="38"/>
        <v>272</v>
      </c>
      <c r="AF33" s="4236">
        <f t="shared" si="38"/>
        <v>4</v>
      </c>
      <c r="AG33" s="4224">
        <f t="shared" si="38"/>
        <v>176</v>
      </c>
      <c r="AH33" s="4224">
        <f t="shared" si="38"/>
        <v>96</v>
      </c>
      <c r="AI33" s="4224">
        <f t="shared" si="38"/>
        <v>19</v>
      </c>
      <c r="AJ33" s="338">
        <f t="shared" si="38"/>
        <v>295</v>
      </c>
      <c r="AK33" s="4236">
        <f t="shared" si="38"/>
        <v>14</v>
      </c>
      <c r="AL33" s="4224">
        <f t="shared" si="38"/>
        <v>193</v>
      </c>
      <c r="AM33" s="4224">
        <f t="shared" si="38"/>
        <v>98</v>
      </c>
      <c r="AN33" s="4224">
        <f t="shared" si="38"/>
        <v>20</v>
      </c>
      <c r="AO33" s="338">
        <f t="shared" si="38"/>
        <v>325</v>
      </c>
      <c r="AP33" s="4236">
        <f t="shared" si="38"/>
        <v>26</v>
      </c>
      <c r="AQ33" s="4224">
        <f t="shared" si="38"/>
        <v>205</v>
      </c>
      <c r="AR33" s="4224">
        <f t="shared" si="38"/>
        <v>114</v>
      </c>
      <c r="AS33" s="4224">
        <f t="shared" si="38"/>
        <v>25</v>
      </c>
      <c r="AT33" s="338">
        <f t="shared" si="38"/>
        <v>370</v>
      </c>
      <c r="AU33" s="4236">
        <f t="shared" si="38"/>
        <v>27</v>
      </c>
      <c r="AV33" s="4224">
        <f t="shared" si="38"/>
        <v>208</v>
      </c>
      <c r="AW33" s="4224">
        <f t="shared" si="38"/>
        <v>116</v>
      </c>
      <c r="AX33" s="4224">
        <f t="shared" si="38"/>
        <v>26</v>
      </c>
      <c r="AY33" s="338">
        <f t="shared" si="38"/>
        <v>377</v>
      </c>
      <c r="AZ33" s="4236">
        <f t="shared" si="38"/>
        <v>23</v>
      </c>
      <c r="BA33" s="4224">
        <f t="shared" si="38"/>
        <v>215</v>
      </c>
      <c r="BB33" s="4224">
        <f t="shared" si="38"/>
        <v>109</v>
      </c>
      <c r="BC33" s="4224">
        <f t="shared" si="38"/>
        <v>34</v>
      </c>
      <c r="BD33" s="338">
        <f t="shared" si="38"/>
        <v>381</v>
      </c>
      <c r="BE33" s="4236">
        <f t="shared" si="38"/>
        <v>22</v>
      </c>
      <c r="BF33" s="4224">
        <f t="shared" si="38"/>
        <v>217</v>
      </c>
      <c r="BG33" s="4224">
        <f t="shared" si="38"/>
        <v>109</v>
      </c>
      <c r="BH33" s="4224">
        <f t="shared" si="38"/>
        <v>32</v>
      </c>
      <c r="BI33" s="338">
        <f t="shared" si="38"/>
        <v>380</v>
      </c>
      <c r="BJ33" s="4236">
        <f t="shared" si="38"/>
        <v>27</v>
      </c>
      <c r="BK33" s="4224">
        <f t="shared" si="38"/>
        <v>221</v>
      </c>
      <c r="BL33" s="4224">
        <f t="shared" si="38"/>
        <v>102</v>
      </c>
      <c r="BM33" s="4224">
        <f t="shared" si="38"/>
        <v>32</v>
      </c>
      <c r="BN33" s="338">
        <f t="shared" si="38"/>
        <v>382</v>
      </c>
      <c r="BO33" s="4236">
        <f t="shared" ref="BO33:BX33" si="40">SUM(BO8,BO12,BO18,BO23,BO27)</f>
        <v>36</v>
      </c>
      <c r="BP33" s="4224">
        <f t="shared" si="40"/>
        <v>247</v>
      </c>
      <c r="BQ33" s="4224">
        <f t="shared" si="40"/>
        <v>100</v>
      </c>
      <c r="BR33" s="4224">
        <f t="shared" si="40"/>
        <v>34</v>
      </c>
      <c r="BS33" s="338">
        <f t="shared" si="40"/>
        <v>417</v>
      </c>
      <c r="BT33" s="4236">
        <f t="shared" si="40"/>
        <v>46</v>
      </c>
      <c r="BU33" s="4224">
        <f t="shared" si="40"/>
        <v>248</v>
      </c>
      <c r="BV33" s="4224">
        <f t="shared" si="40"/>
        <v>95</v>
      </c>
      <c r="BW33" s="4224">
        <f t="shared" si="40"/>
        <v>38</v>
      </c>
      <c r="BX33" s="338">
        <f t="shared" si="40"/>
        <v>427</v>
      </c>
      <c r="BY33" s="4236">
        <f t="shared" ref="BY33:CC33" si="41">SUM(BY8,BY12,BY18,BY23,BY27)</f>
        <v>47</v>
      </c>
      <c r="BZ33" s="4224">
        <f t="shared" si="41"/>
        <v>243</v>
      </c>
      <c r="CA33" s="4224">
        <f t="shared" si="41"/>
        <v>107</v>
      </c>
      <c r="CB33" s="4224">
        <f t="shared" si="41"/>
        <v>42</v>
      </c>
      <c r="CC33" s="338">
        <f t="shared" si="41"/>
        <v>439</v>
      </c>
    </row>
    <row r="34" spans="1:81" ht="14.1" customHeight="1" x14ac:dyDescent="0.2">
      <c r="A34" s="1937" t="s">
        <v>11</v>
      </c>
      <c r="B34" s="4237">
        <f>SUM(B19,B24,B28)</f>
        <v>19</v>
      </c>
      <c r="C34" s="4238">
        <f t="shared" ref="C34:BN34" si="42">SUM(C19,C24,C28)</f>
        <v>42</v>
      </c>
      <c r="D34" s="4238">
        <f t="shared" si="42"/>
        <v>10</v>
      </c>
      <c r="E34" s="4238">
        <f t="shared" si="42"/>
        <v>2</v>
      </c>
      <c r="F34" s="338">
        <f t="shared" si="39"/>
        <v>73</v>
      </c>
      <c r="G34" s="4237">
        <f t="shared" si="42"/>
        <v>14</v>
      </c>
      <c r="H34" s="4238">
        <f t="shared" si="42"/>
        <v>57</v>
      </c>
      <c r="I34" s="4238">
        <f t="shared" si="42"/>
        <v>10</v>
      </c>
      <c r="J34" s="4238">
        <f t="shared" si="42"/>
        <v>2</v>
      </c>
      <c r="K34" s="338">
        <f t="shared" si="42"/>
        <v>83</v>
      </c>
      <c r="L34" s="4237">
        <f t="shared" si="42"/>
        <v>14</v>
      </c>
      <c r="M34" s="4238">
        <f t="shared" si="42"/>
        <v>66</v>
      </c>
      <c r="N34" s="4238">
        <f t="shared" si="42"/>
        <v>14</v>
      </c>
      <c r="O34" s="4238">
        <f t="shared" si="42"/>
        <v>2</v>
      </c>
      <c r="P34" s="338">
        <f t="shared" si="42"/>
        <v>96</v>
      </c>
      <c r="Q34" s="4237">
        <f t="shared" si="42"/>
        <v>15</v>
      </c>
      <c r="R34" s="4238">
        <f t="shared" si="42"/>
        <v>68</v>
      </c>
      <c r="S34" s="4238">
        <f t="shared" si="42"/>
        <v>13</v>
      </c>
      <c r="T34" s="4238">
        <f t="shared" si="42"/>
        <v>2</v>
      </c>
      <c r="U34" s="338">
        <f t="shared" si="42"/>
        <v>98</v>
      </c>
      <c r="V34" s="4237">
        <f t="shared" si="42"/>
        <v>19</v>
      </c>
      <c r="W34" s="4238">
        <f t="shared" si="42"/>
        <v>84</v>
      </c>
      <c r="X34" s="4238">
        <f t="shared" si="42"/>
        <v>16</v>
      </c>
      <c r="Y34" s="4238">
        <f t="shared" si="42"/>
        <v>3</v>
      </c>
      <c r="Z34" s="338">
        <f t="shared" si="42"/>
        <v>122</v>
      </c>
      <c r="AA34" s="4237">
        <f t="shared" si="42"/>
        <v>18</v>
      </c>
      <c r="AB34" s="4238">
        <f t="shared" si="42"/>
        <v>88</v>
      </c>
      <c r="AC34" s="4238">
        <f t="shared" si="42"/>
        <v>14</v>
      </c>
      <c r="AD34" s="4238">
        <f t="shared" si="42"/>
        <v>5</v>
      </c>
      <c r="AE34" s="338">
        <f t="shared" si="42"/>
        <v>125</v>
      </c>
      <c r="AF34" s="4237">
        <f t="shared" si="42"/>
        <v>11</v>
      </c>
      <c r="AG34" s="4238">
        <f t="shared" si="42"/>
        <v>94</v>
      </c>
      <c r="AH34" s="4238">
        <f t="shared" si="42"/>
        <v>15</v>
      </c>
      <c r="AI34" s="4238">
        <f t="shared" si="42"/>
        <v>9</v>
      </c>
      <c r="AJ34" s="338">
        <f t="shared" si="42"/>
        <v>129</v>
      </c>
      <c r="AK34" s="4237">
        <f t="shared" si="42"/>
        <v>11</v>
      </c>
      <c r="AL34" s="4238">
        <f t="shared" si="42"/>
        <v>102</v>
      </c>
      <c r="AM34" s="4238">
        <f t="shared" si="42"/>
        <v>20</v>
      </c>
      <c r="AN34" s="4238">
        <f t="shared" si="42"/>
        <v>9</v>
      </c>
      <c r="AO34" s="338">
        <f t="shared" si="42"/>
        <v>142</v>
      </c>
      <c r="AP34" s="4237">
        <f t="shared" si="42"/>
        <v>15</v>
      </c>
      <c r="AQ34" s="4238">
        <f t="shared" si="42"/>
        <v>115</v>
      </c>
      <c r="AR34" s="4238">
        <f t="shared" si="42"/>
        <v>27</v>
      </c>
      <c r="AS34" s="4238">
        <f t="shared" si="42"/>
        <v>11</v>
      </c>
      <c r="AT34" s="338">
        <f t="shared" si="42"/>
        <v>168</v>
      </c>
      <c r="AU34" s="4237">
        <f t="shared" si="42"/>
        <v>15</v>
      </c>
      <c r="AV34" s="4238">
        <f t="shared" si="42"/>
        <v>115</v>
      </c>
      <c r="AW34" s="4238">
        <f t="shared" si="42"/>
        <v>27</v>
      </c>
      <c r="AX34" s="4238">
        <f t="shared" si="42"/>
        <v>11</v>
      </c>
      <c r="AY34" s="338">
        <f t="shared" si="42"/>
        <v>168</v>
      </c>
      <c r="AZ34" s="4237">
        <f t="shared" si="42"/>
        <v>29</v>
      </c>
      <c r="BA34" s="4238">
        <f t="shared" si="42"/>
        <v>122</v>
      </c>
      <c r="BB34" s="4238">
        <f t="shared" si="42"/>
        <v>27</v>
      </c>
      <c r="BC34" s="4238">
        <f t="shared" si="42"/>
        <v>14</v>
      </c>
      <c r="BD34" s="338">
        <f t="shared" si="42"/>
        <v>192</v>
      </c>
      <c r="BE34" s="4237">
        <f t="shared" si="42"/>
        <v>26</v>
      </c>
      <c r="BF34" s="4238">
        <f t="shared" si="42"/>
        <v>128</v>
      </c>
      <c r="BG34" s="4238">
        <f t="shared" si="42"/>
        <v>27</v>
      </c>
      <c r="BH34" s="4238">
        <f t="shared" si="42"/>
        <v>15</v>
      </c>
      <c r="BI34" s="338">
        <f t="shared" si="42"/>
        <v>196</v>
      </c>
      <c r="BJ34" s="4237">
        <f t="shared" si="42"/>
        <v>26</v>
      </c>
      <c r="BK34" s="4238">
        <f t="shared" si="42"/>
        <v>130</v>
      </c>
      <c r="BL34" s="4238">
        <f t="shared" si="42"/>
        <v>33</v>
      </c>
      <c r="BM34" s="4238">
        <f t="shared" si="42"/>
        <v>15</v>
      </c>
      <c r="BN34" s="338">
        <f t="shared" si="42"/>
        <v>204</v>
      </c>
      <c r="BO34" s="4237">
        <f t="shared" ref="BO34:BX34" si="43">SUM(BO19,BO24,BO28)</f>
        <v>38</v>
      </c>
      <c r="BP34" s="4238">
        <f t="shared" si="43"/>
        <v>136</v>
      </c>
      <c r="BQ34" s="4238">
        <f t="shared" si="43"/>
        <v>45</v>
      </c>
      <c r="BR34" s="4238">
        <f t="shared" si="43"/>
        <v>16</v>
      </c>
      <c r="BS34" s="338">
        <f t="shared" si="43"/>
        <v>235</v>
      </c>
      <c r="BT34" s="4237">
        <f t="shared" si="43"/>
        <v>48</v>
      </c>
      <c r="BU34" s="4238">
        <f t="shared" si="43"/>
        <v>129</v>
      </c>
      <c r="BV34" s="4238">
        <f t="shared" si="43"/>
        <v>45</v>
      </c>
      <c r="BW34" s="4238">
        <f t="shared" si="43"/>
        <v>16</v>
      </c>
      <c r="BX34" s="338">
        <f t="shared" si="43"/>
        <v>238</v>
      </c>
      <c r="BY34" s="4237">
        <f t="shared" ref="BY34:CC34" si="44">SUM(BY19,BY24,BY28)</f>
        <v>43</v>
      </c>
      <c r="BZ34" s="4238">
        <f t="shared" si="44"/>
        <v>138</v>
      </c>
      <c r="CA34" s="4238">
        <f t="shared" si="44"/>
        <v>48</v>
      </c>
      <c r="CB34" s="4238">
        <f t="shared" si="44"/>
        <v>18</v>
      </c>
      <c r="CC34" s="338">
        <f t="shared" si="44"/>
        <v>247</v>
      </c>
    </row>
    <row r="35" spans="1:81" ht="14.1" customHeight="1" x14ac:dyDescent="0.2">
      <c r="A35" s="1938" t="s">
        <v>7</v>
      </c>
      <c r="B35" s="4239">
        <f>SUM(B9,B29)</f>
        <v>1</v>
      </c>
      <c r="C35" s="4240">
        <f t="shared" ref="C35:BN35" si="45">SUM(C9,C29)</f>
        <v>12</v>
      </c>
      <c r="D35" s="4240">
        <f t="shared" si="45"/>
        <v>2</v>
      </c>
      <c r="E35" s="4240">
        <f t="shared" si="45"/>
        <v>0</v>
      </c>
      <c r="F35" s="338">
        <f t="shared" si="39"/>
        <v>15</v>
      </c>
      <c r="G35" s="4239">
        <f t="shared" si="45"/>
        <v>0</v>
      </c>
      <c r="H35" s="4240">
        <f t="shared" si="45"/>
        <v>15</v>
      </c>
      <c r="I35" s="4240">
        <f t="shared" si="45"/>
        <v>3</v>
      </c>
      <c r="J35" s="4240">
        <f t="shared" si="45"/>
        <v>1</v>
      </c>
      <c r="K35" s="338">
        <f t="shared" si="45"/>
        <v>19</v>
      </c>
      <c r="L35" s="4239">
        <f t="shared" si="45"/>
        <v>0</v>
      </c>
      <c r="M35" s="4240">
        <f t="shared" si="45"/>
        <v>16</v>
      </c>
      <c r="N35" s="4240">
        <f t="shared" si="45"/>
        <v>5</v>
      </c>
      <c r="O35" s="4240">
        <f t="shared" si="45"/>
        <v>0</v>
      </c>
      <c r="P35" s="338">
        <f t="shared" si="45"/>
        <v>21</v>
      </c>
      <c r="Q35" s="4239">
        <f t="shared" si="45"/>
        <v>0</v>
      </c>
      <c r="R35" s="4240">
        <f t="shared" si="45"/>
        <v>16</v>
      </c>
      <c r="S35" s="4240">
        <f t="shared" si="45"/>
        <v>4</v>
      </c>
      <c r="T35" s="4240">
        <f t="shared" si="45"/>
        <v>0</v>
      </c>
      <c r="U35" s="338">
        <f t="shared" si="45"/>
        <v>20</v>
      </c>
      <c r="V35" s="4239">
        <f t="shared" si="45"/>
        <v>0</v>
      </c>
      <c r="W35" s="4240">
        <f t="shared" si="45"/>
        <v>17</v>
      </c>
      <c r="X35" s="4240">
        <f t="shared" si="45"/>
        <v>6</v>
      </c>
      <c r="Y35" s="4240">
        <f t="shared" si="45"/>
        <v>0</v>
      </c>
      <c r="Z35" s="338">
        <f t="shared" si="45"/>
        <v>23</v>
      </c>
      <c r="AA35" s="4239">
        <f t="shared" si="45"/>
        <v>1</v>
      </c>
      <c r="AB35" s="4240">
        <f t="shared" si="45"/>
        <v>17</v>
      </c>
      <c r="AC35" s="4240">
        <f t="shared" si="45"/>
        <v>9</v>
      </c>
      <c r="AD35" s="4240">
        <f t="shared" si="45"/>
        <v>0</v>
      </c>
      <c r="AE35" s="338">
        <f t="shared" si="45"/>
        <v>27</v>
      </c>
      <c r="AF35" s="4239">
        <f t="shared" si="45"/>
        <v>1</v>
      </c>
      <c r="AG35" s="4240">
        <f t="shared" si="45"/>
        <v>17</v>
      </c>
      <c r="AH35" s="4240">
        <f t="shared" si="45"/>
        <v>10</v>
      </c>
      <c r="AI35" s="4240">
        <f t="shared" si="45"/>
        <v>0</v>
      </c>
      <c r="AJ35" s="338">
        <f t="shared" si="45"/>
        <v>28</v>
      </c>
      <c r="AK35" s="4239">
        <f t="shared" si="45"/>
        <v>1</v>
      </c>
      <c r="AL35" s="4240">
        <f t="shared" si="45"/>
        <v>21</v>
      </c>
      <c r="AM35" s="4240">
        <f t="shared" si="45"/>
        <v>10</v>
      </c>
      <c r="AN35" s="4240">
        <f t="shared" si="45"/>
        <v>0</v>
      </c>
      <c r="AO35" s="338">
        <f t="shared" si="45"/>
        <v>32</v>
      </c>
      <c r="AP35" s="4239">
        <f t="shared" si="45"/>
        <v>0</v>
      </c>
      <c r="AQ35" s="4240">
        <f t="shared" si="45"/>
        <v>14</v>
      </c>
      <c r="AR35" s="4240">
        <f t="shared" si="45"/>
        <v>12</v>
      </c>
      <c r="AS35" s="4240">
        <f t="shared" si="45"/>
        <v>0</v>
      </c>
      <c r="AT35" s="338">
        <f t="shared" si="45"/>
        <v>26</v>
      </c>
      <c r="AU35" s="4239">
        <f t="shared" si="45"/>
        <v>0</v>
      </c>
      <c r="AV35" s="4240">
        <f t="shared" si="45"/>
        <v>14</v>
      </c>
      <c r="AW35" s="4240">
        <f t="shared" si="45"/>
        <v>12</v>
      </c>
      <c r="AX35" s="4240">
        <f t="shared" si="45"/>
        <v>0</v>
      </c>
      <c r="AY35" s="338">
        <f t="shared" si="45"/>
        <v>26</v>
      </c>
      <c r="AZ35" s="4239">
        <f t="shared" si="45"/>
        <v>2</v>
      </c>
      <c r="BA35" s="4240">
        <f t="shared" si="45"/>
        <v>10</v>
      </c>
      <c r="BB35" s="4240">
        <f t="shared" si="45"/>
        <v>12</v>
      </c>
      <c r="BC35" s="4240">
        <f t="shared" si="45"/>
        <v>1</v>
      </c>
      <c r="BD35" s="338">
        <f t="shared" si="45"/>
        <v>25</v>
      </c>
      <c r="BE35" s="4239">
        <f t="shared" si="45"/>
        <v>2</v>
      </c>
      <c r="BF35" s="4240">
        <f t="shared" si="45"/>
        <v>10</v>
      </c>
      <c r="BG35" s="4240">
        <f t="shared" si="45"/>
        <v>12</v>
      </c>
      <c r="BH35" s="4240">
        <f t="shared" si="45"/>
        <v>1</v>
      </c>
      <c r="BI35" s="338">
        <f t="shared" si="45"/>
        <v>25</v>
      </c>
      <c r="BJ35" s="4239">
        <f t="shared" si="45"/>
        <v>3</v>
      </c>
      <c r="BK35" s="4240">
        <f t="shared" si="45"/>
        <v>10</v>
      </c>
      <c r="BL35" s="4240">
        <f t="shared" si="45"/>
        <v>11</v>
      </c>
      <c r="BM35" s="4240">
        <f t="shared" si="45"/>
        <v>1</v>
      </c>
      <c r="BN35" s="338">
        <f t="shared" si="45"/>
        <v>25</v>
      </c>
      <c r="BO35" s="4239">
        <f t="shared" ref="BO35:BX35" si="46">SUM(BO9,BO29)</f>
        <v>6</v>
      </c>
      <c r="BP35" s="4240">
        <f t="shared" si="46"/>
        <v>13</v>
      </c>
      <c r="BQ35" s="4240">
        <f t="shared" si="46"/>
        <v>7</v>
      </c>
      <c r="BR35" s="4240">
        <f t="shared" si="46"/>
        <v>2</v>
      </c>
      <c r="BS35" s="338">
        <f t="shared" si="46"/>
        <v>28</v>
      </c>
      <c r="BT35" s="4239">
        <f t="shared" si="46"/>
        <v>5</v>
      </c>
      <c r="BU35" s="4240">
        <f t="shared" si="46"/>
        <v>15</v>
      </c>
      <c r="BV35" s="4240">
        <f t="shared" si="46"/>
        <v>8</v>
      </c>
      <c r="BW35" s="4240">
        <f t="shared" si="46"/>
        <v>2</v>
      </c>
      <c r="BX35" s="338">
        <f t="shared" si="46"/>
        <v>30</v>
      </c>
      <c r="BY35" s="4239">
        <f t="shared" ref="BY35:CC35" si="47">SUM(BY9,BY29)</f>
        <v>4</v>
      </c>
      <c r="BZ35" s="4240">
        <f t="shared" si="47"/>
        <v>16</v>
      </c>
      <c r="CA35" s="4240">
        <f t="shared" si="47"/>
        <v>7</v>
      </c>
      <c r="CB35" s="4240">
        <f t="shared" si="47"/>
        <v>2</v>
      </c>
      <c r="CC35" s="338">
        <f t="shared" si="47"/>
        <v>29</v>
      </c>
    </row>
    <row r="36" spans="1:81" ht="14.1" customHeight="1" x14ac:dyDescent="0.2">
      <c r="A36" s="1932" t="s">
        <v>9</v>
      </c>
      <c r="B36" s="907">
        <f>SUM(B13)</f>
        <v>0</v>
      </c>
      <c r="C36" s="908">
        <f t="shared" ref="C36:BN36" si="48">SUM(C13)</f>
        <v>0</v>
      </c>
      <c r="D36" s="908">
        <f t="shared" si="48"/>
        <v>0</v>
      </c>
      <c r="E36" s="908">
        <f t="shared" si="48"/>
        <v>0</v>
      </c>
      <c r="F36" s="338">
        <f t="shared" si="39"/>
        <v>0</v>
      </c>
      <c r="G36" s="907">
        <f t="shared" si="48"/>
        <v>0</v>
      </c>
      <c r="H36" s="908">
        <f t="shared" si="48"/>
        <v>0</v>
      </c>
      <c r="I36" s="908">
        <f t="shared" si="48"/>
        <v>0</v>
      </c>
      <c r="J36" s="908">
        <f t="shared" si="48"/>
        <v>0</v>
      </c>
      <c r="K36" s="338">
        <f t="shared" si="48"/>
        <v>0</v>
      </c>
      <c r="L36" s="907">
        <f t="shared" si="48"/>
        <v>0</v>
      </c>
      <c r="M36" s="908">
        <f t="shared" si="48"/>
        <v>0</v>
      </c>
      <c r="N36" s="908">
        <f t="shared" si="48"/>
        <v>0</v>
      </c>
      <c r="O36" s="908">
        <f t="shared" si="48"/>
        <v>0</v>
      </c>
      <c r="P36" s="338">
        <f t="shared" si="48"/>
        <v>0</v>
      </c>
      <c r="Q36" s="907">
        <f t="shared" si="48"/>
        <v>0</v>
      </c>
      <c r="R36" s="908">
        <f t="shared" si="48"/>
        <v>0</v>
      </c>
      <c r="S36" s="908">
        <f t="shared" si="48"/>
        <v>0</v>
      </c>
      <c r="T36" s="908">
        <f t="shared" si="48"/>
        <v>0</v>
      </c>
      <c r="U36" s="338">
        <f t="shared" si="48"/>
        <v>0</v>
      </c>
      <c r="V36" s="907">
        <f t="shared" si="48"/>
        <v>0</v>
      </c>
      <c r="W36" s="908">
        <f t="shared" si="48"/>
        <v>0</v>
      </c>
      <c r="X36" s="908">
        <f t="shared" si="48"/>
        <v>0</v>
      </c>
      <c r="Y36" s="908">
        <f t="shared" si="48"/>
        <v>0</v>
      </c>
      <c r="Z36" s="338">
        <f t="shared" si="48"/>
        <v>0</v>
      </c>
      <c r="AA36" s="907">
        <f t="shared" si="48"/>
        <v>0</v>
      </c>
      <c r="AB36" s="908">
        <f t="shared" si="48"/>
        <v>1</v>
      </c>
      <c r="AC36" s="908">
        <f t="shared" si="48"/>
        <v>0</v>
      </c>
      <c r="AD36" s="908">
        <f t="shared" si="48"/>
        <v>0</v>
      </c>
      <c r="AE36" s="338">
        <f t="shared" si="48"/>
        <v>1</v>
      </c>
      <c r="AF36" s="907">
        <f t="shared" si="48"/>
        <v>0</v>
      </c>
      <c r="AG36" s="908">
        <f t="shared" si="48"/>
        <v>1</v>
      </c>
      <c r="AH36" s="908">
        <f t="shared" si="48"/>
        <v>0</v>
      </c>
      <c r="AI36" s="908">
        <f t="shared" si="48"/>
        <v>0</v>
      </c>
      <c r="AJ36" s="338">
        <f t="shared" si="48"/>
        <v>1</v>
      </c>
      <c r="AK36" s="907">
        <f t="shared" si="48"/>
        <v>0</v>
      </c>
      <c r="AL36" s="908">
        <f t="shared" si="48"/>
        <v>1</v>
      </c>
      <c r="AM36" s="908">
        <f t="shared" si="48"/>
        <v>0</v>
      </c>
      <c r="AN36" s="908">
        <f t="shared" si="48"/>
        <v>0</v>
      </c>
      <c r="AO36" s="338">
        <f t="shared" si="48"/>
        <v>1</v>
      </c>
      <c r="AP36" s="907">
        <f t="shared" si="48"/>
        <v>3</v>
      </c>
      <c r="AQ36" s="908">
        <f t="shared" si="48"/>
        <v>7</v>
      </c>
      <c r="AR36" s="908">
        <f t="shared" si="48"/>
        <v>1</v>
      </c>
      <c r="AS36" s="908">
        <f t="shared" si="48"/>
        <v>0</v>
      </c>
      <c r="AT36" s="338">
        <f t="shared" si="48"/>
        <v>11</v>
      </c>
      <c r="AU36" s="907">
        <f t="shared" si="48"/>
        <v>3</v>
      </c>
      <c r="AV36" s="908">
        <f t="shared" si="48"/>
        <v>8</v>
      </c>
      <c r="AW36" s="908">
        <f t="shared" si="48"/>
        <v>2</v>
      </c>
      <c r="AX36" s="908">
        <f t="shared" si="48"/>
        <v>0</v>
      </c>
      <c r="AY36" s="338">
        <f t="shared" si="48"/>
        <v>13</v>
      </c>
      <c r="AZ36" s="907">
        <f t="shared" si="48"/>
        <v>5</v>
      </c>
      <c r="BA36" s="908">
        <f t="shared" si="48"/>
        <v>7</v>
      </c>
      <c r="BB36" s="908">
        <f t="shared" si="48"/>
        <v>2</v>
      </c>
      <c r="BC36" s="908">
        <f t="shared" si="48"/>
        <v>1</v>
      </c>
      <c r="BD36" s="338">
        <f t="shared" si="48"/>
        <v>15</v>
      </c>
      <c r="BE36" s="907">
        <f t="shared" si="48"/>
        <v>5</v>
      </c>
      <c r="BF36" s="908">
        <f t="shared" si="48"/>
        <v>7</v>
      </c>
      <c r="BG36" s="908">
        <f t="shared" si="48"/>
        <v>2</v>
      </c>
      <c r="BH36" s="908">
        <f t="shared" si="48"/>
        <v>1</v>
      </c>
      <c r="BI36" s="338">
        <f t="shared" si="48"/>
        <v>15</v>
      </c>
      <c r="BJ36" s="907">
        <f t="shared" si="48"/>
        <v>6</v>
      </c>
      <c r="BK36" s="908">
        <f t="shared" si="48"/>
        <v>9</v>
      </c>
      <c r="BL36" s="908">
        <f t="shared" si="48"/>
        <v>2</v>
      </c>
      <c r="BM36" s="908">
        <f t="shared" si="48"/>
        <v>1</v>
      </c>
      <c r="BN36" s="338">
        <f t="shared" si="48"/>
        <v>18</v>
      </c>
      <c r="BO36" s="907">
        <f t="shared" ref="BO36:BX36" si="49">SUM(BO13)</f>
        <v>5</v>
      </c>
      <c r="BP36" s="908">
        <f t="shared" si="49"/>
        <v>10</v>
      </c>
      <c r="BQ36" s="908">
        <f t="shared" si="49"/>
        <v>2</v>
      </c>
      <c r="BR36" s="908">
        <f t="shared" si="49"/>
        <v>1</v>
      </c>
      <c r="BS36" s="338">
        <f t="shared" si="49"/>
        <v>18</v>
      </c>
      <c r="BT36" s="907">
        <f t="shared" si="49"/>
        <v>2</v>
      </c>
      <c r="BU36" s="908">
        <f t="shared" si="49"/>
        <v>15</v>
      </c>
      <c r="BV36" s="908">
        <f t="shared" si="49"/>
        <v>1</v>
      </c>
      <c r="BW36" s="908">
        <f t="shared" si="49"/>
        <v>1</v>
      </c>
      <c r="BX36" s="338">
        <f t="shared" si="49"/>
        <v>19</v>
      </c>
      <c r="BY36" s="907">
        <f t="shared" ref="BY36:CC36" si="50">SUM(BY13)</f>
        <v>3</v>
      </c>
      <c r="BZ36" s="908">
        <f t="shared" si="50"/>
        <v>16</v>
      </c>
      <c r="CA36" s="908">
        <f t="shared" si="50"/>
        <v>1</v>
      </c>
      <c r="CB36" s="908">
        <f t="shared" si="50"/>
        <v>2</v>
      </c>
      <c r="CC36" s="338">
        <f t="shared" si="50"/>
        <v>22</v>
      </c>
    </row>
    <row r="37" spans="1:81" ht="14.1" customHeight="1" x14ac:dyDescent="0.2">
      <c r="A37" s="1936" t="s">
        <v>74</v>
      </c>
      <c r="B37" s="4236">
        <f>SUM(B14)</f>
        <v>0</v>
      </c>
      <c r="C37" s="4224">
        <f t="shared" ref="C37:BN37" si="51">SUM(C14)</f>
        <v>0</v>
      </c>
      <c r="D37" s="4224">
        <f t="shared" si="51"/>
        <v>0</v>
      </c>
      <c r="E37" s="4224">
        <f t="shared" si="51"/>
        <v>0</v>
      </c>
      <c r="F37" s="924">
        <f t="shared" si="39"/>
        <v>0</v>
      </c>
      <c r="G37" s="4236">
        <f t="shared" si="51"/>
        <v>0</v>
      </c>
      <c r="H37" s="4224">
        <f t="shared" si="51"/>
        <v>0</v>
      </c>
      <c r="I37" s="4224">
        <f t="shared" si="51"/>
        <v>0</v>
      </c>
      <c r="J37" s="4224">
        <f t="shared" si="51"/>
        <v>0</v>
      </c>
      <c r="K37" s="924">
        <f t="shared" si="51"/>
        <v>0</v>
      </c>
      <c r="L37" s="4236">
        <f t="shared" si="51"/>
        <v>0</v>
      </c>
      <c r="M37" s="4224">
        <f t="shared" si="51"/>
        <v>0</v>
      </c>
      <c r="N37" s="4224">
        <f t="shared" si="51"/>
        <v>0</v>
      </c>
      <c r="O37" s="4224">
        <f t="shared" si="51"/>
        <v>0</v>
      </c>
      <c r="P37" s="924">
        <f t="shared" si="51"/>
        <v>0</v>
      </c>
      <c r="Q37" s="4236">
        <f t="shared" si="51"/>
        <v>0</v>
      </c>
      <c r="R37" s="4224">
        <f t="shared" si="51"/>
        <v>0</v>
      </c>
      <c r="S37" s="4224">
        <f t="shared" si="51"/>
        <v>0</v>
      </c>
      <c r="T37" s="4224">
        <f t="shared" si="51"/>
        <v>0</v>
      </c>
      <c r="U37" s="924">
        <f t="shared" si="51"/>
        <v>0</v>
      </c>
      <c r="V37" s="4236">
        <f t="shared" si="51"/>
        <v>0</v>
      </c>
      <c r="W37" s="4224">
        <f t="shared" si="51"/>
        <v>0</v>
      </c>
      <c r="X37" s="4224">
        <f t="shared" si="51"/>
        <v>0</v>
      </c>
      <c r="Y37" s="4224">
        <f t="shared" si="51"/>
        <v>0</v>
      </c>
      <c r="Z37" s="924">
        <f t="shared" si="51"/>
        <v>0</v>
      </c>
      <c r="AA37" s="4236">
        <f t="shared" si="51"/>
        <v>1</v>
      </c>
      <c r="AB37" s="4224">
        <f t="shared" si="51"/>
        <v>1</v>
      </c>
      <c r="AC37" s="4224">
        <f t="shared" si="51"/>
        <v>1</v>
      </c>
      <c r="AD37" s="4224">
        <f t="shared" si="51"/>
        <v>1</v>
      </c>
      <c r="AE37" s="924">
        <f t="shared" si="51"/>
        <v>4</v>
      </c>
      <c r="AF37" s="4236">
        <f t="shared" si="51"/>
        <v>2</v>
      </c>
      <c r="AG37" s="4224">
        <f t="shared" si="51"/>
        <v>2</v>
      </c>
      <c r="AH37" s="4224">
        <f t="shared" si="51"/>
        <v>1</v>
      </c>
      <c r="AI37" s="4224">
        <f t="shared" si="51"/>
        <v>2</v>
      </c>
      <c r="AJ37" s="924">
        <f t="shared" si="51"/>
        <v>7</v>
      </c>
      <c r="AK37" s="4236">
        <f t="shared" si="51"/>
        <v>7</v>
      </c>
      <c r="AL37" s="4224">
        <f t="shared" si="51"/>
        <v>9</v>
      </c>
      <c r="AM37" s="4224">
        <f t="shared" si="51"/>
        <v>1</v>
      </c>
      <c r="AN37" s="4224">
        <f t="shared" si="51"/>
        <v>1</v>
      </c>
      <c r="AO37" s="924">
        <f t="shared" si="51"/>
        <v>18</v>
      </c>
      <c r="AP37" s="4236">
        <f t="shared" si="51"/>
        <v>6</v>
      </c>
      <c r="AQ37" s="4224">
        <f t="shared" si="51"/>
        <v>17</v>
      </c>
      <c r="AR37" s="4224">
        <f t="shared" si="51"/>
        <v>0</v>
      </c>
      <c r="AS37" s="4224">
        <f t="shared" si="51"/>
        <v>3</v>
      </c>
      <c r="AT37" s="924">
        <f t="shared" si="51"/>
        <v>26</v>
      </c>
      <c r="AU37" s="4236">
        <f t="shared" si="51"/>
        <v>7</v>
      </c>
      <c r="AV37" s="4224">
        <f t="shared" si="51"/>
        <v>16</v>
      </c>
      <c r="AW37" s="4224">
        <f t="shared" si="51"/>
        <v>0</v>
      </c>
      <c r="AX37" s="4224">
        <f t="shared" si="51"/>
        <v>2</v>
      </c>
      <c r="AY37" s="924">
        <f t="shared" si="51"/>
        <v>25</v>
      </c>
      <c r="AZ37" s="4236">
        <f t="shared" si="51"/>
        <v>11</v>
      </c>
      <c r="BA37" s="4224">
        <f t="shared" si="51"/>
        <v>25</v>
      </c>
      <c r="BB37" s="4224">
        <f t="shared" si="51"/>
        <v>1</v>
      </c>
      <c r="BC37" s="4224">
        <f t="shared" si="51"/>
        <v>3</v>
      </c>
      <c r="BD37" s="924">
        <f t="shared" si="51"/>
        <v>40</v>
      </c>
      <c r="BE37" s="4236">
        <f t="shared" si="51"/>
        <v>10</v>
      </c>
      <c r="BF37" s="4224">
        <f t="shared" si="51"/>
        <v>25</v>
      </c>
      <c r="BG37" s="4224">
        <f t="shared" si="51"/>
        <v>1</v>
      </c>
      <c r="BH37" s="4224">
        <f t="shared" si="51"/>
        <v>3</v>
      </c>
      <c r="BI37" s="924">
        <f t="shared" si="51"/>
        <v>39</v>
      </c>
      <c r="BJ37" s="4236">
        <f t="shared" si="51"/>
        <v>12</v>
      </c>
      <c r="BK37" s="4224">
        <f t="shared" si="51"/>
        <v>29</v>
      </c>
      <c r="BL37" s="4224">
        <f t="shared" si="51"/>
        <v>2</v>
      </c>
      <c r="BM37" s="4224">
        <f t="shared" si="51"/>
        <v>3</v>
      </c>
      <c r="BN37" s="924">
        <f t="shared" si="51"/>
        <v>46</v>
      </c>
      <c r="BO37" s="4236">
        <f t="shared" ref="BO37:BX37" si="52">SUM(BO14)</f>
        <v>13</v>
      </c>
      <c r="BP37" s="4224">
        <f t="shared" si="52"/>
        <v>33</v>
      </c>
      <c r="BQ37" s="4224">
        <f t="shared" si="52"/>
        <v>2</v>
      </c>
      <c r="BR37" s="4224">
        <f t="shared" si="52"/>
        <v>3</v>
      </c>
      <c r="BS37" s="924">
        <f t="shared" si="52"/>
        <v>51</v>
      </c>
      <c r="BT37" s="4236">
        <f t="shared" si="52"/>
        <v>11</v>
      </c>
      <c r="BU37" s="4224">
        <f t="shared" si="52"/>
        <v>33</v>
      </c>
      <c r="BV37" s="4224">
        <f t="shared" si="52"/>
        <v>5</v>
      </c>
      <c r="BW37" s="4224">
        <f t="shared" si="52"/>
        <v>3</v>
      </c>
      <c r="BX37" s="924">
        <f t="shared" si="52"/>
        <v>52</v>
      </c>
      <c r="BY37" s="4236">
        <f t="shared" ref="BY37:CC37" si="53">SUM(BY14)</f>
        <v>7</v>
      </c>
      <c r="BZ37" s="4224">
        <f t="shared" si="53"/>
        <v>32</v>
      </c>
      <c r="CA37" s="4224">
        <f t="shared" si="53"/>
        <v>5</v>
      </c>
      <c r="CB37" s="4224">
        <f t="shared" si="53"/>
        <v>3</v>
      </c>
      <c r="CC37" s="924">
        <f t="shared" si="53"/>
        <v>47</v>
      </c>
    </row>
    <row r="38" spans="1:81" ht="15" customHeight="1" x14ac:dyDescent="0.2">
      <c r="A38" s="2904" t="s">
        <v>586</v>
      </c>
      <c r="B38" s="682">
        <f>SUM(B32:B37)</f>
        <v>76</v>
      </c>
      <c r="C38" s="683">
        <f t="shared" ref="C38:BN38" si="54">SUM(C32:C37)</f>
        <v>271</v>
      </c>
      <c r="D38" s="683">
        <f t="shared" si="54"/>
        <v>76</v>
      </c>
      <c r="E38" s="683">
        <f t="shared" si="54"/>
        <v>29</v>
      </c>
      <c r="F38" s="684">
        <f t="shared" si="54"/>
        <v>452</v>
      </c>
      <c r="G38" s="682">
        <f t="shared" si="54"/>
        <v>47</v>
      </c>
      <c r="H38" s="683">
        <f t="shared" si="54"/>
        <v>301</v>
      </c>
      <c r="I38" s="683">
        <f t="shared" si="54"/>
        <v>100</v>
      </c>
      <c r="J38" s="683">
        <f t="shared" si="54"/>
        <v>33</v>
      </c>
      <c r="K38" s="684">
        <f t="shared" si="54"/>
        <v>481</v>
      </c>
      <c r="L38" s="682">
        <f t="shared" si="54"/>
        <v>38</v>
      </c>
      <c r="M38" s="683">
        <f t="shared" si="54"/>
        <v>340</v>
      </c>
      <c r="N38" s="683">
        <f t="shared" si="54"/>
        <v>120</v>
      </c>
      <c r="O38" s="683">
        <f t="shared" si="54"/>
        <v>35</v>
      </c>
      <c r="P38" s="684">
        <f t="shared" si="54"/>
        <v>533</v>
      </c>
      <c r="Q38" s="682">
        <f t="shared" si="54"/>
        <v>40</v>
      </c>
      <c r="R38" s="683">
        <f t="shared" si="54"/>
        <v>344</v>
      </c>
      <c r="S38" s="683">
        <f t="shared" si="54"/>
        <v>121</v>
      </c>
      <c r="T38" s="683">
        <f t="shared" si="54"/>
        <v>36</v>
      </c>
      <c r="U38" s="684">
        <f t="shared" si="54"/>
        <v>541</v>
      </c>
      <c r="V38" s="682">
        <f t="shared" si="54"/>
        <v>42</v>
      </c>
      <c r="W38" s="683">
        <f t="shared" si="54"/>
        <v>382</v>
      </c>
      <c r="X38" s="683">
        <f t="shared" si="54"/>
        <v>134</v>
      </c>
      <c r="Y38" s="683">
        <f t="shared" si="54"/>
        <v>42</v>
      </c>
      <c r="Z38" s="684">
        <f t="shared" si="54"/>
        <v>600</v>
      </c>
      <c r="AA38" s="682">
        <f t="shared" si="54"/>
        <v>49</v>
      </c>
      <c r="AB38" s="683">
        <f t="shared" si="54"/>
        <v>391</v>
      </c>
      <c r="AC38" s="683">
        <f t="shared" si="54"/>
        <v>143</v>
      </c>
      <c r="AD38" s="683">
        <f t="shared" si="54"/>
        <v>51</v>
      </c>
      <c r="AE38" s="684">
        <f t="shared" si="54"/>
        <v>634</v>
      </c>
      <c r="AF38" s="682">
        <f t="shared" si="54"/>
        <v>48</v>
      </c>
      <c r="AG38" s="683">
        <f t="shared" si="54"/>
        <v>403</v>
      </c>
      <c r="AH38" s="683">
        <f t="shared" si="54"/>
        <v>167</v>
      </c>
      <c r="AI38" s="683">
        <f t="shared" si="54"/>
        <v>63</v>
      </c>
      <c r="AJ38" s="684">
        <f t="shared" si="54"/>
        <v>681</v>
      </c>
      <c r="AK38" s="682">
        <f t="shared" si="54"/>
        <v>64</v>
      </c>
      <c r="AL38" s="683">
        <f t="shared" si="54"/>
        <v>443</v>
      </c>
      <c r="AM38" s="683">
        <f t="shared" si="54"/>
        <v>175</v>
      </c>
      <c r="AN38" s="683">
        <f t="shared" si="54"/>
        <v>64</v>
      </c>
      <c r="AO38" s="684">
        <f t="shared" si="54"/>
        <v>746</v>
      </c>
      <c r="AP38" s="682">
        <f t="shared" si="54"/>
        <v>73</v>
      </c>
      <c r="AQ38" s="683">
        <f t="shared" si="54"/>
        <v>478</v>
      </c>
      <c r="AR38" s="683">
        <f t="shared" si="54"/>
        <v>208</v>
      </c>
      <c r="AS38" s="683">
        <f t="shared" si="54"/>
        <v>74</v>
      </c>
      <c r="AT38" s="684">
        <f t="shared" si="54"/>
        <v>833</v>
      </c>
      <c r="AU38" s="682">
        <f t="shared" si="54"/>
        <v>75</v>
      </c>
      <c r="AV38" s="683">
        <f t="shared" si="54"/>
        <v>480</v>
      </c>
      <c r="AW38" s="683">
        <f t="shared" si="54"/>
        <v>212</v>
      </c>
      <c r="AX38" s="683">
        <f t="shared" si="54"/>
        <v>75</v>
      </c>
      <c r="AY38" s="684">
        <f t="shared" si="54"/>
        <v>842</v>
      </c>
      <c r="AZ38" s="682">
        <f t="shared" si="54"/>
        <v>92</v>
      </c>
      <c r="BA38" s="683">
        <f t="shared" si="54"/>
        <v>508</v>
      </c>
      <c r="BB38" s="683">
        <f t="shared" si="54"/>
        <v>210</v>
      </c>
      <c r="BC38" s="683">
        <f t="shared" si="54"/>
        <v>96</v>
      </c>
      <c r="BD38" s="684">
        <f t="shared" si="54"/>
        <v>906</v>
      </c>
      <c r="BE38" s="682">
        <f t="shared" si="54"/>
        <v>95</v>
      </c>
      <c r="BF38" s="683">
        <f t="shared" si="54"/>
        <v>516</v>
      </c>
      <c r="BG38" s="683">
        <f t="shared" si="54"/>
        <v>210</v>
      </c>
      <c r="BH38" s="683">
        <f t="shared" si="54"/>
        <v>93</v>
      </c>
      <c r="BI38" s="684">
        <f t="shared" si="54"/>
        <v>914</v>
      </c>
      <c r="BJ38" s="682">
        <f t="shared" si="54"/>
        <v>110</v>
      </c>
      <c r="BK38" s="683">
        <f t="shared" si="54"/>
        <v>530</v>
      </c>
      <c r="BL38" s="683">
        <f t="shared" si="54"/>
        <v>206</v>
      </c>
      <c r="BM38" s="683">
        <f t="shared" si="54"/>
        <v>95</v>
      </c>
      <c r="BN38" s="684">
        <f t="shared" si="54"/>
        <v>941</v>
      </c>
      <c r="BO38" s="682">
        <f t="shared" ref="BO38:BX38" si="55">SUM(BO32:BO37)</f>
        <v>148</v>
      </c>
      <c r="BP38" s="683">
        <f t="shared" si="55"/>
        <v>587</v>
      </c>
      <c r="BQ38" s="683">
        <f t="shared" si="55"/>
        <v>219</v>
      </c>
      <c r="BR38" s="683">
        <f t="shared" si="55"/>
        <v>107</v>
      </c>
      <c r="BS38" s="684">
        <f t="shared" si="55"/>
        <v>1061</v>
      </c>
      <c r="BT38" s="682">
        <f t="shared" si="55"/>
        <v>156</v>
      </c>
      <c r="BU38" s="683">
        <f t="shared" si="55"/>
        <v>595</v>
      </c>
      <c r="BV38" s="683">
        <f t="shared" si="55"/>
        <v>219</v>
      </c>
      <c r="BW38" s="683">
        <f t="shared" si="55"/>
        <v>114</v>
      </c>
      <c r="BX38" s="684">
        <f t="shared" si="55"/>
        <v>1084</v>
      </c>
      <c r="BY38" s="682">
        <f t="shared" ref="BY38:CC38" si="56">SUM(BY32:BY37)</f>
        <v>151</v>
      </c>
      <c r="BZ38" s="683">
        <f t="shared" si="56"/>
        <v>605</v>
      </c>
      <c r="CA38" s="683">
        <f t="shared" si="56"/>
        <v>234</v>
      </c>
      <c r="CB38" s="683">
        <f t="shared" si="56"/>
        <v>120</v>
      </c>
      <c r="CC38" s="684">
        <f t="shared" si="56"/>
        <v>1110</v>
      </c>
    </row>
    <row r="39" spans="1:81" x14ac:dyDescent="0.2">
      <c r="Q39" s="89"/>
      <c r="R39" s="89"/>
      <c r="S39" s="89"/>
      <c r="T39" s="89"/>
      <c r="V39" s="89"/>
      <c r="W39" s="89"/>
      <c r="X39" s="89"/>
      <c r="Y39" s="89"/>
      <c r="AA39" s="89"/>
      <c r="AB39" s="89"/>
      <c r="AC39" s="89"/>
      <c r="AD39" s="89"/>
      <c r="AF39" s="89"/>
      <c r="AG39" s="89"/>
      <c r="AH39" s="89"/>
      <c r="AI39" s="89"/>
      <c r="AK39" s="89"/>
      <c r="AL39" s="89"/>
      <c r="AM39" s="89"/>
      <c r="AN39" s="89"/>
    </row>
    <row r="40" spans="1:81" x14ac:dyDescent="0.2">
      <c r="A40" s="449" t="s">
        <v>1322</v>
      </c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</row>
    <row r="41" spans="1:81" x14ac:dyDescent="0.2">
      <c r="A41" s="448" t="s">
        <v>146</v>
      </c>
    </row>
    <row r="42" spans="1:81" x14ac:dyDescent="0.2">
      <c r="A42" s="2370"/>
    </row>
    <row r="43" spans="1:81" x14ac:dyDescent="0.2">
      <c r="A43" s="2372"/>
    </row>
    <row r="44" spans="1:81" ht="15" x14ac:dyDescent="0.2">
      <c r="AG44" s="4603">
        <v>2000</v>
      </c>
    </row>
    <row r="45" spans="1:81" ht="15" x14ac:dyDescent="0.2">
      <c r="AG45" s="4603">
        <v>2001</v>
      </c>
    </row>
    <row r="46" spans="1:81" ht="15" x14ac:dyDescent="0.2">
      <c r="AG46" s="4603">
        <v>2002</v>
      </c>
      <c r="AK46" s="4180">
        <v>2002</v>
      </c>
    </row>
    <row r="47" spans="1:81" ht="15" x14ac:dyDescent="0.2">
      <c r="AG47" s="4603">
        <v>2003</v>
      </c>
      <c r="AK47" s="4180">
        <v>2003</v>
      </c>
    </row>
    <row r="48" spans="1:81" ht="15" x14ac:dyDescent="0.2">
      <c r="AG48" s="4603">
        <v>2004</v>
      </c>
      <c r="AK48" s="4180">
        <v>2004</v>
      </c>
    </row>
    <row r="49" spans="33:37" ht="15" x14ac:dyDescent="0.2">
      <c r="AG49" s="4603">
        <v>2005</v>
      </c>
      <c r="AK49" s="4180">
        <v>2005</v>
      </c>
    </row>
    <row r="50" spans="33:37" ht="15" x14ac:dyDescent="0.2">
      <c r="AG50" s="4603">
        <v>2006</v>
      </c>
      <c r="AK50" s="4180">
        <v>2006</v>
      </c>
    </row>
    <row r="51" spans="33:37" ht="15" x14ac:dyDescent="0.2">
      <c r="AG51" s="4603">
        <v>2007</v>
      </c>
      <c r="AK51" s="4180">
        <v>2007</v>
      </c>
    </row>
    <row r="52" spans="33:37" ht="15" x14ac:dyDescent="0.2">
      <c r="AG52" s="4603">
        <v>2008</v>
      </c>
      <c r="AK52" s="4180">
        <v>2008</v>
      </c>
    </row>
    <row r="53" spans="33:37" ht="15" x14ac:dyDescent="0.2">
      <c r="AG53" s="4603">
        <v>2009</v>
      </c>
      <c r="AK53" s="4180">
        <v>2009</v>
      </c>
    </row>
    <row r="54" spans="33:37" ht="15" x14ac:dyDescent="0.2">
      <c r="AG54" s="4603">
        <v>2010</v>
      </c>
      <c r="AK54" s="4180">
        <v>2010</v>
      </c>
    </row>
    <row r="55" spans="33:37" ht="15" x14ac:dyDescent="0.2">
      <c r="AG55" s="4603">
        <v>2011</v>
      </c>
      <c r="AK55" s="4180">
        <v>2011</v>
      </c>
    </row>
    <row r="56" spans="33:37" ht="15" x14ac:dyDescent="0.2">
      <c r="AG56" s="4603">
        <v>2012</v>
      </c>
      <c r="AK56" s="4180">
        <v>2012</v>
      </c>
    </row>
    <row r="57" spans="33:37" ht="15" x14ac:dyDescent="0.2">
      <c r="AG57" s="4603">
        <v>2013</v>
      </c>
      <c r="AK57" s="4180">
        <v>2013</v>
      </c>
    </row>
    <row r="58" spans="33:37" ht="15" x14ac:dyDescent="0.2">
      <c r="AG58" s="4603">
        <v>2014</v>
      </c>
      <c r="AK58" s="4180">
        <v>2014</v>
      </c>
    </row>
    <row r="59" spans="33:37" ht="15" x14ac:dyDescent="0.2">
      <c r="AG59" s="4603">
        <v>2015</v>
      </c>
      <c r="AK59" s="4181"/>
    </row>
    <row r="60" spans="33:37" ht="15" x14ac:dyDescent="0.2">
      <c r="AG60" s="4603"/>
      <c r="AK60" s="4182" t="s">
        <v>671</v>
      </c>
    </row>
    <row r="61" spans="33:37" ht="15" x14ac:dyDescent="0.2">
      <c r="AG61" s="4603"/>
      <c r="AK61" s="4182" t="s">
        <v>672</v>
      </c>
    </row>
    <row r="62" spans="33:37" x14ac:dyDescent="0.2">
      <c r="AK62" s="4182" t="s">
        <v>673</v>
      </c>
    </row>
    <row r="63" spans="33:37" x14ac:dyDescent="0.2">
      <c r="AK63" s="4182" t="s">
        <v>674</v>
      </c>
    </row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</sheetData>
  <mergeCells count="49">
    <mergeCell ref="BY3:CC3"/>
    <mergeCell ref="BY4:CB4"/>
    <mergeCell ref="CC4:CC5"/>
    <mergeCell ref="A3:A5"/>
    <mergeCell ref="V3:Z3"/>
    <mergeCell ref="Q4:T4"/>
    <mergeCell ref="U4:U5"/>
    <mergeCell ref="V4:Y4"/>
    <mergeCell ref="B3:F3"/>
    <mergeCell ref="B4:E4"/>
    <mergeCell ref="F4:F5"/>
    <mergeCell ref="Q3:U3"/>
    <mergeCell ref="Z4:Z5"/>
    <mergeCell ref="L3:P3"/>
    <mergeCell ref="L4:O4"/>
    <mergeCell ref="P4:P5"/>
    <mergeCell ref="G3:K3"/>
    <mergeCell ref="G4:J4"/>
    <mergeCell ref="K4:K5"/>
    <mergeCell ref="AZ3:BD3"/>
    <mergeCell ref="AU3:AY3"/>
    <mergeCell ref="AP3:AT3"/>
    <mergeCell ref="AA3:AE3"/>
    <mergeCell ref="AF3:AJ3"/>
    <mergeCell ref="AK3:AO3"/>
    <mergeCell ref="AA4:AD4"/>
    <mergeCell ref="AE4:AE5"/>
    <mergeCell ref="AF4:AI4"/>
    <mergeCell ref="AJ4:AJ5"/>
    <mergeCell ref="AK4:AN4"/>
    <mergeCell ref="AO4:AO5"/>
    <mergeCell ref="BE3:BI3"/>
    <mergeCell ref="AP4:AS4"/>
    <mergeCell ref="AT4:AT5"/>
    <mergeCell ref="AU4:AX4"/>
    <mergeCell ref="AY4:AY5"/>
    <mergeCell ref="AZ4:BC4"/>
    <mergeCell ref="BD4:BD5"/>
    <mergeCell ref="BE4:BH4"/>
    <mergeCell ref="BI4:BI5"/>
    <mergeCell ref="BN4:BN5"/>
    <mergeCell ref="BO4:BR4"/>
    <mergeCell ref="BT3:BX3"/>
    <mergeCell ref="BO3:BS3"/>
    <mergeCell ref="BJ3:BN3"/>
    <mergeCell ref="BT4:BW4"/>
    <mergeCell ref="BX4:BX5"/>
    <mergeCell ref="BS4:BS5"/>
    <mergeCell ref="BJ4:BM4"/>
  </mergeCells>
  <printOptions horizontalCentered="1" verticalCentered="1"/>
  <pageMargins left="0.55118110236220474" right="0.55118110236220474" top="0.59055118110236227" bottom="0.59055118110236227" header="0" footer="0"/>
  <pageSetup scale="60" pageOrder="overThenDown" orientation="landscape" r:id="rId1"/>
  <headerFooter alignWithMargins="0"/>
  <rowBreaks count="1" manualBreakCount="1">
    <brk id="41" max="75" man="1"/>
  </rowBreaks>
  <colBreaks count="2" manualBreakCount="2">
    <brk id="31" max="165" man="1"/>
    <brk id="61" max="165" man="1"/>
  </colBreaks>
  <ignoredErrors>
    <ignoredError sqref="AE39 F32:F37 K7:BX30 CC25 CC30" formula="1"/>
  </ignoredErrors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1:BA150"/>
  <sheetViews>
    <sheetView showGridLines="0" zoomScaleNormal="100" workbookViewId="0">
      <pane xSplit="1" ySplit="5" topLeftCell="AD6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RowHeight="15" x14ac:dyDescent="0.2"/>
  <cols>
    <col min="1" max="1" width="24.28515625" style="453" customWidth="1"/>
    <col min="2" max="2" width="6.28515625" style="254" customWidth="1"/>
    <col min="3" max="3" width="7.5703125" style="254" customWidth="1"/>
    <col min="4" max="4" width="8" style="254" customWidth="1"/>
    <col min="5" max="5" width="7.85546875" style="254" customWidth="1"/>
    <col min="6" max="6" width="6.28515625" style="254" customWidth="1"/>
    <col min="7" max="7" width="7.5703125" style="254" customWidth="1"/>
    <col min="8" max="8" width="8.140625" style="254" customWidth="1"/>
    <col min="9" max="9" width="7.85546875" style="254" customWidth="1"/>
    <col min="10" max="10" width="6.28515625" style="254" customWidth="1"/>
    <col min="11" max="11" width="7.5703125" style="254" customWidth="1"/>
    <col min="12" max="12" width="8.140625" style="254" customWidth="1"/>
    <col min="13" max="13" width="7.85546875" style="254" customWidth="1"/>
    <col min="14" max="14" width="6.7109375" style="254" customWidth="1"/>
    <col min="15" max="15" width="7.5703125" style="254" customWidth="1"/>
    <col min="16" max="16" width="8.140625" style="254" customWidth="1"/>
    <col min="17" max="17" width="7.85546875" style="254" customWidth="1"/>
    <col min="18" max="18" width="6.7109375" style="254" customWidth="1"/>
    <col min="19" max="19" width="7.5703125" style="254" customWidth="1"/>
    <col min="20" max="20" width="8.140625" style="254" customWidth="1"/>
    <col min="21" max="21" width="7.85546875" style="254" customWidth="1"/>
    <col min="22" max="23" width="6.7109375" style="254" customWidth="1"/>
    <col min="24" max="24" width="7.7109375" style="254" customWidth="1"/>
    <col min="25" max="25" width="7.85546875" style="254" customWidth="1"/>
    <col min="26" max="27" width="6.7109375" style="254" customWidth="1"/>
    <col min="28" max="28" width="7.5703125" style="254" customWidth="1"/>
    <col min="29" max="29" width="7.85546875" style="254" customWidth="1"/>
    <col min="30" max="30" width="6.85546875" style="254" customWidth="1"/>
    <col min="31" max="31" width="6.7109375" style="254" customWidth="1"/>
    <col min="32" max="32" width="7.5703125" style="254" customWidth="1"/>
    <col min="33" max="33" width="7.85546875" style="254" customWidth="1"/>
    <col min="34" max="36" width="6.7109375" style="254" customWidth="1"/>
    <col min="37" max="37" width="7.85546875" style="254" customWidth="1"/>
    <col min="38" max="40" width="6.7109375" style="254" customWidth="1"/>
    <col min="41" max="41" width="8" style="254" customWidth="1"/>
    <col min="42" max="44" width="6.7109375" style="254" customWidth="1"/>
    <col min="45" max="45" width="8.140625" style="254" bestFit="1" customWidth="1"/>
    <col min="46" max="53" width="6.7109375" style="254" customWidth="1"/>
    <col min="54" max="255" width="11.42578125" style="254"/>
    <col min="256" max="256" width="15.28515625" style="254" customWidth="1"/>
    <col min="257" max="257" width="13" style="254" bestFit="1" customWidth="1"/>
    <col min="258" max="258" width="6.28515625" style="254" customWidth="1"/>
    <col min="259" max="259" width="7.5703125" style="254" customWidth="1"/>
    <col min="260" max="260" width="8" style="254" customWidth="1"/>
    <col min="261" max="261" width="10.7109375" style="254" customWidth="1"/>
    <col min="262" max="262" width="6.28515625" style="254" customWidth="1"/>
    <col min="263" max="263" width="7.5703125" style="254" customWidth="1"/>
    <col min="264" max="264" width="8.140625" style="254" customWidth="1"/>
    <col min="265" max="265" width="10.7109375" style="254" customWidth="1"/>
    <col min="266" max="266" width="6.28515625" style="254" customWidth="1"/>
    <col min="267" max="267" width="7.5703125" style="254" customWidth="1"/>
    <col min="268" max="268" width="8.140625" style="254" customWidth="1"/>
    <col min="269" max="269" width="10.7109375" style="254" customWidth="1"/>
    <col min="270" max="270" width="6.7109375" style="254" customWidth="1"/>
    <col min="271" max="271" width="7.5703125" style="254" customWidth="1"/>
    <col min="272" max="272" width="8.140625" style="254" customWidth="1"/>
    <col min="273" max="273" width="10.7109375" style="254" customWidth="1"/>
    <col min="274" max="274" width="6.7109375" style="254" customWidth="1"/>
    <col min="275" max="275" width="7.5703125" style="254" customWidth="1"/>
    <col min="276" max="276" width="8.140625" style="254" customWidth="1"/>
    <col min="277" max="277" width="10.7109375" style="254" customWidth="1"/>
    <col min="278" max="280" width="6.7109375" style="254" customWidth="1"/>
    <col min="281" max="281" width="11.42578125" style="254" customWidth="1"/>
    <col min="282" max="284" width="6.7109375" style="254" customWidth="1"/>
    <col min="285" max="285" width="11.42578125" style="254"/>
    <col min="286" max="286" width="1.5703125" style="254" customWidth="1"/>
    <col min="287" max="511" width="11.42578125" style="254"/>
    <col min="512" max="512" width="15.28515625" style="254" customWidth="1"/>
    <col min="513" max="513" width="13" style="254" bestFit="1" customWidth="1"/>
    <col min="514" max="514" width="6.28515625" style="254" customWidth="1"/>
    <col min="515" max="515" width="7.5703125" style="254" customWidth="1"/>
    <col min="516" max="516" width="8" style="254" customWidth="1"/>
    <col min="517" max="517" width="10.7109375" style="254" customWidth="1"/>
    <col min="518" max="518" width="6.28515625" style="254" customWidth="1"/>
    <col min="519" max="519" width="7.5703125" style="254" customWidth="1"/>
    <col min="520" max="520" width="8.140625" style="254" customWidth="1"/>
    <col min="521" max="521" width="10.7109375" style="254" customWidth="1"/>
    <col min="522" max="522" width="6.28515625" style="254" customWidth="1"/>
    <col min="523" max="523" width="7.5703125" style="254" customWidth="1"/>
    <col min="524" max="524" width="8.140625" style="254" customWidth="1"/>
    <col min="525" max="525" width="10.7109375" style="254" customWidth="1"/>
    <col min="526" max="526" width="6.7109375" style="254" customWidth="1"/>
    <col min="527" max="527" width="7.5703125" style="254" customWidth="1"/>
    <col min="528" max="528" width="8.140625" style="254" customWidth="1"/>
    <col min="529" max="529" width="10.7109375" style="254" customWidth="1"/>
    <col min="530" max="530" width="6.7109375" style="254" customWidth="1"/>
    <col min="531" max="531" width="7.5703125" style="254" customWidth="1"/>
    <col min="532" max="532" width="8.140625" style="254" customWidth="1"/>
    <col min="533" max="533" width="10.7109375" style="254" customWidth="1"/>
    <col min="534" max="536" width="6.7109375" style="254" customWidth="1"/>
    <col min="537" max="537" width="11.42578125" style="254" customWidth="1"/>
    <col min="538" max="540" width="6.7109375" style="254" customWidth="1"/>
    <col min="541" max="541" width="11.42578125" style="254"/>
    <col min="542" max="542" width="1.5703125" style="254" customWidth="1"/>
    <col min="543" max="767" width="11.42578125" style="254"/>
    <col min="768" max="768" width="15.28515625" style="254" customWidth="1"/>
    <col min="769" max="769" width="13" style="254" bestFit="1" customWidth="1"/>
    <col min="770" max="770" width="6.28515625" style="254" customWidth="1"/>
    <col min="771" max="771" width="7.5703125" style="254" customWidth="1"/>
    <col min="772" max="772" width="8" style="254" customWidth="1"/>
    <col min="773" max="773" width="10.7109375" style="254" customWidth="1"/>
    <col min="774" max="774" width="6.28515625" style="254" customWidth="1"/>
    <col min="775" max="775" width="7.5703125" style="254" customWidth="1"/>
    <col min="776" max="776" width="8.140625" style="254" customWidth="1"/>
    <col min="777" max="777" width="10.7109375" style="254" customWidth="1"/>
    <col min="778" max="778" width="6.28515625" style="254" customWidth="1"/>
    <col min="779" max="779" width="7.5703125" style="254" customWidth="1"/>
    <col min="780" max="780" width="8.140625" style="254" customWidth="1"/>
    <col min="781" max="781" width="10.7109375" style="254" customWidth="1"/>
    <col min="782" max="782" width="6.7109375" style="254" customWidth="1"/>
    <col min="783" max="783" width="7.5703125" style="254" customWidth="1"/>
    <col min="784" max="784" width="8.140625" style="254" customWidth="1"/>
    <col min="785" max="785" width="10.7109375" style="254" customWidth="1"/>
    <col min="786" max="786" width="6.7109375" style="254" customWidth="1"/>
    <col min="787" max="787" width="7.5703125" style="254" customWidth="1"/>
    <col min="788" max="788" width="8.140625" style="254" customWidth="1"/>
    <col min="789" max="789" width="10.7109375" style="254" customWidth="1"/>
    <col min="790" max="792" width="6.7109375" style="254" customWidth="1"/>
    <col min="793" max="793" width="11.42578125" style="254" customWidth="1"/>
    <col min="794" max="796" width="6.7109375" style="254" customWidth="1"/>
    <col min="797" max="797" width="11.42578125" style="254"/>
    <col min="798" max="798" width="1.5703125" style="254" customWidth="1"/>
    <col min="799" max="1023" width="11.42578125" style="254"/>
    <col min="1024" max="1024" width="15.28515625" style="254" customWidth="1"/>
    <col min="1025" max="1025" width="13" style="254" bestFit="1" customWidth="1"/>
    <col min="1026" max="1026" width="6.28515625" style="254" customWidth="1"/>
    <col min="1027" max="1027" width="7.5703125" style="254" customWidth="1"/>
    <col min="1028" max="1028" width="8" style="254" customWidth="1"/>
    <col min="1029" max="1029" width="10.7109375" style="254" customWidth="1"/>
    <col min="1030" max="1030" width="6.28515625" style="254" customWidth="1"/>
    <col min="1031" max="1031" width="7.5703125" style="254" customWidth="1"/>
    <col min="1032" max="1032" width="8.140625" style="254" customWidth="1"/>
    <col min="1033" max="1033" width="10.7109375" style="254" customWidth="1"/>
    <col min="1034" max="1034" width="6.28515625" style="254" customWidth="1"/>
    <col min="1035" max="1035" width="7.5703125" style="254" customWidth="1"/>
    <col min="1036" max="1036" width="8.140625" style="254" customWidth="1"/>
    <col min="1037" max="1037" width="10.7109375" style="254" customWidth="1"/>
    <col min="1038" max="1038" width="6.7109375" style="254" customWidth="1"/>
    <col min="1039" max="1039" width="7.5703125" style="254" customWidth="1"/>
    <col min="1040" max="1040" width="8.140625" style="254" customWidth="1"/>
    <col min="1041" max="1041" width="10.7109375" style="254" customWidth="1"/>
    <col min="1042" max="1042" width="6.7109375" style="254" customWidth="1"/>
    <col min="1043" max="1043" width="7.5703125" style="254" customWidth="1"/>
    <col min="1044" max="1044" width="8.140625" style="254" customWidth="1"/>
    <col min="1045" max="1045" width="10.7109375" style="254" customWidth="1"/>
    <col min="1046" max="1048" width="6.7109375" style="254" customWidth="1"/>
    <col min="1049" max="1049" width="11.42578125" style="254" customWidth="1"/>
    <col min="1050" max="1052" width="6.7109375" style="254" customWidth="1"/>
    <col min="1053" max="1053" width="11.42578125" style="254"/>
    <col min="1054" max="1054" width="1.5703125" style="254" customWidth="1"/>
    <col min="1055" max="1279" width="11.42578125" style="254"/>
    <col min="1280" max="1280" width="15.28515625" style="254" customWidth="1"/>
    <col min="1281" max="1281" width="13" style="254" bestFit="1" customWidth="1"/>
    <col min="1282" max="1282" width="6.28515625" style="254" customWidth="1"/>
    <col min="1283" max="1283" width="7.5703125" style="254" customWidth="1"/>
    <col min="1284" max="1284" width="8" style="254" customWidth="1"/>
    <col min="1285" max="1285" width="10.7109375" style="254" customWidth="1"/>
    <col min="1286" max="1286" width="6.28515625" style="254" customWidth="1"/>
    <col min="1287" max="1287" width="7.5703125" style="254" customWidth="1"/>
    <col min="1288" max="1288" width="8.140625" style="254" customWidth="1"/>
    <col min="1289" max="1289" width="10.7109375" style="254" customWidth="1"/>
    <col min="1290" max="1290" width="6.28515625" style="254" customWidth="1"/>
    <col min="1291" max="1291" width="7.5703125" style="254" customWidth="1"/>
    <col min="1292" max="1292" width="8.140625" style="254" customWidth="1"/>
    <col min="1293" max="1293" width="10.7109375" style="254" customWidth="1"/>
    <col min="1294" max="1294" width="6.7109375" style="254" customWidth="1"/>
    <col min="1295" max="1295" width="7.5703125" style="254" customWidth="1"/>
    <col min="1296" max="1296" width="8.140625" style="254" customWidth="1"/>
    <col min="1297" max="1297" width="10.7109375" style="254" customWidth="1"/>
    <col min="1298" max="1298" width="6.7109375" style="254" customWidth="1"/>
    <col min="1299" max="1299" width="7.5703125" style="254" customWidth="1"/>
    <col min="1300" max="1300" width="8.140625" style="254" customWidth="1"/>
    <col min="1301" max="1301" width="10.7109375" style="254" customWidth="1"/>
    <col min="1302" max="1304" width="6.7109375" style="254" customWidth="1"/>
    <col min="1305" max="1305" width="11.42578125" style="254" customWidth="1"/>
    <col min="1306" max="1308" width="6.7109375" style="254" customWidth="1"/>
    <col min="1309" max="1309" width="11.42578125" style="254"/>
    <col min="1310" max="1310" width="1.5703125" style="254" customWidth="1"/>
    <col min="1311" max="1535" width="11.42578125" style="254"/>
    <col min="1536" max="1536" width="15.28515625" style="254" customWidth="1"/>
    <col min="1537" max="1537" width="13" style="254" bestFit="1" customWidth="1"/>
    <col min="1538" max="1538" width="6.28515625" style="254" customWidth="1"/>
    <col min="1539" max="1539" width="7.5703125" style="254" customWidth="1"/>
    <col min="1540" max="1540" width="8" style="254" customWidth="1"/>
    <col min="1541" max="1541" width="10.7109375" style="254" customWidth="1"/>
    <col min="1542" max="1542" width="6.28515625" style="254" customWidth="1"/>
    <col min="1543" max="1543" width="7.5703125" style="254" customWidth="1"/>
    <col min="1544" max="1544" width="8.140625" style="254" customWidth="1"/>
    <col min="1545" max="1545" width="10.7109375" style="254" customWidth="1"/>
    <col min="1546" max="1546" width="6.28515625" style="254" customWidth="1"/>
    <col min="1547" max="1547" width="7.5703125" style="254" customWidth="1"/>
    <col min="1548" max="1548" width="8.140625" style="254" customWidth="1"/>
    <col min="1549" max="1549" width="10.7109375" style="254" customWidth="1"/>
    <col min="1550" max="1550" width="6.7109375" style="254" customWidth="1"/>
    <col min="1551" max="1551" width="7.5703125" style="254" customWidth="1"/>
    <col min="1552" max="1552" width="8.140625" style="254" customWidth="1"/>
    <col min="1553" max="1553" width="10.7109375" style="254" customWidth="1"/>
    <col min="1554" max="1554" width="6.7109375" style="254" customWidth="1"/>
    <col min="1555" max="1555" width="7.5703125" style="254" customWidth="1"/>
    <col min="1556" max="1556" width="8.140625" style="254" customWidth="1"/>
    <col min="1557" max="1557" width="10.7109375" style="254" customWidth="1"/>
    <col min="1558" max="1560" width="6.7109375" style="254" customWidth="1"/>
    <col min="1561" max="1561" width="11.42578125" style="254" customWidth="1"/>
    <col min="1562" max="1564" width="6.7109375" style="254" customWidth="1"/>
    <col min="1565" max="1565" width="11.42578125" style="254"/>
    <col min="1566" max="1566" width="1.5703125" style="254" customWidth="1"/>
    <col min="1567" max="1791" width="11.42578125" style="254"/>
    <col min="1792" max="1792" width="15.28515625" style="254" customWidth="1"/>
    <col min="1793" max="1793" width="13" style="254" bestFit="1" customWidth="1"/>
    <col min="1794" max="1794" width="6.28515625" style="254" customWidth="1"/>
    <col min="1795" max="1795" width="7.5703125" style="254" customWidth="1"/>
    <col min="1796" max="1796" width="8" style="254" customWidth="1"/>
    <col min="1797" max="1797" width="10.7109375" style="254" customWidth="1"/>
    <col min="1798" max="1798" width="6.28515625" style="254" customWidth="1"/>
    <col min="1799" max="1799" width="7.5703125" style="254" customWidth="1"/>
    <col min="1800" max="1800" width="8.140625" style="254" customWidth="1"/>
    <col min="1801" max="1801" width="10.7109375" style="254" customWidth="1"/>
    <col min="1802" max="1802" width="6.28515625" style="254" customWidth="1"/>
    <col min="1803" max="1803" width="7.5703125" style="254" customWidth="1"/>
    <col min="1804" max="1804" width="8.140625" style="254" customWidth="1"/>
    <col min="1805" max="1805" width="10.7109375" style="254" customWidth="1"/>
    <col min="1806" max="1806" width="6.7109375" style="254" customWidth="1"/>
    <col min="1807" max="1807" width="7.5703125" style="254" customWidth="1"/>
    <col min="1808" max="1808" width="8.140625" style="254" customWidth="1"/>
    <col min="1809" max="1809" width="10.7109375" style="254" customWidth="1"/>
    <col min="1810" max="1810" width="6.7109375" style="254" customWidth="1"/>
    <col min="1811" max="1811" width="7.5703125" style="254" customWidth="1"/>
    <col min="1812" max="1812" width="8.140625" style="254" customWidth="1"/>
    <col min="1813" max="1813" width="10.7109375" style="254" customWidth="1"/>
    <col min="1814" max="1816" width="6.7109375" style="254" customWidth="1"/>
    <col min="1817" max="1817" width="11.42578125" style="254" customWidth="1"/>
    <col min="1818" max="1820" width="6.7109375" style="254" customWidth="1"/>
    <col min="1821" max="1821" width="11.42578125" style="254"/>
    <col min="1822" max="1822" width="1.5703125" style="254" customWidth="1"/>
    <col min="1823" max="2047" width="11.42578125" style="254"/>
    <col min="2048" max="2048" width="15.28515625" style="254" customWidth="1"/>
    <col min="2049" max="2049" width="13" style="254" bestFit="1" customWidth="1"/>
    <col min="2050" max="2050" width="6.28515625" style="254" customWidth="1"/>
    <col min="2051" max="2051" width="7.5703125" style="254" customWidth="1"/>
    <col min="2052" max="2052" width="8" style="254" customWidth="1"/>
    <col min="2053" max="2053" width="10.7109375" style="254" customWidth="1"/>
    <col min="2054" max="2054" width="6.28515625" style="254" customWidth="1"/>
    <col min="2055" max="2055" width="7.5703125" style="254" customWidth="1"/>
    <col min="2056" max="2056" width="8.140625" style="254" customWidth="1"/>
    <col min="2057" max="2057" width="10.7109375" style="254" customWidth="1"/>
    <col min="2058" max="2058" width="6.28515625" style="254" customWidth="1"/>
    <col min="2059" max="2059" width="7.5703125" style="254" customWidth="1"/>
    <col min="2060" max="2060" width="8.140625" style="254" customWidth="1"/>
    <col min="2061" max="2061" width="10.7109375" style="254" customWidth="1"/>
    <col min="2062" max="2062" width="6.7109375" style="254" customWidth="1"/>
    <col min="2063" max="2063" width="7.5703125" style="254" customWidth="1"/>
    <col min="2064" max="2064" width="8.140625" style="254" customWidth="1"/>
    <col min="2065" max="2065" width="10.7109375" style="254" customWidth="1"/>
    <col min="2066" max="2066" width="6.7109375" style="254" customWidth="1"/>
    <col min="2067" max="2067" width="7.5703125" style="254" customWidth="1"/>
    <col min="2068" max="2068" width="8.140625" style="254" customWidth="1"/>
    <col min="2069" max="2069" width="10.7109375" style="254" customWidth="1"/>
    <col min="2070" max="2072" width="6.7109375" style="254" customWidth="1"/>
    <col min="2073" max="2073" width="11.42578125" style="254" customWidth="1"/>
    <col min="2074" max="2076" width="6.7109375" style="254" customWidth="1"/>
    <col min="2077" max="2077" width="11.42578125" style="254"/>
    <col min="2078" max="2078" width="1.5703125" style="254" customWidth="1"/>
    <col min="2079" max="2303" width="11.42578125" style="254"/>
    <col min="2304" max="2304" width="15.28515625" style="254" customWidth="1"/>
    <col min="2305" max="2305" width="13" style="254" bestFit="1" customWidth="1"/>
    <col min="2306" max="2306" width="6.28515625" style="254" customWidth="1"/>
    <col min="2307" max="2307" width="7.5703125" style="254" customWidth="1"/>
    <col min="2308" max="2308" width="8" style="254" customWidth="1"/>
    <col min="2309" max="2309" width="10.7109375" style="254" customWidth="1"/>
    <col min="2310" max="2310" width="6.28515625" style="254" customWidth="1"/>
    <col min="2311" max="2311" width="7.5703125" style="254" customWidth="1"/>
    <col min="2312" max="2312" width="8.140625" style="254" customWidth="1"/>
    <col min="2313" max="2313" width="10.7109375" style="254" customWidth="1"/>
    <col min="2314" max="2314" width="6.28515625" style="254" customWidth="1"/>
    <col min="2315" max="2315" width="7.5703125" style="254" customWidth="1"/>
    <col min="2316" max="2316" width="8.140625" style="254" customWidth="1"/>
    <col min="2317" max="2317" width="10.7109375" style="254" customWidth="1"/>
    <col min="2318" max="2318" width="6.7109375" style="254" customWidth="1"/>
    <col min="2319" max="2319" width="7.5703125" style="254" customWidth="1"/>
    <col min="2320" max="2320" width="8.140625" style="254" customWidth="1"/>
    <col min="2321" max="2321" width="10.7109375" style="254" customWidth="1"/>
    <col min="2322" max="2322" width="6.7109375" style="254" customWidth="1"/>
    <col min="2323" max="2323" width="7.5703125" style="254" customWidth="1"/>
    <col min="2324" max="2324" width="8.140625" style="254" customWidth="1"/>
    <col min="2325" max="2325" width="10.7109375" style="254" customWidth="1"/>
    <col min="2326" max="2328" width="6.7109375" style="254" customWidth="1"/>
    <col min="2329" max="2329" width="11.42578125" style="254" customWidth="1"/>
    <col min="2330" max="2332" width="6.7109375" style="254" customWidth="1"/>
    <col min="2333" max="2333" width="11.42578125" style="254"/>
    <col min="2334" max="2334" width="1.5703125" style="254" customWidth="1"/>
    <col min="2335" max="2559" width="11.42578125" style="254"/>
    <col min="2560" max="2560" width="15.28515625" style="254" customWidth="1"/>
    <col min="2561" max="2561" width="13" style="254" bestFit="1" customWidth="1"/>
    <col min="2562" max="2562" width="6.28515625" style="254" customWidth="1"/>
    <col min="2563" max="2563" width="7.5703125" style="254" customWidth="1"/>
    <col min="2564" max="2564" width="8" style="254" customWidth="1"/>
    <col min="2565" max="2565" width="10.7109375" style="254" customWidth="1"/>
    <col min="2566" max="2566" width="6.28515625" style="254" customWidth="1"/>
    <col min="2567" max="2567" width="7.5703125" style="254" customWidth="1"/>
    <col min="2568" max="2568" width="8.140625" style="254" customWidth="1"/>
    <col min="2569" max="2569" width="10.7109375" style="254" customWidth="1"/>
    <col min="2570" max="2570" width="6.28515625" style="254" customWidth="1"/>
    <col min="2571" max="2571" width="7.5703125" style="254" customWidth="1"/>
    <col min="2572" max="2572" width="8.140625" style="254" customWidth="1"/>
    <col min="2573" max="2573" width="10.7109375" style="254" customWidth="1"/>
    <col min="2574" max="2574" width="6.7109375" style="254" customWidth="1"/>
    <col min="2575" max="2575" width="7.5703125" style="254" customWidth="1"/>
    <col min="2576" max="2576" width="8.140625" style="254" customWidth="1"/>
    <col min="2577" max="2577" width="10.7109375" style="254" customWidth="1"/>
    <col min="2578" max="2578" width="6.7109375" style="254" customWidth="1"/>
    <col min="2579" max="2579" width="7.5703125" style="254" customWidth="1"/>
    <col min="2580" max="2580" width="8.140625" style="254" customWidth="1"/>
    <col min="2581" max="2581" width="10.7109375" style="254" customWidth="1"/>
    <col min="2582" max="2584" width="6.7109375" style="254" customWidth="1"/>
    <col min="2585" max="2585" width="11.42578125" style="254" customWidth="1"/>
    <col min="2586" max="2588" width="6.7109375" style="254" customWidth="1"/>
    <col min="2589" max="2589" width="11.42578125" style="254"/>
    <col min="2590" max="2590" width="1.5703125" style="254" customWidth="1"/>
    <col min="2591" max="2815" width="11.42578125" style="254"/>
    <col min="2816" max="2816" width="15.28515625" style="254" customWidth="1"/>
    <col min="2817" max="2817" width="13" style="254" bestFit="1" customWidth="1"/>
    <col min="2818" max="2818" width="6.28515625" style="254" customWidth="1"/>
    <col min="2819" max="2819" width="7.5703125" style="254" customWidth="1"/>
    <col min="2820" max="2820" width="8" style="254" customWidth="1"/>
    <col min="2821" max="2821" width="10.7109375" style="254" customWidth="1"/>
    <col min="2822" max="2822" width="6.28515625" style="254" customWidth="1"/>
    <col min="2823" max="2823" width="7.5703125" style="254" customWidth="1"/>
    <col min="2824" max="2824" width="8.140625" style="254" customWidth="1"/>
    <col min="2825" max="2825" width="10.7109375" style="254" customWidth="1"/>
    <col min="2826" max="2826" width="6.28515625" style="254" customWidth="1"/>
    <col min="2827" max="2827" width="7.5703125" style="254" customWidth="1"/>
    <col min="2828" max="2828" width="8.140625" style="254" customWidth="1"/>
    <col min="2829" max="2829" width="10.7109375" style="254" customWidth="1"/>
    <col min="2830" max="2830" width="6.7109375" style="254" customWidth="1"/>
    <col min="2831" max="2831" width="7.5703125" style="254" customWidth="1"/>
    <col min="2832" max="2832" width="8.140625" style="254" customWidth="1"/>
    <col min="2833" max="2833" width="10.7109375" style="254" customWidth="1"/>
    <col min="2834" max="2834" width="6.7109375" style="254" customWidth="1"/>
    <col min="2835" max="2835" width="7.5703125" style="254" customWidth="1"/>
    <col min="2836" max="2836" width="8.140625" style="254" customWidth="1"/>
    <col min="2837" max="2837" width="10.7109375" style="254" customWidth="1"/>
    <col min="2838" max="2840" width="6.7109375" style="254" customWidth="1"/>
    <col min="2841" max="2841" width="11.42578125" style="254" customWidth="1"/>
    <col min="2842" max="2844" width="6.7109375" style="254" customWidth="1"/>
    <col min="2845" max="2845" width="11.42578125" style="254"/>
    <col min="2846" max="2846" width="1.5703125" style="254" customWidth="1"/>
    <col min="2847" max="3071" width="11.42578125" style="254"/>
    <col min="3072" max="3072" width="15.28515625" style="254" customWidth="1"/>
    <col min="3073" max="3073" width="13" style="254" bestFit="1" customWidth="1"/>
    <col min="3074" max="3074" width="6.28515625" style="254" customWidth="1"/>
    <col min="3075" max="3075" width="7.5703125" style="254" customWidth="1"/>
    <col min="3076" max="3076" width="8" style="254" customWidth="1"/>
    <col min="3077" max="3077" width="10.7109375" style="254" customWidth="1"/>
    <col min="3078" max="3078" width="6.28515625" style="254" customWidth="1"/>
    <col min="3079" max="3079" width="7.5703125" style="254" customWidth="1"/>
    <col min="3080" max="3080" width="8.140625" style="254" customWidth="1"/>
    <col min="3081" max="3081" width="10.7109375" style="254" customWidth="1"/>
    <col min="3082" max="3082" width="6.28515625" style="254" customWidth="1"/>
    <col min="3083" max="3083" width="7.5703125" style="254" customWidth="1"/>
    <col min="3084" max="3084" width="8.140625" style="254" customWidth="1"/>
    <col min="3085" max="3085" width="10.7109375" style="254" customWidth="1"/>
    <col min="3086" max="3086" width="6.7109375" style="254" customWidth="1"/>
    <col min="3087" max="3087" width="7.5703125" style="254" customWidth="1"/>
    <col min="3088" max="3088" width="8.140625" style="254" customWidth="1"/>
    <col min="3089" max="3089" width="10.7109375" style="254" customWidth="1"/>
    <col min="3090" max="3090" width="6.7109375" style="254" customWidth="1"/>
    <col min="3091" max="3091" width="7.5703125" style="254" customWidth="1"/>
    <col min="3092" max="3092" width="8.140625" style="254" customWidth="1"/>
    <col min="3093" max="3093" width="10.7109375" style="254" customWidth="1"/>
    <col min="3094" max="3096" width="6.7109375" style="254" customWidth="1"/>
    <col min="3097" max="3097" width="11.42578125" style="254" customWidth="1"/>
    <col min="3098" max="3100" width="6.7109375" style="254" customWidth="1"/>
    <col min="3101" max="3101" width="11.42578125" style="254"/>
    <col min="3102" max="3102" width="1.5703125" style="254" customWidth="1"/>
    <col min="3103" max="3327" width="11.42578125" style="254"/>
    <col min="3328" max="3328" width="15.28515625" style="254" customWidth="1"/>
    <col min="3329" max="3329" width="13" style="254" bestFit="1" customWidth="1"/>
    <col min="3330" max="3330" width="6.28515625" style="254" customWidth="1"/>
    <col min="3331" max="3331" width="7.5703125" style="254" customWidth="1"/>
    <col min="3332" max="3332" width="8" style="254" customWidth="1"/>
    <col min="3333" max="3333" width="10.7109375" style="254" customWidth="1"/>
    <col min="3334" max="3334" width="6.28515625" style="254" customWidth="1"/>
    <col min="3335" max="3335" width="7.5703125" style="254" customWidth="1"/>
    <col min="3336" max="3336" width="8.140625" style="254" customWidth="1"/>
    <col min="3337" max="3337" width="10.7109375" style="254" customWidth="1"/>
    <col min="3338" max="3338" width="6.28515625" style="254" customWidth="1"/>
    <col min="3339" max="3339" width="7.5703125" style="254" customWidth="1"/>
    <col min="3340" max="3340" width="8.140625" style="254" customWidth="1"/>
    <col min="3341" max="3341" width="10.7109375" style="254" customWidth="1"/>
    <col min="3342" max="3342" width="6.7109375" style="254" customWidth="1"/>
    <col min="3343" max="3343" width="7.5703125" style="254" customWidth="1"/>
    <col min="3344" max="3344" width="8.140625" style="254" customWidth="1"/>
    <col min="3345" max="3345" width="10.7109375" style="254" customWidth="1"/>
    <col min="3346" max="3346" width="6.7109375" style="254" customWidth="1"/>
    <col min="3347" max="3347" width="7.5703125" style="254" customWidth="1"/>
    <col min="3348" max="3348" width="8.140625" style="254" customWidth="1"/>
    <col min="3349" max="3349" width="10.7109375" style="254" customWidth="1"/>
    <col min="3350" max="3352" width="6.7109375" style="254" customWidth="1"/>
    <col min="3353" max="3353" width="11.42578125" style="254" customWidth="1"/>
    <col min="3354" max="3356" width="6.7109375" style="254" customWidth="1"/>
    <col min="3357" max="3357" width="11.42578125" style="254"/>
    <col min="3358" max="3358" width="1.5703125" style="254" customWidth="1"/>
    <col min="3359" max="3583" width="11.42578125" style="254"/>
    <col min="3584" max="3584" width="15.28515625" style="254" customWidth="1"/>
    <col min="3585" max="3585" width="13" style="254" bestFit="1" customWidth="1"/>
    <col min="3586" max="3586" width="6.28515625" style="254" customWidth="1"/>
    <col min="3587" max="3587" width="7.5703125" style="254" customWidth="1"/>
    <col min="3588" max="3588" width="8" style="254" customWidth="1"/>
    <col min="3589" max="3589" width="10.7109375" style="254" customWidth="1"/>
    <col min="3590" max="3590" width="6.28515625" style="254" customWidth="1"/>
    <col min="3591" max="3591" width="7.5703125" style="254" customWidth="1"/>
    <col min="3592" max="3592" width="8.140625" style="254" customWidth="1"/>
    <col min="3593" max="3593" width="10.7109375" style="254" customWidth="1"/>
    <col min="3594" max="3594" width="6.28515625" style="254" customWidth="1"/>
    <col min="3595" max="3595" width="7.5703125" style="254" customWidth="1"/>
    <col min="3596" max="3596" width="8.140625" style="254" customWidth="1"/>
    <col min="3597" max="3597" width="10.7109375" style="254" customWidth="1"/>
    <col min="3598" max="3598" width="6.7109375" style="254" customWidth="1"/>
    <col min="3599" max="3599" width="7.5703125" style="254" customWidth="1"/>
    <col min="3600" max="3600" width="8.140625" style="254" customWidth="1"/>
    <col min="3601" max="3601" width="10.7109375" style="254" customWidth="1"/>
    <col min="3602" max="3602" width="6.7109375" style="254" customWidth="1"/>
    <col min="3603" max="3603" width="7.5703125" style="254" customWidth="1"/>
    <col min="3604" max="3604" width="8.140625" style="254" customWidth="1"/>
    <col min="3605" max="3605" width="10.7109375" style="254" customWidth="1"/>
    <col min="3606" max="3608" width="6.7109375" style="254" customWidth="1"/>
    <col min="3609" max="3609" width="11.42578125" style="254" customWidth="1"/>
    <col min="3610" max="3612" width="6.7109375" style="254" customWidth="1"/>
    <col min="3613" max="3613" width="11.42578125" style="254"/>
    <col min="3614" max="3614" width="1.5703125" style="254" customWidth="1"/>
    <col min="3615" max="3839" width="11.42578125" style="254"/>
    <col min="3840" max="3840" width="15.28515625" style="254" customWidth="1"/>
    <col min="3841" max="3841" width="13" style="254" bestFit="1" customWidth="1"/>
    <col min="3842" max="3842" width="6.28515625" style="254" customWidth="1"/>
    <col min="3843" max="3843" width="7.5703125" style="254" customWidth="1"/>
    <col min="3844" max="3844" width="8" style="254" customWidth="1"/>
    <col min="3845" max="3845" width="10.7109375" style="254" customWidth="1"/>
    <col min="3846" max="3846" width="6.28515625" style="254" customWidth="1"/>
    <col min="3847" max="3847" width="7.5703125" style="254" customWidth="1"/>
    <col min="3848" max="3848" width="8.140625" style="254" customWidth="1"/>
    <col min="3849" max="3849" width="10.7109375" style="254" customWidth="1"/>
    <col min="3850" max="3850" width="6.28515625" style="254" customWidth="1"/>
    <col min="3851" max="3851" width="7.5703125" style="254" customWidth="1"/>
    <col min="3852" max="3852" width="8.140625" style="254" customWidth="1"/>
    <col min="3853" max="3853" width="10.7109375" style="254" customWidth="1"/>
    <col min="3854" max="3854" width="6.7109375" style="254" customWidth="1"/>
    <col min="3855" max="3855" width="7.5703125" style="254" customWidth="1"/>
    <col min="3856" max="3856" width="8.140625" style="254" customWidth="1"/>
    <col min="3857" max="3857" width="10.7109375" style="254" customWidth="1"/>
    <col min="3858" max="3858" width="6.7109375" style="254" customWidth="1"/>
    <col min="3859" max="3859" width="7.5703125" style="254" customWidth="1"/>
    <col min="3860" max="3860" width="8.140625" style="254" customWidth="1"/>
    <col min="3861" max="3861" width="10.7109375" style="254" customWidth="1"/>
    <col min="3862" max="3864" width="6.7109375" style="254" customWidth="1"/>
    <col min="3865" max="3865" width="11.42578125" style="254" customWidth="1"/>
    <col min="3866" max="3868" width="6.7109375" style="254" customWidth="1"/>
    <col min="3869" max="3869" width="11.42578125" style="254"/>
    <col min="3870" max="3870" width="1.5703125" style="254" customWidth="1"/>
    <col min="3871" max="4095" width="11.42578125" style="254"/>
    <col min="4096" max="4096" width="15.28515625" style="254" customWidth="1"/>
    <col min="4097" max="4097" width="13" style="254" bestFit="1" customWidth="1"/>
    <col min="4098" max="4098" width="6.28515625" style="254" customWidth="1"/>
    <col min="4099" max="4099" width="7.5703125" style="254" customWidth="1"/>
    <col min="4100" max="4100" width="8" style="254" customWidth="1"/>
    <col min="4101" max="4101" width="10.7109375" style="254" customWidth="1"/>
    <col min="4102" max="4102" width="6.28515625" style="254" customWidth="1"/>
    <col min="4103" max="4103" width="7.5703125" style="254" customWidth="1"/>
    <col min="4104" max="4104" width="8.140625" style="254" customWidth="1"/>
    <col min="4105" max="4105" width="10.7109375" style="254" customWidth="1"/>
    <col min="4106" max="4106" width="6.28515625" style="254" customWidth="1"/>
    <col min="4107" max="4107" width="7.5703125" style="254" customWidth="1"/>
    <col min="4108" max="4108" width="8.140625" style="254" customWidth="1"/>
    <col min="4109" max="4109" width="10.7109375" style="254" customWidth="1"/>
    <col min="4110" max="4110" width="6.7109375" style="254" customWidth="1"/>
    <col min="4111" max="4111" width="7.5703125" style="254" customWidth="1"/>
    <col min="4112" max="4112" width="8.140625" style="254" customWidth="1"/>
    <col min="4113" max="4113" width="10.7109375" style="254" customWidth="1"/>
    <col min="4114" max="4114" width="6.7109375" style="254" customWidth="1"/>
    <col min="4115" max="4115" width="7.5703125" style="254" customWidth="1"/>
    <col min="4116" max="4116" width="8.140625" style="254" customWidth="1"/>
    <col min="4117" max="4117" width="10.7109375" style="254" customWidth="1"/>
    <col min="4118" max="4120" width="6.7109375" style="254" customWidth="1"/>
    <col min="4121" max="4121" width="11.42578125" style="254" customWidth="1"/>
    <col min="4122" max="4124" width="6.7109375" style="254" customWidth="1"/>
    <col min="4125" max="4125" width="11.42578125" style="254"/>
    <col min="4126" max="4126" width="1.5703125" style="254" customWidth="1"/>
    <col min="4127" max="4351" width="11.42578125" style="254"/>
    <col min="4352" max="4352" width="15.28515625" style="254" customWidth="1"/>
    <col min="4353" max="4353" width="13" style="254" bestFit="1" customWidth="1"/>
    <col min="4354" max="4354" width="6.28515625" style="254" customWidth="1"/>
    <col min="4355" max="4355" width="7.5703125" style="254" customWidth="1"/>
    <col min="4356" max="4356" width="8" style="254" customWidth="1"/>
    <col min="4357" max="4357" width="10.7109375" style="254" customWidth="1"/>
    <col min="4358" max="4358" width="6.28515625" style="254" customWidth="1"/>
    <col min="4359" max="4359" width="7.5703125" style="254" customWidth="1"/>
    <col min="4360" max="4360" width="8.140625" style="254" customWidth="1"/>
    <col min="4361" max="4361" width="10.7109375" style="254" customWidth="1"/>
    <col min="4362" max="4362" width="6.28515625" style="254" customWidth="1"/>
    <col min="4363" max="4363" width="7.5703125" style="254" customWidth="1"/>
    <col min="4364" max="4364" width="8.140625" style="254" customWidth="1"/>
    <col min="4365" max="4365" width="10.7109375" style="254" customWidth="1"/>
    <col min="4366" max="4366" width="6.7109375" style="254" customWidth="1"/>
    <col min="4367" max="4367" width="7.5703125" style="254" customWidth="1"/>
    <col min="4368" max="4368" width="8.140625" style="254" customWidth="1"/>
    <col min="4369" max="4369" width="10.7109375" style="254" customWidth="1"/>
    <col min="4370" max="4370" width="6.7109375" style="254" customWidth="1"/>
    <col min="4371" max="4371" width="7.5703125" style="254" customWidth="1"/>
    <col min="4372" max="4372" width="8.140625" style="254" customWidth="1"/>
    <col min="4373" max="4373" width="10.7109375" style="254" customWidth="1"/>
    <col min="4374" max="4376" width="6.7109375" style="254" customWidth="1"/>
    <col min="4377" max="4377" width="11.42578125" style="254" customWidth="1"/>
    <col min="4378" max="4380" width="6.7109375" style="254" customWidth="1"/>
    <col min="4381" max="4381" width="11.42578125" style="254"/>
    <col min="4382" max="4382" width="1.5703125" style="254" customWidth="1"/>
    <col min="4383" max="4607" width="11.42578125" style="254"/>
    <col min="4608" max="4608" width="15.28515625" style="254" customWidth="1"/>
    <col min="4609" max="4609" width="13" style="254" bestFit="1" customWidth="1"/>
    <col min="4610" max="4610" width="6.28515625" style="254" customWidth="1"/>
    <col min="4611" max="4611" width="7.5703125" style="254" customWidth="1"/>
    <col min="4612" max="4612" width="8" style="254" customWidth="1"/>
    <col min="4613" max="4613" width="10.7109375" style="254" customWidth="1"/>
    <col min="4614" max="4614" width="6.28515625" style="254" customWidth="1"/>
    <col min="4615" max="4615" width="7.5703125" style="254" customWidth="1"/>
    <col min="4616" max="4616" width="8.140625" style="254" customWidth="1"/>
    <col min="4617" max="4617" width="10.7109375" style="254" customWidth="1"/>
    <col min="4618" max="4618" width="6.28515625" style="254" customWidth="1"/>
    <col min="4619" max="4619" width="7.5703125" style="254" customWidth="1"/>
    <col min="4620" max="4620" width="8.140625" style="254" customWidth="1"/>
    <col min="4621" max="4621" width="10.7109375" style="254" customWidth="1"/>
    <col min="4622" max="4622" width="6.7109375" style="254" customWidth="1"/>
    <col min="4623" max="4623" width="7.5703125" style="254" customWidth="1"/>
    <col min="4624" max="4624" width="8.140625" style="254" customWidth="1"/>
    <col min="4625" max="4625" width="10.7109375" style="254" customWidth="1"/>
    <col min="4626" max="4626" width="6.7109375" style="254" customWidth="1"/>
    <col min="4627" max="4627" width="7.5703125" style="254" customWidth="1"/>
    <col min="4628" max="4628" width="8.140625" style="254" customWidth="1"/>
    <col min="4629" max="4629" width="10.7109375" style="254" customWidth="1"/>
    <col min="4630" max="4632" width="6.7109375" style="254" customWidth="1"/>
    <col min="4633" max="4633" width="11.42578125" style="254" customWidth="1"/>
    <col min="4634" max="4636" width="6.7109375" style="254" customWidth="1"/>
    <col min="4637" max="4637" width="11.42578125" style="254"/>
    <col min="4638" max="4638" width="1.5703125" style="254" customWidth="1"/>
    <col min="4639" max="4863" width="11.42578125" style="254"/>
    <col min="4864" max="4864" width="15.28515625" style="254" customWidth="1"/>
    <col min="4865" max="4865" width="13" style="254" bestFit="1" customWidth="1"/>
    <col min="4866" max="4866" width="6.28515625" style="254" customWidth="1"/>
    <col min="4867" max="4867" width="7.5703125" style="254" customWidth="1"/>
    <col min="4868" max="4868" width="8" style="254" customWidth="1"/>
    <col min="4869" max="4869" width="10.7109375" style="254" customWidth="1"/>
    <col min="4870" max="4870" width="6.28515625" style="254" customWidth="1"/>
    <col min="4871" max="4871" width="7.5703125" style="254" customWidth="1"/>
    <col min="4872" max="4872" width="8.140625" style="254" customWidth="1"/>
    <col min="4873" max="4873" width="10.7109375" style="254" customWidth="1"/>
    <col min="4874" max="4874" width="6.28515625" style="254" customWidth="1"/>
    <col min="4875" max="4875" width="7.5703125" style="254" customWidth="1"/>
    <col min="4876" max="4876" width="8.140625" style="254" customWidth="1"/>
    <col min="4877" max="4877" width="10.7109375" style="254" customWidth="1"/>
    <col min="4878" max="4878" width="6.7109375" style="254" customWidth="1"/>
    <col min="4879" max="4879" width="7.5703125" style="254" customWidth="1"/>
    <col min="4880" max="4880" width="8.140625" style="254" customWidth="1"/>
    <col min="4881" max="4881" width="10.7109375" style="254" customWidth="1"/>
    <col min="4882" max="4882" width="6.7109375" style="254" customWidth="1"/>
    <col min="4883" max="4883" width="7.5703125" style="254" customWidth="1"/>
    <col min="4884" max="4884" width="8.140625" style="254" customWidth="1"/>
    <col min="4885" max="4885" width="10.7109375" style="254" customWidth="1"/>
    <col min="4886" max="4888" width="6.7109375" style="254" customWidth="1"/>
    <col min="4889" max="4889" width="11.42578125" style="254" customWidth="1"/>
    <col min="4890" max="4892" width="6.7109375" style="254" customWidth="1"/>
    <col min="4893" max="4893" width="11.42578125" style="254"/>
    <col min="4894" max="4894" width="1.5703125" style="254" customWidth="1"/>
    <col min="4895" max="5119" width="11.42578125" style="254"/>
    <col min="5120" max="5120" width="15.28515625" style="254" customWidth="1"/>
    <col min="5121" max="5121" width="13" style="254" bestFit="1" customWidth="1"/>
    <col min="5122" max="5122" width="6.28515625" style="254" customWidth="1"/>
    <col min="5123" max="5123" width="7.5703125" style="254" customWidth="1"/>
    <col min="5124" max="5124" width="8" style="254" customWidth="1"/>
    <col min="5125" max="5125" width="10.7109375" style="254" customWidth="1"/>
    <col min="5126" max="5126" width="6.28515625" style="254" customWidth="1"/>
    <col min="5127" max="5127" width="7.5703125" style="254" customWidth="1"/>
    <col min="5128" max="5128" width="8.140625" style="254" customWidth="1"/>
    <col min="5129" max="5129" width="10.7109375" style="254" customWidth="1"/>
    <col min="5130" max="5130" width="6.28515625" style="254" customWidth="1"/>
    <col min="5131" max="5131" width="7.5703125" style="254" customWidth="1"/>
    <col min="5132" max="5132" width="8.140625" style="254" customWidth="1"/>
    <col min="5133" max="5133" width="10.7109375" style="254" customWidth="1"/>
    <col min="5134" max="5134" width="6.7109375" style="254" customWidth="1"/>
    <col min="5135" max="5135" width="7.5703125" style="254" customWidth="1"/>
    <col min="5136" max="5136" width="8.140625" style="254" customWidth="1"/>
    <col min="5137" max="5137" width="10.7109375" style="254" customWidth="1"/>
    <col min="5138" max="5138" width="6.7109375" style="254" customWidth="1"/>
    <col min="5139" max="5139" width="7.5703125" style="254" customWidth="1"/>
    <col min="5140" max="5140" width="8.140625" style="254" customWidth="1"/>
    <col min="5141" max="5141" width="10.7109375" style="254" customWidth="1"/>
    <col min="5142" max="5144" width="6.7109375" style="254" customWidth="1"/>
    <col min="5145" max="5145" width="11.42578125" style="254" customWidth="1"/>
    <col min="5146" max="5148" width="6.7109375" style="254" customWidth="1"/>
    <col min="5149" max="5149" width="11.42578125" style="254"/>
    <col min="5150" max="5150" width="1.5703125" style="254" customWidth="1"/>
    <col min="5151" max="5375" width="11.42578125" style="254"/>
    <col min="5376" max="5376" width="15.28515625" style="254" customWidth="1"/>
    <col min="5377" max="5377" width="13" style="254" bestFit="1" customWidth="1"/>
    <col min="5378" max="5378" width="6.28515625" style="254" customWidth="1"/>
    <col min="5379" max="5379" width="7.5703125" style="254" customWidth="1"/>
    <col min="5380" max="5380" width="8" style="254" customWidth="1"/>
    <col min="5381" max="5381" width="10.7109375" style="254" customWidth="1"/>
    <col min="5382" max="5382" width="6.28515625" style="254" customWidth="1"/>
    <col min="5383" max="5383" width="7.5703125" style="254" customWidth="1"/>
    <col min="5384" max="5384" width="8.140625" style="254" customWidth="1"/>
    <col min="5385" max="5385" width="10.7109375" style="254" customWidth="1"/>
    <col min="5386" max="5386" width="6.28515625" style="254" customWidth="1"/>
    <col min="5387" max="5387" width="7.5703125" style="254" customWidth="1"/>
    <col min="5388" max="5388" width="8.140625" style="254" customWidth="1"/>
    <col min="5389" max="5389" width="10.7109375" style="254" customWidth="1"/>
    <col min="5390" max="5390" width="6.7109375" style="254" customWidth="1"/>
    <col min="5391" max="5391" width="7.5703125" style="254" customWidth="1"/>
    <col min="5392" max="5392" width="8.140625" style="254" customWidth="1"/>
    <col min="5393" max="5393" width="10.7109375" style="254" customWidth="1"/>
    <col min="5394" max="5394" width="6.7109375" style="254" customWidth="1"/>
    <col min="5395" max="5395" width="7.5703125" style="254" customWidth="1"/>
    <col min="5396" max="5396" width="8.140625" style="254" customWidth="1"/>
    <col min="5397" max="5397" width="10.7109375" style="254" customWidth="1"/>
    <col min="5398" max="5400" width="6.7109375" style="254" customWidth="1"/>
    <col min="5401" max="5401" width="11.42578125" style="254" customWidth="1"/>
    <col min="5402" max="5404" width="6.7109375" style="254" customWidth="1"/>
    <col min="5405" max="5405" width="11.42578125" style="254"/>
    <col min="5406" max="5406" width="1.5703125" style="254" customWidth="1"/>
    <col min="5407" max="5631" width="11.42578125" style="254"/>
    <col min="5632" max="5632" width="15.28515625" style="254" customWidth="1"/>
    <col min="5633" max="5633" width="13" style="254" bestFit="1" customWidth="1"/>
    <col min="5634" max="5634" width="6.28515625" style="254" customWidth="1"/>
    <col min="5635" max="5635" width="7.5703125" style="254" customWidth="1"/>
    <col min="5636" max="5636" width="8" style="254" customWidth="1"/>
    <col min="5637" max="5637" width="10.7109375" style="254" customWidth="1"/>
    <col min="5638" max="5638" width="6.28515625" style="254" customWidth="1"/>
    <col min="5639" max="5639" width="7.5703125" style="254" customWidth="1"/>
    <col min="5640" max="5640" width="8.140625" style="254" customWidth="1"/>
    <col min="5641" max="5641" width="10.7109375" style="254" customWidth="1"/>
    <col min="5642" max="5642" width="6.28515625" style="254" customWidth="1"/>
    <col min="5643" max="5643" width="7.5703125" style="254" customWidth="1"/>
    <col min="5644" max="5644" width="8.140625" style="254" customWidth="1"/>
    <col min="5645" max="5645" width="10.7109375" style="254" customWidth="1"/>
    <col min="5646" max="5646" width="6.7109375" style="254" customWidth="1"/>
    <col min="5647" max="5647" width="7.5703125" style="254" customWidth="1"/>
    <col min="5648" max="5648" width="8.140625" style="254" customWidth="1"/>
    <col min="5649" max="5649" width="10.7109375" style="254" customWidth="1"/>
    <col min="5650" max="5650" width="6.7109375" style="254" customWidth="1"/>
    <col min="5651" max="5651" width="7.5703125" style="254" customWidth="1"/>
    <col min="5652" max="5652" width="8.140625" style="254" customWidth="1"/>
    <col min="5653" max="5653" width="10.7109375" style="254" customWidth="1"/>
    <col min="5654" max="5656" width="6.7109375" style="254" customWidth="1"/>
    <col min="5657" max="5657" width="11.42578125" style="254" customWidth="1"/>
    <col min="5658" max="5660" width="6.7109375" style="254" customWidth="1"/>
    <col min="5661" max="5661" width="11.42578125" style="254"/>
    <col min="5662" max="5662" width="1.5703125" style="254" customWidth="1"/>
    <col min="5663" max="5887" width="11.42578125" style="254"/>
    <col min="5888" max="5888" width="15.28515625" style="254" customWidth="1"/>
    <col min="5889" max="5889" width="13" style="254" bestFit="1" customWidth="1"/>
    <col min="5890" max="5890" width="6.28515625" style="254" customWidth="1"/>
    <col min="5891" max="5891" width="7.5703125" style="254" customWidth="1"/>
    <col min="5892" max="5892" width="8" style="254" customWidth="1"/>
    <col min="5893" max="5893" width="10.7109375" style="254" customWidth="1"/>
    <col min="5894" max="5894" width="6.28515625" style="254" customWidth="1"/>
    <col min="5895" max="5895" width="7.5703125" style="254" customWidth="1"/>
    <col min="5896" max="5896" width="8.140625" style="254" customWidth="1"/>
    <col min="5897" max="5897" width="10.7109375" style="254" customWidth="1"/>
    <col min="5898" max="5898" width="6.28515625" style="254" customWidth="1"/>
    <col min="5899" max="5899" width="7.5703125" style="254" customWidth="1"/>
    <col min="5900" max="5900" width="8.140625" style="254" customWidth="1"/>
    <col min="5901" max="5901" width="10.7109375" style="254" customWidth="1"/>
    <col min="5902" max="5902" width="6.7109375" style="254" customWidth="1"/>
    <col min="5903" max="5903" width="7.5703125" style="254" customWidth="1"/>
    <col min="5904" max="5904" width="8.140625" style="254" customWidth="1"/>
    <col min="5905" max="5905" width="10.7109375" style="254" customWidth="1"/>
    <col min="5906" max="5906" width="6.7109375" style="254" customWidth="1"/>
    <col min="5907" max="5907" width="7.5703125" style="254" customWidth="1"/>
    <col min="5908" max="5908" width="8.140625" style="254" customWidth="1"/>
    <col min="5909" max="5909" width="10.7109375" style="254" customWidth="1"/>
    <col min="5910" max="5912" width="6.7109375" style="254" customWidth="1"/>
    <col min="5913" max="5913" width="11.42578125" style="254" customWidth="1"/>
    <col min="5914" max="5916" width="6.7109375" style="254" customWidth="1"/>
    <col min="5917" max="5917" width="11.42578125" style="254"/>
    <col min="5918" max="5918" width="1.5703125" style="254" customWidth="1"/>
    <col min="5919" max="6143" width="11.42578125" style="254"/>
    <col min="6144" max="6144" width="15.28515625" style="254" customWidth="1"/>
    <col min="6145" max="6145" width="13" style="254" bestFit="1" customWidth="1"/>
    <col min="6146" max="6146" width="6.28515625" style="254" customWidth="1"/>
    <col min="6147" max="6147" width="7.5703125" style="254" customWidth="1"/>
    <col min="6148" max="6148" width="8" style="254" customWidth="1"/>
    <col min="6149" max="6149" width="10.7109375" style="254" customWidth="1"/>
    <col min="6150" max="6150" width="6.28515625" style="254" customWidth="1"/>
    <col min="6151" max="6151" width="7.5703125" style="254" customWidth="1"/>
    <col min="6152" max="6152" width="8.140625" style="254" customWidth="1"/>
    <col min="6153" max="6153" width="10.7109375" style="254" customWidth="1"/>
    <col min="6154" max="6154" width="6.28515625" style="254" customWidth="1"/>
    <col min="6155" max="6155" width="7.5703125" style="254" customWidth="1"/>
    <col min="6156" max="6156" width="8.140625" style="254" customWidth="1"/>
    <col min="6157" max="6157" width="10.7109375" style="254" customWidth="1"/>
    <col min="6158" max="6158" width="6.7109375" style="254" customWidth="1"/>
    <col min="6159" max="6159" width="7.5703125" style="254" customWidth="1"/>
    <col min="6160" max="6160" width="8.140625" style="254" customWidth="1"/>
    <col min="6161" max="6161" width="10.7109375" style="254" customWidth="1"/>
    <col min="6162" max="6162" width="6.7109375" style="254" customWidth="1"/>
    <col min="6163" max="6163" width="7.5703125" style="254" customWidth="1"/>
    <col min="6164" max="6164" width="8.140625" style="254" customWidth="1"/>
    <col min="6165" max="6165" width="10.7109375" style="254" customWidth="1"/>
    <col min="6166" max="6168" width="6.7109375" style="254" customWidth="1"/>
    <col min="6169" max="6169" width="11.42578125" style="254" customWidth="1"/>
    <col min="6170" max="6172" width="6.7109375" style="254" customWidth="1"/>
    <col min="6173" max="6173" width="11.42578125" style="254"/>
    <col min="6174" max="6174" width="1.5703125" style="254" customWidth="1"/>
    <col min="6175" max="6399" width="11.42578125" style="254"/>
    <col min="6400" max="6400" width="15.28515625" style="254" customWidth="1"/>
    <col min="6401" max="6401" width="13" style="254" bestFit="1" customWidth="1"/>
    <col min="6402" max="6402" width="6.28515625" style="254" customWidth="1"/>
    <col min="6403" max="6403" width="7.5703125" style="254" customWidth="1"/>
    <col min="6404" max="6404" width="8" style="254" customWidth="1"/>
    <col min="6405" max="6405" width="10.7109375" style="254" customWidth="1"/>
    <col min="6406" max="6406" width="6.28515625" style="254" customWidth="1"/>
    <col min="6407" max="6407" width="7.5703125" style="254" customWidth="1"/>
    <col min="6408" max="6408" width="8.140625" style="254" customWidth="1"/>
    <col min="6409" max="6409" width="10.7109375" style="254" customWidth="1"/>
    <col min="6410" max="6410" width="6.28515625" style="254" customWidth="1"/>
    <col min="6411" max="6411" width="7.5703125" style="254" customWidth="1"/>
    <col min="6412" max="6412" width="8.140625" style="254" customWidth="1"/>
    <col min="6413" max="6413" width="10.7109375" style="254" customWidth="1"/>
    <col min="6414" max="6414" width="6.7109375" style="254" customWidth="1"/>
    <col min="6415" max="6415" width="7.5703125" style="254" customWidth="1"/>
    <col min="6416" max="6416" width="8.140625" style="254" customWidth="1"/>
    <col min="6417" max="6417" width="10.7109375" style="254" customWidth="1"/>
    <col min="6418" max="6418" width="6.7109375" style="254" customWidth="1"/>
    <col min="6419" max="6419" width="7.5703125" style="254" customWidth="1"/>
    <col min="6420" max="6420" width="8.140625" style="254" customWidth="1"/>
    <col min="6421" max="6421" width="10.7109375" style="254" customWidth="1"/>
    <col min="6422" max="6424" width="6.7109375" style="254" customWidth="1"/>
    <col min="6425" max="6425" width="11.42578125" style="254" customWidth="1"/>
    <col min="6426" max="6428" width="6.7109375" style="254" customWidth="1"/>
    <col min="6429" max="6429" width="11.42578125" style="254"/>
    <col min="6430" max="6430" width="1.5703125" style="254" customWidth="1"/>
    <col min="6431" max="6655" width="11.42578125" style="254"/>
    <col min="6656" max="6656" width="15.28515625" style="254" customWidth="1"/>
    <col min="6657" max="6657" width="13" style="254" bestFit="1" customWidth="1"/>
    <col min="6658" max="6658" width="6.28515625" style="254" customWidth="1"/>
    <col min="6659" max="6659" width="7.5703125" style="254" customWidth="1"/>
    <col min="6660" max="6660" width="8" style="254" customWidth="1"/>
    <col min="6661" max="6661" width="10.7109375" style="254" customWidth="1"/>
    <col min="6662" max="6662" width="6.28515625" style="254" customWidth="1"/>
    <col min="6663" max="6663" width="7.5703125" style="254" customWidth="1"/>
    <col min="6664" max="6664" width="8.140625" style="254" customWidth="1"/>
    <col min="6665" max="6665" width="10.7109375" style="254" customWidth="1"/>
    <col min="6666" max="6666" width="6.28515625" style="254" customWidth="1"/>
    <col min="6667" max="6667" width="7.5703125" style="254" customWidth="1"/>
    <col min="6668" max="6668" width="8.140625" style="254" customWidth="1"/>
    <col min="6669" max="6669" width="10.7109375" style="254" customWidth="1"/>
    <col min="6670" max="6670" width="6.7109375" style="254" customWidth="1"/>
    <col min="6671" max="6671" width="7.5703125" style="254" customWidth="1"/>
    <col min="6672" max="6672" width="8.140625" style="254" customWidth="1"/>
    <col min="6673" max="6673" width="10.7109375" style="254" customWidth="1"/>
    <col min="6674" max="6674" width="6.7109375" style="254" customWidth="1"/>
    <col min="6675" max="6675" width="7.5703125" style="254" customWidth="1"/>
    <col min="6676" max="6676" width="8.140625" style="254" customWidth="1"/>
    <col min="6677" max="6677" width="10.7109375" style="254" customWidth="1"/>
    <col min="6678" max="6680" width="6.7109375" style="254" customWidth="1"/>
    <col min="6681" max="6681" width="11.42578125" style="254" customWidth="1"/>
    <col min="6682" max="6684" width="6.7109375" style="254" customWidth="1"/>
    <col min="6685" max="6685" width="11.42578125" style="254"/>
    <col min="6686" max="6686" width="1.5703125" style="254" customWidth="1"/>
    <col min="6687" max="6911" width="11.42578125" style="254"/>
    <col min="6912" max="6912" width="15.28515625" style="254" customWidth="1"/>
    <col min="6913" max="6913" width="13" style="254" bestFit="1" customWidth="1"/>
    <col min="6914" max="6914" width="6.28515625" style="254" customWidth="1"/>
    <col min="6915" max="6915" width="7.5703125" style="254" customWidth="1"/>
    <col min="6916" max="6916" width="8" style="254" customWidth="1"/>
    <col min="6917" max="6917" width="10.7109375" style="254" customWidth="1"/>
    <col min="6918" max="6918" width="6.28515625" style="254" customWidth="1"/>
    <col min="6919" max="6919" width="7.5703125" style="254" customWidth="1"/>
    <col min="6920" max="6920" width="8.140625" style="254" customWidth="1"/>
    <col min="6921" max="6921" width="10.7109375" style="254" customWidth="1"/>
    <col min="6922" max="6922" width="6.28515625" style="254" customWidth="1"/>
    <col min="6923" max="6923" width="7.5703125" style="254" customWidth="1"/>
    <col min="6924" max="6924" width="8.140625" style="254" customWidth="1"/>
    <col min="6925" max="6925" width="10.7109375" style="254" customWidth="1"/>
    <col min="6926" max="6926" width="6.7109375" style="254" customWidth="1"/>
    <col min="6927" max="6927" width="7.5703125" style="254" customWidth="1"/>
    <col min="6928" max="6928" width="8.140625" style="254" customWidth="1"/>
    <col min="6929" max="6929" width="10.7109375" style="254" customWidth="1"/>
    <col min="6930" max="6930" width="6.7109375" style="254" customWidth="1"/>
    <col min="6931" max="6931" width="7.5703125" style="254" customWidth="1"/>
    <col min="6932" max="6932" width="8.140625" style="254" customWidth="1"/>
    <col min="6933" max="6933" width="10.7109375" style="254" customWidth="1"/>
    <col min="6934" max="6936" width="6.7109375" style="254" customWidth="1"/>
    <col min="6937" max="6937" width="11.42578125" style="254" customWidth="1"/>
    <col min="6938" max="6940" width="6.7109375" style="254" customWidth="1"/>
    <col min="6941" max="6941" width="11.42578125" style="254"/>
    <col min="6942" max="6942" width="1.5703125" style="254" customWidth="1"/>
    <col min="6943" max="7167" width="11.42578125" style="254"/>
    <col min="7168" max="7168" width="15.28515625" style="254" customWidth="1"/>
    <col min="7169" max="7169" width="13" style="254" bestFit="1" customWidth="1"/>
    <col min="7170" max="7170" width="6.28515625" style="254" customWidth="1"/>
    <col min="7171" max="7171" width="7.5703125" style="254" customWidth="1"/>
    <col min="7172" max="7172" width="8" style="254" customWidth="1"/>
    <col min="7173" max="7173" width="10.7109375" style="254" customWidth="1"/>
    <col min="7174" max="7174" width="6.28515625" style="254" customWidth="1"/>
    <col min="7175" max="7175" width="7.5703125" style="254" customWidth="1"/>
    <col min="7176" max="7176" width="8.140625" style="254" customWidth="1"/>
    <col min="7177" max="7177" width="10.7109375" style="254" customWidth="1"/>
    <col min="7178" max="7178" width="6.28515625" style="254" customWidth="1"/>
    <col min="7179" max="7179" width="7.5703125" style="254" customWidth="1"/>
    <col min="7180" max="7180" width="8.140625" style="254" customWidth="1"/>
    <col min="7181" max="7181" width="10.7109375" style="254" customWidth="1"/>
    <col min="7182" max="7182" width="6.7109375" style="254" customWidth="1"/>
    <col min="7183" max="7183" width="7.5703125" style="254" customWidth="1"/>
    <col min="7184" max="7184" width="8.140625" style="254" customWidth="1"/>
    <col min="7185" max="7185" width="10.7109375" style="254" customWidth="1"/>
    <col min="7186" max="7186" width="6.7109375" style="254" customWidth="1"/>
    <col min="7187" max="7187" width="7.5703125" style="254" customWidth="1"/>
    <col min="7188" max="7188" width="8.140625" style="254" customWidth="1"/>
    <col min="7189" max="7189" width="10.7109375" style="254" customWidth="1"/>
    <col min="7190" max="7192" width="6.7109375" style="254" customWidth="1"/>
    <col min="7193" max="7193" width="11.42578125" style="254" customWidth="1"/>
    <col min="7194" max="7196" width="6.7109375" style="254" customWidth="1"/>
    <col min="7197" max="7197" width="11.42578125" style="254"/>
    <col min="7198" max="7198" width="1.5703125" style="254" customWidth="1"/>
    <col min="7199" max="7423" width="11.42578125" style="254"/>
    <col min="7424" max="7424" width="15.28515625" style="254" customWidth="1"/>
    <col min="7425" max="7425" width="13" style="254" bestFit="1" customWidth="1"/>
    <col min="7426" max="7426" width="6.28515625" style="254" customWidth="1"/>
    <col min="7427" max="7427" width="7.5703125" style="254" customWidth="1"/>
    <col min="7428" max="7428" width="8" style="254" customWidth="1"/>
    <col min="7429" max="7429" width="10.7109375" style="254" customWidth="1"/>
    <col min="7430" max="7430" width="6.28515625" style="254" customWidth="1"/>
    <col min="7431" max="7431" width="7.5703125" style="254" customWidth="1"/>
    <col min="7432" max="7432" width="8.140625" style="254" customWidth="1"/>
    <col min="7433" max="7433" width="10.7109375" style="254" customWidth="1"/>
    <col min="7434" max="7434" width="6.28515625" style="254" customWidth="1"/>
    <col min="7435" max="7435" width="7.5703125" style="254" customWidth="1"/>
    <col min="7436" max="7436" width="8.140625" style="254" customWidth="1"/>
    <col min="7437" max="7437" width="10.7109375" style="254" customWidth="1"/>
    <col min="7438" max="7438" width="6.7109375" style="254" customWidth="1"/>
    <col min="7439" max="7439" width="7.5703125" style="254" customWidth="1"/>
    <col min="7440" max="7440" width="8.140625" style="254" customWidth="1"/>
    <col min="7441" max="7441" width="10.7109375" style="254" customWidth="1"/>
    <col min="7442" max="7442" width="6.7109375" style="254" customWidth="1"/>
    <col min="7443" max="7443" width="7.5703125" style="254" customWidth="1"/>
    <col min="7444" max="7444" width="8.140625" style="254" customWidth="1"/>
    <col min="7445" max="7445" width="10.7109375" style="254" customWidth="1"/>
    <col min="7446" max="7448" width="6.7109375" style="254" customWidth="1"/>
    <col min="7449" max="7449" width="11.42578125" style="254" customWidth="1"/>
    <col min="7450" max="7452" width="6.7109375" style="254" customWidth="1"/>
    <col min="7453" max="7453" width="11.42578125" style="254"/>
    <col min="7454" max="7454" width="1.5703125" style="254" customWidth="1"/>
    <col min="7455" max="7679" width="11.42578125" style="254"/>
    <col min="7680" max="7680" width="15.28515625" style="254" customWidth="1"/>
    <col min="7681" max="7681" width="13" style="254" bestFit="1" customWidth="1"/>
    <col min="7682" max="7682" width="6.28515625" style="254" customWidth="1"/>
    <col min="7683" max="7683" width="7.5703125" style="254" customWidth="1"/>
    <col min="7684" max="7684" width="8" style="254" customWidth="1"/>
    <col min="7685" max="7685" width="10.7109375" style="254" customWidth="1"/>
    <col min="7686" max="7686" width="6.28515625" style="254" customWidth="1"/>
    <col min="7687" max="7687" width="7.5703125" style="254" customWidth="1"/>
    <col min="7688" max="7688" width="8.140625" style="254" customWidth="1"/>
    <col min="7689" max="7689" width="10.7109375" style="254" customWidth="1"/>
    <col min="7690" max="7690" width="6.28515625" style="254" customWidth="1"/>
    <col min="7691" max="7691" width="7.5703125" style="254" customWidth="1"/>
    <col min="7692" max="7692" width="8.140625" style="254" customWidth="1"/>
    <col min="7693" max="7693" width="10.7109375" style="254" customWidth="1"/>
    <col min="7694" max="7694" width="6.7109375" style="254" customWidth="1"/>
    <col min="7695" max="7695" width="7.5703125" style="254" customWidth="1"/>
    <col min="7696" max="7696" width="8.140625" style="254" customWidth="1"/>
    <col min="7697" max="7697" width="10.7109375" style="254" customWidth="1"/>
    <col min="7698" max="7698" width="6.7109375" style="254" customWidth="1"/>
    <col min="7699" max="7699" width="7.5703125" style="254" customWidth="1"/>
    <col min="7700" max="7700" width="8.140625" style="254" customWidth="1"/>
    <col min="7701" max="7701" width="10.7109375" style="254" customWidth="1"/>
    <col min="7702" max="7704" width="6.7109375" style="254" customWidth="1"/>
    <col min="7705" max="7705" width="11.42578125" style="254" customWidth="1"/>
    <col min="7706" max="7708" width="6.7109375" style="254" customWidth="1"/>
    <col min="7709" max="7709" width="11.42578125" style="254"/>
    <col min="7710" max="7710" width="1.5703125" style="254" customWidth="1"/>
    <col min="7711" max="7935" width="11.42578125" style="254"/>
    <col min="7936" max="7936" width="15.28515625" style="254" customWidth="1"/>
    <col min="7937" max="7937" width="13" style="254" bestFit="1" customWidth="1"/>
    <col min="7938" max="7938" width="6.28515625" style="254" customWidth="1"/>
    <col min="7939" max="7939" width="7.5703125" style="254" customWidth="1"/>
    <col min="7940" max="7940" width="8" style="254" customWidth="1"/>
    <col min="7941" max="7941" width="10.7109375" style="254" customWidth="1"/>
    <col min="7942" max="7942" width="6.28515625" style="254" customWidth="1"/>
    <col min="7943" max="7943" width="7.5703125" style="254" customWidth="1"/>
    <col min="7944" max="7944" width="8.140625" style="254" customWidth="1"/>
    <col min="7945" max="7945" width="10.7109375" style="254" customWidth="1"/>
    <col min="7946" max="7946" width="6.28515625" style="254" customWidth="1"/>
    <col min="7947" max="7947" width="7.5703125" style="254" customWidth="1"/>
    <col min="7948" max="7948" width="8.140625" style="254" customWidth="1"/>
    <col min="7949" max="7949" width="10.7109375" style="254" customWidth="1"/>
    <col min="7950" max="7950" width="6.7109375" style="254" customWidth="1"/>
    <col min="7951" max="7951" width="7.5703125" style="254" customWidth="1"/>
    <col min="7952" max="7952" width="8.140625" style="254" customWidth="1"/>
    <col min="7953" max="7953" width="10.7109375" style="254" customWidth="1"/>
    <col min="7954" max="7954" width="6.7109375" style="254" customWidth="1"/>
    <col min="7955" max="7955" width="7.5703125" style="254" customWidth="1"/>
    <col min="7956" max="7956" width="8.140625" style="254" customWidth="1"/>
    <col min="7957" max="7957" width="10.7109375" style="254" customWidth="1"/>
    <col min="7958" max="7960" width="6.7109375" style="254" customWidth="1"/>
    <col min="7961" max="7961" width="11.42578125" style="254" customWidth="1"/>
    <col min="7962" max="7964" width="6.7109375" style="254" customWidth="1"/>
    <col min="7965" max="7965" width="11.42578125" style="254"/>
    <col min="7966" max="7966" width="1.5703125" style="254" customWidth="1"/>
    <col min="7967" max="8191" width="11.42578125" style="254"/>
    <col min="8192" max="8192" width="15.28515625" style="254" customWidth="1"/>
    <col min="8193" max="8193" width="13" style="254" bestFit="1" customWidth="1"/>
    <col min="8194" max="8194" width="6.28515625" style="254" customWidth="1"/>
    <col min="8195" max="8195" width="7.5703125" style="254" customWidth="1"/>
    <col min="8196" max="8196" width="8" style="254" customWidth="1"/>
    <col min="8197" max="8197" width="10.7109375" style="254" customWidth="1"/>
    <col min="8198" max="8198" width="6.28515625" style="254" customWidth="1"/>
    <col min="8199" max="8199" width="7.5703125" style="254" customWidth="1"/>
    <col min="8200" max="8200" width="8.140625" style="254" customWidth="1"/>
    <col min="8201" max="8201" width="10.7109375" style="254" customWidth="1"/>
    <col min="8202" max="8202" width="6.28515625" style="254" customWidth="1"/>
    <col min="8203" max="8203" width="7.5703125" style="254" customWidth="1"/>
    <col min="8204" max="8204" width="8.140625" style="254" customWidth="1"/>
    <col min="8205" max="8205" width="10.7109375" style="254" customWidth="1"/>
    <col min="8206" max="8206" width="6.7109375" style="254" customWidth="1"/>
    <col min="8207" max="8207" width="7.5703125" style="254" customWidth="1"/>
    <col min="8208" max="8208" width="8.140625" style="254" customWidth="1"/>
    <col min="8209" max="8209" width="10.7109375" style="254" customWidth="1"/>
    <col min="8210" max="8210" width="6.7109375" style="254" customWidth="1"/>
    <col min="8211" max="8211" width="7.5703125" style="254" customWidth="1"/>
    <col min="8212" max="8212" width="8.140625" style="254" customWidth="1"/>
    <col min="8213" max="8213" width="10.7109375" style="254" customWidth="1"/>
    <col min="8214" max="8216" width="6.7109375" style="254" customWidth="1"/>
    <col min="8217" max="8217" width="11.42578125" style="254" customWidth="1"/>
    <col min="8218" max="8220" width="6.7109375" style="254" customWidth="1"/>
    <col min="8221" max="8221" width="11.42578125" style="254"/>
    <col min="8222" max="8222" width="1.5703125" style="254" customWidth="1"/>
    <col min="8223" max="8447" width="11.42578125" style="254"/>
    <col min="8448" max="8448" width="15.28515625" style="254" customWidth="1"/>
    <col min="8449" max="8449" width="13" style="254" bestFit="1" customWidth="1"/>
    <col min="8450" max="8450" width="6.28515625" style="254" customWidth="1"/>
    <col min="8451" max="8451" width="7.5703125" style="254" customWidth="1"/>
    <col min="8452" max="8452" width="8" style="254" customWidth="1"/>
    <col min="8453" max="8453" width="10.7109375" style="254" customWidth="1"/>
    <col min="8454" max="8454" width="6.28515625" style="254" customWidth="1"/>
    <col min="8455" max="8455" width="7.5703125" style="254" customWidth="1"/>
    <col min="8456" max="8456" width="8.140625" style="254" customWidth="1"/>
    <col min="8457" max="8457" width="10.7109375" style="254" customWidth="1"/>
    <col min="8458" max="8458" width="6.28515625" style="254" customWidth="1"/>
    <col min="8459" max="8459" width="7.5703125" style="254" customWidth="1"/>
    <col min="8460" max="8460" width="8.140625" style="254" customWidth="1"/>
    <col min="8461" max="8461" width="10.7109375" style="254" customWidth="1"/>
    <col min="8462" max="8462" width="6.7109375" style="254" customWidth="1"/>
    <col min="8463" max="8463" width="7.5703125" style="254" customWidth="1"/>
    <col min="8464" max="8464" width="8.140625" style="254" customWidth="1"/>
    <col min="8465" max="8465" width="10.7109375" style="254" customWidth="1"/>
    <col min="8466" max="8466" width="6.7109375" style="254" customWidth="1"/>
    <col min="8467" max="8467" width="7.5703125" style="254" customWidth="1"/>
    <col min="8468" max="8468" width="8.140625" style="254" customWidth="1"/>
    <col min="8469" max="8469" width="10.7109375" style="254" customWidth="1"/>
    <col min="8470" max="8472" width="6.7109375" style="254" customWidth="1"/>
    <col min="8473" max="8473" width="11.42578125" style="254" customWidth="1"/>
    <col min="8474" max="8476" width="6.7109375" style="254" customWidth="1"/>
    <col min="8477" max="8477" width="11.42578125" style="254"/>
    <col min="8478" max="8478" width="1.5703125" style="254" customWidth="1"/>
    <col min="8479" max="8703" width="11.42578125" style="254"/>
    <col min="8704" max="8704" width="15.28515625" style="254" customWidth="1"/>
    <col min="8705" max="8705" width="13" style="254" bestFit="1" customWidth="1"/>
    <col min="8706" max="8706" width="6.28515625" style="254" customWidth="1"/>
    <col min="8707" max="8707" width="7.5703125" style="254" customWidth="1"/>
    <col min="8708" max="8708" width="8" style="254" customWidth="1"/>
    <col min="8709" max="8709" width="10.7109375" style="254" customWidth="1"/>
    <col min="8710" max="8710" width="6.28515625" style="254" customWidth="1"/>
    <col min="8711" max="8711" width="7.5703125" style="254" customWidth="1"/>
    <col min="8712" max="8712" width="8.140625" style="254" customWidth="1"/>
    <col min="8713" max="8713" width="10.7109375" style="254" customWidth="1"/>
    <col min="8714" max="8714" width="6.28515625" style="254" customWidth="1"/>
    <col min="8715" max="8715" width="7.5703125" style="254" customWidth="1"/>
    <col min="8716" max="8716" width="8.140625" style="254" customWidth="1"/>
    <col min="8717" max="8717" width="10.7109375" style="254" customWidth="1"/>
    <col min="8718" max="8718" width="6.7109375" style="254" customWidth="1"/>
    <col min="8719" max="8719" width="7.5703125" style="254" customWidth="1"/>
    <col min="8720" max="8720" width="8.140625" style="254" customWidth="1"/>
    <col min="8721" max="8721" width="10.7109375" style="254" customWidth="1"/>
    <col min="8722" max="8722" width="6.7109375" style="254" customWidth="1"/>
    <col min="8723" max="8723" width="7.5703125" style="254" customWidth="1"/>
    <col min="8724" max="8724" width="8.140625" style="254" customWidth="1"/>
    <col min="8725" max="8725" width="10.7109375" style="254" customWidth="1"/>
    <col min="8726" max="8728" width="6.7109375" style="254" customWidth="1"/>
    <col min="8729" max="8729" width="11.42578125" style="254" customWidth="1"/>
    <col min="8730" max="8732" width="6.7109375" style="254" customWidth="1"/>
    <col min="8733" max="8733" width="11.42578125" style="254"/>
    <col min="8734" max="8734" width="1.5703125" style="254" customWidth="1"/>
    <col min="8735" max="8959" width="11.42578125" style="254"/>
    <col min="8960" max="8960" width="15.28515625" style="254" customWidth="1"/>
    <col min="8961" max="8961" width="13" style="254" bestFit="1" customWidth="1"/>
    <col min="8962" max="8962" width="6.28515625" style="254" customWidth="1"/>
    <col min="8963" max="8963" width="7.5703125" style="254" customWidth="1"/>
    <col min="8964" max="8964" width="8" style="254" customWidth="1"/>
    <col min="8965" max="8965" width="10.7109375" style="254" customWidth="1"/>
    <col min="8966" max="8966" width="6.28515625" style="254" customWidth="1"/>
    <col min="8967" max="8967" width="7.5703125" style="254" customWidth="1"/>
    <col min="8968" max="8968" width="8.140625" style="254" customWidth="1"/>
    <col min="8969" max="8969" width="10.7109375" style="254" customWidth="1"/>
    <col min="8970" max="8970" width="6.28515625" style="254" customWidth="1"/>
    <col min="8971" max="8971" width="7.5703125" style="254" customWidth="1"/>
    <col min="8972" max="8972" width="8.140625" style="254" customWidth="1"/>
    <col min="8973" max="8973" width="10.7109375" style="254" customWidth="1"/>
    <col min="8974" max="8974" width="6.7109375" style="254" customWidth="1"/>
    <col min="8975" max="8975" width="7.5703125" style="254" customWidth="1"/>
    <col min="8976" max="8976" width="8.140625" style="254" customWidth="1"/>
    <col min="8977" max="8977" width="10.7109375" style="254" customWidth="1"/>
    <col min="8978" max="8978" width="6.7109375" style="254" customWidth="1"/>
    <col min="8979" max="8979" width="7.5703125" style="254" customWidth="1"/>
    <col min="8980" max="8980" width="8.140625" style="254" customWidth="1"/>
    <col min="8981" max="8981" width="10.7109375" style="254" customWidth="1"/>
    <col min="8982" max="8984" width="6.7109375" style="254" customWidth="1"/>
    <col min="8985" max="8985" width="11.42578125" style="254" customWidth="1"/>
    <col min="8986" max="8988" width="6.7109375" style="254" customWidth="1"/>
    <col min="8989" max="8989" width="11.42578125" style="254"/>
    <col min="8990" max="8990" width="1.5703125" style="254" customWidth="1"/>
    <col min="8991" max="9215" width="11.42578125" style="254"/>
    <col min="9216" max="9216" width="15.28515625" style="254" customWidth="1"/>
    <col min="9217" max="9217" width="13" style="254" bestFit="1" customWidth="1"/>
    <col min="9218" max="9218" width="6.28515625" style="254" customWidth="1"/>
    <col min="9219" max="9219" width="7.5703125" style="254" customWidth="1"/>
    <col min="9220" max="9220" width="8" style="254" customWidth="1"/>
    <col min="9221" max="9221" width="10.7109375" style="254" customWidth="1"/>
    <col min="9222" max="9222" width="6.28515625" style="254" customWidth="1"/>
    <col min="9223" max="9223" width="7.5703125" style="254" customWidth="1"/>
    <col min="9224" max="9224" width="8.140625" style="254" customWidth="1"/>
    <col min="9225" max="9225" width="10.7109375" style="254" customWidth="1"/>
    <col min="9226" max="9226" width="6.28515625" style="254" customWidth="1"/>
    <col min="9227" max="9227" width="7.5703125" style="254" customWidth="1"/>
    <col min="9228" max="9228" width="8.140625" style="254" customWidth="1"/>
    <col min="9229" max="9229" width="10.7109375" style="254" customWidth="1"/>
    <col min="9230" max="9230" width="6.7109375" style="254" customWidth="1"/>
    <col min="9231" max="9231" width="7.5703125" style="254" customWidth="1"/>
    <col min="9232" max="9232" width="8.140625" style="254" customWidth="1"/>
    <col min="9233" max="9233" width="10.7109375" style="254" customWidth="1"/>
    <col min="9234" max="9234" width="6.7109375" style="254" customWidth="1"/>
    <col min="9235" max="9235" width="7.5703125" style="254" customWidth="1"/>
    <col min="9236" max="9236" width="8.140625" style="254" customWidth="1"/>
    <col min="9237" max="9237" width="10.7109375" style="254" customWidth="1"/>
    <col min="9238" max="9240" width="6.7109375" style="254" customWidth="1"/>
    <col min="9241" max="9241" width="11.42578125" style="254" customWidth="1"/>
    <col min="9242" max="9244" width="6.7109375" style="254" customWidth="1"/>
    <col min="9245" max="9245" width="11.42578125" style="254"/>
    <col min="9246" max="9246" width="1.5703125" style="254" customWidth="1"/>
    <col min="9247" max="9471" width="11.42578125" style="254"/>
    <col min="9472" max="9472" width="15.28515625" style="254" customWidth="1"/>
    <col min="9473" max="9473" width="13" style="254" bestFit="1" customWidth="1"/>
    <col min="9474" max="9474" width="6.28515625" style="254" customWidth="1"/>
    <col min="9475" max="9475" width="7.5703125" style="254" customWidth="1"/>
    <col min="9476" max="9476" width="8" style="254" customWidth="1"/>
    <col min="9477" max="9477" width="10.7109375" style="254" customWidth="1"/>
    <col min="9478" max="9478" width="6.28515625" style="254" customWidth="1"/>
    <col min="9479" max="9479" width="7.5703125" style="254" customWidth="1"/>
    <col min="9480" max="9480" width="8.140625" style="254" customWidth="1"/>
    <col min="9481" max="9481" width="10.7109375" style="254" customWidth="1"/>
    <col min="9482" max="9482" width="6.28515625" style="254" customWidth="1"/>
    <col min="9483" max="9483" width="7.5703125" style="254" customWidth="1"/>
    <col min="9484" max="9484" width="8.140625" style="254" customWidth="1"/>
    <col min="9485" max="9485" width="10.7109375" style="254" customWidth="1"/>
    <col min="9486" max="9486" width="6.7109375" style="254" customWidth="1"/>
    <col min="9487" max="9487" width="7.5703125" style="254" customWidth="1"/>
    <col min="9488" max="9488" width="8.140625" style="254" customWidth="1"/>
    <col min="9489" max="9489" width="10.7109375" style="254" customWidth="1"/>
    <col min="9490" max="9490" width="6.7109375" style="254" customWidth="1"/>
    <col min="9491" max="9491" width="7.5703125" style="254" customWidth="1"/>
    <col min="9492" max="9492" width="8.140625" style="254" customWidth="1"/>
    <col min="9493" max="9493" width="10.7109375" style="254" customWidth="1"/>
    <col min="9494" max="9496" width="6.7109375" style="254" customWidth="1"/>
    <col min="9497" max="9497" width="11.42578125" style="254" customWidth="1"/>
    <col min="9498" max="9500" width="6.7109375" style="254" customWidth="1"/>
    <col min="9501" max="9501" width="11.42578125" style="254"/>
    <col min="9502" max="9502" width="1.5703125" style="254" customWidth="1"/>
    <col min="9503" max="9727" width="11.42578125" style="254"/>
    <col min="9728" max="9728" width="15.28515625" style="254" customWidth="1"/>
    <col min="9729" max="9729" width="13" style="254" bestFit="1" customWidth="1"/>
    <col min="9730" max="9730" width="6.28515625" style="254" customWidth="1"/>
    <col min="9731" max="9731" width="7.5703125" style="254" customWidth="1"/>
    <col min="9732" max="9732" width="8" style="254" customWidth="1"/>
    <col min="9733" max="9733" width="10.7109375" style="254" customWidth="1"/>
    <col min="9734" max="9734" width="6.28515625" style="254" customWidth="1"/>
    <col min="9735" max="9735" width="7.5703125" style="254" customWidth="1"/>
    <col min="9736" max="9736" width="8.140625" style="254" customWidth="1"/>
    <col min="9737" max="9737" width="10.7109375" style="254" customWidth="1"/>
    <col min="9738" max="9738" width="6.28515625" style="254" customWidth="1"/>
    <col min="9739" max="9739" width="7.5703125" style="254" customWidth="1"/>
    <col min="9740" max="9740" width="8.140625" style="254" customWidth="1"/>
    <col min="9741" max="9741" width="10.7109375" style="254" customWidth="1"/>
    <col min="9742" max="9742" width="6.7109375" style="254" customWidth="1"/>
    <col min="9743" max="9743" width="7.5703125" style="254" customWidth="1"/>
    <col min="9744" max="9744" width="8.140625" style="254" customWidth="1"/>
    <col min="9745" max="9745" width="10.7109375" style="254" customWidth="1"/>
    <col min="9746" max="9746" width="6.7109375" style="254" customWidth="1"/>
    <col min="9747" max="9747" width="7.5703125" style="254" customWidth="1"/>
    <col min="9748" max="9748" width="8.140625" style="254" customWidth="1"/>
    <col min="9749" max="9749" width="10.7109375" style="254" customWidth="1"/>
    <col min="9750" max="9752" width="6.7109375" style="254" customWidth="1"/>
    <col min="9753" max="9753" width="11.42578125" style="254" customWidth="1"/>
    <col min="9754" max="9756" width="6.7109375" style="254" customWidth="1"/>
    <col min="9757" max="9757" width="11.42578125" style="254"/>
    <col min="9758" max="9758" width="1.5703125" style="254" customWidth="1"/>
    <col min="9759" max="9983" width="11.42578125" style="254"/>
    <col min="9984" max="9984" width="15.28515625" style="254" customWidth="1"/>
    <col min="9985" max="9985" width="13" style="254" bestFit="1" customWidth="1"/>
    <col min="9986" max="9986" width="6.28515625" style="254" customWidth="1"/>
    <col min="9987" max="9987" width="7.5703125" style="254" customWidth="1"/>
    <col min="9988" max="9988" width="8" style="254" customWidth="1"/>
    <col min="9989" max="9989" width="10.7109375" style="254" customWidth="1"/>
    <col min="9990" max="9990" width="6.28515625" style="254" customWidth="1"/>
    <col min="9991" max="9991" width="7.5703125" style="254" customWidth="1"/>
    <col min="9992" max="9992" width="8.140625" style="254" customWidth="1"/>
    <col min="9993" max="9993" width="10.7109375" style="254" customWidth="1"/>
    <col min="9994" max="9994" width="6.28515625" style="254" customWidth="1"/>
    <col min="9995" max="9995" width="7.5703125" style="254" customWidth="1"/>
    <col min="9996" max="9996" width="8.140625" style="254" customWidth="1"/>
    <col min="9997" max="9997" width="10.7109375" style="254" customWidth="1"/>
    <col min="9998" max="9998" width="6.7109375" style="254" customWidth="1"/>
    <col min="9999" max="9999" width="7.5703125" style="254" customWidth="1"/>
    <col min="10000" max="10000" width="8.140625" style="254" customWidth="1"/>
    <col min="10001" max="10001" width="10.7109375" style="254" customWidth="1"/>
    <col min="10002" max="10002" width="6.7109375" style="254" customWidth="1"/>
    <col min="10003" max="10003" width="7.5703125" style="254" customWidth="1"/>
    <col min="10004" max="10004" width="8.140625" style="254" customWidth="1"/>
    <col min="10005" max="10005" width="10.7109375" style="254" customWidth="1"/>
    <col min="10006" max="10008" width="6.7109375" style="254" customWidth="1"/>
    <col min="10009" max="10009" width="11.42578125" style="254" customWidth="1"/>
    <col min="10010" max="10012" width="6.7109375" style="254" customWidth="1"/>
    <col min="10013" max="10013" width="11.42578125" style="254"/>
    <col min="10014" max="10014" width="1.5703125" style="254" customWidth="1"/>
    <col min="10015" max="10239" width="11.42578125" style="254"/>
    <col min="10240" max="10240" width="15.28515625" style="254" customWidth="1"/>
    <col min="10241" max="10241" width="13" style="254" bestFit="1" customWidth="1"/>
    <col min="10242" max="10242" width="6.28515625" style="254" customWidth="1"/>
    <col min="10243" max="10243" width="7.5703125" style="254" customWidth="1"/>
    <col min="10244" max="10244" width="8" style="254" customWidth="1"/>
    <col min="10245" max="10245" width="10.7109375" style="254" customWidth="1"/>
    <col min="10246" max="10246" width="6.28515625" style="254" customWidth="1"/>
    <col min="10247" max="10247" width="7.5703125" style="254" customWidth="1"/>
    <col min="10248" max="10248" width="8.140625" style="254" customWidth="1"/>
    <col min="10249" max="10249" width="10.7109375" style="254" customWidth="1"/>
    <col min="10250" max="10250" width="6.28515625" style="254" customWidth="1"/>
    <col min="10251" max="10251" width="7.5703125" style="254" customWidth="1"/>
    <col min="10252" max="10252" width="8.140625" style="254" customWidth="1"/>
    <col min="10253" max="10253" width="10.7109375" style="254" customWidth="1"/>
    <col min="10254" max="10254" width="6.7109375" style="254" customWidth="1"/>
    <col min="10255" max="10255" width="7.5703125" style="254" customWidth="1"/>
    <col min="10256" max="10256" width="8.140625" style="254" customWidth="1"/>
    <col min="10257" max="10257" width="10.7109375" style="254" customWidth="1"/>
    <col min="10258" max="10258" width="6.7109375" style="254" customWidth="1"/>
    <col min="10259" max="10259" width="7.5703125" style="254" customWidth="1"/>
    <col min="10260" max="10260" width="8.140625" style="254" customWidth="1"/>
    <col min="10261" max="10261" width="10.7109375" style="254" customWidth="1"/>
    <col min="10262" max="10264" width="6.7109375" style="254" customWidth="1"/>
    <col min="10265" max="10265" width="11.42578125" style="254" customWidth="1"/>
    <col min="10266" max="10268" width="6.7109375" style="254" customWidth="1"/>
    <col min="10269" max="10269" width="11.42578125" style="254"/>
    <col min="10270" max="10270" width="1.5703125" style="254" customWidth="1"/>
    <col min="10271" max="10495" width="11.42578125" style="254"/>
    <col min="10496" max="10496" width="15.28515625" style="254" customWidth="1"/>
    <col min="10497" max="10497" width="13" style="254" bestFit="1" customWidth="1"/>
    <col min="10498" max="10498" width="6.28515625" style="254" customWidth="1"/>
    <col min="10499" max="10499" width="7.5703125" style="254" customWidth="1"/>
    <col min="10500" max="10500" width="8" style="254" customWidth="1"/>
    <col min="10501" max="10501" width="10.7109375" style="254" customWidth="1"/>
    <col min="10502" max="10502" width="6.28515625" style="254" customWidth="1"/>
    <col min="10503" max="10503" width="7.5703125" style="254" customWidth="1"/>
    <col min="10504" max="10504" width="8.140625" style="254" customWidth="1"/>
    <col min="10505" max="10505" width="10.7109375" style="254" customWidth="1"/>
    <col min="10506" max="10506" width="6.28515625" style="254" customWidth="1"/>
    <col min="10507" max="10507" width="7.5703125" style="254" customWidth="1"/>
    <col min="10508" max="10508" width="8.140625" style="254" customWidth="1"/>
    <col min="10509" max="10509" width="10.7109375" style="254" customWidth="1"/>
    <col min="10510" max="10510" width="6.7109375" style="254" customWidth="1"/>
    <col min="10511" max="10511" width="7.5703125" style="254" customWidth="1"/>
    <col min="10512" max="10512" width="8.140625" style="254" customWidth="1"/>
    <col min="10513" max="10513" width="10.7109375" style="254" customWidth="1"/>
    <col min="10514" max="10514" width="6.7109375" style="254" customWidth="1"/>
    <col min="10515" max="10515" width="7.5703125" style="254" customWidth="1"/>
    <col min="10516" max="10516" width="8.140625" style="254" customWidth="1"/>
    <col min="10517" max="10517" width="10.7109375" style="254" customWidth="1"/>
    <col min="10518" max="10520" width="6.7109375" style="254" customWidth="1"/>
    <col min="10521" max="10521" width="11.42578125" style="254" customWidth="1"/>
    <col min="10522" max="10524" width="6.7109375" style="254" customWidth="1"/>
    <col min="10525" max="10525" width="11.42578125" style="254"/>
    <col min="10526" max="10526" width="1.5703125" style="254" customWidth="1"/>
    <col min="10527" max="10751" width="11.42578125" style="254"/>
    <col min="10752" max="10752" width="15.28515625" style="254" customWidth="1"/>
    <col min="10753" max="10753" width="13" style="254" bestFit="1" customWidth="1"/>
    <col min="10754" max="10754" width="6.28515625" style="254" customWidth="1"/>
    <col min="10755" max="10755" width="7.5703125" style="254" customWidth="1"/>
    <col min="10756" max="10756" width="8" style="254" customWidth="1"/>
    <col min="10757" max="10757" width="10.7109375" style="254" customWidth="1"/>
    <col min="10758" max="10758" width="6.28515625" style="254" customWidth="1"/>
    <col min="10759" max="10759" width="7.5703125" style="254" customWidth="1"/>
    <col min="10760" max="10760" width="8.140625" style="254" customWidth="1"/>
    <col min="10761" max="10761" width="10.7109375" style="254" customWidth="1"/>
    <col min="10762" max="10762" width="6.28515625" style="254" customWidth="1"/>
    <col min="10763" max="10763" width="7.5703125" style="254" customWidth="1"/>
    <col min="10764" max="10764" width="8.140625" style="254" customWidth="1"/>
    <col min="10765" max="10765" width="10.7109375" style="254" customWidth="1"/>
    <col min="10766" max="10766" width="6.7109375" style="254" customWidth="1"/>
    <col min="10767" max="10767" width="7.5703125" style="254" customWidth="1"/>
    <col min="10768" max="10768" width="8.140625" style="254" customWidth="1"/>
    <col min="10769" max="10769" width="10.7109375" style="254" customWidth="1"/>
    <col min="10770" max="10770" width="6.7109375" style="254" customWidth="1"/>
    <col min="10771" max="10771" width="7.5703125" style="254" customWidth="1"/>
    <col min="10772" max="10772" width="8.140625" style="254" customWidth="1"/>
    <col min="10773" max="10773" width="10.7109375" style="254" customWidth="1"/>
    <col min="10774" max="10776" width="6.7109375" style="254" customWidth="1"/>
    <col min="10777" max="10777" width="11.42578125" style="254" customWidth="1"/>
    <col min="10778" max="10780" width="6.7109375" style="254" customWidth="1"/>
    <col min="10781" max="10781" width="11.42578125" style="254"/>
    <col min="10782" max="10782" width="1.5703125" style="254" customWidth="1"/>
    <col min="10783" max="11007" width="11.42578125" style="254"/>
    <col min="11008" max="11008" width="15.28515625" style="254" customWidth="1"/>
    <col min="11009" max="11009" width="13" style="254" bestFit="1" customWidth="1"/>
    <col min="11010" max="11010" width="6.28515625" style="254" customWidth="1"/>
    <col min="11011" max="11011" width="7.5703125" style="254" customWidth="1"/>
    <col min="11012" max="11012" width="8" style="254" customWidth="1"/>
    <col min="11013" max="11013" width="10.7109375" style="254" customWidth="1"/>
    <col min="11014" max="11014" width="6.28515625" style="254" customWidth="1"/>
    <col min="11015" max="11015" width="7.5703125" style="254" customWidth="1"/>
    <col min="11016" max="11016" width="8.140625" style="254" customWidth="1"/>
    <col min="11017" max="11017" width="10.7109375" style="254" customWidth="1"/>
    <col min="11018" max="11018" width="6.28515625" style="254" customWidth="1"/>
    <col min="11019" max="11019" width="7.5703125" style="254" customWidth="1"/>
    <col min="11020" max="11020" width="8.140625" style="254" customWidth="1"/>
    <col min="11021" max="11021" width="10.7109375" style="254" customWidth="1"/>
    <col min="11022" max="11022" width="6.7109375" style="254" customWidth="1"/>
    <col min="11023" max="11023" width="7.5703125" style="254" customWidth="1"/>
    <col min="11024" max="11024" width="8.140625" style="254" customWidth="1"/>
    <col min="11025" max="11025" width="10.7109375" style="254" customWidth="1"/>
    <col min="11026" max="11026" width="6.7109375" style="254" customWidth="1"/>
    <col min="11027" max="11027" width="7.5703125" style="254" customWidth="1"/>
    <col min="11028" max="11028" width="8.140625" style="254" customWidth="1"/>
    <col min="11029" max="11029" width="10.7109375" style="254" customWidth="1"/>
    <col min="11030" max="11032" width="6.7109375" style="254" customWidth="1"/>
    <col min="11033" max="11033" width="11.42578125" style="254" customWidth="1"/>
    <col min="11034" max="11036" width="6.7109375" style="254" customWidth="1"/>
    <col min="11037" max="11037" width="11.42578125" style="254"/>
    <col min="11038" max="11038" width="1.5703125" style="254" customWidth="1"/>
    <col min="11039" max="11263" width="11.42578125" style="254"/>
    <col min="11264" max="11264" width="15.28515625" style="254" customWidth="1"/>
    <col min="11265" max="11265" width="13" style="254" bestFit="1" customWidth="1"/>
    <col min="11266" max="11266" width="6.28515625" style="254" customWidth="1"/>
    <col min="11267" max="11267" width="7.5703125" style="254" customWidth="1"/>
    <col min="11268" max="11268" width="8" style="254" customWidth="1"/>
    <col min="11269" max="11269" width="10.7109375" style="254" customWidth="1"/>
    <col min="11270" max="11270" width="6.28515625" style="254" customWidth="1"/>
    <col min="11271" max="11271" width="7.5703125" style="254" customWidth="1"/>
    <col min="11272" max="11272" width="8.140625" style="254" customWidth="1"/>
    <col min="11273" max="11273" width="10.7109375" style="254" customWidth="1"/>
    <col min="11274" max="11274" width="6.28515625" style="254" customWidth="1"/>
    <col min="11275" max="11275" width="7.5703125" style="254" customWidth="1"/>
    <col min="11276" max="11276" width="8.140625" style="254" customWidth="1"/>
    <col min="11277" max="11277" width="10.7109375" style="254" customWidth="1"/>
    <col min="11278" max="11278" width="6.7109375" style="254" customWidth="1"/>
    <col min="11279" max="11279" width="7.5703125" style="254" customWidth="1"/>
    <col min="11280" max="11280" width="8.140625" style="254" customWidth="1"/>
    <col min="11281" max="11281" width="10.7109375" style="254" customWidth="1"/>
    <col min="11282" max="11282" width="6.7109375" style="254" customWidth="1"/>
    <col min="11283" max="11283" width="7.5703125" style="254" customWidth="1"/>
    <col min="11284" max="11284" width="8.140625" style="254" customWidth="1"/>
    <col min="11285" max="11285" width="10.7109375" style="254" customWidth="1"/>
    <col min="11286" max="11288" width="6.7109375" style="254" customWidth="1"/>
    <col min="11289" max="11289" width="11.42578125" style="254" customWidth="1"/>
    <col min="11290" max="11292" width="6.7109375" style="254" customWidth="1"/>
    <col min="11293" max="11293" width="11.42578125" style="254"/>
    <col min="11294" max="11294" width="1.5703125" style="254" customWidth="1"/>
    <col min="11295" max="11519" width="11.42578125" style="254"/>
    <col min="11520" max="11520" width="15.28515625" style="254" customWidth="1"/>
    <col min="11521" max="11521" width="13" style="254" bestFit="1" customWidth="1"/>
    <col min="11522" max="11522" width="6.28515625" style="254" customWidth="1"/>
    <col min="11523" max="11523" width="7.5703125" style="254" customWidth="1"/>
    <col min="11524" max="11524" width="8" style="254" customWidth="1"/>
    <col min="11525" max="11525" width="10.7109375" style="254" customWidth="1"/>
    <col min="11526" max="11526" width="6.28515625" style="254" customWidth="1"/>
    <col min="11527" max="11527" width="7.5703125" style="254" customWidth="1"/>
    <col min="11528" max="11528" width="8.140625" style="254" customWidth="1"/>
    <col min="11529" max="11529" width="10.7109375" style="254" customWidth="1"/>
    <col min="11530" max="11530" width="6.28515625" style="254" customWidth="1"/>
    <col min="11531" max="11531" width="7.5703125" style="254" customWidth="1"/>
    <col min="11532" max="11532" width="8.140625" style="254" customWidth="1"/>
    <col min="11533" max="11533" width="10.7109375" style="254" customWidth="1"/>
    <col min="11534" max="11534" width="6.7109375" style="254" customWidth="1"/>
    <col min="11535" max="11535" width="7.5703125" style="254" customWidth="1"/>
    <col min="11536" max="11536" width="8.140625" style="254" customWidth="1"/>
    <col min="11537" max="11537" width="10.7109375" style="254" customWidth="1"/>
    <col min="11538" max="11538" width="6.7109375" style="254" customWidth="1"/>
    <col min="11539" max="11539" width="7.5703125" style="254" customWidth="1"/>
    <col min="11540" max="11540" width="8.140625" style="254" customWidth="1"/>
    <col min="11541" max="11541" width="10.7109375" style="254" customWidth="1"/>
    <col min="11542" max="11544" width="6.7109375" style="254" customWidth="1"/>
    <col min="11545" max="11545" width="11.42578125" style="254" customWidth="1"/>
    <col min="11546" max="11548" width="6.7109375" style="254" customWidth="1"/>
    <col min="11549" max="11549" width="11.42578125" style="254"/>
    <col min="11550" max="11550" width="1.5703125" style="254" customWidth="1"/>
    <col min="11551" max="11775" width="11.42578125" style="254"/>
    <col min="11776" max="11776" width="15.28515625" style="254" customWidth="1"/>
    <col min="11777" max="11777" width="13" style="254" bestFit="1" customWidth="1"/>
    <col min="11778" max="11778" width="6.28515625" style="254" customWidth="1"/>
    <col min="11779" max="11779" width="7.5703125" style="254" customWidth="1"/>
    <col min="11780" max="11780" width="8" style="254" customWidth="1"/>
    <col min="11781" max="11781" width="10.7109375" style="254" customWidth="1"/>
    <col min="11782" max="11782" width="6.28515625" style="254" customWidth="1"/>
    <col min="11783" max="11783" width="7.5703125" style="254" customWidth="1"/>
    <col min="11784" max="11784" width="8.140625" style="254" customWidth="1"/>
    <col min="11785" max="11785" width="10.7109375" style="254" customWidth="1"/>
    <col min="11786" max="11786" width="6.28515625" style="254" customWidth="1"/>
    <col min="11787" max="11787" width="7.5703125" style="254" customWidth="1"/>
    <col min="11788" max="11788" width="8.140625" style="254" customWidth="1"/>
    <col min="11789" max="11789" width="10.7109375" style="254" customWidth="1"/>
    <col min="11790" max="11790" width="6.7109375" style="254" customWidth="1"/>
    <col min="11791" max="11791" width="7.5703125" style="254" customWidth="1"/>
    <col min="11792" max="11792" width="8.140625" style="254" customWidth="1"/>
    <col min="11793" max="11793" width="10.7109375" style="254" customWidth="1"/>
    <col min="11794" max="11794" width="6.7109375" style="254" customWidth="1"/>
    <col min="11795" max="11795" width="7.5703125" style="254" customWidth="1"/>
    <col min="11796" max="11796" width="8.140625" style="254" customWidth="1"/>
    <col min="11797" max="11797" width="10.7109375" style="254" customWidth="1"/>
    <col min="11798" max="11800" width="6.7109375" style="254" customWidth="1"/>
    <col min="11801" max="11801" width="11.42578125" style="254" customWidth="1"/>
    <col min="11802" max="11804" width="6.7109375" style="254" customWidth="1"/>
    <col min="11805" max="11805" width="11.42578125" style="254"/>
    <col min="11806" max="11806" width="1.5703125" style="254" customWidth="1"/>
    <col min="11807" max="12031" width="11.42578125" style="254"/>
    <col min="12032" max="12032" width="15.28515625" style="254" customWidth="1"/>
    <col min="12033" max="12033" width="13" style="254" bestFit="1" customWidth="1"/>
    <col min="12034" max="12034" width="6.28515625" style="254" customWidth="1"/>
    <col min="12035" max="12035" width="7.5703125" style="254" customWidth="1"/>
    <col min="12036" max="12036" width="8" style="254" customWidth="1"/>
    <col min="12037" max="12037" width="10.7109375" style="254" customWidth="1"/>
    <col min="12038" max="12038" width="6.28515625" style="254" customWidth="1"/>
    <col min="12039" max="12039" width="7.5703125" style="254" customWidth="1"/>
    <col min="12040" max="12040" width="8.140625" style="254" customWidth="1"/>
    <col min="12041" max="12041" width="10.7109375" style="254" customWidth="1"/>
    <col min="12042" max="12042" width="6.28515625" style="254" customWidth="1"/>
    <col min="12043" max="12043" width="7.5703125" style="254" customWidth="1"/>
    <col min="12044" max="12044" width="8.140625" style="254" customWidth="1"/>
    <col min="12045" max="12045" width="10.7109375" style="254" customWidth="1"/>
    <col min="12046" max="12046" width="6.7109375" style="254" customWidth="1"/>
    <col min="12047" max="12047" width="7.5703125" style="254" customWidth="1"/>
    <col min="12048" max="12048" width="8.140625" style="254" customWidth="1"/>
    <col min="12049" max="12049" width="10.7109375" style="254" customWidth="1"/>
    <col min="12050" max="12050" width="6.7109375" style="254" customWidth="1"/>
    <col min="12051" max="12051" width="7.5703125" style="254" customWidth="1"/>
    <col min="12052" max="12052" width="8.140625" style="254" customWidth="1"/>
    <col min="12053" max="12053" width="10.7109375" style="254" customWidth="1"/>
    <col min="12054" max="12056" width="6.7109375" style="254" customWidth="1"/>
    <col min="12057" max="12057" width="11.42578125" style="254" customWidth="1"/>
    <col min="12058" max="12060" width="6.7109375" style="254" customWidth="1"/>
    <col min="12061" max="12061" width="11.42578125" style="254"/>
    <col min="12062" max="12062" width="1.5703125" style="254" customWidth="1"/>
    <col min="12063" max="12287" width="11.42578125" style="254"/>
    <col min="12288" max="12288" width="15.28515625" style="254" customWidth="1"/>
    <col min="12289" max="12289" width="13" style="254" bestFit="1" customWidth="1"/>
    <col min="12290" max="12290" width="6.28515625" style="254" customWidth="1"/>
    <col min="12291" max="12291" width="7.5703125" style="254" customWidth="1"/>
    <col min="12292" max="12292" width="8" style="254" customWidth="1"/>
    <col min="12293" max="12293" width="10.7109375" style="254" customWidth="1"/>
    <col min="12294" max="12294" width="6.28515625" style="254" customWidth="1"/>
    <col min="12295" max="12295" width="7.5703125" style="254" customWidth="1"/>
    <col min="12296" max="12296" width="8.140625" style="254" customWidth="1"/>
    <col min="12297" max="12297" width="10.7109375" style="254" customWidth="1"/>
    <col min="12298" max="12298" width="6.28515625" style="254" customWidth="1"/>
    <col min="12299" max="12299" width="7.5703125" style="254" customWidth="1"/>
    <col min="12300" max="12300" width="8.140625" style="254" customWidth="1"/>
    <col min="12301" max="12301" width="10.7109375" style="254" customWidth="1"/>
    <col min="12302" max="12302" width="6.7109375" style="254" customWidth="1"/>
    <col min="12303" max="12303" width="7.5703125" style="254" customWidth="1"/>
    <col min="12304" max="12304" width="8.140625" style="254" customWidth="1"/>
    <col min="12305" max="12305" width="10.7109375" style="254" customWidth="1"/>
    <col min="12306" max="12306" width="6.7109375" style="254" customWidth="1"/>
    <col min="12307" max="12307" width="7.5703125" style="254" customWidth="1"/>
    <col min="12308" max="12308" width="8.140625" style="254" customWidth="1"/>
    <col min="12309" max="12309" width="10.7109375" style="254" customWidth="1"/>
    <col min="12310" max="12312" width="6.7109375" style="254" customWidth="1"/>
    <col min="12313" max="12313" width="11.42578125" style="254" customWidth="1"/>
    <col min="12314" max="12316" width="6.7109375" style="254" customWidth="1"/>
    <col min="12317" max="12317" width="11.42578125" style="254"/>
    <col min="12318" max="12318" width="1.5703125" style="254" customWidth="1"/>
    <col min="12319" max="12543" width="11.42578125" style="254"/>
    <col min="12544" max="12544" width="15.28515625" style="254" customWidth="1"/>
    <col min="12545" max="12545" width="13" style="254" bestFit="1" customWidth="1"/>
    <col min="12546" max="12546" width="6.28515625" style="254" customWidth="1"/>
    <col min="12547" max="12547" width="7.5703125" style="254" customWidth="1"/>
    <col min="12548" max="12548" width="8" style="254" customWidth="1"/>
    <col min="12549" max="12549" width="10.7109375" style="254" customWidth="1"/>
    <col min="12550" max="12550" width="6.28515625" style="254" customWidth="1"/>
    <col min="12551" max="12551" width="7.5703125" style="254" customWidth="1"/>
    <col min="12552" max="12552" width="8.140625" style="254" customWidth="1"/>
    <col min="12553" max="12553" width="10.7109375" style="254" customWidth="1"/>
    <col min="12554" max="12554" width="6.28515625" style="254" customWidth="1"/>
    <col min="12555" max="12555" width="7.5703125" style="254" customWidth="1"/>
    <col min="12556" max="12556" width="8.140625" style="254" customWidth="1"/>
    <col min="12557" max="12557" width="10.7109375" style="254" customWidth="1"/>
    <col min="12558" max="12558" width="6.7109375" style="254" customWidth="1"/>
    <col min="12559" max="12559" width="7.5703125" style="254" customWidth="1"/>
    <col min="12560" max="12560" width="8.140625" style="254" customWidth="1"/>
    <col min="12561" max="12561" width="10.7109375" style="254" customWidth="1"/>
    <col min="12562" max="12562" width="6.7109375" style="254" customWidth="1"/>
    <col min="12563" max="12563" width="7.5703125" style="254" customWidth="1"/>
    <col min="12564" max="12564" width="8.140625" style="254" customWidth="1"/>
    <col min="12565" max="12565" width="10.7109375" style="254" customWidth="1"/>
    <col min="12566" max="12568" width="6.7109375" style="254" customWidth="1"/>
    <col min="12569" max="12569" width="11.42578125" style="254" customWidth="1"/>
    <col min="12570" max="12572" width="6.7109375" style="254" customWidth="1"/>
    <col min="12573" max="12573" width="11.42578125" style="254"/>
    <col min="12574" max="12574" width="1.5703125" style="254" customWidth="1"/>
    <col min="12575" max="12799" width="11.42578125" style="254"/>
    <col min="12800" max="12800" width="15.28515625" style="254" customWidth="1"/>
    <col min="12801" max="12801" width="13" style="254" bestFit="1" customWidth="1"/>
    <col min="12802" max="12802" width="6.28515625" style="254" customWidth="1"/>
    <col min="12803" max="12803" width="7.5703125" style="254" customWidth="1"/>
    <col min="12804" max="12804" width="8" style="254" customWidth="1"/>
    <col min="12805" max="12805" width="10.7109375" style="254" customWidth="1"/>
    <col min="12806" max="12806" width="6.28515625" style="254" customWidth="1"/>
    <col min="12807" max="12807" width="7.5703125" style="254" customWidth="1"/>
    <col min="12808" max="12808" width="8.140625" style="254" customWidth="1"/>
    <col min="12809" max="12809" width="10.7109375" style="254" customWidth="1"/>
    <col min="12810" max="12810" width="6.28515625" style="254" customWidth="1"/>
    <col min="12811" max="12811" width="7.5703125" style="254" customWidth="1"/>
    <col min="12812" max="12812" width="8.140625" style="254" customWidth="1"/>
    <col min="12813" max="12813" width="10.7109375" style="254" customWidth="1"/>
    <col min="12814" max="12814" width="6.7109375" style="254" customWidth="1"/>
    <col min="12815" max="12815" width="7.5703125" style="254" customWidth="1"/>
    <col min="12816" max="12816" width="8.140625" style="254" customWidth="1"/>
    <col min="12817" max="12817" width="10.7109375" style="254" customWidth="1"/>
    <col min="12818" max="12818" width="6.7109375" style="254" customWidth="1"/>
    <col min="12819" max="12819" width="7.5703125" style="254" customWidth="1"/>
    <col min="12820" max="12820" width="8.140625" style="254" customWidth="1"/>
    <col min="12821" max="12821" width="10.7109375" style="254" customWidth="1"/>
    <col min="12822" max="12824" width="6.7109375" style="254" customWidth="1"/>
    <col min="12825" max="12825" width="11.42578125" style="254" customWidth="1"/>
    <col min="12826" max="12828" width="6.7109375" style="254" customWidth="1"/>
    <col min="12829" max="12829" width="11.42578125" style="254"/>
    <col min="12830" max="12830" width="1.5703125" style="254" customWidth="1"/>
    <col min="12831" max="13055" width="11.42578125" style="254"/>
    <col min="13056" max="13056" width="15.28515625" style="254" customWidth="1"/>
    <col min="13057" max="13057" width="13" style="254" bestFit="1" customWidth="1"/>
    <col min="13058" max="13058" width="6.28515625" style="254" customWidth="1"/>
    <col min="13059" max="13059" width="7.5703125" style="254" customWidth="1"/>
    <col min="13060" max="13060" width="8" style="254" customWidth="1"/>
    <col min="13061" max="13061" width="10.7109375" style="254" customWidth="1"/>
    <col min="13062" max="13062" width="6.28515625" style="254" customWidth="1"/>
    <col min="13063" max="13063" width="7.5703125" style="254" customWidth="1"/>
    <col min="13064" max="13064" width="8.140625" style="254" customWidth="1"/>
    <col min="13065" max="13065" width="10.7109375" style="254" customWidth="1"/>
    <col min="13066" max="13066" width="6.28515625" style="254" customWidth="1"/>
    <col min="13067" max="13067" width="7.5703125" style="254" customWidth="1"/>
    <col min="13068" max="13068" width="8.140625" style="254" customWidth="1"/>
    <col min="13069" max="13069" width="10.7109375" style="254" customWidth="1"/>
    <col min="13070" max="13070" width="6.7109375" style="254" customWidth="1"/>
    <col min="13071" max="13071" width="7.5703125" style="254" customWidth="1"/>
    <col min="13072" max="13072" width="8.140625" style="254" customWidth="1"/>
    <col min="13073" max="13073" width="10.7109375" style="254" customWidth="1"/>
    <col min="13074" max="13074" width="6.7109375" style="254" customWidth="1"/>
    <col min="13075" max="13075" width="7.5703125" style="254" customWidth="1"/>
    <col min="13076" max="13076" width="8.140625" style="254" customWidth="1"/>
    <col min="13077" max="13077" width="10.7109375" style="254" customWidth="1"/>
    <col min="13078" max="13080" width="6.7109375" style="254" customWidth="1"/>
    <col min="13081" max="13081" width="11.42578125" style="254" customWidth="1"/>
    <col min="13082" max="13084" width="6.7109375" style="254" customWidth="1"/>
    <col min="13085" max="13085" width="11.42578125" style="254"/>
    <col min="13086" max="13086" width="1.5703125" style="254" customWidth="1"/>
    <col min="13087" max="13311" width="11.42578125" style="254"/>
    <col min="13312" max="13312" width="15.28515625" style="254" customWidth="1"/>
    <col min="13313" max="13313" width="13" style="254" bestFit="1" customWidth="1"/>
    <col min="13314" max="13314" width="6.28515625" style="254" customWidth="1"/>
    <col min="13315" max="13315" width="7.5703125" style="254" customWidth="1"/>
    <col min="13316" max="13316" width="8" style="254" customWidth="1"/>
    <col min="13317" max="13317" width="10.7109375" style="254" customWidth="1"/>
    <col min="13318" max="13318" width="6.28515625" style="254" customWidth="1"/>
    <col min="13319" max="13319" width="7.5703125" style="254" customWidth="1"/>
    <col min="13320" max="13320" width="8.140625" style="254" customWidth="1"/>
    <col min="13321" max="13321" width="10.7109375" style="254" customWidth="1"/>
    <col min="13322" max="13322" width="6.28515625" style="254" customWidth="1"/>
    <col min="13323" max="13323" width="7.5703125" style="254" customWidth="1"/>
    <col min="13324" max="13324" width="8.140625" style="254" customWidth="1"/>
    <col min="13325" max="13325" width="10.7109375" style="254" customWidth="1"/>
    <col min="13326" max="13326" width="6.7109375" style="254" customWidth="1"/>
    <col min="13327" max="13327" width="7.5703125" style="254" customWidth="1"/>
    <col min="13328" max="13328" width="8.140625" style="254" customWidth="1"/>
    <col min="13329" max="13329" width="10.7109375" style="254" customWidth="1"/>
    <col min="13330" max="13330" width="6.7109375" style="254" customWidth="1"/>
    <col min="13331" max="13331" width="7.5703125" style="254" customWidth="1"/>
    <col min="13332" max="13332" width="8.140625" style="254" customWidth="1"/>
    <col min="13333" max="13333" width="10.7109375" style="254" customWidth="1"/>
    <col min="13334" max="13336" width="6.7109375" style="254" customWidth="1"/>
    <col min="13337" max="13337" width="11.42578125" style="254" customWidth="1"/>
    <col min="13338" max="13340" width="6.7109375" style="254" customWidth="1"/>
    <col min="13341" max="13341" width="11.42578125" style="254"/>
    <col min="13342" max="13342" width="1.5703125" style="254" customWidth="1"/>
    <col min="13343" max="13567" width="11.42578125" style="254"/>
    <col min="13568" max="13568" width="15.28515625" style="254" customWidth="1"/>
    <col min="13569" max="13569" width="13" style="254" bestFit="1" customWidth="1"/>
    <col min="13570" max="13570" width="6.28515625" style="254" customWidth="1"/>
    <col min="13571" max="13571" width="7.5703125" style="254" customWidth="1"/>
    <col min="13572" max="13572" width="8" style="254" customWidth="1"/>
    <col min="13573" max="13573" width="10.7109375" style="254" customWidth="1"/>
    <col min="13574" max="13574" width="6.28515625" style="254" customWidth="1"/>
    <col min="13575" max="13575" width="7.5703125" style="254" customWidth="1"/>
    <col min="13576" max="13576" width="8.140625" style="254" customWidth="1"/>
    <col min="13577" max="13577" width="10.7109375" style="254" customWidth="1"/>
    <col min="13578" max="13578" width="6.28515625" style="254" customWidth="1"/>
    <col min="13579" max="13579" width="7.5703125" style="254" customWidth="1"/>
    <col min="13580" max="13580" width="8.140625" style="254" customWidth="1"/>
    <col min="13581" max="13581" width="10.7109375" style="254" customWidth="1"/>
    <col min="13582" max="13582" width="6.7109375" style="254" customWidth="1"/>
    <col min="13583" max="13583" width="7.5703125" style="254" customWidth="1"/>
    <col min="13584" max="13584" width="8.140625" style="254" customWidth="1"/>
    <col min="13585" max="13585" width="10.7109375" style="254" customWidth="1"/>
    <col min="13586" max="13586" width="6.7109375" style="254" customWidth="1"/>
    <col min="13587" max="13587" width="7.5703125" style="254" customWidth="1"/>
    <col min="13588" max="13588" width="8.140625" style="254" customWidth="1"/>
    <col min="13589" max="13589" width="10.7109375" style="254" customWidth="1"/>
    <col min="13590" max="13592" width="6.7109375" style="254" customWidth="1"/>
    <col min="13593" max="13593" width="11.42578125" style="254" customWidth="1"/>
    <col min="13594" max="13596" width="6.7109375" style="254" customWidth="1"/>
    <col min="13597" max="13597" width="11.42578125" style="254"/>
    <col min="13598" max="13598" width="1.5703125" style="254" customWidth="1"/>
    <col min="13599" max="13823" width="11.42578125" style="254"/>
    <col min="13824" max="13824" width="15.28515625" style="254" customWidth="1"/>
    <col min="13825" max="13825" width="13" style="254" bestFit="1" customWidth="1"/>
    <col min="13826" max="13826" width="6.28515625" style="254" customWidth="1"/>
    <col min="13827" max="13827" width="7.5703125" style="254" customWidth="1"/>
    <col min="13828" max="13828" width="8" style="254" customWidth="1"/>
    <col min="13829" max="13829" width="10.7109375" style="254" customWidth="1"/>
    <col min="13830" max="13830" width="6.28515625" style="254" customWidth="1"/>
    <col min="13831" max="13831" width="7.5703125" style="254" customWidth="1"/>
    <col min="13832" max="13832" width="8.140625" style="254" customWidth="1"/>
    <col min="13833" max="13833" width="10.7109375" style="254" customWidth="1"/>
    <col min="13834" max="13834" width="6.28515625" style="254" customWidth="1"/>
    <col min="13835" max="13835" width="7.5703125" style="254" customWidth="1"/>
    <col min="13836" max="13836" width="8.140625" style="254" customWidth="1"/>
    <col min="13837" max="13837" width="10.7109375" style="254" customWidth="1"/>
    <col min="13838" max="13838" width="6.7109375" style="254" customWidth="1"/>
    <col min="13839" max="13839" width="7.5703125" style="254" customWidth="1"/>
    <col min="13840" max="13840" width="8.140625" style="254" customWidth="1"/>
    <col min="13841" max="13841" width="10.7109375" style="254" customWidth="1"/>
    <col min="13842" max="13842" width="6.7109375" style="254" customWidth="1"/>
    <col min="13843" max="13843" width="7.5703125" style="254" customWidth="1"/>
    <col min="13844" max="13844" width="8.140625" style="254" customWidth="1"/>
    <col min="13845" max="13845" width="10.7109375" style="254" customWidth="1"/>
    <col min="13846" max="13848" width="6.7109375" style="254" customWidth="1"/>
    <col min="13849" max="13849" width="11.42578125" style="254" customWidth="1"/>
    <col min="13850" max="13852" width="6.7109375" style="254" customWidth="1"/>
    <col min="13853" max="13853" width="11.42578125" style="254"/>
    <col min="13854" max="13854" width="1.5703125" style="254" customWidth="1"/>
    <col min="13855" max="14079" width="11.42578125" style="254"/>
    <col min="14080" max="14080" width="15.28515625" style="254" customWidth="1"/>
    <col min="14081" max="14081" width="13" style="254" bestFit="1" customWidth="1"/>
    <col min="14082" max="14082" width="6.28515625" style="254" customWidth="1"/>
    <col min="14083" max="14083" width="7.5703125" style="254" customWidth="1"/>
    <col min="14084" max="14084" width="8" style="254" customWidth="1"/>
    <col min="14085" max="14085" width="10.7109375" style="254" customWidth="1"/>
    <col min="14086" max="14086" width="6.28515625" style="254" customWidth="1"/>
    <col min="14087" max="14087" width="7.5703125" style="254" customWidth="1"/>
    <col min="14088" max="14088" width="8.140625" style="254" customWidth="1"/>
    <col min="14089" max="14089" width="10.7109375" style="254" customWidth="1"/>
    <col min="14090" max="14090" width="6.28515625" style="254" customWidth="1"/>
    <col min="14091" max="14091" width="7.5703125" style="254" customWidth="1"/>
    <col min="14092" max="14092" width="8.140625" style="254" customWidth="1"/>
    <col min="14093" max="14093" width="10.7109375" style="254" customWidth="1"/>
    <col min="14094" max="14094" width="6.7109375" style="254" customWidth="1"/>
    <col min="14095" max="14095" width="7.5703125" style="254" customWidth="1"/>
    <col min="14096" max="14096" width="8.140625" style="254" customWidth="1"/>
    <col min="14097" max="14097" width="10.7109375" style="254" customWidth="1"/>
    <col min="14098" max="14098" width="6.7109375" style="254" customWidth="1"/>
    <col min="14099" max="14099" width="7.5703125" style="254" customWidth="1"/>
    <col min="14100" max="14100" width="8.140625" style="254" customWidth="1"/>
    <col min="14101" max="14101" width="10.7109375" style="254" customWidth="1"/>
    <col min="14102" max="14104" width="6.7109375" style="254" customWidth="1"/>
    <col min="14105" max="14105" width="11.42578125" style="254" customWidth="1"/>
    <col min="14106" max="14108" width="6.7109375" style="254" customWidth="1"/>
    <col min="14109" max="14109" width="11.42578125" style="254"/>
    <col min="14110" max="14110" width="1.5703125" style="254" customWidth="1"/>
    <col min="14111" max="14335" width="11.42578125" style="254"/>
    <col min="14336" max="14336" width="15.28515625" style="254" customWidth="1"/>
    <col min="14337" max="14337" width="13" style="254" bestFit="1" customWidth="1"/>
    <col min="14338" max="14338" width="6.28515625" style="254" customWidth="1"/>
    <col min="14339" max="14339" width="7.5703125" style="254" customWidth="1"/>
    <col min="14340" max="14340" width="8" style="254" customWidth="1"/>
    <col min="14341" max="14341" width="10.7109375" style="254" customWidth="1"/>
    <col min="14342" max="14342" width="6.28515625" style="254" customWidth="1"/>
    <col min="14343" max="14343" width="7.5703125" style="254" customWidth="1"/>
    <col min="14344" max="14344" width="8.140625" style="254" customWidth="1"/>
    <col min="14345" max="14345" width="10.7109375" style="254" customWidth="1"/>
    <col min="14346" max="14346" width="6.28515625" style="254" customWidth="1"/>
    <col min="14347" max="14347" width="7.5703125" style="254" customWidth="1"/>
    <col min="14348" max="14348" width="8.140625" style="254" customWidth="1"/>
    <col min="14349" max="14349" width="10.7109375" style="254" customWidth="1"/>
    <col min="14350" max="14350" width="6.7109375" style="254" customWidth="1"/>
    <col min="14351" max="14351" width="7.5703125" style="254" customWidth="1"/>
    <col min="14352" max="14352" width="8.140625" style="254" customWidth="1"/>
    <col min="14353" max="14353" width="10.7109375" style="254" customWidth="1"/>
    <col min="14354" max="14354" width="6.7109375" style="254" customWidth="1"/>
    <col min="14355" max="14355" width="7.5703125" style="254" customWidth="1"/>
    <col min="14356" max="14356" width="8.140625" style="254" customWidth="1"/>
    <col min="14357" max="14357" width="10.7109375" style="254" customWidth="1"/>
    <col min="14358" max="14360" width="6.7109375" style="254" customWidth="1"/>
    <col min="14361" max="14361" width="11.42578125" style="254" customWidth="1"/>
    <col min="14362" max="14364" width="6.7109375" style="254" customWidth="1"/>
    <col min="14365" max="14365" width="11.42578125" style="254"/>
    <col min="14366" max="14366" width="1.5703125" style="254" customWidth="1"/>
    <col min="14367" max="14591" width="11.42578125" style="254"/>
    <col min="14592" max="14592" width="15.28515625" style="254" customWidth="1"/>
    <col min="14593" max="14593" width="13" style="254" bestFit="1" customWidth="1"/>
    <col min="14594" max="14594" width="6.28515625" style="254" customWidth="1"/>
    <col min="14595" max="14595" width="7.5703125" style="254" customWidth="1"/>
    <col min="14596" max="14596" width="8" style="254" customWidth="1"/>
    <col min="14597" max="14597" width="10.7109375" style="254" customWidth="1"/>
    <col min="14598" max="14598" width="6.28515625" style="254" customWidth="1"/>
    <col min="14599" max="14599" width="7.5703125" style="254" customWidth="1"/>
    <col min="14600" max="14600" width="8.140625" style="254" customWidth="1"/>
    <col min="14601" max="14601" width="10.7109375" style="254" customWidth="1"/>
    <col min="14602" max="14602" width="6.28515625" style="254" customWidth="1"/>
    <col min="14603" max="14603" width="7.5703125" style="254" customWidth="1"/>
    <col min="14604" max="14604" width="8.140625" style="254" customWidth="1"/>
    <col min="14605" max="14605" width="10.7109375" style="254" customWidth="1"/>
    <col min="14606" max="14606" width="6.7109375" style="254" customWidth="1"/>
    <col min="14607" max="14607" width="7.5703125" style="254" customWidth="1"/>
    <col min="14608" max="14608" width="8.140625" style="254" customWidth="1"/>
    <col min="14609" max="14609" width="10.7109375" style="254" customWidth="1"/>
    <col min="14610" max="14610" width="6.7109375" style="254" customWidth="1"/>
    <col min="14611" max="14611" width="7.5703125" style="254" customWidth="1"/>
    <col min="14612" max="14612" width="8.140625" style="254" customWidth="1"/>
    <col min="14613" max="14613" width="10.7109375" style="254" customWidth="1"/>
    <col min="14614" max="14616" width="6.7109375" style="254" customWidth="1"/>
    <col min="14617" max="14617" width="11.42578125" style="254" customWidth="1"/>
    <col min="14618" max="14620" width="6.7109375" style="254" customWidth="1"/>
    <col min="14621" max="14621" width="11.42578125" style="254"/>
    <col min="14622" max="14622" width="1.5703125" style="254" customWidth="1"/>
    <col min="14623" max="14847" width="11.42578125" style="254"/>
    <col min="14848" max="14848" width="15.28515625" style="254" customWidth="1"/>
    <col min="14849" max="14849" width="13" style="254" bestFit="1" customWidth="1"/>
    <col min="14850" max="14850" width="6.28515625" style="254" customWidth="1"/>
    <col min="14851" max="14851" width="7.5703125" style="254" customWidth="1"/>
    <col min="14852" max="14852" width="8" style="254" customWidth="1"/>
    <col min="14853" max="14853" width="10.7109375" style="254" customWidth="1"/>
    <col min="14854" max="14854" width="6.28515625" style="254" customWidth="1"/>
    <col min="14855" max="14855" width="7.5703125" style="254" customWidth="1"/>
    <col min="14856" max="14856" width="8.140625" style="254" customWidth="1"/>
    <col min="14857" max="14857" width="10.7109375" style="254" customWidth="1"/>
    <col min="14858" max="14858" width="6.28515625" style="254" customWidth="1"/>
    <col min="14859" max="14859" width="7.5703125" style="254" customWidth="1"/>
    <col min="14860" max="14860" width="8.140625" style="254" customWidth="1"/>
    <col min="14861" max="14861" width="10.7109375" style="254" customWidth="1"/>
    <col min="14862" max="14862" width="6.7109375" style="254" customWidth="1"/>
    <col min="14863" max="14863" width="7.5703125" style="254" customWidth="1"/>
    <col min="14864" max="14864" width="8.140625" style="254" customWidth="1"/>
    <col min="14865" max="14865" width="10.7109375" style="254" customWidth="1"/>
    <col min="14866" max="14866" width="6.7109375" style="254" customWidth="1"/>
    <col min="14867" max="14867" width="7.5703125" style="254" customWidth="1"/>
    <col min="14868" max="14868" width="8.140625" style="254" customWidth="1"/>
    <col min="14869" max="14869" width="10.7109375" style="254" customWidth="1"/>
    <col min="14870" max="14872" width="6.7109375" style="254" customWidth="1"/>
    <col min="14873" max="14873" width="11.42578125" style="254" customWidth="1"/>
    <col min="14874" max="14876" width="6.7109375" style="254" customWidth="1"/>
    <col min="14877" max="14877" width="11.42578125" style="254"/>
    <col min="14878" max="14878" width="1.5703125" style="254" customWidth="1"/>
    <col min="14879" max="15103" width="11.42578125" style="254"/>
    <col min="15104" max="15104" width="15.28515625" style="254" customWidth="1"/>
    <col min="15105" max="15105" width="13" style="254" bestFit="1" customWidth="1"/>
    <col min="15106" max="15106" width="6.28515625" style="254" customWidth="1"/>
    <col min="15107" max="15107" width="7.5703125" style="254" customWidth="1"/>
    <col min="15108" max="15108" width="8" style="254" customWidth="1"/>
    <col min="15109" max="15109" width="10.7109375" style="254" customWidth="1"/>
    <col min="15110" max="15110" width="6.28515625" style="254" customWidth="1"/>
    <col min="15111" max="15111" width="7.5703125" style="254" customWidth="1"/>
    <col min="15112" max="15112" width="8.140625" style="254" customWidth="1"/>
    <col min="15113" max="15113" width="10.7109375" style="254" customWidth="1"/>
    <col min="15114" max="15114" width="6.28515625" style="254" customWidth="1"/>
    <col min="15115" max="15115" width="7.5703125" style="254" customWidth="1"/>
    <col min="15116" max="15116" width="8.140625" style="254" customWidth="1"/>
    <col min="15117" max="15117" width="10.7109375" style="254" customWidth="1"/>
    <col min="15118" max="15118" width="6.7109375" style="254" customWidth="1"/>
    <col min="15119" max="15119" width="7.5703125" style="254" customWidth="1"/>
    <col min="15120" max="15120" width="8.140625" style="254" customWidth="1"/>
    <col min="15121" max="15121" width="10.7109375" style="254" customWidth="1"/>
    <col min="15122" max="15122" width="6.7109375" style="254" customWidth="1"/>
    <col min="15123" max="15123" width="7.5703125" style="254" customWidth="1"/>
    <col min="15124" max="15124" width="8.140625" style="254" customWidth="1"/>
    <col min="15125" max="15125" width="10.7109375" style="254" customWidth="1"/>
    <col min="15126" max="15128" width="6.7109375" style="254" customWidth="1"/>
    <col min="15129" max="15129" width="11.42578125" style="254" customWidth="1"/>
    <col min="15130" max="15132" width="6.7109375" style="254" customWidth="1"/>
    <col min="15133" max="15133" width="11.42578125" style="254"/>
    <col min="15134" max="15134" width="1.5703125" style="254" customWidth="1"/>
    <col min="15135" max="15359" width="11.42578125" style="254"/>
    <col min="15360" max="15360" width="15.28515625" style="254" customWidth="1"/>
    <col min="15361" max="15361" width="13" style="254" bestFit="1" customWidth="1"/>
    <col min="15362" max="15362" width="6.28515625" style="254" customWidth="1"/>
    <col min="15363" max="15363" width="7.5703125" style="254" customWidth="1"/>
    <col min="15364" max="15364" width="8" style="254" customWidth="1"/>
    <col min="15365" max="15365" width="10.7109375" style="254" customWidth="1"/>
    <col min="15366" max="15366" width="6.28515625" style="254" customWidth="1"/>
    <col min="15367" max="15367" width="7.5703125" style="254" customWidth="1"/>
    <col min="15368" max="15368" width="8.140625" style="254" customWidth="1"/>
    <col min="15369" max="15369" width="10.7109375" style="254" customWidth="1"/>
    <col min="15370" max="15370" width="6.28515625" style="254" customWidth="1"/>
    <col min="15371" max="15371" width="7.5703125" style="254" customWidth="1"/>
    <col min="15372" max="15372" width="8.140625" style="254" customWidth="1"/>
    <col min="15373" max="15373" width="10.7109375" style="254" customWidth="1"/>
    <col min="15374" max="15374" width="6.7109375" style="254" customWidth="1"/>
    <col min="15375" max="15375" width="7.5703125" style="254" customWidth="1"/>
    <col min="15376" max="15376" width="8.140625" style="254" customWidth="1"/>
    <col min="15377" max="15377" width="10.7109375" style="254" customWidth="1"/>
    <col min="15378" max="15378" width="6.7109375" style="254" customWidth="1"/>
    <col min="15379" max="15379" width="7.5703125" style="254" customWidth="1"/>
    <col min="15380" max="15380" width="8.140625" style="254" customWidth="1"/>
    <col min="15381" max="15381" width="10.7109375" style="254" customWidth="1"/>
    <col min="15382" max="15384" width="6.7109375" style="254" customWidth="1"/>
    <col min="15385" max="15385" width="11.42578125" style="254" customWidth="1"/>
    <col min="15386" max="15388" width="6.7109375" style="254" customWidth="1"/>
    <col min="15389" max="15389" width="11.42578125" style="254"/>
    <col min="15390" max="15390" width="1.5703125" style="254" customWidth="1"/>
    <col min="15391" max="15615" width="11.42578125" style="254"/>
    <col min="15616" max="15616" width="15.28515625" style="254" customWidth="1"/>
    <col min="15617" max="15617" width="13" style="254" bestFit="1" customWidth="1"/>
    <col min="15618" max="15618" width="6.28515625" style="254" customWidth="1"/>
    <col min="15619" max="15619" width="7.5703125" style="254" customWidth="1"/>
    <col min="15620" max="15620" width="8" style="254" customWidth="1"/>
    <col min="15621" max="15621" width="10.7109375" style="254" customWidth="1"/>
    <col min="15622" max="15622" width="6.28515625" style="254" customWidth="1"/>
    <col min="15623" max="15623" width="7.5703125" style="254" customWidth="1"/>
    <col min="15624" max="15624" width="8.140625" style="254" customWidth="1"/>
    <col min="15625" max="15625" width="10.7109375" style="254" customWidth="1"/>
    <col min="15626" max="15626" width="6.28515625" style="254" customWidth="1"/>
    <col min="15627" max="15627" width="7.5703125" style="254" customWidth="1"/>
    <col min="15628" max="15628" width="8.140625" style="254" customWidth="1"/>
    <col min="15629" max="15629" width="10.7109375" style="254" customWidth="1"/>
    <col min="15630" max="15630" width="6.7109375" style="254" customWidth="1"/>
    <col min="15631" max="15631" width="7.5703125" style="254" customWidth="1"/>
    <col min="15632" max="15632" width="8.140625" style="254" customWidth="1"/>
    <col min="15633" max="15633" width="10.7109375" style="254" customWidth="1"/>
    <col min="15634" max="15634" width="6.7109375" style="254" customWidth="1"/>
    <col min="15635" max="15635" width="7.5703125" style="254" customWidth="1"/>
    <col min="15636" max="15636" width="8.140625" style="254" customWidth="1"/>
    <col min="15637" max="15637" width="10.7109375" style="254" customWidth="1"/>
    <col min="15638" max="15640" width="6.7109375" style="254" customWidth="1"/>
    <col min="15641" max="15641" width="11.42578125" style="254" customWidth="1"/>
    <col min="15642" max="15644" width="6.7109375" style="254" customWidth="1"/>
    <col min="15645" max="15645" width="11.42578125" style="254"/>
    <col min="15646" max="15646" width="1.5703125" style="254" customWidth="1"/>
    <col min="15647" max="15871" width="11.42578125" style="254"/>
    <col min="15872" max="15872" width="15.28515625" style="254" customWidth="1"/>
    <col min="15873" max="15873" width="13" style="254" bestFit="1" customWidth="1"/>
    <col min="15874" max="15874" width="6.28515625" style="254" customWidth="1"/>
    <col min="15875" max="15875" width="7.5703125" style="254" customWidth="1"/>
    <col min="15876" max="15876" width="8" style="254" customWidth="1"/>
    <col min="15877" max="15877" width="10.7109375" style="254" customWidth="1"/>
    <col min="15878" max="15878" width="6.28515625" style="254" customWidth="1"/>
    <col min="15879" max="15879" width="7.5703125" style="254" customWidth="1"/>
    <col min="15880" max="15880" width="8.140625" style="254" customWidth="1"/>
    <col min="15881" max="15881" width="10.7109375" style="254" customWidth="1"/>
    <col min="15882" max="15882" width="6.28515625" style="254" customWidth="1"/>
    <col min="15883" max="15883" width="7.5703125" style="254" customWidth="1"/>
    <col min="15884" max="15884" width="8.140625" style="254" customWidth="1"/>
    <col min="15885" max="15885" width="10.7109375" style="254" customWidth="1"/>
    <col min="15886" max="15886" width="6.7109375" style="254" customWidth="1"/>
    <col min="15887" max="15887" width="7.5703125" style="254" customWidth="1"/>
    <col min="15888" max="15888" width="8.140625" style="254" customWidth="1"/>
    <col min="15889" max="15889" width="10.7109375" style="254" customWidth="1"/>
    <col min="15890" max="15890" width="6.7109375" style="254" customWidth="1"/>
    <col min="15891" max="15891" width="7.5703125" style="254" customWidth="1"/>
    <col min="15892" max="15892" width="8.140625" style="254" customWidth="1"/>
    <col min="15893" max="15893" width="10.7109375" style="254" customWidth="1"/>
    <col min="15894" max="15896" width="6.7109375" style="254" customWidth="1"/>
    <col min="15897" max="15897" width="11.42578125" style="254" customWidth="1"/>
    <col min="15898" max="15900" width="6.7109375" style="254" customWidth="1"/>
    <col min="15901" max="15901" width="11.42578125" style="254"/>
    <col min="15902" max="15902" width="1.5703125" style="254" customWidth="1"/>
    <col min="15903" max="16127" width="11.42578125" style="254"/>
    <col min="16128" max="16128" width="15.28515625" style="254" customWidth="1"/>
    <col min="16129" max="16129" width="13" style="254" bestFit="1" customWidth="1"/>
    <col min="16130" max="16130" width="6.28515625" style="254" customWidth="1"/>
    <col min="16131" max="16131" width="7.5703125" style="254" customWidth="1"/>
    <col min="16132" max="16132" width="8" style="254" customWidth="1"/>
    <col min="16133" max="16133" width="10.7109375" style="254" customWidth="1"/>
    <col min="16134" max="16134" width="6.28515625" style="254" customWidth="1"/>
    <col min="16135" max="16135" width="7.5703125" style="254" customWidth="1"/>
    <col min="16136" max="16136" width="8.140625" style="254" customWidth="1"/>
    <col min="16137" max="16137" width="10.7109375" style="254" customWidth="1"/>
    <col min="16138" max="16138" width="6.28515625" style="254" customWidth="1"/>
    <col min="16139" max="16139" width="7.5703125" style="254" customWidth="1"/>
    <col min="16140" max="16140" width="8.140625" style="254" customWidth="1"/>
    <col min="16141" max="16141" width="10.7109375" style="254" customWidth="1"/>
    <col min="16142" max="16142" width="6.7109375" style="254" customWidth="1"/>
    <col min="16143" max="16143" width="7.5703125" style="254" customWidth="1"/>
    <col min="16144" max="16144" width="8.140625" style="254" customWidth="1"/>
    <col min="16145" max="16145" width="10.7109375" style="254" customWidth="1"/>
    <col min="16146" max="16146" width="6.7109375" style="254" customWidth="1"/>
    <col min="16147" max="16147" width="7.5703125" style="254" customWidth="1"/>
    <col min="16148" max="16148" width="8.140625" style="254" customWidth="1"/>
    <col min="16149" max="16149" width="10.7109375" style="254" customWidth="1"/>
    <col min="16150" max="16152" width="6.7109375" style="254" customWidth="1"/>
    <col min="16153" max="16153" width="11.42578125" style="254" customWidth="1"/>
    <col min="16154" max="16156" width="6.7109375" style="254" customWidth="1"/>
    <col min="16157" max="16157" width="11.42578125" style="254"/>
    <col min="16158" max="16158" width="1.5703125" style="254" customWidth="1"/>
    <col min="16159" max="16384" width="11.42578125" style="254"/>
  </cols>
  <sheetData>
    <row r="1" spans="1:53" ht="43.5" customHeight="1" x14ac:dyDescent="0.2">
      <c r="A1" s="4187" t="s">
        <v>1376</v>
      </c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</row>
    <row r="2" spans="1:53" ht="11.25" customHeight="1" x14ac:dyDescent="0.2">
      <c r="C2" s="2375"/>
      <c r="D2" s="2375"/>
      <c r="E2" s="2375"/>
      <c r="F2" s="2375"/>
      <c r="G2" s="2375"/>
      <c r="H2" s="2375"/>
      <c r="I2" s="2375"/>
      <c r="J2" s="2375"/>
      <c r="K2" s="2375"/>
      <c r="L2" s="2375"/>
      <c r="M2" s="2375"/>
      <c r="N2" s="2375"/>
      <c r="O2" s="2375"/>
      <c r="P2" s="2375"/>
      <c r="Q2" s="2375"/>
      <c r="R2" s="2375"/>
      <c r="S2" s="1643"/>
      <c r="T2" s="1643"/>
      <c r="U2" s="1643"/>
      <c r="V2" s="1643"/>
      <c r="W2" s="1643"/>
      <c r="X2" s="1643"/>
      <c r="Y2" s="1643"/>
      <c r="Z2" s="1643"/>
      <c r="AA2" s="1643"/>
      <c r="AB2" s="1643"/>
      <c r="AC2" s="1643"/>
      <c r="AD2" s="1643"/>
      <c r="AE2" s="1643"/>
      <c r="AF2" s="1643"/>
      <c r="AG2" s="1643"/>
      <c r="AH2" s="1643"/>
      <c r="AI2" s="1643"/>
      <c r="AJ2" s="1643"/>
      <c r="AK2" s="1643"/>
      <c r="AL2" s="1643"/>
      <c r="AM2" s="1643"/>
      <c r="AN2" s="1643"/>
      <c r="AO2" s="1643"/>
      <c r="AP2" s="1643"/>
      <c r="AQ2" s="1643"/>
      <c r="AR2" s="1643"/>
      <c r="AS2" s="1643"/>
    </row>
    <row r="3" spans="1:53" x14ac:dyDescent="0.2">
      <c r="A3" s="6387" t="s">
        <v>164</v>
      </c>
      <c r="B3" s="6383" t="s">
        <v>158</v>
      </c>
      <c r="C3" s="6384"/>
      <c r="D3" s="6384"/>
      <c r="E3" s="6385"/>
      <c r="F3" s="6383">
        <v>2004</v>
      </c>
      <c r="G3" s="6384"/>
      <c r="H3" s="6384"/>
      <c r="I3" s="6385"/>
      <c r="J3" s="6383">
        <v>2005</v>
      </c>
      <c r="K3" s="6384"/>
      <c r="L3" s="6384"/>
      <c r="M3" s="6385"/>
      <c r="N3" s="6383">
        <v>2006</v>
      </c>
      <c r="O3" s="6384"/>
      <c r="P3" s="6384"/>
      <c r="Q3" s="6385"/>
      <c r="R3" s="6383">
        <v>2007</v>
      </c>
      <c r="S3" s="6384"/>
      <c r="T3" s="6384"/>
      <c r="U3" s="6385"/>
      <c r="V3" s="6383">
        <v>2008</v>
      </c>
      <c r="W3" s="6384"/>
      <c r="X3" s="6384"/>
      <c r="Y3" s="6385"/>
      <c r="Z3" s="6383">
        <v>2009</v>
      </c>
      <c r="AA3" s="6384"/>
      <c r="AB3" s="6384"/>
      <c r="AC3" s="6385"/>
      <c r="AD3" s="6383">
        <v>2010</v>
      </c>
      <c r="AE3" s="6384"/>
      <c r="AF3" s="6384"/>
      <c r="AG3" s="6385"/>
      <c r="AH3" s="6383">
        <v>2011</v>
      </c>
      <c r="AI3" s="6384"/>
      <c r="AJ3" s="6384"/>
      <c r="AK3" s="6385"/>
      <c r="AL3" s="6383">
        <v>2012</v>
      </c>
      <c r="AM3" s="6384"/>
      <c r="AN3" s="6384"/>
      <c r="AO3" s="6385"/>
      <c r="AP3" s="6383">
        <v>2013</v>
      </c>
      <c r="AQ3" s="6384"/>
      <c r="AR3" s="6384"/>
      <c r="AS3" s="6385"/>
      <c r="AT3" s="6383">
        <v>2014</v>
      </c>
      <c r="AU3" s="6384"/>
      <c r="AV3" s="6384"/>
      <c r="AW3" s="6385"/>
      <c r="AX3" s="6383">
        <v>2015</v>
      </c>
      <c r="AY3" s="6384"/>
      <c r="AZ3" s="6384"/>
      <c r="BA3" s="6385"/>
    </row>
    <row r="4" spans="1:53" x14ac:dyDescent="0.2">
      <c r="A4" s="6388"/>
      <c r="B4" s="1960" t="s">
        <v>52</v>
      </c>
      <c r="C4" s="1961" t="s">
        <v>53</v>
      </c>
      <c r="D4" s="1962" t="s">
        <v>54</v>
      </c>
      <c r="E4" s="1939" t="s">
        <v>160</v>
      </c>
      <c r="F4" s="1960" t="s">
        <v>52</v>
      </c>
      <c r="G4" s="1961" t="s">
        <v>53</v>
      </c>
      <c r="H4" s="1962" t="s">
        <v>54</v>
      </c>
      <c r="I4" s="1939" t="s">
        <v>160</v>
      </c>
      <c r="J4" s="1960" t="s">
        <v>52</v>
      </c>
      <c r="K4" s="1961" t="s">
        <v>53</v>
      </c>
      <c r="L4" s="1962" t="s">
        <v>54</v>
      </c>
      <c r="M4" s="1939" t="s">
        <v>160</v>
      </c>
      <c r="N4" s="1960" t="s">
        <v>52</v>
      </c>
      <c r="O4" s="1961" t="s">
        <v>53</v>
      </c>
      <c r="P4" s="1962" t="s">
        <v>54</v>
      </c>
      <c r="Q4" s="1939" t="s">
        <v>160</v>
      </c>
      <c r="R4" s="1960" t="s">
        <v>52</v>
      </c>
      <c r="S4" s="1961" t="s">
        <v>53</v>
      </c>
      <c r="T4" s="1962" t="s">
        <v>54</v>
      </c>
      <c r="U4" s="1939" t="s">
        <v>160</v>
      </c>
      <c r="V4" s="1960" t="s">
        <v>52</v>
      </c>
      <c r="W4" s="1961" t="s">
        <v>53</v>
      </c>
      <c r="X4" s="1962" t="s">
        <v>54</v>
      </c>
      <c r="Y4" s="1939" t="s">
        <v>160</v>
      </c>
      <c r="Z4" s="1960" t="s">
        <v>52</v>
      </c>
      <c r="AA4" s="1961" t="s">
        <v>53</v>
      </c>
      <c r="AB4" s="1962" t="s">
        <v>54</v>
      </c>
      <c r="AC4" s="1939" t="s">
        <v>160</v>
      </c>
      <c r="AD4" s="1960" t="s">
        <v>52</v>
      </c>
      <c r="AE4" s="1961" t="s">
        <v>53</v>
      </c>
      <c r="AF4" s="1962" t="s">
        <v>54</v>
      </c>
      <c r="AG4" s="1939" t="s">
        <v>160</v>
      </c>
      <c r="AH4" s="1960" t="s">
        <v>52</v>
      </c>
      <c r="AI4" s="1961" t="s">
        <v>53</v>
      </c>
      <c r="AJ4" s="1962" t="s">
        <v>54</v>
      </c>
      <c r="AK4" s="1939" t="s">
        <v>160</v>
      </c>
      <c r="AL4" s="1960" t="s">
        <v>52</v>
      </c>
      <c r="AM4" s="1961" t="s">
        <v>53</v>
      </c>
      <c r="AN4" s="1962" t="s">
        <v>54</v>
      </c>
      <c r="AO4" s="1939" t="s">
        <v>160</v>
      </c>
      <c r="AP4" s="1960" t="s">
        <v>52</v>
      </c>
      <c r="AQ4" s="1961" t="s">
        <v>53</v>
      </c>
      <c r="AR4" s="1962" t="s">
        <v>54</v>
      </c>
      <c r="AS4" s="1939" t="s">
        <v>160</v>
      </c>
      <c r="AT4" s="1960" t="s">
        <v>52</v>
      </c>
      <c r="AU4" s="1961" t="s">
        <v>53</v>
      </c>
      <c r="AV4" s="1962" t="s">
        <v>54</v>
      </c>
      <c r="AW4" s="1939" t="s">
        <v>160</v>
      </c>
      <c r="AX4" s="1960" t="s">
        <v>52</v>
      </c>
      <c r="AY4" s="1961" t="s">
        <v>53</v>
      </c>
      <c r="AZ4" s="1962" t="s">
        <v>54</v>
      </c>
      <c r="BA4" s="1939" t="s">
        <v>160</v>
      </c>
    </row>
    <row r="5" spans="1:53" x14ac:dyDescent="0.2">
      <c r="A5" s="1940"/>
      <c r="B5" s="1941"/>
      <c r="C5" s="1941"/>
      <c r="D5" s="1941"/>
      <c r="E5" s="1941"/>
      <c r="F5" s="1941"/>
      <c r="G5" s="1941"/>
      <c r="H5" s="1941"/>
      <c r="I5" s="1941"/>
      <c r="J5" s="1941"/>
      <c r="K5" s="1941"/>
      <c r="L5" s="1941"/>
      <c r="M5" s="1941"/>
      <c r="N5" s="1941"/>
      <c r="O5" s="1941"/>
      <c r="P5" s="1941"/>
      <c r="Q5" s="1941"/>
      <c r="R5" s="1941"/>
      <c r="S5" s="1941"/>
      <c r="T5" s="1941"/>
      <c r="U5" s="1941"/>
      <c r="V5" s="1941"/>
      <c r="W5" s="1941"/>
      <c r="X5" s="1941"/>
      <c r="Y5" s="1941"/>
      <c r="Z5" s="1941"/>
      <c r="AA5" s="1941"/>
      <c r="AB5" s="1941"/>
      <c r="AC5" s="1941"/>
      <c r="AD5" s="1941"/>
      <c r="AE5" s="1941"/>
      <c r="AF5" s="1941"/>
      <c r="AG5" s="1941"/>
      <c r="AH5" s="1941"/>
      <c r="AI5" s="1941"/>
      <c r="AJ5" s="1941"/>
      <c r="AK5" s="1941"/>
      <c r="AL5" s="1941"/>
      <c r="AM5" s="1941"/>
      <c r="AN5" s="1941"/>
      <c r="AO5" s="1941"/>
      <c r="AP5" s="1941"/>
      <c r="AQ5" s="1941"/>
      <c r="AR5" s="1941"/>
      <c r="AS5" s="1941"/>
      <c r="AT5" s="1941"/>
      <c r="AU5" s="1941"/>
      <c r="AV5" s="1941"/>
      <c r="AW5" s="1941"/>
      <c r="AX5" s="1941"/>
      <c r="AY5" s="1941"/>
      <c r="AZ5" s="1941"/>
      <c r="BA5" s="1941"/>
    </row>
    <row r="6" spans="1:53" ht="15" customHeight="1" x14ac:dyDescent="0.2">
      <c r="A6" s="1931" t="s">
        <v>5</v>
      </c>
      <c r="B6" s="1942"/>
      <c r="C6" s="1943"/>
      <c r="D6" s="1944"/>
      <c r="E6" s="1945"/>
      <c r="F6" s="1942"/>
      <c r="G6" s="1944">
        <v>6</v>
      </c>
      <c r="H6" s="1944">
        <v>30</v>
      </c>
      <c r="I6" s="1945">
        <v>36</v>
      </c>
      <c r="J6" s="1942"/>
      <c r="K6" s="1944">
        <v>7</v>
      </c>
      <c r="L6" s="1944">
        <v>32</v>
      </c>
      <c r="M6" s="1945">
        <v>39</v>
      </c>
      <c r="N6" s="1942">
        <v>1</v>
      </c>
      <c r="O6" s="1944">
        <v>10</v>
      </c>
      <c r="P6" s="1944">
        <v>30</v>
      </c>
      <c r="Q6" s="1945">
        <v>41</v>
      </c>
      <c r="R6" s="1942">
        <v>1</v>
      </c>
      <c r="S6" s="1944">
        <v>14</v>
      </c>
      <c r="T6" s="1944">
        <v>25</v>
      </c>
      <c r="U6" s="1945">
        <v>40</v>
      </c>
      <c r="V6" s="1942">
        <v>2</v>
      </c>
      <c r="W6" s="1944">
        <v>13</v>
      </c>
      <c r="X6" s="1944">
        <v>25</v>
      </c>
      <c r="Y6" s="1945">
        <v>40</v>
      </c>
      <c r="Z6" s="1942">
        <v>4</v>
      </c>
      <c r="AA6" s="1944">
        <v>13</v>
      </c>
      <c r="AB6" s="1944">
        <v>22</v>
      </c>
      <c r="AC6" s="1945">
        <v>39</v>
      </c>
      <c r="AD6" s="1942">
        <v>6</v>
      </c>
      <c r="AE6" s="1944">
        <v>12</v>
      </c>
      <c r="AF6" s="1944">
        <v>12</v>
      </c>
      <c r="AG6" s="1945">
        <f>SUM(AD6:AF6)</f>
        <v>30</v>
      </c>
      <c r="AH6" s="1942">
        <v>8</v>
      </c>
      <c r="AI6" s="1944">
        <v>9</v>
      </c>
      <c r="AJ6" s="1944">
        <v>10</v>
      </c>
      <c r="AK6" s="1945">
        <f>SUM(AH6:AJ6)</f>
        <v>27</v>
      </c>
      <c r="AL6" s="1942">
        <v>8</v>
      </c>
      <c r="AM6" s="1944">
        <v>11</v>
      </c>
      <c r="AN6" s="1944">
        <v>9</v>
      </c>
      <c r="AO6" s="1945">
        <f>SUM(AL6:AN6)</f>
        <v>28</v>
      </c>
      <c r="AP6" s="1942">
        <v>8</v>
      </c>
      <c r="AQ6" s="1944">
        <v>11</v>
      </c>
      <c r="AR6" s="1944">
        <v>9</v>
      </c>
      <c r="AS6" s="1945">
        <f t="shared" ref="AS6:AS13" si="0">SUM(AP6:AR6)</f>
        <v>28</v>
      </c>
      <c r="AT6" s="1942">
        <v>8</v>
      </c>
      <c r="AU6" s="1944">
        <v>10</v>
      </c>
      <c r="AV6" s="1944">
        <v>8</v>
      </c>
      <c r="AW6" s="1945">
        <f>SUM(AT6:AV6)</f>
        <v>26</v>
      </c>
      <c r="AX6" s="1942">
        <v>11</v>
      </c>
      <c r="AY6" s="1944">
        <v>4</v>
      </c>
      <c r="AZ6" s="1944">
        <v>12</v>
      </c>
      <c r="BA6" s="1945">
        <f>SUM(AX6:AZ6)</f>
        <v>27</v>
      </c>
    </row>
    <row r="7" spans="1:53" ht="15" customHeight="1" x14ac:dyDescent="0.2">
      <c r="A7" s="1932" t="s">
        <v>6</v>
      </c>
      <c r="B7" s="1946"/>
      <c r="C7" s="1947"/>
      <c r="D7" s="1947"/>
      <c r="E7" s="1948"/>
      <c r="F7" s="1946"/>
      <c r="G7" s="1947">
        <v>2</v>
      </c>
      <c r="H7" s="1947">
        <v>28</v>
      </c>
      <c r="I7" s="1948">
        <v>30</v>
      </c>
      <c r="J7" s="1946"/>
      <c r="K7" s="1947">
        <v>2</v>
      </c>
      <c r="L7" s="1947">
        <v>31</v>
      </c>
      <c r="M7" s="1948">
        <v>33</v>
      </c>
      <c r="N7" s="1946">
        <v>3</v>
      </c>
      <c r="O7" s="1947">
        <v>7</v>
      </c>
      <c r="P7" s="1947">
        <v>27</v>
      </c>
      <c r="Q7" s="1948">
        <v>37</v>
      </c>
      <c r="R7" s="1946">
        <v>4</v>
      </c>
      <c r="S7" s="1947">
        <v>11</v>
      </c>
      <c r="T7" s="1947">
        <v>28</v>
      </c>
      <c r="U7" s="1948">
        <v>43</v>
      </c>
      <c r="V7" s="1946">
        <v>4</v>
      </c>
      <c r="W7" s="1947">
        <v>11</v>
      </c>
      <c r="X7" s="1947">
        <v>28</v>
      </c>
      <c r="Y7" s="1948">
        <v>43</v>
      </c>
      <c r="Z7" s="1946">
        <v>4</v>
      </c>
      <c r="AA7" s="1947">
        <v>16</v>
      </c>
      <c r="AB7" s="1947">
        <v>22</v>
      </c>
      <c r="AC7" s="1948">
        <v>42</v>
      </c>
      <c r="AD7" s="1946">
        <v>6</v>
      </c>
      <c r="AE7" s="1947">
        <v>16</v>
      </c>
      <c r="AF7" s="1947">
        <v>12</v>
      </c>
      <c r="AG7" s="1948">
        <f>SUM(AD7:AF7)</f>
        <v>34</v>
      </c>
      <c r="AH7" s="1946">
        <v>6</v>
      </c>
      <c r="AI7" s="1947">
        <v>17</v>
      </c>
      <c r="AJ7" s="1947">
        <v>11</v>
      </c>
      <c r="AK7" s="1948">
        <f>SUM(AH7:AJ7)</f>
        <v>34</v>
      </c>
      <c r="AL7" s="1946">
        <v>6</v>
      </c>
      <c r="AM7" s="1947">
        <v>15</v>
      </c>
      <c r="AN7" s="1947">
        <v>9</v>
      </c>
      <c r="AO7" s="1948">
        <f>SUM(AL7:AN7)</f>
        <v>30</v>
      </c>
      <c r="AP7" s="1946">
        <v>6</v>
      </c>
      <c r="AQ7" s="1947">
        <v>15</v>
      </c>
      <c r="AR7" s="1947">
        <v>10</v>
      </c>
      <c r="AS7" s="1948">
        <f t="shared" si="0"/>
        <v>31</v>
      </c>
      <c r="AT7" s="1946">
        <v>7</v>
      </c>
      <c r="AU7" s="1947">
        <v>11</v>
      </c>
      <c r="AV7" s="1947">
        <v>12</v>
      </c>
      <c r="AW7" s="1948">
        <f>SUM(AT7:AV7)</f>
        <v>30</v>
      </c>
      <c r="AX7" s="1946">
        <v>7</v>
      </c>
      <c r="AY7" s="1947">
        <v>10</v>
      </c>
      <c r="AZ7" s="1947">
        <v>13</v>
      </c>
      <c r="BA7" s="1948">
        <f>SUM(AX7:AZ7)</f>
        <v>30</v>
      </c>
    </row>
    <row r="8" spans="1:53" ht="15" customHeight="1" x14ac:dyDescent="0.2">
      <c r="A8" s="1933" t="s">
        <v>7</v>
      </c>
      <c r="B8" s="1949"/>
      <c r="C8" s="1950"/>
      <c r="D8" s="1950"/>
      <c r="E8" s="1951"/>
      <c r="F8" s="1949"/>
      <c r="G8" s="1950">
        <v>1</v>
      </c>
      <c r="H8" s="1950">
        <v>16</v>
      </c>
      <c r="I8" s="1951">
        <v>17</v>
      </c>
      <c r="J8" s="1949"/>
      <c r="K8" s="1950">
        <v>1</v>
      </c>
      <c r="L8" s="1950">
        <v>17</v>
      </c>
      <c r="M8" s="1951">
        <v>18</v>
      </c>
      <c r="N8" s="1949"/>
      <c r="O8" s="1950">
        <v>4</v>
      </c>
      <c r="P8" s="1950">
        <v>15</v>
      </c>
      <c r="Q8" s="1951">
        <v>19</v>
      </c>
      <c r="R8" s="1949">
        <v>1</v>
      </c>
      <c r="S8" s="1950">
        <v>3</v>
      </c>
      <c r="T8" s="1950">
        <v>14</v>
      </c>
      <c r="U8" s="1951">
        <v>18</v>
      </c>
      <c r="V8" s="1949">
        <v>1</v>
      </c>
      <c r="W8" s="1950">
        <v>3</v>
      </c>
      <c r="X8" s="1950">
        <v>14</v>
      </c>
      <c r="Y8" s="1951">
        <v>18</v>
      </c>
      <c r="Z8" s="1949">
        <v>1</v>
      </c>
      <c r="AA8" s="1950">
        <v>3</v>
      </c>
      <c r="AB8" s="1950">
        <v>14</v>
      </c>
      <c r="AC8" s="1951">
        <v>18</v>
      </c>
      <c r="AD8" s="1949">
        <v>1</v>
      </c>
      <c r="AE8" s="1950">
        <v>4</v>
      </c>
      <c r="AF8" s="1950">
        <v>12</v>
      </c>
      <c r="AG8" s="1951">
        <f>SUM(AD8:AF8)</f>
        <v>17</v>
      </c>
      <c r="AH8" s="1949">
        <v>1</v>
      </c>
      <c r="AI8" s="1950">
        <v>3</v>
      </c>
      <c r="AJ8" s="1950">
        <v>15</v>
      </c>
      <c r="AK8" s="1951">
        <f>SUM(AH8:AJ8)</f>
        <v>19</v>
      </c>
      <c r="AL8" s="1949">
        <v>1</v>
      </c>
      <c r="AM8" s="1950">
        <v>3</v>
      </c>
      <c r="AN8" s="1950">
        <v>16</v>
      </c>
      <c r="AO8" s="1951">
        <f>SUM(AL8:AN8)</f>
        <v>20</v>
      </c>
      <c r="AP8" s="1949">
        <v>1</v>
      </c>
      <c r="AQ8" s="1950">
        <v>3</v>
      </c>
      <c r="AR8" s="1950">
        <v>16</v>
      </c>
      <c r="AS8" s="1951">
        <f t="shared" si="0"/>
        <v>20</v>
      </c>
      <c r="AT8" s="1949">
        <v>1</v>
      </c>
      <c r="AU8" s="1950">
        <v>3</v>
      </c>
      <c r="AV8" s="1950">
        <v>16</v>
      </c>
      <c r="AW8" s="1951">
        <f>SUM(AT8:AV8)</f>
        <v>20</v>
      </c>
      <c r="AX8" s="1949">
        <v>1</v>
      </c>
      <c r="AY8" s="1950">
        <v>6</v>
      </c>
      <c r="AZ8" s="1950">
        <v>19</v>
      </c>
      <c r="BA8" s="1951">
        <f>SUM(AX8:AZ8)</f>
        <v>26</v>
      </c>
    </row>
    <row r="9" spans="1:53" ht="15" customHeight="1" x14ac:dyDescent="0.2">
      <c r="A9" s="4183" t="s">
        <v>161</v>
      </c>
      <c r="B9" s="2342">
        <v>0</v>
      </c>
      <c r="C9" s="2343">
        <v>5</v>
      </c>
      <c r="D9" s="2343">
        <v>62</v>
      </c>
      <c r="E9" s="2344">
        <v>67</v>
      </c>
      <c r="F9" s="2342">
        <v>0</v>
      </c>
      <c r="G9" s="2343">
        <v>9</v>
      </c>
      <c r="H9" s="2343">
        <v>74</v>
      </c>
      <c r="I9" s="2344">
        <v>83</v>
      </c>
      <c r="J9" s="2342">
        <v>0</v>
      </c>
      <c r="K9" s="2343">
        <v>10</v>
      </c>
      <c r="L9" s="2343">
        <v>80</v>
      </c>
      <c r="M9" s="2344">
        <v>90</v>
      </c>
      <c r="N9" s="2342">
        <v>4</v>
      </c>
      <c r="O9" s="2343">
        <v>21</v>
      </c>
      <c r="P9" s="2343">
        <v>72</v>
      </c>
      <c r="Q9" s="2344">
        <v>97</v>
      </c>
      <c r="R9" s="2342">
        <v>6</v>
      </c>
      <c r="S9" s="2343">
        <v>28</v>
      </c>
      <c r="T9" s="2343">
        <v>67</v>
      </c>
      <c r="U9" s="2344">
        <v>101</v>
      </c>
      <c r="V9" s="2342">
        <v>7</v>
      </c>
      <c r="W9" s="2343">
        <v>27</v>
      </c>
      <c r="X9" s="2343">
        <v>67</v>
      </c>
      <c r="Y9" s="2344">
        <v>101</v>
      </c>
      <c r="Z9" s="2342">
        <v>9</v>
      </c>
      <c r="AA9" s="2343">
        <v>32</v>
      </c>
      <c r="AB9" s="2343">
        <v>58</v>
      </c>
      <c r="AC9" s="2344">
        <v>99</v>
      </c>
      <c r="AD9" s="2342">
        <f>SUM(AD6:AD8)</f>
        <v>13</v>
      </c>
      <c r="AE9" s="2343">
        <f>SUM(AE6:AE8)</f>
        <v>32</v>
      </c>
      <c r="AF9" s="2343">
        <f>SUM(AF6:AF8)</f>
        <v>36</v>
      </c>
      <c r="AG9" s="2344">
        <f>SUM(AD9:AF9)</f>
        <v>81</v>
      </c>
      <c r="AH9" s="2342">
        <f>SUM(AH6:AH8)</f>
        <v>15</v>
      </c>
      <c r="AI9" s="2343">
        <f>SUM(AI6:AI8)</f>
        <v>29</v>
      </c>
      <c r="AJ9" s="2343">
        <f>SUM(AJ6:AJ8)</f>
        <v>36</v>
      </c>
      <c r="AK9" s="2344">
        <f>SUM(AH9:AJ9)</f>
        <v>80</v>
      </c>
      <c r="AL9" s="2342">
        <f>SUM(AL6:AL8)</f>
        <v>15</v>
      </c>
      <c r="AM9" s="2343">
        <f>SUM(AM6:AM8)</f>
        <v>29</v>
      </c>
      <c r="AN9" s="2343">
        <f>SUM(AN6:AN8)</f>
        <v>34</v>
      </c>
      <c r="AO9" s="2344">
        <f>SUM(AL9:AN9)</f>
        <v>78</v>
      </c>
      <c r="AP9" s="2342">
        <f>SUM(AP6:AP8)</f>
        <v>15</v>
      </c>
      <c r="AQ9" s="2343">
        <f>SUM(AQ6:AQ8)</f>
        <v>29</v>
      </c>
      <c r="AR9" s="2343">
        <f>SUM(AR6:AR8)</f>
        <v>35</v>
      </c>
      <c r="AS9" s="2344">
        <f t="shared" si="0"/>
        <v>79</v>
      </c>
      <c r="AT9" s="2342">
        <f>SUM(AT6:AT8)</f>
        <v>16</v>
      </c>
      <c r="AU9" s="2343">
        <f>SUM(AU6:AU8)</f>
        <v>24</v>
      </c>
      <c r="AV9" s="2343">
        <f>SUM(AV6:AV8)</f>
        <v>36</v>
      </c>
      <c r="AW9" s="2344">
        <f>SUM(AT9:AV9)</f>
        <v>76</v>
      </c>
      <c r="AX9" s="2342">
        <f>SUM(AX6:AX8)</f>
        <v>19</v>
      </c>
      <c r="AY9" s="2343">
        <f>SUM(AY6:AY8)</f>
        <v>20</v>
      </c>
      <c r="AZ9" s="2343">
        <f>SUM(AZ6:AZ8)</f>
        <v>44</v>
      </c>
      <c r="BA9" s="2344">
        <f>SUM(AX9:AZ9)</f>
        <v>83</v>
      </c>
    </row>
    <row r="10" spans="1:53" ht="15" customHeight="1" x14ac:dyDescent="0.2">
      <c r="A10" s="250"/>
      <c r="B10" s="1941"/>
      <c r="C10" s="1941"/>
      <c r="D10" s="1941"/>
      <c r="E10" s="1941"/>
      <c r="F10" s="1941"/>
      <c r="G10" s="1941"/>
      <c r="H10" s="1941"/>
      <c r="I10" s="1941"/>
      <c r="J10" s="1941"/>
      <c r="K10" s="1941"/>
      <c r="L10" s="1941"/>
      <c r="M10" s="1941"/>
      <c r="N10" s="1941"/>
      <c r="O10" s="1941"/>
      <c r="P10" s="1941"/>
      <c r="Q10" s="1941"/>
      <c r="R10" s="1941"/>
      <c r="S10" s="1941"/>
      <c r="T10" s="1941"/>
      <c r="U10" s="1941"/>
      <c r="V10" s="1941"/>
      <c r="W10" s="1941"/>
      <c r="X10" s="1941"/>
      <c r="Y10" s="1941"/>
      <c r="Z10" s="1941"/>
      <c r="AA10" s="1941"/>
      <c r="AB10" s="1941"/>
      <c r="AC10" s="1941"/>
      <c r="AD10" s="1941"/>
      <c r="AE10" s="1941"/>
      <c r="AF10" s="1941"/>
      <c r="AG10" s="1941"/>
      <c r="AH10" s="1941"/>
      <c r="AI10" s="1941"/>
      <c r="AJ10" s="1941"/>
      <c r="AK10" s="1941"/>
      <c r="AL10" s="1941"/>
      <c r="AM10" s="1941"/>
      <c r="AN10" s="1941"/>
      <c r="AO10" s="1941"/>
      <c r="AP10" s="1941"/>
      <c r="AQ10" s="1941"/>
      <c r="AR10" s="1941"/>
      <c r="AS10" s="1941"/>
      <c r="AT10" s="1941"/>
      <c r="AU10" s="1941"/>
      <c r="AV10" s="1941"/>
      <c r="AW10" s="1941"/>
      <c r="AX10" s="1941"/>
      <c r="AY10" s="1941"/>
      <c r="AZ10" s="1941"/>
      <c r="BA10" s="1941"/>
    </row>
    <row r="11" spans="1:53" ht="15" customHeight="1" x14ac:dyDescent="0.2">
      <c r="A11" s="1931" t="s">
        <v>6</v>
      </c>
      <c r="B11" s="1942"/>
      <c r="C11" s="1943"/>
      <c r="D11" s="1944"/>
      <c r="E11" s="1945"/>
      <c r="F11" s="1942"/>
      <c r="G11" s="1944"/>
      <c r="H11" s="1944"/>
      <c r="I11" s="1945"/>
      <c r="J11" s="1942"/>
      <c r="K11" s="1944"/>
      <c r="L11" s="1944"/>
      <c r="M11" s="1945"/>
      <c r="N11" s="1942"/>
      <c r="O11" s="1944"/>
      <c r="P11" s="1944">
        <v>3</v>
      </c>
      <c r="Q11" s="1945">
        <v>3</v>
      </c>
      <c r="R11" s="1942"/>
      <c r="S11" s="1944"/>
      <c r="T11" s="1944">
        <v>5</v>
      </c>
      <c r="U11" s="1945">
        <v>5</v>
      </c>
      <c r="V11" s="1942"/>
      <c r="W11" s="1944">
        <v>2</v>
      </c>
      <c r="X11" s="1944">
        <v>6</v>
      </c>
      <c r="Y11" s="1945">
        <v>8</v>
      </c>
      <c r="Z11" s="1942">
        <v>1</v>
      </c>
      <c r="AA11" s="1944">
        <v>3</v>
      </c>
      <c r="AB11" s="1944">
        <v>6</v>
      </c>
      <c r="AC11" s="1945">
        <v>10</v>
      </c>
      <c r="AD11" s="1942">
        <v>1</v>
      </c>
      <c r="AE11" s="1944">
        <v>4</v>
      </c>
      <c r="AF11" s="1944">
        <v>5</v>
      </c>
      <c r="AG11" s="1945">
        <f>SUM(AD11:AF11)</f>
        <v>10</v>
      </c>
      <c r="AH11" s="1942">
        <v>1</v>
      </c>
      <c r="AI11" s="1944">
        <v>4</v>
      </c>
      <c r="AJ11" s="1944">
        <v>6</v>
      </c>
      <c r="AK11" s="1945">
        <f>SUM(AH11:AJ11)</f>
        <v>11</v>
      </c>
      <c r="AL11" s="1942">
        <v>2</v>
      </c>
      <c r="AM11" s="1944">
        <v>3</v>
      </c>
      <c r="AN11" s="1944">
        <v>7</v>
      </c>
      <c r="AO11" s="1945">
        <f>SUM(AL11:AN11)</f>
        <v>12</v>
      </c>
      <c r="AP11" s="1942">
        <v>2</v>
      </c>
      <c r="AQ11" s="1944">
        <v>3</v>
      </c>
      <c r="AR11" s="1944">
        <v>7</v>
      </c>
      <c r="AS11" s="1945">
        <f t="shared" si="0"/>
        <v>12</v>
      </c>
      <c r="AT11" s="1942">
        <v>3</v>
      </c>
      <c r="AU11" s="1944">
        <v>2</v>
      </c>
      <c r="AV11" s="1944">
        <v>5</v>
      </c>
      <c r="AW11" s="1945">
        <f>SUM(AT11:AV11)</f>
        <v>10</v>
      </c>
      <c r="AX11" s="1942">
        <v>3</v>
      </c>
      <c r="AY11" s="1944">
        <v>4</v>
      </c>
      <c r="AZ11" s="1944">
        <v>3</v>
      </c>
      <c r="BA11" s="1945">
        <f>SUM(AX11:AZ11)</f>
        <v>10</v>
      </c>
    </row>
    <row r="12" spans="1:53" ht="15" customHeight="1" x14ac:dyDescent="0.2">
      <c r="A12" s="1932" t="s">
        <v>9</v>
      </c>
      <c r="B12" s="1946"/>
      <c r="C12" s="1947"/>
      <c r="D12" s="1947"/>
      <c r="E12" s="1948"/>
      <c r="F12" s="1946"/>
      <c r="G12" s="1947"/>
      <c r="H12" s="1947"/>
      <c r="I12" s="1948"/>
      <c r="J12" s="1946"/>
      <c r="K12" s="1947"/>
      <c r="L12" s="1947"/>
      <c r="M12" s="1948"/>
      <c r="N12" s="1946"/>
      <c r="O12" s="1947"/>
      <c r="P12" s="1947">
        <v>3</v>
      </c>
      <c r="Q12" s="1948">
        <v>3</v>
      </c>
      <c r="R12" s="1946"/>
      <c r="S12" s="1947"/>
      <c r="T12" s="1947">
        <v>3</v>
      </c>
      <c r="U12" s="1948">
        <v>3</v>
      </c>
      <c r="V12" s="1946"/>
      <c r="W12" s="1947"/>
      <c r="X12" s="1947">
        <v>3</v>
      </c>
      <c r="Y12" s="1948">
        <v>3</v>
      </c>
      <c r="Z12" s="1946">
        <v>1</v>
      </c>
      <c r="AA12" s="1947"/>
      <c r="AB12" s="1947">
        <v>3</v>
      </c>
      <c r="AC12" s="1948">
        <v>4</v>
      </c>
      <c r="AD12" s="1946">
        <v>1</v>
      </c>
      <c r="AE12" s="1947"/>
      <c r="AF12" s="1947">
        <v>4</v>
      </c>
      <c r="AG12" s="1948">
        <f>SUM(AD12:AF12)</f>
        <v>5</v>
      </c>
      <c r="AH12" s="1946">
        <v>1</v>
      </c>
      <c r="AI12" s="1947"/>
      <c r="AJ12" s="1947">
        <v>8</v>
      </c>
      <c r="AK12" s="1948">
        <f>SUM(AH12:AJ12)</f>
        <v>9</v>
      </c>
      <c r="AL12" s="1946">
        <v>1</v>
      </c>
      <c r="AM12" s="1947"/>
      <c r="AN12" s="1947">
        <v>9</v>
      </c>
      <c r="AO12" s="1948">
        <f>SUM(AL12:AN12)</f>
        <v>10</v>
      </c>
      <c r="AP12" s="1946">
        <v>1</v>
      </c>
      <c r="AQ12" s="1947"/>
      <c r="AR12" s="1947">
        <v>8</v>
      </c>
      <c r="AS12" s="1948">
        <f t="shared" si="0"/>
        <v>9</v>
      </c>
      <c r="AT12" s="1946">
        <v>1</v>
      </c>
      <c r="AU12" s="1947">
        <v>1</v>
      </c>
      <c r="AV12" s="1947">
        <v>7</v>
      </c>
      <c r="AW12" s="1948">
        <f>SUM(AT12:AV12)</f>
        <v>9</v>
      </c>
      <c r="AX12" s="1946">
        <v>1</v>
      </c>
      <c r="AY12" s="1947">
        <v>1</v>
      </c>
      <c r="AZ12" s="1947">
        <v>8</v>
      </c>
      <c r="BA12" s="1948">
        <f>SUM(AX12:AZ12)</f>
        <v>10</v>
      </c>
    </row>
    <row r="13" spans="1:53" ht="15" customHeight="1" x14ac:dyDescent="0.2">
      <c r="A13" s="1933" t="s">
        <v>74</v>
      </c>
      <c r="B13" s="1949"/>
      <c r="C13" s="1950"/>
      <c r="D13" s="1950"/>
      <c r="E13" s="1951"/>
      <c r="F13" s="1949"/>
      <c r="G13" s="1950"/>
      <c r="H13" s="1950"/>
      <c r="I13" s="1951"/>
      <c r="J13" s="1949"/>
      <c r="K13" s="1950"/>
      <c r="L13" s="1950"/>
      <c r="M13" s="1951"/>
      <c r="N13" s="1949"/>
      <c r="O13" s="1950"/>
      <c r="P13" s="1950">
        <v>1</v>
      </c>
      <c r="Q13" s="1951">
        <v>1</v>
      </c>
      <c r="R13" s="1949"/>
      <c r="S13" s="1950"/>
      <c r="T13" s="1950">
        <v>1</v>
      </c>
      <c r="U13" s="1951">
        <v>1</v>
      </c>
      <c r="V13" s="1949"/>
      <c r="W13" s="1950"/>
      <c r="X13" s="1950">
        <v>4</v>
      </c>
      <c r="Y13" s="1951">
        <v>4</v>
      </c>
      <c r="Z13" s="1949"/>
      <c r="AA13" s="1950"/>
      <c r="AB13" s="1950">
        <v>4</v>
      </c>
      <c r="AC13" s="1951">
        <v>4</v>
      </c>
      <c r="AD13" s="1949"/>
      <c r="AE13" s="1950"/>
      <c r="AF13" s="1950">
        <v>5</v>
      </c>
      <c r="AG13" s="1951">
        <f>SUM(AD13:AF13)</f>
        <v>5</v>
      </c>
      <c r="AH13" s="1949">
        <v>1</v>
      </c>
      <c r="AI13" s="1950">
        <v>1</v>
      </c>
      <c r="AJ13" s="1950">
        <v>5</v>
      </c>
      <c r="AK13" s="1951">
        <f>SUM(AH13:AJ13)</f>
        <v>7</v>
      </c>
      <c r="AL13" s="1949">
        <v>1</v>
      </c>
      <c r="AM13" s="1950">
        <v>2</v>
      </c>
      <c r="AN13" s="1950">
        <v>5</v>
      </c>
      <c r="AO13" s="1951">
        <f>SUM(AL13:AN13)</f>
        <v>8</v>
      </c>
      <c r="AP13" s="1949">
        <v>1</v>
      </c>
      <c r="AQ13" s="1950">
        <v>2</v>
      </c>
      <c r="AR13" s="1950">
        <v>5</v>
      </c>
      <c r="AS13" s="1951">
        <f t="shared" si="0"/>
        <v>8</v>
      </c>
      <c r="AT13" s="1949">
        <v>1</v>
      </c>
      <c r="AU13" s="1950">
        <v>4</v>
      </c>
      <c r="AV13" s="1950">
        <v>4</v>
      </c>
      <c r="AW13" s="1951">
        <f>SUM(AT13:AV13)</f>
        <v>9</v>
      </c>
      <c r="AX13" s="1949">
        <v>1</v>
      </c>
      <c r="AY13" s="1950">
        <v>6</v>
      </c>
      <c r="AZ13" s="1950">
        <v>4</v>
      </c>
      <c r="BA13" s="1951">
        <f>SUM(AX13:AZ13)</f>
        <v>11</v>
      </c>
    </row>
    <row r="14" spans="1:53" ht="15" customHeight="1" x14ac:dyDescent="0.2">
      <c r="A14" s="4184" t="s">
        <v>410</v>
      </c>
      <c r="B14" s="2339"/>
      <c r="C14" s="2340"/>
      <c r="D14" s="2340"/>
      <c r="E14" s="2341"/>
      <c r="F14" s="2339"/>
      <c r="G14" s="2340"/>
      <c r="H14" s="2340"/>
      <c r="I14" s="2341"/>
      <c r="J14" s="2339"/>
      <c r="K14" s="2340"/>
      <c r="L14" s="2340"/>
      <c r="M14" s="2341"/>
      <c r="N14" s="2339">
        <v>0</v>
      </c>
      <c r="O14" s="2340">
        <v>0</v>
      </c>
      <c r="P14" s="2340">
        <v>7</v>
      </c>
      <c r="Q14" s="2341">
        <v>7</v>
      </c>
      <c r="R14" s="2339">
        <v>0</v>
      </c>
      <c r="S14" s="2340">
        <v>0</v>
      </c>
      <c r="T14" s="2340">
        <v>9</v>
      </c>
      <c r="U14" s="2341">
        <v>9</v>
      </c>
      <c r="V14" s="2339">
        <v>0</v>
      </c>
      <c r="W14" s="2340">
        <v>2</v>
      </c>
      <c r="X14" s="2340">
        <v>13</v>
      </c>
      <c r="Y14" s="2341">
        <v>15</v>
      </c>
      <c r="Z14" s="2339">
        <v>2</v>
      </c>
      <c r="AA14" s="2340">
        <v>3</v>
      </c>
      <c r="AB14" s="2340">
        <v>13</v>
      </c>
      <c r="AC14" s="2341">
        <v>18</v>
      </c>
      <c r="AD14" s="2339">
        <f t="shared" ref="AD14:AK14" si="1">SUM(AD11:AD13)</f>
        <v>2</v>
      </c>
      <c r="AE14" s="2340">
        <f t="shared" si="1"/>
        <v>4</v>
      </c>
      <c r="AF14" s="2340">
        <f t="shared" si="1"/>
        <v>14</v>
      </c>
      <c r="AG14" s="2341">
        <f t="shared" si="1"/>
        <v>20</v>
      </c>
      <c r="AH14" s="2339">
        <f t="shared" si="1"/>
        <v>3</v>
      </c>
      <c r="AI14" s="2340">
        <f t="shared" si="1"/>
        <v>5</v>
      </c>
      <c r="AJ14" s="2340">
        <f t="shared" si="1"/>
        <v>19</v>
      </c>
      <c r="AK14" s="2341">
        <f t="shared" si="1"/>
        <v>27</v>
      </c>
      <c r="AL14" s="2339">
        <f t="shared" ref="AL14:AS14" si="2">SUM(AL11:AL13)</f>
        <v>4</v>
      </c>
      <c r="AM14" s="2340">
        <f t="shared" si="2"/>
        <v>5</v>
      </c>
      <c r="AN14" s="2340">
        <f t="shared" si="2"/>
        <v>21</v>
      </c>
      <c r="AO14" s="2341">
        <f t="shared" si="2"/>
        <v>30</v>
      </c>
      <c r="AP14" s="2339">
        <f t="shared" si="2"/>
        <v>4</v>
      </c>
      <c r="AQ14" s="2340">
        <f t="shared" si="2"/>
        <v>5</v>
      </c>
      <c r="AR14" s="2340">
        <f t="shared" si="2"/>
        <v>20</v>
      </c>
      <c r="AS14" s="2341">
        <f t="shared" si="2"/>
        <v>29</v>
      </c>
      <c r="AT14" s="2339">
        <f t="shared" ref="AT14:BA14" si="3">SUM(AT11:AT13)</f>
        <v>5</v>
      </c>
      <c r="AU14" s="2340">
        <f t="shared" si="3"/>
        <v>7</v>
      </c>
      <c r="AV14" s="2340">
        <f t="shared" si="3"/>
        <v>16</v>
      </c>
      <c r="AW14" s="2341">
        <f t="shared" si="3"/>
        <v>28</v>
      </c>
      <c r="AX14" s="2339">
        <f t="shared" si="3"/>
        <v>5</v>
      </c>
      <c r="AY14" s="2340">
        <f t="shared" si="3"/>
        <v>11</v>
      </c>
      <c r="AZ14" s="2340">
        <f t="shared" si="3"/>
        <v>15</v>
      </c>
      <c r="BA14" s="2341">
        <f t="shared" si="3"/>
        <v>31</v>
      </c>
    </row>
    <row r="15" spans="1:53" x14ac:dyDescent="0.2">
      <c r="A15" s="1930"/>
      <c r="B15" s="1941"/>
      <c r="C15" s="1941"/>
      <c r="D15" s="1941"/>
      <c r="E15" s="1941"/>
      <c r="F15" s="1941"/>
      <c r="G15" s="1941"/>
      <c r="H15" s="1941"/>
      <c r="I15" s="1941"/>
      <c r="J15" s="1941"/>
      <c r="K15" s="1941"/>
      <c r="L15" s="1941"/>
      <c r="M15" s="1941"/>
      <c r="N15" s="1941"/>
      <c r="O15" s="1941"/>
      <c r="P15" s="1941"/>
      <c r="Q15" s="1941"/>
      <c r="R15" s="1941"/>
      <c r="S15" s="1941"/>
      <c r="T15" s="1941"/>
      <c r="U15" s="1941"/>
      <c r="V15" s="1941"/>
      <c r="W15" s="1941"/>
      <c r="X15" s="1941"/>
      <c r="Y15" s="1941"/>
      <c r="Z15" s="1941"/>
      <c r="AA15" s="1941"/>
      <c r="AB15" s="1941"/>
      <c r="AC15" s="1941"/>
      <c r="AD15" s="1941"/>
      <c r="AE15" s="1941"/>
      <c r="AF15" s="1941"/>
      <c r="AG15" s="1941"/>
      <c r="AH15" s="1941"/>
      <c r="AI15" s="1941"/>
      <c r="AJ15" s="1941"/>
      <c r="AK15" s="1941"/>
      <c r="AL15" s="1941"/>
      <c r="AM15" s="1941"/>
      <c r="AN15" s="1941"/>
      <c r="AO15" s="1941"/>
      <c r="AP15" s="1941"/>
      <c r="AQ15" s="1941"/>
      <c r="AR15" s="1941"/>
      <c r="AS15" s="1941"/>
      <c r="AT15" s="1941"/>
      <c r="AU15" s="1941"/>
      <c r="AV15" s="1941"/>
      <c r="AW15" s="1941"/>
      <c r="AX15" s="1941"/>
      <c r="AY15" s="1941"/>
      <c r="AZ15" s="1941"/>
      <c r="BA15" s="1941"/>
    </row>
    <row r="16" spans="1:53" ht="15" customHeight="1" x14ac:dyDescent="0.2">
      <c r="A16" s="1931" t="s">
        <v>5</v>
      </c>
      <c r="B16" s="1942"/>
      <c r="C16" s="1943"/>
      <c r="D16" s="1944"/>
      <c r="E16" s="1945"/>
      <c r="F16" s="1942">
        <v>8</v>
      </c>
      <c r="G16" s="1944">
        <v>11</v>
      </c>
      <c r="H16" s="1944">
        <v>9</v>
      </c>
      <c r="I16" s="1945">
        <v>28</v>
      </c>
      <c r="J16" s="1942">
        <v>13</v>
      </c>
      <c r="K16" s="1944">
        <v>11</v>
      </c>
      <c r="L16" s="1944">
        <v>13</v>
      </c>
      <c r="M16" s="1945">
        <v>37</v>
      </c>
      <c r="N16" s="1942">
        <v>19</v>
      </c>
      <c r="O16" s="1944">
        <v>13</v>
      </c>
      <c r="P16" s="1944">
        <v>9</v>
      </c>
      <c r="Q16" s="1945">
        <v>41</v>
      </c>
      <c r="R16" s="1942">
        <v>20</v>
      </c>
      <c r="S16" s="1944">
        <v>12</v>
      </c>
      <c r="T16" s="1944">
        <v>8</v>
      </c>
      <c r="U16" s="1945">
        <v>40</v>
      </c>
      <c r="V16" s="1942">
        <v>20</v>
      </c>
      <c r="W16" s="1944">
        <v>12</v>
      </c>
      <c r="X16" s="1944">
        <v>8</v>
      </c>
      <c r="Y16" s="1945">
        <v>40</v>
      </c>
      <c r="Z16" s="1942">
        <v>17</v>
      </c>
      <c r="AA16" s="1944">
        <v>16</v>
      </c>
      <c r="AB16" s="1944">
        <v>6</v>
      </c>
      <c r="AC16" s="1945">
        <v>39</v>
      </c>
      <c r="AD16" s="1942">
        <v>16</v>
      </c>
      <c r="AE16" s="1944">
        <v>18</v>
      </c>
      <c r="AF16" s="1944">
        <v>3</v>
      </c>
      <c r="AG16" s="1945">
        <f>SUM(AD16:AF16)</f>
        <v>37</v>
      </c>
      <c r="AH16" s="1942">
        <v>16</v>
      </c>
      <c r="AI16" s="1944">
        <v>19</v>
      </c>
      <c r="AJ16" s="1944">
        <v>4</v>
      </c>
      <c r="AK16" s="1945">
        <f>SUM(AH16:AJ16)</f>
        <v>39</v>
      </c>
      <c r="AL16" s="1942">
        <v>17</v>
      </c>
      <c r="AM16" s="1944">
        <v>17</v>
      </c>
      <c r="AN16" s="1944">
        <v>3</v>
      </c>
      <c r="AO16" s="1945">
        <f>SUM(AL16:AN16)</f>
        <v>37</v>
      </c>
      <c r="AP16" s="1942">
        <v>17</v>
      </c>
      <c r="AQ16" s="1944">
        <v>16</v>
      </c>
      <c r="AR16" s="1944">
        <v>3</v>
      </c>
      <c r="AS16" s="1945">
        <f>SUM(AP16:AR16)</f>
        <v>36</v>
      </c>
      <c r="AT16" s="1942">
        <v>18</v>
      </c>
      <c r="AU16" s="1944">
        <v>16</v>
      </c>
      <c r="AV16" s="1944">
        <v>3</v>
      </c>
      <c r="AW16" s="1945">
        <f>SUM(AT16:AV16)</f>
        <v>37</v>
      </c>
      <c r="AX16" s="1942">
        <v>17</v>
      </c>
      <c r="AY16" s="1944">
        <v>14</v>
      </c>
      <c r="AZ16" s="1944">
        <v>5</v>
      </c>
      <c r="BA16" s="1945">
        <f>SUM(AX16:AZ16)</f>
        <v>36</v>
      </c>
    </row>
    <row r="17" spans="1:53" ht="15" customHeight="1" x14ac:dyDescent="0.2">
      <c r="A17" s="1932" t="s">
        <v>6</v>
      </c>
      <c r="B17" s="1946"/>
      <c r="C17" s="1947"/>
      <c r="D17" s="1947"/>
      <c r="E17" s="1948"/>
      <c r="F17" s="1946">
        <v>1</v>
      </c>
      <c r="G17" s="1947">
        <v>10</v>
      </c>
      <c r="H17" s="1947">
        <v>23</v>
      </c>
      <c r="I17" s="1948">
        <v>34</v>
      </c>
      <c r="J17" s="1946">
        <v>1</v>
      </c>
      <c r="K17" s="1947">
        <v>9</v>
      </c>
      <c r="L17" s="1947">
        <v>26</v>
      </c>
      <c r="M17" s="1948">
        <v>36</v>
      </c>
      <c r="N17" s="1946">
        <v>8</v>
      </c>
      <c r="O17" s="1947">
        <v>11</v>
      </c>
      <c r="P17" s="1947">
        <v>20</v>
      </c>
      <c r="Q17" s="1948">
        <v>39</v>
      </c>
      <c r="R17" s="1946">
        <v>10</v>
      </c>
      <c r="S17" s="1947">
        <v>14</v>
      </c>
      <c r="T17" s="1947">
        <v>18</v>
      </c>
      <c r="U17" s="1948">
        <v>42</v>
      </c>
      <c r="V17" s="1946">
        <v>11</v>
      </c>
      <c r="W17" s="1947">
        <v>14</v>
      </c>
      <c r="X17" s="1947">
        <v>18</v>
      </c>
      <c r="Y17" s="1948">
        <v>43</v>
      </c>
      <c r="Z17" s="1946">
        <v>14</v>
      </c>
      <c r="AA17" s="1947">
        <v>13</v>
      </c>
      <c r="AB17" s="1947">
        <v>17</v>
      </c>
      <c r="AC17" s="1948">
        <v>44</v>
      </c>
      <c r="AD17" s="1946">
        <v>17</v>
      </c>
      <c r="AE17" s="1947">
        <v>12</v>
      </c>
      <c r="AF17" s="1947">
        <v>3</v>
      </c>
      <c r="AG17" s="1948">
        <f>SUM(AD17:AF17)</f>
        <v>32</v>
      </c>
      <c r="AH17" s="1946">
        <v>12</v>
      </c>
      <c r="AI17" s="1947">
        <v>14</v>
      </c>
      <c r="AJ17" s="1947">
        <v>10</v>
      </c>
      <c r="AK17" s="1948">
        <f>SUM(AH17:AJ17)</f>
        <v>36</v>
      </c>
      <c r="AL17" s="1946">
        <v>16</v>
      </c>
      <c r="AM17" s="1947">
        <v>11</v>
      </c>
      <c r="AN17" s="1947">
        <v>9</v>
      </c>
      <c r="AO17" s="1948">
        <f>SUM(AL17:AN17)</f>
        <v>36</v>
      </c>
      <c r="AP17" s="1946">
        <v>16</v>
      </c>
      <c r="AQ17" s="1947">
        <v>12</v>
      </c>
      <c r="AR17" s="1947">
        <v>9</v>
      </c>
      <c r="AS17" s="1948">
        <f>SUM(AP17:AR17)</f>
        <v>37</v>
      </c>
      <c r="AT17" s="1946">
        <v>16</v>
      </c>
      <c r="AU17" s="1947">
        <v>11</v>
      </c>
      <c r="AV17" s="1947">
        <v>7</v>
      </c>
      <c r="AW17" s="1948">
        <f>SUM(AT17:AV17)</f>
        <v>34</v>
      </c>
      <c r="AX17" s="1946">
        <v>15</v>
      </c>
      <c r="AY17" s="1947">
        <v>8</v>
      </c>
      <c r="AZ17" s="1947">
        <v>6</v>
      </c>
      <c r="BA17" s="1948">
        <f>SUM(AX17:AZ17)</f>
        <v>29</v>
      </c>
    </row>
    <row r="18" spans="1:53" ht="15" customHeight="1" x14ac:dyDescent="0.2">
      <c r="A18" s="1933" t="s">
        <v>11</v>
      </c>
      <c r="B18" s="1949"/>
      <c r="C18" s="1950"/>
      <c r="D18" s="1950"/>
      <c r="E18" s="1951"/>
      <c r="F18" s="1949">
        <v>8</v>
      </c>
      <c r="G18" s="1950">
        <v>15</v>
      </c>
      <c r="H18" s="1950">
        <v>9</v>
      </c>
      <c r="I18" s="1951">
        <v>32</v>
      </c>
      <c r="J18" s="1949">
        <v>9</v>
      </c>
      <c r="K18" s="1950">
        <v>14</v>
      </c>
      <c r="L18" s="1950">
        <v>9</v>
      </c>
      <c r="M18" s="1951">
        <v>32</v>
      </c>
      <c r="N18" s="1949">
        <v>14</v>
      </c>
      <c r="O18" s="1950">
        <v>12</v>
      </c>
      <c r="P18" s="1950">
        <v>8</v>
      </c>
      <c r="Q18" s="1951">
        <v>34</v>
      </c>
      <c r="R18" s="1949">
        <v>14</v>
      </c>
      <c r="S18" s="1950">
        <v>13</v>
      </c>
      <c r="T18" s="1950">
        <v>8</v>
      </c>
      <c r="U18" s="1951">
        <v>35</v>
      </c>
      <c r="V18" s="1949">
        <v>14</v>
      </c>
      <c r="W18" s="1950">
        <v>13</v>
      </c>
      <c r="X18" s="1950">
        <v>8</v>
      </c>
      <c r="Y18" s="1951">
        <v>35</v>
      </c>
      <c r="Z18" s="1949">
        <v>16</v>
      </c>
      <c r="AA18" s="1950">
        <v>12</v>
      </c>
      <c r="AB18" s="1950">
        <v>7</v>
      </c>
      <c r="AC18" s="1951">
        <v>35</v>
      </c>
      <c r="AD18" s="1949">
        <v>14</v>
      </c>
      <c r="AE18" s="1950">
        <v>15</v>
      </c>
      <c r="AF18" s="1950">
        <v>10</v>
      </c>
      <c r="AG18" s="1951">
        <f>SUM(AD18:AF18)</f>
        <v>39</v>
      </c>
      <c r="AH18" s="1949">
        <v>15</v>
      </c>
      <c r="AI18" s="1950">
        <v>13</v>
      </c>
      <c r="AJ18" s="1950">
        <v>4</v>
      </c>
      <c r="AK18" s="1951">
        <f>SUM(AH18:AJ18)</f>
        <v>32</v>
      </c>
      <c r="AL18" s="1949">
        <v>15</v>
      </c>
      <c r="AM18" s="1950">
        <v>9</v>
      </c>
      <c r="AN18" s="1950">
        <v>8</v>
      </c>
      <c r="AO18" s="1951">
        <f>SUM(AL18:AN18)</f>
        <v>32</v>
      </c>
      <c r="AP18" s="1949">
        <v>15</v>
      </c>
      <c r="AQ18" s="1950">
        <v>8</v>
      </c>
      <c r="AR18" s="1950">
        <v>8</v>
      </c>
      <c r="AS18" s="1951">
        <f>SUM(AP18:AR18)</f>
        <v>31</v>
      </c>
      <c r="AT18" s="1949">
        <v>15</v>
      </c>
      <c r="AU18" s="1950">
        <v>8</v>
      </c>
      <c r="AV18" s="1950">
        <v>8</v>
      </c>
      <c r="AW18" s="1951">
        <f>SUM(AT18:AV18)</f>
        <v>31</v>
      </c>
      <c r="AX18" s="1949">
        <v>16</v>
      </c>
      <c r="AY18" s="1950">
        <v>7</v>
      </c>
      <c r="AZ18" s="1950">
        <v>9</v>
      </c>
      <c r="BA18" s="1951">
        <f>SUM(AX18:AZ18)</f>
        <v>32</v>
      </c>
    </row>
    <row r="19" spans="1:53" ht="15" customHeight="1" x14ac:dyDescent="0.2">
      <c r="A19" s="4185" t="s">
        <v>162</v>
      </c>
      <c r="B19" s="2345">
        <v>15</v>
      </c>
      <c r="C19" s="2346">
        <v>33</v>
      </c>
      <c r="D19" s="2346">
        <v>42</v>
      </c>
      <c r="E19" s="2347">
        <v>90</v>
      </c>
      <c r="F19" s="2345">
        <v>17</v>
      </c>
      <c r="G19" s="2346">
        <v>36</v>
      </c>
      <c r="H19" s="2346">
        <v>41</v>
      </c>
      <c r="I19" s="2347">
        <v>94</v>
      </c>
      <c r="J19" s="2345">
        <v>23</v>
      </c>
      <c r="K19" s="2346">
        <v>34</v>
      </c>
      <c r="L19" s="2346">
        <v>48</v>
      </c>
      <c r="M19" s="2347">
        <v>105</v>
      </c>
      <c r="N19" s="2345">
        <v>41</v>
      </c>
      <c r="O19" s="2346">
        <v>36</v>
      </c>
      <c r="P19" s="2346">
        <v>37</v>
      </c>
      <c r="Q19" s="2347">
        <v>114</v>
      </c>
      <c r="R19" s="2345">
        <v>44</v>
      </c>
      <c r="S19" s="2346">
        <v>39</v>
      </c>
      <c r="T19" s="2346">
        <v>34</v>
      </c>
      <c r="U19" s="2347">
        <v>117</v>
      </c>
      <c r="V19" s="2345">
        <v>45</v>
      </c>
      <c r="W19" s="2346">
        <v>39</v>
      </c>
      <c r="X19" s="2346">
        <v>34</v>
      </c>
      <c r="Y19" s="2347">
        <v>118</v>
      </c>
      <c r="Z19" s="2345">
        <v>47</v>
      </c>
      <c r="AA19" s="2346">
        <v>41</v>
      </c>
      <c r="AB19" s="2346">
        <v>30</v>
      </c>
      <c r="AC19" s="2347">
        <v>118</v>
      </c>
      <c r="AD19" s="2345">
        <f t="shared" ref="AD19:AK19" si="4">SUM(AD16:AD18)</f>
        <v>47</v>
      </c>
      <c r="AE19" s="2346">
        <f t="shared" si="4"/>
        <v>45</v>
      </c>
      <c r="AF19" s="2346">
        <f t="shared" si="4"/>
        <v>16</v>
      </c>
      <c r="AG19" s="2347">
        <f t="shared" si="4"/>
        <v>108</v>
      </c>
      <c r="AH19" s="2345">
        <f t="shared" si="4"/>
        <v>43</v>
      </c>
      <c r="AI19" s="2346">
        <f t="shared" si="4"/>
        <v>46</v>
      </c>
      <c r="AJ19" s="2346">
        <f t="shared" si="4"/>
        <v>18</v>
      </c>
      <c r="AK19" s="2347">
        <f t="shared" si="4"/>
        <v>107</v>
      </c>
      <c r="AL19" s="2345">
        <f t="shared" ref="AL19:AS19" si="5">SUM(AL16:AL18)</f>
        <v>48</v>
      </c>
      <c r="AM19" s="2346">
        <f t="shared" si="5"/>
        <v>37</v>
      </c>
      <c r="AN19" s="2346">
        <f t="shared" si="5"/>
        <v>20</v>
      </c>
      <c r="AO19" s="2347">
        <f t="shared" si="5"/>
        <v>105</v>
      </c>
      <c r="AP19" s="2345">
        <f t="shared" si="5"/>
        <v>48</v>
      </c>
      <c r="AQ19" s="2346">
        <f t="shared" si="5"/>
        <v>36</v>
      </c>
      <c r="AR19" s="2346">
        <f t="shared" si="5"/>
        <v>20</v>
      </c>
      <c r="AS19" s="2347">
        <f t="shared" si="5"/>
        <v>104</v>
      </c>
      <c r="AT19" s="2345">
        <f t="shared" ref="AT19:BA19" si="6">SUM(AT16:AT18)</f>
        <v>49</v>
      </c>
      <c r="AU19" s="2346">
        <f t="shared" si="6"/>
        <v>35</v>
      </c>
      <c r="AV19" s="2346">
        <f t="shared" si="6"/>
        <v>18</v>
      </c>
      <c r="AW19" s="2347">
        <f t="shared" si="6"/>
        <v>102</v>
      </c>
      <c r="AX19" s="2345">
        <f t="shared" si="6"/>
        <v>48</v>
      </c>
      <c r="AY19" s="2346">
        <f t="shared" si="6"/>
        <v>29</v>
      </c>
      <c r="AZ19" s="2346">
        <f t="shared" si="6"/>
        <v>20</v>
      </c>
      <c r="BA19" s="2347">
        <f t="shared" si="6"/>
        <v>97</v>
      </c>
    </row>
    <row r="20" spans="1:53" ht="15" customHeight="1" x14ac:dyDescent="0.2">
      <c r="A20" s="254"/>
    </row>
    <row r="21" spans="1:53" ht="15" customHeight="1" x14ac:dyDescent="0.2">
      <c r="A21" s="1931" t="s">
        <v>5</v>
      </c>
      <c r="B21" s="1942"/>
      <c r="C21" s="1943"/>
      <c r="D21" s="1944"/>
      <c r="E21" s="1945"/>
      <c r="F21" s="1942"/>
      <c r="G21" s="1944"/>
      <c r="H21" s="1944"/>
      <c r="I21" s="1945"/>
      <c r="J21" s="1942"/>
      <c r="K21" s="1944"/>
      <c r="L21" s="1944"/>
      <c r="M21" s="1945"/>
      <c r="N21" s="1942"/>
      <c r="O21" s="1944"/>
      <c r="P21" s="1944"/>
      <c r="Q21" s="1945"/>
      <c r="R21" s="1942"/>
      <c r="S21" s="1944"/>
      <c r="T21" s="1944"/>
      <c r="U21" s="1945"/>
      <c r="V21" s="1942"/>
      <c r="W21" s="1944"/>
      <c r="X21" s="1944"/>
      <c r="Y21" s="1945"/>
      <c r="Z21" s="1942"/>
      <c r="AA21" s="1944"/>
      <c r="AB21" s="1944"/>
      <c r="AC21" s="1945"/>
      <c r="AD21" s="1942"/>
      <c r="AE21" s="1944"/>
      <c r="AF21" s="1944"/>
      <c r="AG21" s="1945"/>
      <c r="AH21" s="1942"/>
      <c r="AI21" s="1944"/>
      <c r="AJ21" s="1944"/>
      <c r="AK21" s="1945"/>
      <c r="AL21" s="1942"/>
      <c r="AM21" s="1944"/>
      <c r="AN21" s="1944"/>
      <c r="AO21" s="1945"/>
      <c r="AP21" s="1942"/>
      <c r="AQ21" s="1944"/>
      <c r="AR21" s="1944"/>
      <c r="AS21" s="1945"/>
      <c r="AT21" s="1942"/>
      <c r="AU21" s="1944"/>
      <c r="AV21" s="1944"/>
      <c r="AW21" s="1945"/>
      <c r="AX21" s="1942"/>
      <c r="AY21" s="1944"/>
      <c r="AZ21" s="1944">
        <v>2</v>
      </c>
      <c r="BA21" s="1945">
        <f>SUM(AX21:AZ21)</f>
        <v>2</v>
      </c>
    </row>
    <row r="22" spans="1:53" ht="15" customHeight="1" x14ac:dyDescent="0.2">
      <c r="A22" s="1932" t="s">
        <v>6</v>
      </c>
      <c r="B22" s="1946"/>
      <c r="C22" s="1947"/>
      <c r="D22" s="1947"/>
      <c r="E22" s="1948"/>
      <c r="F22" s="1946"/>
      <c r="G22" s="1947"/>
      <c r="H22" s="1947"/>
      <c r="I22" s="1948"/>
      <c r="J22" s="1946"/>
      <c r="K22" s="1947"/>
      <c r="L22" s="1947"/>
      <c r="M22" s="1948"/>
      <c r="N22" s="1946"/>
      <c r="O22" s="1947"/>
      <c r="P22" s="1947"/>
      <c r="Q22" s="1948"/>
      <c r="R22" s="1946"/>
      <c r="S22" s="1947"/>
      <c r="T22" s="1947"/>
      <c r="U22" s="1948"/>
      <c r="V22" s="1946"/>
      <c r="W22" s="1947"/>
      <c r="X22" s="1947"/>
      <c r="Y22" s="1948"/>
      <c r="Z22" s="1946"/>
      <c r="AA22" s="1947"/>
      <c r="AB22" s="1947"/>
      <c r="AC22" s="1948"/>
      <c r="AD22" s="1946"/>
      <c r="AE22" s="1947"/>
      <c r="AF22" s="1947"/>
      <c r="AG22" s="1948"/>
      <c r="AH22" s="1946"/>
      <c r="AI22" s="1947"/>
      <c r="AJ22" s="1947"/>
      <c r="AK22" s="1948"/>
      <c r="AL22" s="1946"/>
      <c r="AM22" s="1947"/>
      <c r="AN22" s="1947"/>
      <c r="AO22" s="1948"/>
      <c r="AP22" s="1946"/>
      <c r="AQ22" s="1947"/>
      <c r="AR22" s="1947"/>
      <c r="AS22" s="1948"/>
      <c r="AT22" s="1946"/>
      <c r="AU22" s="1947"/>
      <c r="AV22" s="1947"/>
      <c r="AW22" s="1948"/>
      <c r="AX22" s="1946"/>
      <c r="AY22" s="1947"/>
      <c r="AZ22" s="1947">
        <v>2</v>
      </c>
      <c r="BA22" s="1948">
        <f>SUM(AX22:AZ22)</f>
        <v>2</v>
      </c>
    </row>
    <row r="23" spans="1:53" ht="15" customHeight="1" x14ac:dyDescent="0.2">
      <c r="A23" s="1933" t="s">
        <v>11</v>
      </c>
      <c r="B23" s="1949"/>
      <c r="C23" s="1950"/>
      <c r="D23" s="1950"/>
      <c r="E23" s="1951"/>
      <c r="F23" s="1949"/>
      <c r="G23" s="1950"/>
      <c r="H23" s="1950"/>
      <c r="I23" s="1951"/>
      <c r="J23" s="1949"/>
      <c r="K23" s="1950"/>
      <c r="L23" s="1950"/>
      <c r="M23" s="1951"/>
      <c r="N23" s="1949"/>
      <c r="O23" s="1950"/>
      <c r="P23" s="1950"/>
      <c r="Q23" s="1951"/>
      <c r="R23" s="1949"/>
      <c r="S23" s="1950"/>
      <c r="T23" s="1950"/>
      <c r="U23" s="1951"/>
      <c r="V23" s="1949"/>
      <c r="W23" s="1950"/>
      <c r="X23" s="1950"/>
      <c r="Y23" s="1951"/>
      <c r="Z23" s="1949"/>
      <c r="AA23" s="1950"/>
      <c r="AB23" s="1950"/>
      <c r="AC23" s="1951"/>
      <c r="AD23" s="1949"/>
      <c r="AE23" s="1950"/>
      <c r="AF23" s="1950"/>
      <c r="AG23" s="1951"/>
      <c r="AH23" s="1949"/>
      <c r="AI23" s="1950"/>
      <c r="AJ23" s="1950"/>
      <c r="AK23" s="1951"/>
      <c r="AL23" s="1949"/>
      <c r="AM23" s="1950"/>
      <c r="AN23" s="1950"/>
      <c r="AO23" s="1951"/>
      <c r="AP23" s="1949"/>
      <c r="AQ23" s="1950"/>
      <c r="AR23" s="1950"/>
      <c r="AS23" s="1951"/>
      <c r="AT23" s="1949"/>
      <c r="AU23" s="1950"/>
      <c r="AV23" s="1950"/>
      <c r="AW23" s="1951"/>
      <c r="AX23" s="1949"/>
      <c r="AY23" s="1950"/>
      <c r="AZ23" s="1950"/>
      <c r="BA23" s="1951">
        <f>SUM(AX23:AZ23)</f>
        <v>0</v>
      </c>
    </row>
    <row r="24" spans="1:53" s="5001" customFormat="1" ht="15" customHeight="1" x14ac:dyDescent="0.2">
      <c r="A24" s="4997" t="s">
        <v>411</v>
      </c>
      <c r="B24" s="4998"/>
      <c r="C24" s="4999"/>
      <c r="D24" s="4999"/>
      <c r="E24" s="5000"/>
      <c r="F24" s="4998"/>
      <c r="G24" s="4999"/>
      <c r="H24" s="4999"/>
      <c r="I24" s="5000"/>
      <c r="J24" s="4998"/>
      <c r="K24" s="4999"/>
      <c r="L24" s="4999"/>
      <c r="M24" s="5000"/>
      <c r="N24" s="4998"/>
      <c r="O24" s="4999"/>
      <c r="P24" s="4999"/>
      <c r="Q24" s="5000"/>
      <c r="R24" s="4998"/>
      <c r="S24" s="4999"/>
      <c r="T24" s="4999"/>
      <c r="U24" s="5000"/>
      <c r="V24" s="4998"/>
      <c r="W24" s="4999"/>
      <c r="X24" s="4999"/>
      <c r="Y24" s="5000"/>
      <c r="Z24" s="4998"/>
      <c r="AA24" s="4999"/>
      <c r="AB24" s="4999"/>
      <c r="AC24" s="5000"/>
      <c r="AD24" s="4998"/>
      <c r="AE24" s="4999"/>
      <c r="AF24" s="4999"/>
      <c r="AG24" s="5000"/>
      <c r="AH24" s="4998"/>
      <c r="AI24" s="4999"/>
      <c r="AJ24" s="4999"/>
      <c r="AK24" s="5000"/>
      <c r="AL24" s="4998"/>
      <c r="AM24" s="4999"/>
      <c r="AN24" s="4999"/>
      <c r="AO24" s="5000"/>
      <c r="AP24" s="4998"/>
      <c r="AQ24" s="4999"/>
      <c r="AR24" s="4999"/>
      <c r="AS24" s="5000"/>
      <c r="AT24" s="4998"/>
      <c r="AU24" s="4999"/>
      <c r="AV24" s="4999"/>
      <c r="AW24" s="5000"/>
      <c r="AX24" s="4998">
        <f t="shared" ref="AX24:BA24" si="7">SUM(AX21:AX23)</f>
        <v>0</v>
      </c>
      <c r="AY24" s="4999">
        <f t="shared" si="7"/>
        <v>0</v>
      </c>
      <c r="AZ24" s="4999">
        <f t="shared" si="7"/>
        <v>4</v>
      </c>
      <c r="BA24" s="5000">
        <f t="shared" si="7"/>
        <v>4</v>
      </c>
    </row>
    <row r="25" spans="1:53" x14ac:dyDescent="0.2">
      <c r="A25" s="1940"/>
      <c r="B25" s="1941"/>
      <c r="C25" s="1941"/>
      <c r="D25" s="1941"/>
      <c r="E25" s="1941"/>
      <c r="F25" s="1941"/>
      <c r="G25" s="1941"/>
      <c r="H25" s="1941"/>
      <c r="I25" s="1941"/>
      <c r="J25" s="1941"/>
      <c r="K25" s="1941"/>
      <c r="L25" s="1941"/>
      <c r="M25" s="1941"/>
      <c r="N25" s="1941"/>
      <c r="O25" s="1941"/>
      <c r="P25" s="1941"/>
      <c r="Q25" s="1941"/>
      <c r="R25" s="1941"/>
      <c r="S25" s="1941"/>
      <c r="T25" s="1941"/>
      <c r="U25" s="1941"/>
      <c r="V25" s="1941"/>
      <c r="W25" s="1941"/>
      <c r="X25" s="1941"/>
      <c r="Y25" s="1941"/>
      <c r="Z25" s="1941"/>
      <c r="AA25" s="1941"/>
      <c r="AB25" s="1941"/>
      <c r="AC25" s="1941"/>
      <c r="AD25" s="1941"/>
      <c r="AE25" s="1941"/>
      <c r="AF25" s="1941"/>
      <c r="AG25" s="1941"/>
      <c r="AH25" s="1941"/>
      <c r="AI25" s="1941"/>
      <c r="AJ25" s="1941"/>
      <c r="AK25" s="1941"/>
      <c r="AL25" s="1941"/>
      <c r="AM25" s="1941"/>
      <c r="AN25" s="1941"/>
      <c r="AO25" s="1941"/>
      <c r="AP25" s="1941"/>
      <c r="AQ25" s="1941"/>
      <c r="AR25" s="1941"/>
      <c r="AS25" s="1941"/>
      <c r="AT25" s="1941"/>
      <c r="AU25" s="1941"/>
      <c r="AV25" s="1941"/>
      <c r="AW25" s="1941"/>
      <c r="AX25" s="1941"/>
      <c r="AY25" s="1941"/>
      <c r="AZ25" s="1941"/>
      <c r="BA25" s="1941"/>
    </row>
    <row r="26" spans="1:53" ht="15" customHeight="1" x14ac:dyDescent="0.2">
      <c r="A26" s="1931" t="s">
        <v>6</v>
      </c>
      <c r="B26" s="1942"/>
      <c r="C26" s="1943"/>
      <c r="D26" s="1944"/>
      <c r="E26" s="1945"/>
      <c r="F26" s="1942">
        <v>0</v>
      </c>
      <c r="G26" s="1944">
        <v>6</v>
      </c>
      <c r="H26" s="1944">
        <v>15</v>
      </c>
      <c r="I26" s="1945">
        <v>21</v>
      </c>
      <c r="J26" s="1942">
        <v>0</v>
      </c>
      <c r="K26" s="1944">
        <v>6</v>
      </c>
      <c r="L26" s="1944">
        <v>15</v>
      </c>
      <c r="M26" s="1945">
        <v>21</v>
      </c>
      <c r="N26" s="1942">
        <v>3</v>
      </c>
      <c r="O26" s="1944">
        <v>6</v>
      </c>
      <c r="P26" s="1944">
        <v>12</v>
      </c>
      <c r="Q26" s="1945">
        <v>21</v>
      </c>
      <c r="R26" s="1942">
        <v>3</v>
      </c>
      <c r="S26" s="1944">
        <v>8</v>
      </c>
      <c r="T26" s="1944">
        <v>12</v>
      </c>
      <c r="U26" s="1945">
        <v>23</v>
      </c>
      <c r="V26" s="1942">
        <v>3</v>
      </c>
      <c r="W26" s="1944">
        <v>10</v>
      </c>
      <c r="X26" s="1944">
        <v>10</v>
      </c>
      <c r="Y26" s="1945">
        <v>23</v>
      </c>
      <c r="Z26" s="1942">
        <v>4</v>
      </c>
      <c r="AA26" s="1944">
        <v>11</v>
      </c>
      <c r="AB26" s="1944">
        <v>9</v>
      </c>
      <c r="AC26" s="1945">
        <v>24</v>
      </c>
      <c r="AD26" s="1942">
        <v>6</v>
      </c>
      <c r="AE26" s="1944">
        <v>17</v>
      </c>
      <c r="AF26" s="1944">
        <v>12</v>
      </c>
      <c r="AG26" s="1945">
        <f>SUM(AD26:AF26)</f>
        <v>35</v>
      </c>
      <c r="AH26" s="1942">
        <v>4</v>
      </c>
      <c r="AI26" s="1944">
        <v>13</v>
      </c>
      <c r="AJ26" s="1944">
        <v>10</v>
      </c>
      <c r="AK26" s="1945">
        <f>SUM(AH26:AJ26)</f>
        <v>27</v>
      </c>
      <c r="AL26" s="1942">
        <v>4</v>
      </c>
      <c r="AM26" s="1944">
        <v>11</v>
      </c>
      <c r="AN26" s="1944">
        <v>13</v>
      </c>
      <c r="AO26" s="1945">
        <f>SUM(AL26:AN26)</f>
        <v>28</v>
      </c>
      <c r="AP26" s="1942">
        <v>4</v>
      </c>
      <c r="AQ26" s="1944">
        <v>11</v>
      </c>
      <c r="AR26" s="1944">
        <v>12</v>
      </c>
      <c r="AS26" s="1945">
        <f>SUM(AP26:AR26)</f>
        <v>27</v>
      </c>
      <c r="AT26" s="1942">
        <v>4</v>
      </c>
      <c r="AU26" s="1944">
        <v>9</v>
      </c>
      <c r="AV26" s="1944">
        <v>13</v>
      </c>
      <c r="AW26" s="1945">
        <f>SUM(AT26:AV26)</f>
        <v>26</v>
      </c>
      <c r="AX26" s="1942">
        <v>5</v>
      </c>
      <c r="AY26" s="1944">
        <v>6</v>
      </c>
      <c r="AZ26" s="1944">
        <v>12</v>
      </c>
      <c r="BA26" s="1945">
        <f>SUM(AX26:AZ26)</f>
        <v>23</v>
      </c>
    </row>
    <row r="27" spans="1:53" ht="15" customHeight="1" x14ac:dyDescent="0.2">
      <c r="A27" s="1932" t="s">
        <v>11</v>
      </c>
      <c r="B27" s="1946"/>
      <c r="C27" s="1947"/>
      <c r="D27" s="1947"/>
      <c r="E27" s="1948"/>
      <c r="F27" s="1946">
        <v>0</v>
      </c>
      <c r="G27" s="1947">
        <v>3</v>
      </c>
      <c r="H27" s="1947">
        <v>36</v>
      </c>
      <c r="I27" s="1948">
        <v>39</v>
      </c>
      <c r="J27" s="1946">
        <v>0</v>
      </c>
      <c r="K27" s="1947">
        <v>3</v>
      </c>
      <c r="L27" s="1947">
        <v>36</v>
      </c>
      <c r="M27" s="1948">
        <v>39</v>
      </c>
      <c r="N27" s="1946">
        <v>1</v>
      </c>
      <c r="O27" s="1947">
        <v>8</v>
      </c>
      <c r="P27" s="1947">
        <v>30</v>
      </c>
      <c r="Q27" s="1948">
        <v>39</v>
      </c>
      <c r="R27" s="1946">
        <v>1</v>
      </c>
      <c r="S27" s="1947">
        <v>9</v>
      </c>
      <c r="T27" s="1947">
        <v>29</v>
      </c>
      <c r="U27" s="1948">
        <v>39</v>
      </c>
      <c r="V27" s="1946">
        <v>2</v>
      </c>
      <c r="W27" s="1947">
        <v>8</v>
      </c>
      <c r="X27" s="1947">
        <v>29</v>
      </c>
      <c r="Y27" s="1948">
        <v>39</v>
      </c>
      <c r="Z27" s="1946">
        <v>4</v>
      </c>
      <c r="AA27" s="1947">
        <v>11</v>
      </c>
      <c r="AB27" s="1947">
        <v>23</v>
      </c>
      <c r="AC27" s="1948">
        <v>38</v>
      </c>
      <c r="AD27" s="1946">
        <v>5</v>
      </c>
      <c r="AE27" s="1947">
        <v>11</v>
      </c>
      <c r="AF27" s="1947">
        <v>8</v>
      </c>
      <c r="AG27" s="1948">
        <f>SUM(AD27:AF27)</f>
        <v>24</v>
      </c>
      <c r="AH27" s="1946">
        <v>7</v>
      </c>
      <c r="AI27" s="1947">
        <v>17</v>
      </c>
      <c r="AJ27" s="1947">
        <v>13</v>
      </c>
      <c r="AK27" s="1948">
        <f>SUM(AH27:AJ27)</f>
        <v>37</v>
      </c>
      <c r="AL27" s="1946">
        <v>8</v>
      </c>
      <c r="AM27" s="1947">
        <v>15</v>
      </c>
      <c r="AN27" s="1947">
        <v>14</v>
      </c>
      <c r="AO27" s="1948">
        <f>SUM(AL27:AN27)</f>
        <v>37</v>
      </c>
      <c r="AP27" s="1946">
        <v>9</v>
      </c>
      <c r="AQ27" s="1947">
        <v>13</v>
      </c>
      <c r="AR27" s="1947">
        <v>13</v>
      </c>
      <c r="AS27" s="1948">
        <f>SUM(AP27:AR27)</f>
        <v>35</v>
      </c>
      <c r="AT27" s="1946">
        <v>9</v>
      </c>
      <c r="AU27" s="1947">
        <v>15</v>
      </c>
      <c r="AV27" s="1947">
        <v>12</v>
      </c>
      <c r="AW27" s="1948">
        <f>SUM(AT27:AV27)</f>
        <v>36</v>
      </c>
      <c r="AX27" s="1946">
        <v>9</v>
      </c>
      <c r="AY27" s="1947">
        <v>13</v>
      </c>
      <c r="AZ27" s="1947">
        <v>10</v>
      </c>
      <c r="BA27" s="1948">
        <f>SUM(AX27:AZ27)</f>
        <v>32</v>
      </c>
    </row>
    <row r="28" spans="1:53" ht="15" customHeight="1" x14ac:dyDescent="0.2">
      <c r="A28" s="1933" t="s">
        <v>7</v>
      </c>
      <c r="B28" s="1949"/>
      <c r="C28" s="1950"/>
      <c r="D28" s="1950"/>
      <c r="E28" s="1951"/>
      <c r="F28" s="1949">
        <v>0</v>
      </c>
      <c r="G28" s="1950"/>
      <c r="H28" s="1950">
        <v>12</v>
      </c>
      <c r="I28" s="1951">
        <v>12</v>
      </c>
      <c r="J28" s="1949">
        <v>0</v>
      </c>
      <c r="K28" s="1950">
        <v>0</v>
      </c>
      <c r="L28" s="1950">
        <v>13</v>
      </c>
      <c r="M28" s="1951">
        <v>13</v>
      </c>
      <c r="N28" s="1949"/>
      <c r="O28" s="1950"/>
      <c r="P28" s="1950">
        <v>13</v>
      </c>
      <c r="Q28" s="1951">
        <v>13</v>
      </c>
      <c r="R28" s="1949"/>
      <c r="S28" s="1950">
        <v>1</v>
      </c>
      <c r="T28" s="1950">
        <v>12</v>
      </c>
      <c r="U28" s="1951">
        <v>13</v>
      </c>
      <c r="V28" s="1949"/>
      <c r="W28" s="1950">
        <v>1</v>
      </c>
      <c r="X28" s="1950">
        <v>12</v>
      </c>
      <c r="Y28" s="1951">
        <v>13</v>
      </c>
      <c r="Z28" s="1949"/>
      <c r="AA28" s="1950">
        <v>1</v>
      </c>
      <c r="AB28" s="1950">
        <v>13</v>
      </c>
      <c r="AC28" s="1951">
        <v>14</v>
      </c>
      <c r="AD28" s="1949"/>
      <c r="AE28" s="1950">
        <v>2</v>
      </c>
      <c r="AF28" s="1950">
        <v>7</v>
      </c>
      <c r="AG28" s="1951">
        <f>SUM(AD28:AF28)</f>
        <v>9</v>
      </c>
      <c r="AH28" s="1949"/>
      <c r="AI28" s="1950">
        <v>2</v>
      </c>
      <c r="AJ28" s="1950">
        <v>6</v>
      </c>
      <c r="AK28" s="1951">
        <f>SUM(AH28:AJ28)</f>
        <v>8</v>
      </c>
      <c r="AL28" s="1949">
        <v>1</v>
      </c>
      <c r="AM28" s="1950">
        <v>2</v>
      </c>
      <c r="AN28" s="1950">
        <v>5</v>
      </c>
      <c r="AO28" s="1951">
        <f>SUM(AL28:AN28)</f>
        <v>8</v>
      </c>
      <c r="AP28" s="1949">
        <v>1</v>
      </c>
      <c r="AQ28" s="1950">
        <v>2</v>
      </c>
      <c r="AR28" s="1950">
        <v>5</v>
      </c>
      <c r="AS28" s="1951">
        <f>SUM(AP28:AR28)</f>
        <v>8</v>
      </c>
      <c r="AT28" s="1949">
        <v>1</v>
      </c>
      <c r="AU28" s="1950">
        <v>2</v>
      </c>
      <c r="AV28" s="1950">
        <v>6</v>
      </c>
      <c r="AW28" s="1951">
        <f>SUM(AT28:AV28)</f>
        <v>9</v>
      </c>
      <c r="AX28" s="1949">
        <v>1</v>
      </c>
      <c r="AY28" s="1950">
        <v>2</v>
      </c>
      <c r="AZ28" s="1950">
        <v>6</v>
      </c>
      <c r="BA28" s="1951">
        <f>SUM(AX28:AZ28)</f>
        <v>9</v>
      </c>
    </row>
    <row r="29" spans="1:53" ht="15" customHeight="1" x14ac:dyDescent="0.2">
      <c r="A29" s="4186" t="s">
        <v>163</v>
      </c>
      <c r="B29" s="2348">
        <v>0</v>
      </c>
      <c r="C29" s="2349">
        <v>6</v>
      </c>
      <c r="D29" s="2349">
        <v>50</v>
      </c>
      <c r="E29" s="2350">
        <v>56</v>
      </c>
      <c r="F29" s="2348">
        <v>0</v>
      </c>
      <c r="G29" s="2349">
        <v>9</v>
      </c>
      <c r="H29" s="2349">
        <v>63</v>
      </c>
      <c r="I29" s="2350">
        <v>72</v>
      </c>
      <c r="J29" s="2348">
        <v>0</v>
      </c>
      <c r="K29" s="2349">
        <v>9</v>
      </c>
      <c r="L29" s="2349">
        <v>64</v>
      </c>
      <c r="M29" s="2350">
        <v>73</v>
      </c>
      <c r="N29" s="2348">
        <v>4</v>
      </c>
      <c r="O29" s="2349">
        <v>14</v>
      </c>
      <c r="P29" s="2349">
        <v>55</v>
      </c>
      <c r="Q29" s="2350">
        <v>73</v>
      </c>
      <c r="R29" s="2348">
        <v>4</v>
      </c>
      <c r="S29" s="2349">
        <v>18</v>
      </c>
      <c r="T29" s="2349">
        <v>53</v>
      </c>
      <c r="U29" s="2350">
        <v>75</v>
      </c>
      <c r="V29" s="2348">
        <v>5</v>
      </c>
      <c r="W29" s="2349">
        <v>19</v>
      </c>
      <c r="X29" s="2349">
        <v>51</v>
      </c>
      <c r="Y29" s="2350">
        <v>75</v>
      </c>
      <c r="Z29" s="2348">
        <v>8</v>
      </c>
      <c r="AA29" s="2349">
        <v>23</v>
      </c>
      <c r="AB29" s="2349">
        <v>45</v>
      </c>
      <c r="AC29" s="2350">
        <v>76</v>
      </c>
      <c r="AD29" s="2348">
        <f t="shared" ref="AD29:AK29" si="8">SUM(AD26:AD28)</f>
        <v>11</v>
      </c>
      <c r="AE29" s="2349">
        <f t="shared" si="8"/>
        <v>30</v>
      </c>
      <c r="AF29" s="2349">
        <f t="shared" si="8"/>
        <v>27</v>
      </c>
      <c r="AG29" s="2350">
        <f t="shared" si="8"/>
        <v>68</v>
      </c>
      <c r="AH29" s="2348">
        <f t="shared" si="8"/>
        <v>11</v>
      </c>
      <c r="AI29" s="2349">
        <f t="shared" si="8"/>
        <v>32</v>
      </c>
      <c r="AJ29" s="2349">
        <f t="shared" si="8"/>
        <v>29</v>
      </c>
      <c r="AK29" s="2350">
        <f t="shared" si="8"/>
        <v>72</v>
      </c>
      <c r="AL29" s="2348">
        <f t="shared" ref="AL29:AS29" si="9">SUM(AL26:AL28)</f>
        <v>13</v>
      </c>
      <c r="AM29" s="2349">
        <f t="shared" si="9"/>
        <v>28</v>
      </c>
      <c r="AN29" s="2349">
        <f t="shared" si="9"/>
        <v>32</v>
      </c>
      <c r="AO29" s="2350">
        <f t="shared" si="9"/>
        <v>73</v>
      </c>
      <c r="AP29" s="2348">
        <f t="shared" si="9"/>
        <v>14</v>
      </c>
      <c r="AQ29" s="2349">
        <f t="shared" si="9"/>
        <v>26</v>
      </c>
      <c r="AR29" s="2349">
        <f t="shared" si="9"/>
        <v>30</v>
      </c>
      <c r="AS29" s="2350">
        <f t="shared" si="9"/>
        <v>70</v>
      </c>
      <c r="AT29" s="2348">
        <f t="shared" ref="AT29:BA29" si="10">SUM(AT26:AT28)</f>
        <v>14</v>
      </c>
      <c r="AU29" s="2349">
        <f t="shared" si="10"/>
        <v>26</v>
      </c>
      <c r="AV29" s="2349">
        <f t="shared" si="10"/>
        <v>31</v>
      </c>
      <c r="AW29" s="2350">
        <f t="shared" si="10"/>
        <v>71</v>
      </c>
      <c r="AX29" s="2348">
        <f t="shared" si="10"/>
        <v>15</v>
      </c>
      <c r="AY29" s="2349">
        <f t="shared" si="10"/>
        <v>21</v>
      </c>
      <c r="AZ29" s="2349">
        <f t="shared" si="10"/>
        <v>28</v>
      </c>
      <c r="BA29" s="2350">
        <f t="shared" si="10"/>
        <v>64</v>
      </c>
    </row>
    <row r="30" spans="1:53" x14ac:dyDescent="0.2">
      <c r="A30" s="1940"/>
      <c r="B30" s="1941"/>
      <c r="C30" s="1941"/>
      <c r="D30" s="1941"/>
      <c r="E30" s="1941"/>
      <c r="F30" s="1941"/>
      <c r="G30" s="1941"/>
      <c r="H30" s="1941"/>
      <c r="I30" s="1941"/>
      <c r="J30" s="1941"/>
      <c r="K30" s="1941"/>
      <c r="L30" s="1941"/>
      <c r="M30" s="1941"/>
      <c r="N30" s="1941"/>
      <c r="O30" s="1941"/>
      <c r="P30" s="1941"/>
      <c r="Q30" s="1941"/>
      <c r="R30" s="1941"/>
      <c r="S30" s="1941"/>
      <c r="T30" s="1941"/>
      <c r="U30" s="1941"/>
      <c r="V30" s="1941"/>
      <c r="W30" s="1941"/>
      <c r="X30" s="1941"/>
      <c r="Y30" s="1941"/>
      <c r="Z30" s="1941"/>
      <c r="AA30" s="1941"/>
      <c r="AB30" s="1941"/>
      <c r="AC30" s="1941"/>
      <c r="AD30" s="1941"/>
      <c r="AE30" s="1941"/>
      <c r="AF30" s="1941"/>
      <c r="AG30" s="1941"/>
      <c r="AH30" s="1941"/>
      <c r="AI30" s="1941"/>
      <c r="AJ30" s="1941"/>
      <c r="AK30" s="1941"/>
      <c r="AL30" s="1941"/>
      <c r="AM30" s="1941"/>
      <c r="AN30" s="1941"/>
      <c r="AO30" s="1941"/>
      <c r="AP30" s="1941"/>
      <c r="AQ30" s="1941"/>
      <c r="AR30" s="1941"/>
      <c r="AS30" s="1941"/>
      <c r="AT30" s="1941"/>
      <c r="AU30" s="1941"/>
      <c r="AV30" s="1941"/>
      <c r="AW30" s="1941"/>
      <c r="AX30" s="1941"/>
      <c r="AY30" s="1941"/>
      <c r="AZ30" s="1941"/>
      <c r="BA30" s="1941"/>
    </row>
    <row r="31" spans="1:53" ht="15" customHeight="1" x14ac:dyDescent="0.2">
      <c r="A31" s="1931" t="s">
        <v>5</v>
      </c>
      <c r="B31" s="1942"/>
      <c r="C31" s="1944"/>
      <c r="D31" s="1944"/>
      <c r="E31" s="1945"/>
      <c r="F31" s="1942">
        <v>8</v>
      </c>
      <c r="G31" s="1944">
        <v>17</v>
      </c>
      <c r="H31" s="1944">
        <v>39</v>
      </c>
      <c r="I31" s="1945">
        <v>64</v>
      </c>
      <c r="J31" s="1942">
        <v>13</v>
      </c>
      <c r="K31" s="1944">
        <v>18</v>
      </c>
      <c r="L31" s="1944">
        <v>45</v>
      </c>
      <c r="M31" s="1945">
        <v>76</v>
      </c>
      <c r="N31" s="1942">
        <v>20</v>
      </c>
      <c r="O31" s="1944">
        <v>23</v>
      </c>
      <c r="P31" s="1944">
        <v>39</v>
      </c>
      <c r="Q31" s="1945">
        <v>82</v>
      </c>
      <c r="R31" s="1942">
        <v>21</v>
      </c>
      <c r="S31" s="1944">
        <v>26</v>
      </c>
      <c r="T31" s="1944">
        <v>33</v>
      </c>
      <c r="U31" s="1945">
        <v>80</v>
      </c>
      <c r="V31" s="1942">
        <v>22</v>
      </c>
      <c r="W31" s="1944">
        <v>25</v>
      </c>
      <c r="X31" s="1944">
        <v>33</v>
      </c>
      <c r="Y31" s="1945">
        <v>80</v>
      </c>
      <c r="Z31" s="1942">
        <v>21</v>
      </c>
      <c r="AA31" s="1944">
        <v>29</v>
      </c>
      <c r="AB31" s="1944">
        <v>28</v>
      </c>
      <c r="AC31" s="1945">
        <v>78</v>
      </c>
      <c r="AD31" s="1942">
        <f t="shared" ref="AD31:AO31" si="11">SUM(AD6,AD16)</f>
        <v>22</v>
      </c>
      <c r="AE31" s="1944">
        <f t="shared" si="11"/>
        <v>30</v>
      </c>
      <c r="AF31" s="1944">
        <f t="shared" si="11"/>
        <v>15</v>
      </c>
      <c r="AG31" s="1945">
        <f t="shared" si="11"/>
        <v>67</v>
      </c>
      <c r="AH31" s="1942">
        <f t="shared" si="11"/>
        <v>24</v>
      </c>
      <c r="AI31" s="1944">
        <f t="shared" si="11"/>
        <v>28</v>
      </c>
      <c r="AJ31" s="1944">
        <f t="shared" si="11"/>
        <v>14</v>
      </c>
      <c r="AK31" s="1945">
        <f t="shared" si="11"/>
        <v>66</v>
      </c>
      <c r="AL31" s="1942">
        <f t="shared" si="11"/>
        <v>25</v>
      </c>
      <c r="AM31" s="1944">
        <f t="shared" si="11"/>
        <v>28</v>
      </c>
      <c r="AN31" s="1944">
        <f t="shared" si="11"/>
        <v>12</v>
      </c>
      <c r="AO31" s="1945">
        <f t="shared" si="11"/>
        <v>65</v>
      </c>
      <c r="AP31" s="1942">
        <f t="shared" ref="AP31:AW31" si="12">SUM(AP6,AP16)</f>
        <v>25</v>
      </c>
      <c r="AQ31" s="1944">
        <f t="shared" si="12"/>
        <v>27</v>
      </c>
      <c r="AR31" s="1944">
        <f t="shared" si="12"/>
        <v>12</v>
      </c>
      <c r="AS31" s="1945">
        <f t="shared" si="12"/>
        <v>64</v>
      </c>
      <c r="AT31" s="1942">
        <f t="shared" si="12"/>
        <v>26</v>
      </c>
      <c r="AU31" s="1944">
        <f t="shared" si="12"/>
        <v>26</v>
      </c>
      <c r="AV31" s="1944">
        <f t="shared" si="12"/>
        <v>11</v>
      </c>
      <c r="AW31" s="1945">
        <f t="shared" si="12"/>
        <v>63</v>
      </c>
      <c r="AX31" s="1942">
        <f>SUM(AX6,AX16,AX21)</f>
        <v>28</v>
      </c>
      <c r="AY31" s="1944">
        <f t="shared" ref="AY31:AZ31" si="13">SUM(AY6,AY16,AY21)</f>
        <v>18</v>
      </c>
      <c r="AZ31" s="1944">
        <f t="shared" si="13"/>
        <v>19</v>
      </c>
      <c r="BA31" s="1945">
        <f>SUM(AX31:AZ31)</f>
        <v>65</v>
      </c>
    </row>
    <row r="32" spans="1:53" ht="15" customHeight="1" x14ac:dyDescent="0.2">
      <c r="A32" s="1936" t="s">
        <v>6</v>
      </c>
      <c r="B32" s="1946"/>
      <c r="C32" s="1947"/>
      <c r="D32" s="1947"/>
      <c r="E32" s="1948"/>
      <c r="F32" s="1946">
        <v>1</v>
      </c>
      <c r="G32" s="1947">
        <v>18</v>
      </c>
      <c r="H32" s="1947">
        <v>66</v>
      </c>
      <c r="I32" s="1948">
        <v>85</v>
      </c>
      <c r="J32" s="1946">
        <v>1</v>
      </c>
      <c r="K32" s="1947">
        <v>17</v>
      </c>
      <c r="L32" s="1947">
        <v>72</v>
      </c>
      <c r="M32" s="1948">
        <v>90</v>
      </c>
      <c r="N32" s="1946">
        <v>14</v>
      </c>
      <c r="O32" s="1947">
        <v>24</v>
      </c>
      <c r="P32" s="1947">
        <v>62</v>
      </c>
      <c r="Q32" s="1948">
        <v>100</v>
      </c>
      <c r="R32" s="1946">
        <v>17</v>
      </c>
      <c r="S32" s="1947">
        <v>33</v>
      </c>
      <c r="T32" s="1947">
        <v>63</v>
      </c>
      <c r="U32" s="1948">
        <v>113</v>
      </c>
      <c r="V32" s="1946">
        <v>18</v>
      </c>
      <c r="W32" s="1947">
        <v>37</v>
      </c>
      <c r="X32" s="1947">
        <v>62</v>
      </c>
      <c r="Y32" s="1948">
        <v>117</v>
      </c>
      <c r="Z32" s="1946">
        <v>23</v>
      </c>
      <c r="AA32" s="1947">
        <v>43</v>
      </c>
      <c r="AB32" s="1947">
        <v>54</v>
      </c>
      <c r="AC32" s="1948">
        <v>120</v>
      </c>
      <c r="AD32" s="1946">
        <f t="shared" ref="AD32:AO32" si="14">SUM(AD7,AD11,AD17,AD26)</f>
        <v>30</v>
      </c>
      <c r="AE32" s="1947">
        <f t="shared" si="14"/>
        <v>49</v>
      </c>
      <c r="AF32" s="1947">
        <f t="shared" si="14"/>
        <v>32</v>
      </c>
      <c r="AG32" s="1948">
        <f t="shared" si="14"/>
        <v>111</v>
      </c>
      <c r="AH32" s="1946">
        <f t="shared" si="14"/>
        <v>23</v>
      </c>
      <c r="AI32" s="1947">
        <f t="shared" si="14"/>
        <v>48</v>
      </c>
      <c r="AJ32" s="1947">
        <f t="shared" si="14"/>
        <v>37</v>
      </c>
      <c r="AK32" s="1948">
        <f t="shared" si="14"/>
        <v>108</v>
      </c>
      <c r="AL32" s="1946">
        <f t="shared" si="14"/>
        <v>28</v>
      </c>
      <c r="AM32" s="1947">
        <f t="shared" si="14"/>
        <v>40</v>
      </c>
      <c r="AN32" s="1947">
        <f t="shared" si="14"/>
        <v>38</v>
      </c>
      <c r="AO32" s="1948">
        <f t="shared" si="14"/>
        <v>106</v>
      </c>
      <c r="AP32" s="1946">
        <f t="shared" ref="AP32:AW32" si="15">SUM(AP7,AP11,AP17,AP26)</f>
        <v>28</v>
      </c>
      <c r="AQ32" s="1947">
        <f t="shared" si="15"/>
        <v>41</v>
      </c>
      <c r="AR32" s="1947">
        <f t="shared" si="15"/>
        <v>38</v>
      </c>
      <c r="AS32" s="1948">
        <f t="shared" si="15"/>
        <v>107</v>
      </c>
      <c r="AT32" s="1946">
        <f t="shared" si="15"/>
        <v>30</v>
      </c>
      <c r="AU32" s="1947">
        <f t="shared" si="15"/>
        <v>33</v>
      </c>
      <c r="AV32" s="1947">
        <f t="shared" si="15"/>
        <v>37</v>
      </c>
      <c r="AW32" s="1948">
        <f t="shared" si="15"/>
        <v>100</v>
      </c>
      <c r="AX32" s="1946">
        <f>SUM(AX7,AX11,AX17,AX22,AX26)</f>
        <v>30</v>
      </c>
      <c r="AY32" s="1947">
        <f t="shared" ref="AY32:AZ32" si="16">SUM(AY7,AY11,AY17,AY22,AY26)</f>
        <v>28</v>
      </c>
      <c r="AZ32" s="1947">
        <f t="shared" si="16"/>
        <v>36</v>
      </c>
      <c r="BA32" s="1948">
        <f t="shared" ref="BA32:BA36" si="17">SUM(AX32:AZ32)</f>
        <v>94</v>
      </c>
    </row>
    <row r="33" spans="1:53" ht="15" customHeight="1" x14ac:dyDescent="0.2">
      <c r="A33" s="1937" t="s">
        <v>11</v>
      </c>
      <c r="B33" s="1946"/>
      <c r="C33" s="1947"/>
      <c r="D33" s="1947"/>
      <c r="E33" s="1948"/>
      <c r="F33" s="1946">
        <v>8</v>
      </c>
      <c r="G33" s="1947">
        <v>18</v>
      </c>
      <c r="H33" s="1947">
        <v>45</v>
      </c>
      <c r="I33" s="1948">
        <v>71</v>
      </c>
      <c r="J33" s="1946">
        <v>9</v>
      </c>
      <c r="K33" s="1947">
        <v>17</v>
      </c>
      <c r="L33" s="1947">
        <v>45</v>
      </c>
      <c r="M33" s="1948">
        <v>71</v>
      </c>
      <c r="N33" s="1946">
        <v>15</v>
      </c>
      <c r="O33" s="1947">
        <v>20</v>
      </c>
      <c r="P33" s="1947">
        <v>38</v>
      </c>
      <c r="Q33" s="1948">
        <v>73</v>
      </c>
      <c r="R33" s="1946">
        <v>15</v>
      </c>
      <c r="S33" s="1947">
        <v>22</v>
      </c>
      <c r="T33" s="1947">
        <v>37</v>
      </c>
      <c r="U33" s="1948">
        <v>74</v>
      </c>
      <c r="V33" s="1946">
        <v>16</v>
      </c>
      <c r="W33" s="1947">
        <v>21</v>
      </c>
      <c r="X33" s="1947">
        <v>37</v>
      </c>
      <c r="Y33" s="1948">
        <v>74</v>
      </c>
      <c r="Z33" s="1946">
        <v>20</v>
      </c>
      <c r="AA33" s="1947">
        <v>23</v>
      </c>
      <c r="AB33" s="1947">
        <v>30</v>
      </c>
      <c r="AC33" s="1948">
        <v>73</v>
      </c>
      <c r="AD33" s="1946">
        <f t="shared" ref="AD33:AO33" si="18">SUM(AD18,AD27)</f>
        <v>19</v>
      </c>
      <c r="AE33" s="1947">
        <f t="shared" si="18"/>
        <v>26</v>
      </c>
      <c r="AF33" s="1947">
        <f t="shared" si="18"/>
        <v>18</v>
      </c>
      <c r="AG33" s="1948">
        <f t="shared" si="18"/>
        <v>63</v>
      </c>
      <c r="AH33" s="1946">
        <f t="shared" si="18"/>
        <v>22</v>
      </c>
      <c r="AI33" s="1947">
        <f t="shared" si="18"/>
        <v>30</v>
      </c>
      <c r="AJ33" s="1947">
        <f t="shared" si="18"/>
        <v>17</v>
      </c>
      <c r="AK33" s="1948">
        <f t="shared" si="18"/>
        <v>69</v>
      </c>
      <c r="AL33" s="1946">
        <f t="shared" si="18"/>
        <v>23</v>
      </c>
      <c r="AM33" s="1947">
        <f t="shared" si="18"/>
        <v>24</v>
      </c>
      <c r="AN33" s="1947">
        <f t="shared" si="18"/>
        <v>22</v>
      </c>
      <c r="AO33" s="1948">
        <f t="shared" si="18"/>
        <v>69</v>
      </c>
      <c r="AP33" s="1946">
        <f t="shared" ref="AP33:AW33" si="19">SUM(AP18,AP27)</f>
        <v>24</v>
      </c>
      <c r="AQ33" s="1947">
        <f t="shared" si="19"/>
        <v>21</v>
      </c>
      <c r="AR33" s="1947">
        <f t="shared" si="19"/>
        <v>21</v>
      </c>
      <c r="AS33" s="1948">
        <f t="shared" si="19"/>
        <v>66</v>
      </c>
      <c r="AT33" s="1946">
        <f t="shared" si="19"/>
        <v>24</v>
      </c>
      <c r="AU33" s="1947">
        <f t="shared" si="19"/>
        <v>23</v>
      </c>
      <c r="AV33" s="1947">
        <f t="shared" si="19"/>
        <v>20</v>
      </c>
      <c r="AW33" s="1948">
        <f t="shared" si="19"/>
        <v>67</v>
      </c>
      <c r="AX33" s="1946">
        <f>SUM(AX18,AX23,AX27)</f>
        <v>25</v>
      </c>
      <c r="AY33" s="1947">
        <f t="shared" ref="AY33:AZ33" si="20">SUM(AY18,AY23,AY27)</f>
        <v>20</v>
      </c>
      <c r="AZ33" s="1947">
        <f t="shared" si="20"/>
        <v>19</v>
      </c>
      <c r="BA33" s="1948">
        <f t="shared" si="17"/>
        <v>64</v>
      </c>
    </row>
    <row r="34" spans="1:53" ht="15" customHeight="1" x14ac:dyDescent="0.2">
      <c r="A34" s="1938" t="s">
        <v>7</v>
      </c>
      <c r="B34" s="1946"/>
      <c r="C34" s="1947"/>
      <c r="D34" s="1947"/>
      <c r="E34" s="1948"/>
      <c r="F34" s="1946">
        <v>0</v>
      </c>
      <c r="G34" s="1947">
        <v>1</v>
      </c>
      <c r="H34" s="1947">
        <v>28</v>
      </c>
      <c r="I34" s="1948">
        <v>29</v>
      </c>
      <c r="J34" s="1946">
        <v>0</v>
      </c>
      <c r="K34" s="1947">
        <v>1</v>
      </c>
      <c r="L34" s="1947">
        <v>30</v>
      </c>
      <c r="M34" s="1948">
        <v>31</v>
      </c>
      <c r="N34" s="1946">
        <v>0</v>
      </c>
      <c r="O34" s="1947">
        <v>4</v>
      </c>
      <c r="P34" s="1947">
        <v>28</v>
      </c>
      <c r="Q34" s="1948">
        <v>32</v>
      </c>
      <c r="R34" s="1946">
        <v>1</v>
      </c>
      <c r="S34" s="1947">
        <v>4</v>
      </c>
      <c r="T34" s="1947">
        <v>26</v>
      </c>
      <c r="U34" s="1948">
        <v>31</v>
      </c>
      <c r="V34" s="1946">
        <v>1</v>
      </c>
      <c r="W34" s="1947">
        <v>4</v>
      </c>
      <c r="X34" s="1947">
        <v>26</v>
      </c>
      <c r="Y34" s="1948">
        <v>31</v>
      </c>
      <c r="Z34" s="1946">
        <v>1</v>
      </c>
      <c r="AA34" s="1947">
        <v>4</v>
      </c>
      <c r="AB34" s="1947">
        <v>27</v>
      </c>
      <c r="AC34" s="1948">
        <v>32</v>
      </c>
      <c r="AD34" s="1946">
        <f t="shared" ref="AD34:AO34" si="21">SUM(AD8,AD28)</f>
        <v>1</v>
      </c>
      <c r="AE34" s="1947">
        <f t="shared" si="21"/>
        <v>6</v>
      </c>
      <c r="AF34" s="1947">
        <f t="shared" si="21"/>
        <v>19</v>
      </c>
      <c r="AG34" s="1948">
        <f t="shared" si="21"/>
        <v>26</v>
      </c>
      <c r="AH34" s="1946">
        <f t="shared" si="21"/>
        <v>1</v>
      </c>
      <c r="AI34" s="1947">
        <f t="shared" si="21"/>
        <v>5</v>
      </c>
      <c r="AJ34" s="1947">
        <f t="shared" si="21"/>
        <v>21</v>
      </c>
      <c r="AK34" s="1948">
        <f t="shared" si="21"/>
        <v>27</v>
      </c>
      <c r="AL34" s="1946">
        <f t="shared" si="21"/>
        <v>2</v>
      </c>
      <c r="AM34" s="1947">
        <f t="shared" si="21"/>
        <v>5</v>
      </c>
      <c r="AN34" s="1947">
        <f t="shared" si="21"/>
        <v>21</v>
      </c>
      <c r="AO34" s="1948">
        <f t="shared" si="21"/>
        <v>28</v>
      </c>
      <c r="AP34" s="1946">
        <f t="shared" ref="AP34:AW34" si="22">SUM(AP8,AP28)</f>
        <v>2</v>
      </c>
      <c r="AQ34" s="1947">
        <f t="shared" si="22"/>
        <v>5</v>
      </c>
      <c r="AR34" s="1947">
        <f t="shared" si="22"/>
        <v>21</v>
      </c>
      <c r="AS34" s="1948">
        <f t="shared" si="22"/>
        <v>28</v>
      </c>
      <c r="AT34" s="1946">
        <f t="shared" si="22"/>
        <v>2</v>
      </c>
      <c r="AU34" s="1947">
        <f t="shared" si="22"/>
        <v>5</v>
      </c>
      <c r="AV34" s="1947">
        <f t="shared" si="22"/>
        <v>22</v>
      </c>
      <c r="AW34" s="1948">
        <f t="shared" si="22"/>
        <v>29</v>
      </c>
      <c r="AX34" s="1946">
        <f t="shared" ref="AX34:AZ34" si="23">SUM(AX8,AX28)</f>
        <v>2</v>
      </c>
      <c r="AY34" s="1947">
        <f t="shared" si="23"/>
        <v>8</v>
      </c>
      <c r="AZ34" s="1947">
        <f t="shared" si="23"/>
        <v>25</v>
      </c>
      <c r="BA34" s="1948">
        <f t="shared" si="17"/>
        <v>35</v>
      </c>
    </row>
    <row r="35" spans="1:53" ht="15" customHeight="1" x14ac:dyDescent="0.2">
      <c r="A35" s="1932" t="s">
        <v>9</v>
      </c>
      <c r="B35" s="1946"/>
      <c r="C35" s="1947"/>
      <c r="D35" s="1947"/>
      <c r="E35" s="1948"/>
      <c r="F35" s="1946">
        <v>0</v>
      </c>
      <c r="G35" s="1947">
        <v>0</v>
      </c>
      <c r="H35" s="1947">
        <v>0</v>
      </c>
      <c r="I35" s="1948">
        <v>0</v>
      </c>
      <c r="J35" s="1946">
        <v>0</v>
      </c>
      <c r="K35" s="1947">
        <v>0</v>
      </c>
      <c r="L35" s="1947">
        <v>0</v>
      </c>
      <c r="M35" s="1948">
        <v>0</v>
      </c>
      <c r="N35" s="1946">
        <v>0</v>
      </c>
      <c r="O35" s="1947">
        <v>0</v>
      </c>
      <c r="P35" s="1947">
        <v>3</v>
      </c>
      <c r="Q35" s="1948">
        <v>3</v>
      </c>
      <c r="R35" s="1946">
        <v>0</v>
      </c>
      <c r="S35" s="1947">
        <v>0</v>
      </c>
      <c r="T35" s="1947">
        <v>3</v>
      </c>
      <c r="U35" s="1948">
        <v>3</v>
      </c>
      <c r="V35" s="1946">
        <v>0</v>
      </c>
      <c r="W35" s="1947">
        <v>0</v>
      </c>
      <c r="X35" s="1947">
        <v>3</v>
      </c>
      <c r="Y35" s="1948">
        <v>3</v>
      </c>
      <c r="Z35" s="1946">
        <v>1</v>
      </c>
      <c r="AA35" s="1947">
        <v>0</v>
      </c>
      <c r="AB35" s="1947">
        <v>3</v>
      </c>
      <c r="AC35" s="1948">
        <v>4</v>
      </c>
      <c r="AD35" s="1946">
        <f t="shared" ref="AD35:AO35" si="24">SUM(AD12)</f>
        <v>1</v>
      </c>
      <c r="AE35" s="1947">
        <f t="shared" si="24"/>
        <v>0</v>
      </c>
      <c r="AF35" s="1947">
        <f t="shared" si="24"/>
        <v>4</v>
      </c>
      <c r="AG35" s="1948">
        <f t="shared" si="24"/>
        <v>5</v>
      </c>
      <c r="AH35" s="1946">
        <f t="shared" si="24"/>
        <v>1</v>
      </c>
      <c r="AI35" s="1947">
        <f t="shared" si="24"/>
        <v>0</v>
      </c>
      <c r="AJ35" s="1947">
        <f t="shared" si="24"/>
        <v>8</v>
      </c>
      <c r="AK35" s="1948">
        <f t="shared" si="24"/>
        <v>9</v>
      </c>
      <c r="AL35" s="1946">
        <f t="shared" si="24"/>
        <v>1</v>
      </c>
      <c r="AM35" s="1947">
        <f t="shared" si="24"/>
        <v>0</v>
      </c>
      <c r="AN35" s="1947">
        <f t="shared" si="24"/>
        <v>9</v>
      </c>
      <c r="AO35" s="1948">
        <f t="shared" si="24"/>
        <v>10</v>
      </c>
      <c r="AP35" s="1946">
        <f t="shared" ref="AP35:AW36" si="25">SUM(AP12)</f>
        <v>1</v>
      </c>
      <c r="AQ35" s="1947">
        <f t="shared" si="25"/>
        <v>0</v>
      </c>
      <c r="AR35" s="1947">
        <f t="shared" si="25"/>
        <v>8</v>
      </c>
      <c r="AS35" s="1948">
        <f t="shared" si="25"/>
        <v>9</v>
      </c>
      <c r="AT35" s="1946">
        <f t="shared" si="25"/>
        <v>1</v>
      </c>
      <c r="AU35" s="1947">
        <f t="shared" si="25"/>
        <v>1</v>
      </c>
      <c r="AV35" s="1947">
        <f t="shared" si="25"/>
        <v>7</v>
      </c>
      <c r="AW35" s="1948">
        <f t="shared" si="25"/>
        <v>9</v>
      </c>
      <c r="AX35" s="1946">
        <f t="shared" ref="AX35:AZ35" si="26">SUM(AX12)</f>
        <v>1</v>
      </c>
      <c r="AY35" s="1947">
        <f t="shared" si="26"/>
        <v>1</v>
      </c>
      <c r="AZ35" s="1947">
        <f t="shared" si="26"/>
        <v>8</v>
      </c>
      <c r="BA35" s="1948">
        <f t="shared" si="17"/>
        <v>10</v>
      </c>
    </row>
    <row r="36" spans="1:53" ht="15" customHeight="1" x14ac:dyDescent="0.2">
      <c r="A36" s="1933" t="s">
        <v>74</v>
      </c>
      <c r="B36" s="1949"/>
      <c r="C36" s="1950"/>
      <c r="D36" s="1950"/>
      <c r="E36" s="1951"/>
      <c r="F36" s="1955">
        <v>0</v>
      </c>
      <c r="G36" s="1956">
        <v>0</v>
      </c>
      <c r="H36" s="1956">
        <v>0</v>
      </c>
      <c r="I36" s="1951">
        <v>0</v>
      </c>
      <c r="J36" s="1949">
        <v>0</v>
      </c>
      <c r="K36" s="1950">
        <v>0</v>
      </c>
      <c r="L36" s="1950">
        <v>0</v>
      </c>
      <c r="M36" s="1951">
        <v>0</v>
      </c>
      <c r="N36" s="1949">
        <v>0</v>
      </c>
      <c r="O36" s="1950">
        <v>0</v>
      </c>
      <c r="P36" s="1950">
        <v>1</v>
      </c>
      <c r="Q36" s="1951">
        <v>1</v>
      </c>
      <c r="R36" s="1949">
        <v>0</v>
      </c>
      <c r="S36" s="1950">
        <v>0</v>
      </c>
      <c r="T36" s="1950">
        <v>1</v>
      </c>
      <c r="U36" s="1951">
        <v>1</v>
      </c>
      <c r="V36" s="1949">
        <v>0</v>
      </c>
      <c r="W36" s="1950">
        <v>0</v>
      </c>
      <c r="X36" s="1950">
        <v>4</v>
      </c>
      <c r="Y36" s="1951">
        <v>4</v>
      </c>
      <c r="Z36" s="1955">
        <v>0</v>
      </c>
      <c r="AA36" s="1956">
        <v>0</v>
      </c>
      <c r="AB36" s="1956">
        <v>4</v>
      </c>
      <c r="AC36" s="1951">
        <v>4</v>
      </c>
      <c r="AD36" s="1949">
        <f t="shared" ref="AD36:AO36" si="27">SUM(AD13)</f>
        <v>0</v>
      </c>
      <c r="AE36" s="1950">
        <f t="shared" si="27"/>
        <v>0</v>
      </c>
      <c r="AF36" s="1950">
        <f t="shared" si="27"/>
        <v>5</v>
      </c>
      <c r="AG36" s="1951">
        <f t="shared" si="27"/>
        <v>5</v>
      </c>
      <c r="AH36" s="1949">
        <f t="shared" si="27"/>
        <v>1</v>
      </c>
      <c r="AI36" s="1950">
        <f t="shared" si="27"/>
        <v>1</v>
      </c>
      <c r="AJ36" s="1950">
        <f t="shared" si="27"/>
        <v>5</v>
      </c>
      <c r="AK36" s="1951">
        <f t="shared" si="27"/>
        <v>7</v>
      </c>
      <c r="AL36" s="1949">
        <f t="shared" si="27"/>
        <v>1</v>
      </c>
      <c r="AM36" s="1950">
        <f t="shared" si="27"/>
        <v>2</v>
      </c>
      <c r="AN36" s="1950">
        <f t="shared" si="27"/>
        <v>5</v>
      </c>
      <c r="AO36" s="1951">
        <f t="shared" si="27"/>
        <v>8</v>
      </c>
      <c r="AP36" s="1949">
        <f t="shared" si="25"/>
        <v>1</v>
      </c>
      <c r="AQ36" s="1950">
        <f t="shared" si="25"/>
        <v>2</v>
      </c>
      <c r="AR36" s="1950">
        <f t="shared" si="25"/>
        <v>5</v>
      </c>
      <c r="AS36" s="1951">
        <f t="shared" si="25"/>
        <v>8</v>
      </c>
      <c r="AT36" s="1949">
        <f t="shared" si="25"/>
        <v>1</v>
      </c>
      <c r="AU36" s="1950">
        <f t="shared" si="25"/>
        <v>4</v>
      </c>
      <c r="AV36" s="1950">
        <f t="shared" si="25"/>
        <v>4</v>
      </c>
      <c r="AW36" s="1951">
        <f t="shared" si="25"/>
        <v>9</v>
      </c>
      <c r="AX36" s="1949">
        <f t="shared" ref="AX36:AZ36" si="28">SUM(AX13)</f>
        <v>1</v>
      </c>
      <c r="AY36" s="1950">
        <f t="shared" si="28"/>
        <v>6</v>
      </c>
      <c r="AZ36" s="1950">
        <f t="shared" si="28"/>
        <v>4</v>
      </c>
      <c r="BA36" s="1948">
        <f t="shared" si="17"/>
        <v>11</v>
      </c>
    </row>
    <row r="37" spans="1:53" ht="15" customHeight="1" x14ac:dyDescent="0.2">
      <c r="A37" s="4100" t="s">
        <v>586</v>
      </c>
      <c r="B37" s="1952">
        <v>15</v>
      </c>
      <c r="C37" s="1953">
        <v>44</v>
      </c>
      <c r="D37" s="1953">
        <v>154</v>
      </c>
      <c r="E37" s="1954">
        <v>213</v>
      </c>
      <c r="F37" s="1952">
        <v>17</v>
      </c>
      <c r="G37" s="1953">
        <v>54</v>
      </c>
      <c r="H37" s="1953">
        <v>178</v>
      </c>
      <c r="I37" s="1954">
        <v>249</v>
      </c>
      <c r="J37" s="1952">
        <v>23</v>
      </c>
      <c r="K37" s="1953">
        <v>53</v>
      </c>
      <c r="L37" s="1953">
        <v>192</v>
      </c>
      <c r="M37" s="1954">
        <v>268</v>
      </c>
      <c r="N37" s="1952">
        <v>49</v>
      </c>
      <c r="O37" s="1953">
        <v>71</v>
      </c>
      <c r="P37" s="1953">
        <v>171</v>
      </c>
      <c r="Q37" s="1954">
        <v>291</v>
      </c>
      <c r="R37" s="1952">
        <v>54</v>
      </c>
      <c r="S37" s="1953">
        <v>85</v>
      </c>
      <c r="T37" s="1953">
        <v>163</v>
      </c>
      <c r="U37" s="1954">
        <v>302</v>
      </c>
      <c r="V37" s="1952">
        <v>57</v>
      </c>
      <c r="W37" s="1953">
        <v>87</v>
      </c>
      <c r="X37" s="1953">
        <v>165</v>
      </c>
      <c r="Y37" s="1954">
        <v>309</v>
      </c>
      <c r="Z37" s="1952">
        <v>66</v>
      </c>
      <c r="AA37" s="1953">
        <v>99</v>
      </c>
      <c r="AB37" s="1953">
        <v>146</v>
      </c>
      <c r="AC37" s="1954">
        <v>311</v>
      </c>
      <c r="AD37" s="1952">
        <f t="shared" ref="AD37:AK37" si="29">SUM(AD31:AD36)</f>
        <v>73</v>
      </c>
      <c r="AE37" s="1953">
        <f t="shared" si="29"/>
        <v>111</v>
      </c>
      <c r="AF37" s="1953">
        <f t="shared" si="29"/>
        <v>93</v>
      </c>
      <c r="AG37" s="1954">
        <f t="shared" si="29"/>
        <v>277</v>
      </c>
      <c r="AH37" s="1952">
        <f t="shared" si="29"/>
        <v>72</v>
      </c>
      <c r="AI37" s="1953">
        <f t="shared" si="29"/>
        <v>112</v>
      </c>
      <c r="AJ37" s="1953">
        <f t="shared" si="29"/>
        <v>102</v>
      </c>
      <c r="AK37" s="1954">
        <f t="shared" si="29"/>
        <v>286</v>
      </c>
      <c r="AL37" s="1952">
        <f t="shared" ref="AL37:AS37" si="30">SUM(AL31:AL36)</f>
        <v>80</v>
      </c>
      <c r="AM37" s="1953">
        <f t="shared" si="30"/>
        <v>99</v>
      </c>
      <c r="AN37" s="1953">
        <f t="shared" si="30"/>
        <v>107</v>
      </c>
      <c r="AO37" s="1954">
        <f t="shared" si="30"/>
        <v>286</v>
      </c>
      <c r="AP37" s="1952">
        <f t="shared" si="30"/>
        <v>81</v>
      </c>
      <c r="AQ37" s="1953">
        <f t="shared" si="30"/>
        <v>96</v>
      </c>
      <c r="AR37" s="1953">
        <f t="shared" si="30"/>
        <v>105</v>
      </c>
      <c r="AS37" s="1954">
        <f t="shared" si="30"/>
        <v>282</v>
      </c>
      <c r="AT37" s="1952">
        <f t="shared" ref="AT37:AW37" si="31">SUM(AT31:AT36)</f>
        <v>84</v>
      </c>
      <c r="AU37" s="1953">
        <f t="shared" si="31"/>
        <v>92</v>
      </c>
      <c r="AV37" s="1953">
        <f t="shared" si="31"/>
        <v>101</v>
      </c>
      <c r="AW37" s="1954">
        <f t="shared" si="31"/>
        <v>277</v>
      </c>
      <c r="AX37" s="1952">
        <f>SUM(AX31:AX36)</f>
        <v>87</v>
      </c>
      <c r="AY37" s="1953">
        <f t="shared" ref="AY37:BA37" si="32">SUM(AY31:AY36)</f>
        <v>81</v>
      </c>
      <c r="AZ37" s="1953">
        <f t="shared" si="32"/>
        <v>111</v>
      </c>
      <c r="BA37" s="1954">
        <f t="shared" si="32"/>
        <v>279</v>
      </c>
    </row>
    <row r="38" spans="1:53" x14ac:dyDescent="0.2">
      <c r="A38" s="1957" t="s">
        <v>159</v>
      </c>
      <c r="B38" s="1958"/>
      <c r="C38" s="1958"/>
      <c r="D38" s="1958"/>
      <c r="E38" s="1958"/>
      <c r="F38" s="1959"/>
      <c r="G38" s="1959"/>
      <c r="H38" s="1959"/>
      <c r="I38" s="1959"/>
      <c r="J38" s="1959"/>
      <c r="K38" s="1959"/>
      <c r="L38" s="1959"/>
      <c r="M38" s="1959"/>
      <c r="N38" s="1959"/>
      <c r="O38" s="1959"/>
      <c r="P38" s="1959"/>
      <c r="Q38" s="1959"/>
      <c r="R38" s="1959"/>
      <c r="S38" s="1959"/>
      <c r="T38" s="1959"/>
      <c r="U38" s="1959"/>
      <c r="V38" s="1941"/>
      <c r="W38" s="1941"/>
      <c r="X38" s="1941"/>
      <c r="Y38" s="1941"/>
      <c r="Z38" s="1941"/>
      <c r="AA38" s="1941"/>
      <c r="AB38" s="1941"/>
      <c r="AC38" s="1941"/>
      <c r="AD38" s="1941"/>
      <c r="AE38" s="1941"/>
      <c r="AF38" s="1941"/>
      <c r="AG38" s="1941"/>
      <c r="AH38" s="1941"/>
      <c r="AI38" s="1941"/>
      <c r="AJ38" s="1941"/>
      <c r="AK38" s="1941"/>
      <c r="AL38" s="1941"/>
      <c r="AM38" s="1941"/>
      <c r="AN38" s="1941"/>
      <c r="AO38" s="1941"/>
      <c r="AP38" s="1941"/>
      <c r="AQ38" s="1941"/>
      <c r="AR38" s="1941"/>
      <c r="AS38" s="1941"/>
    </row>
    <row r="39" spans="1:53" x14ac:dyDescent="0.2">
      <c r="B39" s="1754" t="s">
        <v>656</v>
      </c>
      <c r="C39" s="256"/>
      <c r="D39" s="256"/>
      <c r="E39" s="256"/>
      <c r="F39" s="256"/>
      <c r="G39" s="256"/>
      <c r="H39" s="256"/>
      <c r="I39" s="256"/>
      <c r="J39" s="256"/>
      <c r="K39" s="256"/>
      <c r="L39" s="256"/>
      <c r="M39" s="256"/>
      <c r="N39" s="256"/>
      <c r="O39" s="256"/>
      <c r="P39" s="256"/>
      <c r="Q39" s="256"/>
      <c r="R39" s="256"/>
      <c r="S39" s="256"/>
      <c r="T39" s="256"/>
      <c r="U39" s="256"/>
    </row>
    <row r="40" spans="1:53" x14ac:dyDescent="0.2">
      <c r="B40" s="1754" t="s">
        <v>657</v>
      </c>
      <c r="C40" s="256"/>
      <c r="D40" s="256"/>
      <c r="E40" s="256"/>
      <c r="F40" s="256"/>
      <c r="G40" s="256"/>
      <c r="H40" s="256"/>
      <c r="I40" s="256"/>
      <c r="J40" s="256"/>
      <c r="K40" s="256"/>
      <c r="L40" s="256"/>
      <c r="M40" s="256"/>
      <c r="N40" s="256"/>
      <c r="O40" s="256"/>
      <c r="P40" s="256"/>
      <c r="Q40" s="256"/>
      <c r="R40" s="256"/>
      <c r="S40" s="256"/>
      <c r="T40" s="256"/>
      <c r="U40" s="256"/>
    </row>
    <row r="41" spans="1:53" x14ac:dyDescent="0.2">
      <c r="B41" s="1754" t="s">
        <v>658</v>
      </c>
      <c r="C41" s="256"/>
      <c r="D41" s="256"/>
      <c r="E41" s="256"/>
      <c r="F41" s="256"/>
      <c r="G41" s="256"/>
      <c r="H41" s="256"/>
      <c r="I41" s="256"/>
      <c r="J41" s="256"/>
      <c r="K41" s="256"/>
      <c r="L41" s="256"/>
      <c r="M41" s="256"/>
      <c r="N41" s="256"/>
      <c r="O41" s="256"/>
      <c r="P41" s="256"/>
      <c r="Q41" s="256"/>
      <c r="R41" s="256"/>
      <c r="S41" s="256"/>
      <c r="T41" s="256"/>
      <c r="U41" s="256"/>
    </row>
    <row r="42" spans="1:53" x14ac:dyDescent="0.2">
      <c r="A42" s="138"/>
      <c r="C42" s="34"/>
      <c r="D42" s="256"/>
      <c r="E42" s="256"/>
      <c r="F42" s="256"/>
      <c r="G42" s="256"/>
      <c r="H42" s="256"/>
      <c r="I42" s="256"/>
      <c r="J42" s="256"/>
      <c r="K42" s="256"/>
      <c r="L42" s="256"/>
      <c r="M42" s="256"/>
      <c r="N42" s="256"/>
      <c r="O42" s="256"/>
      <c r="P42" s="256"/>
      <c r="Q42" s="256"/>
      <c r="R42" s="256"/>
      <c r="S42" s="256"/>
      <c r="T42" s="256"/>
      <c r="U42" s="256"/>
      <c r="Z42" s="4180">
        <v>2003</v>
      </c>
    </row>
    <row r="43" spans="1:53" ht="15" customHeight="1" x14ac:dyDescent="0.2">
      <c r="A43" s="454"/>
      <c r="C43" s="256"/>
      <c r="D43" s="256"/>
      <c r="E43" s="256"/>
      <c r="F43" s="256"/>
      <c r="G43" s="256"/>
      <c r="H43" s="256"/>
      <c r="I43" s="256"/>
      <c r="J43" s="256"/>
      <c r="K43" s="256"/>
      <c r="L43" s="256"/>
      <c r="M43" s="256"/>
      <c r="N43" s="256"/>
      <c r="O43" s="256"/>
      <c r="P43" s="256"/>
      <c r="Q43" s="256"/>
      <c r="R43" s="256"/>
      <c r="S43" s="256"/>
      <c r="T43" s="256"/>
      <c r="U43" s="256"/>
      <c r="Z43" s="4180">
        <v>2004</v>
      </c>
    </row>
    <row r="44" spans="1:53" x14ac:dyDescent="0.2">
      <c r="C44" s="256"/>
      <c r="D44" s="256"/>
      <c r="E44" s="256"/>
      <c r="Z44" s="4180">
        <v>2005</v>
      </c>
    </row>
    <row r="45" spans="1:53" ht="21" customHeight="1" x14ac:dyDescent="0.2">
      <c r="B45" s="6386" t="s">
        <v>799</v>
      </c>
      <c r="C45" s="6386"/>
      <c r="D45" s="6386"/>
      <c r="E45" s="6386"/>
      <c r="F45" s="6386"/>
      <c r="G45" s="6386"/>
      <c r="H45" s="6386"/>
      <c r="I45" s="6386"/>
      <c r="J45" s="6386"/>
      <c r="K45" s="6386"/>
      <c r="L45" s="6386"/>
      <c r="M45" s="6386"/>
      <c r="N45" s="6386"/>
      <c r="O45" s="6386"/>
      <c r="P45" s="6386"/>
      <c r="Q45" s="6386"/>
      <c r="R45" s="6386"/>
      <c r="S45" s="6386"/>
      <c r="Z45" s="4180">
        <v>2006</v>
      </c>
    </row>
    <row r="46" spans="1:53" x14ac:dyDescent="0.2">
      <c r="B46" s="2371" t="s">
        <v>804</v>
      </c>
      <c r="C46" s="34"/>
      <c r="Z46" s="4180">
        <v>2007</v>
      </c>
    </row>
    <row r="47" spans="1:53" x14ac:dyDescent="0.2">
      <c r="B47" s="2376" t="s">
        <v>786</v>
      </c>
      <c r="Z47" s="4180">
        <v>2008</v>
      </c>
    </row>
    <row r="48" spans="1:53" x14ac:dyDescent="0.2">
      <c r="B48" s="2376" t="s">
        <v>787</v>
      </c>
      <c r="Z48" s="4180">
        <v>2009</v>
      </c>
    </row>
    <row r="49" spans="2:26" x14ac:dyDescent="0.2">
      <c r="B49" s="2376" t="s">
        <v>788</v>
      </c>
      <c r="Z49" s="4180">
        <v>2010</v>
      </c>
    </row>
    <row r="50" spans="2:26" x14ac:dyDescent="0.2">
      <c r="B50" s="2371" t="s">
        <v>803</v>
      </c>
      <c r="Z50" s="4180">
        <v>2011</v>
      </c>
    </row>
    <row r="51" spans="2:26" x14ac:dyDescent="0.2">
      <c r="B51" s="2376" t="s">
        <v>789</v>
      </c>
      <c r="Z51" s="4180">
        <v>2012</v>
      </c>
    </row>
    <row r="52" spans="2:26" x14ac:dyDescent="0.2">
      <c r="B52" s="2376" t="s">
        <v>790</v>
      </c>
      <c r="Z52" s="4180">
        <v>2013</v>
      </c>
    </row>
    <row r="53" spans="2:26" x14ac:dyDescent="0.2">
      <c r="B53" s="2376" t="s">
        <v>791</v>
      </c>
      <c r="Z53" s="4180">
        <v>2014</v>
      </c>
    </row>
    <row r="54" spans="2:26" x14ac:dyDescent="0.2">
      <c r="B54" s="2376" t="s">
        <v>792</v>
      </c>
      <c r="Z54" s="4180">
        <v>2015</v>
      </c>
    </row>
    <row r="55" spans="2:26" x14ac:dyDescent="0.2">
      <c r="B55" s="2376" t="s">
        <v>793</v>
      </c>
      <c r="Z55" s="4180"/>
    </row>
    <row r="56" spans="2:26" x14ac:dyDescent="0.2">
      <c r="B56" s="2376" t="s">
        <v>794</v>
      </c>
      <c r="Z56" s="4180"/>
    </row>
    <row r="57" spans="2:26" x14ac:dyDescent="0.2">
      <c r="B57" s="2371" t="s">
        <v>802</v>
      </c>
      <c r="Z57" s="4180"/>
    </row>
    <row r="58" spans="2:26" x14ac:dyDescent="0.2">
      <c r="B58" s="2376" t="s">
        <v>795</v>
      </c>
      <c r="Z58" s="4180"/>
    </row>
    <row r="59" spans="2:26" x14ac:dyDescent="0.2">
      <c r="B59" s="2376" t="s">
        <v>796</v>
      </c>
      <c r="Z59" s="4180"/>
    </row>
    <row r="60" spans="2:26" x14ac:dyDescent="0.2">
      <c r="B60" s="2376" t="s">
        <v>797</v>
      </c>
      <c r="Z60" s="4180"/>
    </row>
    <row r="61" spans="2:26" x14ac:dyDescent="0.2">
      <c r="B61" s="2376" t="s">
        <v>798</v>
      </c>
      <c r="Z61" s="4180"/>
    </row>
    <row r="62" spans="2:26" x14ac:dyDescent="0.2">
      <c r="B62" s="2371" t="s">
        <v>800</v>
      </c>
      <c r="Z62" s="4180"/>
    </row>
    <row r="63" spans="2:26" x14ac:dyDescent="0.2">
      <c r="B63" s="2371" t="s">
        <v>801</v>
      </c>
      <c r="Z63" s="4180"/>
    </row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34" spans="2:26" x14ac:dyDescent="0.2">
      <c r="B134" s="2376"/>
    </row>
    <row r="136" spans="2:26" x14ac:dyDescent="0.2">
      <c r="B136" s="2376"/>
      <c r="Z136" s="4180" t="s">
        <v>690</v>
      </c>
    </row>
    <row r="137" spans="2:26" x14ac:dyDescent="0.2">
      <c r="Z137" s="4180" t="s">
        <v>691</v>
      </c>
    </row>
    <row r="138" spans="2:26" x14ac:dyDescent="0.2">
      <c r="B138" s="2377"/>
      <c r="Z138" s="4180" t="s">
        <v>692</v>
      </c>
    </row>
    <row r="144" spans="2:26" x14ac:dyDescent="0.2">
      <c r="B144" s="2376"/>
    </row>
    <row r="146" spans="2:2" x14ac:dyDescent="0.2">
      <c r="B146" s="2376"/>
    </row>
    <row r="148" spans="2:2" x14ac:dyDescent="0.2">
      <c r="B148" s="2376"/>
    </row>
    <row r="150" spans="2:2" x14ac:dyDescent="0.2">
      <c r="B150" s="2377"/>
    </row>
  </sheetData>
  <mergeCells count="15">
    <mergeCell ref="AX3:BA3"/>
    <mergeCell ref="B45:S45"/>
    <mergeCell ref="AT3:AW3"/>
    <mergeCell ref="A3:A4"/>
    <mergeCell ref="R3:U3"/>
    <mergeCell ref="N3:Q3"/>
    <mergeCell ref="J3:M3"/>
    <mergeCell ref="F3:I3"/>
    <mergeCell ref="B3:E3"/>
    <mergeCell ref="AP3:AS3"/>
    <mergeCell ref="AL3:AO3"/>
    <mergeCell ref="V3:Y3"/>
    <mergeCell ref="AH3:AK3"/>
    <mergeCell ref="AD3:AG3"/>
    <mergeCell ref="Z3:AC3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scale="59" pageOrder="overThenDown" orientation="landscape" r:id="rId1"/>
  <rowBreaks count="1" manualBreakCount="1">
    <brk id="41" max="52" man="1"/>
  </rowBreaks>
  <colBreaks count="1" manualBreakCount="1">
    <brk id="25" max="1048575" man="1"/>
  </colBreaks>
  <ignoredErrors>
    <ignoredError sqref="AG6:AG8 AP29:AR29 AG11:AG13" formulaRange="1"/>
    <ignoredError sqref="AG25:AG28 AP14:AS14 AP19:AS19 AS29 AG16:AG19" formula="1" formulaRange="1"/>
    <ignoredError sqref="AG15 AG29 AG9 AO9:AO10 AP16:AS18 AK9 AS9" formula="1"/>
  </ignoredErrors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1:O75"/>
  <sheetViews>
    <sheetView showGridLines="0" zoomScaleNormal="100" zoomScaleSheetLayoutView="104" workbookViewId="0">
      <pane xSplit="2" ySplit="3" topLeftCell="C10" activePane="bottomRight" state="frozen"/>
      <selection pane="topRight" activeCell="C1" sqref="C1"/>
      <selection pane="bottomLeft" activeCell="A4" sqref="A4"/>
      <selection pane="bottomRight" activeCell="N60" sqref="N60"/>
    </sheetView>
  </sheetViews>
  <sheetFormatPr baseColWidth="10" defaultRowHeight="12.75" x14ac:dyDescent="0.2"/>
  <cols>
    <col min="1" max="1" width="16.140625" customWidth="1"/>
    <col min="3" max="3" width="13.42578125" customWidth="1"/>
    <col min="4" max="4" width="13.28515625" customWidth="1"/>
    <col min="5" max="5" width="9.5703125" customWidth="1"/>
    <col min="6" max="6" width="9" customWidth="1"/>
    <col min="7" max="7" width="16.7109375" customWidth="1"/>
    <col min="8" max="8" width="11.140625" customWidth="1"/>
    <col min="9" max="9" width="13.85546875" customWidth="1"/>
    <col min="10" max="10" width="14.7109375" customWidth="1"/>
    <col min="11" max="11" width="12.7109375" customWidth="1"/>
    <col min="12" max="12" width="16.42578125" customWidth="1"/>
    <col min="13" max="13" width="14.140625" customWidth="1"/>
    <col min="14" max="14" width="12.7109375" style="144" customWidth="1"/>
  </cols>
  <sheetData>
    <row r="1" spans="1:15" ht="18.75" x14ac:dyDescent="0.25">
      <c r="A1" s="4190" t="s">
        <v>1378</v>
      </c>
      <c r="B1" s="4190"/>
      <c r="C1" s="4188"/>
      <c r="D1" s="4188"/>
      <c r="E1" s="4188"/>
      <c r="F1" s="4188"/>
      <c r="G1" s="4188"/>
      <c r="H1" s="4188"/>
      <c r="I1" s="4188"/>
      <c r="J1" s="4188"/>
      <c r="K1" s="4188"/>
      <c r="L1" s="4188"/>
      <c r="M1" s="4188"/>
      <c r="N1" s="4188"/>
      <c r="O1" s="19"/>
    </row>
    <row r="2" spans="1:15" ht="15" x14ac:dyDescent="0.2">
      <c r="A2" s="3797"/>
      <c r="B2" s="3797"/>
      <c r="C2" s="3797"/>
      <c r="D2" s="3797"/>
      <c r="E2" s="3797"/>
      <c r="F2" s="3797"/>
      <c r="G2" s="3797"/>
      <c r="H2" s="3797"/>
      <c r="I2" s="3797"/>
      <c r="J2" s="3797"/>
      <c r="K2" s="3797"/>
      <c r="L2" s="3797"/>
      <c r="M2" s="3797"/>
      <c r="N2" s="3797"/>
      <c r="O2" s="19"/>
    </row>
    <row r="3" spans="1:15" ht="75" x14ac:dyDescent="0.2">
      <c r="A3" s="3782" t="s">
        <v>51</v>
      </c>
      <c r="B3" s="3782" t="s">
        <v>65</v>
      </c>
      <c r="C3" s="1572" t="s">
        <v>40</v>
      </c>
      <c r="D3" s="1572" t="s">
        <v>41</v>
      </c>
      <c r="E3" s="1572" t="s">
        <v>42</v>
      </c>
      <c r="F3" s="1572" t="s">
        <v>43</v>
      </c>
      <c r="G3" s="1572" t="s">
        <v>44</v>
      </c>
      <c r="H3" s="1572" t="s">
        <v>45</v>
      </c>
      <c r="I3" s="1572" t="s">
        <v>46</v>
      </c>
      <c r="J3" s="1572" t="s">
        <v>47</v>
      </c>
      <c r="K3" s="1572" t="s">
        <v>48</v>
      </c>
      <c r="L3" s="1572" t="s">
        <v>49</v>
      </c>
      <c r="M3" s="1572" t="s">
        <v>50</v>
      </c>
      <c r="N3" s="4850" t="s">
        <v>1527</v>
      </c>
      <c r="O3" s="20"/>
    </row>
    <row r="4" spans="1:15" ht="15" x14ac:dyDescent="0.25">
      <c r="A4" s="251"/>
      <c r="B4" s="3798"/>
      <c r="C4" s="467"/>
      <c r="D4" s="467"/>
      <c r="E4" s="467"/>
      <c r="F4" s="467"/>
      <c r="G4" s="467"/>
      <c r="H4" s="467"/>
      <c r="I4" s="467"/>
      <c r="J4" s="467"/>
      <c r="K4" s="467"/>
      <c r="L4" s="467"/>
      <c r="M4" s="467"/>
      <c r="N4" s="467"/>
      <c r="O4" s="17"/>
    </row>
    <row r="5" spans="1:15" ht="15" x14ac:dyDescent="0.25">
      <c r="A5" s="6391" t="s">
        <v>3</v>
      </c>
      <c r="B5" s="3799">
        <v>2003</v>
      </c>
      <c r="C5" s="3800">
        <v>776</v>
      </c>
      <c r="D5" s="3800">
        <v>821</v>
      </c>
      <c r="E5" s="3800">
        <v>0</v>
      </c>
      <c r="F5" s="3800">
        <v>24</v>
      </c>
      <c r="G5" s="3800">
        <v>3</v>
      </c>
      <c r="H5" s="3800">
        <v>1</v>
      </c>
      <c r="I5" s="3800">
        <v>1118</v>
      </c>
      <c r="J5" s="3800">
        <v>153</v>
      </c>
      <c r="K5" s="3800">
        <v>7</v>
      </c>
      <c r="L5" s="3800">
        <v>1</v>
      </c>
      <c r="M5" s="3800">
        <v>44</v>
      </c>
      <c r="N5" s="4866">
        <v>2948</v>
      </c>
      <c r="O5" s="17"/>
    </row>
    <row r="6" spans="1:15" ht="15" x14ac:dyDescent="0.25">
      <c r="A6" s="6391"/>
      <c r="B6" s="3799">
        <v>2004</v>
      </c>
      <c r="C6" s="3800">
        <v>890</v>
      </c>
      <c r="D6" s="3800">
        <v>928</v>
      </c>
      <c r="E6" s="3800">
        <v>1</v>
      </c>
      <c r="F6" s="3800">
        <v>29</v>
      </c>
      <c r="G6" s="3800">
        <v>2</v>
      </c>
      <c r="H6" s="3800">
        <v>1</v>
      </c>
      <c r="I6" s="3800">
        <v>1548</v>
      </c>
      <c r="J6" s="3800">
        <v>245</v>
      </c>
      <c r="K6" s="3800">
        <v>23</v>
      </c>
      <c r="L6" s="3800">
        <v>4</v>
      </c>
      <c r="M6" s="3800">
        <v>35</v>
      </c>
      <c r="N6" s="4866">
        <v>3706</v>
      </c>
      <c r="O6" s="17"/>
    </row>
    <row r="7" spans="1:15" ht="15" x14ac:dyDescent="0.25">
      <c r="A7" s="6391"/>
      <c r="B7" s="3799">
        <v>2005</v>
      </c>
      <c r="C7" s="3800">
        <v>806</v>
      </c>
      <c r="D7" s="3800">
        <v>873</v>
      </c>
      <c r="E7" s="3800">
        <v>5</v>
      </c>
      <c r="F7" s="3800">
        <v>25</v>
      </c>
      <c r="G7" s="3800">
        <v>2</v>
      </c>
      <c r="H7" s="3800">
        <v>5</v>
      </c>
      <c r="I7" s="3800">
        <v>1467</v>
      </c>
      <c r="J7" s="3800">
        <v>294</v>
      </c>
      <c r="K7" s="3800">
        <v>14</v>
      </c>
      <c r="L7" s="3800">
        <v>11</v>
      </c>
      <c r="M7" s="3800">
        <v>28</v>
      </c>
      <c r="N7" s="4866">
        <v>3530</v>
      </c>
      <c r="O7" s="17"/>
    </row>
    <row r="8" spans="1:15" ht="15" x14ac:dyDescent="0.25">
      <c r="A8" s="6391"/>
      <c r="B8" s="3799">
        <v>2006</v>
      </c>
      <c r="C8" s="3800">
        <v>643</v>
      </c>
      <c r="D8" s="3800">
        <v>760</v>
      </c>
      <c r="E8" s="3800">
        <v>3</v>
      </c>
      <c r="F8" s="3800">
        <v>24</v>
      </c>
      <c r="G8" s="3800">
        <v>9</v>
      </c>
      <c r="H8" s="3800">
        <v>0</v>
      </c>
      <c r="I8" s="3800">
        <v>1280</v>
      </c>
      <c r="J8" s="3800">
        <v>228</v>
      </c>
      <c r="K8" s="3800">
        <v>10</v>
      </c>
      <c r="L8" s="3800">
        <v>8</v>
      </c>
      <c r="M8" s="3800">
        <v>59</v>
      </c>
      <c r="N8" s="4866">
        <v>3024</v>
      </c>
      <c r="O8" s="17"/>
    </row>
    <row r="9" spans="1:15" ht="15" x14ac:dyDescent="0.25">
      <c r="A9" s="6391"/>
      <c r="B9" s="3799">
        <v>2007</v>
      </c>
      <c r="C9" s="3800">
        <v>394</v>
      </c>
      <c r="D9" s="3800">
        <v>756</v>
      </c>
      <c r="E9" s="3800">
        <v>0</v>
      </c>
      <c r="F9" s="3800">
        <v>28</v>
      </c>
      <c r="G9" s="3800">
        <v>2</v>
      </c>
      <c r="H9" s="3800">
        <v>0</v>
      </c>
      <c r="I9" s="3800">
        <v>1013</v>
      </c>
      <c r="J9" s="3800">
        <v>106</v>
      </c>
      <c r="K9" s="3800">
        <v>24</v>
      </c>
      <c r="L9" s="3800">
        <v>9</v>
      </c>
      <c r="M9" s="3800">
        <v>49</v>
      </c>
      <c r="N9" s="4866">
        <v>2381</v>
      </c>
      <c r="O9" s="17"/>
    </row>
    <row r="10" spans="1:15" ht="15" x14ac:dyDescent="0.25">
      <c r="A10" s="6391"/>
      <c r="B10" s="3799">
        <v>2008</v>
      </c>
      <c r="C10" s="3800">
        <v>484</v>
      </c>
      <c r="D10" s="3800">
        <v>975</v>
      </c>
      <c r="E10" s="3800">
        <v>0</v>
      </c>
      <c r="F10" s="3800">
        <v>19</v>
      </c>
      <c r="G10" s="3800">
        <v>3</v>
      </c>
      <c r="H10" s="3800">
        <v>0</v>
      </c>
      <c r="I10" s="3800">
        <v>1330</v>
      </c>
      <c r="J10" s="3800">
        <v>238</v>
      </c>
      <c r="K10" s="3800">
        <v>24</v>
      </c>
      <c r="L10" s="3800">
        <v>6</v>
      </c>
      <c r="M10" s="3800">
        <v>56</v>
      </c>
      <c r="N10" s="4866">
        <v>3135</v>
      </c>
      <c r="O10" s="17"/>
    </row>
    <row r="11" spans="1:15" ht="15" x14ac:dyDescent="0.25">
      <c r="A11" s="6391"/>
      <c r="B11" s="3799">
        <v>2009</v>
      </c>
      <c r="C11" s="3800">
        <v>551</v>
      </c>
      <c r="D11" s="3800">
        <v>914</v>
      </c>
      <c r="E11" s="3800">
        <v>0</v>
      </c>
      <c r="F11" s="3800">
        <v>27</v>
      </c>
      <c r="G11" s="3800">
        <v>1</v>
      </c>
      <c r="H11" s="3800">
        <v>1</v>
      </c>
      <c r="I11" s="3800">
        <v>1287</v>
      </c>
      <c r="J11" s="3800">
        <v>171</v>
      </c>
      <c r="K11" s="3800">
        <v>16</v>
      </c>
      <c r="L11" s="3800">
        <v>2</v>
      </c>
      <c r="M11" s="3800">
        <v>21</v>
      </c>
      <c r="N11" s="4866">
        <v>2991</v>
      </c>
      <c r="O11" s="17"/>
    </row>
    <row r="12" spans="1:15" ht="15" x14ac:dyDescent="0.25">
      <c r="A12" s="6391"/>
      <c r="B12" s="3799">
        <v>2010</v>
      </c>
      <c r="C12" s="3800">
        <v>675</v>
      </c>
      <c r="D12" s="3800">
        <v>1126</v>
      </c>
      <c r="E12" s="3800">
        <v>0</v>
      </c>
      <c r="F12" s="3800">
        <v>28</v>
      </c>
      <c r="G12" s="3800">
        <v>2</v>
      </c>
      <c r="H12" s="3800">
        <v>1</v>
      </c>
      <c r="I12" s="3800">
        <v>1698</v>
      </c>
      <c r="J12" s="3800">
        <v>242</v>
      </c>
      <c r="K12" s="3800">
        <v>14</v>
      </c>
      <c r="L12" s="3800">
        <v>3</v>
      </c>
      <c r="M12" s="3800">
        <v>15</v>
      </c>
      <c r="N12" s="4866">
        <f t="shared" ref="N12:N17" si="0">SUM(C12:M12)</f>
        <v>3804</v>
      </c>
      <c r="O12" s="17"/>
    </row>
    <row r="13" spans="1:15" ht="15" x14ac:dyDescent="0.25">
      <c r="A13" s="6391"/>
      <c r="B13" s="3799">
        <v>2011</v>
      </c>
      <c r="C13" s="3800">
        <v>812</v>
      </c>
      <c r="D13" s="3800">
        <v>1257</v>
      </c>
      <c r="E13" s="3800">
        <v>0</v>
      </c>
      <c r="F13" s="3800">
        <v>31</v>
      </c>
      <c r="G13" s="3800">
        <v>9</v>
      </c>
      <c r="H13" s="3800">
        <v>2</v>
      </c>
      <c r="I13" s="3800">
        <v>2124</v>
      </c>
      <c r="J13" s="3800">
        <v>196</v>
      </c>
      <c r="K13" s="3800">
        <v>21</v>
      </c>
      <c r="L13" s="3800">
        <v>6</v>
      </c>
      <c r="M13" s="3800">
        <v>46</v>
      </c>
      <c r="N13" s="4866">
        <f t="shared" si="0"/>
        <v>4504</v>
      </c>
      <c r="O13" s="17"/>
    </row>
    <row r="14" spans="1:15" ht="15" x14ac:dyDescent="0.25">
      <c r="A14" s="6391"/>
      <c r="B14" s="3799">
        <v>2012</v>
      </c>
      <c r="C14" s="3800">
        <v>618</v>
      </c>
      <c r="D14" s="3800">
        <v>1081</v>
      </c>
      <c r="E14" s="3800">
        <v>0</v>
      </c>
      <c r="F14" s="3800">
        <v>40</v>
      </c>
      <c r="G14" s="3800">
        <v>2</v>
      </c>
      <c r="H14" s="3800">
        <v>0</v>
      </c>
      <c r="I14" s="3800">
        <v>1848</v>
      </c>
      <c r="J14" s="3800">
        <v>115</v>
      </c>
      <c r="K14" s="3800">
        <v>20</v>
      </c>
      <c r="L14" s="3800">
        <v>10</v>
      </c>
      <c r="M14" s="3800">
        <v>37</v>
      </c>
      <c r="N14" s="4866">
        <f t="shared" si="0"/>
        <v>3771</v>
      </c>
      <c r="O14" s="17"/>
    </row>
    <row r="15" spans="1:15" ht="15" x14ac:dyDescent="0.25">
      <c r="A15" s="6391"/>
      <c r="B15" s="3799">
        <v>2013</v>
      </c>
      <c r="C15" s="3800">
        <v>788</v>
      </c>
      <c r="D15" s="3800">
        <v>1341</v>
      </c>
      <c r="E15" s="3800">
        <v>0</v>
      </c>
      <c r="F15" s="3800">
        <v>37</v>
      </c>
      <c r="G15" s="3800">
        <v>7</v>
      </c>
      <c r="H15" s="3800">
        <v>0</v>
      </c>
      <c r="I15" s="3800">
        <v>2315</v>
      </c>
      <c r="J15" s="3800">
        <v>243</v>
      </c>
      <c r="K15" s="3800">
        <v>47</v>
      </c>
      <c r="L15" s="3800">
        <v>14</v>
      </c>
      <c r="M15" s="3800">
        <v>16</v>
      </c>
      <c r="N15" s="4866">
        <f t="shared" si="0"/>
        <v>4808</v>
      </c>
      <c r="O15" s="17"/>
    </row>
    <row r="16" spans="1:15" ht="15" x14ac:dyDescent="0.25">
      <c r="A16" s="6391"/>
      <c r="B16" s="3799">
        <v>2014</v>
      </c>
      <c r="C16" s="3800">
        <v>592</v>
      </c>
      <c r="D16" s="3800">
        <v>1275</v>
      </c>
      <c r="E16" s="3800">
        <v>0</v>
      </c>
      <c r="F16" s="3800">
        <v>33</v>
      </c>
      <c r="G16" s="3800">
        <v>3</v>
      </c>
      <c r="H16" s="3800">
        <v>5</v>
      </c>
      <c r="I16" s="3800">
        <v>1965</v>
      </c>
      <c r="J16" s="3800">
        <v>210</v>
      </c>
      <c r="K16" s="3800">
        <v>18</v>
      </c>
      <c r="L16" s="3800">
        <v>9</v>
      </c>
      <c r="M16" s="3800">
        <v>31</v>
      </c>
      <c r="N16" s="4866">
        <f t="shared" si="0"/>
        <v>4141</v>
      </c>
      <c r="O16" s="17"/>
    </row>
    <row r="17" spans="1:15" ht="15" x14ac:dyDescent="0.25">
      <c r="A17" s="6391"/>
      <c r="B17" s="3799">
        <v>2015</v>
      </c>
      <c r="C17" s="4865">
        <v>659</v>
      </c>
      <c r="D17" s="4865">
        <v>1494</v>
      </c>
      <c r="E17" s="3800">
        <v>0</v>
      </c>
      <c r="F17" s="3800">
        <v>25</v>
      </c>
      <c r="G17" s="4865">
        <v>9</v>
      </c>
      <c r="H17" s="4865">
        <v>6</v>
      </c>
      <c r="I17" s="4865">
        <v>2339</v>
      </c>
      <c r="J17" s="4865">
        <v>192</v>
      </c>
      <c r="K17" s="4865">
        <v>44</v>
      </c>
      <c r="L17" s="4865">
        <v>4</v>
      </c>
      <c r="M17" s="4865">
        <v>39</v>
      </c>
      <c r="N17" s="4866">
        <f t="shared" si="0"/>
        <v>4811</v>
      </c>
      <c r="O17" s="17"/>
    </row>
    <row r="18" spans="1:15" ht="15" x14ac:dyDescent="0.25">
      <c r="A18" s="251"/>
      <c r="B18" s="3798"/>
      <c r="C18" s="335"/>
      <c r="D18" s="335"/>
      <c r="E18" s="335"/>
      <c r="F18" s="335"/>
      <c r="G18" s="335"/>
      <c r="H18" s="335"/>
      <c r="I18" s="335"/>
      <c r="J18" s="335"/>
      <c r="K18" s="335"/>
      <c r="L18" s="335"/>
      <c r="M18" s="335"/>
      <c r="N18" s="336"/>
      <c r="O18" s="17"/>
    </row>
    <row r="19" spans="1:15" ht="15" x14ac:dyDescent="0.25">
      <c r="A19" s="6392" t="s">
        <v>8</v>
      </c>
      <c r="B19" s="3799">
        <v>2006</v>
      </c>
      <c r="C19" s="3800">
        <v>3</v>
      </c>
      <c r="D19" s="3800">
        <v>4</v>
      </c>
      <c r="E19" s="3800">
        <v>0</v>
      </c>
      <c r="F19" s="3800">
        <v>0</v>
      </c>
      <c r="G19" s="3800">
        <v>0</v>
      </c>
      <c r="H19" s="3800">
        <v>0</v>
      </c>
      <c r="I19" s="3800">
        <v>8</v>
      </c>
      <c r="J19" s="3800">
        <v>3</v>
      </c>
      <c r="K19" s="3800">
        <v>0</v>
      </c>
      <c r="L19" s="3800">
        <v>0</v>
      </c>
      <c r="M19" s="3800">
        <v>0</v>
      </c>
      <c r="N19" s="4866">
        <v>18</v>
      </c>
      <c r="O19" s="17"/>
    </row>
    <row r="20" spans="1:15" ht="15" x14ac:dyDescent="0.25">
      <c r="A20" s="6392"/>
      <c r="B20" s="3799">
        <v>2007</v>
      </c>
      <c r="C20" s="3800">
        <v>4</v>
      </c>
      <c r="D20" s="3800">
        <v>55</v>
      </c>
      <c r="E20" s="3800">
        <v>0</v>
      </c>
      <c r="F20" s="3800">
        <v>1</v>
      </c>
      <c r="G20" s="3800">
        <v>1</v>
      </c>
      <c r="H20" s="3800">
        <v>0</v>
      </c>
      <c r="I20" s="3800">
        <v>57</v>
      </c>
      <c r="J20" s="3800">
        <v>18</v>
      </c>
      <c r="K20" s="3800">
        <v>0</v>
      </c>
      <c r="L20" s="3800">
        <v>1</v>
      </c>
      <c r="M20" s="3800">
        <v>2</v>
      </c>
      <c r="N20" s="4866">
        <v>139</v>
      </c>
      <c r="O20" s="17"/>
    </row>
    <row r="21" spans="1:15" ht="15" x14ac:dyDescent="0.25">
      <c r="A21" s="6392"/>
      <c r="B21" s="3799">
        <v>2008</v>
      </c>
      <c r="C21" s="3800">
        <v>9</v>
      </c>
      <c r="D21" s="3800">
        <v>151</v>
      </c>
      <c r="E21" s="3800">
        <v>0</v>
      </c>
      <c r="F21" s="3800">
        <v>9</v>
      </c>
      <c r="G21" s="3800">
        <v>0</v>
      </c>
      <c r="H21" s="3800">
        <v>2</v>
      </c>
      <c r="I21" s="3800">
        <v>182</v>
      </c>
      <c r="J21" s="3800">
        <v>36</v>
      </c>
      <c r="K21" s="3800">
        <v>0</v>
      </c>
      <c r="L21" s="3800">
        <v>1</v>
      </c>
      <c r="M21" s="3800">
        <v>6</v>
      </c>
      <c r="N21" s="4866">
        <v>396</v>
      </c>
      <c r="O21" s="17"/>
    </row>
    <row r="22" spans="1:15" ht="15" x14ac:dyDescent="0.25">
      <c r="A22" s="6392"/>
      <c r="B22" s="3799">
        <v>2009</v>
      </c>
      <c r="C22" s="3800">
        <v>19</v>
      </c>
      <c r="D22" s="3800">
        <v>119</v>
      </c>
      <c r="E22" s="3800">
        <v>0</v>
      </c>
      <c r="F22" s="3800">
        <v>9</v>
      </c>
      <c r="G22" s="3800">
        <v>0</v>
      </c>
      <c r="H22" s="3800">
        <v>2</v>
      </c>
      <c r="I22" s="3800">
        <v>140</v>
      </c>
      <c r="J22" s="3800">
        <v>50</v>
      </c>
      <c r="K22" s="3800">
        <v>0</v>
      </c>
      <c r="L22" s="3800">
        <v>1</v>
      </c>
      <c r="M22" s="3800">
        <v>9</v>
      </c>
      <c r="N22" s="4866">
        <v>349</v>
      </c>
      <c r="O22" s="17"/>
    </row>
    <row r="23" spans="1:15" ht="15" x14ac:dyDescent="0.25">
      <c r="A23" s="6392"/>
      <c r="B23" s="3799">
        <v>2010</v>
      </c>
      <c r="C23" s="3800">
        <v>38</v>
      </c>
      <c r="D23" s="3800">
        <v>208</v>
      </c>
      <c r="E23" s="3800">
        <v>0</v>
      </c>
      <c r="F23" s="3800">
        <v>13</v>
      </c>
      <c r="G23" s="3800">
        <v>1</v>
      </c>
      <c r="H23" s="3800">
        <v>2</v>
      </c>
      <c r="I23" s="3800">
        <v>303</v>
      </c>
      <c r="J23" s="3800">
        <v>47</v>
      </c>
      <c r="K23" s="3800">
        <v>5</v>
      </c>
      <c r="L23" s="3800"/>
      <c r="M23" s="3800">
        <v>15</v>
      </c>
      <c r="N23" s="4866">
        <f t="shared" ref="N23:N28" si="1">SUM(C23:M23)</f>
        <v>632</v>
      </c>
      <c r="O23" s="17"/>
    </row>
    <row r="24" spans="1:15" ht="15" x14ac:dyDescent="0.25">
      <c r="A24" s="6392"/>
      <c r="B24" s="3799">
        <v>2011</v>
      </c>
      <c r="C24" s="3800">
        <v>32</v>
      </c>
      <c r="D24" s="3800">
        <v>254</v>
      </c>
      <c r="E24" s="3800">
        <v>0</v>
      </c>
      <c r="F24" s="3800">
        <v>7</v>
      </c>
      <c r="G24" s="3800">
        <v>1</v>
      </c>
      <c r="H24" s="3800">
        <v>1</v>
      </c>
      <c r="I24" s="3800">
        <v>319</v>
      </c>
      <c r="J24" s="3800">
        <v>65</v>
      </c>
      <c r="K24" s="3800">
        <v>47</v>
      </c>
      <c r="L24" s="3800">
        <v>3</v>
      </c>
      <c r="M24" s="3800">
        <v>4</v>
      </c>
      <c r="N24" s="4866">
        <f t="shared" si="1"/>
        <v>733</v>
      </c>
      <c r="O24" s="17"/>
    </row>
    <row r="25" spans="1:15" ht="15" x14ac:dyDescent="0.25">
      <c r="A25" s="6392"/>
      <c r="B25" s="3799">
        <v>2012</v>
      </c>
      <c r="C25" s="3800">
        <v>41</v>
      </c>
      <c r="D25" s="3800">
        <v>205</v>
      </c>
      <c r="E25" s="3800">
        <v>0</v>
      </c>
      <c r="F25" s="3800">
        <v>15</v>
      </c>
      <c r="G25" s="3800">
        <v>1</v>
      </c>
      <c r="H25" s="3800">
        <v>3</v>
      </c>
      <c r="I25" s="3800">
        <v>322</v>
      </c>
      <c r="J25" s="3800">
        <v>28</v>
      </c>
      <c r="K25" s="3800">
        <v>25</v>
      </c>
      <c r="L25" s="3800">
        <v>0</v>
      </c>
      <c r="M25" s="3800">
        <v>14</v>
      </c>
      <c r="N25" s="4866">
        <f t="shared" si="1"/>
        <v>654</v>
      </c>
      <c r="O25" s="17"/>
    </row>
    <row r="26" spans="1:15" ht="15" x14ac:dyDescent="0.25">
      <c r="A26" s="6392"/>
      <c r="B26" s="3799">
        <v>2013</v>
      </c>
      <c r="C26" s="3800">
        <v>50</v>
      </c>
      <c r="D26" s="3800">
        <v>309</v>
      </c>
      <c r="E26" s="3800">
        <v>0</v>
      </c>
      <c r="F26" s="3800">
        <v>10</v>
      </c>
      <c r="G26" s="3800">
        <v>1</v>
      </c>
      <c r="H26" s="3800">
        <v>0</v>
      </c>
      <c r="I26" s="3800">
        <v>480</v>
      </c>
      <c r="J26" s="3800">
        <v>55</v>
      </c>
      <c r="K26" s="3800">
        <v>13</v>
      </c>
      <c r="L26" s="3800">
        <v>1</v>
      </c>
      <c r="M26" s="3800">
        <v>10</v>
      </c>
      <c r="N26" s="4866">
        <f t="shared" si="1"/>
        <v>929</v>
      </c>
      <c r="O26" s="17"/>
    </row>
    <row r="27" spans="1:15" ht="15" x14ac:dyDescent="0.25">
      <c r="A27" s="6392"/>
      <c r="B27" s="3799">
        <v>2014</v>
      </c>
      <c r="C27" s="3800">
        <v>34</v>
      </c>
      <c r="D27" s="3800">
        <v>237</v>
      </c>
      <c r="E27" s="3800">
        <v>0</v>
      </c>
      <c r="F27" s="3800">
        <v>10</v>
      </c>
      <c r="G27" s="3800">
        <v>1</v>
      </c>
      <c r="H27" s="3800">
        <v>2</v>
      </c>
      <c r="I27" s="3800">
        <v>358</v>
      </c>
      <c r="J27" s="3800">
        <v>34</v>
      </c>
      <c r="K27" s="3800">
        <v>5</v>
      </c>
      <c r="L27" s="3800">
        <v>0</v>
      </c>
      <c r="M27" s="3800">
        <v>6</v>
      </c>
      <c r="N27" s="4866">
        <f t="shared" si="1"/>
        <v>687</v>
      </c>
      <c r="O27" s="17"/>
    </row>
    <row r="28" spans="1:15" ht="15" x14ac:dyDescent="0.25">
      <c r="A28" s="6392"/>
      <c r="B28" s="3799">
        <v>2015</v>
      </c>
      <c r="C28" s="4865">
        <v>38</v>
      </c>
      <c r="D28" s="4865">
        <v>366</v>
      </c>
      <c r="E28" s="3800">
        <v>0</v>
      </c>
      <c r="F28" s="3800">
        <v>11</v>
      </c>
      <c r="G28" s="4865">
        <v>0</v>
      </c>
      <c r="H28" s="4865">
        <v>1</v>
      </c>
      <c r="I28" s="4865">
        <v>535</v>
      </c>
      <c r="J28" s="4865">
        <v>72</v>
      </c>
      <c r="K28" s="4865">
        <v>1</v>
      </c>
      <c r="L28" s="4865">
        <v>0</v>
      </c>
      <c r="M28" s="4865">
        <v>4</v>
      </c>
      <c r="N28" s="4866">
        <f t="shared" si="1"/>
        <v>1028</v>
      </c>
      <c r="O28" s="17"/>
    </row>
    <row r="29" spans="1:15" ht="15" x14ac:dyDescent="0.25">
      <c r="A29" s="251"/>
      <c r="B29" s="3798"/>
      <c r="C29" s="335"/>
      <c r="D29" s="335"/>
      <c r="E29" s="335"/>
      <c r="F29" s="335"/>
      <c r="G29" s="335"/>
      <c r="H29" s="335"/>
      <c r="I29" s="335"/>
      <c r="J29" s="335"/>
      <c r="K29" s="335"/>
      <c r="L29" s="335"/>
      <c r="M29" s="335"/>
      <c r="N29" s="336"/>
      <c r="O29" s="17"/>
    </row>
    <row r="30" spans="1:15" ht="15" x14ac:dyDescent="0.25">
      <c r="A30" s="6393" t="s">
        <v>75</v>
      </c>
      <c r="B30" s="3799">
        <v>2003</v>
      </c>
      <c r="C30" s="3800">
        <v>478</v>
      </c>
      <c r="D30" s="3800">
        <v>1207</v>
      </c>
      <c r="E30" s="3800">
        <v>1</v>
      </c>
      <c r="F30" s="3800">
        <v>41</v>
      </c>
      <c r="G30" s="3800">
        <v>3</v>
      </c>
      <c r="H30" s="3800">
        <v>1</v>
      </c>
      <c r="I30" s="3800">
        <v>1840</v>
      </c>
      <c r="J30" s="3800">
        <v>189</v>
      </c>
      <c r="K30" s="3800">
        <v>9</v>
      </c>
      <c r="L30" s="3800">
        <v>5</v>
      </c>
      <c r="M30" s="3800">
        <v>78</v>
      </c>
      <c r="N30" s="4866">
        <v>3852</v>
      </c>
      <c r="O30" s="17"/>
    </row>
    <row r="31" spans="1:15" ht="15" x14ac:dyDescent="0.25">
      <c r="A31" s="6393"/>
      <c r="B31" s="3799">
        <v>2004</v>
      </c>
      <c r="C31" s="3800">
        <v>372</v>
      </c>
      <c r="D31" s="3800">
        <v>1292</v>
      </c>
      <c r="E31" s="3800">
        <v>1</v>
      </c>
      <c r="F31" s="3800">
        <v>38</v>
      </c>
      <c r="G31" s="3800">
        <v>15</v>
      </c>
      <c r="H31" s="3800">
        <v>1</v>
      </c>
      <c r="I31" s="3800">
        <v>2046</v>
      </c>
      <c r="J31" s="3800">
        <v>206</v>
      </c>
      <c r="K31" s="3800">
        <v>2</v>
      </c>
      <c r="L31" s="3800">
        <v>6</v>
      </c>
      <c r="M31" s="3800">
        <v>83</v>
      </c>
      <c r="N31" s="4866">
        <v>4062</v>
      </c>
      <c r="O31" s="17"/>
    </row>
    <row r="32" spans="1:15" ht="15" x14ac:dyDescent="0.25">
      <c r="A32" s="6393"/>
      <c r="B32" s="3799">
        <v>2005</v>
      </c>
      <c r="C32" s="3800">
        <v>536</v>
      </c>
      <c r="D32" s="3800">
        <v>1318</v>
      </c>
      <c r="E32" s="3800">
        <v>1</v>
      </c>
      <c r="F32" s="3800">
        <v>35</v>
      </c>
      <c r="G32" s="3800">
        <v>8</v>
      </c>
      <c r="H32" s="3800">
        <v>0</v>
      </c>
      <c r="I32" s="3800">
        <v>2369</v>
      </c>
      <c r="J32" s="3800">
        <v>175</v>
      </c>
      <c r="K32" s="3800">
        <v>1</v>
      </c>
      <c r="L32" s="3800">
        <v>3</v>
      </c>
      <c r="M32" s="3800">
        <v>114</v>
      </c>
      <c r="N32" s="4866">
        <v>4560</v>
      </c>
      <c r="O32" s="17"/>
    </row>
    <row r="33" spans="1:15" ht="15" x14ac:dyDescent="0.25">
      <c r="A33" s="6393"/>
      <c r="B33" s="3799">
        <v>2006</v>
      </c>
      <c r="C33" s="3800">
        <v>420</v>
      </c>
      <c r="D33" s="3800">
        <v>1326</v>
      </c>
      <c r="E33" s="3800">
        <v>3</v>
      </c>
      <c r="F33" s="3800">
        <v>37</v>
      </c>
      <c r="G33" s="3800">
        <v>7</v>
      </c>
      <c r="H33" s="3800">
        <v>4</v>
      </c>
      <c r="I33" s="3800">
        <v>2253</v>
      </c>
      <c r="J33" s="3800">
        <v>220</v>
      </c>
      <c r="K33" s="3800">
        <v>0</v>
      </c>
      <c r="L33" s="3800">
        <v>2</v>
      </c>
      <c r="M33" s="3800">
        <v>79</v>
      </c>
      <c r="N33" s="4866">
        <v>4351</v>
      </c>
      <c r="O33" s="17"/>
    </row>
    <row r="34" spans="1:15" ht="15" x14ac:dyDescent="0.25">
      <c r="A34" s="6393"/>
      <c r="B34" s="3799">
        <v>2007</v>
      </c>
      <c r="C34" s="3800">
        <v>424</v>
      </c>
      <c r="D34" s="3800">
        <v>1268</v>
      </c>
      <c r="E34" s="3800">
        <v>0</v>
      </c>
      <c r="F34" s="3800">
        <v>38</v>
      </c>
      <c r="G34" s="3800">
        <v>2</v>
      </c>
      <c r="H34" s="3800">
        <v>1</v>
      </c>
      <c r="I34" s="3800">
        <v>2211</v>
      </c>
      <c r="J34" s="3800">
        <v>168</v>
      </c>
      <c r="K34" s="3800">
        <v>3</v>
      </c>
      <c r="L34" s="3800">
        <v>2</v>
      </c>
      <c r="M34" s="3800">
        <v>49</v>
      </c>
      <c r="N34" s="4866">
        <v>4166</v>
      </c>
      <c r="O34" s="17"/>
    </row>
    <row r="35" spans="1:15" ht="15" x14ac:dyDescent="0.25">
      <c r="A35" s="6393"/>
      <c r="B35" s="3799">
        <v>2008</v>
      </c>
      <c r="C35" s="3800">
        <v>391</v>
      </c>
      <c r="D35" s="3800">
        <v>1351</v>
      </c>
      <c r="E35" s="3800">
        <v>1</v>
      </c>
      <c r="F35" s="3800">
        <v>34</v>
      </c>
      <c r="G35" s="3800">
        <v>7</v>
      </c>
      <c r="H35" s="3800">
        <v>10</v>
      </c>
      <c r="I35" s="3800">
        <v>2351</v>
      </c>
      <c r="J35" s="3800">
        <v>213</v>
      </c>
      <c r="K35" s="3800">
        <v>1</v>
      </c>
      <c r="L35" s="3800">
        <v>6</v>
      </c>
      <c r="M35" s="3800">
        <v>70</v>
      </c>
      <c r="N35" s="4866">
        <v>4435</v>
      </c>
      <c r="O35" s="17"/>
    </row>
    <row r="36" spans="1:15" ht="15" x14ac:dyDescent="0.25">
      <c r="A36" s="6393"/>
      <c r="B36" s="3799">
        <v>2009</v>
      </c>
      <c r="C36" s="3800">
        <v>319</v>
      </c>
      <c r="D36" s="3800">
        <v>1194</v>
      </c>
      <c r="E36" s="3800">
        <v>0</v>
      </c>
      <c r="F36" s="3800">
        <v>41</v>
      </c>
      <c r="G36" s="3800">
        <v>7</v>
      </c>
      <c r="H36" s="3800">
        <v>7</v>
      </c>
      <c r="I36" s="3800">
        <v>2453</v>
      </c>
      <c r="J36" s="3800">
        <v>173</v>
      </c>
      <c r="K36" s="3800">
        <v>7</v>
      </c>
      <c r="L36" s="3800">
        <v>1</v>
      </c>
      <c r="M36" s="3800">
        <v>62</v>
      </c>
      <c r="N36" s="4866">
        <v>4264</v>
      </c>
      <c r="O36" s="17"/>
    </row>
    <row r="37" spans="1:15" ht="15" x14ac:dyDescent="0.25">
      <c r="A37" s="6393"/>
      <c r="B37" s="3799">
        <v>2010</v>
      </c>
      <c r="C37" s="3800">
        <v>374</v>
      </c>
      <c r="D37" s="3800">
        <v>1381</v>
      </c>
      <c r="E37" s="3800">
        <v>0</v>
      </c>
      <c r="F37" s="3800">
        <v>53</v>
      </c>
      <c r="G37" s="3800">
        <v>5</v>
      </c>
      <c r="H37" s="3800">
        <v>12</v>
      </c>
      <c r="I37" s="3800">
        <v>2507</v>
      </c>
      <c r="J37" s="3800">
        <v>176</v>
      </c>
      <c r="K37" s="3800">
        <v>4</v>
      </c>
      <c r="L37" s="3800">
        <v>1</v>
      </c>
      <c r="M37" s="3800">
        <v>105</v>
      </c>
      <c r="N37" s="4866">
        <f t="shared" ref="N37:N42" si="2">SUM(C37:M37)</f>
        <v>4618</v>
      </c>
      <c r="O37" s="17"/>
    </row>
    <row r="38" spans="1:15" ht="15" x14ac:dyDescent="0.25">
      <c r="A38" s="6393"/>
      <c r="B38" s="3799">
        <v>2011</v>
      </c>
      <c r="C38" s="3800">
        <v>452</v>
      </c>
      <c r="D38" s="3800">
        <v>1361</v>
      </c>
      <c r="E38" s="3800">
        <v>0</v>
      </c>
      <c r="F38" s="3800">
        <v>44</v>
      </c>
      <c r="G38" s="3800">
        <v>10</v>
      </c>
      <c r="H38" s="3800">
        <v>6</v>
      </c>
      <c r="I38" s="3800">
        <v>2730</v>
      </c>
      <c r="J38" s="3800">
        <v>194</v>
      </c>
      <c r="K38" s="3800">
        <v>7</v>
      </c>
      <c r="L38" s="3800">
        <v>4</v>
      </c>
      <c r="M38" s="3800">
        <v>84</v>
      </c>
      <c r="N38" s="4866">
        <f t="shared" si="2"/>
        <v>4892</v>
      </c>
      <c r="O38" s="17"/>
    </row>
    <row r="39" spans="1:15" ht="15" x14ac:dyDescent="0.25">
      <c r="A39" s="6393"/>
      <c r="B39" s="3799">
        <v>2012</v>
      </c>
      <c r="C39" s="3800">
        <v>421</v>
      </c>
      <c r="D39" s="3800">
        <v>1369</v>
      </c>
      <c r="E39" s="3800">
        <v>0</v>
      </c>
      <c r="F39" s="3800">
        <v>47</v>
      </c>
      <c r="G39" s="3800">
        <v>12</v>
      </c>
      <c r="H39" s="3800">
        <v>0</v>
      </c>
      <c r="I39" s="3800">
        <v>2725</v>
      </c>
      <c r="J39" s="3800">
        <v>213</v>
      </c>
      <c r="K39" s="3800">
        <v>3</v>
      </c>
      <c r="L39" s="3800">
        <v>1</v>
      </c>
      <c r="M39" s="3800">
        <v>59</v>
      </c>
      <c r="N39" s="4866">
        <f t="shared" si="2"/>
        <v>4850</v>
      </c>
      <c r="O39" s="17"/>
    </row>
    <row r="40" spans="1:15" ht="15" x14ac:dyDescent="0.25">
      <c r="A40" s="6393"/>
      <c r="B40" s="3799">
        <v>2013</v>
      </c>
      <c r="C40" s="3800">
        <v>392</v>
      </c>
      <c r="D40" s="3800">
        <v>1447</v>
      </c>
      <c r="E40" s="3800">
        <v>0</v>
      </c>
      <c r="F40" s="3800">
        <v>55</v>
      </c>
      <c r="G40" s="3800">
        <v>14</v>
      </c>
      <c r="H40" s="3800">
        <v>11</v>
      </c>
      <c r="I40" s="3800">
        <v>2757</v>
      </c>
      <c r="J40" s="3800">
        <v>251</v>
      </c>
      <c r="K40" s="3800">
        <v>5</v>
      </c>
      <c r="L40" s="3800">
        <v>7</v>
      </c>
      <c r="M40" s="3800">
        <v>55</v>
      </c>
      <c r="N40" s="4866">
        <f t="shared" si="2"/>
        <v>4994</v>
      </c>
      <c r="O40" s="17"/>
    </row>
    <row r="41" spans="1:15" ht="15" x14ac:dyDescent="0.25">
      <c r="A41" s="6393"/>
      <c r="B41" s="3799">
        <v>2014</v>
      </c>
      <c r="C41" s="3800">
        <v>324</v>
      </c>
      <c r="D41" s="3800">
        <v>1271</v>
      </c>
      <c r="E41" s="3800">
        <v>0</v>
      </c>
      <c r="F41" s="3800">
        <v>29</v>
      </c>
      <c r="G41" s="3800">
        <v>14</v>
      </c>
      <c r="H41" s="3800">
        <v>6</v>
      </c>
      <c r="I41" s="3800">
        <v>2971</v>
      </c>
      <c r="J41" s="3800">
        <v>240</v>
      </c>
      <c r="K41" s="3800">
        <v>9</v>
      </c>
      <c r="L41" s="3800">
        <v>1</v>
      </c>
      <c r="M41" s="3800">
        <v>58</v>
      </c>
      <c r="N41" s="4866">
        <f t="shared" si="2"/>
        <v>4923</v>
      </c>
      <c r="O41" s="17"/>
    </row>
    <row r="42" spans="1:15" ht="15" x14ac:dyDescent="0.25">
      <c r="A42" s="6393"/>
      <c r="B42" s="3799">
        <v>2015</v>
      </c>
      <c r="C42" s="4865">
        <v>368</v>
      </c>
      <c r="D42" s="4865">
        <v>1365</v>
      </c>
      <c r="E42" s="3800">
        <v>0</v>
      </c>
      <c r="F42" s="3800">
        <v>35</v>
      </c>
      <c r="G42" s="4865">
        <v>11</v>
      </c>
      <c r="H42" s="4865">
        <v>15</v>
      </c>
      <c r="I42" s="4865">
        <v>2773</v>
      </c>
      <c r="J42" s="4865">
        <v>286</v>
      </c>
      <c r="K42" s="4865">
        <v>4</v>
      </c>
      <c r="L42" s="4865">
        <v>2</v>
      </c>
      <c r="M42" s="4865">
        <v>77</v>
      </c>
      <c r="N42" s="4866">
        <f t="shared" si="2"/>
        <v>4936</v>
      </c>
      <c r="O42" s="17"/>
    </row>
    <row r="43" spans="1:15" ht="15" x14ac:dyDescent="0.25">
      <c r="A43" s="3801"/>
      <c r="B43" s="467"/>
      <c r="C43" s="335"/>
      <c r="D43" s="335"/>
      <c r="E43" s="3802"/>
      <c r="F43" s="335"/>
      <c r="G43" s="335"/>
      <c r="H43" s="335"/>
      <c r="I43" s="335"/>
      <c r="J43" s="335"/>
      <c r="K43" s="335"/>
      <c r="L43" s="335"/>
      <c r="M43" s="335"/>
      <c r="N43" s="336"/>
      <c r="O43" s="17"/>
    </row>
    <row r="44" spans="1:15" ht="15" x14ac:dyDescent="0.25">
      <c r="A44" s="6394" t="s">
        <v>326</v>
      </c>
      <c r="B44" s="3799">
        <v>2013</v>
      </c>
      <c r="C44" s="3800">
        <v>1</v>
      </c>
      <c r="D44" s="3800">
        <v>18</v>
      </c>
      <c r="E44" s="3800">
        <v>0</v>
      </c>
      <c r="F44" s="3800"/>
      <c r="G44" s="3800"/>
      <c r="H44" s="3800"/>
      <c r="I44" s="3800">
        <v>5</v>
      </c>
      <c r="J44" s="3800"/>
      <c r="K44" s="3800"/>
      <c r="L44" s="3800"/>
      <c r="M44" s="3800"/>
      <c r="N44" s="4866">
        <f>SUM(C44:M44)</f>
        <v>24</v>
      </c>
      <c r="O44" s="17"/>
    </row>
    <row r="45" spans="1:15" ht="15" x14ac:dyDescent="0.25">
      <c r="A45" s="6394"/>
      <c r="B45" s="3799">
        <v>2014</v>
      </c>
      <c r="C45" s="3800">
        <v>8</v>
      </c>
      <c r="D45" s="3800">
        <v>24</v>
      </c>
      <c r="E45" s="3800">
        <v>0</v>
      </c>
      <c r="F45" s="3800">
        <v>0</v>
      </c>
      <c r="G45" s="3800">
        <v>0</v>
      </c>
      <c r="H45" s="3800">
        <v>0</v>
      </c>
      <c r="I45" s="3800">
        <v>42</v>
      </c>
      <c r="J45" s="3800">
        <v>4</v>
      </c>
      <c r="K45" s="3800">
        <v>0</v>
      </c>
      <c r="L45" s="3800">
        <v>1</v>
      </c>
      <c r="M45" s="3800">
        <v>1</v>
      </c>
      <c r="N45" s="4866">
        <f>SUM(C45:M45)</f>
        <v>80</v>
      </c>
      <c r="O45" s="17"/>
    </row>
    <row r="46" spans="1:15" ht="15" x14ac:dyDescent="0.25">
      <c r="A46" s="6394"/>
      <c r="B46" s="3799">
        <v>2015</v>
      </c>
      <c r="C46" s="4865">
        <v>7</v>
      </c>
      <c r="D46" s="4865">
        <v>57</v>
      </c>
      <c r="E46" s="3800">
        <v>0</v>
      </c>
      <c r="F46" s="3800">
        <v>2</v>
      </c>
      <c r="G46" s="4865">
        <v>0</v>
      </c>
      <c r="H46" s="4865">
        <v>0</v>
      </c>
      <c r="I46" s="4865">
        <v>63</v>
      </c>
      <c r="J46" s="4865">
        <v>9</v>
      </c>
      <c r="K46" s="4865">
        <v>0</v>
      </c>
      <c r="L46" s="4865">
        <v>0</v>
      </c>
      <c r="M46" s="4865">
        <v>0</v>
      </c>
      <c r="N46" s="4866">
        <f>SUM(C46:M46)</f>
        <v>138</v>
      </c>
      <c r="O46" s="17"/>
    </row>
    <row r="47" spans="1:15" ht="15" x14ac:dyDescent="0.25">
      <c r="A47" s="251"/>
      <c r="B47" s="3798"/>
      <c r="C47" s="335"/>
      <c r="D47" s="335"/>
      <c r="E47" s="335"/>
      <c r="F47" s="335"/>
      <c r="G47" s="335"/>
      <c r="H47" s="335"/>
      <c r="I47" s="335"/>
      <c r="J47" s="335"/>
      <c r="K47" s="335"/>
      <c r="L47" s="335"/>
      <c r="M47" s="335"/>
      <c r="N47" s="336"/>
      <c r="O47" s="17"/>
    </row>
    <row r="48" spans="1:15" ht="15" x14ac:dyDescent="0.25">
      <c r="A48" s="6389" t="s">
        <v>10</v>
      </c>
      <c r="B48" s="4864">
        <v>2003</v>
      </c>
      <c r="C48" s="3800">
        <v>224</v>
      </c>
      <c r="D48" s="3800">
        <v>935</v>
      </c>
      <c r="E48" s="3800">
        <v>5</v>
      </c>
      <c r="F48" s="3800">
        <v>40</v>
      </c>
      <c r="G48" s="3800">
        <v>10</v>
      </c>
      <c r="H48" s="3800">
        <v>16</v>
      </c>
      <c r="I48" s="3800">
        <v>1814</v>
      </c>
      <c r="J48" s="3800">
        <v>301</v>
      </c>
      <c r="K48" s="3800">
        <v>16</v>
      </c>
      <c r="L48" s="3800">
        <v>8</v>
      </c>
      <c r="M48" s="3800">
        <v>47</v>
      </c>
      <c r="N48" s="4866">
        <v>3416</v>
      </c>
      <c r="O48" s="17"/>
    </row>
    <row r="49" spans="1:15" ht="15" x14ac:dyDescent="0.25">
      <c r="A49" s="5662"/>
      <c r="B49" s="4864">
        <v>2004</v>
      </c>
      <c r="C49" s="3800">
        <v>279</v>
      </c>
      <c r="D49" s="3800">
        <v>959</v>
      </c>
      <c r="E49" s="3800">
        <v>1</v>
      </c>
      <c r="F49" s="3800">
        <v>34</v>
      </c>
      <c r="G49" s="3800">
        <v>9</v>
      </c>
      <c r="H49" s="3800">
        <v>0</v>
      </c>
      <c r="I49" s="3800">
        <v>2409</v>
      </c>
      <c r="J49" s="3800">
        <v>295</v>
      </c>
      <c r="K49" s="3800">
        <v>10</v>
      </c>
      <c r="L49" s="3800">
        <v>4</v>
      </c>
      <c r="M49" s="3800">
        <v>64</v>
      </c>
      <c r="N49" s="4866">
        <v>4064</v>
      </c>
      <c r="O49" s="17"/>
    </row>
    <row r="50" spans="1:15" ht="15" x14ac:dyDescent="0.25">
      <c r="A50" s="5662"/>
      <c r="B50" s="4864">
        <v>2005</v>
      </c>
      <c r="C50" s="3800">
        <v>266</v>
      </c>
      <c r="D50" s="3800">
        <v>1025</v>
      </c>
      <c r="E50" s="3800">
        <v>0</v>
      </c>
      <c r="F50" s="3800">
        <v>34</v>
      </c>
      <c r="G50" s="3800">
        <v>8</v>
      </c>
      <c r="H50" s="3800">
        <v>2</v>
      </c>
      <c r="I50" s="3800">
        <v>2230</v>
      </c>
      <c r="J50" s="3800">
        <v>257</v>
      </c>
      <c r="K50" s="3800">
        <v>20</v>
      </c>
      <c r="L50" s="3800">
        <v>4</v>
      </c>
      <c r="M50" s="3800">
        <v>61</v>
      </c>
      <c r="N50" s="4866">
        <v>3907</v>
      </c>
      <c r="O50" s="17"/>
    </row>
    <row r="51" spans="1:15" ht="15" x14ac:dyDescent="0.25">
      <c r="A51" s="5662"/>
      <c r="B51" s="4864">
        <v>2006</v>
      </c>
      <c r="C51" s="3800">
        <v>205</v>
      </c>
      <c r="D51" s="3800">
        <v>894</v>
      </c>
      <c r="E51" s="3800">
        <v>6</v>
      </c>
      <c r="F51" s="3800">
        <v>42</v>
      </c>
      <c r="G51" s="3800">
        <v>8</v>
      </c>
      <c r="H51" s="3800">
        <v>0</v>
      </c>
      <c r="I51" s="3800">
        <v>1989</v>
      </c>
      <c r="J51" s="3800">
        <v>323</v>
      </c>
      <c r="K51" s="3800">
        <v>3</v>
      </c>
      <c r="L51" s="3800">
        <v>0</v>
      </c>
      <c r="M51" s="3800">
        <v>57</v>
      </c>
      <c r="N51" s="4866">
        <v>3527</v>
      </c>
      <c r="O51" s="17"/>
    </row>
    <row r="52" spans="1:15" ht="15" x14ac:dyDescent="0.25">
      <c r="A52" s="5662"/>
      <c r="B52" s="4864">
        <v>2007</v>
      </c>
      <c r="C52" s="3800">
        <v>213</v>
      </c>
      <c r="D52" s="3800">
        <v>944</v>
      </c>
      <c r="E52" s="3800">
        <v>1</v>
      </c>
      <c r="F52" s="3800">
        <v>60</v>
      </c>
      <c r="G52" s="3800">
        <v>0</v>
      </c>
      <c r="H52" s="3800">
        <v>4</v>
      </c>
      <c r="I52" s="3800">
        <v>2102</v>
      </c>
      <c r="J52" s="3800">
        <v>253</v>
      </c>
      <c r="K52" s="3800">
        <v>0</v>
      </c>
      <c r="L52" s="3800">
        <v>0</v>
      </c>
      <c r="M52" s="3800">
        <v>45</v>
      </c>
      <c r="N52" s="4866">
        <v>3622</v>
      </c>
      <c r="O52" s="17"/>
    </row>
    <row r="53" spans="1:15" ht="15" x14ac:dyDescent="0.25">
      <c r="A53" s="5662"/>
      <c r="B53" s="4864">
        <v>2008</v>
      </c>
      <c r="C53" s="3800">
        <v>209</v>
      </c>
      <c r="D53" s="3800">
        <v>971</v>
      </c>
      <c r="E53" s="3800">
        <v>2</v>
      </c>
      <c r="F53" s="3800">
        <v>42</v>
      </c>
      <c r="G53" s="3800">
        <v>1</v>
      </c>
      <c r="H53" s="3800">
        <v>4</v>
      </c>
      <c r="I53" s="3800">
        <v>2376</v>
      </c>
      <c r="J53" s="3800">
        <v>229</v>
      </c>
      <c r="K53" s="3800">
        <v>8</v>
      </c>
      <c r="L53" s="3800">
        <v>4</v>
      </c>
      <c r="M53" s="3800">
        <v>50</v>
      </c>
      <c r="N53" s="4866">
        <v>3896</v>
      </c>
      <c r="O53" s="17"/>
    </row>
    <row r="54" spans="1:15" ht="15" x14ac:dyDescent="0.25">
      <c r="A54" s="5662"/>
      <c r="B54" s="4864">
        <v>2009</v>
      </c>
      <c r="C54" s="3800">
        <v>217</v>
      </c>
      <c r="D54" s="3800">
        <v>1005</v>
      </c>
      <c r="E54" s="3800">
        <v>0</v>
      </c>
      <c r="F54" s="3800">
        <v>36</v>
      </c>
      <c r="G54" s="3800">
        <v>2</v>
      </c>
      <c r="H54" s="3800">
        <v>2</v>
      </c>
      <c r="I54" s="3800">
        <v>2606</v>
      </c>
      <c r="J54" s="3800">
        <v>260</v>
      </c>
      <c r="K54" s="3800">
        <v>13</v>
      </c>
      <c r="L54" s="3800">
        <v>1</v>
      </c>
      <c r="M54" s="3800">
        <v>47</v>
      </c>
      <c r="N54" s="4866">
        <v>4189</v>
      </c>
      <c r="O54" s="17"/>
    </row>
    <row r="55" spans="1:15" ht="15" x14ac:dyDescent="0.25">
      <c r="A55" s="5662"/>
      <c r="B55" s="4864">
        <v>2010</v>
      </c>
      <c r="C55" s="3800">
        <v>360</v>
      </c>
      <c r="D55" s="3800">
        <v>1289</v>
      </c>
      <c r="E55" s="3800">
        <v>0</v>
      </c>
      <c r="F55" s="3800">
        <v>51</v>
      </c>
      <c r="G55" s="3800">
        <v>5</v>
      </c>
      <c r="H55" s="3800">
        <v>3</v>
      </c>
      <c r="I55" s="3800">
        <v>3378</v>
      </c>
      <c r="J55" s="3800">
        <v>361</v>
      </c>
      <c r="K55" s="3800">
        <v>27</v>
      </c>
      <c r="L55" s="3800"/>
      <c r="M55" s="3800">
        <v>69</v>
      </c>
      <c r="N55" s="4866">
        <f t="shared" ref="N55:N60" si="3">SUM(C55:M55)</f>
        <v>5543</v>
      </c>
      <c r="O55" s="17"/>
    </row>
    <row r="56" spans="1:15" ht="15" x14ac:dyDescent="0.25">
      <c r="A56" s="5662"/>
      <c r="B56" s="4864">
        <v>2011</v>
      </c>
      <c r="C56" s="3800">
        <v>266</v>
      </c>
      <c r="D56" s="3800">
        <v>1271</v>
      </c>
      <c r="E56" s="3800">
        <v>0</v>
      </c>
      <c r="F56" s="3800">
        <v>70</v>
      </c>
      <c r="G56" s="3800">
        <v>0</v>
      </c>
      <c r="H56" s="3800">
        <v>0</v>
      </c>
      <c r="I56" s="3800">
        <v>3305</v>
      </c>
      <c r="J56" s="3800">
        <v>358</v>
      </c>
      <c r="K56" s="3800">
        <v>24</v>
      </c>
      <c r="L56" s="3800">
        <v>0</v>
      </c>
      <c r="M56" s="3800">
        <v>48</v>
      </c>
      <c r="N56" s="4866">
        <f t="shared" si="3"/>
        <v>5342</v>
      </c>
      <c r="O56" s="17"/>
    </row>
    <row r="57" spans="1:15" ht="15" x14ac:dyDescent="0.25">
      <c r="A57" s="5662"/>
      <c r="B57" s="4864">
        <v>2012</v>
      </c>
      <c r="C57" s="3800">
        <v>330</v>
      </c>
      <c r="D57" s="3800">
        <v>1673</v>
      </c>
      <c r="E57" s="3800">
        <v>0</v>
      </c>
      <c r="F57" s="3800">
        <v>78</v>
      </c>
      <c r="G57" s="3800">
        <v>4</v>
      </c>
      <c r="H57" s="3800">
        <v>4</v>
      </c>
      <c r="I57" s="3800">
        <v>4154</v>
      </c>
      <c r="J57" s="3800">
        <v>353</v>
      </c>
      <c r="K57" s="3800">
        <v>22</v>
      </c>
      <c r="L57" s="3800">
        <v>5</v>
      </c>
      <c r="M57" s="3800">
        <v>84</v>
      </c>
      <c r="N57" s="4866">
        <f t="shared" si="3"/>
        <v>6707</v>
      </c>
      <c r="O57" s="17"/>
    </row>
    <row r="58" spans="1:15" ht="15" x14ac:dyDescent="0.25">
      <c r="A58" s="5662"/>
      <c r="B58" s="4864">
        <v>2013</v>
      </c>
      <c r="C58" s="3800">
        <v>379</v>
      </c>
      <c r="D58" s="3800">
        <v>1231</v>
      </c>
      <c r="E58" s="3800">
        <v>0</v>
      </c>
      <c r="F58" s="3800">
        <v>59</v>
      </c>
      <c r="G58" s="3800">
        <v>13</v>
      </c>
      <c r="H58" s="3800">
        <v>10</v>
      </c>
      <c r="I58" s="3800">
        <v>3180</v>
      </c>
      <c r="J58" s="3800">
        <v>283</v>
      </c>
      <c r="K58" s="3800">
        <v>54</v>
      </c>
      <c r="L58" s="3800">
        <v>6</v>
      </c>
      <c r="M58" s="3800">
        <v>40</v>
      </c>
      <c r="N58" s="4866">
        <f t="shared" si="3"/>
        <v>5255</v>
      </c>
      <c r="O58" s="17"/>
    </row>
    <row r="59" spans="1:15" ht="15" x14ac:dyDescent="0.25">
      <c r="A59" s="5662"/>
      <c r="B59" s="4864">
        <v>2014</v>
      </c>
      <c r="C59" s="3800">
        <v>582</v>
      </c>
      <c r="D59" s="3800">
        <v>1527</v>
      </c>
      <c r="E59" s="3800">
        <v>0</v>
      </c>
      <c r="F59" s="3800">
        <v>58</v>
      </c>
      <c r="G59" s="3800">
        <v>4</v>
      </c>
      <c r="H59" s="3800">
        <v>4</v>
      </c>
      <c r="I59" s="3800">
        <v>3940</v>
      </c>
      <c r="J59" s="3800">
        <v>339</v>
      </c>
      <c r="K59" s="3800">
        <v>11</v>
      </c>
      <c r="L59" s="3800">
        <v>0</v>
      </c>
      <c r="M59" s="3800">
        <v>38</v>
      </c>
      <c r="N59" s="4866">
        <f t="shared" si="3"/>
        <v>6503</v>
      </c>
      <c r="O59" s="17"/>
    </row>
    <row r="60" spans="1:15" ht="15" x14ac:dyDescent="0.25">
      <c r="A60" s="5663"/>
      <c r="B60" s="4864">
        <v>2015</v>
      </c>
      <c r="C60" s="4865">
        <v>338</v>
      </c>
      <c r="D60" s="4865">
        <v>1352</v>
      </c>
      <c r="E60" s="3800">
        <v>0</v>
      </c>
      <c r="F60" s="3800">
        <v>40</v>
      </c>
      <c r="G60" s="4865">
        <v>1</v>
      </c>
      <c r="H60" s="4865">
        <v>0</v>
      </c>
      <c r="I60" s="4865">
        <v>3469</v>
      </c>
      <c r="J60" s="4865">
        <v>258</v>
      </c>
      <c r="K60" s="4865">
        <v>19</v>
      </c>
      <c r="L60" s="4865">
        <v>8</v>
      </c>
      <c r="M60" s="4865">
        <v>40</v>
      </c>
      <c r="N60" s="4866">
        <f t="shared" si="3"/>
        <v>5525</v>
      </c>
      <c r="O60" s="17"/>
    </row>
    <row r="61" spans="1:15" ht="15" x14ac:dyDescent="0.25">
      <c r="A61" s="251"/>
      <c r="B61" s="3798"/>
      <c r="C61" s="335"/>
      <c r="D61" s="335"/>
      <c r="E61" s="335"/>
      <c r="F61" s="335"/>
      <c r="G61" s="335"/>
      <c r="H61" s="335"/>
      <c r="I61" s="335"/>
      <c r="J61" s="335"/>
      <c r="K61" s="335"/>
      <c r="L61" s="335"/>
      <c r="M61" s="335"/>
      <c r="N61" s="336"/>
      <c r="O61" s="17"/>
    </row>
    <row r="62" spans="1:15" ht="15" x14ac:dyDescent="0.25">
      <c r="A62" s="6390" t="s">
        <v>76</v>
      </c>
      <c r="B62" s="4864">
        <v>2003</v>
      </c>
      <c r="C62" s="3800">
        <v>1478</v>
      </c>
      <c r="D62" s="3800">
        <v>2963</v>
      </c>
      <c r="E62" s="3800">
        <v>6</v>
      </c>
      <c r="F62" s="3800">
        <v>105</v>
      </c>
      <c r="G62" s="3800">
        <v>16</v>
      </c>
      <c r="H62" s="3800">
        <v>18</v>
      </c>
      <c r="I62" s="3800">
        <v>4772</v>
      </c>
      <c r="J62" s="3800">
        <v>643</v>
      </c>
      <c r="K62" s="3800">
        <v>32</v>
      </c>
      <c r="L62" s="3800">
        <v>14</v>
      </c>
      <c r="M62" s="3800">
        <v>169</v>
      </c>
      <c r="N62" s="4866">
        <v>10216</v>
      </c>
      <c r="O62" s="17"/>
    </row>
    <row r="63" spans="1:15" ht="15" x14ac:dyDescent="0.25">
      <c r="A63" s="5572"/>
      <c r="B63" s="4864">
        <v>2004</v>
      </c>
      <c r="C63" s="3800">
        <v>1541</v>
      </c>
      <c r="D63" s="3800">
        <v>3179</v>
      </c>
      <c r="E63" s="3800">
        <v>3</v>
      </c>
      <c r="F63" s="3800">
        <v>101</v>
      </c>
      <c r="G63" s="3800">
        <v>26</v>
      </c>
      <c r="H63" s="3800">
        <v>2</v>
      </c>
      <c r="I63" s="3800">
        <v>6003</v>
      </c>
      <c r="J63" s="3800">
        <v>746</v>
      </c>
      <c r="K63" s="3800">
        <v>35</v>
      </c>
      <c r="L63" s="3800">
        <v>14</v>
      </c>
      <c r="M63" s="3800">
        <v>182</v>
      </c>
      <c r="N63" s="4866">
        <v>11832</v>
      </c>
      <c r="O63" s="17"/>
    </row>
    <row r="64" spans="1:15" ht="14.25" customHeight="1" x14ac:dyDescent="0.25">
      <c r="A64" s="5572"/>
      <c r="B64" s="4864">
        <v>2005</v>
      </c>
      <c r="C64" s="3800">
        <v>1608</v>
      </c>
      <c r="D64" s="3800">
        <v>3216</v>
      </c>
      <c r="E64" s="3800">
        <v>6</v>
      </c>
      <c r="F64" s="3800">
        <v>94</v>
      </c>
      <c r="G64" s="3800">
        <v>18</v>
      </c>
      <c r="H64" s="3800">
        <v>7</v>
      </c>
      <c r="I64" s="3800">
        <v>6066</v>
      </c>
      <c r="J64" s="3800">
        <v>726</v>
      </c>
      <c r="K64" s="3800">
        <v>35</v>
      </c>
      <c r="L64" s="3800">
        <v>18</v>
      </c>
      <c r="M64" s="3800">
        <v>203</v>
      </c>
      <c r="N64" s="4866">
        <v>11997</v>
      </c>
      <c r="O64" s="17"/>
    </row>
    <row r="65" spans="1:15" ht="14.25" customHeight="1" x14ac:dyDescent="0.25">
      <c r="A65" s="5572"/>
      <c r="B65" s="4864">
        <v>2006</v>
      </c>
      <c r="C65" s="3800">
        <v>1271</v>
      </c>
      <c r="D65" s="3800">
        <v>2984</v>
      </c>
      <c r="E65" s="3800">
        <v>12</v>
      </c>
      <c r="F65" s="3800">
        <v>103</v>
      </c>
      <c r="G65" s="3800">
        <v>24</v>
      </c>
      <c r="H65" s="3800">
        <v>4</v>
      </c>
      <c r="I65" s="3800">
        <v>5530</v>
      </c>
      <c r="J65" s="3800">
        <v>774</v>
      </c>
      <c r="K65" s="3800">
        <v>13</v>
      </c>
      <c r="L65" s="3800">
        <v>10</v>
      </c>
      <c r="M65" s="3800">
        <v>195</v>
      </c>
      <c r="N65" s="4866">
        <v>10920</v>
      </c>
      <c r="O65" s="17"/>
    </row>
    <row r="66" spans="1:15" ht="14.25" customHeight="1" x14ac:dyDescent="0.25">
      <c r="A66" s="5572"/>
      <c r="B66" s="4864">
        <v>2007</v>
      </c>
      <c r="C66" s="3800">
        <v>1035</v>
      </c>
      <c r="D66" s="3800">
        <v>3023</v>
      </c>
      <c r="E66" s="3800">
        <v>1</v>
      </c>
      <c r="F66" s="3800">
        <v>127</v>
      </c>
      <c r="G66" s="3800">
        <v>5</v>
      </c>
      <c r="H66" s="3800">
        <v>5</v>
      </c>
      <c r="I66" s="3800">
        <v>5383</v>
      </c>
      <c r="J66" s="3800">
        <v>545</v>
      </c>
      <c r="K66" s="3800">
        <v>27</v>
      </c>
      <c r="L66" s="3800">
        <v>12</v>
      </c>
      <c r="M66" s="3800">
        <v>145</v>
      </c>
      <c r="N66" s="4866">
        <v>10308</v>
      </c>
      <c r="O66" s="17"/>
    </row>
    <row r="67" spans="1:15" ht="14.25" customHeight="1" x14ac:dyDescent="0.25">
      <c r="A67" s="5572"/>
      <c r="B67" s="4864">
        <v>2008</v>
      </c>
      <c r="C67" s="3800">
        <v>1093</v>
      </c>
      <c r="D67" s="3800">
        <v>3448</v>
      </c>
      <c r="E67" s="3800">
        <v>3</v>
      </c>
      <c r="F67" s="3800">
        <v>104</v>
      </c>
      <c r="G67" s="3800">
        <v>11</v>
      </c>
      <c r="H67" s="3800">
        <v>16</v>
      </c>
      <c r="I67" s="3800">
        <v>6239</v>
      </c>
      <c r="J67" s="3800">
        <v>716</v>
      </c>
      <c r="K67" s="3800">
        <v>33</v>
      </c>
      <c r="L67" s="3800">
        <v>17</v>
      </c>
      <c r="M67" s="3800">
        <v>182</v>
      </c>
      <c r="N67" s="4866">
        <v>11862</v>
      </c>
      <c r="O67" s="17"/>
    </row>
    <row r="68" spans="1:15" ht="13.5" customHeight="1" x14ac:dyDescent="0.25">
      <c r="A68" s="5572"/>
      <c r="B68" s="4864">
        <v>2009</v>
      </c>
      <c r="C68" s="3800">
        <v>1106</v>
      </c>
      <c r="D68" s="3800">
        <v>3232</v>
      </c>
      <c r="E68" s="3800">
        <v>0</v>
      </c>
      <c r="F68" s="3800">
        <v>113</v>
      </c>
      <c r="G68" s="3800">
        <v>10</v>
      </c>
      <c r="H68" s="3800">
        <v>12</v>
      </c>
      <c r="I68" s="3800">
        <v>6486</v>
      </c>
      <c r="J68" s="3800">
        <v>654</v>
      </c>
      <c r="K68" s="3800">
        <v>36</v>
      </c>
      <c r="L68" s="3800">
        <v>5</v>
      </c>
      <c r="M68" s="3800">
        <v>139</v>
      </c>
      <c r="N68" s="4866">
        <v>11793</v>
      </c>
      <c r="O68" s="17"/>
    </row>
    <row r="69" spans="1:15" ht="13.5" customHeight="1" x14ac:dyDescent="0.25">
      <c r="A69" s="5572"/>
      <c r="B69" s="4864">
        <v>2010</v>
      </c>
      <c r="C69" s="3800">
        <f t="shared" ref="C69:N69" si="4">SUM(C12,C23,C37,C55)</f>
        <v>1447</v>
      </c>
      <c r="D69" s="3800">
        <f t="shared" si="4"/>
        <v>4004</v>
      </c>
      <c r="E69" s="3800">
        <f t="shared" si="4"/>
        <v>0</v>
      </c>
      <c r="F69" s="3800">
        <f t="shared" si="4"/>
        <v>145</v>
      </c>
      <c r="G69" s="3800">
        <f t="shared" si="4"/>
        <v>13</v>
      </c>
      <c r="H69" s="3800">
        <f t="shared" si="4"/>
        <v>18</v>
      </c>
      <c r="I69" s="3800">
        <f t="shared" si="4"/>
        <v>7886</v>
      </c>
      <c r="J69" s="3800">
        <f t="shared" si="4"/>
        <v>826</v>
      </c>
      <c r="K69" s="3800">
        <f t="shared" si="4"/>
        <v>50</v>
      </c>
      <c r="L69" s="3800">
        <f t="shared" si="4"/>
        <v>4</v>
      </c>
      <c r="M69" s="3800">
        <f t="shared" si="4"/>
        <v>204</v>
      </c>
      <c r="N69" s="4866">
        <f t="shared" si="4"/>
        <v>14597</v>
      </c>
      <c r="O69" s="17"/>
    </row>
    <row r="70" spans="1:15" ht="13.5" customHeight="1" x14ac:dyDescent="0.25">
      <c r="A70" s="5572"/>
      <c r="B70" s="4864">
        <v>2011</v>
      </c>
      <c r="C70" s="3800">
        <f t="shared" ref="C70:N70" si="5">SUM(C13,C24,C38,C56)</f>
        <v>1562</v>
      </c>
      <c r="D70" s="3800">
        <f t="shared" si="5"/>
        <v>4143</v>
      </c>
      <c r="E70" s="3800">
        <f t="shared" si="5"/>
        <v>0</v>
      </c>
      <c r="F70" s="3800">
        <f t="shared" si="5"/>
        <v>152</v>
      </c>
      <c r="G70" s="3800">
        <f t="shared" si="5"/>
        <v>20</v>
      </c>
      <c r="H70" s="3800">
        <f t="shared" si="5"/>
        <v>9</v>
      </c>
      <c r="I70" s="3800">
        <f t="shared" si="5"/>
        <v>8478</v>
      </c>
      <c r="J70" s="3800">
        <f t="shared" si="5"/>
        <v>813</v>
      </c>
      <c r="K70" s="3800">
        <f t="shared" si="5"/>
        <v>99</v>
      </c>
      <c r="L70" s="3800">
        <f t="shared" si="5"/>
        <v>13</v>
      </c>
      <c r="M70" s="3800">
        <f t="shared" si="5"/>
        <v>182</v>
      </c>
      <c r="N70" s="4866">
        <f t="shared" si="5"/>
        <v>15471</v>
      </c>
      <c r="O70" s="17"/>
    </row>
    <row r="71" spans="1:15" ht="13.5" customHeight="1" x14ac:dyDescent="0.25">
      <c r="A71" s="5572"/>
      <c r="B71" s="4864">
        <v>2012</v>
      </c>
      <c r="C71" s="3800">
        <f>SUM(C14,C25,C39,C57)</f>
        <v>1410</v>
      </c>
      <c r="D71" s="3800">
        <f t="shared" ref="D71:N71" si="6">SUM(D14,D25,D39,D57)</f>
        <v>4328</v>
      </c>
      <c r="E71" s="3800">
        <f t="shared" si="6"/>
        <v>0</v>
      </c>
      <c r="F71" s="3800">
        <f t="shared" si="6"/>
        <v>180</v>
      </c>
      <c r="G71" s="3800">
        <f t="shared" si="6"/>
        <v>19</v>
      </c>
      <c r="H71" s="3800">
        <f t="shared" si="6"/>
        <v>7</v>
      </c>
      <c r="I71" s="3800">
        <f t="shared" si="6"/>
        <v>9049</v>
      </c>
      <c r="J71" s="3800">
        <f t="shared" si="6"/>
        <v>709</v>
      </c>
      <c r="K71" s="3800">
        <f t="shared" si="6"/>
        <v>70</v>
      </c>
      <c r="L71" s="3800">
        <f t="shared" si="6"/>
        <v>16</v>
      </c>
      <c r="M71" s="3800">
        <f t="shared" si="6"/>
        <v>194</v>
      </c>
      <c r="N71" s="4866">
        <f t="shared" si="6"/>
        <v>15982</v>
      </c>
      <c r="O71" s="17"/>
    </row>
    <row r="72" spans="1:15" ht="15" x14ac:dyDescent="0.25">
      <c r="A72" s="5572"/>
      <c r="B72" s="4864">
        <v>2013</v>
      </c>
      <c r="C72" s="3800">
        <f t="shared" ref="C72:N72" si="7">SUM(C15,C26,C40,C44,C58)</f>
        <v>1610</v>
      </c>
      <c r="D72" s="3800">
        <f t="shared" si="7"/>
        <v>4346</v>
      </c>
      <c r="E72" s="3800">
        <f t="shared" si="7"/>
        <v>0</v>
      </c>
      <c r="F72" s="3800">
        <f t="shared" si="7"/>
        <v>161</v>
      </c>
      <c r="G72" s="3800">
        <f t="shared" si="7"/>
        <v>35</v>
      </c>
      <c r="H72" s="3800">
        <f t="shared" si="7"/>
        <v>21</v>
      </c>
      <c r="I72" s="3800">
        <f t="shared" si="7"/>
        <v>8737</v>
      </c>
      <c r="J72" s="3800">
        <f t="shared" si="7"/>
        <v>832</v>
      </c>
      <c r="K72" s="3800">
        <f t="shared" si="7"/>
        <v>119</v>
      </c>
      <c r="L72" s="3800">
        <f t="shared" si="7"/>
        <v>28</v>
      </c>
      <c r="M72" s="3800">
        <f t="shared" si="7"/>
        <v>121</v>
      </c>
      <c r="N72" s="4866">
        <f t="shared" si="7"/>
        <v>16010</v>
      </c>
    </row>
    <row r="73" spans="1:15" ht="15" x14ac:dyDescent="0.25">
      <c r="A73" s="5572"/>
      <c r="B73" s="4864">
        <v>2014</v>
      </c>
      <c r="C73" s="3800">
        <f t="shared" ref="C73:N73" si="8">SUM(C16,C27,C41,C45,C59)</f>
        <v>1540</v>
      </c>
      <c r="D73" s="3800">
        <f t="shared" si="8"/>
        <v>4334</v>
      </c>
      <c r="E73" s="3800">
        <f t="shared" si="8"/>
        <v>0</v>
      </c>
      <c r="F73" s="3800">
        <f t="shared" si="8"/>
        <v>130</v>
      </c>
      <c r="G73" s="3800">
        <f t="shared" si="8"/>
        <v>22</v>
      </c>
      <c r="H73" s="3800">
        <f t="shared" si="8"/>
        <v>17</v>
      </c>
      <c r="I73" s="3800">
        <f t="shared" si="8"/>
        <v>9276</v>
      </c>
      <c r="J73" s="3800">
        <f t="shared" si="8"/>
        <v>827</v>
      </c>
      <c r="K73" s="3800">
        <f t="shared" si="8"/>
        <v>43</v>
      </c>
      <c r="L73" s="3800">
        <f t="shared" si="8"/>
        <v>11</v>
      </c>
      <c r="M73" s="3800">
        <f t="shared" si="8"/>
        <v>134</v>
      </c>
      <c r="N73" s="4866">
        <f t="shared" si="8"/>
        <v>16334</v>
      </c>
    </row>
    <row r="74" spans="1:15" ht="15" x14ac:dyDescent="0.25">
      <c r="A74" s="5573"/>
      <c r="B74" s="4864">
        <v>2015</v>
      </c>
      <c r="C74" s="3800">
        <f>SUM(C17,C28,C42,C46,C60)</f>
        <v>1410</v>
      </c>
      <c r="D74" s="3800">
        <f t="shared" ref="D74:M74" si="9">SUM(D17,D28,D42,D46,D60)</f>
        <v>4634</v>
      </c>
      <c r="E74" s="3800">
        <f t="shared" si="9"/>
        <v>0</v>
      </c>
      <c r="F74" s="3800">
        <f t="shared" si="9"/>
        <v>113</v>
      </c>
      <c r="G74" s="3800">
        <f t="shared" si="9"/>
        <v>21</v>
      </c>
      <c r="H74" s="3800">
        <f t="shared" si="9"/>
        <v>22</v>
      </c>
      <c r="I74" s="3800">
        <f t="shared" si="9"/>
        <v>9179</v>
      </c>
      <c r="J74" s="3800">
        <f t="shared" si="9"/>
        <v>817</v>
      </c>
      <c r="K74" s="3800">
        <f t="shared" si="9"/>
        <v>68</v>
      </c>
      <c r="L74" s="3800">
        <f t="shared" si="9"/>
        <v>14</v>
      </c>
      <c r="M74" s="3800">
        <f t="shared" si="9"/>
        <v>160</v>
      </c>
      <c r="N74" s="4866">
        <f>SUM(N17,N28,N42,N46,N60)</f>
        <v>16438</v>
      </c>
    </row>
    <row r="75" spans="1:15" ht="15" x14ac:dyDescent="0.25">
      <c r="A75" s="251"/>
      <c r="B75" s="4189" t="s">
        <v>66</v>
      </c>
      <c r="C75" s="251"/>
      <c r="D75" s="251"/>
      <c r="E75" s="251"/>
      <c r="F75" s="251"/>
      <c r="G75" s="251"/>
      <c r="H75" s="251"/>
      <c r="I75" s="251"/>
      <c r="J75" s="251"/>
      <c r="K75" s="251"/>
      <c r="L75" s="251"/>
      <c r="M75" s="251"/>
      <c r="N75" s="1036"/>
    </row>
  </sheetData>
  <mergeCells count="6">
    <mergeCell ref="A48:A60"/>
    <mergeCell ref="A62:A74"/>
    <mergeCell ref="A5:A17"/>
    <mergeCell ref="A19:A28"/>
    <mergeCell ref="A30:A42"/>
    <mergeCell ref="A44:A46"/>
  </mergeCells>
  <phoneticPr fontId="69" type="noConversion"/>
  <printOptions horizontalCentered="1" verticalCentered="1"/>
  <pageMargins left="0.39370078740157483" right="0.39370078740157483" top="0.98425196850393704" bottom="0.98425196850393704" header="0" footer="0"/>
  <pageSetup scale="63" orientation="landscape" r:id="rId1"/>
  <headerFooter alignWithMargins="0"/>
  <rowBreaks count="1" manualBreakCount="1">
    <brk id="42" max="13" man="1"/>
  </rowBreaks>
  <ignoredErrors>
    <ignoredError sqref="N12:N17 N23:N26 N55:N58 N42:N46 N37:N41 N59:N60 N27:N28" formulaRange="1"/>
  </ignoredErrors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1:AO68"/>
  <sheetViews>
    <sheetView showGridLines="0" zoomScale="90" zoomScaleNormal="90" zoomScaleSheetLayoutView="80" workbookViewId="0">
      <selection activeCell="M46" sqref="M46"/>
    </sheetView>
  </sheetViews>
  <sheetFormatPr baseColWidth="10" defaultRowHeight="12.75" x14ac:dyDescent="0.2"/>
  <cols>
    <col min="1" max="1" width="17.7109375" style="3" customWidth="1"/>
    <col min="2" max="2" width="10.140625" style="2" customWidth="1"/>
    <col min="3" max="3" width="10.28515625" style="2" customWidth="1"/>
    <col min="4" max="4" width="10.85546875" style="2" customWidth="1"/>
    <col min="5" max="5" width="8.7109375" style="2" customWidth="1"/>
    <col min="6" max="6" width="10.42578125" style="2" customWidth="1"/>
    <col min="7" max="7" width="7.5703125" style="2" customWidth="1"/>
    <col min="8" max="8" width="8.85546875" style="2" customWidth="1"/>
    <col min="9" max="9" width="1.7109375" style="2" customWidth="1"/>
    <col min="10" max="10" width="10.140625" style="2" customWidth="1"/>
    <col min="11" max="11" width="10.28515625" style="2" customWidth="1"/>
    <col min="12" max="12" width="10.7109375" style="2" customWidth="1"/>
    <col min="13" max="13" width="8.7109375" style="2" customWidth="1"/>
    <col min="14" max="14" width="10.28515625" style="2" customWidth="1"/>
    <col min="15" max="15" width="7.5703125" style="2" customWidth="1"/>
    <col min="16" max="16" width="8.5703125" style="2" bestFit="1" customWidth="1"/>
    <col min="17" max="17" width="1.7109375" style="2" customWidth="1"/>
    <col min="18" max="18" width="10.140625" style="2" customWidth="1"/>
    <col min="19" max="19" width="10.28515625" style="2" customWidth="1"/>
    <col min="20" max="20" width="10" style="2" customWidth="1"/>
    <col min="21" max="21" width="8.7109375" style="2" customWidth="1"/>
    <col min="22" max="22" width="10" style="2" customWidth="1"/>
    <col min="23" max="23" width="7.5703125" style="2" customWidth="1"/>
    <col min="24" max="24" width="8.5703125" style="2" bestFit="1" customWidth="1"/>
    <col min="25" max="25" width="10.28515625" style="2" customWidth="1"/>
    <col min="26" max="26" width="10.140625" style="2" customWidth="1"/>
    <col min="27" max="27" width="9" style="2" customWidth="1"/>
    <col min="28" max="28" width="10.140625" style="2" customWidth="1"/>
    <col min="29" max="29" width="9" style="2" customWidth="1"/>
    <col min="30" max="30" width="10.140625" style="2" customWidth="1"/>
    <col min="31" max="31" width="10.28515625" style="2" customWidth="1"/>
    <col min="32" max="32" width="11.7109375" style="2" customWidth="1"/>
    <col min="33" max="33" width="8.28515625" style="2" customWidth="1"/>
    <col min="34" max="34" width="9.7109375" style="2" customWidth="1"/>
    <col min="35" max="35" width="7.85546875" style="2" customWidth="1"/>
    <col min="36" max="16384" width="11.42578125" style="2"/>
  </cols>
  <sheetData>
    <row r="1" spans="1:41" ht="15.75" customHeight="1" x14ac:dyDescent="0.25">
      <c r="A1" s="136" t="s">
        <v>1377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</row>
    <row r="3" spans="1:41" ht="15" customHeight="1" x14ac:dyDescent="0.2">
      <c r="A3" s="6399" t="s">
        <v>124</v>
      </c>
      <c r="B3" s="6396">
        <v>2003</v>
      </c>
      <c r="C3" s="6397"/>
      <c r="D3" s="6397"/>
      <c r="E3" s="6397"/>
      <c r="F3" s="6397"/>
      <c r="G3" s="6397"/>
      <c r="H3" s="6398"/>
      <c r="J3" s="6396">
        <v>2004</v>
      </c>
      <c r="K3" s="6397"/>
      <c r="L3" s="6397"/>
      <c r="M3" s="6397"/>
      <c r="N3" s="6397"/>
      <c r="O3" s="6397"/>
      <c r="P3" s="6398"/>
      <c r="R3" s="6396">
        <v>2005</v>
      </c>
      <c r="S3" s="6397"/>
      <c r="T3" s="6397"/>
      <c r="U3" s="6397"/>
      <c r="V3" s="6397"/>
      <c r="W3" s="6397"/>
      <c r="X3" s="6398"/>
    </row>
    <row r="4" spans="1:41" s="88" customFormat="1" ht="39.950000000000003" customHeight="1" x14ac:dyDescent="0.2">
      <c r="A4" s="6400"/>
      <c r="B4" s="764" t="s">
        <v>118</v>
      </c>
      <c r="C4" s="764" t="s">
        <v>119</v>
      </c>
      <c r="D4" s="764" t="s">
        <v>120</v>
      </c>
      <c r="E4" s="764" t="s">
        <v>121</v>
      </c>
      <c r="F4" s="764" t="s">
        <v>122</v>
      </c>
      <c r="G4" s="764" t="s">
        <v>123</v>
      </c>
      <c r="H4" s="1648" t="s">
        <v>12</v>
      </c>
      <c r="I4" s="2"/>
      <c r="J4" s="764" t="s">
        <v>118</v>
      </c>
      <c r="K4" s="764" t="s">
        <v>119</v>
      </c>
      <c r="L4" s="764" t="s">
        <v>120</v>
      </c>
      <c r="M4" s="764" t="s">
        <v>121</v>
      </c>
      <c r="N4" s="764" t="s">
        <v>122</v>
      </c>
      <c r="O4" s="764" t="s">
        <v>123</v>
      </c>
      <c r="P4" s="1648" t="s">
        <v>12</v>
      </c>
      <c r="Q4" s="2"/>
      <c r="R4" s="764" t="s">
        <v>118</v>
      </c>
      <c r="S4" s="764" t="s">
        <v>119</v>
      </c>
      <c r="T4" s="764" t="s">
        <v>120</v>
      </c>
      <c r="U4" s="764" t="s">
        <v>121</v>
      </c>
      <c r="V4" s="764" t="s">
        <v>122</v>
      </c>
      <c r="W4" s="764" t="s">
        <v>123</v>
      </c>
      <c r="X4" s="1648" t="s">
        <v>12</v>
      </c>
    </row>
    <row r="5" spans="1:41" s="23" customFormat="1" ht="24.95" customHeight="1" x14ac:dyDescent="0.2">
      <c r="A5" s="2850" t="s">
        <v>161</v>
      </c>
      <c r="B5" s="382">
        <v>7771</v>
      </c>
      <c r="C5" s="383">
        <v>2948</v>
      </c>
      <c r="D5" s="383">
        <v>1930</v>
      </c>
      <c r="E5" s="383">
        <v>113</v>
      </c>
      <c r="F5" s="383">
        <v>367</v>
      </c>
      <c r="G5" s="383">
        <v>143</v>
      </c>
      <c r="H5" s="2851">
        <f>SUM(B5:G5)</f>
        <v>13272</v>
      </c>
      <c r="I5" s="2"/>
      <c r="J5" s="382">
        <v>10083</v>
      </c>
      <c r="K5" s="383">
        <v>3706</v>
      </c>
      <c r="L5" s="383">
        <v>2328</v>
      </c>
      <c r="M5" s="383">
        <v>123</v>
      </c>
      <c r="N5" s="383">
        <v>467</v>
      </c>
      <c r="O5" s="383">
        <v>134</v>
      </c>
      <c r="P5" s="2851">
        <f>SUM(J5:O5)</f>
        <v>16841</v>
      </c>
      <c r="Q5" s="2"/>
      <c r="R5" s="382">
        <v>5268</v>
      </c>
      <c r="S5" s="383">
        <v>3530</v>
      </c>
      <c r="T5" s="383">
        <v>2130</v>
      </c>
      <c r="U5" s="383">
        <v>106</v>
      </c>
      <c r="V5" s="383">
        <v>458</v>
      </c>
      <c r="W5" s="383">
        <v>128</v>
      </c>
      <c r="X5" s="2851">
        <f>SUM(R5:W5)</f>
        <v>11620</v>
      </c>
    </row>
    <row r="6" spans="1:41" s="23" customFormat="1" ht="24.95" customHeight="1" x14ac:dyDescent="0.2">
      <c r="A6" s="2854" t="s">
        <v>410</v>
      </c>
      <c r="B6" s="384"/>
      <c r="C6" s="385"/>
      <c r="D6" s="385"/>
      <c r="E6" s="385"/>
      <c r="F6" s="385"/>
      <c r="G6" s="385"/>
      <c r="H6" s="2855"/>
      <c r="I6" s="2"/>
      <c r="J6" s="384"/>
      <c r="K6" s="385"/>
      <c r="L6" s="385"/>
      <c r="M6" s="385"/>
      <c r="N6" s="385"/>
      <c r="O6" s="385"/>
      <c r="P6" s="2855"/>
      <c r="Q6" s="2"/>
      <c r="R6" s="384"/>
      <c r="S6" s="385"/>
      <c r="T6" s="385"/>
      <c r="U6" s="385"/>
      <c r="V6" s="385"/>
      <c r="W6" s="385"/>
      <c r="X6" s="2855"/>
    </row>
    <row r="7" spans="1:41" s="23" customFormat="1" ht="24.95" customHeight="1" x14ac:dyDescent="0.2">
      <c r="A7" s="2852" t="s">
        <v>162</v>
      </c>
      <c r="B7" s="384">
        <v>7061</v>
      </c>
      <c r="C7" s="385">
        <v>3852</v>
      </c>
      <c r="D7" s="385">
        <v>2964</v>
      </c>
      <c r="E7" s="385">
        <v>166</v>
      </c>
      <c r="F7" s="385">
        <v>361</v>
      </c>
      <c r="G7" s="385">
        <v>23</v>
      </c>
      <c r="H7" s="2853">
        <f>SUM(B7:G7)</f>
        <v>14427</v>
      </c>
      <c r="I7" s="2"/>
      <c r="J7" s="384">
        <v>7186</v>
      </c>
      <c r="K7" s="385">
        <v>4062</v>
      </c>
      <c r="L7" s="385">
        <v>3131</v>
      </c>
      <c r="M7" s="385">
        <v>145</v>
      </c>
      <c r="N7" s="385">
        <v>353</v>
      </c>
      <c r="O7" s="385">
        <v>29</v>
      </c>
      <c r="P7" s="2853">
        <f>SUM(J7:O7)</f>
        <v>14906</v>
      </c>
      <c r="Q7" s="2"/>
      <c r="R7" s="384">
        <v>6643</v>
      </c>
      <c r="S7" s="385">
        <v>4560</v>
      </c>
      <c r="T7" s="385">
        <v>3946</v>
      </c>
      <c r="U7" s="385">
        <v>161</v>
      </c>
      <c r="V7" s="385">
        <v>414</v>
      </c>
      <c r="W7" s="385">
        <v>47</v>
      </c>
      <c r="X7" s="2853">
        <f>SUM(R7:W7)</f>
        <v>15771</v>
      </c>
    </row>
    <row r="8" spans="1:41" s="23" customFormat="1" ht="24.95" customHeight="1" x14ac:dyDescent="0.2">
      <c r="A8" s="2860" t="s">
        <v>163</v>
      </c>
      <c r="B8" s="387">
        <v>5019</v>
      </c>
      <c r="C8" s="388">
        <v>3416</v>
      </c>
      <c r="D8" s="388">
        <v>3932</v>
      </c>
      <c r="E8" s="388">
        <v>136</v>
      </c>
      <c r="F8" s="388">
        <v>423</v>
      </c>
      <c r="G8" s="388">
        <v>247</v>
      </c>
      <c r="H8" s="2861">
        <f>SUM(B8:G8)</f>
        <v>13173</v>
      </c>
      <c r="I8" s="2"/>
      <c r="J8" s="387">
        <v>6399</v>
      </c>
      <c r="K8" s="388">
        <v>4064</v>
      </c>
      <c r="L8" s="388">
        <v>4589</v>
      </c>
      <c r="M8" s="388">
        <v>138</v>
      </c>
      <c r="N8" s="388">
        <v>588</v>
      </c>
      <c r="O8" s="388">
        <v>255</v>
      </c>
      <c r="P8" s="2861">
        <f>SUM(J8:O8)</f>
        <v>16033</v>
      </c>
      <c r="Q8" s="2"/>
      <c r="R8" s="387">
        <v>3810</v>
      </c>
      <c r="S8" s="388">
        <v>3907</v>
      </c>
      <c r="T8" s="388">
        <v>4278</v>
      </c>
      <c r="U8" s="388">
        <v>100</v>
      </c>
      <c r="V8" s="388">
        <v>461</v>
      </c>
      <c r="W8" s="388">
        <v>162</v>
      </c>
      <c r="X8" s="2861">
        <f>SUM(R8:W8)</f>
        <v>12718</v>
      </c>
    </row>
    <row r="9" spans="1:41" s="27" customFormat="1" ht="24.95" customHeight="1" x14ac:dyDescent="0.2">
      <c r="A9" s="2842" t="s">
        <v>586</v>
      </c>
      <c r="B9" s="761">
        <f t="shared" ref="B9:G9" si="0">SUM(B5:B8)</f>
        <v>19851</v>
      </c>
      <c r="C9" s="762">
        <f t="shared" si="0"/>
        <v>10216</v>
      </c>
      <c r="D9" s="762">
        <f t="shared" si="0"/>
        <v>8826</v>
      </c>
      <c r="E9" s="762">
        <f t="shared" si="0"/>
        <v>415</v>
      </c>
      <c r="F9" s="762">
        <f t="shared" si="0"/>
        <v>1151</v>
      </c>
      <c r="G9" s="762">
        <f t="shared" si="0"/>
        <v>413</v>
      </c>
      <c r="H9" s="2849">
        <f>SUM(H5:H8)</f>
        <v>40872</v>
      </c>
      <c r="I9" s="2"/>
      <c r="J9" s="761">
        <f t="shared" ref="J9:W9" si="1">SUM(J5:J8)</f>
        <v>23668</v>
      </c>
      <c r="K9" s="762">
        <f t="shared" si="1"/>
        <v>11832</v>
      </c>
      <c r="L9" s="762">
        <f t="shared" si="1"/>
        <v>10048</v>
      </c>
      <c r="M9" s="762">
        <f t="shared" si="1"/>
        <v>406</v>
      </c>
      <c r="N9" s="762">
        <f t="shared" si="1"/>
        <v>1408</v>
      </c>
      <c r="O9" s="762">
        <f t="shared" si="1"/>
        <v>418</v>
      </c>
      <c r="P9" s="2849">
        <f>SUM(P5:P8)</f>
        <v>47780</v>
      </c>
      <c r="Q9" s="2"/>
      <c r="R9" s="761">
        <f t="shared" si="1"/>
        <v>15721</v>
      </c>
      <c r="S9" s="762">
        <f t="shared" si="1"/>
        <v>11997</v>
      </c>
      <c r="T9" s="762">
        <f t="shared" si="1"/>
        <v>10354</v>
      </c>
      <c r="U9" s="762">
        <f t="shared" si="1"/>
        <v>367</v>
      </c>
      <c r="V9" s="762">
        <f t="shared" si="1"/>
        <v>1333</v>
      </c>
      <c r="W9" s="762">
        <f t="shared" si="1"/>
        <v>337</v>
      </c>
      <c r="X9" s="2849">
        <f>SUM(R9:W9)</f>
        <v>40109</v>
      </c>
    </row>
    <row r="10" spans="1:41" x14ac:dyDescent="0.2">
      <c r="A10" s="766" t="s">
        <v>117</v>
      </c>
    </row>
    <row r="11" spans="1:41" x14ac:dyDescent="0.2">
      <c r="A11" s="550"/>
    </row>
    <row r="13" spans="1:41" ht="15" customHeight="1" x14ac:dyDescent="0.2">
      <c r="A13" s="6399" t="s">
        <v>124</v>
      </c>
      <c r="B13" s="6396">
        <v>2006</v>
      </c>
      <c r="C13" s="6397"/>
      <c r="D13" s="6397"/>
      <c r="E13" s="6397"/>
      <c r="F13" s="6397"/>
      <c r="G13" s="6397"/>
      <c r="H13" s="6398"/>
      <c r="J13" s="6396">
        <v>2007</v>
      </c>
      <c r="K13" s="6397"/>
      <c r="L13" s="6397"/>
      <c r="M13" s="6397"/>
      <c r="N13" s="6397"/>
      <c r="O13" s="6397"/>
      <c r="P13" s="6398"/>
      <c r="R13" s="6396">
        <v>2008</v>
      </c>
      <c r="S13" s="6397"/>
      <c r="T13" s="6397"/>
      <c r="U13" s="6397"/>
      <c r="V13" s="6397"/>
      <c r="W13" s="6397"/>
      <c r="X13" s="6398"/>
    </row>
    <row r="14" spans="1:41" ht="39.950000000000003" customHeight="1" x14ac:dyDescent="0.2">
      <c r="A14" s="6400"/>
      <c r="B14" s="763" t="s">
        <v>118</v>
      </c>
      <c r="C14" s="764" t="s">
        <v>119</v>
      </c>
      <c r="D14" s="764" t="s">
        <v>120</v>
      </c>
      <c r="E14" s="764" t="s">
        <v>121</v>
      </c>
      <c r="F14" s="764" t="s">
        <v>122</v>
      </c>
      <c r="G14" s="765" t="s">
        <v>123</v>
      </c>
      <c r="H14" s="1648" t="s">
        <v>12</v>
      </c>
      <c r="J14" s="764" t="s">
        <v>118</v>
      </c>
      <c r="K14" s="764" t="s">
        <v>119</v>
      </c>
      <c r="L14" s="764" t="s">
        <v>120</v>
      </c>
      <c r="M14" s="764" t="s">
        <v>121</v>
      </c>
      <c r="N14" s="764" t="s">
        <v>122</v>
      </c>
      <c r="O14" s="764" t="s">
        <v>123</v>
      </c>
      <c r="P14" s="1648" t="s">
        <v>12</v>
      </c>
      <c r="R14" s="764" t="s">
        <v>118</v>
      </c>
      <c r="S14" s="764" t="s">
        <v>119</v>
      </c>
      <c r="T14" s="764" t="s">
        <v>120</v>
      </c>
      <c r="U14" s="764" t="s">
        <v>121</v>
      </c>
      <c r="V14" s="764" t="s">
        <v>122</v>
      </c>
      <c r="W14" s="764" t="s">
        <v>123</v>
      </c>
      <c r="X14" s="1648" t="s">
        <v>12</v>
      </c>
      <c r="Y14" s="88"/>
    </row>
    <row r="15" spans="1:41" ht="24.95" customHeight="1" x14ac:dyDescent="0.2">
      <c r="A15" s="2850" t="s">
        <v>161</v>
      </c>
      <c r="B15" s="382">
        <v>4732</v>
      </c>
      <c r="C15" s="383">
        <v>3024</v>
      </c>
      <c r="D15" s="383">
        <v>2846</v>
      </c>
      <c r="E15" s="383">
        <v>89</v>
      </c>
      <c r="F15" s="383">
        <v>436</v>
      </c>
      <c r="G15" s="383">
        <v>212</v>
      </c>
      <c r="H15" s="2851">
        <f>SUM(B15:G15)</f>
        <v>11339</v>
      </c>
      <c r="J15" s="382">
        <v>5367</v>
      </c>
      <c r="K15" s="383">
        <v>2381</v>
      </c>
      <c r="L15" s="383">
        <v>1970</v>
      </c>
      <c r="M15" s="383">
        <v>108</v>
      </c>
      <c r="N15" s="383">
        <v>478</v>
      </c>
      <c r="O15" s="383">
        <v>197</v>
      </c>
      <c r="P15" s="2851">
        <f>SUM(J15:O15)</f>
        <v>10501</v>
      </c>
      <c r="R15" s="382">
        <v>4909</v>
      </c>
      <c r="S15" s="383">
        <v>3135</v>
      </c>
      <c r="T15" s="383">
        <v>2271</v>
      </c>
      <c r="U15" s="383">
        <v>95</v>
      </c>
      <c r="V15" s="383">
        <v>498</v>
      </c>
      <c r="W15" s="383">
        <v>156</v>
      </c>
      <c r="X15" s="2851">
        <f>SUM(R15:W15)</f>
        <v>11064</v>
      </c>
      <c r="Y15" s="23"/>
    </row>
    <row r="16" spans="1:41" ht="24.95" customHeight="1" x14ac:dyDescent="0.2">
      <c r="A16" s="2854" t="s">
        <v>410</v>
      </c>
      <c r="B16" s="384"/>
      <c r="C16" s="385">
        <v>18</v>
      </c>
      <c r="D16" s="385"/>
      <c r="E16" s="385"/>
      <c r="F16" s="385"/>
      <c r="G16" s="385"/>
      <c r="H16" s="2855">
        <f>SUM(B16:G16)</f>
        <v>18</v>
      </c>
      <c r="J16" s="384">
        <v>432</v>
      </c>
      <c r="K16" s="385">
        <v>139</v>
      </c>
      <c r="L16" s="385">
        <v>204</v>
      </c>
      <c r="M16" s="385">
        <v>27</v>
      </c>
      <c r="N16" s="385">
        <v>35</v>
      </c>
      <c r="O16" s="385">
        <v>8</v>
      </c>
      <c r="P16" s="2855">
        <f>SUM(J16:O16)</f>
        <v>845</v>
      </c>
      <c r="R16" s="384">
        <v>769</v>
      </c>
      <c r="S16" s="385">
        <v>396</v>
      </c>
      <c r="T16" s="385">
        <v>524</v>
      </c>
      <c r="U16" s="385">
        <v>34</v>
      </c>
      <c r="V16" s="385">
        <v>112</v>
      </c>
      <c r="W16" s="385">
        <v>6</v>
      </c>
      <c r="X16" s="2855">
        <f>SUM(R16:W16)</f>
        <v>1841</v>
      </c>
      <c r="Y16" s="23"/>
    </row>
    <row r="17" spans="1:27" ht="24.95" customHeight="1" x14ac:dyDescent="0.2">
      <c r="A17" s="2852" t="s">
        <v>162</v>
      </c>
      <c r="B17" s="384">
        <v>6189</v>
      </c>
      <c r="C17" s="385">
        <v>4351</v>
      </c>
      <c r="D17" s="385">
        <v>3324</v>
      </c>
      <c r="E17" s="385">
        <v>126</v>
      </c>
      <c r="F17" s="385">
        <v>527</v>
      </c>
      <c r="G17" s="385">
        <v>46</v>
      </c>
      <c r="H17" s="2853">
        <f>SUM(B17:G17)</f>
        <v>14563</v>
      </c>
      <c r="J17" s="384">
        <v>7316</v>
      </c>
      <c r="K17" s="385">
        <v>4166</v>
      </c>
      <c r="L17" s="385">
        <v>3684</v>
      </c>
      <c r="M17" s="385">
        <v>162</v>
      </c>
      <c r="N17" s="385">
        <v>574</v>
      </c>
      <c r="O17" s="385">
        <v>40</v>
      </c>
      <c r="P17" s="2853">
        <f>SUM(J17:O17)</f>
        <v>15942</v>
      </c>
      <c r="R17" s="384">
        <v>6825</v>
      </c>
      <c r="S17" s="385">
        <v>4435</v>
      </c>
      <c r="T17" s="385">
        <v>3629</v>
      </c>
      <c r="U17" s="385">
        <v>157</v>
      </c>
      <c r="V17" s="385">
        <v>440</v>
      </c>
      <c r="W17" s="385">
        <v>55</v>
      </c>
      <c r="X17" s="2853">
        <f>SUM(R17:W17)</f>
        <v>15541</v>
      </c>
      <c r="Y17" s="23"/>
    </row>
    <row r="18" spans="1:27" ht="24.95" customHeight="1" x14ac:dyDescent="0.2">
      <c r="A18" s="2860" t="s">
        <v>163</v>
      </c>
      <c r="B18" s="387">
        <v>3873</v>
      </c>
      <c r="C18" s="388">
        <v>3527</v>
      </c>
      <c r="D18" s="388">
        <v>4324</v>
      </c>
      <c r="E18" s="388">
        <v>126</v>
      </c>
      <c r="F18" s="388">
        <v>466</v>
      </c>
      <c r="G18" s="388">
        <v>157</v>
      </c>
      <c r="H18" s="2861">
        <f>SUM(B18:G18)</f>
        <v>12473</v>
      </c>
      <c r="J18" s="387">
        <v>4430</v>
      </c>
      <c r="K18" s="388">
        <v>3622</v>
      </c>
      <c r="L18" s="388">
        <v>4269</v>
      </c>
      <c r="M18" s="388">
        <v>144</v>
      </c>
      <c r="N18" s="388">
        <v>488</v>
      </c>
      <c r="O18" s="388">
        <v>177</v>
      </c>
      <c r="P18" s="2861">
        <f>SUM(J18:O18)</f>
        <v>13130</v>
      </c>
      <c r="R18" s="387">
        <v>4469</v>
      </c>
      <c r="S18" s="388">
        <v>3896</v>
      </c>
      <c r="T18" s="388">
        <v>3786</v>
      </c>
      <c r="U18" s="388">
        <v>117</v>
      </c>
      <c r="V18" s="388">
        <v>521</v>
      </c>
      <c r="W18" s="388">
        <v>115</v>
      </c>
      <c r="X18" s="2861">
        <f>SUM(R18:W18)</f>
        <v>12904</v>
      </c>
      <c r="Y18" s="23"/>
    </row>
    <row r="19" spans="1:27" s="192" customFormat="1" ht="24.95" customHeight="1" x14ac:dyDescent="0.2">
      <c r="A19" s="2842" t="s">
        <v>586</v>
      </c>
      <c r="B19" s="761">
        <f t="shared" ref="B19:O19" si="2">SUM(B15:B18)</f>
        <v>14794</v>
      </c>
      <c r="C19" s="762">
        <f t="shared" si="2"/>
        <v>10920</v>
      </c>
      <c r="D19" s="762">
        <f t="shared" si="2"/>
        <v>10494</v>
      </c>
      <c r="E19" s="762">
        <f t="shared" si="2"/>
        <v>341</v>
      </c>
      <c r="F19" s="762">
        <f t="shared" si="2"/>
        <v>1429</v>
      </c>
      <c r="G19" s="762">
        <f t="shared" si="2"/>
        <v>415</v>
      </c>
      <c r="H19" s="2849">
        <f>SUM(H15:H18)</f>
        <v>38393</v>
      </c>
      <c r="I19" s="2"/>
      <c r="J19" s="761">
        <f t="shared" si="2"/>
        <v>17545</v>
      </c>
      <c r="K19" s="762">
        <f t="shared" si="2"/>
        <v>10308</v>
      </c>
      <c r="L19" s="762">
        <f t="shared" si="2"/>
        <v>10127</v>
      </c>
      <c r="M19" s="762">
        <f t="shared" si="2"/>
        <v>441</v>
      </c>
      <c r="N19" s="762">
        <f t="shared" si="2"/>
        <v>1575</v>
      </c>
      <c r="O19" s="762">
        <f t="shared" si="2"/>
        <v>422</v>
      </c>
      <c r="P19" s="2849">
        <f>SUM(P15:P18)</f>
        <v>40418</v>
      </c>
      <c r="Q19" s="2"/>
      <c r="R19" s="761">
        <f t="shared" ref="R19:W19" si="3">SUM(R15:R18)</f>
        <v>16972</v>
      </c>
      <c r="S19" s="762">
        <f t="shared" si="3"/>
        <v>11862</v>
      </c>
      <c r="T19" s="762">
        <f t="shared" si="3"/>
        <v>10210</v>
      </c>
      <c r="U19" s="762">
        <f t="shared" si="3"/>
        <v>403</v>
      </c>
      <c r="V19" s="762">
        <f t="shared" si="3"/>
        <v>1571</v>
      </c>
      <c r="W19" s="762">
        <f t="shared" si="3"/>
        <v>332</v>
      </c>
      <c r="X19" s="2849">
        <f>SUM(R19:W19)</f>
        <v>41350</v>
      </c>
      <c r="AA19" s="551"/>
    </row>
    <row r="20" spans="1:27" x14ac:dyDescent="0.2">
      <c r="A20" s="766" t="s">
        <v>117</v>
      </c>
    </row>
    <row r="21" spans="1:27" x14ac:dyDescent="0.2">
      <c r="A21" s="766"/>
    </row>
    <row r="23" spans="1:27" ht="15" customHeight="1" x14ac:dyDescent="0.2">
      <c r="A23" s="6395" t="s">
        <v>124</v>
      </c>
      <c r="B23" s="6396">
        <v>2009</v>
      </c>
      <c r="C23" s="6397"/>
      <c r="D23" s="6397"/>
      <c r="E23" s="6397"/>
      <c r="F23" s="6397"/>
      <c r="G23" s="6397"/>
      <c r="H23" s="6398"/>
      <c r="J23" s="6396">
        <v>2010</v>
      </c>
      <c r="K23" s="6397"/>
      <c r="L23" s="6397"/>
      <c r="M23" s="6397"/>
      <c r="N23" s="6397"/>
      <c r="O23" s="6397"/>
      <c r="P23" s="6398"/>
      <c r="R23" s="6396">
        <v>2011</v>
      </c>
      <c r="S23" s="6397"/>
      <c r="T23" s="6397"/>
      <c r="U23" s="6397"/>
      <c r="V23" s="6397"/>
      <c r="W23" s="6397"/>
      <c r="X23" s="6398"/>
    </row>
    <row r="24" spans="1:27" ht="33.75" x14ac:dyDescent="0.2">
      <c r="A24" s="6395"/>
      <c r="B24" s="763" t="s">
        <v>118</v>
      </c>
      <c r="C24" s="764" t="s">
        <v>119</v>
      </c>
      <c r="D24" s="764" t="s">
        <v>120</v>
      </c>
      <c r="E24" s="764" t="s">
        <v>121</v>
      </c>
      <c r="F24" s="764" t="s">
        <v>122</v>
      </c>
      <c r="G24" s="765" t="s">
        <v>123</v>
      </c>
      <c r="H24" s="1648" t="s">
        <v>12</v>
      </c>
      <c r="J24" s="2864" t="s">
        <v>118</v>
      </c>
      <c r="K24" s="764" t="s">
        <v>119</v>
      </c>
      <c r="L24" s="764" t="s">
        <v>120</v>
      </c>
      <c r="M24" s="764" t="s">
        <v>121</v>
      </c>
      <c r="N24" s="764" t="s">
        <v>122</v>
      </c>
      <c r="O24" s="765" t="s">
        <v>123</v>
      </c>
      <c r="P24" s="1648" t="s">
        <v>12</v>
      </c>
      <c r="R24" s="2864" t="s">
        <v>118</v>
      </c>
      <c r="S24" s="764" t="s">
        <v>119</v>
      </c>
      <c r="T24" s="764" t="s">
        <v>120</v>
      </c>
      <c r="U24" s="764" t="s">
        <v>121</v>
      </c>
      <c r="V24" s="764" t="s">
        <v>122</v>
      </c>
      <c r="W24" s="765" t="s">
        <v>123</v>
      </c>
      <c r="X24" s="1648" t="s">
        <v>12</v>
      </c>
    </row>
    <row r="25" spans="1:27" ht="24.75" customHeight="1" x14ac:dyDescent="0.2">
      <c r="A25" s="2850" t="s">
        <v>161</v>
      </c>
      <c r="B25" s="382">
        <v>6372</v>
      </c>
      <c r="C25" s="383">
        <v>3437</v>
      </c>
      <c r="D25" s="383">
        <v>2113</v>
      </c>
      <c r="E25" s="383">
        <v>128</v>
      </c>
      <c r="F25" s="383">
        <v>530</v>
      </c>
      <c r="G25" s="383">
        <v>250</v>
      </c>
      <c r="H25" s="2851">
        <f>SUM(B25:G25)</f>
        <v>12830</v>
      </c>
      <c r="J25" s="382">
        <v>6639</v>
      </c>
      <c r="K25" s="383">
        <v>3804</v>
      </c>
      <c r="L25" s="383">
        <v>2485</v>
      </c>
      <c r="M25" s="383">
        <v>120</v>
      </c>
      <c r="N25" s="383">
        <v>775</v>
      </c>
      <c r="O25" s="383">
        <v>139</v>
      </c>
      <c r="P25" s="2851">
        <f>SUM(J25:O25)</f>
        <v>13962</v>
      </c>
      <c r="R25" s="382">
        <v>6980</v>
      </c>
      <c r="S25" s="383">
        <v>4504</v>
      </c>
      <c r="T25" s="383">
        <v>2691</v>
      </c>
      <c r="U25" s="383">
        <v>129</v>
      </c>
      <c r="V25" s="383">
        <v>777</v>
      </c>
      <c r="W25" s="383">
        <v>186</v>
      </c>
      <c r="X25" s="2851">
        <f>SUM(R25:W25)</f>
        <v>15267</v>
      </c>
    </row>
    <row r="26" spans="1:27" ht="24.75" customHeight="1" x14ac:dyDescent="0.2">
      <c r="A26" s="2854" t="s">
        <v>410</v>
      </c>
      <c r="B26" s="384">
        <v>596</v>
      </c>
      <c r="C26" s="385">
        <v>420</v>
      </c>
      <c r="D26" s="385">
        <v>479</v>
      </c>
      <c r="E26" s="385">
        <v>41</v>
      </c>
      <c r="F26" s="385">
        <v>112</v>
      </c>
      <c r="G26" s="385">
        <v>8</v>
      </c>
      <c r="H26" s="2855">
        <f>SUM(B26:G26)</f>
        <v>1656</v>
      </c>
      <c r="J26" s="384">
        <v>930</v>
      </c>
      <c r="K26" s="385">
        <v>632</v>
      </c>
      <c r="L26" s="385">
        <v>615</v>
      </c>
      <c r="M26" s="385">
        <v>62</v>
      </c>
      <c r="N26" s="385">
        <v>205</v>
      </c>
      <c r="O26" s="385">
        <v>21</v>
      </c>
      <c r="P26" s="2855">
        <f>SUM(J26:O26)</f>
        <v>2465</v>
      </c>
      <c r="R26" s="384">
        <v>981</v>
      </c>
      <c r="S26" s="385">
        <v>733</v>
      </c>
      <c r="T26" s="385">
        <v>621</v>
      </c>
      <c r="U26" s="385">
        <v>41</v>
      </c>
      <c r="V26" s="385">
        <v>173</v>
      </c>
      <c r="W26" s="385">
        <v>28</v>
      </c>
      <c r="X26" s="2855">
        <f>SUM(R26:W26)</f>
        <v>2577</v>
      </c>
    </row>
    <row r="27" spans="1:27" ht="24.75" customHeight="1" x14ac:dyDescent="0.2">
      <c r="A27" s="2852" t="s">
        <v>162</v>
      </c>
      <c r="B27" s="384">
        <v>7160</v>
      </c>
      <c r="C27" s="385">
        <v>4650</v>
      </c>
      <c r="D27" s="385">
        <v>3612</v>
      </c>
      <c r="E27" s="385">
        <v>154</v>
      </c>
      <c r="F27" s="385">
        <v>393</v>
      </c>
      <c r="G27" s="385">
        <v>64</v>
      </c>
      <c r="H27" s="2853">
        <f>SUM(B27:G27)</f>
        <v>16033</v>
      </c>
      <c r="J27" s="384">
        <v>7779</v>
      </c>
      <c r="K27" s="385">
        <v>4618</v>
      </c>
      <c r="L27" s="385">
        <v>4024</v>
      </c>
      <c r="M27" s="385">
        <v>153</v>
      </c>
      <c r="N27" s="385">
        <v>467</v>
      </c>
      <c r="O27" s="385">
        <v>88</v>
      </c>
      <c r="P27" s="2853">
        <f>SUM(J27:O27)</f>
        <v>17129</v>
      </c>
      <c r="R27" s="384">
        <v>8369</v>
      </c>
      <c r="S27" s="385">
        <v>4892</v>
      </c>
      <c r="T27" s="385">
        <v>3936</v>
      </c>
      <c r="U27" s="385">
        <v>193</v>
      </c>
      <c r="V27" s="385">
        <v>509</v>
      </c>
      <c r="W27" s="385">
        <v>100</v>
      </c>
      <c r="X27" s="2853">
        <f>SUM(R27:W27)</f>
        <v>17999</v>
      </c>
    </row>
    <row r="28" spans="1:27" ht="24.75" customHeight="1" x14ac:dyDescent="0.2">
      <c r="A28" s="2860" t="s">
        <v>163</v>
      </c>
      <c r="B28" s="387">
        <v>5081</v>
      </c>
      <c r="C28" s="388">
        <v>4820</v>
      </c>
      <c r="D28" s="388">
        <v>3818</v>
      </c>
      <c r="E28" s="388">
        <v>114</v>
      </c>
      <c r="F28" s="388">
        <v>567</v>
      </c>
      <c r="G28" s="388">
        <v>205</v>
      </c>
      <c r="H28" s="2861">
        <f>SUM(B28:G28)</f>
        <v>14605</v>
      </c>
      <c r="J28" s="387">
        <v>5977</v>
      </c>
      <c r="K28" s="388">
        <v>5543</v>
      </c>
      <c r="L28" s="388">
        <v>4256</v>
      </c>
      <c r="M28" s="388">
        <v>128</v>
      </c>
      <c r="N28" s="388">
        <v>727</v>
      </c>
      <c r="O28" s="388">
        <v>201</v>
      </c>
      <c r="P28" s="2861">
        <f>SUM(J28:O28)</f>
        <v>16832</v>
      </c>
      <c r="R28" s="387">
        <v>6454</v>
      </c>
      <c r="S28" s="388">
        <v>5342</v>
      </c>
      <c r="T28" s="388">
        <v>4472</v>
      </c>
      <c r="U28" s="388">
        <v>139</v>
      </c>
      <c r="V28" s="388">
        <v>725</v>
      </c>
      <c r="W28" s="388">
        <v>159</v>
      </c>
      <c r="X28" s="2861">
        <f>SUM(R28:W28)</f>
        <v>17291</v>
      </c>
    </row>
    <row r="29" spans="1:27" s="192" customFormat="1" ht="24.75" customHeight="1" x14ac:dyDescent="0.2">
      <c r="A29" s="2842" t="s">
        <v>586</v>
      </c>
      <c r="B29" s="761">
        <f t="shared" ref="B29:H29" si="4">SUM(B25:B28)</f>
        <v>19209</v>
      </c>
      <c r="C29" s="762">
        <f t="shared" si="4"/>
        <v>13327</v>
      </c>
      <c r="D29" s="762">
        <f t="shared" si="4"/>
        <v>10022</v>
      </c>
      <c r="E29" s="762">
        <f t="shared" si="4"/>
        <v>437</v>
      </c>
      <c r="F29" s="762">
        <f t="shared" si="4"/>
        <v>1602</v>
      </c>
      <c r="G29" s="762">
        <f t="shared" si="4"/>
        <v>527</v>
      </c>
      <c r="H29" s="2849">
        <f t="shared" si="4"/>
        <v>45124</v>
      </c>
      <c r="I29" s="2"/>
      <c r="J29" s="761">
        <f t="shared" ref="J29:O29" si="5">SUM(J25:J28)</f>
        <v>21325</v>
      </c>
      <c r="K29" s="762">
        <f t="shared" si="5"/>
        <v>14597</v>
      </c>
      <c r="L29" s="762">
        <f t="shared" si="5"/>
        <v>11380</v>
      </c>
      <c r="M29" s="762">
        <f t="shared" si="5"/>
        <v>463</v>
      </c>
      <c r="N29" s="762">
        <f t="shared" si="5"/>
        <v>2174</v>
      </c>
      <c r="O29" s="762">
        <f t="shared" si="5"/>
        <v>449</v>
      </c>
      <c r="P29" s="2849">
        <f>SUM(J29:O29)</f>
        <v>50388</v>
      </c>
      <c r="Q29" s="2"/>
      <c r="R29" s="761">
        <f t="shared" ref="R29:W29" si="6">SUM(R25:R28)</f>
        <v>22784</v>
      </c>
      <c r="S29" s="762">
        <f t="shared" si="6"/>
        <v>15471</v>
      </c>
      <c r="T29" s="762">
        <f t="shared" si="6"/>
        <v>11720</v>
      </c>
      <c r="U29" s="762">
        <f t="shared" si="6"/>
        <v>502</v>
      </c>
      <c r="V29" s="762">
        <f t="shared" si="6"/>
        <v>2184</v>
      </c>
      <c r="W29" s="762">
        <f t="shared" si="6"/>
        <v>473</v>
      </c>
      <c r="X29" s="2849">
        <f>SUM(R29:W29)</f>
        <v>53134</v>
      </c>
    </row>
    <row r="30" spans="1:27" x14ac:dyDescent="0.2">
      <c r="A30" s="766" t="s">
        <v>117</v>
      </c>
    </row>
    <row r="31" spans="1:27" x14ac:dyDescent="0.2">
      <c r="A31" s="766"/>
    </row>
    <row r="33" spans="1:24" ht="15" customHeight="1" x14ac:dyDescent="0.2">
      <c r="A33" s="6395" t="s">
        <v>124</v>
      </c>
      <c r="B33" s="6396">
        <v>2012</v>
      </c>
      <c r="C33" s="6397"/>
      <c r="D33" s="6397"/>
      <c r="E33" s="6397"/>
      <c r="F33" s="6397"/>
      <c r="G33" s="6397"/>
      <c r="H33" s="6398"/>
      <c r="J33" s="6396">
        <v>2013</v>
      </c>
      <c r="K33" s="6397"/>
      <c r="L33" s="6397"/>
      <c r="M33" s="6397"/>
      <c r="N33" s="6397"/>
      <c r="O33" s="6397"/>
      <c r="P33" s="6398"/>
      <c r="R33" s="6396">
        <v>2014</v>
      </c>
      <c r="S33" s="6397"/>
      <c r="T33" s="6397"/>
      <c r="U33" s="6397"/>
      <c r="V33" s="6397"/>
      <c r="W33" s="6397"/>
      <c r="X33" s="6398"/>
    </row>
    <row r="34" spans="1:24" ht="33.75" x14ac:dyDescent="0.2">
      <c r="A34" s="6395"/>
      <c r="B34" s="763" t="s">
        <v>118</v>
      </c>
      <c r="C34" s="764" t="s">
        <v>119</v>
      </c>
      <c r="D34" s="764" t="s">
        <v>120</v>
      </c>
      <c r="E34" s="764" t="s">
        <v>121</v>
      </c>
      <c r="F34" s="764" t="s">
        <v>122</v>
      </c>
      <c r="G34" s="765" t="s">
        <v>123</v>
      </c>
      <c r="H34" s="1648" t="s">
        <v>12</v>
      </c>
      <c r="J34" s="2864" t="s">
        <v>118</v>
      </c>
      <c r="K34" s="764" t="s">
        <v>119</v>
      </c>
      <c r="L34" s="764" t="s">
        <v>120</v>
      </c>
      <c r="M34" s="764" t="s">
        <v>121</v>
      </c>
      <c r="N34" s="764" t="s">
        <v>122</v>
      </c>
      <c r="O34" s="765" t="s">
        <v>123</v>
      </c>
      <c r="P34" s="1648" t="s">
        <v>12</v>
      </c>
      <c r="R34" s="2864" t="s">
        <v>118</v>
      </c>
      <c r="S34" s="764" t="s">
        <v>119</v>
      </c>
      <c r="T34" s="764" t="s">
        <v>120</v>
      </c>
      <c r="U34" s="764" t="s">
        <v>121</v>
      </c>
      <c r="V34" s="764" t="s">
        <v>122</v>
      </c>
      <c r="W34" s="765" t="s">
        <v>123</v>
      </c>
      <c r="X34" s="1648" t="s">
        <v>12</v>
      </c>
    </row>
    <row r="35" spans="1:24" ht="24.75" customHeight="1" x14ac:dyDescent="0.2">
      <c r="A35" s="2850" t="s">
        <v>161</v>
      </c>
      <c r="B35" s="382">
        <v>6292</v>
      </c>
      <c r="C35" s="383">
        <v>3771</v>
      </c>
      <c r="D35" s="383">
        <v>2835</v>
      </c>
      <c r="E35" s="383">
        <v>92</v>
      </c>
      <c r="F35" s="383">
        <v>790</v>
      </c>
      <c r="G35" s="383">
        <v>231</v>
      </c>
      <c r="H35" s="2851">
        <f>SUM(B35:G35)</f>
        <v>14011</v>
      </c>
      <c r="J35" s="382">
        <v>8099</v>
      </c>
      <c r="K35" s="383">
        <v>4808</v>
      </c>
      <c r="L35" s="383">
        <v>2546</v>
      </c>
      <c r="M35" s="383">
        <v>100</v>
      </c>
      <c r="N35" s="383">
        <v>736</v>
      </c>
      <c r="O35" s="383">
        <v>264</v>
      </c>
      <c r="P35" s="2851">
        <f>SUM(J35:O35)</f>
        <v>16553</v>
      </c>
      <c r="R35" s="382">
        <v>7729</v>
      </c>
      <c r="S35" s="383">
        <v>4141</v>
      </c>
      <c r="T35" s="383">
        <v>2755</v>
      </c>
      <c r="U35" s="383">
        <v>89</v>
      </c>
      <c r="V35" s="383">
        <v>864</v>
      </c>
      <c r="W35" s="383">
        <v>331</v>
      </c>
      <c r="X35" s="2851">
        <f>SUM(R35:W35)</f>
        <v>15909</v>
      </c>
    </row>
    <row r="36" spans="1:24" ht="24.75" customHeight="1" x14ac:dyDescent="0.2">
      <c r="A36" s="2854" t="s">
        <v>410</v>
      </c>
      <c r="B36" s="384">
        <v>1159</v>
      </c>
      <c r="C36" s="385">
        <v>654</v>
      </c>
      <c r="D36" s="385">
        <v>573</v>
      </c>
      <c r="E36" s="385">
        <v>14</v>
      </c>
      <c r="F36" s="385">
        <v>254</v>
      </c>
      <c r="G36" s="385">
        <v>60</v>
      </c>
      <c r="H36" s="2855">
        <f>SUM(B36:G36)</f>
        <v>2714</v>
      </c>
      <c r="J36" s="384">
        <v>1574</v>
      </c>
      <c r="K36" s="385">
        <v>929</v>
      </c>
      <c r="L36" s="385">
        <v>1028</v>
      </c>
      <c r="M36" s="385">
        <v>23</v>
      </c>
      <c r="N36" s="385">
        <v>239</v>
      </c>
      <c r="O36" s="385">
        <v>41</v>
      </c>
      <c r="P36" s="2855">
        <f>SUM(J36:O36)</f>
        <v>3834</v>
      </c>
      <c r="R36" s="384">
        <v>1297</v>
      </c>
      <c r="S36" s="385">
        <v>687</v>
      </c>
      <c r="T36" s="385">
        <v>637</v>
      </c>
      <c r="U36" s="385">
        <v>9</v>
      </c>
      <c r="V36" s="385">
        <v>213</v>
      </c>
      <c r="W36" s="385">
        <v>33</v>
      </c>
      <c r="X36" s="2855">
        <f>SUM(R36:W36)</f>
        <v>2876</v>
      </c>
    </row>
    <row r="37" spans="1:24" ht="24.75" customHeight="1" x14ac:dyDescent="0.2">
      <c r="A37" s="2852" t="s">
        <v>162</v>
      </c>
      <c r="B37" s="384">
        <v>9010</v>
      </c>
      <c r="C37" s="385">
        <v>4850</v>
      </c>
      <c r="D37" s="385">
        <v>4304</v>
      </c>
      <c r="E37" s="385">
        <v>143</v>
      </c>
      <c r="F37" s="385">
        <v>464</v>
      </c>
      <c r="G37" s="385">
        <v>62</v>
      </c>
      <c r="H37" s="2853">
        <f>SUM(B37:G37)</f>
        <v>18833</v>
      </c>
      <c r="J37" s="384">
        <v>10019</v>
      </c>
      <c r="K37" s="385">
        <v>4994</v>
      </c>
      <c r="L37" s="385">
        <v>4234</v>
      </c>
      <c r="M37" s="385">
        <v>149</v>
      </c>
      <c r="N37" s="385">
        <v>521</v>
      </c>
      <c r="O37" s="385">
        <v>67</v>
      </c>
      <c r="P37" s="2853">
        <f>SUM(J37:O37)</f>
        <v>19984</v>
      </c>
      <c r="R37" s="384">
        <v>8268</v>
      </c>
      <c r="S37" s="385">
        <v>4923</v>
      </c>
      <c r="T37" s="385">
        <v>3644</v>
      </c>
      <c r="U37" s="385">
        <v>127</v>
      </c>
      <c r="V37" s="385">
        <v>427</v>
      </c>
      <c r="W37" s="385">
        <v>89</v>
      </c>
      <c r="X37" s="2853">
        <f>SUM(R37:W37)</f>
        <v>17478</v>
      </c>
    </row>
    <row r="38" spans="1:24" ht="24.75" customHeight="1" x14ac:dyDescent="0.2">
      <c r="A38" s="2856" t="s">
        <v>411</v>
      </c>
      <c r="B38" s="384"/>
      <c r="C38" s="385"/>
      <c r="D38" s="385"/>
      <c r="E38" s="385"/>
      <c r="F38" s="385"/>
      <c r="G38" s="385"/>
      <c r="H38" s="2857"/>
      <c r="J38" s="384">
        <v>31</v>
      </c>
      <c r="K38" s="385">
        <v>24</v>
      </c>
      <c r="L38" s="385">
        <v>14</v>
      </c>
      <c r="M38" s="385"/>
      <c r="N38" s="385">
        <v>2</v>
      </c>
      <c r="O38" s="385"/>
      <c r="P38" s="2857">
        <f>SUM(J38:O38)</f>
        <v>71</v>
      </c>
      <c r="R38" s="384">
        <v>98</v>
      </c>
      <c r="S38" s="385">
        <v>80</v>
      </c>
      <c r="T38" s="385">
        <v>68</v>
      </c>
      <c r="U38" s="385"/>
      <c r="V38" s="385">
        <v>7</v>
      </c>
      <c r="W38" s="385"/>
      <c r="X38" s="2857">
        <f>SUM(R38:W38)</f>
        <v>253</v>
      </c>
    </row>
    <row r="39" spans="1:24" ht="24.75" customHeight="1" x14ac:dyDescent="0.2">
      <c r="A39" s="2858" t="s">
        <v>163</v>
      </c>
      <c r="B39" s="2862">
        <v>7746</v>
      </c>
      <c r="C39" s="2863">
        <v>6707</v>
      </c>
      <c r="D39" s="2863">
        <v>6176</v>
      </c>
      <c r="E39" s="2863">
        <v>150</v>
      </c>
      <c r="F39" s="2863">
        <v>845</v>
      </c>
      <c r="G39" s="2863">
        <v>189</v>
      </c>
      <c r="H39" s="2859">
        <f>SUM(B39:G39)</f>
        <v>21813</v>
      </c>
      <c r="J39" s="2862">
        <v>5711</v>
      </c>
      <c r="K39" s="2863">
        <v>5255</v>
      </c>
      <c r="L39" s="2863">
        <v>4846</v>
      </c>
      <c r="M39" s="2863">
        <v>104</v>
      </c>
      <c r="N39" s="2863">
        <v>731</v>
      </c>
      <c r="O39" s="2863">
        <v>232</v>
      </c>
      <c r="P39" s="2859">
        <f>SUM(J39:O39)</f>
        <v>16879</v>
      </c>
      <c r="R39" s="2862">
        <v>6667</v>
      </c>
      <c r="S39" s="2863">
        <v>6503</v>
      </c>
      <c r="T39" s="2863">
        <v>5396</v>
      </c>
      <c r="U39" s="2863">
        <v>116</v>
      </c>
      <c r="V39" s="2863">
        <v>719</v>
      </c>
      <c r="W39" s="2863">
        <v>165</v>
      </c>
      <c r="X39" s="2859">
        <f>SUM(R39:W39)</f>
        <v>19566</v>
      </c>
    </row>
    <row r="40" spans="1:24" ht="24.75" customHeight="1" x14ac:dyDescent="0.2">
      <c r="A40" s="929" t="s">
        <v>586</v>
      </c>
      <c r="B40" s="761">
        <f>SUM(B35:B39)</f>
        <v>24207</v>
      </c>
      <c r="C40" s="762">
        <f t="shared" ref="C40:P40" si="7">SUM(C35:C39)</f>
        <v>15982</v>
      </c>
      <c r="D40" s="762">
        <f t="shared" si="7"/>
        <v>13888</v>
      </c>
      <c r="E40" s="762">
        <f t="shared" si="7"/>
        <v>399</v>
      </c>
      <c r="F40" s="762">
        <f t="shared" si="7"/>
        <v>2353</v>
      </c>
      <c r="G40" s="762">
        <f t="shared" si="7"/>
        <v>542</v>
      </c>
      <c r="H40" s="2849">
        <f t="shared" si="7"/>
        <v>57371</v>
      </c>
      <c r="J40" s="761">
        <f t="shared" si="7"/>
        <v>25434</v>
      </c>
      <c r="K40" s="762">
        <f t="shared" si="7"/>
        <v>16010</v>
      </c>
      <c r="L40" s="762">
        <f t="shared" si="7"/>
        <v>12668</v>
      </c>
      <c r="M40" s="762">
        <f t="shared" si="7"/>
        <v>376</v>
      </c>
      <c r="N40" s="762">
        <f t="shared" si="7"/>
        <v>2229</v>
      </c>
      <c r="O40" s="762">
        <f t="shared" si="7"/>
        <v>604</v>
      </c>
      <c r="P40" s="2849">
        <f t="shared" si="7"/>
        <v>57321</v>
      </c>
      <c r="R40" s="761">
        <f t="shared" ref="R40:X40" si="8">SUM(R35:R39)</f>
        <v>24059</v>
      </c>
      <c r="S40" s="762">
        <f t="shared" si="8"/>
        <v>16334</v>
      </c>
      <c r="T40" s="762">
        <f t="shared" si="8"/>
        <v>12500</v>
      </c>
      <c r="U40" s="762">
        <f t="shared" si="8"/>
        <v>341</v>
      </c>
      <c r="V40" s="762">
        <f t="shared" si="8"/>
        <v>2230</v>
      </c>
      <c r="W40" s="762">
        <f t="shared" si="8"/>
        <v>618</v>
      </c>
      <c r="X40" s="2849">
        <f t="shared" si="8"/>
        <v>56082</v>
      </c>
    </row>
    <row r="41" spans="1:24" x14ac:dyDescent="0.2">
      <c r="A41" s="766" t="s">
        <v>117</v>
      </c>
    </row>
    <row r="42" spans="1:24" x14ac:dyDescent="0.2">
      <c r="A42" s="766"/>
    </row>
    <row r="43" spans="1:24" x14ac:dyDescent="0.2">
      <c r="A43" s="766"/>
    </row>
    <row r="44" spans="1:24" x14ac:dyDescent="0.2">
      <c r="A44" s="6395" t="s">
        <v>124</v>
      </c>
      <c r="B44" s="6396">
        <v>2015</v>
      </c>
      <c r="C44" s="6397"/>
      <c r="D44" s="6397"/>
      <c r="E44" s="6397"/>
      <c r="F44" s="6397"/>
      <c r="G44" s="6397"/>
      <c r="H44" s="6398"/>
    </row>
    <row r="45" spans="1:24" ht="33.75" x14ac:dyDescent="0.2">
      <c r="A45" s="6395"/>
      <c r="B45" s="763" t="s">
        <v>118</v>
      </c>
      <c r="C45" s="764" t="s">
        <v>119</v>
      </c>
      <c r="D45" s="764" t="s">
        <v>120</v>
      </c>
      <c r="E45" s="764" t="s">
        <v>121</v>
      </c>
      <c r="F45" s="764" t="s">
        <v>122</v>
      </c>
      <c r="G45" s="765" t="s">
        <v>123</v>
      </c>
      <c r="H45" s="1648" t="s">
        <v>12</v>
      </c>
    </row>
    <row r="46" spans="1:24" ht="24.75" customHeight="1" x14ac:dyDescent="0.2">
      <c r="A46" s="2850" t="s">
        <v>161</v>
      </c>
      <c r="B46" s="382">
        <v>6849</v>
      </c>
      <c r="C46" s="383">
        <v>4811</v>
      </c>
      <c r="D46" s="383">
        <v>3113</v>
      </c>
      <c r="E46" s="383">
        <v>105</v>
      </c>
      <c r="F46" s="383">
        <v>739</v>
      </c>
      <c r="G46" s="383">
        <v>394</v>
      </c>
      <c r="H46" s="2851">
        <f>SUM(B46:G46)</f>
        <v>16011</v>
      </c>
    </row>
    <row r="47" spans="1:24" ht="24.75" customHeight="1" x14ac:dyDescent="0.2">
      <c r="A47" s="2854" t="s">
        <v>410</v>
      </c>
      <c r="B47" s="384">
        <v>1619</v>
      </c>
      <c r="C47" s="385">
        <v>1028</v>
      </c>
      <c r="D47" s="385">
        <v>974</v>
      </c>
      <c r="E47" s="385">
        <v>21</v>
      </c>
      <c r="F47" s="385">
        <v>241</v>
      </c>
      <c r="G47" s="385">
        <v>34</v>
      </c>
      <c r="H47" s="2855">
        <f>SUM(B47:G47)</f>
        <v>3917</v>
      </c>
    </row>
    <row r="48" spans="1:24" ht="24.75" customHeight="1" x14ac:dyDescent="0.2">
      <c r="A48" s="2852" t="s">
        <v>162</v>
      </c>
      <c r="B48" s="384">
        <v>9239</v>
      </c>
      <c r="C48" s="385">
        <v>4936</v>
      </c>
      <c r="D48" s="385">
        <v>4237</v>
      </c>
      <c r="E48" s="385">
        <v>143</v>
      </c>
      <c r="F48" s="385">
        <v>455</v>
      </c>
      <c r="G48" s="385">
        <v>113</v>
      </c>
      <c r="H48" s="2853">
        <f>SUM(B48:G48)</f>
        <v>19123</v>
      </c>
    </row>
    <row r="49" spans="1:8" ht="24.75" customHeight="1" x14ac:dyDescent="0.2">
      <c r="A49" s="2856" t="s">
        <v>411</v>
      </c>
      <c r="B49" s="384">
        <v>162</v>
      </c>
      <c r="C49" s="385">
        <v>138</v>
      </c>
      <c r="D49" s="385">
        <v>110</v>
      </c>
      <c r="E49" s="385">
        <v>3</v>
      </c>
      <c r="F49" s="385">
        <v>8</v>
      </c>
      <c r="G49" s="385"/>
      <c r="H49" s="2857">
        <f>SUM(B49:G49)</f>
        <v>421</v>
      </c>
    </row>
    <row r="50" spans="1:8" ht="24.75" customHeight="1" x14ac:dyDescent="0.2">
      <c r="A50" s="2858" t="s">
        <v>163</v>
      </c>
      <c r="B50" s="2862">
        <v>6294</v>
      </c>
      <c r="C50" s="2863">
        <v>5525</v>
      </c>
      <c r="D50" s="2863">
        <v>4823</v>
      </c>
      <c r="E50" s="2863">
        <v>139</v>
      </c>
      <c r="F50" s="2863">
        <v>763</v>
      </c>
      <c r="G50" s="2863">
        <v>162</v>
      </c>
      <c r="H50" s="2859">
        <f>SUM(B50:G50)</f>
        <v>17706</v>
      </c>
    </row>
    <row r="51" spans="1:8" ht="24.75" customHeight="1" x14ac:dyDescent="0.2">
      <c r="A51" s="4851" t="s">
        <v>586</v>
      </c>
      <c r="B51" s="761">
        <f>SUM(B46:B50)</f>
        <v>24163</v>
      </c>
      <c r="C51" s="762">
        <f t="shared" ref="C51:H51" si="9">SUM(C46:C50)</f>
        <v>16438</v>
      </c>
      <c r="D51" s="762">
        <f t="shared" si="9"/>
        <v>13257</v>
      </c>
      <c r="E51" s="762">
        <f t="shared" si="9"/>
        <v>411</v>
      </c>
      <c r="F51" s="762">
        <f t="shared" si="9"/>
        <v>2206</v>
      </c>
      <c r="G51" s="762">
        <f t="shared" si="9"/>
        <v>703</v>
      </c>
      <c r="H51" s="2849">
        <f t="shared" si="9"/>
        <v>57178</v>
      </c>
    </row>
    <row r="52" spans="1:8" x14ac:dyDescent="0.2">
      <c r="A52" s="766" t="s">
        <v>117</v>
      </c>
    </row>
    <row r="53" spans="1:8" x14ac:dyDescent="0.2">
      <c r="A53" s="766"/>
    </row>
    <row r="54" spans="1:8" x14ac:dyDescent="0.2">
      <c r="A54" s="766"/>
    </row>
    <row r="56" spans="1:8" x14ac:dyDescent="0.2">
      <c r="A56" s="4191">
        <v>2003</v>
      </c>
    </row>
    <row r="57" spans="1:8" x14ac:dyDescent="0.2">
      <c r="A57" s="4191">
        <v>2004</v>
      </c>
    </row>
    <row r="58" spans="1:8" x14ac:dyDescent="0.2">
      <c r="A58" s="4191">
        <v>2005</v>
      </c>
    </row>
    <row r="59" spans="1:8" x14ac:dyDescent="0.2">
      <c r="A59" s="4191">
        <v>2006</v>
      </c>
    </row>
    <row r="60" spans="1:8" x14ac:dyDescent="0.2">
      <c r="A60" s="4191">
        <v>2007</v>
      </c>
    </row>
    <row r="61" spans="1:8" x14ac:dyDescent="0.2">
      <c r="A61" s="4191">
        <v>2008</v>
      </c>
    </row>
    <row r="62" spans="1:8" x14ac:dyDescent="0.2">
      <c r="A62" s="4191">
        <v>2009</v>
      </c>
    </row>
    <row r="63" spans="1:8" x14ac:dyDescent="0.2">
      <c r="A63" s="4191">
        <v>2010</v>
      </c>
    </row>
    <row r="64" spans="1:8" x14ac:dyDescent="0.2">
      <c r="A64" s="4191">
        <v>2011</v>
      </c>
    </row>
    <row r="65" spans="1:1" x14ac:dyDescent="0.2">
      <c r="A65" s="4191">
        <v>2012</v>
      </c>
    </row>
    <row r="66" spans="1:1" x14ac:dyDescent="0.2">
      <c r="A66" s="4191">
        <v>2013</v>
      </c>
    </row>
    <row r="67" spans="1:1" x14ac:dyDescent="0.2">
      <c r="A67" s="4191">
        <v>2014</v>
      </c>
    </row>
    <row r="68" spans="1:1" x14ac:dyDescent="0.2">
      <c r="A68" s="4191">
        <v>2015</v>
      </c>
    </row>
  </sheetData>
  <mergeCells count="18">
    <mergeCell ref="J33:P33"/>
    <mergeCell ref="R33:X33"/>
    <mergeCell ref="J23:P23"/>
    <mergeCell ref="R23:X23"/>
    <mergeCell ref="A33:A34"/>
    <mergeCell ref="B33:H33"/>
    <mergeCell ref="A23:A24"/>
    <mergeCell ref="B23:H23"/>
    <mergeCell ref="R3:X3"/>
    <mergeCell ref="J3:P3"/>
    <mergeCell ref="R13:X13"/>
    <mergeCell ref="J13:P13"/>
    <mergeCell ref="B13:H13"/>
    <mergeCell ref="A44:A45"/>
    <mergeCell ref="B44:H44"/>
    <mergeCell ref="A3:A4"/>
    <mergeCell ref="A13:A14"/>
    <mergeCell ref="B3:H3"/>
  </mergeCells>
  <phoneticPr fontId="69" type="noConversion"/>
  <printOptions horizontalCentered="1" verticalCentered="1"/>
  <pageMargins left="0.74803149606299213" right="0.74803149606299213" top="0.59055118110236227" bottom="0.59055118110236227" header="0" footer="0"/>
  <pageSetup scale="56" orientation="landscape" r:id="rId1"/>
  <headerFooter alignWithMargins="0"/>
  <rowBreaks count="1" manualBreakCount="1">
    <brk id="54" max="23" man="1"/>
  </rowBreaks>
  <ignoredErrors>
    <ignoredError sqref="P29" formula="1"/>
  </ignoredErrors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25A8"/>
  </sheetPr>
  <dimension ref="A1:R305"/>
  <sheetViews>
    <sheetView showGridLines="0" zoomScaleNormal="100" workbookViewId="0">
      <selection activeCell="J29" sqref="J29"/>
    </sheetView>
  </sheetViews>
  <sheetFormatPr baseColWidth="10" defaultRowHeight="15" x14ac:dyDescent="0.25"/>
  <cols>
    <col min="1" max="1" width="23.42578125" style="1464" customWidth="1"/>
    <col min="2" max="2" width="8.5703125" style="1464" customWidth="1"/>
    <col min="3" max="3" width="14.28515625" style="1464" customWidth="1"/>
    <col min="4" max="4" width="3.7109375" style="1464" customWidth="1"/>
    <col min="5" max="5" width="24.42578125" style="1464" customWidth="1"/>
    <col min="6" max="6" width="8.7109375" style="1464" customWidth="1"/>
    <col min="7" max="7" width="13.85546875" style="1464" customWidth="1"/>
    <col min="8" max="8" width="3.7109375" style="1464" customWidth="1"/>
    <col min="9" max="9" width="33.28515625" style="1464" customWidth="1"/>
    <col min="10" max="10" width="26.28515625" style="1464" customWidth="1"/>
    <col min="11" max="11" width="12.85546875" style="1464" bestFit="1" customWidth="1"/>
    <col min="12" max="12" width="12.7109375" style="1464" bestFit="1" customWidth="1"/>
    <col min="13" max="13" width="1.7109375" style="1464" customWidth="1"/>
    <col min="14" max="14" width="15" style="1464" bestFit="1" customWidth="1"/>
    <col min="15" max="15" width="31.85546875" style="1464" bestFit="1" customWidth="1"/>
    <col min="16" max="16" width="12.7109375" style="1464" customWidth="1"/>
    <col min="17" max="17" width="14.7109375" style="1464" customWidth="1"/>
    <col min="18" max="18" width="12.140625" style="1464" customWidth="1"/>
    <col min="19" max="16384" width="11.42578125" style="1464"/>
  </cols>
  <sheetData>
    <row r="1" spans="1:18" ht="18.75" x14ac:dyDescent="0.3">
      <c r="A1" s="2309" t="s">
        <v>768</v>
      </c>
      <c r="B1" s="1465"/>
      <c r="C1" s="1465"/>
      <c r="D1" s="1465"/>
      <c r="E1" s="1465"/>
      <c r="F1" s="1465"/>
      <c r="G1" s="1465"/>
      <c r="H1" s="1465"/>
      <c r="I1" s="1465"/>
      <c r="J1" s="1465"/>
      <c r="K1" s="1465"/>
      <c r="L1" s="1465"/>
      <c r="M1" s="1465"/>
      <c r="N1" s="1465"/>
      <c r="O1" s="1465"/>
      <c r="Q1" s="1466"/>
      <c r="R1" s="1466"/>
    </row>
    <row r="2" spans="1:18" ht="18.75" x14ac:dyDescent="0.3">
      <c r="A2" s="2309"/>
      <c r="B2" s="1465"/>
      <c r="C2" s="1465"/>
      <c r="D2" s="1465"/>
      <c r="E2" s="1465"/>
      <c r="F2" s="1465"/>
      <c r="G2" s="1465"/>
      <c r="H2" s="1465"/>
      <c r="I2" s="1465"/>
      <c r="J2" s="1465"/>
      <c r="K2" s="1465"/>
      <c r="L2" s="1465"/>
      <c r="M2" s="1465"/>
      <c r="N2" s="1465"/>
      <c r="O2" s="1465"/>
      <c r="Q2" s="4870"/>
      <c r="R2" s="4870"/>
    </row>
    <row r="3" spans="1:18" x14ac:dyDescent="0.25">
      <c r="A3" s="6401" t="s">
        <v>1567</v>
      </c>
      <c r="B3" s="6402"/>
      <c r="C3" s="6403"/>
      <c r="D3" s="4867"/>
      <c r="E3" s="6401" t="s">
        <v>1566</v>
      </c>
      <c r="F3" s="6402"/>
      <c r="G3" s="6403"/>
      <c r="H3" s="1465"/>
      <c r="I3" s="6401" t="s">
        <v>1574</v>
      </c>
      <c r="J3" s="6402"/>
      <c r="K3" s="6402"/>
      <c r="L3" s="6403"/>
      <c r="M3" s="1465"/>
      <c r="N3" s="1465"/>
      <c r="O3" s="1465"/>
      <c r="Q3" s="4870"/>
      <c r="R3" s="4870"/>
    </row>
    <row r="4" spans="1:18" x14ac:dyDescent="0.25">
      <c r="A4" s="6407" t="s">
        <v>1559</v>
      </c>
      <c r="B4" s="6408"/>
      <c r="C4" s="6409"/>
      <c r="D4" s="4867"/>
      <c r="E4" s="6407" t="s">
        <v>897</v>
      </c>
      <c r="F4" s="6408"/>
      <c r="G4" s="6409"/>
      <c r="H4" s="1465"/>
      <c r="I4" s="6512" t="s">
        <v>595</v>
      </c>
      <c r="J4" s="6414" t="s">
        <v>898</v>
      </c>
      <c r="K4" s="6513" t="s">
        <v>904</v>
      </c>
      <c r="L4" s="6514"/>
      <c r="M4" s="1465"/>
      <c r="N4" s="1465"/>
      <c r="O4" s="1465"/>
      <c r="Q4" s="4870"/>
      <c r="R4" s="4870"/>
    </row>
    <row r="5" spans="1:18" ht="15" customHeight="1" x14ac:dyDescent="0.25">
      <c r="A5" s="6522" t="s">
        <v>900</v>
      </c>
      <c r="B5" s="6415" t="s">
        <v>901</v>
      </c>
      <c r="C5" s="6415" t="s">
        <v>902</v>
      </c>
      <c r="D5" s="4867"/>
      <c r="E5" s="6522" t="s">
        <v>595</v>
      </c>
      <c r="F5" s="6415" t="s">
        <v>903</v>
      </c>
      <c r="G5" s="6415" t="s">
        <v>904</v>
      </c>
      <c r="H5" s="1465"/>
      <c r="I5" s="6411"/>
      <c r="J5" s="6411"/>
      <c r="K5" s="4869" t="s">
        <v>962</v>
      </c>
      <c r="L5" s="4930" t="s">
        <v>1014</v>
      </c>
      <c r="M5" s="1465"/>
      <c r="N5" s="1465"/>
      <c r="O5" s="1465"/>
      <c r="Q5" s="4870"/>
      <c r="R5" s="4870"/>
    </row>
    <row r="6" spans="1:18" x14ac:dyDescent="0.25">
      <c r="A6" s="6522"/>
      <c r="B6" s="6416"/>
      <c r="C6" s="6416"/>
      <c r="D6" s="4867"/>
      <c r="E6" s="6522"/>
      <c r="F6" s="6416"/>
      <c r="G6" s="6416"/>
      <c r="H6" s="1465"/>
      <c r="I6" s="6515" t="s">
        <v>599</v>
      </c>
      <c r="J6" s="4926" t="s">
        <v>1568</v>
      </c>
      <c r="K6" s="4927"/>
      <c r="L6" s="4928"/>
      <c r="M6" s="1465"/>
      <c r="N6" s="1465"/>
      <c r="O6" s="1465"/>
      <c r="Q6" s="4870"/>
      <c r="R6" s="4870"/>
    </row>
    <row r="7" spans="1:18" x14ac:dyDescent="0.25">
      <c r="A7" s="4912" t="s">
        <v>905</v>
      </c>
      <c r="B7" s="4913">
        <v>12</v>
      </c>
      <c r="C7" s="4914">
        <v>218</v>
      </c>
      <c r="D7" s="4867"/>
      <c r="E7" s="4915" t="s">
        <v>906</v>
      </c>
      <c r="F7" s="4915">
        <v>26457</v>
      </c>
      <c r="G7" s="4916">
        <v>26457</v>
      </c>
      <c r="H7" s="1465"/>
      <c r="I7" s="6427"/>
      <c r="J7" s="4926" t="s">
        <v>1569</v>
      </c>
      <c r="K7" s="4927"/>
      <c r="L7" s="4928"/>
      <c r="M7" s="1465"/>
      <c r="N7" s="1465"/>
      <c r="O7" s="1465"/>
      <c r="Q7" s="4870"/>
      <c r="R7" s="4870"/>
    </row>
    <row r="8" spans="1:18" x14ac:dyDescent="0.25">
      <c r="A8" s="4912" t="s">
        <v>967</v>
      </c>
      <c r="B8" s="4913">
        <v>1</v>
      </c>
      <c r="C8" s="4914">
        <v>55</v>
      </c>
      <c r="D8" s="4867"/>
      <c r="E8" s="4915" t="s">
        <v>1560</v>
      </c>
      <c r="F8" s="4915">
        <v>449</v>
      </c>
      <c r="G8" s="4916">
        <v>897</v>
      </c>
      <c r="H8" s="1465"/>
      <c r="I8" s="4917" t="s">
        <v>933</v>
      </c>
      <c r="J8" s="4926" t="s">
        <v>1570</v>
      </c>
      <c r="K8" s="4927">
        <v>5987</v>
      </c>
      <c r="L8" s="4928">
        <v>7150</v>
      </c>
      <c r="M8" s="1465"/>
      <c r="N8" s="1465"/>
      <c r="O8" s="1465"/>
      <c r="Q8" s="4870"/>
      <c r="R8" s="4870"/>
    </row>
    <row r="9" spans="1:18" x14ac:dyDescent="0.25">
      <c r="A9" s="4917" t="s">
        <v>908</v>
      </c>
      <c r="B9" s="4918">
        <v>6</v>
      </c>
      <c r="C9" s="4918">
        <v>350</v>
      </c>
      <c r="D9" s="4867"/>
      <c r="E9" s="4917" t="s">
        <v>909</v>
      </c>
      <c r="F9" s="4918">
        <v>5517</v>
      </c>
      <c r="G9" s="4918">
        <v>55170</v>
      </c>
      <c r="H9" s="1465"/>
      <c r="I9" s="6516" t="s">
        <v>937</v>
      </c>
      <c r="J9" s="4926" t="s">
        <v>1571</v>
      </c>
      <c r="K9" s="4927">
        <v>3846</v>
      </c>
      <c r="L9" s="4928">
        <v>7150</v>
      </c>
      <c r="M9" s="1465"/>
      <c r="N9" s="1465"/>
      <c r="O9" s="1465"/>
      <c r="Q9" s="4870"/>
      <c r="R9" s="4870"/>
    </row>
    <row r="10" spans="1:18" x14ac:dyDescent="0.25">
      <c r="A10" s="4917" t="s">
        <v>1561</v>
      </c>
      <c r="B10" s="4918">
        <v>10</v>
      </c>
      <c r="C10" s="4918">
        <v>233</v>
      </c>
      <c r="D10" s="4867"/>
      <c r="E10" s="4917" t="s">
        <v>914</v>
      </c>
      <c r="F10" s="4918">
        <v>25</v>
      </c>
      <c r="G10" s="4918">
        <v>300</v>
      </c>
      <c r="H10" s="1465"/>
      <c r="I10" s="6517"/>
      <c r="J10" s="4926" t="s">
        <v>1572</v>
      </c>
      <c r="K10" s="4927"/>
      <c r="L10" s="4928"/>
      <c r="M10" s="1465"/>
      <c r="N10" s="1465"/>
      <c r="O10" s="1465"/>
      <c r="Q10" s="4870"/>
      <c r="R10" s="4870"/>
    </row>
    <row r="11" spans="1:18" x14ac:dyDescent="0.25">
      <c r="A11" s="4917" t="s">
        <v>913</v>
      </c>
      <c r="B11" s="4918">
        <v>1</v>
      </c>
      <c r="C11" s="4918">
        <v>16</v>
      </c>
      <c r="D11" s="4867"/>
      <c r="E11" s="4919" t="s">
        <v>1562</v>
      </c>
      <c r="F11" s="4919">
        <v>440</v>
      </c>
      <c r="G11" s="4919">
        <v>440</v>
      </c>
      <c r="H11" s="1465"/>
      <c r="I11" s="4929" t="s">
        <v>944</v>
      </c>
      <c r="J11" s="4926"/>
      <c r="K11" s="4927"/>
      <c r="L11" s="4928"/>
      <c r="M11" s="1465"/>
      <c r="N11" s="1465"/>
      <c r="O11" s="1465"/>
      <c r="Q11" s="4870"/>
      <c r="R11" s="4870"/>
    </row>
    <row r="12" spans="1:18" ht="15" customHeight="1" x14ac:dyDescent="0.25">
      <c r="A12" s="4917" t="s">
        <v>915</v>
      </c>
      <c r="B12" s="4918">
        <v>22</v>
      </c>
      <c r="C12" s="4918">
        <v>6010</v>
      </c>
      <c r="D12" s="4867"/>
      <c r="E12" s="4919" t="s">
        <v>920</v>
      </c>
      <c r="F12" s="4919">
        <v>2</v>
      </c>
      <c r="G12" s="4919">
        <v>60</v>
      </c>
      <c r="H12" s="1465"/>
      <c r="I12" s="6518" t="s">
        <v>1573</v>
      </c>
      <c r="J12" s="6519" t="s">
        <v>948</v>
      </c>
      <c r="K12" s="6520">
        <v>1133</v>
      </c>
      <c r="L12" s="6521">
        <v>4450</v>
      </c>
      <c r="M12" s="1465"/>
      <c r="N12" s="1465"/>
      <c r="O12" s="1465"/>
      <c r="Q12" s="4870"/>
      <c r="R12" s="4870"/>
    </row>
    <row r="13" spans="1:18" x14ac:dyDescent="0.25">
      <c r="A13" s="4917" t="s">
        <v>919</v>
      </c>
      <c r="B13" s="4918">
        <v>14</v>
      </c>
      <c r="C13" s="4918">
        <v>3207</v>
      </c>
      <c r="D13" s="4867"/>
      <c r="E13" s="4919" t="s">
        <v>913</v>
      </c>
      <c r="F13" s="4919">
        <v>562</v>
      </c>
      <c r="G13" s="4919">
        <v>1942</v>
      </c>
      <c r="H13" s="1465"/>
      <c r="I13" s="6518"/>
      <c r="J13" s="6519"/>
      <c r="K13" s="6520"/>
      <c r="L13" s="6521"/>
      <c r="M13" s="1465"/>
      <c r="N13" s="1465"/>
      <c r="O13" s="1465"/>
      <c r="Q13" s="4870"/>
      <c r="R13" s="4870"/>
    </row>
    <row r="14" spans="1:18" x14ac:dyDescent="0.25">
      <c r="A14" s="4917" t="s">
        <v>922</v>
      </c>
      <c r="B14" s="4918">
        <v>4</v>
      </c>
      <c r="C14" s="4918">
        <v>1116</v>
      </c>
      <c r="D14" s="4867"/>
      <c r="E14" s="4917" t="s">
        <v>924</v>
      </c>
      <c r="F14" s="4918">
        <v>6055</v>
      </c>
      <c r="G14" s="4918">
        <v>6055</v>
      </c>
      <c r="H14" s="1465"/>
      <c r="I14" s="6518"/>
      <c r="J14" s="6519"/>
      <c r="K14" s="6520"/>
      <c r="L14" s="6521"/>
      <c r="M14" s="1465"/>
      <c r="N14" s="1465"/>
      <c r="O14" s="1465"/>
      <c r="Q14" s="4870"/>
      <c r="R14" s="4870"/>
    </row>
    <row r="15" spans="1:18" x14ac:dyDescent="0.25">
      <c r="A15" s="4917" t="s">
        <v>992</v>
      </c>
      <c r="B15" s="4918">
        <v>1</v>
      </c>
      <c r="C15" s="4918">
        <v>15</v>
      </c>
      <c r="D15" s="4867"/>
      <c r="E15" s="4917" t="s">
        <v>926</v>
      </c>
      <c r="F15" s="4918">
        <v>809</v>
      </c>
      <c r="G15" s="4918">
        <v>4121</v>
      </c>
      <c r="H15" s="1465"/>
      <c r="I15" s="6518"/>
      <c r="J15" s="6519"/>
      <c r="K15" s="6520"/>
      <c r="L15" s="6521"/>
      <c r="M15" s="1465"/>
      <c r="N15" s="1465"/>
      <c r="O15" s="1465"/>
      <c r="Q15" s="4870"/>
      <c r="R15" s="4870"/>
    </row>
    <row r="16" spans="1:18" x14ac:dyDescent="0.25">
      <c r="A16" s="4917" t="s">
        <v>1563</v>
      </c>
      <c r="B16" s="4918">
        <v>1</v>
      </c>
      <c r="C16" s="4918">
        <v>36</v>
      </c>
      <c r="D16" s="4867"/>
      <c r="E16" s="4917" t="s">
        <v>915</v>
      </c>
      <c r="F16" s="4918">
        <v>1046</v>
      </c>
      <c r="G16" s="4918">
        <v>7522</v>
      </c>
      <c r="H16" s="1465"/>
      <c r="M16" s="1465"/>
      <c r="N16" s="1465"/>
      <c r="O16" s="1465"/>
      <c r="Q16" s="4870"/>
      <c r="R16" s="4870"/>
    </row>
    <row r="17" spans="1:18" x14ac:dyDescent="0.25">
      <c r="A17" s="4917" t="s">
        <v>1564</v>
      </c>
      <c r="B17" s="4918">
        <v>2</v>
      </c>
      <c r="C17" s="4918">
        <v>260</v>
      </c>
      <c r="D17" s="4867"/>
      <c r="E17" s="4917" t="s">
        <v>922</v>
      </c>
      <c r="F17" s="4918">
        <v>1036</v>
      </c>
      <c r="G17" s="4918">
        <v>15964</v>
      </c>
      <c r="H17" s="1465"/>
      <c r="J17" s="4921" t="s">
        <v>12</v>
      </c>
      <c r="K17" s="4923">
        <f>SUM(K6:K14)</f>
        <v>10966</v>
      </c>
      <c r="L17" s="4923">
        <v>18750</v>
      </c>
      <c r="M17" s="1465"/>
      <c r="N17" s="1465"/>
      <c r="O17" s="1465"/>
      <c r="Q17" s="4870"/>
      <c r="R17" s="4870"/>
    </row>
    <row r="18" spans="1:18" x14ac:dyDescent="0.25">
      <c r="A18" s="4917" t="s">
        <v>927</v>
      </c>
      <c r="B18" s="4918">
        <v>2</v>
      </c>
      <c r="C18" s="4918">
        <v>530</v>
      </c>
      <c r="D18" s="4867"/>
      <c r="E18" s="4917" t="s">
        <v>932</v>
      </c>
      <c r="F18" s="4918">
        <v>246</v>
      </c>
      <c r="G18" s="4918">
        <v>3291</v>
      </c>
      <c r="H18" s="1465"/>
      <c r="I18" s="1465"/>
      <c r="J18" s="1465"/>
      <c r="K18" s="1465"/>
      <c r="L18" s="1465"/>
      <c r="M18" s="1465"/>
      <c r="N18" s="1465"/>
      <c r="O18" s="1465"/>
      <c r="Q18" s="4870"/>
      <c r="R18" s="4870"/>
    </row>
    <row r="19" spans="1:18" x14ac:dyDescent="0.25">
      <c r="A19" s="4917" t="s">
        <v>1565</v>
      </c>
      <c r="B19" s="4918">
        <v>1</v>
      </c>
      <c r="C19" s="4918">
        <v>175</v>
      </c>
      <c r="D19" s="4867"/>
      <c r="E19" s="4917" t="s">
        <v>936</v>
      </c>
      <c r="F19" s="4918">
        <v>296379</v>
      </c>
      <c r="G19" s="4918">
        <v>296379</v>
      </c>
      <c r="H19" s="1465"/>
      <c r="I19" s="1465"/>
      <c r="J19" s="1465"/>
      <c r="K19" s="1465"/>
      <c r="L19" s="1465"/>
      <c r="M19" s="1465"/>
      <c r="N19" s="1465"/>
      <c r="O19" s="1465"/>
      <c r="Q19" s="4870"/>
      <c r="R19" s="4870"/>
    </row>
    <row r="20" spans="1:18" x14ac:dyDescent="0.25">
      <c r="A20" s="4917" t="s">
        <v>929</v>
      </c>
      <c r="B20" s="4918">
        <v>6</v>
      </c>
      <c r="C20" s="4918">
        <v>107</v>
      </c>
      <c r="D20" s="4867"/>
      <c r="E20" s="4917" t="s">
        <v>943</v>
      </c>
      <c r="F20" s="4918">
        <v>185</v>
      </c>
      <c r="G20" s="4918">
        <v>740</v>
      </c>
      <c r="H20" s="1465"/>
      <c r="I20" s="1465"/>
      <c r="J20" s="1465"/>
      <c r="K20" s="1465"/>
      <c r="L20" s="1465"/>
      <c r="M20" s="1465"/>
      <c r="N20" s="1465"/>
      <c r="O20" s="1465"/>
      <c r="Q20" s="4870"/>
      <c r="R20" s="4870"/>
    </row>
    <row r="21" spans="1:18" x14ac:dyDescent="0.25">
      <c r="A21" s="4917" t="s">
        <v>931</v>
      </c>
      <c r="B21" s="4918">
        <v>6</v>
      </c>
      <c r="C21" s="4918">
        <v>110</v>
      </c>
      <c r="D21" s="4867"/>
      <c r="E21" s="4917" t="s">
        <v>950</v>
      </c>
      <c r="F21" s="4918">
        <v>39</v>
      </c>
      <c r="G21" s="4918">
        <v>234</v>
      </c>
      <c r="H21" s="1465"/>
      <c r="I21" s="1465"/>
      <c r="J21" s="1465"/>
      <c r="K21" s="1465"/>
      <c r="L21" s="1465"/>
      <c r="M21" s="1465"/>
      <c r="N21" s="1465"/>
      <c r="O21" s="1465"/>
      <c r="Q21" s="4870"/>
      <c r="R21" s="4870"/>
    </row>
    <row r="22" spans="1:18" x14ac:dyDescent="0.25">
      <c r="A22" s="4917" t="s">
        <v>935</v>
      </c>
      <c r="B22" s="4918">
        <v>3</v>
      </c>
      <c r="C22" s="4918">
        <v>46</v>
      </c>
      <c r="D22" s="4867"/>
      <c r="E22" s="4917" t="s">
        <v>952</v>
      </c>
      <c r="F22" s="4918">
        <v>63</v>
      </c>
      <c r="G22" s="4918">
        <v>1260</v>
      </c>
      <c r="H22" s="1465"/>
      <c r="I22" s="1465"/>
      <c r="J22" s="1465"/>
      <c r="K22" s="1465"/>
      <c r="L22" s="1465"/>
      <c r="M22" s="1465"/>
      <c r="N22" s="1465"/>
      <c r="O22" s="1465"/>
      <c r="Q22" s="4870"/>
      <c r="R22" s="4870"/>
    </row>
    <row r="23" spans="1:18" x14ac:dyDescent="0.25">
      <c r="A23" s="4917" t="s">
        <v>939</v>
      </c>
      <c r="B23" s="4918">
        <v>7</v>
      </c>
      <c r="C23" s="4918">
        <v>108</v>
      </c>
      <c r="D23" s="4867"/>
      <c r="E23" s="4917" t="s">
        <v>953</v>
      </c>
      <c r="F23" s="4918">
        <v>2265</v>
      </c>
      <c r="G23" s="4918">
        <v>2265</v>
      </c>
      <c r="H23" s="1465"/>
      <c r="I23" s="1465"/>
      <c r="J23" s="1465"/>
      <c r="K23" s="1465"/>
      <c r="L23" s="1465"/>
      <c r="M23" s="1465"/>
      <c r="N23" s="1465"/>
      <c r="O23" s="1465"/>
      <c r="Q23" s="4870"/>
      <c r="R23" s="4870"/>
    </row>
    <row r="24" spans="1:18" ht="25.5" x14ac:dyDescent="0.25">
      <c r="A24" s="4920" t="s">
        <v>942</v>
      </c>
      <c r="B24" s="4918">
        <v>4</v>
      </c>
      <c r="C24" s="4918">
        <v>348</v>
      </c>
      <c r="D24" s="4867"/>
      <c r="E24" s="4920" t="s">
        <v>955</v>
      </c>
      <c r="F24" s="4918">
        <v>55700</v>
      </c>
      <c r="G24" s="4918">
        <v>55700</v>
      </c>
      <c r="H24" s="1465"/>
      <c r="I24" s="1465"/>
      <c r="J24" s="1465"/>
      <c r="K24" s="1465"/>
      <c r="L24" s="1465"/>
      <c r="M24" s="1465"/>
      <c r="N24" s="1465"/>
      <c r="O24" s="1465"/>
      <c r="Q24" s="4870"/>
      <c r="R24" s="4870"/>
    </row>
    <row r="25" spans="1:18" x14ac:dyDescent="0.25">
      <c r="A25" s="4917" t="s">
        <v>945</v>
      </c>
      <c r="B25" s="4918">
        <v>8</v>
      </c>
      <c r="C25" s="4918">
        <v>125</v>
      </c>
      <c r="D25" s="4867"/>
      <c r="E25" s="4917" t="s">
        <v>956</v>
      </c>
      <c r="F25" s="4918">
        <v>1821</v>
      </c>
      <c r="G25" s="4918">
        <v>1821</v>
      </c>
      <c r="H25" s="1465"/>
      <c r="I25" s="1465"/>
      <c r="J25" s="1465"/>
      <c r="K25" s="1465"/>
      <c r="L25" s="1465"/>
      <c r="M25" s="1465"/>
      <c r="N25" s="1465"/>
      <c r="O25" s="1465"/>
      <c r="Q25" s="4870"/>
      <c r="R25" s="4870"/>
    </row>
    <row r="26" spans="1:18" x14ac:dyDescent="0.25">
      <c r="A26" s="4913" t="s">
        <v>949</v>
      </c>
      <c r="B26" s="4918">
        <v>6</v>
      </c>
      <c r="C26" s="4918">
        <v>120</v>
      </c>
      <c r="D26" s="4867"/>
      <c r="E26" s="4917" t="s">
        <v>957</v>
      </c>
      <c r="F26" s="4918">
        <v>16238</v>
      </c>
      <c r="G26" s="4918">
        <v>16238</v>
      </c>
      <c r="H26" s="1465"/>
      <c r="I26" s="1465"/>
      <c r="J26" s="1465"/>
      <c r="K26" s="1465"/>
      <c r="L26" s="1465"/>
      <c r="M26" s="1465"/>
      <c r="N26" s="1465"/>
      <c r="O26" s="1465"/>
      <c r="Q26" s="4870"/>
      <c r="R26" s="4870"/>
    </row>
    <row r="27" spans="1:18" x14ac:dyDescent="0.25">
      <c r="A27" s="4913" t="s">
        <v>951</v>
      </c>
      <c r="B27" s="4918">
        <v>7</v>
      </c>
      <c r="C27" s="4918">
        <v>308</v>
      </c>
      <c r="D27" s="4867"/>
      <c r="E27" s="4917" t="s">
        <v>931</v>
      </c>
      <c r="F27" s="4918">
        <v>5792</v>
      </c>
      <c r="G27" s="4918">
        <v>11596</v>
      </c>
      <c r="H27" s="1465"/>
      <c r="I27" s="1465"/>
      <c r="J27" s="1465"/>
      <c r="K27" s="1465"/>
      <c r="L27" s="1465"/>
      <c r="M27" s="1465"/>
      <c r="N27" s="1465"/>
      <c r="O27" s="1465"/>
      <c r="Q27" s="4870"/>
      <c r="R27" s="4870"/>
    </row>
    <row r="28" spans="1:18" x14ac:dyDescent="0.25">
      <c r="A28" s="4919" t="s">
        <v>1042</v>
      </c>
      <c r="B28" s="4919">
        <v>2</v>
      </c>
      <c r="C28" s="4919">
        <v>41</v>
      </c>
      <c r="D28" s="4867"/>
      <c r="E28" s="4917" t="s">
        <v>958</v>
      </c>
      <c r="F28" s="4918">
        <v>106</v>
      </c>
      <c r="G28" s="4918">
        <v>1630</v>
      </c>
      <c r="H28" s="1465"/>
      <c r="I28" s="1465"/>
      <c r="J28" s="1465"/>
      <c r="K28" s="1465"/>
      <c r="L28" s="1465"/>
      <c r="M28" s="1465"/>
      <c r="N28" s="1465"/>
      <c r="O28" s="1465"/>
      <c r="Q28" s="4870"/>
      <c r="R28" s="4870"/>
    </row>
    <row r="29" spans="1:18" x14ac:dyDescent="0.25">
      <c r="A29" s="4921" t="s">
        <v>12</v>
      </c>
      <c r="B29" s="4922">
        <f>SUM(B7:B27)</f>
        <v>124</v>
      </c>
      <c r="C29" s="4923">
        <f>SUM(C7:C27)</f>
        <v>13493</v>
      </c>
      <c r="D29" s="4867"/>
      <c r="E29" s="4912" t="s">
        <v>935</v>
      </c>
      <c r="F29" s="4913">
        <v>825</v>
      </c>
      <c r="G29" s="4914">
        <v>1650</v>
      </c>
      <c r="H29" s="1465"/>
      <c r="I29" s="1465"/>
      <c r="J29" s="1465"/>
      <c r="K29" s="1465"/>
      <c r="L29" s="1465"/>
      <c r="M29" s="1465"/>
      <c r="N29" s="1465"/>
      <c r="O29" s="1465"/>
      <c r="Q29" s="4870"/>
      <c r="R29" s="4870"/>
    </row>
    <row r="30" spans="1:18" x14ac:dyDescent="0.25">
      <c r="A30" s="6509" t="s">
        <v>954</v>
      </c>
      <c r="B30" s="6509"/>
      <c r="C30" s="6509"/>
      <c r="D30" s="4867"/>
      <c r="E30" s="4917" t="s">
        <v>939</v>
      </c>
      <c r="F30" s="4918">
        <v>3758</v>
      </c>
      <c r="G30" s="4918">
        <v>13976</v>
      </c>
      <c r="H30" s="1465"/>
      <c r="I30" s="1465"/>
      <c r="J30" s="1465"/>
      <c r="K30" s="1465"/>
      <c r="L30" s="1465"/>
      <c r="M30" s="1465"/>
      <c r="N30" s="1465"/>
      <c r="O30" s="1465"/>
      <c r="Q30" s="4870"/>
      <c r="R30" s="4870"/>
    </row>
    <row r="31" spans="1:18" x14ac:dyDescent="0.25">
      <c r="A31" s="6510"/>
      <c r="B31" s="6510"/>
      <c r="C31" s="6510"/>
      <c r="D31" s="4867"/>
      <c r="E31" s="4917" t="s">
        <v>960</v>
      </c>
      <c r="F31" s="4918">
        <v>100</v>
      </c>
      <c r="G31" s="4918">
        <v>400</v>
      </c>
      <c r="H31" s="1465"/>
      <c r="I31" s="1465"/>
      <c r="J31" s="1465"/>
      <c r="K31" s="1465"/>
      <c r="L31" s="1465"/>
      <c r="M31" s="1465"/>
      <c r="N31" s="1465"/>
      <c r="O31" s="1465"/>
      <c r="Q31" s="4870"/>
      <c r="R31" s="4870"/>
    </row>
    <row r="32" spans="1:18" x14ac:dyDescent="0.25">
      <c r="A32" s="4867"/>
      <c r="B32" s="3168"/>
      <c r="C32" s="3168"/>
      <c r="D32" s="4867"/>
      <c r="E32" s="4917" t="s">
        <v>951</v>
      </c>
      <c r="F32" s="4918">
        <v>589</v>
      </c>
      <c r="G32" s="4918">
        <v>6099</v>
      </c>
      <c r="H32" s="1465"/>
      <c r="I32" s="1465"/>
      <c r="J32" s="1465"/>
      <c r="K32" s="1465"/>
      <c r="L32" s="1465"/>
      <c r="M32" s="1465"/>
      <c r="N32" s="1465"/>
      <c r="O32" s="1465"/>
      <c r="Q32" s="4870"/>
      <c r="R32" s="4870"/>
    </row>
    <row r="33" spans="1:18" x14ac:dyDescent="0.25">
      <c r="A33" s="4867"/>
      <c r="B33" s="3168"/>
      <c r="C33" s="3168"/>
      <c r="D33" s="4867"/>
      <c r="E33" s="4917" t="s">
        <v>1012</v>
      </c>
      <c r="F33" s="4918">
        <v>5400</v>
      </c>
      <c r="G33" s="4918">
        <v>5400</v>
      </c>
      <c r="H33" s="1465"/>
      <c r="I33" s="1465"/>
      <c r="J33" s="1465"/>
      <c r="K33" s="1465"/>
      <c r="L33" s="1465"/>
      <c r="M33" s="1465"/>
      <c r="N33" s="1465"/>
      <c r="O33" s="1465"/>
      <c r="Q33" s="4870"/>
      <c r="R33" s="4870"/>
    </row>
    <row r="34" spans="1:18" x14ac:dyDescent="0.25">
      <c r="A34" s="4867"/>
      <c r="B34" s="3168"/>
      <c r="C34" s="3168"/>
      <c r="D34" s="4867"/>
      <c r="E34" s="4917" t="s">
        <v>1013</v>
      </c>
      <c r="F34" s="4918">
        <v>9000</v>
      </c>
      <c r="G34" s="4918">
        <v>9000</v>
      </c>
      <c r="H34" s="1465"/>
      <c r="I34" s="1465"/>
      <c r="J34" s="1465"/>
      <c r="K34" s="1465"/>
      <c r="L34" s="1465"/>
      <c r="M34" s="1465"/>
      <c r="N34" s="1465"/>
      <c r="O34" s="1465"/>
      <c r="Q34" s="4870"/>
      <c r="R34" s="4870"/>
    </row>
    <row r="35" spans="1:18" x14ac:dyDescent="0.25">
      <c r="A35" s="4867"/>
      <c r="B35" s="3168"/>
      <c r="C35" s="3168"/>
      <c r="D35" s="4867"/>
      <c r="E35" s="4921" t="s">
        <v>12</v>
      </c>
      <c r="F35" s="4922">
        <f>SUM(F7:F34)</f>
        <v>440904</v>
      </c>
      <c r="G35" s="4923">
        <f>SUM(G7:G34)</f>
        <v>546607</v>
      </c>
      <c r="H35" s="1465"/>
      <c r="I35" s="1465"/>
      <c r="J35" s="1465"/>
      <c r="K35" s="1465"/>
      <c r="L35" s="1465"/>
      <c r="M35" s="1465"/>
      <c r="N35" s="1465"/>
      <c r="O35" s="1465"/>
      <c r="Q35" s="4870"/>
      <c r="R35" s="4870"/>
    </row>
    <row r="36" spans="1:18" x14ac:dyDescent="0.25">
      <c r="A36" s="4867"/>
      <c r="B36" s="3168"/>
      <c r="C36" s="3168"/>
      <c r="D36" s="4867"/>
      <c r="E36" s="4867"/>
      <c r="F36" s="4867"/>
      <c r="G36" s="4867"/>
      <c r="H36" s="1465"/>
      <c r="I36" s="1465"/>
      <c r="J36" s="1465"/>
      <c r="K36" s="1465"/>
      <c r="L36" s="1465"/>
      <c r="M36" s="1465"/>
      <c r="N36" s="1465"/>
      <c r="O36" s="1465"/>
      <c r="Q36" s="4870"/>
      <c r="R36" s="4870"/>
    </row>
    <row r="37" spans="1:18" x14ac:dyDescent="0.25">
      <c r="A37" s="4870"/>
      <c r="B37" s="4870"/>
      <c r="C37" s="4870"/>
      <c r="D37" s="4870"/>
      <c r="E37" s="4870"/>
      <c r="F37" s="4870"/>
      <c r="G37" s="4870"/>
      <c r="H37" s="3093"/>
      <c r="I37" s="3093"/>
      <c r="J37" s="3093"/>
      <c r="K37" s="3093"/>
      <c r="L37" s="3093"/>
      <c r="M37" s="3093"/>
      <c r="N37" s="3093"/>
      <c r="O37" s="3093"/>
    </row>
    <row r="38" spans="1:18" x14ac:dyDescent="0.25">
      <c r="A38" s="6401" t="s">
        <v>896</v>
      </c>
      <c r="B38" s="6402"/>
      <c r="C38" s="6403"/>
      <c r="D38" s="4867"/>
      <c r="E38" s="6401" t="s">
        <v>1106</v>
      </c>
      <c r="F38" s="6402"/>
      <c r="G38" s="6403"/>
      <c r="H38" s="3296"/>
      <c r="I38" s="6404" t="s">
        <v>1107</v>
      </c>
      <c r="J38" s="6405"/>
      <c r="K38" s="6405"/>
      <c r="L38" s="6406"/>
      <c r="M38" s="3288"/>
      <c r="N38" s="3288"/>
      <c r="O38" s="3288"/>
      <c r="P38" s="3157"/>
      <c r="Q38" s="3157"/>
      <c r="R38" s="3291"/>
    </row>
    <row r="39" spans="1:18" x14ac:dyDescent="0.25">
      <c r="A39" s="6407" t="s">
        <v>1114</v>
      </c>
      <c r="B39" s="6408"/>
      <c r="C39" s="6409"/>
      <c r="D39" s="4867"/>
      <c r="E39" s="6407" t="s">
        <v>897</v>
      </c>
      <c r="F39" s="6408"/>
      <c r="G39" s="6409"/>
      <c r="H39" s="3296"/>
      <c r="I39" s="6410" t="s">
        <v>595</v>
      </c>
      <c r="J39" s="6410" t="s">
        <v>898</v>
      </c>
      <c r="K39" s="6412" t="s">
        <v>899</v>
      </c>
      <c r="L39" s="6413"/>
      <c r="M39" s="3288"/>
      <c r="N39" s="3288"/>
      <c r="O39" s="3288"/>
      <c r="P39" s="3288"/>
      <c r="Q39" s="3288"/>
    </row>
    <row r="40" spans="1:18" ht="15" customHeight="1" x14ac:dyDescent="0.25">
      <c r="A40" s="6414" t="s">
        <v>900</v>
      </c>
      <c r="B40" s="6415" t="s">
        <v>901</v>
      </c>
      <c r="C40" s="6415" t="s">
        <v>902</v>
      </c>
      <c r="D40" s="4867"/>
      <c r="E40" s="6414" t="s">
        <v>595</v>
      </c>
      <c r="F40" s="6415" t="s">
        <v>903</v>
      </c>
      <c r="G40" s="6415" t="s">
        <v>904</v>
      </c>
      <c r="H40" s="3266"/>
      <c r="I40" s="6411"/>
      <c r="J40" s="6411"/>
      <c r="K40" s="3265" t="s">
        <v>766</v>
      </c>
      <c r="L40" s="3290" t="s">
        <v>767</v>
      </c>
      <c r="M40" s="3288"/>
      <c r="N40" s="3288"/>
      <c r="O40" s="3288"/>
      <c r="P40" s="3288"/>
      <c r="Q40" s="3288"/>
    </row>
    <row r="41" spans="1:18" x14ac:dyDescent="0.25">
      <c r="A41" s="6411"/>
      <c r="B41" s="6416"/>
      <c r="C41" s="6416"/>
      <c r="D41" s="4867"/>
      <c r="E41" s="6411"/>
      <c r="F41" s="6416"/>
      <c r="G41" s="6416"/>
      <c r="H41" s="3264"/>
      <c r="I41" s="3263"/>
      <c r="J41" s="3263"/>
      <c r="K41" s="3263"/>
      <c r="L41" s="3289"/>
      <c r="M41" s="3288"/>
      <c r="N41" s="3288"/>
      <c r="O41" s="3288"/>
      <c r="P41" s="3288"/>
      <c r="Q41" s="3288"/>
    </row>
    <row r="42" spans="1:18" x14ac:dyDescent="0.25">
      <c r="A42" s="3243" t="s">
        <v>905</v>
      </c>
      <c r="B42" s="3238">
        <f>2+2+1+4</f>
        <v>9</v>
      </c>
      <c r="C42" s="3262">
        <f>40+36+20+82</f>
        <v>178</v>
      </c>
      <c r="D42" s="4867"/>
      <c r="E42" s="3227" t="s">
        <v>906</v>
      </c>
      <c r="F42" s="3227">
        <v>85</v>
      </c>
      <c r="G42" s="3261">
        <v>1700</v>
      </c>
      <c r="H42" s="3296"/>
      <c r="I42" s="3263" t="s">
        <v>832</v>
      </c>
      <c r="J42" s="6448" t="s">
        <v>907</v>
      </c>
      <c r="K42" s="6451">
        <v>1876</v>
      </c>
      <c r="L42" s="6437">
        <v>2755</v>
      </c>
      <c r="M42" s="3288"/>
      <c r="N42" s="3288"/>
      <c r="O42" s="3288"/>
      <c r="P42" s="3288"/>
      <c r="Q42" s="3288"/>
    </row>
    <row r="43" spans="1:18" ht="15" customHeight="1" x14ac:dyDescent="0.25">
      <c r="A43" s="3260" t="s">
        <v>908</v>
      </c>
      <c r="B43" s="4868">
        <f>0+1+3+0+4</f>
        <v>8</v>
      </c>
      <c r="C43" s="4868">
        <f>0+18+145+0+308</f>
        <v>471</v>
      </c>
      <c r="D43" s="4867"/>
      <c r="E43" s="3260" t="s">
        <v>909</v>
      </c>
      <c r="F43" s="4868">
        <f>4213+212+280+2034</f>
        <v>6739</v>
      </c>
      <c r="G43" s="4868">
        <f>42130+2120+1120+20340</f>
        <v>65710</v>
      </c>
      <c r="H43" s="3296"/>
      <c r="I43" s="6448" t="s">
        <v>910</v>
      </c>
      <c r="J43" s="6449"/>
      <c r="K43" s="6452"/>
      <c r="L43" s="6438"/>
      <c r="M43" s="3288"/>
      <c r="N43" s="3288"/>
      <c r="O43" s="3288"/>
      <c r="P43" s="3288"/>
      <c r="Q43" s="3288"/>
    </row>
    <row r="44" spans="1:18" x14ac:dyDescent="0.25">
      <c r="A44" s="3260" t="s">
        <v>911</v>
      </c>
      <c r="B44" s="4868">
        <v>2</v>
      </c>
      <c r="C44" s="4868">
        <v>34</v>
      </c>
      <c r="D44" s="4867"/>
      <c r="E44" s="3260" t="s">
        <v>912</v>
      </c>
      <c r="F44" s="4868">
        <v>60</v>
      </c>
      <c r="G44" s="4868">
        <v>60</v>
      </c>
      <c r="H44" s="3296"/>
      <c r="I44" s="6449"/>
      <c r="J44" s="6449"/>
      <c r="K44" s="6452"/>
      <c r="L44" s="6438"/>
      <c r="M44" s="3288"/>
      <c r="N44" s="3288"/>
      <c r="O44" s="3288"/>
      <c r="P44" s="3288"/>
      <c r="Q44" s="3288"/>
    </row>
    <row r="45" spans="1:18" x14ac:dyDescent="0.25">
      <c r="A45" s="3260" t="s">
        <v>913</v>
      </c>
      <c r="B45" s="3282">
        <v>3</v>
      </c>
      <c r="C45" s="3282">
        <v>16</v>
      </c>
      <c r="D45" s="3296"/>
      <c r="E45" s="3260" t="s">
        <v>914</v>
      </c>
      <c r="F45" s="3282">
        <v>21</v>
      </c>
      <c r="G45" s="3282">
        <v>252</v>
      </c>
      <c r="H45" s="3296"/>
      <c r="I45" s="6450"/>
      <c r="J45" s="6450"/>
      <c r="K45" s="6453"/>
      <c r="L45" s="6439"/>
      <c r="M45" s="3288"/>
      <c r="N45" s="3288"/>
      <c r="O45" s="3288"/>
      <c r="P45" s="3288"/>
      <c r="Q45" s="3288"/>
    </row>
    <row r="46" spans="1:18" x14ac:dyDescent="0.25">
      <c r="A46" s="3260" t="s">
        <v>915</v>
      </c>
      <c r="B46" s="3282">
        <f>6+2+4+2+8</f>
        <v>22</v>
      </c>
      <c r="C46" s="3282">
        <f>2880+516+1550+210+1812</f>
        <v>6968</v>
      </c>
      <c r="D46" s="3296"/>
      <c r="E46" s="3260" t="s">
        <v>916</v>
      </c>
      <c r="F46" s="3282">
        <v>10</v>
      </c>
      <c r="G46" s="3282">
        <v>150</v>
      </c>
      <c r="H46" s="3296"/>
      <c r="I46" s="3259" t="s">
        <v>917</v>
      </c>
      <c r="J46" s="6440" t="s">
        <v>918</v>
      </c>
      <c r="K46" s="6423">
        <v>1009</v>
      </c>
      <c r="L46" s="6443">
        <v>2480</v>
      </c>
      <c r="M46" s="3288"/>
      <c r="N46" s="3288"/>
      <c r="O46" s="3288"/>
      <c r="P46" s="3288"/>
      <c r="Q46" s="3288"/>
    </row>
    <row r="47" spans="1:18" x14ac:dyDescent="0.25">
      <c r="A47" s="3260" t="s">
        <v>919</v>
      </c>
      <c r="B47" s="3282">
        <f>1+3+3</f>
        <v>7</v>
      </c>
      <c r="C47" s="3282">
        <f>192+314+576</f>
        <v>1082</v>
      </c>
      <c r="D47" s="3296"/>
      <c r="E47" s="3260" t="s">
        <v>920</v>
      </c>
      <c r="F47" s="3282">
        <v>2</v>
      </c>
      <c r="G47" s="3282">
        <v>50</v>
      </c>
      <c r="H47" s="3296"/>
      <c r="I47" s="6417" t="s">
        <v>921</v>
      </c>
      <c r="J47" s="6441"/>
      <c r="K47" s="6424"/>
      <c r="L47" s="6444"/>
      <c r="M47" s="3288"/>
      <c r="N47" s="3288"/>
      <c r="O47" s="3288"/>
      <c r="P47" s="3288"/>
      <c r="Q47" s="3288"/>
    </row>
    <row r="48" spans="1:18" x14ac:dyDescent="0.25">
      <c r="A48" s="3260" t="s">
        <v>922</v>
      </c>
      <c r="B48" s="3282">
        <f>2+4+4</f>
        <v>10</v>
      </c>
      <c r="C48" s="3282">
        <f>210+1230+1576</f>
        <v>3016</v>
      </c>
      <c r="D48" s="3296"/>
      <c r="E48" s="3260" t="s">
        <v>913</v>
      </c>
      <c r="F48" s="3282">
        <v>388</v>
      </c>
      <c r="G48" s="3282">
        <v>1552</v>
      </c>
      <c r="H48" s="3296"/>
      <c r="I48" s="6418"/>
      <c r="J48" s="6441"/>
      <c r="K48" s="6424"/>
      <c r="L48" s="6444"/>
      <c r="M48" s="3288"/>
      <c r="N48" s="3288"/>
      <c r="O48" s="3288"/>
      <c r="P48" s="3288"/>
      <c r="Q48" s="3288"/>
    </row>
    <row r="49" spans="1:17" x14ac:dyDescent="0.25">
      <c r="A49" s="3260" t="s">
        <v>923</v>
      </c>
      <c r="B49" s="3282">
        <f>3+1</f>
        <v>4</v>
      </c>
      <c r="C49" s="3282">
        <f>69+25</f>
        <v>94</v>
      </c>
      <c r="D49" s="3296"/>
      <c r="E49" s="3260" t="s">
        <v>924</v>
      </c>
      <c r="F49" s="3282">
        <f>3599+2290</f>
        <v>5889</v>
      </c>
      <c r="G49" s="3282">
        <f>3599+2290</f>
        <v>5889</v>
      </c>
      <c r="H49" s="3296"/>
      <c r="I49" s="6418"/>
      <c r="J49" s="6441"/>
      <c r="K49" s="6424"/>
      <c r="L49" s="6444"/>
      <c r="M49" s="3288"/>
      <c r="N49" s="3288"/>
      <c r="O49" s="3288"/>
      <c r="P49" s="3288"/>
      <c r="Q49" s="3288"/>
    </row>
    <row r="50" spans="1:17" x14ac:dyDescent="0.25">
      <c r="A50" s="3260" t="s">
        <v>925</v>
      </c>
      <c r="B50" s="3282">
        <v>1</v>
      </c>
      <c r="C50" s="3282">
        <v>310</v>
      </c>
      <c r="D50" s="3296"/>
      <c r="E50" s="3260" t="s">
        <v>926</v>
      </c>
      <c r="F50" s="3282">
        <v>1142</v>
      </c>
      <c r="G50" s="3282">
        <v>22840</v>
      </c>
      <c r="H50" s="3296"/>
      <c r="I50" s="6419"/>
      <c r="J50" s="6442"/>
      <c r="K50" s="6425"/>
      <c r="L50" s="6445"/>
      <c r="M50" s="3288"/>
      <c r="N50" s="3288"/>
      <c r="O50" s="3288"/>
      <c r="P50" s="3288"/>
      <c r="Q50" s="3288"/>
    </row>
    <row r="51" spans="1:17" x14ac:dyDescent="0.25">
      <c r="A51" s="3260" t="s">
        <v>927</v>
      </c>
      <c r="B51" s="3282">
        <v>1</v>
      </c>
      <c r="C51" s="3282">
        <v>248</v>
      </c>
      <c r="D51" s="3296"/>
      <c r="E51" s="3260" t="s">
        <v>915</v>
      </c>
      <c r="F51" s="3282">
        <f>535+230</f>
        <v>765</v>
      </c>
      <c r="G51" s="3282">
        <f>5295+1380</f>
        <v>6675</v>
      </c>
      <c r="H51" s="3296"/>
      <c r="I51" s="6426" t="s">
        <v>599</v>
      </c>
      <c r="J51" s="3242" t="s">
        <v>928</v>
      </c>
      <c r="K51" s="3237"/>
      <c r="L51" s="3277"/>
      <c r="M51" s="3288"/>
      <c r="N51" s="3288"/>
      <c r="O51" s="3288"/>
      <c r="P51" s="3288"/>
      <c r="Q51" s="3288"/>
    </row>
    <row r="52" spans="1:17" x14ac:dyDescent="0.25">
      <c r="A52" s="3260" t="s">
        <v>929</v>
      </c>
      <c r="B52" s="3282">
        <v>6</v>
      </c>
      <c r="C52" s="3282">
        <v>130</v>
      </c>
      <c r="D52" s="3296"/>
      <c r="E52" s="3260" t="s">
        <v>922</v>
      </c>
      <c r="F52" s="3282">
        <f>1213+680</f>
        <v>1893</v>
      </c>
      <c r="G52" s="3282">
        <f>24706+14960</f>
        <v>39666</v>
      </c>
      <c r="H52" s="3296"/>
      <c r="I52" s="6427"/>
      <c r="J52" s="3242" t="s">
        <v>930</v>
      </c>
      <c r="K52" s="3237"/>
      <c r="L52" s="3277"/>
      <c r="M52" s="3288"/>
      <c r="N52" s="3288"/>
      <c r="O52" s="3288"/>
      <c r="P52" s="3288"/>
      <c r="Q52" s="3288"/>
    </row>
    <row r="53" spans="1:17" x14ac:dyDescent="0.25">
      <c r="A53" s="3260" t="s">
        <v>931</v>
      </c>
      <c r="B53" s="3282">
        <v>4</v>
      </c>
      <c r="C53" s="3282">
        <v>70</v>
      </c>
      <c r="D53" s="3296"/>
      <c r="E53" s="3260" t="s">
        <v>932</v>
      </c>
      <c r="F53" s="3282">
        <f>80+161</f>
        <v>241</v>
      </c>
      <c r="G53" s="3282">
        <f>600+2415</f>
        <v>3015</v>
      </c>
      <c r="H53" s="3296"/>
      <c r="I53" s="3260" t="s">
        <v>933</v>
      </c>
      <c r="J53" s="3242" t="s">
        <v>934</v>
      </c>
      <c r="K53" s="3237">
        <v>4332</v>
      </c>
      <c r="L53" s="3277">
        <v>7350</v>
      </c>
      <c r="M53" s="3288"/>
      <c r="N53" s="3288"/>
      <c r="O53" s="3288"/>
      <c r="P53" s="3288"/>
      <c r="Q53" s="3288"/>
    </row>
    <row r="54" spans="1:17" x14ac:dyDescent="0.25">
      <c r="A54" s="3260" t="s">
        <v>935</v>
      </c>
      <c r="B54" s="3282">
        <v>2</v>
      </c>
      <c r="C54" s="3282">
        <v>26</v>
      </c>
      <c r="D54" s="3296"/>
      <c r="E54" s="3260" t="s">
        <v>936</v>
      </c>
      <c r="F54" s="3282">
        <f>3955+142285+163300</f>
        <v>309540</v>
      </c>
      <c r="G54" s="3282">
        <f>3955+142285+163300</f>
        <v>309540</v>
      </c>
      <c r="H54" s="3296"/>
      <c r="I54" s="6523" t="s">
        <v>937</v>
      </c>
      <c r="J54" s="3242" t="s">
        <v>938</v>
      </c>
      <c r="K54" s="3237">
        <v>4975</v>
      </c>
      <c r="L54" s="3277">
        <v>7350</v>
      </c>
      <c r="M54" s="3288"/>
      <c r="N54" s="3288"/>
      <c r="O54" s="3288"/>
      <c r="P54" s="3288"/>
      <c r="Q54" s="3288"/>
    </row>
    <row r="55" spans="1:17" x14ac:dyDescent="0.25">
      <c r="A55" s="3260" t="s">
        <v>939</v>
      </c>
      <c r="B55" s="3282">
        <f>1+2+6</f>
        <v>9</v>
      </c>
      <c r="C55" s="3282">
        <f>40+40+92</f>
        <v>172</v>
      </c>
      <c r="D55" s="3296"/>
      <c r="E55" s="3260" t="s">
        <v>940</v>
      </c>
      <c r="F55" s="3282">
        <v>8</v>
      </c>
      <c r="G55" s="3282">
        <v>96</v>
      </c>
      <c r="H55" s="3296"/>
      <c r="I55" s="6517"/>
      <c r="J55" s="3242" t="s">
        <v>941</v>
      </c>
      <c r="K55" s="3237"/>
      <c r="L55" s="3277"/>
      <c r="M55" s="3288"/>
      <c r="N55" s="3288"/>
      <c r="O55" s="3288"/>
      <c r="P55" s="3288"/>
      <c r="Q55" s="3288"/>
    </row>
    <row r="56" spans="1:17" ht="25.5" x14ac:dyDescent="0.25">
      <c r="A56" s="3171" t="s">
        <v>942</v>
      </c>
      <c r="B56" s="3282">
        <v>2</v>
      </c>
      <c r="C56" s="3282">
        <v>128</v>
      </c>
      <c r="D56" s="3296"/>
      <c r="E56" s="3260" t="s">
        <v>943</v>
      </c>
      <c r="F56" s="3282">
        <f>251+556</f>
        <v>807</v>
      </c>
      <c r="G56" s="3282">
        <f>1004+2224</f>
        <v>3228</v>
      </c>
      <c r="H56" s="3296"/>
      <c r="I56" s="3259" t="s">
        <v>944</v>
      </c>
      <c r="J56" s="3242"/>
      <c r="K56" s="3237"/>
      <c r="L56" s="3277"/>
      <c r="M56" s="3288"/>
      <c r="N56" s="3288"/>
      <c r="O56" s="3288"/>
      <c r="P56" s="3288"/>
      <c r="Q56" s="3288"/>
    </row>
    <row r="57" spans="1:17" x14ac:dyDescent="0.25">
      <c r="A57" s="3260" t="s">
        <v>945</v>
      </c>
      <c r="B57" s="3282">
        <v>7</v>
      </c>
      <c r="C57" s="3282">
        <v>52</v>
      </c>
      <c r="D57" s="3296"/>
      <c r="E57" s="3260" t="s">
        <v>946</v>
      </c>
      <c r="F57" s="3282">
        <v>1</v>
      </c>
      <c r="G57" s="3282">
        <v>35</v>
      </c>
      <c r="H57" s="3296"/>
      <c r="I57" s="6417" t="s">
        <v>947</v>
      </c>
      <c r="J57" s="6420" t="s">
        <v>948</v>
      </c>
      <c r="K57" s="6423">
        <v>777</v>
      </c>
      <c r="L57" s="6443">
        <v>2300</v>
      </c>
      <c r="M57" s="3288"/>
      <c r="N57" s="3288"/>
      <c r="O57" s="3288"/>
      <c r="P57" s="3288"/>
      <c r="Q57" s="3288"/>
    </row>
    <row r="58" spans="1:17" x14ac:dyDescent="0.25">
      <c r="A58" s="3238" t="s">
        <v>949</v>
      </c>
      <c r="B58" s="3282">
        <v>6</v>
      </c>
      <c r="C58" s="3282">
        <v>100</v>
      </c>
      <c r="D58" s="3296"/>
      <c r="E58" s="3260" t="s">
        <v>950</v>
      </c>
      <c r="F58" s="3282">
        <v>40</v>
      </c>
      <c r="G58" s="3282">
        <v>240</v>
      </c>
      <c r="H58" s="3296"/>
      <c r="I58" s="6418"/>
      <c r="J58" s="6421"/>
      <c r="K58" s="6424"/>
      <c r="L58" s="6444"/>
      <c r="M58" s="3288"/>
      <c r="N58" s="3288"/>
      <c r="O58" s="3288"/>
      <c r="P58" s="3288"/>
      <c r="Q58" s="3288"/>
    </row>
    <row r="59" spans="1:17" x14ac:dyDescent="0.25">
      <c r="A59" s="3238" t="s">
        <v>951</v>
      </c>
      <c r="B59" s="3282">
        <f>1+7</f>
        <v>8</v>
      </c>
      <c r="C59" s="3282">
        <f>40+664</f>
        <v>704</v>
      </c>
      <c r="D59" s="3296"/>
      <c r="E59" s="3260" t="s">
        <v>952</v>
      </c>
      <c r="F59" s="3282">
        <v>66</v>
      </c>
      <c r="G59" s="3282">
        <v>1320</v>
      </c>
      <c r="H59" s="3296"/>
      <c r="I59" s="6419"/>
      <c r="J59" s="6422"/>
      <c r="K59" s="6425"/>
      <c r="L59" s="6445"/>
      <c r="M59" s="3288"/>
      <c r="N59" s="3288"/>
      <c r="O59" s="3288"/>
      <c r="P59" s="3288"/>
      <c r="Q59" s="3288"/>
    </row>
    <row r="60" spans="1:17" x14ac:dyDescent="0.25">
      <c r="A60" s="3245" t="s">
        <v>12</v>
      </c>
      <c r="B60" s="3170">
        <f>SUM(B42:B59)</f>
        <v>111</v>
      </c>
      <c r="C60" s="3170">
        <f>SUM(C42:C59)</f>
        <v>13799</v>
      </c>
      <c r="D60" s="3296"/>
      <c r="E60" s="3260" t="s">
        <v>953</v>
      </c>
      <c r="F60" s="3282">
        <v>4158</v>
      </c>
      <c r="G60" s="3282">
        <v>4158</v>
      </c>
      <c r="H60" s="3296"/>
      <c r="I60" s="6446" t="s">
        <v>12</v>
      </c>
      <c r="J60" s="6447"/>
      <c r="K60" s="3170">
        <f>SUM(K42:K59)</f>
        <v>12969</v>
      </c>
      <c r="L60" s="3170">
        <f>SUM(L42:L59)</f>
        <v>22235</v>
      </c>
      <c r="M60" s="3288"/>
      <c r="N60" s="3288"/>
      <c r="O60" s="3288"/>
      <c r="P60" s="3288"/>
      <c r="Q60" s="3288"/>
    </row>
    <row r="61" spans="1:17" ht="25.5" x14ac:dyDescent="0.25">
      <c r="A61" s="6511" t="s">
        <v>954</v>
      </c>
      <c r="B61" s="6511"/>
      <c r="C61" s="6511"/>
      <c r="D61" s="3296"/>
      <c r="E61" s="3171" t="s">
        <v>955</v>
      </c>
      <c r="F61" s="3282">
        <f>800+21300</f>
        <v>22100</v>
      </c>
      <c r="G61" s="3282">
        <f>800+21300</f>
        <v>22100</v>
      </c>
      <c r="H61" s="3296"/>
      <c r="I61" s="3296"/>
      <c r="J61" s="3296"/>
      <c r="K61" s="3296"/>
      <c r="L61" s="3296"/>
      <c r="M61" s="3288"/>
      <c r="N61" s="3288"/>
      <c r="O61" s="3288"/>
      <c r="P61" s="3288"/>
      <c r="Q61" s="3288"/>
    </row>
    <row r="62" spans="1:17" x14ac:dyDescent="0.25">
      <c r="A62" s="4925"/>
      <c r="B62" s="4924"/>
      <c r="C62" s="4924"/>
      <c r="D62" s="3296"/>
      <c r="E62" s="3260" t="s">
        <v>956</v>
      </c>
      <c r="F62" s="3282">
        <v>485</v>
      </c>
      <c r="G62" s="3282">
        <v>485</v>
      </c>
      <c r="H62" s="3296"/>
      <c r="I62" s="3296"/>
      <c r="J62" s="3296"/>
      <c r="K62" s="3296"/>
      <c r="L62" s="3296"/>
      <c r="M62" s="3288"/>
      <c r="N62" s="3288"/>
      <c r="O62" s="3288"/>
      <c r="P62" s="3288"/>
      <c r="Q62" s="3288"/>
    </row>
    <row r="63" spans="1:17" x14ac:dyDescent="0.25">
      <c r="A63" s="3296"/>
      <c r="B63" s="3168"/>
      <c r="C63" s="3168"/>
      <c r="D63" s="3296"/>
      <c r="E63" s="3260" t="s">
        <v>957</v>
      </c>
      <c r="F63" s="3282">
        <v>16380</v>
      </c>
      <c r="G63" s="3282">
        <v>16380</v>
      </c>
      <c r="H63" s="3296"/>
      <c r="I63" s="3296"/>
      <c r="J63" s="3296"/>
      <c r="K63" s="3296"/>
      <c r="L63" s="3296"/>
      <c r="M63" s="3288"/>
      <c r="N63" s="3288"/>
      <c r="O63" s="3288"/>
      <c r="P63" s="3288"/>
      <c r="Q63" s="3288"/>
    </row>
    <row r="64" spans="1:17" x14ac:dyDescent="0.25">
      <c r="A64" s="3296"/>
      <c r="B64" s="3168"/>
      <c r="C64" s="3168"/>
      <c r="D64" s="3296"/>
      <c r="E64" s="3260" t="s">
        <v>931</v>
      </c>
      <c r="F64" s="3282">
        <v>4039</v>
      </c>
      <c r="G64" s="3282">
        <v>8078</v>
      </c>
      <c r="H64" s="3296"/>
      <c r="I64" s="3296"/>
      <c r="J64" s="3296"/>
      <c r="K64" s="3296"/>
      <c r="L64" s="3296"/>
      <c r="M64" s="3288"/>
      <c r="N64" s="3288"/>
      <c r="O64" s="3288"/>
      <c r="P64" s="3288"/>
      <c r="Q64" s="3288"/>
    </row>
    <row r="65" spans="1:17" x14ac:dyDescent="0.25">
      <c r="A65" s="3296"/>
      <c r="B65" s="3168"/>
      <c r="C65" s="3168"/>
      <c r="D65" s="3296"/>
      <c r="E65" s="3260" t="s">
        <v>958</v>
      </c>
      <c r="F65" s="3282">
        <v>91</v>
      </c>
      <c r="G65" s="3282">
        <v>910</v>
      </c>
      <c r="H65" s="3296"/>
      <c r="I65" s="3296"/>
      <c r="J65" s="3296"/>
      <c r="K65" s="3296"/>
      <c r="L65" s="3296"/>
      <c r="M65" s="3288"/>
      <c r="N65" s="3288"/>
      <c r="O65" s="3288"/>
      <c r="P65" s="3288"/>
      <c r="Q65" s="3288"/>
    </row>
    <row r="66" spans="1:17" x14ac:dyDescent="0.25">
      <c r="A66" s="3296"/>
      <c r="B66" s="3168"/>
      <c r="C66" s="3168"/>
      <c r="D66" s="3296"/>
      <c r="E66" s="3243" t="s">
        <v>959</v>
      </c>
      <c r="F66" s="3238">
        <f>488+153+165</f>
        <v>806</v>
      </c>
      <c r="G66" s="3262">
        <f>976+306+330</f>
        <v>1612</v>
      </c>
      <c r="H66" s="3296"/>
      <c r="I66" s="3296"/>
      <c r="J66" s="3296"/>
      <c r="K66" s="3296"/>
      <c r="L66" s="3296"/>
      <c r="M66" s="3211"/>
      <c r="N66" s="3211"/>
      <c r="O66" s="3211"/>
      <c r="P66" s="3288"/>
      <c r="Q66" s="3288"/>
    </row>
    <row r="67" spans="1:17" x14ac:dyDescent="0.25">
      <c r="A67" s="3296"/>
      <c r="B67" s="3168"/>
      <c r="C67" s="3168"/>
      <c r="D67" s="3296"/>
      <c r="E67" s="3260" t="s">
        <v>939</v>
      </c>
      <c r="F67" s="3282">
        <f>5184+872+2430+322</f>
        <v>8808</v>
      </c>
      <c r="G67" s="3282">
        <f>10368+3488+4860+1932</f>
        <v>20648</v>
      </c>
      <c r="H67" s="3296"/>
      <c r="I67" s="3296"/>
      <c r="J67" s="3296"/>
      <c r="K67" s="3296"/>
      <c r="L67" s="3296"/>
      <c r="M67" s="3288"/>
      <c r="N67" s="3288"/>
      <c r="O67" s="3288"/>
      <c r="P67" s="3288"/>
      <c r="Q67" s="3288"/>
    </row>
    <row r="68" spans="1:17" x14ac:dyDescent="0.25">
      <c r="A68" s="3296"/>
      <c r="B68" s="3168"/>
      <c r="C68" s="3168"/>
      <c r="D68" s="3296"/>
      <c r="E68" s="3260" t="s">
        <v>960</v>
      </c>
      <c r="F68" s="3282">
        <v>114</v>
      </c>
      <c r="G68" s="3282">
        <v>456</v>
      </c>
      <c r="H68" s="3296"/>
      <c r="I68" s="3167"/>
      <c r="J68" s="3296"/>
      <c r="K68" s="3296"/>
      <c r="L68" s="3296"/>
      <c r="M68" s="3288"/>
      <c r="N68" s="3288"/>
      <c r="O68" s="3288"/>
      <c r="P68" s="3288"/>
      <c r="Q68" s="3288"/>
    </row>
    <row r="69" spans="1:17" ht="15" customHeight="1" x14ac:dyDescent="0.25">
      <c r="A69" s="3296"/>
      <c r="B69" s="3168"/>
      <c r="C69" s="3168"/>
      <c r="D69" s="3296"/>
      <c r="E69" s="3260" t="s">
        <v>951</v>
      </c>
      <c r="F69" s="3282">
        <f>12+241</f>
        <v>253</v>
      </c>
      <c r="G69" s="3282">
        <f>482+2892</f>
        <v>3374</v>
      </c>
      <c r="H69" s="3296"/>
      <c r="I69" s="3296"/>
      <c r="J69" s="3296"/>
      <c r="K69" s="3296"/>
      <c r="L69" s="3296"/>
      <c r="M69" s="3288"/>
      <c r="N69" s="3288"/>
      <c r="O69" s="3288"/>
      <c r="P69" s="3288"/>
      <c r="Q69" s="3288"/>
    </row>
    <row r="70" spans="1:17" ht="15" customHeight="1" x14ac:dyDescent="0.25">
      <c r="A70" s="3296"/>
      <c r="B70" s="3168"/>
      <c r="C70" s="3168"/>
      <c r="D70" s="3296"/>
      <c r="E70" s="3245" t="s">
        <v>12</v>
      </c>
      <c r="F70" s="3170">
        <f>SUM(F42:F69)</f>
        <v>384931</v>
      </c>
      <c r="G70" s="3170">
        <f>SUM(G42:G69)</f>
        <v>540219</v>
      </c>
      <c r="H70" s="3296"/>
      <c r="I70" s="3167"/>
      <c r="J70" s="3296"/>
      <c r="K70" s="3296"/>
      <c r="L70" s="3296"/>
      <c r="M70" s="3288"/>
      <c r="N70" s="3288"/>
      <c r="O70" s="3288"/>
      <c r="P70" s="3288"/>
      <c r="Q70" s="3288"/>
    </row>
    <row r="71" spans="1:17" x14ac:dyDescent="0.25">
      <c r="A71" s="3296"/>
      <c r="B71" s="3168"/>
      <c r="C71" s="3168"/>
      <c r="D71" s="3296"/>
      <c r="E71" s="3169" t="s">
        <v>954</v>
      </c>
      <c r="F71" s="3296"/>
      <c r="G71" s="3296"/>
      <c r="H71" s="3296"/>
      <c r="I71" s="3296"/>
      <c r="J71" s="3296"/>
      <c r="K71" s="3296"/>
      <c r="L71" s="3296"/>
      <c r="M71" s="3288"/>
      <c r="N71" s="3288"/>
      <c r="O71" s="3288"/>
      <c r="P71" s="3288"/>
      <c r="Q71" s="3288"/>
    </row>
    <row r="72" spans="1:17" x14ac:dyDescent="0.25">
      <c r="A72" s="3288"/>
      <c r="B72" s="3288"/>
      <c r="C72" s="3288"/>
      <c r="D72" s="3288"/>
      <c r="E72" s="3288"/>
      <c r="F72" s="3288"/>
      <c r="G72" s="3288"/>
      <c r="H72" s="3288"/>
      <c r="I72" s="3288"/>
      <c r="J72" s="3288"/>
      <c r="K72" s="3288"/>
      <c r="L72" s="3288"/>
      <c r="M72" s="3288"/>
      <c r="N72" s="3288"/>
      <c r="O72" s="3288"/>
      <c r="P72" s="3288"/>
      <c r="Q72" s="3288"/>
    </row>
    <row r="73" spans="1:17" x14ac:dyDescent="0.25">
      <c r="A73" s="6458" t="s">
        <v>896</v>
      </c>
      <c r="B73" s="6459"/>
      <c r="C73" s="6460"/>
      <c r="D73" s="3309"/>
      <c r="E73" s="6458" t="s">
        <v>1108</v>
      </c>
      <c r="F73" s="6459"/>
      <c r="G73" s="6460"/>
      <c r="H73" s="3296"/>
      <c r="I73" s="6458" t="s">
        <v>1109</v>
      </c>
      <c r="J73" s="6459"/>
      <c r="K73" s="6459"/>
      <c r="L73" s="6460"/>
      <c r="M73" s="3288"/>
      <c r="N73" s="3288"/>
      <c r="O73" s="3288"/>
      <c r="P73" s="3288"/>
      <c r="Q73" s="3288"/>
    </row>
    <row r="74" spans="1:17" x14ac:dyDescent="0.25">
      <c r="A74" s="6461" t="s">
        <v>1110</v>
      </c>
      <c r="B74" s="6462"/>
      <c r="C74" s="6463"/>
      <c r="D74" s="3309"/>
      <c r="E74" s="6461" t="s">
        <v>897</v>
      </c>
      <c r="F74" s="6462"/>
      <c r="G74" s="6463"/>
      <c r="H74" s="3296"/>
      <c r="I74" s="6464" t="s">
        <v>595</v>
      </c>
      <c r="J74" s="6466" t="s">
        <v>898</v>
      </c>
      <c r="K74" s="6467" t="s">
        <v>961</v>
      </c>
      <c r="L74" s="6468"/>
      <c r="M74" s="3288"/>
      <c r="N74" s="3288"/>
      <c r="O74" s="3288"/>
      <c r="P74" s="3288"/>
      <c r="Q74" s="3288"/>
    </row>
    <row r="75" spans="1:17" ht="15" customHeight="1" x14ac:dyDescent="0.25">
      <c r="A75" s="6469" t="s">
        <v>900</v>
      </c>
      <c r="B75" s="6470" t="s">
        <v>901</v>
      </c>
      <c r="C75" s="6466" t="s">
        <v>962</v>
      </c>
      <c r="D75" s="3296"/>
      <c r="E75" s="6469" t="s">
        <v>595</v>
      </c>
      <c r="F75" s="6466" t="s">
        <v>963</v>
      </c>
      <c r="G75" s="6466" t="s">
        <v>961</v>
      </c>
      <c r="H75" s="3296"/>
      <c r="I75" s="6465"/>
      <c r="J75" s="6465"/>
      <c r="K75" s="3213" t="s">
        <v>766</v>
      </c>
      <c r="L75" s="3166" t="s">
        <v>767</v>
      </c>
      <c r="M75" s="3288"/>
      <c r="N75" s="3288"/>
      <c r="O75" s="3288"/>
      <c r="P75" s="3288"/>
      <c r="Q75" s="3288"/>
    </row>
    <row r="76" spans="1:17" x14ac:dyDescent="0.25">
      <c r="A76" s="6469"/>
      <c r="B76" s="6471"/>
      <c r="C76" s="6465"/>
      <c r="D76" s="3296"/>
      <c r="E76" s="6469"/>
      <c r="F76" s="6465"/>
      <c r="G76" s="6465"/>
      <c r="H76" s="3296"/>
      <c r="I76" s="3133"/>
      <c r="J76" s="3133"/>
      <c r="K76" s="3293"/>
      <c r="L76" s="3296"/>
      <c r="M76" s="3288"/>
      <c r="N76" s="3288"/>
      <c r="O76" s="3288"/>
      <c r="P76" s="3288"/>
      <c r="Q76" s="3288"/>
    </row>
    <row r="77" spans="1:17" x14ac:dyDescent="0.25">
      <c r="A77" s="3133"/>
      <c r="B77" s="3133"/>
      <c r="C77" s="3293"/>
      <c r="D77" s="3309"/>
      <c r="E77" s="3133"/>
      <c r="F77" s="3133"/>
      <c r="G77" s="3293"/>
      <c r="H77" s="3309"/>
      <c r="I77" s="3176" t="s">
        <v>964</v>
      </c>
      <c r="J77" s="6428" t="s">
        <v>965</v>
      </c>
      <c r="K77" s="6430">
        <v>1044</v>
      </c>
      <c r="L77" s="6433">
        <f>4840-1044</f>
        <v>3796</v>
      </c>
      <c r="M77" s="3288"/>
      <c r="N77" s="3288"/>
      <c r="O77" s="3288"/>
      <c r="P77" s="3288"/>
      <c r="Q77" s="3288"/>
    </row>
    <row r="78" spans="1:17" x14ac:dyDescent="0.25">
      <c r="A78" s="3212" t="s">
        <v>905</v>
      </c>
      <c r="B78" s="3208">
        <f>2+3+7+1</f>
        <v>13</v>
      </c>
      <c r="C78" s="3175">
        <f>38+78+126+50</f>
        <v>292</v>
      </c>
      <c r="D78" s="3309"/>
      <c r="E78" s="3174" t="s">
        <v>959</v>
      </c>
      <c r="F78" s="3208">
        <f>96+0+0+320</f>
        <v>416</v>
      </c>
      <c r="G78" s="3175">
        <f>2112+0+0+675</f>
        <v>2787</v>
      </c>
      <c r="H78" s="3309"/>
      <c r="I78" s="6436" t="s">
        <v>966</v>
      </c>
      <c r="J78" s="6429"/>
      <c r="K78" s="6431"/>
      <c r="L78" s="6434"/>
      <c r="M78" s="3288"/>
      <c r="N78" s="3288"/>
      <c r="O78" s="3288"/>
      <c r="P78" s="3288"/>
      <c r="Q78" s="3288"/>
    </row>
    <row r="79" spans="1:17" x14ac:dyDescent="0.25">
      <c r="A79" s="3212" t="s">
        <v>967</v>
      </c>
      <c r="B79" s="3208">
        <v>8</v>
      </c>
      <c r="C79" s="3175">
        <f>0+0+2298</f>
        <v>2298</v>
      </c>
      <c r="D79" s="3309"/>
      <c r="E79" s="3207" t="s">
        <v>968</v>
      </c>
      <c r="F79" s="3306">
        <f>0+0+140</f>
        <v>140</v>
      </c>
      <c r="G79" s="3306">
        <f>0+0+274</f>
        <v>274</v>
      </c>
      <c r="H79" s="3309"/>
      <c r="I79" s="6436"/>
      <c r="J79" s="6429"/>
      <c r="K79" s="6431"/>
      <c r="L79" s="6434"/>
      <c r="M79" s="3288"/>
      <c r="N79" s="3288"/>
      <c r="O79" s="3288"/>
      <c r="P79" s="3288"/>
      <c r="Q79" s="3288"/>
    </row>
    <row r="80" spans="1:17" x14ac:dyDescent="0.25">
      <c r="A80" s="3173" t="s">
        <v>908</v>
      </c>
      <c r="B80" s="3287">
        <f>0+1+5+7</f>
        <v>13</v>
      </c>
      <c r="C80" s="3287">
        <f>0+12+396+192</f>
        <v>600</v>
      </c>
      <c r="D80" s="3309"/>
      <c r="E80" s="3286" t="s">
        <v>969</v>
      </c>
      <c r="F80" s="3285">
        <f>75+51</f>
        <v>126</v>
      </c>
      <c r="G80" s="3285">
        <f>715+128+51</f>
        <v>894</v>
      </c>
      <c r="H80" s="3309"/>
      <c r="I80" s="6436"/>
      <c r="J80" s="6429"/>
      <c r="K80" s="6431"/>
      <c r="L80" s="6434"/>
      <c r="M80" s="3288"/>
      <c r="N80" s="3288"/>
      <c r="O80" s="3288"/>
      <c r="P80" s="3288"/>
      <c r="Q80" s="3288"/>
    </row>
    <row r="81" spans="1:17" x14ac:dyDescent="0.25">
      <c r="A81" s="6454" t="s">
        <v>970</v>
      </c>
      <c r="B81" s="6443">
        <f>2+0+2</f>
        <v>4</v>
      </c>
      <c r="C81" s="6443">
        <f>36+0+85</f>
        <v>121</v>
      </c>
      <c r="D81" s="3309"/>
      <c r="E81" s="3284" t="s">
        <v>971</v>
      </c>
      <c r="F81" s="3306">
        <f>0+0+213</f>
        <v>213</v>
      </c>
      <c r="G81" s="3306">
        <f>0+0+1700</f>
        <v>1700</v>
      </c>
      <c r="H81" s="3309"/>
      <c r="I81" s="6436"/>
      <c r="J81" s="6429"/>
      <c r="K81" s="6431"/>
      <c r="L81" s="6434"/>
      <c r="M81" s="3288"/>
      <c r="N81" s="3288"/>
      <c r="O81" s="3288"/>
      <c r="P81" s="3288"/>
      <c r="Q81" s="3288"/>
    </row>
    <row r="82" spans="1:17" x14ac:dyDescent="0.25">
      <c r="A82" s="6455"/>
      <c r="B82" s="6445"/>
      <c r="C82" s="6445"/>
      <c r="D82" s="3309"/>
      <c r="E82" s="3283" t="s">
        <v>909</v>
      </c>
      <c r="F82" s="3282">
        <f>0+2880+2024+606</f>
        <v>5510</v>
      </c>
      <c r="G82" s="3282">
        <f>F82*6</f>
        <v>33060</v>
      </c>
      <c r="H82" s="3309"/>
      <c r="I82" s="3241" t="s">
        <v>972</v>
      </c>
      <c r="J82" s="6456" t="s">
        <v>973</v>
      </c>
      <c r="K82" s="6431"/>
      <c r="L82" s="6434"/>
      <c r="M82" s="3288"/>
      <c r="N82" s="3288"/>
      <c r="O82" s="3288"/>
      <c r="P82" s="3288"/>
      <c r="Q82" s="3288"/>
    </row>
    <row r="83" spans="1:17" x14ac:dyDescent="0.25">
      <c r="A83" s="3173" t="s">
        <v>974</v>
      </c>
      <c r="B83" s="3287">
        <v>4</v>
      </c>
      <c r="C83" s="3287">
        <v>125</v>
      </c>
      <c r="D83" s="3309"/>
      <c r="E83" s="3283" t="s">
        <v>975</v>
      </c>
      <c r="F83" s="3282">
        <v>72</v>
      </c>
      <c r="G83" s="3282">
        <v>185</v>
      </c>
      <c r="H83" s="3309"/>
      <c r="I83" s="3241" t="s">
        <v>976</v>
      </c>
      <c r="J83" s="6456"/>
      <c r="K83" s="6431"/>
      <c r="L83" s="6434"/>
      <c r="M83" s="3288"/>
      <c r="N83" s="3288"/>
      <c r="O83" s="3288"/>
      <c r="P83" s="3288"/>
      <c r="Q83" s="3288"/>
    </row>
    <row r="84" spans="1:17" x14ac:dyDescent="0.25">
      <c r="A84" s="3173" t="s">
        <v>977</v>
      </c>
      <c r="B84" s="3287">
        <f>0+0+6</f>
        <v>6</v>
      </c>
      <c r="C84" s="3287">
        <f>0+0+18</f>
        <v>18</v>
      </c>
      <c r="D84" s="3309"/>
      <c r="E84" s="3207" t="s">
        <v>978</v>
      </c>
      <c r="F84" s="3306">
        <f>0+37+0</f>
        <v>37</v>
      </c>
      <c r="G84" s="3306">
        <f>0+235+0</f>
        <v>235</v>
      </c>
      <c r="H84" s="3309"/>
      <c r="I84" s="3241" t="s">
        <v>979</v>
      </c>
      <c r="J84" s="6456"/>
      <c r="K84" s="6431"/>
      <c r="L84" s="6434"/>
      <c r="M84" s="3288"/>
      <c r="N84" s="3288"/>
      <c r="O84" s="3288"/>
      <c r="P84" s="3288"/>
      <c r="Q84" s="3288"/>
    </row>
    <row r="85" spans="1:17" x14ac:dyDescent="0.25">
      <c r="A85" s="3281" t="s">
        <v>915</v>
      </c>
      <c r="B85" s="3287">
        <f>0+6+6+5</f>
        <v>17</v>
      </c>
      <c r="C85" s="3287">
        <f>0+2760+1292+5314</f>
        <v>9366</v>
      </c>
      <c r="D85" s="3309"/>
      <c r="E85" s="3283" t="s">
        <v>980</v>
      </c>
      <c r="F85" s="3282">
        <f>0+0+42</f>
        <v>42</v>
      </c>
      <c r="G85" s="3282">
        <f>0+0+333</f>
        <v>333</v>
      </c>
      <c r="H85" s="3309"/>
      <c r="I85" s="3241" t="s">
        <v>981</v>
      </c>
      <c r="J85" s="6456"/>
      <c r="K85" s="6431"/>
      <c r="L85" s="6434"/>
      <c r="M85" s="3288"/>
      <c r="N85" s="3288"/>
      <c r="O85" s="3288"/>
      <c r="P85" s="3288"/>
      <c r="Q85" s="3288"/>
    </row>
    <row r="86" spans="1:17" x14ac:dyDescent="0.25">
      <c r="A86" s="3281" t="s">
        <v>919</v>
      </c>
      <c r="B86" s="3287">
        <f>3+0+3</f>
        <v>6</v>
      </c>
      <c r="C86" s="3287">
        <f>420+0+672</f>
        <v>1092</v>
      </c>
      <c r="D86" s="3309"/>
      <c r="E86" s="3283" t="s">
        <v>916</v>
      </c>
      <c r="F86" s="3282">
        <v>79</v>
      </c>
      <c r="G86" s="3282">
        <v>227</v>
      </c>
      <c r="H86" s="3309"/>
      <c r="I86" s="3241" t="s">
        <v>982</v>
      </c>
      <c r="J86" s="6456"/>
      <c r="K86" s="6431"/>
      <c r="L86" s="6434"/>
      <c r="M86" s="3288"/>
      <c r="N86" s="3288"/>
      <c r="O86" s="3288"/>
      <c r="P86" s="3288"/>
      <c r="Q86" s="3288"/>
    </row>
    <row r="87" spans="1:17" x14ac:dyDescent="0.25">
      <c r="A87" s="3281" t="s">
        <v>922</v>
      </c>
      <c r="B87" s="3287">
        <f>0+0+6+2</f>
        <v>8</v>
      </c>
      <c r="C87" s="3282">
        <f>0+0+1642+1200</f>
        <v>2842</v>
      </c>
      <c r="D87" s="3309"/>
      <c r="E87" s="3283" t="s">
        <v>983</v>
      </c>
      <c r="F87" s="3282">
        <v>225</v>
      </c>
      <c r="G87" s="3282">
        <v>451</v>
      </c>
      <c r="H87" s="3309"/>
      <c r="I87" s="3241" t="s">
        <v>984</v>
      </c>
      <c r="J87" s="6456"/>
      <c r="K87" s="6431"/>
      <c r="L87" s="6434"/>
      <c r="M87" s="3288"/>
      <c r="N87" s="3288"/>
      <c r="O87" s="3288"/>
      <c r="P87" s="3288"/>
      <c r="Q87" s="3288"/>
    </row>
    <row r="88" spans="1:17" x14ac:dyDescent="0.25">
      <c r="A88" s="3281" t="s">
        <v>985</v>
      </c>
      <c r="B88" s="3287">
        <v>5</v>
      </c>
      <c r="C88" s="3287">
        <v>115</v>
      </c>
      <c r="D88" s="3309"/>
      <c r="E88" s="3283" t="s">
        <v>924</v>
      </c>
      <c r="F88" s="3282">
        <v>6</v>
      </c>
      <c r="G88" s="3282">
        <v>3420</v>
      </c>
      <c r="H88" s="3309"/>
      <c r="I88" s="3241" t="s">
        <v>986</v>
      </c>
      <c r="J88" s="6456"/>
      <c r="K88" s="6431"/>
      <c r="L88" s="6434"/>
      <c r="M88" s="3288"/>
      <c r="N88" s="3288"/>
      <c r="O88" s="3288"/>
      <c r="P88" s="3288"/>
      <c r="Q88" s="3288"/>
    </row>
    <row r="89" spans="1:17" x14ac:dyDescent="0.25">
      <c r="A89" s="3281" t="s">
        <v>923</v>
      </c>
      <c r="B89" s="3287">
        <f>0+1+3+7</f>
        <v>11</v>
      </c>
      <c r="C89" s="3287">
        <f>0+27+246+138</f>
        <v>411</v>
      </c>
      <c r="D89" s="3309"/>
      <c r="E89" s="3283" t="s">
        <v>987</v>
      </c>
      <c r="F89" s="3282">
        <v>73</v>
      </c>
      <c r="G89" s="3282">
        <v>331</v>
      </c>
      <c r="H89" s="3309"/>
      <c r="I89" s="3241" t="s">
        <v>988</v>
      </c>
      <c r="J89" s="6456"/>
      <c r="K89" s="6431"/>
      <c r="L89" s="6434"/>
      <c r="M89" s="3288"/>
      <c r="N89" s="3288"/>
      <c r="O89" s="3288"/>
      <c r="P89" s="3288"/>
      <c r="Q89" s="3288"/>
    </row>
    <row r="90" spans="1:17" x14ac:dyDescent="0.25">
      <c r="A90" s="3281" t="s">
        <v>925</v>
      </c>
      <c r="B90" s="3287">
        <v>2</v>
      </c>
      <c r="C90" s="3287">
        <v>670</v>
      </c>
      <c r="D90" s="3309"/>
      <c r="E90" s="3283" t="s">
        <v>926</v>
      </c>
      <c r="F90" s="3282">
        <f>95+287</f>
        <v>382</v>
      </c>
      <c r="G90" s="3282">
        <f>403+574</f>
        <v>977</v>
      </c>
      <c r="H90" s="3309"/>
      <c r="I90" s="3241" t="s">
        <v>989</v>
      </c>
      <c r="J90" s="6456"/>
      <c r="K90" s="6431"/>
      <c r="L90" s="6434"/>
      <c r="M90" s="3288"/>
      <c r="N90" s="3288"/>
      <c r="O90" s="3288"/>
      <c r="P90" s="3288"/>
      <c r="Q90" s="3288"/>
    </row>
    <row r="91" spans="1:17" x14ac:dyDescent="0.25">
      <c r="A91" s="3281" t="s">
        <v>990</v>
      </c>
      <c r="B91" s="3287">
        <f>0+0+3</f>
        <v>3</v>
      </c>
      <c r="C91" s="3287">
        <f>0+0+24</f>
        <v>24</v>
      </c>
      <c r="D91" s="3309"/>
      <c r="E91" s="3283" t="s">
        <v>915</v>
      </c>
      <c r="F91" s="3282">
        <f>96+540+182+124</f>
        <v>942</v>
      </c>
      <c r="G91" s="3282">
        <f>2464+4320+1092+496</f>
        <v>8372</v>
      </c>
      <c r="H91" s="3309"/>
      <c r="I91" s="3241" t="s">
        <v>991</v>
      </c>
      <c r="J91" s="6456"/>
      <c r="K91" s="6431"/>
      <c r="L91" s="6434"/>
      <c r="M91" s="3288"/>
      <c r="N91" s="3288"/>
      <c r="O91" s="3288"/>
      <c r="P91" s="3288"/>
      <c r="Q91" s="3288"/>
    </row>
    <row r="92" spans="1:17" x14ac:dyDescent="0.25">
      <c r="A92" s="3280" t="s">
        <v>992</v>
      </c>
      <c r="B92" s="3287">
        <v>4</v>
      </c>
      <c r="C92" s="3287">
        <v>51</v>
      </c>
      <c r="D92" s="3309"/>
      <c r="E92" s="3281" t="s">
        <v>922</v>
      </c>
      <c r="F92" s="3287">
        <f>0+0+796+170</f>
        <v>966</v>
      </c>
      <c r="G92" s="3287">
        <f>0+0+7956+1589</f>
        <v>9545</v>
      </c>
      <c r="H92" s="3309"/>
      <c r="I92" s="3241" t="s">
        <v>993</v>
      </c>
      <c r="J92" s="6456"/>
      <c r="K92" s="6431"/>
      <c r="L92" s="6434"/>
      <c r="M92" s="3288"/>
      <c r="N92" s="3288"/>
      <c r="O92" s="3288"/>
      <c r="P92" s="3288"/>
      <c r="Q92" s="3288"/>
    </row>
    <row r="93" spans="1:17" x14ac:dyDescent="0.25">
      <c r="A93" s="3281" t="s">
        <v>927</v>
      </c>
      <c r="B93" s="3287">
        <f>1+0+2</f>
        <v>3</v>
      </c>
      <c r="C93" s="3282">
        <f>0+350+190</f>
        <v>540</v>
      </c>
      <c r="D93" s="3309"/>
      <c r="E93" s="3281" t="s">
        <v>994</v>
      </c>
      <c r="F93" s="3287">
        <v>70</v>
      </c>
      <c r="G93" s="3287">
        <v>127</v>
      </c>
      <c r="H93" s="3309"/>
      <c r="I93" s="3279" t="s">
        <v>995</v>
      </c>
      <c r="J93" s="6457"/>
      <c r="K93" s="6432"/>
      <c r="L93" s="6435"/>
      <c r="M93" s="3288"/>
      <c r="N93" s="3288"/>
      <c r="O93" s="3288"/>
      <c r="P93" s="3288"/>
      <c r="Q93" s="3288"/>
    </row>
    <row r="94" spans="1:17" x14ac:dyDescent="0.25">
      <c r="A94" s="3281" t="s">
        <v>929</v>
      </c>
      <c r="B94" s="3287">
        <f>0+0+6</f>
        <v>6</v>
      </c>
      <c r="C94" s="3287">
        <f>0+0+107</f>
        <v>107</v>
      </c>
      <c r="D94" s="3309"/>
      <c r="E94" s="3281" t="s">
        <v>996</v>
      </c>
      <c r="F94" s="3287">
        <v>165</v>
      </c>
      <c r="G94" s="3287">
        <v>4000</v>
      </c>
      <c r="H94" s="3309"/>
      <c r="I94" s="6472" t="s">
        <v>997</v>
      </c>
      <c r="J94" s="4136" t="s">
        <v>998</v>
      </c>
      <c r="K94" s="6444">
        <v>4580</v>
      </c>
      <c r="L94" s="6473">
        <v>6460</v>
      </c>
      <c r="M94" s="3288"/>
      <c r="N94" s="3288"/>
      <c r="O94" s="3288"/>
      <c r="P94" s="3288"/>
      <c r="Q94" s="3288"/>
    </row>
    <row r="95" spans="1:17" x14ac:dyDescent="0.25">
      <c r="A95" s="3281" t="s">
        <v>931</v>
      </c>
      <c r="B95" s="3287">
        <f>0+3</f>
        <v>3</v>
      </c>
      <c r="C95" s="3287">
        <f>0+90</f>
        <v>90</v>
      </c>
      <c r="D95" s="3309"/>
      <c r="E95" s="3281" t="s">
        <v>936</v>
      </c>
      <c r="F95" s="3287">
        <f>274+90400+130500+2974</f>
        <v>224148</v>
      </c>
      <c r="G95" s="3287">
        <f>274+90400+130500+2974</f>
        <v>224148</v>
      </c>
      <c r="H95" s="3309"/>
      <c r="I95" s="6427"/>
      <c r="J95" s="4136" t="s">
        <v>999</v>
      </c>
      <c r="K95" s="6445"/>
      <c r="L95" s="6474"/>
      <c r="M95" s="3288"/>
      <c r="N95" s="3288"/>
      <c r="O95" s="3288"/>
      <c r="P95" s="3288"/>
      <c r="Q95" s="3288"/>
    </row>
    <row r="96" spans="1:17" x14ac:dyDescent="0.25">
      <c r="A96" s="3281" t="s">
        <v>935</v>
      </c>
      <c r="B96" s="3287">
        <f>0+3</f>
        <v>3</v>
      </c>
      <c r="C96" s="3287">
        <f>0+90</f>
        <v>90</v>
      </c>
      <c r="D96" s="3309"/>
      <c r="E96" s="3173" t="s">
        <v>946</v>
      </c>
      <c r="F96" s="3287">
        <f>33+0+0</f>
        <v>33</v>
      </c>
      <c r="G96" s="3287">
        <f>462+0+0</f>
        <v>462</v>
      </c>
      <c r="H96" s="3309"/>
      <c r="I96" s="6426" t="s">
        <v>1000</v>
      </c>
      <c r="J96" s="4136" t="s">
        <v>1001</v>
      </c>
      <c r="K96" s="6443">
        <v>3231</v>
      </c>
      <c r="L96" s="6473">
        <v>6460</v>
      </c>
      <c r="M96" s="3288"/>
      <c r="N96" s="3288"/>
      <c r="O96" s="3288"/>
      <c r="P96" s="3288"/>
      <c r="Q96" s="3288"/>
    </row>
    <row r="97" spans="1:17" x14ac:dyDescent="0.25">
      <c r="A97" s="3281" t="s">
        <v>939</v>
      </c>
      <c r="B97" s="3287">
        <f>1+0+7</f>
        <v>8</v>
      </c>
      <c r="C97" s="3287">
        <f>25+0+89</f>
        <v>114</v>
      </c>
      <c r="D97" s="3309"/>
      <c r="E97" s="3173" t="s">
        <v>990</v>
      </c>
      <c r="F97" s="3287">
        <f>0+0+136</f>
        <v>136</v>
      </c>
      <c r="G97" s="3287">
        <f>0+0+1088</f>
        <v>1088</v>
      </c>
      <c r="H97" s="3309"/>
      <c r="I97" s="6472"/>
      <c r="J97" s="4136" t="s">
        <v>1002</v>
      </c>
      <c r="K97" s="6444"/>
      <c r="L97" s="6475"/>
      <c r="M97" s="3288"/>
      <c r="N97" s="3288"/>
      <c r="O97" s="3288"/>
      <c r="P97" s="3288"/>
      <c r="Q97" s="3288"/>
    </row>
    <row r="98" spans="1:17" x14ac:dyDescent="0.25">
      <c r="A98" s="3278" t="s">
        <v>1003</v>
      </c>
      <c r="B98" s="3277">
        <f>0+0+3</f>
        <v>3</v>
      </c>
      <c r="C98" s="3277">
        <f>0+0+19</f>
        <v>19</v>
      </c>
      <c r="D98" s="3309"/>
      <c r="E98" s="3281" t="s">
        <v>952</v>
      </c>
      <c r="F98" s="3287">
        <f>0+0+169</f>
        <v>169</v>
      </c>
      <c r="G98" s="3287">
        <f>0+0+674</f>
        <v>674</v>
      </c>
      <c r="H98" s="3309"/>
      <c r="I98" s="6427"/>
      <c r="J98" s="4135" t="s">
        <v>1004</v>
      </c>
      <c r="K98" s="6445"/>
      <c r="L98" s="6474"/>
      <c r="M98" s="3288"/>
      <c r="N98" s="3288"/>
      <c r="O98" s="3288"/>
      <c r="P98" s="3288"/>
      <c r="Q98" s="3288"/>
    </row>
    <row r="99" spans="1:17" x14ac:dyDescent="0.25">
      <c r="A99" s="6454" t="s">
        <v>942</v>
      </c>
      <c r="B99" s="6443">
        <v>5</v>
      </c>
      <c r="C99" s="6443">
        <v>543</v>
      </c>
      <c r="D99" s="3309"/>
      <c r="E99" s="3281" t="s">
        <v>1005</v>
      </c>
      <c r="F99" s="3287">
        <v>108</v>
      </c>
      <c r="G99" s="3287">
        <v>291</v>
      </c>
      <c r="H99" s="3309"/>
      <c r="I99" s="3309"/>
      <c r="J99" s="3276" t="s">
        <v>12</v>
      </c>
      <c r="K99" s="3275">
        <f>SUM(K77:K98)</f>
        <v>8855</v>
      </c>
      <c r="L99" s="3275">
        <f>SUM(L77:L98)</f>
        <v>16716</v>
      </c>
      <c r="M99" s="3288"/>
      <c r="N99" s="3288"/>
      <c r="O99" s="3288"/>
      <c r="P99" s="3288"/>
      <c r="Q99" s="3288"/>
    </row>
    <row r="100" spans="1:17" x14ac:dyDescent="0.25">
      <c r="A100" s="6455"/>
      <c r="B100" s="6445"/>
      <c r="C100" s="6445"/>
      <c r="D100" s="3309"/>
      <c r="E100" s="3281" t="s">
        <v>953</v>
      </c>
      <c r="F100" s="3287">
        <v>2256</v>
      </c>
      <c r="G100" s="3287">
        <v>2256</v>
      </c>
      <c r="H100" s="3309"/>
      <c r="I100" s="3309"/>
      <c r="J100" s="3309"/>
      <c r="K100" s="3309"/>
      <c r="L100" s="3309"/>
      <c r="M100" s="3288"/>
      <c r="N100" s="3288"/>
      <c r="O100" s="3288"/>
      <c r="P100" s="3288"/>
      <c r="Q100" s="3288"/>
    </row>
    <row r="101" spans="1:17" x14ac:dyDescent="0.25">
      <c r="A101" s="3274"/>
      <c r="B101" s="3282"/>
      <c r="C101" s="3282"/>
      <c r="D101" s="3309"/>
      <c r="E101" s="3281" t="s">
        <v>1006</v>
      </c>
      <c r="F101" s="3287">
        <v>51</v>
      </c>
      <c r="G101" s="3287">
        <v>135</v>
      </c>
      <c r="H101" s="3309"/>
      <c r="I101" s="3309"/>
      <c r="J101" s="3309"/>
      <c r="K101" s="3309"/>
      <c r="L101" s="3309"/>
      <c r="M101" s="3288"/>
      <c r="N101" s="3288"/>
      <c r="O101" s="3288"/>
      <c r="P101" s="3288"/>
      <c r="Q101" s="3288"/>
    </row>
    <row r="102" spans="1:17" x14ac:dyDescent="0.25">
      <c r="A102" s="3273" t="s">
        <v>951</v>
      </c>
      <c r="B102" s="3287">
        <f>0+4+8+1</f>
        <v>13</v>
      </c>
      <c r="C102" s="3282">
        <f>0+132+336+9</f>
        <v>477</v>
      </c>
      <c r="D102" s="3309"/>
      <c r="E102" s="3281" t="s">
        <v>955</v>
      </c>
      <c r="F102" s="3287">
        <f>0+39900+0</f>
        <v>39900</v>
      </c>
      <c r="G102" s="3287">
        <f>0+39900+0</f>
        <v>39900</v>
      </c>
      <c r="H102" s="3309"/>
      <c r="I102" s="3309"/>
      <c r="J102" s="3133"/>
      <c r="K102" s="3244"/>
      <c r="L102" s="3309"/>
      <c r="M102" s="3288"/>
      <c r="N102" s="3288"/>
      <c r="O102" s="3288"/>
      <c r="P102" s="3288"/>
      <c r="Q102" s="3288"/>
    </row>
    <row r="103" spans="1:17" x14ac:dyDescent="0.25">
      <c r="A103" s="3273" t="s">
        <v>960</v>
      </c>
      <c r="B103" s="3287">
        <f>0+0+3+1</f>
        <v>4</v>
      </c>
      <c r="C103" s="3282">
        <f>0+0+17+12</f>
        <v>29</v>
      </c>
      <c r="D103" s="3309"/>
      <c r="E103" s="3281" t="s">
        <v>1007</v>
      </c>
      <c r="F103" s="3287">
        <v>1</v>
      </c>
      <c r="G103" s="3287">
        <v>120</v>
      </c>
      <c r="H103" s="3309"/>
      <c r="I103" s="3309"/>
      <c r="J103" s="3239"/>
      <c r="K103" s="3239"/>
      <c r="L103" s="3239"/>
      <c r="M103" s="3288"/>
      <c r="N103" s="3288"/>
      <c r="O103" s="3288"/>
      <c r="P103" s="3288"/>
      <c r="Q103" s="3288"/>
    </row>
    <row r="104" spans="1:17" x14ac:dyDescent="0.25">
      <c r="A104" s="3276" t="s">
        <v>12</v>
      </c>
      <c r="B104" s="3275">
        <f>SUM(B78:B103)</f>
        <v>152</v>
      </c>
      <c r="C104" s="3275">
        <f>SUM(C78:C103)</f>
        <v>20034</v>
      </c>
      <c r="D104" s="3309"/>
      <c r="E104" s="3281" t="s">
        <v>985</v>
      </c>
      <c r="F104" s="3287">
        <v>79</v>
      </c>
      <c r="G104" s="3287">
        <v>244</v>
      </c>
      <c r="H104" s="3309"/>
      <c r="I104" s="3309"/>
      <c r="J104" s="3309"/>
      <c r="K104" s="3309"/>
      <c r="L104" s="3309"/>
      <c r="M104" s="3288"/>
      <c r="N104" s="3288"/>
      <c r="O104" s="3288"/>
      <c r="P104" s="3288"/>
      <c r="Q104" s="3288"/>
    </row>
    <row r="105" spans="1:17" x14ac:dyDescent="0.25">
      <c r="A105" s="3309"/>
      <c r="B105" s="3309"/>
      <c r="C105" s="3309"/>
      <c r="D105" s="3309"/>
      <c r="E105" s="3281" t="s">
        <v>956</v>
      </c>
      <c r="F105" s="3287">
        <f>0+0+997</f>
        <v>997</v>
      </c>
      <c r="G105" s="3287">
        <f>0+0+997</f>
        <v>997</v>
      </c>
      <c r="H105" s="3309"/>
      <c r="I105" s="3309"/>
      <c r="J105" s="3309"/>
      <c r="K105" s="3309"/>
      <c r="L105" s="3309"/>
      <c r="M105" s="3288"/>
      <c r="N105" s="3288"/>
      <c r="O105" s="3288"/>
      <c r="P105" s="3288"/>
      <c r="Q105" s="3288"/>
    </row>
    <row r="106" spans="1:17" x14ac:dyDescent="0.25">
      <c r="A106" s="3206" t="s">
        <v>1008</v>
      </c>
      <c r="B106" s="3206"/>
      <c r="C106" s="3206"/>
      <c r="D106" s="3309"/>
      <c r="E106" s="3280" t="s">
        <v>957</v>
      </c>
      <c r="F106" s="3287">
        <f>0+0+15000+5250</f>
        <v>20250</v>
      </c>
      <c r="G106" s="3287">
        <f>0+0+15000+5250</f>
        <v>20250</v>
      </c>
      <c r="H106" s="3309"/>
      <c r="I106" s="3309"/>
      <c r="J106" s="3309"/>
      <c r="K106" s="3309"/>
      <c r="L106" s="3309"/>
      <c r="M106" s="3288"/>
      <c r="N106" s="3288"/>
      <c r="O106" s="3288"/>
      <c r="P106" s="3288"/>
      <c r="Q106" s="3288"/>
    </row>
    <row r="107" spans="1:17" x14ac:dyDescent="0.25">
      <c r="A107" s="3309" t="s">
        <v>1009</v>
      </c>
      <c r="B107" s="3172"/>
      <c r="C107" s="3172"/>
      <c r="D107" s="3309"/>
      <c r="E107" s="3281" t="s">
        <v>931</v>
      </c>
      <c r="F107" s="3287">
        <f>0+5103+0</f>
        <v>5103</v>
      </c>
      <c r="G107" s="3287">
        <f>0+10206+0</f>
        <v>10206</v>
      </c>
      <c r="H107" s="3309"/>
      <c r="I107" s="3309"/>
      <c r="J107" s="3309"/>
      <c r="K107" s="3309"/>
      <c r="L107" s="3309"/>
      <c r="M107" s="3288"/>
      <c r="N107" s="3288"/>
      <c r="O107" s="3288"/>
      <c r="P107" s="3288"/>
      <c r="Q107" s="3288"/>
    </row>
    <row r="108" spans="1:17" x14ac:dyDescent="0.25">
      <c r="A108" s="3309" t="s">
        <v>1010</v>
      </c>
      <c r="B108" s="3309"/>
      <c r="C108" s="3309"/>
      <c r="D108" s="3309"/>
      <c r="E108" s="3281" t="s">
        <v>958</v>
      </c>
      <c r="F108" s="3287">
        <f>0+0+105</f>
        <v>105</v>
      </c>
      <c r="G108" s="3287">
        <f>0+0+1050</f>
        <v>1050</v>
      </c>
      <c r="H108" s="3309"/>
      <c r="I108" s="3309"/>
      <c r="J108" s="3309"/>
      <c r="K108" s="3309"/>
      <c r="L108" s="3309"/>
      <c r="M108" s="3288"/>
      <c r="N108" s="3288"/>
      <c r="O108" s="3288"/>
      <c r="P108" s="3288"/>
      <c r="Q108" s="3288"/>
    </row>
    <row r="109" spans="1:17" x14ac:dyDescent="0.25">
      <c r="A109" s="3309"/>
      <c r="B109" s="3309"/>
      <c r="C109" s="3309"/>
      <c r="D109" s="3309"/>
      <c r="E109" s="3280" t="s">
        <v>939</v>
      </c>
      <c r="F109" s="3282">
        <f>96+750+1475+780+1440</f>
        <v>4541</v>
      </c>
      <c r="G109" s="3282">
        <f>1856+6000+2956+1548+2288</f>
        <v>14648</v>
      </c>
      <c r="H109" s="3309"/>
      <c r="I109" s="3309"/>
      <c r="J109" s="3309"/>
      <c r="K109" s="3309"/>
      <c r="L109" s="3309"/>
      <c r="M109" s="3288"/>
      <c r="N109" s="3288"/>
      <c r="O109" s="3288"/>
      <c r="P109" s="3288"/>
      <c r="Q109" s="3288"/>
    </row>
    <row r="110" spans="1:17" x14ac:dyDescent="0.25">
      <c r="A110" s="3309"/>
      <c r="B110" s="3309"/>
      <c r="C110" s="3309"/>
      <c r="D110" s="3309"/>
      <c r="E110" s="3280" t="s">
        <v>1011</v>
      </c>
      <c r="F110" s="3282">
        <f>0+0+477+49</f>
        <v>526</v>
      </c>
      <c r="G110" s="3282">
        <f>0+0+2862+98</f>
        <v>2960</v>
      </c>
      <c r="H110" s="3309"/>
      <c r="I110" s="3309"/>
      <c r="J110" s="3309"/>
      <c r="K110" s="3309"/>
      <c r="L110" s="3309"/>
      <c r="M110" s="3288"/>
      <c r="N110" s="3288"/>
      <c r="O110" s="3288"/>
      <c r="P110" s="3288"/>
      <c r="Q110" s="3288"/>
    </row>
    <row r="111" spans="1:17" x14ac:dyDescent="0.25">
      <c r="A111" s="3309"/>
      <c r="B111" s="3309"/>
      <c r="C111" s="3309"/>
      <c r="D111" s="3206"/>
      <c r="E111" s="3280" t="s">
        <v>1012</v>
      </c>
      <c r="F111" s="3282">
        <f>96+0+0+75</f>
        <v>171</v>
      </c>
      <c r="G111" s="3282">
        <f>2144+0+0+304</f>
        <v>2448</v>
      </c>
      <c r="H111" s="3309"/>
      <c r="I111" s="3309"/>
      <c r="J111" s="3309"/>
      <c r="K111" s="3309"/>
      <c r="L111" s="3309"/>
      <c r="M111" s="3288"/>
      <c r="N111" s="3288"/>
      <c r="O111" s="3288"/>
      <c r="P111" s="3288"/>
      <c r="Q111" s="3288"/>
    </row>
    <row r="112" spans="1:17" x14ac:dyDescent="0.25">
      <c r="A112" s="3309"/>
      <c r="B112" s="3309"/>
      <c r="C112" s="3309"/>
      <c r="D112" s="3172"/>
      <c r="E112" s="3281" t="s">
        <v>1013</v>
      </c>
      <c r="F112" s="3287">
        <f>96+0+0+50</f>
        <v>146</v>
      </c>
      <c r="G112" s="3282">
        <f>2112+0+0+419</f>
        <v>2531</v>
      </c>
      <c r="H112" s="3309"/>
      <c r="I112" s="3309"/>
      <c r="J112" s="3309"/>
      <c r="K112" s="3309"/>
      <c r="L112" s="3309"/>
      <c r="M112" s="3288"/>
      <c r="N112" s="3288"/>
      <c r="O112" s="3288"/>
      <c r="P112" s="3288"/>
      <c r="Q112" s="3288"/>
    </row>
    <row r="113" spans="1:17" x14ac:dyDescent="0.25">
      <c r="A113" s="3309"/>
      <c r="B113" s="3309"/>
      <c r="C113" s="3309"/>
      <c r="D113" s="3309"/>
      <c r="E113" s="3276" t="s">
        <v>12</v>
      </c>
      <c r="F113" s="3275">
        <f>SUM(F78:F112)</f>
        <v>308184</v>
      </c>
      <c r="G113" s="3275">
        <f>SUM(G78:G112)</f>
        <v>391326</v>
      </c>
      <c r="H113" s="3309"/>
      <c r="I113" s="3309"/>
      <c r="J113" s="3309"/>
      <c r="K113" s="3309"/>
      <c r="L113" s="3309"/>
      <c r="M113" s="3288"/>
      <c r="N113" s="3288"/>
      <c r="O113" s="3288"/>
      <c r="P113" s="3288"/>
      <c r="Q113" s="3288"/>
    </row>
    <row r="114" spans="1:17" x14ac:dyDescent="0.25">
      <c r="A114" s="3288"/>
      <c r="B114" s="3288"/>
      <c r="C114" s="3288"/>
      <c r="D114" s="3288"/>
      <c r="E114" s="3288"/>
      <c r="F114" s="3288"/>
      <c r="G114" s="3288"/>
      <c r="H114" s="3288"/>
      <c r="I114" s="3288"/>
      <c r="J114" s="3288"/>
      <c r="K114" s="3288"/>
      <c r="L114" s="3288"/>
      <c r="M114" s="3288"/>
      <c r="N114" s="3288"/>
      <c r="O114" s="3288"/>
      <c r="P114" s="3288"/>
      <c r="Q114" s="3288"/>
    </row>
    <row r="115" spans="1:17" x14ac:dyDescent="0.25">
      <c r="A115" s="3288"/>
      <c r="B115" s="3288"/>
      <c r="C115" s="3288"/>
      <c r="D115" s="3288"/>
      <c r="E115" s="3288"/>
      <c r="F115" s="3288"/>
      <c r="G115" s="3288"/>
      <c r="H115" s="3288"/>
      <c r="I115" s="3288"/>
      <c r="J115" s="3288"/>
      <c r="K115" s="3288"/>
      <c r="L115" s="3288"/>
      <c r="M115" s="3288"/>
      <c r="N115" s="3288"/>
      <c r="O115" s="3288"/>
      <c r="P115" s="3288"/>
      <c r="Q115" s="3288"/>
    </row>
    <row r="116" spans="1:17" x14ac:dyDescent="0.25">
      <c r="A116" s="6404" t="s">
        <v>896</v>
      </c>
      <c r="B116" s="6405"/>
      <c r="C116" s="6406"/>
      <c r="D116" s="3309"/>
      <c r="E116" s="6404" t="s">
        <v>1111</v>
      </c>
      <c r="F116" s="6405"/>
      <c r="G116" s="6406"/>
      <c r="H116" s="3309"/>
      <c r="I116" s="6404" t="s">
        <v>1112</v>
      </c>
      <c r="J116" s="6405"/>
      <c r="K116" s="6405"/>
      <c r="L116" s="6406"/>
      <c r="M116" s="3288"/>
      <c r="N116" s="3288"/>
      <c r="O116" s="3288"/>
      <c r="P116" s="3288"/>
      <c r="Q116" s="3288"/>
    </row>
    <row r="117" spans="1:17" x14ac:dyDescent="0.25">
      <c r="A117" s="6404" t="s">
        <v>1113</v>
      </c>
      <c r="B117" s="6405"/>
      <c r="C117" s="6406"/>
      <c r="D117" s="3309"/>
      <c r="E117" s="6404" t="s">
        <v>897</v>
      </c>
      <c r="F117" s="6405"/>
      <c r="G117" s="6406"/>
      <c r="H117" s="3296"/>
      <c r="I117" s="6476" t="s">
        <v>595</v>
      </c>
      <c r="J117" s="6478" t="s">
        <v>898</v>
      </c>
      <c r="K117" s="6479" t="s">
        <v>904</v>
      </c>
      <c r="L117" s="6480"/>
      <c r="M117" s="3288"/>
      <c r="N117" s="3288"/>
      <c r="O117" s="3288"/>
      <c r="P117" s="3288"/>
      <c r="Q117" s="3288"/>
    </row>
    <row r="118" spans="1:17" x14ac:dyDescent="0.25">
      <c r="A118" s="6481" t="s">
        <v>900</v>
      </c>
      <c r="B118" s="6482" t="s">
        <v>901</v>
      </c>
      <c r="C118" s="6482" t="s">
        <v>902</v>
      </c>
      <c r="D118" s="3296"/>
      <c r="E118" s="6481" t="s">
        <v>595</v>
      </c>
      <c r="F118" s="6482" t="s">
        <v>903</v>
      </c>
      <c r="G118" s="6482" t="s">
        <v>904</v>
      </c>
      <c r="H118" s="3296"/>
      <c r="I118" s="6477"/>
      <c r="J118" s="6477"/>
      <c r="K118" s="3205" t="s">
        <v>962</v>
      </c>
      <c r="L118" s="3303" t="s">
        <v>1014</v>
      </c>
      <c r="M118" s="3288"/>
      <c r="N118" s="3288"/>
      <c r="O118" s="3288"/>
      <c r="P118" s="3288"/>
      <c r="Q118" s="3288"/>
    </row>
    <row r="119" spans="1:17" x14ac:dyDescent="0.25">
      <c r="A119" s="6481"/>
      <c r="B119" s="6483"/>
      <c r="C119" s="6483"/>
      <c r="D119" s="3296"/>
      <c r="E119" s="6481"/>
      <c r="F119" s="6483"/>
      <c r="G119" s="6483"/>
      <c r="H119" s="3296"/>
      <c r="I119" s="3133"/>
      <c r="J119" s="3133"/>
      <c r="K119" s="3293"/>
      <c r="L119" s="3296"/>
      <c r="M119" s="3288"/>
      <c r="N119" s="3288"/>
      <c r="O119" s="3288"/>
      <c r="P119" s="3288"/>
      <c r="Q119" s="3288"/>
    </row>
    <row r="120" spans="1:17" x14ac:dyDescent="0.25">
      <c r="A120" s="3133"/>
      <c r="B120" s="3133"/>
      <c r="C120" s="3293"/>
      <c r="D120" s="3296"/>
      <c r="E120" s="3133"/>
      <c r="F120" s="3133"/>
      <c r="G120" s="3293"/>
      <c r="H120" s="3296"/>
      <c r="I120" s="3204" t="s">
        <v>1015</v>
      </c>
      <c r="J120" s="6485" t="s">
        <v>1016</v>
      </c>
      <c r="K120" s="6487">
        <v>940</v>
      </c>
      <c r="L120" s="6443">
        <v>3100</v>
      </c>
      <c r="M120" s="3288"/>
      <c r="N120" s="3288"/>
      <c r="O120" s="3288"/>
      <c r="P120" s="3288"/>
      <c r="Q120" s="3288"/>
    </row>
    <row r="121" spans="1:17" x14ac:dyDescent="0.25">
      <c r="A121" s="3212" t="s">
        <v>905</v>
      </c>
      <c r="B121" s="3208">
        <f>0+1+1+6</f>
        <v>8</v>
      </c>
      <c r="C121" s="3175">
        <f>0+18+30+91</f>
        <v>139</v>
      </c>
      <c r="D121" s="3296"/>
      <c r="E121" s="3174" t="s">
        <v>959</v>
      </c>
      <c r="F121" s="3208">
        <f>332+96+23</f>
        <v>451</v>
      </c>
      <c r="G121" s="3175">
        <f>665+1440+46</f>
        <v>2151</v>
      </c>
      <c r="H121" s="3296"/>
      <c r="I121" s="6484" t="s">
        <v>966</v>
      </c>
      <c r="J121" s="6486"/>
      <c r="K121" s="6488"/>
      <c r="L121" s="6444"/>
      <c r="M121" s="3288"/>
      <c r="N121" s="3288"/>
      <c r="O121" s="3288"/>
      <c r="P121" s="3288"/>
      <c r="Q121" s="3288"/>
    </row>
    <row r="122" spans="1:17" x14ac:dyDescent="0.25">
      <c r="A122" s="3212" t="s">
        <v>967</v>
      </c>
      <c r="B122" s="3208">
        <f>0+0+0+8</f>
        <v>8</v>
      </c>
      <c r="C122" s="3175">
        <f>0+0+0+1842</f>
        <v>1842</v>
      </c>
      <c r="D122" s="3296"/>
      <c r="E122" s="3173" t="s">
        <v>1017</v>
      </c>
      <c r="F122" s="3287">
        <v>108</v>
      </c>
      <c r="G122" s="3287">
        <v>1620</v>
      </c>
      <c r="H122" s="3296"/>
      <c r="I122" s="6484"/>
      <c r="J122" s="6456" t="s">
        <v>973</v>
      </c>
      <c r="K122" s="6488"/>
      <c r="L122" s="6444"/>
      <c r="M122" s="3288"/>
      <c r="N122" s="3288"/>
      <c r="O122" s="3288"/>
      <c r="P122" s="3288"/>
      <c r="Q122" s="3288"/>
    </row>
    <row r="123" spans="1:17" x14ac:dyDescent="0.25">
      <c r="A123" s="3173" t="s">
        <v>908</v>
      </c>
      <c r="B123" s="3287">
        <f>3+0+115</f>
        <v>118</v>
      </c>
      <c r="C123" s="3287">
        <f>141+0+50+538</f>
        <v>729</v>
      </c>
      <c r="D123" s="3296"/>
      <c r="E123" s="3236" t="s">
        <v>969</v>
      </c>
      <c r="F123" s="3287">
        <f>3+315+820</f>
        <v>1138</v>
      </c>
      <c r="G123" s="3287">
        <f>213+1260+9020</f>
        <v>10493</v>
      </c>
      <c r="H123" s="3296"/>
      <c r="I123" s="6484"/>
      <c r="J123" s="6456"/>
      <c r="K123" s="6488"/>
      <c r="L123" s="6444"/>
      <c r="M123" s="3288"/>
      <c r="N123" s="3288"/>
      <c r="O123" s="3288"/>
      <c r="P123" s="3288"/>
      <c r="Q123" s="3288"/>
    </row>
    <row r="124" spans="1:17" x14ac:dyDescent="0.25">
      <c r="A124" s="6454" t="s">
        <v>1018</v>
      </c>
      <c r="B124" s="6443">
        <f>0+1</f>
        <v>1</v>
      </c>
      <c r="C124" s="6443">
        <f>0+24</f>
        <v>24</v>
      </c>
      <c r="D124" s="3296"/>
      <c r="E124" s="3283" t="s">
        <v>909</v>
      </c>
      <c r="F124" s="3282">
        <f>1194+685+1669</f>
        <v>3548</v>
      </c>
      <c r="G124" s="3282">
        <f>4775+6850+10014</f>
        <v>21639</v>
      </c>
      <c r="H124" s="3296"/>
      <c r="I124" s="6484"/>
      <c r="J124" s="6456"/>
      <c r="K124" s="6488"/>
      <c r="L124" s="6444"/>
      <c r="M124" s="3288"/>
      <c r="N124" s="3288"/>
      <c r="O124" s="3288"/>
      <c r="P124" s="3288"/>
      <c r="Q124" s="3288"/>
    </row>
    <row r="125" spans="1:17" x14ac:dyDescent="0.25">
      <c r="A125" s="6455"/>
      <c r="B125" s="6445"/>
      <c r="C125" s="6445"/>
      <c r="D125" s="3296"/>
      <c r="E125" s="3283" t="s">
        <v>1019</v>
      </c>
      <c r="F125" s="3282">
        <v>1</v>
      </c>
      <c r="G125" s="3282">
        <v>167</v>
      </c>
      <c r="H125" s="3296"/>
      <c r="I125" s="6484" t="s">
        <v>1020</v>
      </c>
      <c r="J125" s="6456"/>
      <c r="K125" s="6488"/>
      <c r="L125" s="6444"/>
      <c r="M125" s="3288"/>
      <c r="N125" s="3288"/>
      <c r="O125" s="3288"/>
      <c r="P125" s="3288"/>
      <c r="Q125" s="3288"/>
    </row>
    <row r="126" spans="1:17" x14ac:dyDescent="0.25">
      <c r="A126" s="3173" t="s">
        <v>974</v>
      </c>
      <c r="B126" s="3287">
        <v>1</v>
      </c>
      <c r="C126" s="3287">
        <v>34</v>
      </c>
      <c r="D126" s="3296"/>
      <c r="E126" s="3283" t="s">
        <v>1021</v>
      </c>
      <c r="F126" s="3282">
        <v>3</v>
      </c>
      <c r="G126" s="3282">
        <v>5438</v>
      </c>
      <c r="H126" s="3296"/>
      <c r="I126" s="6484"/>
      <c r="J126" s="6456"/>
      <c r="K126" s="6488"/>
      <c r="L126" s="6444"/>
      <c r="M126" s="3288"/>
      <c r="N126" s="3288"/>
      <c r="O126" s="3288"/>
      <c r="P126" s="3288"/>
      <c r="Q126" s="3288"/>
    </row>
    <row r="127" spans="1:17" x14ac:dyDescent="0.25">
      <c r="A127" s="3173" t="s">
        <v>977</v>
      </c>
      <c r="B127" s="3287">
        <f>0+0+0+7</f>
        <v>7</v>
      </c>
      <c r="C127" s="3287">
        <f>0+0+0+28</f>
        <v>28</v>
      </c>
      <c r="D127" s="3296"/>
      <c r="E127" s="3283" t="s">
        <v>913</v>
      </c>
      <c r="F127" s="3282">
        <v>10</v>
      </c>
      <c r="G127" s="3282">
        <v>406</v>
      </c>
      <c r="H127" s="3296"/>
      <c r="I127" s="6484"/>
      <c r="J127" s="6456"/>
      <c r="K127" s="6488"/>
      <c r="L127" s="6444"/>
      <c r="M127" s="3288"/>
      <c r="N127" s="3288"/>
      <c r="O127" s="3288"/>
      <c r="P127" s="3288"/>
      <c r="Q127" s="3288"/>
    </row>
    <row r="128" spans="1:17" x14ac:dyDescent="0.25">
      <c r="A128" s="3173" t="s">
        <v>1022</v>
      </c>
      <c r="B128" s="3287">
        <f>0+0+2+3</f>
        <v>5</v>
      </c>
      <c r="C128" s="3287">
        <f>0+0+80+289</f>
        <v>369</v>
      </c>
      <c r="D128" s="3296"/>
      <c r="E128" s="3283" t="s">
        <v>924</v>
      </c>
      <c r="F128" s="3282">
        <v>10</v>
      </c>
      <c r="G128" s="3282">
        <v>4451</v>
      </c>
      <c r="H128" s="3296"/>
      <c r="I128" s="6484"/>
      <c r="J128" s="6456"/>
      <c r="K128" s="6488"/>
      <c r="L128" s="6444"/>
      <c r="M128" s="3288"/>
      <c r="N128" s="3288"/>
      <c r="O128" s="3288"/>
      <c r="P128" s="3288"/>
      <c r="Q128" s="3288"/>
    </row>
    <row r="129" spans="1:17" x14ac:dyDescent="0.25">
      <c r="A129" s="3173" t="s">
        <v>911</v>
      </c>
      <c r="B129" s="3287">
        <f>0+0+0+2</f>
        <v>2</v>
      </c>
      <c r="C129" s="3287">
        <f>0+0+0+34</f>
        <v>34</v>
      </c>
      <c r="D129" s="3296"/>
      <c r="E129" s="3283" t="s">
        <v>926</v>
      </c>
      <c r="F129" s="3282">
        <v>185</v>
      </c>
      <c r="G129" s="3282">
        <v>1486</v>
      </c>
      <c r="H129" s="3296"/>
      <c r="I129" s="6484"/>
      <c r="J129" s="6456"/>
      <c r="K129" s="6488"/>
      <c r="L129" s="6444"/>
      <c r="M129" s="3288"/>
      <c r="N129" s="3288"/>
      <c r="O129" s="3288"/>
      <c r="P129" s="3288"/>
      <c r="Q129" s="3288"/>
    </row>
    <row r="130" spans="1:17" x14ac:dyDescent="0.25">
      <c r="A130" s="3173" t="s">
        <v>913</v>
      </c>
      <c r="B130" s="3287">
        <f>0+0+0+4</f>
        <v>4</v>
      </c>
      <c r="C130" s="3287">
        <f>0+0+0+112</f>
        <v>112</v>
      </c>
      <c r="D130" s="3296"/>
      <c r="E130" s="3283" t="s">
        <v>915</v>
      </c>
      <c r="F130" s="3282">
        <f>11+525+350</f>
        <v>886</v>
      </c>
      <c r="G130" s="3282">
        <f>113+4200+4560</f>
        <v>8873</v>
      </c>
      <c r="H130" s="3296"/>
      <c r="I130" s="6455"/>
      <c r="J130" s="6457"/>
      <c r="K130" s="6489"/>
      <c r="L130" s="6445"/>
      <c r="M130" s="3288"/>
      <c r="N130" s="3288"/>
      <c r="O130" s="3288"/>
      <c r="P130" s="3288"/>
      <c r="Q130" s="3288"/>
    </row>
    <row r="131" spans="1:17" x14ac:dyDescent="0.25">
      <c r="A131" s="3281" t="s">
        <v>1023</v>
      </c>
      <c r="B131" s="3287">
        <f>0+0+1+1</f>
        <v>2</v>
      </c>
      <c r="C131" s="3287">
        <f>0+0+17+3</f>
        <v>20</v>
      </c>
      <c r="D131" s="3296"/>
      <c r="E131" s="3281" t="s">
        <v>922</v>
      </c>
      <c r="F131" s="3287">
        <f>362+96+270+339</f>
        <v>1067</v>
      </c>
      <c r="G131" s="3287">
        <f>3623+1920+6558+4068</f>
        <v>16169</v>
      </c>
      <c r="H131" s="3296"/>
      <c r="I131" s="3226" t="s">
        <v>1024</v>
      </c>
      <c r="J131" s="6443" t="s">
        <v>1025</v>
      </c>
      <c r="K131" s="6443">
        <v>1332</v>
      </c>
      <c r="L131" s="6443">
        <v>13642</v>
      </c>
      <c r="M131" s="3288"/>
      <c r="N131" s="3288"/>
      <c r="O131" s="3288"/>
      <c r="P131" s="3288"/>
      <c r="Q131" s="3288"/>
    </row>
    <row r="132" spans="1:17" x14ac:dyDescent="0.25">
      <c r="A132" s="3281" t="s">
        <v>915</v>
      </c>
      <c r="B132" s="3287">
        <f>6+1+1+13</f>
        <v>21</v>
      </c>
      <c r="C132" s="3287">
        <f>4752+120+4464+1687</f>
        <v>11023</v>
      </c>
      <c r="D132" s="3296"/>
      <c r="E132" s="3281" t="s">
        <v>1026</v>
      </c>
      <c r="F132" s="3287">
        <v>38</v>
      </c>
      <c r="G132" s="3287">
        <v>380</v>
      </c>
      <c r="H132" s="3296"/>
      <c r="I132" s="6484" t="s">
        <v>1027</v>
      </c>
      <c r="J132" s="6444"/>
      <c r="K132" s="6444"/>
      <c r="L132" s="6444"/>
      <c r="M132" s="3288"/>
      <c r="N132" s="3288"/>
      <c r="O132" s="3288"/>
      <c r="P132" s="3288"/>
      <c r="Q132" s="3288"/>
    </row>
    <row r="133" spans="1:17" x14ac:dyDescent="0.25">
      <c r="A133" s="3281" t="s">
        <v>1028</v>
      </c>
      <c r="B133" s="3287">
        <f>0+0+0+1</f>
        <v>1</v>
      </c>
      <c r="C133" s="3287">
        <f>0+0+0+387</f>
        <v>387</v>
      </c>
      <c r="D133" s="3296"/>
      <c r="E133" s="3281" t="s">
        <v>932</v>
      </c>
      <c r="F133" s="3287">
        <v>10</v>
      </c>
      <c r="G133" s="3287">
        <v>50</v>
      </c>
      <c r="H133" s="3296"/>
      <c r="I133" s="6484"/>
      <c r="J133" s="6456" t="s">
        <v>973</v>
      </c>
      <c r="K133" s="6444"/>
      <c r="L133" s="6444"/>
      <c r="M133" s="3288"/>
      <c r="N133" s="3288"/>
      <c r="O133" s="3288"/>
      <c r="P133" s="3288"/>
      <c r="Q133" s="3288"/>
    </row>
    <row r="134" spans="1:17" x14ac:dyDescent="0.25">
      <c r="A134" s="3281" t="s">
        <v>919</v>
      </c>
      <c r="B134" s="3287">
        <f>0+2</f>
        <v>2</v>
      </c>
      <c r="C134" s="3287">
        <f>0+210</f>
        <v>210</v>
      </c>
      <c r="D134" s="3296"/>
      <c r="E134" s="3281" t="s">
        <v>936</v>
      </c>
      <c r="F134" s="3287">
        <f>168000+26400+180</f>
        <v>194580</v>
      </c>
      <c r="G134" s="3287">
        <f>168000+26400+90000</f>
        <v>284400</v>
      </c>
      <c r="H134" s="3296"/>
      <c r="I134" s="6484"/>
      <c r="J134" s="6456"/>
      <c r="K134" s="6444"/>
      <c r="L134" s="6444"/>
      <c r="M134" s="3288"/>
      <c r="N134" s="3288"/>
      <c r="O134" s="3288"/>
      <c r="P134" s="3288"/>
      <c r="Q134" s="3288"/>
    </row>
    <row r="135" spans="1:17" x14ac:dyDescent="0.25">
      <c r="A135" s="3281" t="s">
        <v>922</v>
      </c>
      <c r="B135" s="3287">
        <f>4+10</f>
        <v>14</v>
      </c>
      <c r="C135" s="3282">
        <f>1297+1929</f>
        <v>3226</v>
      </c>
      <c r="D135" s="3296"/>
      <c r="E135" s="3173" t="s">
        <v>946</v>
      </c>
      <c r="F135" s="3287">
        <f>33</f>
        <v>33</v>
      </c>
      <c r="G135" s="3287">
        <f>396</f>
        <v>396</v>
      </c>
      <c r="H135" s="3296"/>
      <c r="I135" s="6484"/>
      <c r="J135" s="6456"/>
      <c r="K135" s="6444"/>
      <c r="L135" s="6444"/>
      <c r="M135" s="3288"/>
      <c r="N135" s="3288"/>
      <c r="O135" s="3288"/>
      <c r="P135" s="3288"/>
      <c r="Q135" s="3288"/>
    </row>
    <row r="136" spans="1:17" x14ac:dyDescent="0.25">
      <c r="A136" s="3281" t="s">
        <v>923</v>
      </c>
      <c r="B136" s="3287">
        <v>2</v>
      </c>
      <c r="C136" s="3287">
        <f>140+37</f>
        <v>177</v>
      </c>
      <c r="D136" s="3296"/>
      <c r="E136" s="3173" t="s">
        <v>990</v>
      </c>
      <c r="F136" s="3287">
        <f>32+72</f>
        <v>104</v>
      </c>
      <c r="G136" s="3287">
        <f>320+1296</f>
        <v>1616</v>
      </c>
      <c r="H136" s="3296"/>
      <c r="I136" s="6484"/>
      <c r="J136" s="6456"/>
      <c r="K136" s="6444"/>
      <c r="L136" s="6444"/>
      <c r="M136" s="3288"/>
      <c r="N136" s="3288"/>
      <c r="O136" s="3288"/>
      <c r="P136" s="3288"/>
      <c r="Q136" s="3288"/>
    </row>
    <row r="137" spans="1:17" x14ac:dyDescent="0.25">
      <c r="A137" s="3281" t="s">
        <v>925</v>
      </c>
      <c r="B137" s="3287">
        <v>1</v>
      </c>
      <c r="C137" s="3287">
        <f>281</f>
        <v>281</v>
      </c>
      <c r="D137" s="3296"/>
      <c r="E137" s="3281" t="s">
        <v>952</v>
      </c>
      <c r="F137" s="3287">
        <v>108</v>
      </c>
      <c r="G137" s="3287">
        <v>756</v>
      </c>
      <c r="H137" s="3296"/>
      <c r="I137" s="6484"/>
      <c r="J137" s="6456"/>
      <c r="K137" s="6444"/>
      <c r="L137" s="6444"/>
      <c r="M137" s="3288"/>
      <c r="N137" s="3288"/>
      <c r="O137" s="3288"/>
      <c r="P137" s="3288"/>
      <c r="Q137" s="3288"/>
    </row>
    <row r="138" spans="1:17" x14ac:dyDescent="0.25">
      <c r="A138" s="3281" t="s">
        <v>1029</v>
      </c>
      <c r="B138" s="3287">
        <f>1</f>
        <v>1</v>
      </c>
      <c r="C138" s="3287">
        <f>318</f>
        <v>318</v>
      </c>
      <c r="D138" s="3296"/>
      <c r="E138" s="3281" t="s">
        <v>955</v>
      </c>
      <c r="F138" s="3287">
        <f>42000+180</f>
        <v>42180</v>
      </c>
      <c r="G138" s="3287">
        <f>42000+10800</f>
        <v>52800</v>
      </c>
      <c r="H138" s="3296"/>
      <c r="I138" s="6484"/>
      <c r="J138" s="6456"/>
      <c r="K138" s="6444"/>
      <c r="L138" s="6444"/>
      <c r="M138" s="3288"/>
      <c r="N138" s="3288"/>
      <c r="O138" s="3288"/>
      <c r="P138" s="3288"/>
      <c r="Q138" s="3288"/>
    </row>
    <row r="139" spans="1:17" x14ac:dyDescent="0.25">
      <c r="A139" s="3281" t="s">
        <v>990</v>
      </c>
      <c r="B139" s="3287">
        <v>3</v>
      </c>
      <c r="C139" s="3287">
        <v>17</v>
      </c>
      <c r="D139" s="3296"/>
      <c r="E139" s="3281" t="s">
        <v>1007</v>
      </c>
      <c r="F139" s="3287">
        <v>1</v>
      </c>
      <c r="G139" s="3287">
        <v>102</v>
      </c>
      <c r="H139" s="3296"/>
      <c r="I139" s="6484"/>
      <c r="J139" s="6456"/>
      <c r="K139" s="6444"/>
      <c r="L139" s="6444"/>
      <c r="M139" s="3288"/>
      <c r="N139" s="3288"/>
      <c r="O139" s="3288"/>
      <c r="P139" s="3288"/>
      <c r="Q139" s="3288"/>
    </row>
    <row r="140" spans="1:17" x14ac:dyDescent="0.25">
      <c r="A140" s="3280" t="s">
        <v>992</v>
      </c>
      <c r="B140" s="3287">
        <v>2</v>
      </c>
      <c r="C140" s="3287">
        <v>67</v>
      </c>
      <c r="D140" s="3296"/>
      <c r="E140" s="3281" t="s">
        <v>985</v>
      </c>
      <c r="F140" s="3287">
        <v>3</v>
      </c>
      <c r="G140" s="3287">
        <v>69</v>
      </c>
      <c r="H140" s="3296"/>
      <c r="I140" s="6455"/>
      <c r="J140" s="6457"/>
      <c r="K140" s="6445"/>
      <c r="L140" s="6445"/>
      <c r="M140" s="3288"/>
      <c r="N140" s="3288"/>
      <c r="O140" s="3288"/>
      <c r="P140" s="3288"/>
      <c r="Q140" s="3288"/>
    </row>
    <row r="141" spans="1:17" x14ac:dyDescent="0.25">
      <c r="A141" s="3281" t="s">
        <v>927</v>
      </c>
      <c r="B141" s="3287">
        <f>2+1</f>
        <v>3</v>
      </c>
      <c r="C141" s="3282">
        <f>225+360</f>
        <v>585</v>
      </c>
      <c r="D141" s="3296"/>
      <c r="E141" s="3281" t="s">
        <v>956</v>
      </c>
      <c r="F141" s="3287">
        <v>231</v>
      </c>
      <c r="G141" s="3287">
        <v>3465</v>
      </c>
      <c r="H141" s="3296"/>
      <c r="I141" s="6426" t="s">
        <v>1030</v>
      </c>
      <c r="J141" s="4134" t="s">
        <v>1031</v>
      </c>
      <c r="K141" s="6443">
        <f>1469+239+133+1696+1309</f>
        <v>4846</v>
      </c>
      <c r="L141" s="6443">
        <f>1700+60+30+2000+1600</f>
        <v>5390</v>
      </c>
      <c r="M141" s="3288"/>
      <c r="N141" s="3288"/>
      <c r="O141" s="3288"/>
      <c r="P141" s="3288"/>
      <c r="Q141" s="3288"/>
    </row>
    <row r="142" spans="1:17" x14ac:dyDescent="0.25">
      <c r="A142" s="3281" t="s">
        <v>929</v>
      </c>
      <c r="B142" s="3287">
        <f>0+0+6</f>
        <v>6</v>
      </c>
      <c r="C142" s="3287">
        <f>0+0+0+122</f>
        <v>122</v>
      </c>
      <c r="D142" s="3296"/>
      <c r="E142" s="3280" t="s">
        <v>957</v>
      </c>
      <c r="F142" s="3287">
        <v>180</v>
      </c>
      <c r="G142" s="3287">
        <v>12600</v>
      </c>
      <c r="H142" s="3296"/>
      <c r="I142" s="6427"/>
      <c r="J142" s="4136" t="s">
        <v>1032</v>
      </c>
      <c r="K142" s="6445"/>
      <c r="L142" s="6445"/>
      <c r="M142" s="3288"/>
      <c r="N142" s="3288"/>
      <c r="O142" s="3288"/>
      <c r="P142" s="3288"/>
      <c r="Q142" s="3288"/>
    </row>
    <row r="143" spans="1:17" x14ac:dyDescent="0.25">
      <c r="A143" s="3281" t="s">
        <v>931</v>
      </c>
      <c r="B143" s="3287">
        <f>0+0+3</f>
        <v>3</v>
      </c>
      <c r="C143" s="3287">
        <f>0+0+65</f>
        <v>65</v>
      </c>
      <c r="D143" s="3296"/>
      <c r="E143" s="3281" t="s">
        <v>931</v>
      </c>
      <c r="F143" s="3287">
        <v>8750</v>
      </c>
      <c r="G143" s="3287">
        <v>17500</v>
      </c>
      <c r="H143" s="3296"/>
      <c r="I143" s="6426" t="s">
        <v>1033</v>
      </c>
      <c r="J143" s="4136" t="s">
        <v>1034</v>
      </c>
      <c r="K143" s="6443">
        <f>526+101+141+757+675</f>
        <v>2200</v>
      </c>
      <c r="L143" s="6443">
        <v>5390</v>
      </c>
      <c r="M143" s="3288"/>
      <c r="N143" s="3288"/>
      <c r="O143" s="3288"/>
      <c r="P143" s="3288"/>
      <c r="Q143" s="3288"/>
    </row>
    <row r="144" spans="1:17" x14ac:dyDescent="0.25">
      <c r="A144" s="3281" t="s">
        <v>935</v>
      </c>
      <c r="B144" s="3287">
        <f>0+0+2</f>
        <v>2</v>
      </c>
      <c r="C144" s="3287">
        <f>0+0+56</f>
        <v>56</v>
      </c>
      <c r="D144" s="3296"/>
      <c r="E144" s="3281" t="s">
        <v>958</v>
      </c>
      <c r="F144" s="3287">
        <f>4+108</f>
        <v>112</v>
      </c>
      <c r="G144" s="3287">
        <f>25+1404</f>
        <v>1429</v>
      </c>
      <c r="H144" s="3296"/>
      <c r="I144" s="6472"/>
      <c r="J144" s="4136" t="s">
        <v>1035</v>
      </c>
      <c r="K144" s="6444"/>
      <c r="L144" s="6444"/>
      <c r="M144" s="3288"/>
      <c r="N144" s="3288"/>
      <c r="O144" s="3288"/>
      <c r="P144" s="3288"/>
      <c r="Q144" s="3288"/>
    </row>
    <row r="145" spans="1:17" x14ac:dyDescent="0.25">
      <c r="A145" s="3281" t="s">
        <v>939</v>
      </c>
      <c r="B145" s="3287">
        <f>0+1+0+5</f>
        <v>6</v>
      </c>
      <c r="C145" s="3287">
        <f>0+15+0+99</f>
        <v>114</v>
      </c>
      <c r="D145" s="3296"/>
      <c r="E145" s="3280" t="s">
        <v>935</v>
      </c>
      <c r="F145" s="3287">
        <f>40+595+7</f>
        <v>642</v>
      </c>
      <c r="G145" s="3282">
        <f>80+1190+14</f>
        <v>1284</v>
      </c>
      <c r="H145" s="3296"/>
      <c r="I145" s="6427"/>
      <c r="J145" s="4135" t="s">
        <v>1036</v>
      </c>
      <c r="K145" s="6445"/>
      <c r="L145" s="6445"/>
      <c r="M145" s="3288"/>
      <c r="N145" s="3288"/>
      <c r="O145" s="3288"/>
      <c r="P145" s="3288"/>
      <c r="Q145" s="3288"/>
    </row>
    <row r="146" spans="1:17" x14ac:dyDescent="0.25">
      <c r="A146" s="6454" t="s">
        <v>942</v>
      </c>
      <c r="B146" s="6443">
        <f>4</f>
        <v>4</v>
      </c>
      <c r="C146" s="6443">
        <f>522</f>
        <v>522</v>
      </c>
      <c r="D146" s="3296"/>
      <c r="E146" s="3280" t="s">
        <v>939</v>
      </c>
      <c r="F146" s="3282">
        <f>527+96+443</f>
        <v>1066</v>
      </c>
      <c r="G146" s="3282">
        <f>2110+1152+1772</f>
        <v>5034</v>
      </c>
      <c r="H146" s="3296"/>
      <c r="I146" s="3203"/>
      <c r="J146" s="3133"/>
      <c r="K146" s="3244"/>
      <c r="L146" s="3296"/>
      <c r="M146" s="3288"/>
      <c r="N146" s="3288"/>
      <c r="O146" s="3288"/>
      <c r="P146" s="3288"/>
      <c r="Q146" s="3288"/>
    </row>
    <row r="147" spans="1:17" x14ac:dyDescent="0.25">
      <c r="A147" s="6455"/>
      <c r="B147" s="6445"/>
      <c r="C147" s="6445"/>
      <c r="D147" s="3296"/>
      <c r="E147" s="3280" t="s">
        <v>1011</v>
      </c>
      <c r="F147" s="3282">
        <f>84+365</f>
        <v>449</v>
      </c>
      <c r="G147" s="3282">
        <f>421+2920</f>
        <v>3341</v>
      </c>
      <c r="H147" s="3296"/>
      <c r="I147" s="3276" t="s">
        <v>12</v>
      </c>
      <c r="J147" s="3275"/>
      <c r="K147" s="3275">
        <f>SUM(K120:K145)</f>
        <v>9318</v>
      </c>
      <c r="L147" s="3275">
        <f>SUM(L120:L143)</f>
        <v>27522</v>
      </c>
      <c r="M147" s="3288"/>
      <c r="N147" s="3288"/>
      <c r="O147" s="3288"/>
      <c r="P147" s="3288"/>
      <c r="Q147" s="3288"/>
    </row>
    <row r="148" spans="1:17" x14ac:dyDescent="0.25">
      <c r="A148" s="3274" t="s">
        <v>945</v>
      </c>
      <c r="B148" s="3282">
        <v>3</v>
      </c>
      <c r="C148" s="3282">
        <v>50</v>
      </c>
      <c r="D148" s="3296"/>
      <c r="E148" s="3280" t="s">
        <v>1012</v>
      </c>
      <c r="F148" s="3282">
        <f>0+96</f>
        <v>96</v>
      </c>
      <c r="G148" s="3282">
        <f>0+1536</f>
        <v>1536</v>
      </c>
      <c r="H148" s="3296"/>
      <c r="I148" s="3296"/>
      <c r="J148" s="3296"/>
      <c r="K148" s="3296"/>
      <c r="L148" s="3296"/>
      <c r="M148" s="3288"/>
      <c r="N148" s="3288"/>
      <c r="O148" s="3288"/>
      <c r="P148" s="3288"/>
      <c r="Q148" s="3288"/>
    </row>
    <row r="149" spans="1:17" x14ac:dyDescent="0.25">
      <c r="A149" s="3273" t="s">
        <v>1011</v>
      </c>
      <c r="B149" s="3287">
        <f>1+0+4+6</f>
        <v>11</v>
      </c>
      <c r="C149" s="3282">
        <f>22+0+144+355</f>
        <v>521</v>
      </c>
      <c r="D149" s="3296"/>
      <c r="E149" s="3281" t="s">
        <v>1013</v>
      </c>
      <c r="F149" s="3287">
        <f>0+96</f>
        <v>96</v>
      </c>
      <c r="G149" s="3282">
        <f>0+1728</f>
        <v>1728</v>
      </c>
      <c r="H149" s="3296"/>
      <c r="I149" s="3296"/>
      <c r="J149" s="3296"/>
      <c r="K149" s="3296"/>
      <c r="L149" s="3296"/>
      <c r="M149" s="3288"/>
      <c r="N149" s="3288"/>
      <c r="O149" s="3288"/>
      <c r="P149" s="3288"/>
      <c r="Q149" s="3288"/>
    </row>
    <row r="150" spans="1:17" x14ac:dyDescent="0.25">
      <c r="A150" s="3133"/>
      <c r="B150" s="3133"/>
      <c r="C150" s="3244"/>
      <c r="D150" s="3296"/>
      <c r="E150" s="3133"/>
      <c r="F150" s="3133"/>
      <c r="G150" s="3244"/>
      <c r="H150" s="3296"/>
      <c r="I150" s="3296"/>
      <c r="J150" s="3296"/>
      <c r="K150" s="3296"/>
      <c r="L150" s="3296"/>
      <c r="M150" s="3288"/>
      <c r="N150" s="3288"/>
      <c r="O150" s="3288"/>
      <c r="P150" s="3288"/>
      <c r="Q150" s="3288"/>
    </row>
    <row r="151" spans="1:17" x14ac:dyDescent="0.25">
      <c r="A151" s="3276" t="s">
        <v>12</v>
      </c>
      <c r="B151" s="3275">
        <f>SUM(B121:B150)</f>
        <v>241</v>
      </c>
      <c r="C151" s="3275">
        <f>SUM(C121:C150)</f>
        <v>21072</v>
      </c>
      <c r="D151" s="3296"/>
      <c r="E151" s="3276" t="s">
        <v>12</v>
      </c>
      <c r="F151" s="3275">
        <f>SUM(F121:F150)</f>
        <v>256086</v>
      </c>
      <c r="G151" s="3275">
        <f>SUM(G121:G150)</f>
        <v>461379</v>
      </c>
      <c r="H151" s="3296"/>
      <c r="I151" s="3296"/>
      <c r="J151" s="3296"/>
      <c r="K151" s="3296"/>
      <c r="L151" s="3296"/>
      <c r="M151" s="3288"/>
      <c r="N151" s="3288"/>
      <c r="O151" s="3288"/>
      <c r="P151" s="3288"/>
      <c r="Q151" s="3288"/>
    </row>
    <row r="152" spans="1:17" x14ac:dyDescent="0.25">
      <c r="A152" s="6493" t="s">
        <v>1037</v>
      </c>
      <c r="B152" s="6493"/>
      <c r="C152" s="6493"/>
      <c r="D152" s="6493"/>
      <c r="E152" s="6493"/>
      <c r="F152" s="6493"/>
      <c r="G152" s="6493"/>
      <c r="H152" s="3296"/>
      <c r="I152" s="3296"/>
      <c r="J152" s="3296"/>
      <c r="K152" s="3296"/>
      <c r="L152" s="3296"/>
      <c r="M152" s="3288"/>
      <c r="N152" s="3288"/>
      <c r="O152" s="3288"/>
      <c r="P152" s="3288"/>
      <c r="Q152" s="3288"/>
    </row>
    <row r="153" spans="1:17" x14ac:dyDescent="0.25">
      <c r="A153" s="3288"/>
      <c r="B153" s="3288"/>
      <c r="C153" s="3288"/>
      <c r="D153" s="3288"/>
      <c r="E153" s="3288"/>
      <c r="F153" s="3288"/>
      <c r="G153" s="3288"/>
      <c r="H153" s="3288"/>
      <c r="I153" s="3288"/>
      <c r="J153" s="3288"/>
      <c r="K153" s="3288"/>
      <c r="L153" s="3288"/>
      <c r="M153" s="3288"/>
      <c r="N153" s="3288"/>
      <c r="O153" s="3288"/>
      <c r="P153" s="3288"/>
      <c r="Q153" s="3288"/>
    </row>
    <row r="154" spans="1:17" x14ac:dyDescent="0.25">
      <c r="A154" s="3288"/>
      <c r="B154" s="3288"/>
      <c r="C154" s="3288"/>
      <c r="D154" s="3288"/>
      <c r="E154" s="3288"/>
      <c r="F154" s="3288"/>
      <c r="G154" s="3288"/>
      <c r="H154" s="3288"/>
      <c r="I154" s="3288"/>
      <c r="J154" s="3288"/>
      <c r="K154" s="3288"/>
      <c r="L154" s="3288"/>
      <c r="M154" s="3288"/>
      <c r="N154" s="3288"/>
      <c r="O154" s="3288"/>
      <c r="P154" s="3288"/>
      <c r="Q154" s="3288"/>
    </row>
    <row r="155" spans="1:17" x14ac:dyDescent="0.25">
      <c r="A155" s="6404" t="s">
        <v>896</v>
      </c>
      <c r="B155" s="6405"/>
      <c r="C155" s="6406"/>
      <c r="D155" s="3288"/>
      <c r="E155" s="6404" t="s">
        <v>1115</v>
      </c>
      <c r="F155" s="6405"/>
      <c r="G155" s="6406"/>
      <c r="H155" s="3288"/>
      <c r="I155" s="6461" t="s">
        <v>1116</v>
      </c>
      <c r="J155" s="6462"/>
      <c r="K155" s="6462"/>
      <c r="L155" s="6463"/>
      <c r="M155" s="3288"/>
      <c r="N155" s="3288"/>
      <c r="O155" s="3288"/>
      <c r="P155" s="3288"/>
      <c r="Q155" s="3288"/>
    </row>
    <row r="156" spans="1:17" x14ac:dyDescent="0.25">
      <c r="A156" s="6461" t="s">
        <v>1117</v>
      </c>
      <c r="B156" s="6462"/>
      <c r="C156" s="6463"/>
      <c r="D156" s="3288"/>
      <c r="E156" s="6461" t="s">
        <v>897</v>
      </c>
      <c r="F156" s="6462"/>
      <c r="G156" s="6463"/>
      <c r="H156" s="3288"/>
      <c r="I156" s="6476" t="s">
        <v>595</v>
      </c>
      <c r="J156" s="6478" t="s">
        <v>898</v>
      </c>
      <c r="K156" s="6479" t="s">
        <v>904</v>
      </c>
      <c r="L156" s="6480"/>
      <c r="M156" s="3288"/>
      <c r="N156" s="3288"/>
      <c r="O156" s="3288"/>
      <c r="P156" s="3288"/>
      <c r="Q156" s="3288"/>
    </row>
    <row r="157" spans="1:17" x14ac:dyDescent="0.25">
      <c r="A157" s="6481" t="s">
        <v>900</v>
      </c>
      <c r="B157" s="6482" t="s">
        <v>901</v>
      </c>
      <c r="C157" s="6482" t="s">
        <v>902</v>
      </c>
      <c r="D157" s="3288"/>
      <c r="E157" s="6481" t="s">
        <v>595</v>
      </c>
      <c r="F157" s="6482" t="s">
        <v>903</v>
      </c>
      <c r="G157" s="6482" t="s">
        <v>904</v>
      </c>
      <c r="H157" s="3288"/>
      <c r="I157" s="6477"/>
      <c r="J157" s="6477"/>
      <c r="K157" s="3202" t="s">
        <v>962</v>
      </c>
      <c r="L157" s="3201" t="s">
        <v>1014</v>
      </c>
      <c r="M157" s="3288"/>
      <c r="N157" s="3288"/>
      <c r="O157" s="3288"/>
      <c r="P157" s="3288"/>
      <c r="Q157" s="3288"/>
    </row>
    <row r="158" spans="1:17" x14ac:dyDescent="0.25">
      <c r="A158" s="6481"/>
      <c r="B158" s="6483"/>
      <c r="C158" s="6483"/>
      <c r="D158" s="3288"/>
      <c r="E158" s="6481"/>
      <c r="F158" s="6483"/>
      <c r="G158" s="6483"/>
      <c r="H158" s="3288"/>
      <c r="I158" s="3133"/>
      <c r="J158" s="3133"/>
      <c r="K158" s="3293"/>
      <c r="L158" s="3296"/>
      <c r="M158" s="3288"/>
      <c r="N158" s="3288"/>
      <c r="O158" s="3288"/>
      <c r="P158" s="3288"/>
      <c r="Q158" s="3288"/>
    </row>
    <row r="159" spans="1:17" x14ac:dyDescent="0.25">
      <c r="A159" s="3212" t="s">
        <v>905</v>
      </c>
      <c r="B159" s="3208">
        <v>12</v>
      </c>
      <c r="C159" s="3175">
        <v>900</v>
      </c>
      <c r="D159" s="3288"/>
      <c r="E159" s="3294"/>
      <c r="F159" s="3294"/>
      <c r="G159" s="3295"/>
      <c r="H159" s="3288"/>
      <c r="I159" s="3200" t="s">
        <v>1048</v>
      </c>
      <c r="J159" s="3165" t="s">
        <v>1049</v>
      </c>
      <c r="K159" s="3225">
        <v>1149</v>
      </c>
      <c r="L159" s="3287">
        <f>15426-1149</f>
        <v>14277</v>
      </c>
      <c r="M159" s="3288"/>
      <c r="N159" s="3288"/>
      <c r="O159" s="3288"/>
      <c r="P159" s="3288"/>
      <c r="Q159" s="3288"/>
    </row>
    <row r="160" spans="1:17" x14ac:dyDescent="0.25">
      <c r="A160" s="3283" t="s">
        <v>1038</v>
      </c>
      <c r="B160" s="3282">
        <v>2</v>
      </c>
      <c r="C160" s="3282">
        <v>35</v>
      </c>
      <c r="D160" s="3288"/>
      <c r="E160" s="3174" t="s">
        <v>959</v>
      </c>
      <c r="F160" s="3208">
        <f>87+87</f>
        <v>174</v>
      </c>
      <c r="G160" s="3175">
        <v>348</v>
      </c>
      <c r="H160" s="3288"/>
      <c r="I160" s="6490" t="s">
        <v>599</v>
      </c>
      <c r="J160" s="6491" t="s">
        <v>1050</v>
      </c>
      <c r="K160" s="6492">
        <v>3563</v>
      </c>
      <c r="L160" s="6443">
        <v>4945</v>
      </c>
      <c r="M160" s="3288"/>
      <c r="N160" s="3288"/>
      <c r="O160" s="3288"/>
      <c r="P160" s="3288"/>
      <c r="Q160" s="3288"/>
    </row>
    <row r="161" spans="1:17" x14ac:dyDescent="0.25">
      <c r="A161" s="3283" t="s">
        <v>908</v>
      </c>
      <c r="B161" s="3282">
        <v>11</v>
      </c>
      <c r="C161" s="3282">
        <v>774</v>
      </c>
      <c r="D161" s="3288"/>
      <c r="E161" s="3283" t="s">
        <v>1038</v>
      </c>
      <c r="F161" s="3282">
        <v>72</v>
      </c>
      <c r="G161" s="3282">
        <v>855</v>
      </c>
      <c r="H161" s="3288"/>
      <c r="I161" s="6490"/>
      <c r="J161" s="6491"/>
      <c r="K161" s="6492"/>
      <c r="L161" s="6445"/>
      <c r="M161" s="3288"/>
      <c r="N161" s="3288"/>
      <c r="O161" s="3288"/>
      <c r="P161" s="3288"/>
      <c r="Q161" s="3288"/>
    </row>
    <row r="162" spans="1:17" ht="25.5" x14ac:dyDescent="0.25">
      <c r="A162" s="3235" t="s">
        <v>1018</v>
      </c>
      <c r="B162" s="3282">
        <v>20</v>
      </c>
      <c r="C162" s="3282">
        <v>858</v>
      </c>
      <c r="D162" s="3288"/>
      <c r="E162" s="3284" t="s">
        <v>1044</v>
      </c>
      <c r="F162" s="3227">
        <v>2873</v>
      </c>
      <c r="G162" s="3227">
        <v>6746</v>
      </c>
      <c r="H162" s="3288"/>
      <c r="I162" s="3283" t="s">
        <v>933</v>
      </c>
      <c r="J162" s="3232" t="s">
        <v>1051</v>
      </c>
      <c r="K162" s="3282">
        <v>2698</v>
      </c>
      <c r="L162" s="3282">
        <v>4945</v>
      </c>
      <c r="M162" s="3288"/>
      <c r="N162" s="3288"/>
      <c r="O162" s="3288"/>
      <c r="P162" s="3288"/>
      <c r="Q162" s="3288"/>
    </row>
    <row r="163" spans="1:17" x14ac:dyDescent="0.25">
      <c r="A163" s="3283" t="s">
        <v>974</v>
      </c>
      <c r="B163" s="3282">
        <v>1</v>
      </c>
      <c r="C163" s="3282">
        <v>36</v>
      </c>
      <c r="D163" s="3288"/>
      <c r="E163" s="3283" t="s">
        <v>909</v>
      </c>
      <c r="F163" s="3282">
        <f>659+174+1057</f>
        <v>1890</v>
      </c>
      <c r="G163" s="3282">
        <v>9677</v>
      </c>
      <c r="H163" s="3288"/>
      <c r="I163" s="3173" t="s">
        <v>944</v>
      </c>
      <c r="J163" s="3287" t="s">
        <v>1049</v>
      </c>
      <c r="K163" s="3287">
        <v>558</v>
      </c>
      <c r="L163" s="3287">
        <v>2360</v>
      </c>
      <c r="M163" s="3288"/>
      <c r="N163" s="3288"/>
      <c r="O163" s="3288"/>
      <c r="P163" s="3288"/>
      <c r="Q163" s="3288"/>
    </row>
    <row r="164" spans="1:17" x14ac:dyDescent="0.25">
      <c r="A164" s="3283" t="s">
        <v>977</v>
      </c>
      <c r="B164" s="3282">
        <v>8</v>
      </c>
      <c r="C164" s="3282">
        <v>43</v>
      </c>
      <c r="D164" s="3288"/>
      <c r="E164" s="3283" t="s">
        <v>912</v>
      </c>
      <c r="F164" s="3282">
        <v>24</v>
      </c>
      <c r="G164" s="3282">
        <v>164</v>
      </c>
      <c r="H164" s="3288"/>
      <c r="I164" s="3296"/>
      <c r="J164" s="3296"/>
      <c r="K164" s="3296"/>
      <c r="L164" s="3296"/>
      <c r="M164" s="3288"/>
      <c r="N164" s="3288"/>
      <c r="O164" s="3288"/>
      <c r="P164" s="3288"/>
      <c r="Q164" s="3288"/>
    </row>
    <row r="165" spans="1:17" x14ac:dyDescent="0.25">
      <c r="A165" s="3234" t="s">
        <v>1039</v>
      </c>
      <c r="B165" s="3282">
        <v>4</v>
      </c>
      <c r="C165" s="3282">
        <v>191</v>
      </c>
      <c r="D165" s="3288"/>
      <c r="E165" s="3283" t="s">
        <v>1045</v>
      </c>
      <c r="F165" s="3282">
        <v>24</v>
      </c>
      <c r="G165" s="3282">
        <v>186</v>
      </c>
      <c r="H165" s="3288"/>
      <c r="I165" s="6479" t="s">
        <v>12</v>
      </c>
      <c r="J165" s="6480"/>
      <c r="K165" s="3275">
        <f>SUM(K159:K163)</f>
        <v>7968</v>
      </c>
      <c r="L165" s="3275">
        <f>SUM(L159:L163)</f>
        <v>26527</v>
      </c>
      <c r="M165" s="3288"/>
      <c r="N165" s="3288"/>
      <c r="O165" s="3288"/>
      <c r="P165" s="3288"/>
      <c r="Q165" s="3288"/>
    </row>
    <row r="166" spans="1:17" x14ac:dyDescent="0.25">
      <c r="A166" s="3280" t="s">
        <v>1040</v>
      </c>
      <c r="B166" s="3282">
        <v>3</v>
      </c>
      <c r="C166" s="3282">
        <v>1162</v>
      </c>
      <c r="D166" s="3288"/>
      <c r="E166" s="3283" t="s">
        <v>913</v>
      </c>
      <c r="F166" s="3282">
        <v>16</v>
      </c>
      <c r="G166" s="3282">
        <v>64</v>
      </c>
      <c r="H166" s="3288"/>
      <c r="I166" s="3288"/>
      <c r="J166" s="3288"/>
      <c r="K166" s="3288"/>
      <c r="L166" s="3288"/>
      <c r="M166" s="3288"/>
      <c r="N166" s="3288"/>
      <c r="O166" s="3288"/>
      <c r="P166" s="3288"/>
      <c r="Q166" s="3288"/>
    </row>
    <row r="167" spans="1:17" x14ac:dyDescent="0.25">
      <c r="A167" s="3283" t="s">
        <v>1022</v>
      </c>
      <c r="B167" s="3282">
        <v>8</v>
      </c>
      <c r="C167" s="3282">
        <v>355</v>
      </c>
      <c r="D167" s="3288"/>
      <c r="E167" s="3283" t="s">
        <v>915</v>
      </c>
      <c r="F167" s="3282">
        <f>110+3948+36</f>
        <v>4094</v>
      </c>
      <c r="G167" s="3282">
        <v>49122</v>
      </c>
      <c r="H167" s="3288"/>
      <c r="I167" s="3288"/>
      <c r="J167" s="3288"/>
      <c r="K167" s="3288"/>
      <c r="L167" s="3288"/>
      <c r="M167" s="3288"/>
      <c r="N167" s="3288"/>
      <c r="O167" s="3288"/>
      <c r="P167" s="3288"/>
      <c r="Q167" s="3288"/>
    </row>
    <row r="168" spans="1:17" x14ac:dyDescent="0.25">
      <c r="A168" s="3283" t="s">
        <v>911</v>
      </c>
      <c r="B168" s="3282">
        <v>1</v>
      </c>
      <c r="C168" s="3282">
        <v>15</v>
      </c>
      <c r="D168" s="3288"/>
      <c r="E168" s="3280" t="s">
        <v>922</v>
      </c>
      <c r="F168" s="3282">
        <f>396+171</f>
        <v>567</v>
      </c>
      <c r="G168" s="3282">
        <f>7924+6020</f>
        <v>13944</v>
      </c>
      <c r="H168" s="3288"/>
      <c r="I168" s="3288"/>
      <c r="J168" s="3288"/>
      <c r="K168" s="3288"/>
      <c r="L168" s="3288"/>
      <c r="M168" s="3288"/>
      <c r="N168" s="3288"/>
      <c r="O168" s="3288"/>
      <c r="P168" s="3288"/>
      <c r="Q168" s="3288"/>
    </row>
    <row r="169" spans="1:17" x14ac:dyDescent="0.25">
      <c r="A169" s="3283" t="s">
        <v>913</v>
      </c>
      <c r="B169" s="3282">
        <v>1</v>
      </c>
      <c r="C169" s="3282">
        <v>23</v>
      </c>
      <c r="D169" s="3288"/>
      <c r="E169" s="3280" t="s">
        <v>936</v>
      </c>
      <c r="F169" s="3282">
        <f>93210+61050+18975</f>
        <v>173235</v>
      </c>
      <c r="G169" s="3282">
        <v>173235</v>
      </c>
      <c r="H169" s="3288"/>
      <c r="I169" s="3288"/>
      <c r="J169" s="3288"/>
      <c r="K169" s="3288"/>
      <c r="L169" s="3288"/>
      <c r="M169" s="3288"/>
      <c r="N169" s="3288"/>
      <c r="O169" s="3288"/>
      <c r="P169" s="3288"/>
      <c r="Q169" s="3288"/>
    </row>
    <row r="170" spans="1:17" x14ac:dyDescent="0.25">
      <c r="A170" s="3280" t="s">
        <v>1023</v>
      </c>
      <c r="B170" s="3282">
        <v>1</v>
      </c>
      <c r="C170" s="3282">
        <v>32</v>
      </c>
      <c r="D170" s="3288"/>
      <c r="E170" s="3280" t="s">
        <v>1046</v>
      </c>
      <c r="F170" s="3282">
        <v>36</v>
      </c>
      <c r="G170" s="3282">
        <v>420</v>
      </c>
      <c r="H170" s="3288"/>
      <c r="I170" s="3288"/>
      <c r="J170" s="3288"/>
      <c r="K170" s="3288"/>
      <c r="L170" s="3288"/>
      <c r="M170" s="3288"/>
      <c r="N170" s="3288"/>
      <c r="O170" s="3288"/>
      <c r="P170" s="3288"/>
      <c r="Q170" s="3288"/>
    </row>
    <row r="171" spans="1:17" x14ac:dyDescent="0.25">
      <c r="A171" s="3280" t="s">
        <v>915</v>
      </c>
      <c r="B171" s="3282">
        <v>24</v>
      </c>
      <c r="C171" s="3282">
        <v>8887</v>
      </c>
      <c r="D171" s="3288"/>
      <c r="E171" s="3283" t="s">
        <v>943</v>
      </c>
      <c r="F171" s="3282">
        <v>780</v>
      </c>
      <c r="G171" s="3282">
        <v>8680</v>
      </c>
      <c r="H171" s="3288"/>
      <c r="I171" s="3288"/>
      <c r="J171" s="3288"/>
      <c r="K171" s="3288"/>
      <c r="L171" s="3288"/>
      <c r="M171" s="3288"/>
      <c r="N171" s="3288"/>
      <c r="O171" s="3288"/>
      <c r="P171" s="3288"/>
      <c r="Q171" s="3288"/>
    </row>
    <row r="172" spans="1:17" x14ac:dyDescent="0.25">
      <c r="A172" s="3280" t="s">
        <v>1041</v>
      </c>
      <c r="B172" s="3282">
        <v>3</v>
      </c>
      <c r="C172" s="3282">
        <v>407</v>
      </c>
      <c r="D172" s="3288"/>
      <c r="E172" s="3283" t="s">
        <v>946</v>
      </c>
      <c r="F172" s="3282">
        <v>33</v>
      </c>
      <c r="G172" s="3282">
        <v>462</v>
      </c>
      <c r="H172" s="3288"/>
      <c r="I172" s="3288"/>
      <c r="J172" s="3288"/>
      <c r="K172" s="3288"/>
      <c r="L172" s="3288"/>
      <c r="M172" s="3288"/>
      <c r="N172" s="3288"/>
      <c r="O172" s="3288"/>
      <c r="P172" s="3288"/>
      <c r="Q172" s="3288"/>
    </row>
    <row r="173" spans="1:17" x14ac:dyDescent="0.25">
      <c r="A173" s="3280" t="s">
        <v>919</v>
      </c>
      <c r="B173" s="3282">
        <v>2</v>
      </c>
      <c r="C173" s="3282">
        <v>430</v>
      </c>
      <c r="D173" s="3288"/>
      <c r="E173" s="3283" t="s">
        <v>990</v>
      </c>
      <c r="F173" s="3282">
        <v>72</v>
      </c>
      <c r="G173" s="3282">
        <v>642</v>
      </c>
      <c r="H173" s="3288"/>
      <c r="I173" s="3288"/>
      <c r="J173" s="3288"/>
      <c r="K173" s="3288"/>
      <c r="L173" s="3288"/>
      <c r="M173" s="3288"/>
      <c r="N173" s="3288"/>
      <c r="O173" s="3288"/>
      <c r="P173" s="3288"/>
      <c r="Q173" s="3288"/>
    </row>
    <row r="174" spans="1:17" x14ac:dyDescent="0.25">
      <c r="A174" s="3280" t="s">
        <v>922</v>
      </c>
      <c r="B174" s="3282">
        <v>10</v>
      </c>
      <c r="C174" s="3282">
        <v>3460</v>
      </c>
      <c r="D174" s="3288"/>
      <c r="E174" s="3280" t="s">
        <v>952</v>
      </c>
      <c r="F174" s="3282">
        <v>72</v>
      </c>
      <c r="G174" s="3282">
        <v>562</v>
      </c>
      <c r="H174" s="3288"/>
      <c r="I174" s="3288"/>
      <c r="J174" s="3288"/>
      <c r="K174" s="3288"/>
      <c r="L174" s="3288"/>
      <c r="M174" s="3288"/>
      <c r="N174" s="3288"/>
      <c r="O174" s="3288"/>
      <c r="P174" s="3288"/>
      <c r="Q174" s="3288"/>
    </row>
    <row r="175" spans="1:17" x14ac:dyDescent="0.25">
      <c r="A175" s="3280" t="s">
        <v>923</v>
      </c>
      <c r="B175" s="3282">
        <v>6</v>
      </c>
      <c r="C175" s="3282">
        <v>195</v>
      </c>
      <c r="D175" s="3288"/>
      <c r="E175" s="3280" t="s">
        <v>1006</v>
      </c>
      <c r="F175" s="3282">
        <v>24</v>
      </c>
      <c r="G175" s="3282">
        <v>145</v>
      </c>
      <c r="H175" s="3288"/>
      <c r="I175" s="3288"/>
      <c r="J175" s="3288"/>
      <c r="K175" s="3288"/>
      <c r="L175" s="3288"/>
      <c r="M175" s="3288"/>
      <c r="N175" s="3288"/>
      <c r="O175" s="3288"/>
      <c r="P175" s="3288"/>
      <c r="Q175" s="3288"/>
    </row>
    <row r="176" spans="1:17" ht="25.5" x14ac:dyDescent="0.25">
      <c r="A176" s="3280" t="s">
        <v>992</v>
      </c>
      <c r="B176" s="3282">
        <v>3</v>
      </c>
      <c r="C176" s="3282">
        <v>85</v>
      </c>
      <c r="D176" s="3288"/>
      <c r="E176" s="3234" t="s">
        <v>955</v>
      </c>
      <c r="F176" s="3282">
        <v>10920</v>
      </c>
      <c r="G176" s="3282">
        <v>10920</v>
      </c>
      <c r="H176" s="3288"/>
      <c r="I176" s="3288"/>
      <c r="J176" s="3288"/>
      <c r="K176" s="3288"/>
      <c r="L176" s="3288"/>
      <c r="M176" s="3288"/>
      <c r="N176" s="3288"/>
      <c r="O176" s="3288"/>
      <c r="P176" s="3288"/>
      <c r="Q176" s="3288"/>
    </row>
    <row r="177" spans="1:17" x14ac:dyDescent="0.25">
      <c r="A177" s="3280" t="s">
        <v>927</v>
      </c>
      <c r="B177" s="3282">
        <v>1</v>
      </c>
      <c r="C177" s="3282">
        <v>412</v>
      </c>
      <c r="D177" s="3288"/>
      <c r="E177" s="3280" t="s">
        <v>957</v>
      </c>
      <c r="F177" s="3282">
        <f>180+132</f>
        <v>312</v>
      </c>
      <c r="G177" s="3282">
        <v>13421</v>
      </c>
      <c r="H177" s="3288"/>
      <c r="I177" s="3288"/>
      <c r="J177" s="3288"/>
      <c r="K177" s="3288"/>
      <c r="L177" s="3288"/>
      <c r="M177" s="3288"/>
      <c r="N177" s="3288"/>
      <c r="O177" s="3288"/>
      <c r="P177" s="3288"/>
      <c r="Q177" s="3288"/>
    </row>
    <row r="178" spans="1:17" x14ac:dyDescent="0.25">
      <c r="A178" s="3280" t="s">
        <v>929</v>
      </c>
      <c r="B178" s="3282">
        <v>9</v>
      </c>
      <c r="C178" s="3282">
        <f>32+93</f>
        <v>125</v>
      </c>
      <c r="D178" s="3288"/>
      <c r="E178" s="3280" t="s">
        <v>931</v>
      </c>
      <c r="F178" s="3282">
        <v>8664</v>
      </c>
      <c r="G178" s="3282">
        <v>17328</v>
      </c>
      <c r="H178" s="3288"/>
      <c r="I178" s="3288"/>
      <c r="J178" s="3288"/>
      <c r="K178" s="3288"/>
      <c r="L178" s="3288"/>
      <c r="M178" s="3288"/>
      <c r="N178" s="3288"/>
      <c r="O178" s="3288"/>
      <c r="P178" s="3288"/>
      <c r="Q178" s="3288"/>
    </row>
    <row r="179" spans="1:17" x14ac:dyDescent="0.25">
      <c r="A179" s="3280" t="s">
        <v>931</v>
      </c>
      <c r="B179" s="3282">
        <v>2</v>
      </c>
      <c r="C179" s="3282">
        <v>125</v>
      </c>
      <c r="D179" s="3288"/>
      <c r="E179" s="3280" t="s">
        <v>1047</v>
      </c>
      <c r="F179" s="3282">
        <v>24</v>
      </c>
      <c r="G179" s="3282">
        <v>179</v>
      </c>
      <c r="H179" s="3288"/>
      <c r="I179" s="3288"/>
      <c r="J179" s="3288"/>
      <c r="K179" s="3288"/>
      <c r="L179" s="3288"/>
      <c r="M179" s="3288"/>
      <c r="N179" s="3288"/>
      <c r="O179" s="3288"/>
      <c r="P179" s="3288"/>
      <c r="Q179" s="3288"/>
    </row>
    <row r="180" spans="1:17" x14ac:dyDescent="0.25">
      <c r="A180" s="3280" t="s">
        <v>935</v>
      </c>
      <c r="B180" s="3282">
        <v>4</v>
      </c>
      <c r="C180" s="3282">
        <v>266</v>
      </c>
      <c r="D180" s="3288"/>
      <c r="E180" s="3280" t="s">
        <v>958</v>
      </c>
      <c r="F180" s="3282">
        <v>72</v>
      </c>
      <c r="G180" s="3282">
        <v>848</v>
      </c>
      <c r="H180" s="3288"/>
      <c r="I180" s="3288"/>
      <c r="J180" s="3288"/>
      <c r="K180" s="3288"/>
      <c r="L180" s="3288"/>
      <c r="M180" s="3288"/>
      <c r="N180" s="3288"/>
      <c r="O180" s="3288"/>
      <c r="P180" s="3288"/>
      <c r="Q180" s="3288"/>
    </row>
    <row r="181" spans="1:17" x14ac:dyDescent="0.25">
      <c r="A181" s="3280" t="s">
        <v>939</v>
      </c>
      <c r="B181" s="3282">
        <v>10</v>
      </c>
      <c r="C181" s="3282">
        <v>180</v>
      </c>
      <c r="D181" s="3288"/>
      <c r="E181" s="3280" t="s">
        <v>935</v>
      </c>
      <c r="F181" s="3282">
        <v>630</v>
      </c>
      <c r="G181" s="3282">
        <v>1260</v>
      </c>
      <c r="H181" s="3288"/>
      <c r="I181" s="3288"/>
      <c r="J181" s="3288"/>
      <c r="K181" s="3288"/>
      <c r="L181" s="3288"/>
      <c r="M181" s="3288"/>
      <c r="N181" s="3288"/>
      <c r="O181" s="3288"/>
      <c r="P181" s="3288"/>
      <c r="Q181" s="3288"/>
    </row>
    <row r="182" spans="1:17" ht="25.5" x14ac:dyDescent="0.25">
      <c r="A182" s="3234" t="s">
        <v>942</v>
      </c>
      <c r="B182" s="3282">
        <v>5</v>
      </c>
      <c r="C182" s="3282">
        <f>593+60</f>
        <v>653</v>
      </c>
      <c r="D182" s="3288"/>
      <c r="E182" s="3280" t="s">
        <v>939</v>
      </c>
      <c r="F182" s="3282">
        <f>87+651</f>
        <v>738</v>
      </c>
      <c r="G182" s="3282">
        <v>4404</v>
      </c>
      <c r="H182" s="3288"/>
      <c r="I182" s="3288"/>
      <c r="J182" s="3288"/>
      <c r="K182" s="3288"/>
      <c r="L182" s="3288"/>
      <c r="M182" s="3288"/>
      <c r="N182" s="3288"/>
      <c r="O182" s="3288"/>
      <c r="P182" s="3288"/>
      <c r="Q182" s="3288"/>
    </row>
    <row r="183" spans="1:17" x14ac:dyDescent="0.25">
      <c r="A183" s="3280" t="s">
        <v>1042</v>
      </c>
      <c r="B183" s="3282">
        <v>2</v>
      </c>
      <c r="C183" s="3282">
        <v>127</v>
      </c>
      <c r="D183" s="3288"/>
      <c r="E183" s="3280" t="s">
        <v>1011</v>
      </c>
      <c r="F183" s="3282">
        <v>49</v>
      </c>
      <c r="G183" s="3282">
        <v>125</v>
      </c>
      <c r="H183" s="3288"/>
      <c r="I183" s="3288"/>
      <c r="J183" s="3288"/>
      <c r="K183" s="3288"/>
      <c r="L183" s="3288"/>
      <c r="M183" s="3288"/>
      <c r="N183" s="3288"/>
      <c r="O183" s="3288"/>
      <c r="P183" s="3288"/>
      <c r="Q183" s="3288"/>
    </row>
    <row r="184" spans="1:17" x14ac:dyDescent="0.25">
      <c r="A184" s="3224" t="s">
        <v>1043</v>
      </c>
      <c r="B184" s="3282">
        <v>16</v>
      </c>
      <c r="C184" s="3282">
        <v>704</v>
      </c>
      <c r="D184" s="3288"/>
      <c r="E184" s="3280" t="s">
        <v>1012</v>
      </c>
      <c r="F184" s="3282">
        <v>87</v>
      </c>
      <c r="G184" s="3282">
        <v>1218</v>
      </c>
      <c r="H184" s="3288"/>
      <c r="I184" s="3288"/>
      <c r="J184" s="3288"/>
      <c r="K184" s="3288"/>
      <c r="L184" s="3288"/>
      <c r="M184" s="3288"/>
      <c r="N184" s="3288"/>
      <c r="O184" s="3288"/>
      <c r="P184" s="3288"/>
      <c r="Q184" s="3288"/>
    </row>
    <row r="185" spans="1:17" x14ac:dyDescent="0.25">
      <c r="A185" s="3276" t="s">
        <v>12</v>
      </c>
      <c r="B185" s="3275">
        <f>SUM(B159:B184)</f>
        <v>169</v>
      </c>
      <c r="C185" s="3275">
        <f>SUM(C159:C184)</f>
        <v>20480</v>
      </c>
      <c r="D185" s="3288"/>
      <c r="E185" s="3276" t="s">
        <v>12</v>
      </c>
      <c r="F185" s="3275">
        <f>SUM(F160:F184)</f>
        <v>205482</v>
      </c>
      <c r="G185" s="3275">
        <f>SUM(G160:G184)</f>
        <v>314955</v>
      </c>
      <c r="H185" s="3288"/>
      <c r="I185" s="3288"/>
      <c r="J185" s="3288"/>
      <c r="K185" s="3288"/>
      <c r="L185" s="3288"/>
      <c r="M185" s="3288"/>
      <c r="N185" s="3288"/>
      <c r="O185" s="3288"/>
      <c r="P185" s="3288"/>
      <c r="Q185" s="3288"/>
    </row>
    <row r="186" spans="1:17" x14ac:dyDescent="0.25">
      <c r="A186" s="3169" t="s">
        <v>954</v>
      </c>
      <c r="B186" s="3296"/>
      <c r="C186" s="3296"/>
      <c r="D186" s="3288"/>
      <c r="E186" s="3169" t="s">
        <v>954</v>
      </c>
      <c r="F186" s="3296"/>
      <c r="G186" s="3296"/>
      <c r="H186" s="3288"/>
      <c r="I186" s="3288"/>
      <c r="J186" s="3288"/>
      <c r="K186" s="3288"/>
      <c r="L186" s="3288"/>
      <c r="M186" s="3288"/>
      <c r="N186" s="3288"/>
      <c r="O186" s="3288"/>
      <c r="P186" s="3288"/>
      <c r="Q186" s="3288"/>
    </row>
    <row r="187" spans="1:17" x14ac:dyDescent="0.25">
      <c r="A187" s="3288"/>
      <c r="B187" s="3288"/>
      <c r="C187" s="3288"/>
      <c r="D187" s="3288"/>
      <c r="E187" s="3288"/>
      <c r="F187" s="3288"/>
      <c r="G187" s="3288"/>
      <c r="H187" s="3288"/>
      <c r="I187" s="3288"/>
      <c r="J187" s="3288"/>
      <c r="K187" s="3288"/>
      <c r="L187" s="3288"/>
      <c r="M187" s="3288"/>
      <c r="N187" s="3288"/>
      <c r="O187" s="3288"/>
      <c r="P187" s="3288"/>
      <c r="Q187" s="3288"/>
    </row>
    <row r="188" spans="1:17" x14ac:dyDescent="0.25">
      <c r="A188" s="6404" t="s">
        <v>896</v>
      </c>
      <c r="B188" s="6405"/>
      <c r="C188" s="6406"/>
      <c r="D188" s="3233"/>
      <c r="E188" s="6404" t="s">
        <v>1118</v>
      </c>
      <c r="F188" s="6405"/>
      <c r="G188" s="6406"/>
      <c r="H188" s="3233"/>
      <c r="I188" s="6404" t="s">
        <v>1119</v>
      </c>
      <c r="J188" s="6405"/>
      <c r="K188" s="6405"/>
      <c r="L188" s="6406"/>
      <c r="M188" s="3288"/>
      <c r="N188" s="3288"/>
      <c r="O188" s="3288"/>
      <c r="P188" s="3288"/>
      <c r="Q188" s="3288"/>
    </row>
    <row r="189" spans="1:17" x14ac:dyDescent="0.25">
      <c r="A189" s="6461" t="s">
        <v>1120</v>
      </c>
      <c r="B189" s="6462"/>
      <c r="C189" s="6463"/>
      <c r="D189" s="3233"/>
      <c r="E189" s="6461" t="s">
        <v>897</v>
      </c>
      <c r="F189" s="6462"/>
      <c r="G189" s="6463"/>
      <c r="H189" s="3233"/>
      <c r="I189" s="6477" t="s">
        <v>595</v>
      </c>
      <c r="J189" s="6476" t="s">
        <v>898</v>
      </c>
      <c r="K189" s="6467" t="s">
        <v>904</v>
      </c>
      <c r="L189" s="6468"/>
      <c r="M189" s="3288"/>
      <c r="N189" s="3288"/>
      <c r="O189" s="3288"/>
      <c r="P189" s="3288"/>
      <c r="Q189" s="3288"/>
    </row>
    <row r="190" spans="1:17" x14ac:dyDescent="0.25">
      <c r="A190" s="6481" t="s">
        <v>900</v>
      </c>
      <c r="B190" s="6482" t="s">
        <v>1055</v>
      </c>
      <c r="C190" s="6482" t="s">
        <v>1056</v>
      </c>
      <c r="D190" s="3233"/>
      <c r="E190" s="6481" t="s">
        <v>595</v>
      </c>
      <c r="F190" s="6482" t="s">
        <v>1057</v>
      </c>
      <c r="G190" s="6482" t="s">
        <v>1058</v>
      </c>
      <c r="H190" s="3233"/>
      <c r="I190" s="6481"/>
      <c r="J190" s="6477"/>
      <c r="K190" s="3205" t="s">
        <v>962</v>
      </c>
      <c r="L190" s="3205" t="s">
        <v>1014</v>
      </c>
      <c r="M190" s="3288"/>
      <c r="N190" s="3288"/>
      <c r="O190" s="3288"/>
      <c r="P190" s="3288"/>
      <c r="Q190" s="3288"/>
    </row>
    <row r="191" spans="1:17" x14ac:dyDescent="0.25">
      <c r="A191" s="6481"/>
      <c r="B191" s="6483"/>
      <c r="C191" s="6483"/>
      <c r="D191" s="3233"/>
      <c r="E191" s="6481"/>
      <c r="F191" s="6483"/>
      <c r="G191" s="6483"/>
      <c r="H191" s="3233"/>
      <c r="I191" s="3294"/>
      <c r="J191" s="3294"/>
      <c r="K191" s="3295"/>
      <c r="L191" s="3233"/>
      <c r="M191" s="3288"/>
      <c r="N191" s="3288"/>
      <c r="O191" s="3288"/>
      <c r="P191" s="3288"/>
      <c r="Q191" s="3288"/>
    </row>
    <row r="192" spans="1:17" x14ac:dyDescent="0.25">
      <c r="A192" s="3294"/>
      <c r="B192" s="3294"/>
      <c r="C192" s="3295"/>
      <c r="D192" s="3233"/>
      <c r="E192" s="3294"/>
      <c r="F192" s="3294"/>
      <c r="G192" s="3295"/>
      <c r="H192" s="3233"/>
      <c r="I192" s="3284" t="s">
        <v>1048</v>
      </c>
      <c r="J192" s="3208" t="s">
        <v>1049</v>
      </c>
      <c r="K192" s="3175">
        <v>1256</v>
      </c>
      <c r="L192" s="3175">
        <v>11361</v>
      </c>
      <c r="M192" s="3288"/>
      <c r="N192" s="3288"/>
      <c r="O192" s="3288"/>
      <c r="P192" s="3288"/>
      <c r="Q192" s="3288"/>
    </row>
    <row r="193" spans="1:17" x14ac:dyDescent="0.25">
      <c r="A193" s="3284" t="s">
        <v>905</v>
      </c>
      <c r="B193" s="3282">
        <f>3+3+1+2</f>
        <v>9</v>
      </c>
      <c r="C193" s="3282">
        <f>74+193+18+30+42</f>
        <v>357</v>
      </c>
      <c r="D193" s="3233"/>
      <c r="E193" s="3284" t="s">
        <v>905</v>
      </c>
      <c r="F193" s="3282">
        <f>500+49+63+20</f>
        <v>632</v>
      </c>
      <c r="G193" s="3282">
        <f>1000+98+126+40</f>
        <v>1264</v>
      </c>
      <c r="H193" s="3233"/>
      <c r="I193" s="3284" t="s">
        <v>599</v>
      </c>
      <c r="J193" s="3232" t="s">
        <v>1050</v>
      </c>
      <c r="K193" s="3282">
        <v>2658</v>
      </c>
      <c r="L193" s="3282">
        <v>3040</v>
      </c>
      <c r="M193" s="3288"/>
      <c r="N193" s="3288"/>
      <c r="O193" s="3288"/>
      <c r="P193" s="3288"/>
      <c r="Q193" s="3288"/>
    </row>
    <row r="194" spans="1:17" x14ac:dyDescent="0.25">
      <c r="A194" s="3284" t="s">
        <v>908</v>
      </c>
      <c r="B194" s="3282">
        <v>10</v>
      </c>
      <c r="C194" s="3282">
        <v>912</v>
      </c>
      <c r="D194" s="3233"/>
      <c r="E194" s="3284" t="s">
        <v>1038</v>
      </c>
      <c r="F194" s="3282">
        <v>11</v>
      </c>
      <c r="G194" s="3282">
        <v>111</v>
      </c>
      <c r="H194" s="3233"/>
      <c r="I194" s="3284" t="s">
        <v>933</v>
      </c>
      <c r="J194" s="3232" t="s">
        <v>1051</v>
      </c>
      <c r="K194" s="3282">
        <v>2052</v>
      </c>
      <c r="L194" s="3282">
        <v>3040</v>
      </c>
      <c r="M194" s="3288"/>
      <c r="N194" s="3288"/>
      <c r="O194" s="3288"/>
      <c r="P194" s="3288"/>
      <c r="Q194" s="3288"/>
    </row>
    <row r="195" spans="1:17" x14ac:dyDescent="0.25">
      <c r="A195" s="3284" t="s">
        <v>1059</v>
      </c>
      <c r="B195" s="3282">
        <v>1</v>
      </c>
      <c r="C195" s="3282">
        <v>18</v>
      </c>
      <c r="D195" s="3233"/>
      <c r="E195" s="3284" t="s">
        <v>909</v>
      </c>
      <c r="F195" s="3282">
        <f>250+432</f>
        <v>682</v>
      </c>
      <c r="G195" s="3282">
        <f>750+2592</f>
        <v>3342</v>
      </c>
      <c r="H195" s="3233"/>
      <c r="I195" s="3284" t="s">
        <v>944</v>
      </c>
      <c r="J195" s="3282" t="s">
        <v>1049</v>
      </c>
      <c r="K195" s="3282">
        <v>866</v>
      </c>
      <c r="L195" s="3282">
        <v>2764</v>
      </c>
      <c r="M195" s="3288"/>
      <c r="N195" s="3288"/>
      <c r="O195" s="3288"/>
      <c r="P195" s="3288"/>
      <c r="Q195" s="3288"/>
    </row>
    <row r="196" spans="1:17" x14ac:dyDescent="0.25">
      <c r="A196" s="3284" t="s">
        <v>1060</v>
      </c>
      <c r="B196" s="3282">
        <v>1</v>
      </c>
      <c r="C196" s="3282">
        <v>478</v>
      </c>
      <c r="D196" s="3233"/>
      <c r="E196" s="3284" t="s">
        <v>913</v>
      </c>
      <c r="F196" s="3282">
        <f>4+19</f>
        <v>23</v>
      </c>
      <c r="G196" s="3282">
        <v>92</v>
      </c>
      <c r="H196" s="3233"/>
      <c r="I196" s="3294"/>
      <c r="J196" s="3294"/>
      <c r="K196" s="3223"/>
      <c r="L196" s="3233"/>
      <c r="M196" s="3288"/>
      <c r="N196" s="3288"/>
      <c r="O196" s="3288"/>
      <c r="P196" s="3288"/>
      <c r="Q196" s="3288"/>
    </row>
    <row r="197" spans="1:17" x14ac:dyDescent="0.25">
      <c r="A197" s="3284" t="s">
        <v>1061</v>
      </c>
      <c r="B197" s="3208">
        <f>1+1</f>
        <v>2</v>
      </c>
      <c r="C197" s="3175">
        <f>49+64</f>
        <v>113</v>
      </c>
      <c r="D197" s="3233"/>
      <c r="E197" s="3284" t="s">
        <v>1062</v>
      </c>
      <c r="F197" s="3282">
        <v>6187</v>
      </c>
      <c r="G197" s="3282">
        <v>6187</v>
      </c>
      <c r="H197" s="3233"/>
      <c r="I197" s="3276" t="s">
        <v>12</v>
      </c>
      <c r="J197" s="3275"/>
      <c r="K197" s="3275">
        <f>SUM(K192:K196)</f>
        <v>6832</v>
      </c>
      <c r="L197" s="3275">
        <f>SUM(L192:L196)</f>
        <v>20205</v>
      </c>
      <c r="M197" s="3288"/>
      <c r="N197" s="3288"/>
      <c r="O197" s="3288"/>
      <c r="P197" s="3288"/>
      <c r="Q197" s="3288"/>
    </row>
    <row r="198" spans="1:17" x14ac:dyDescent="0.25">
      <c r="A198" s="3284" t="s">
        <v>1063</v>
      </c>
      <c r="B198" s="3282">
        <v>1</v>
      </c>
      <c r="C198" s="3282">
        <v>26</v>
      </c>
      <c r="D198" s="3233"/>
      <c r="E198" s="3284" t="s">
        <v>915</v>
      </c>
      <c r="F198" s="3282">
        <f>1915+500+5+23</f>
        <v>2443</v>
      </c>
      <c r="G198" s="3282">
        <v>27448</v>
      </c>
      <c r="H198" s="3233"/>
      <c r="I198" s="3292"/>
      <c r="J198" s="3292"/>
      <c r="K198" s="3292"/>
      <c r="L198" s="3292"/>
      <c r="M198" s="3288"/>
      <c r="N198" s="3288"/>
      <c r="O198" s="3288"/>
      <c r="P198" s="3288"/>
      <c r="Q198" s="3288"/>
    </row>
    <row r="199" spans="1:17" x14ac:dyDescent="0.25">
      <c r="A199" s="3284" t="s">
        <v>1064</v>
      </c>
      <c r="B199" s="3282">
        <v>1</v>
      </c>
      <c r="C199" s="3282">
        <v>16</v>
      </c>
      <c r="D199" s="3233"/>
      <c r="E199" s="3284" t="s">
        <v>922</v>
      </c>
      <c r="F199" s="3282">
        <f>209+500+20+154+33+167+17</f>
        <v>1100</v>
      </c>
      <c r="G199" s="3282">
        <v>19363</v>
      </c>
      <c r="H199" s="3233"/>
      <c r="I199" s="3292"/>
      <c r="J199" s="3292"/>
      <c r="K199" s="3292"/>
      <c r="L199" s="3292"/>
      <c r="M199" s="3288"/>
      <c r="N199" s="3288"/>
      <c r="O199" s="3288"/>
      <c r="P199" s="3288"/>
      <c r="Q199" s="3288"/>
    </row>
    <row r="200" spans="1:17" x14ac:dyDescent="0.25">
      <c r="A200" s="3284" t="s">
        <v>913</v>
      </c>
      <c r="B200" s="3282">
        <v>3</v>
      </c>
      <c r="C200" s="3282">
        <f>29+20+34</f>
        <v>83</v>
      </c>
      <c r="D200" s="3233"/>
      <c r="E200" s="3284" t="s">
        <v>936</v>
      </c>
      <c r="F200" s="3282">
        <f>19672+105600</f>
        <v>125272</v>
      </c>
      <c r="G200" s="3282">
        <f>19672+105600</f>
        <v>125272</v>
      </c>
      <c r="H200" s="3233"/>
      <c r="I200" s="3292"/>
      <c r="J200" s="3292"/>
      <c r="K200" s="3292"/>
      <c r="L200" s="3292"/>
      <c r="M200" s="3288"/>
      <c r="N200" s="3288"/>
      <c r="O200" s="3288"/>
      <c r="P200" s="3288"/>
      <c r="Q200" s="3288"/>
    </row>
    <row r="201" spans="1:17" x14ac:dyDescent="0.25">
      <c r="A201" s="3284" t="s">
        <v>1023</v>
      </c>
      <c r="B201" s="3282">
        <v>1</v>
      </c>
      <c r="C201" s="3282">
        <v>21</v>
      </c>
      <c r="D201" s="3233"/>
      <c r="E201" s="3284" t="s">
        <v>1046</v>
      </c>
      <c r="F201" s="3282">
        <v>90</v>
      </c>
      <c r="G201" s="3282">
        <v>90</v>
      </c>
      <c r="H201" s="3233"/>
      <c r="I201" s="3292"/>
      <c r="J201" s="3292"/>
      <c r="K201" s="3292"/>
      <c r="L201" s="3292"/>
      <c r="M201" s="3288"/>
      <c r="N201" s="3288"/>
      <c r="O201" s="3288"/>
      <c r="P201" s="3288"/>
      <c r="Q201" s="3288"/>
    </row>
    <row r="202" spans="1:17" x14ac:dyDescent="0.25">
      <c r="A202" s="3284" t="s">
        <v>915</v>
      </c>
      <c r="B202" s="3282">
        <v>13</v>
      </c>
      <c r="C202" s="3282">
        <f>5407+75+580</f>
        <v>6062</v>
      </c>
      <c r="D202" s="3233"/>
      <c r="E202" s="3284" t="s">
        <v>943</v>
      </c>
      <c r="F202" s="3282">
        <v>3000</v>
      </c>
      <c r="G202" s="3282">
        <v>9000</v>
      </c>
      <c r="H202" s="3233"/>
      <c r="I202" s="3292"/>
      <c r="J202" s="3292"/>
      <c r="K202" s="3292"/>
      <c r="L202" s="3292"/>
      <c r="M202" s="3288"/>
      <c r="N202" s="3288"/>
      <c r="O202" s="3288"/>
      <c r="P202" s="3288"/>
      <c r="Q202" s="3288"/>
    </row>
    <row r="203" spans="1:17" x14ac:dyDescent="0.25">
      <c r="A203" s="3284" t="s">
        <v>1065</v>
      </c>
      <c r="B203" s="3282">
        <v>1</v>
      </c>
      <c r="C203" s="3282">
        <v>219</v>
      </c>
      <c r="D203" s="3233"/>
      <c r="E203" s="3284" t="s">
        <v>990</v>
      </c>
      <c r="F203" s="3282">
        <v>360</v>
      </c>
      <c r="G203" s="3282">
        <v>360</v>
      </c>
      <c r="H203" s="3233"/>
      <c r="I203" s="3292"/>
      <c r="J203" s="3292"/>
      <c r="K203" s="3292"/>
      <c r="L203" s="3292"/>
      <c r="M203" s="3288"/>
      <c r="N203" s="3288"/>
      <c r="O203" s="3288"/>
      <c r="P203" s="3288"/>
      <c r="Q203" s="3288"/>
    </row>
    <row r="204" spans="1:17" x14ac:dyDescent="0.25">
      <c r="A204" s="3284" t="s">
        <v>922</v>
      </c>
      <c r="B204" s="3282">
        <v>7</v>
      </c>
      <c r="C204" s="3282">
        <f>3285+838</f>
        <v>4123</v>
      </c>
      <c r="D204" s="3233"/>
      <c r="E204" s="3284" t="s">
        <v>955</v>
      </c>
      <c r="F204" s="3282">
        <v>11000</v>
      </c>
      <c r="G204" s="3282">
        <v>11000</v>
      </c>
      <c r="H204" s="3233"/>
      <c r="I204" s="3292"/>
      <c r="J204" s="3292"/>
      <c r="K204" s="3292"/>
      <c r="L204" s="3292"/>
      <c r="M204" s="3288"/>
      <c r="N204" s="3288"/>
      <c r="O204" s="3288"/>
      <c r="P204" s="3288"/>
      <c r="Q204" s="3288"/>
    </row>
    <row r="205" spans="1:17" x14ac:dyDescent="0.25">
      <c r="A205" s="3284" t="s">
        <v>927</v>
      </c>
      <c r="B205" s="3282">
        <v>1</v>
      </c>
      <c r="C205" s="3282">
        <v>500</v>
      </c>
      <c r="D205" s="3233"/>
      <c r="E205" s="3284" t="s">
        <v>956</v>
      </c>
      <c r="F205" s="3208">
        <v>154</v>
      </c>
      <c r="G205" s="3175">
        <v>154</v>
      </c>
      <c r="H205" s="3233"/>
      <c r="I205" s="3292"/>
      <c r="J205" s="3292"/>
      <c r="K205" s="3292"/>
      <c r="L205" s="3292"/>
      <c r="M205" s="3288"/>
      <c r="N205" s="3288"/>
      <c r="O205" s="3288"/>
      <c r="P205" s="3288"/>
      <c r="Q205" s="3288"/>
    </row>
    <row r="206" spans="1:17" x14ac:dyDescent="0.25">
      <c r="A206" s="3284" t="s">
        <v>1066</v>
      </c>
      <c r="B206" s="3282">
        <v>3</v>
      </c>
      <c r="C206" s="3282">
        <f>56+46+22</f>
        <v>124</v>
      </c>
      <c r="D206" s="3233"/>
      <c r="E206" s="3284" t="s">
        <v>957</v>
      </c>
      <c r="F206" s="3282">
        <v>1357</v>
      </c>
      <c r="G206" s="3282">
        <v>1357</v>
      </c>
      <c r="H206" s="3233"/>
      <c r="I206" s="3292"/>
      <c r="J206" s="3292"/>
      <c r="K206" s="3292"/>
      <c r="L206" s="3292"/>
      <c r="M206" s="3288"/>
      <c r="N206" s="3288"/>
      <c r="O206" s="3288"/>
      <c r="P206" s="3288"/>
      <c r="Q206" s="3288"/>
    </row>
    <row r="207" spans="1:17" x14ac:dyDescent="0.25">
      <c r="A207" s="3284" t="s">
        <v>931</v>
      </c>
      <c r="B207" s="3282">
        <v>2</v>
      </c>
      <c r="C207" s="3282">
        <v>115</v>
      </c>
      <c r="D207" s="3233"/>
      <c r="E207" s="3284" t="s">
        <v>931</v>
      </c>
      <c r="F207" s="3282">
        <v>8815</v>
      </c>
      <c r="G207" s="3282">
        <v>17630</v>
      </c>
      <c r="H207" s="3233"/>
      <c r="I207" s="3292"/>
      <c r="J207" s="3292"/>
      <c r="K207" s="3292"/>
      <c r="L207" s="3292"/>
      <c r="M207" s="3288"/>
      <c r="N207" s="3288"/>
      <c r="O207" s="3288"/>
      <c r="P207" s="3288"/>
      <c r="Q207" s="3288"/>
    </row>
    <row r="208" spans="1:17" x14ac:dyDescent="0.25">
      <c r="A208" s="3284" t="s">
        <v>935</v>
      </c>
      <c r="B208" s="3282">
        <v>3</v>
      </c>
      <c r="C208" s="3282">
        <v>168</v>
      </c>
      <c r="D208" s="3233"/>
      <c r="E208" s="3284" t="s">
        <v>958</v>
      </c>
      <c r="F208" s="3282">
        <v>186</v>
      </c>
      <c r="G208" s="3282">
        <v>186</v>
      </c>
      <c r="H208" s="3233"/>
      <c r="I208" s="3292"/>
      <c r="J208" s="3292"/>
      <c r="K208" s="3292"/>
      <c r="L208" s="3292"/>
      <c r="M208" s="3288"/>
      <c r="N208" s="3288"/>
      <c r="O208" s="3288"/>
      <c r="P208" s="3288"/>
      <c r="Q208" s="3288"/>
    </row>
    <row r="209" spans="1:17" x14ac:dyDescent="0.25">
      <c r="A209" s="3284" t="s">
        <v>939</v>
      </c>
      <c r="B209" s="3282">
        <f>1+2+1+1</f>
        <v>5</v>
      </c>
      <c r="C209" s="3282">
        <f>18+30+24+32</f>
        <v>104</v>
      </c>
      <c r="D209" s="3233"/>
      <c r="E209" s="3284" t="s">
        <v>935</v>
      </c>
      <c r="F209" s="3282">
        <v>603</v>
      </c>
      <c r="G209" s="3282">
        <v>1206</v>
      </c>
      <c r="H209" s="3233"/>
      <c r="I209" s="3292"/>
      <c r="J209" s="3292"/>
      <c r="K209" s="3292"/>
      <c r="L209" s="3292"/>
      <c r="M209" s="3288"/>
      <c r="N209" s="3288"/>
      <c r="O209" s="3288"/>
      <c r="P209" s="3288"/>
      <c r="Q209" s="3288"/>
    </row>
    <row r="210" spans="1:17" x14ac:dyDescent="0.25">
      <c r="A210" s="3284" t="s">
        <v>1067</v>
      </c>
      <c r="B210" s="3282">
        <v>3</v>
      </c>
      <c r="C210" s="3282">
        <v>834</v>
      </c>
      <c r="D210" s="3233"/>
      <c r="E210" s="3284" t="s">
        <v>939</v>
      </c>
      <c r="F210" s="3282">
        <v>2687</v>
      </c>
      <c r="G210" s="3282">
        <f>150+4000+508+550+166</f>
        <v>5374</v>
      </c>
      <c r="H210" s="3233"/>
      <c r="I210" s="3292"/>
      <c r="J210" s="3292"/>
      <c r="K210" s="3292"/>
      <c r="L210" s="3292"/>
      <c r="M210" s="3288"/>
      <c r="N210" s="3288"/>
      <c r="O210" s="3288"/>
      <c r="P210" s="3288"/>
      <c r="Q210" s="3288"/>
    </row>
    <row r="211" spans="1:17" x14ac:dyDescent="0.25">
      <c r="A211" s="3284" t="s">
        <v>1011</v>
      </c>
      <c r="B211" s="3282">
        <f>4+2</f>
        <v>6</v>
      </c>
      <c r="C211" s="3282">
        <f>98+80+172</f>
        <v>350</v>
      </c>
      <c r="D211" s="3233"/>
      <c r="E211" s="3284" t="s">
        <v>1068</v>
      </c>
      <c r="F211" s="3282">
        <v>250</v>
      </c>
      <c r="G211" s="3282">
        <v>3250</v>
      </c>
      <c r="H211" s="3233"/>
      <c r="I211" s="3292"/>
      <c r="J211" s="3292"/>
      <c r="K211" s="3292"/>
      <c r="L211" s="3292"/>
      <c r="M211" s="3288"/>
      <c r="N211" s="3288"/>
      <c r="O211" s="3288"/>
      <c r="P211" s="3288"/>
      <c r="Q211" s="3288"/>
    </row>
    <row r="212" spans="1:17" x14ac:dyDescent="0.25">
      <c r="A212" s="3294"/>
      <c r="B212" s="3294"/>
      <c r="C212" s="3223"/>
      <c r="D212" s="3233"/>
      <c r="E212" s="3284" t="s">
        <v>1011</v>
      </c>
      <c r="F212" s="3282">
        <v>63</v>
      </c>
      <c r="G212" s="3282">
        <v>252</v>
      </c>
      <c r="H212" s="3233"/>
      <c r="I212" s="3222"/>
      <c r="J212" s="3292"/>
      <c r="K212" s="3292"/>
      <c r="L212" s="3292"/>
      <c r="M212" s="3288"/>
      <c r="N212" s="3288"/>
      <c r="O212" s="3288"/>
      <c r="P212" s="3288"/>
      <c r="Q212" s="3288"/>
    </row>
    <row r="213" spans="1:17" x14ac:dyDescent="0.25">
      <c r="A213" s="3276" t="s">
        <v>12</v>
      </c>
      <c r="B213" s="3275">
        <f>SUM(B193:B212)</f>
        <v>73</v>
      </c>
      <c r="C213" s="3275">
        <f>SUM(C193:C212)</f>
        <v>14623</v>
      </c>
      <c r="D213" s="3233"/>
      <c r="E213" s="3284" t="s">
        <v>1012</v>
      </c>
      <c r="F213" s="3282">
        <v>118</v>
      </c>
      <c r="G213" s="3282">
        <v>118</v>
      </c>
      <c r="H213" s="3233"/>
      <c r="I213" s="3292"/>
      <c r="J213" s="3292"/>
      <c r="K213" s="3292"/>
      <c r="L213" s="3292"/>
      <c r="M213" s="3288"/>
      <c r="N213" s="3288"/>
      <c r="O213" s="3288"/>
      <c r="P213" s="3288"/>
      <c r="Q213" s="3288"/>
    </row>
    <row r="214" spans="1:17" x14ac:dyDescent="0.25">
      <c r="A214" s="3206" t="s">
        <v>954</v>
      </c>
      <c r="B214" s="3292"/>
      <c r="C214" s="3292"/>
      <c r="D214" s="3233"/>
      <c r="E214" s="3294"/>
      <c r="F214" s="3294"/>
      <c r="G214" s="3223"/>
      <c r="H214" s="3233"/>
      <c r="I214" s="3292"/>
      <c r="J214" s="3292"/>
      <c r="K214" s="3292"/>
      <c r="L214" s="3292"/>
      <c r="M214" s="3288"/>
      <c r="N214" s="3288"/>
      <c r="O214" s="3288"/>
      <c r="P214" s="3288"/>
      <c r="Q214" s="3288"/>
    </row>
    <row r="215" spans="1:17" x14ac:dyDescent="0.25">
      <c r="A215" s="3292"/>
      <c r="B215" s="3302"/>
      <c r="C215" s="3302"/>
      <c r="D215" s="3233"/>
      <c r="E215" s="3276" t="s">
        <v>12</v>
      </c>
      <c r="F215" s="3275">
        <f>SUM(F193:F214)</f>
        <v>165033</v>
      </c>
      <c r="G215" s="3275">
        <f>SUM(G193:G214)</f>
        <v>233056</v>
      </c>
      <c r="H215" s="3233"/>
      <c r="I215" s="3292"/>
      <c r="J215" s="3292"/>
      <c r="K215" s="3292"/>
      <c r="L215" s="3292"/>
      <c r="M215" s="3288"/>
      <c r="N215" s="3288"/>
      <c r="O215" s="3288"/>
      <c r="P215" s="3288"/>
      <c r="Q215" s="3288"/>
    </row>
    <row r="216" spans="1:17" x14ac:dyDescent="0.25">
      <c r="A216" s="3233"/>
      <c r="B216" s="3233"/>
      <c r="C216" s="3233"/>
      <c r="D216" s="3233"/>
      <c r="E216" s="3206" t="s">
        <v>954</v>
      </c>
      <c r="F216" s="3233"/>
      <c r="G216" s="3233"/>
      <c r="H216" s="3233"/>
      <c r="I216" s="3292"/>
      <c r="J216" s="3292"/>
      <c r="K216" s="3292"/>
      <c r="L216" s="3292"/>
      <c r="M216" s="3288"/>
      <c r="N216" s="3288"/>
      <c r="O216" s="3288"/>
      <c r="P216" s="3288"/>
      <c r="Q216" s="3288"/>
    </row>
    <row r="217" spans="1:17" x14ac:dyDescent="0.25">
      <c r="A217" s="3233"/>
      <c r="B217" s="3233"/>
      <c r="C217" s="3233"/>
      <c r="D217" s="3233"/>
      <c r="E217" s="3233"/>
      <c r="F217" s="3233"/>
      <c r="G217" s="3233"/>
      <c r="H217" s="3233"/>
      <c r="I217" s="3292"/>
      <c r="J217" s="3292"/>
      <c r="K217" s="3292"/>
      <c r="L217" s="3292"/>
      <c r="M217" s="3288"/>
      <c r="N217" s="3288"/>
      <c r="O217" s="3288"/>
      <c r="P217" s="3288"/>
      <c r="Q217" s="3288"/>
    </row>
    <row r="218" spans="1:17" ht="25.5" x14ac:dyDescent="0.25">
      <c r="A218" s="3296"/>
      <c r="B218" s="3296"/>
      <c r="C218" s="3296"/>
      <c r="D218" s="3309"/>
      <c r="E218" s="3288"/>
      <c r="F218" s="3296"/>
      <c r="G218" s="3296"/>
      <c r="H218" s="3309"/>
      <c r="I218" s="6404" t="s">
        <v>1121</v>
      </c>
      <c r="J218" s="6405"/>
      <c r="K218" s="6405"/>
      <c r="L218" s="6406"/>
      <c r="M218" s="3288"/>
      <c r="N218" s="3276" t="s">
        <v>16</v>
      </c>
      <c r="O218" s="3276" t="s">
        <v>1123</v>
      </c>
      <c r="P218" s="3199" t="s">
        <v>901</v>
      </c>
      <c r="Q218" s="3199" t="s">
        <v>1083</v>
      </c>
    </row>
    <row r="219" spans="1:17" x14ac:dyDescent="0.25">
      <c r="A219" s="3288"/>
      <c r="B219" s="3288"/>
      <c r="C219" s="3288"/>
      <c r="D219" s="3288"/>
      <c r="E219" s="3288"/>
      <c r="F219" s="3288"/>
      <c r="G219" s="3288"/>
      <c r="H219" s="3288"/>
      <c r="I219" s="6477" t="s">
        <v>595</v>
      </c>
      <c r="J219" s="6476" t="s">
        <v>898</v>
      </c>
      <c r="K219" s="6467" t="s">
        <v>904</v>
      </c>
      <c r="L219" s="6468"/>
      <c r="M219" s="3288"/>
      <c r="N219" s="3296"/>
      <c r="O219" s="3133"/>
      <c r="P219" s="3133"/>
      <c r="Q219" s="3293"/>
    </row>
    <row r="220" spans="1:17" ht="15" customHeight="1" x14ac:dyDescent="0.25">
      <c r="A220" s="3288"/>
      <c r="B220" s="3288"/>
      <c r="C220" s="3288"/>
      <c r="D220" s="3288"/>
      <c r="E220" s="3288"/>
      <c r="F220" s="3288"/>
      <c r="G220" s="3288"/>
      <c r="H220" s="3288"/>
      <c r="I220" s="6481"/>
      <c r="J220" s="6477"/>
      <c r="K220" s="3205" t="s">
        <v>962</v>
      </c>
      <c r="L220" s="3205" t="s">
        <v>1014</v>
      </c>
      <c r="M220" s="3288"/>
      <c r="N220" s="6494" t="s">
        <v>3</v>
      </c>
      <c r="O220" s="3210" t="s">
        <v>1072</v>
      </c>
      <c r="P220" s="3198">
        <v>3</v>
      </c>
      <c r="Q220" s="3197">
        <v>1214</v>
      </c>
    </row>
    <row r="221" spans="1:17" ht="15" customHeight="1" x14ac:dyDescent="0.25">
      <c r="A221" s="3288"/>
      <c r="B221" s="3288"/>
      <c r="C221" s="3288"/>
      <c r="D221" s="3288"/>
      <c r="E221" s="3288"/>
      <c r="F221" s="3288"/>
      <c r="G221" s="3288"/>
      <c r="H221" s="3288"/>
      <c r="I221" s="3294"/>
      <c r="J221" s="3294"/>
      <c r="K221" s="3295"/>
      <c r="L221" s="3233"/>
      <c r="M221" s="3288"/>
      <c r="N221" s="6494"/>
      <c r="O221" s="3231" t="s">
        <v>1073</v>
      </c>
      <c r="P221" s="3196">
        <v>3</v>
      </c>
      <c r="Q221" s="3195">
        <v>5031</v>
      </c>
    </row>
    <row r="222" spans="1:17" x14ac:dyDescent="0.25">
      <c r="A222" s="3288"/>
      <c r="B222" s="3288"/>
      <c r="C222" s="3288"/>
      <c r="D222" s="3288"/>
      <c r="E222" s="3288"/>
      <c r="F222" s="3288"/>
      <c r="G222" s="3288"/>
      <c r="H222" s="3288"/>
      <c r="I222" s="3248" t="s">
        <v>1094</v>
      </c>
      <c r="J222" s="3208" t="s">
        <v>1049</v>
      </c>
      <c r="K222" s="3272">
        <v>1690</v>
      </c>
      <c r="L222" s="3272">
        <v>8360</v>
      </c>
      <c r="M222" s="3288"/>
      <c r="N222" s="6494"/>
      <c r="O222" s="3231" t="s">
        <v>1084</v>
      </c>
      <c r="P222" s="3196">
        <v>3</v>
      </c>
      <c r="Q222" s="3195">
        <v>741</v>
      </c>
    </row>
    <row r="223" spans="1:17" x14ac:dyDescent="0.25">
      <c r="A223" s="3288"/>
      <c r="B223" s="3288"/>
      <c r="C223" s="3288"/>
      <c r="D223" s="3288"/>
      <c r="E223" s="3288"/>
      <c r="F223" s="3288"/>
      <c r="G223" s="3288"/>
      <c r="H223" s="3288"/>
      <c r="I223" s="3248" t="s">
        <v>599</v>
      </c>
      <c r="J223" s="3271" t="s">
        <v>1050</v>
      </c>
      <c r="K223" s="3282">
        <v>2631</v>
      </c>
      <c r="L223" s="3282"/>
      <c r="M223" s="3288"/>
      <c r="N223" s="6494"/>
      <c r="O223" s="3194" t="s">
        <v>1085</v>
      </c>
      <c r="P223" s="3196">
        <v>3</v>
      </c>
      <c r="Q223" s="3195">
        <v>580</v>
      </c>
    </row>
    <row r="224" spans="1:17" x14ac:dyDescent="0.25">
      <c r="A224" s="3288"/>
      <c r="B224" s="3288"/>
      <c r="C224" s="3288"/>
      <c r="D224" s="3288"/>
      <c r="E224" s="3288"/>
      <c r="F224" s="3288"/>
      <c r="G224" s="3288"/>
      <c r="H224" s="3288"/>
      <c r="I224" s="3247" t="s">
        <v>944</v>
      </c>
      <c r="J224" s="3270" t="s">
        <v>1049</v>
      </c>
      <c r="K224" s="3282">
        <v>4321</v>
      </c>
      <c r="L224" s="3282"/>
      <c r="M224" s="3288"/>
      <c r="N224" s="6494"/>
      <c r="O224" s="3231" t="s">
        <v>1074</v>
      </c>
      <c r="P224" s="3196">
        <v>3</v>
      </c>
      <c r="Q224" s="3195">
        <v>865</v>
      </c>
    </row>
    <row r="225" spans="1:17" x14ac:dyDescent="0.25">
      <c r="A225" s="3288"/>
      <c r="B225" s="3288"/>
      <c r="C225" s="3288"/>
      <c r="D225" s="3288"/>
      <c r="E225" s="3288"/>
      <c r="F225" s="3288"/>
      <c r="G225" s="3288"/>
      <c r="H225" s="3288"/>
      <c r="I225" s="3246" t="s">
        <v>1097</v>
      </c>
      <c r="J225" s="3269" t="s">
        <v>1049</v>
      </c>
      <c r="K225" s="3208">
        <v>975</v>
      </c>
      <c r="L225" s="3208">
        <v>7010</v>
      </c>
      <c r="M225" s="3288"/>
      <c r="N225" s="6494"/>
      <c r="O225" s="3231" t="s">
        <v>905</v>
      </c>
      <c r="P225" s="3196">
        <v>2</v>
      </c>
      <c r="Q225" s="3195">
        <v>57</v>
      </c>
    </row>
    <row r="226" spans="1:17" x14ac:dyDescent="0.25">
      <c r="A226" s="3288"/>
      <c r="B226" s="3288"/>
      <c r="C226" s="3288"/>
      <c r="D226" s="3288"/>
      <c r="E226" s="3288"/>
      <c r="F226" s="3288"/>
      <c r="G226" s="3288"/>
      <c r="H226" s="3288"/>
      <c r="I226" s="6479" t="s">
        <v>12</v>
      </c>
      <c r="J226" s="6480"/>
      <c r="K226" s="3268">
        <f>SUM(K222:K225)</f>
        <v>9617</v>
      </c>
      <c r="L226" s="3268">
        <f>SUM(L222:L225)</f>
        <v>15370</v>
      </c>
      <c r="M226" s="3288"/>
      <c r="N226" s="6494"/>
      <c r="O226" s="3231" t="s">
        <v>923</v>
      </c>
      <c r="P226" s="3196">
        <v>3</v>
      </c>
      <c r="Q226" s="3195">
        <v>244</v>
      </c>
    </row>
    <row r="227" spans="1:17" x14ac:dyDescent="0.25">
      <c r="A227" s="3288"/>
      <c r="B227" s="3288"/>
      <c r="C227" s="3288"/>
      <c r="D227" s="3288"/>
      <c r="E227" s="3288"/>
      <c r="F227" s="3288"/>
      <c r="G227" s="3288"/>
      <c r="H227" s="3288"/>
      <c r="I227" s="3288"/>
      <c r="J227" s="3288"/>
      <c r="K227" s="3288"/>
      <c r="L227" s="3288"/>
      <c r="M227" s="3288"/>
      <c r="N227" s="6494"/>
      <c r="O227" s="3231" t="s">
        <v>1076</v>
      </c>
      <c r="P227" s="3196">
        <v>3</v>
      </c>
      <c r="Q227" s="3195">
        <v>1963</v>
      </c>
    </row>
    <row r="228" spans="1:17" x14ac:dyDescent="0.25">
      <c r="A228" s="3288"/>
      <c r="B228" s="3288"/>
      <c r="C228" s="3288"/>
      <c r="D228" s="3288"/>
      <c r="E228" s="3288"/>
      <c r="F228" s="3288"/>
      <c r="G228" s="3288"/>
      <c r="H228" s="3288"/>
      <c r="I228" s="3288"/>
      <c r="J228" s="3288"/>
      <c r="K228" s="3288"/>
      <c r="L228" s="3288"/>
      <c r="M228" s="3288"/>
      <c r="N228" s="6494"/>
      <c r="O228" s="3231" t="s">
        <v>935</v>
      </c>
      <c r="P228" s="3196">
        <v>2</v>
      </c>
      <c r="Q228" s="3195">
        <v>48</v>
      </c>
    </row>
    <row r="229" spans="1:17" x14ac:dyDescent="0.25">
      <c r="A229" s="3288"/>
      <c r="B229" s="3288"/>
      <c r="C229" s="3288"/>
      <c r="D229" s="3288"/>
      <c r="E229" s="3288"/>
      <c r="F229" s="3288"/>
      <c r="G229" s="3288"/>
      <c r="H229" s="3288"/>
      <c r="I229" s="3288"/>
      <c r="J229" s="3288"/>
      <c r="K229" s="3288"/>
      <c r="L229" s="3288"/>
      <c r="M229" s="3288"/>
      <c r="N229" s="6494"/>
      <c r="O229" s="3193" t="s">
        <v>1011</v>
      </c>
      <c r="P229" s="3192">
        <v>1</v>
      </c>
      <c r="Q229" s="3191">
        <v>42</v>
      </c>
    </row>
    <row r="230" spans="1:17" ht="15" customHeight="1" x14ac:dyDescent="0.25">
      <c r="A230" s="3288"/>
      <c r="B230" s="3288"/>
      <c r="C230" s="3288"/>
      <c r="D230" s="3288"/>
      <c r="E230" s="3288"/>
      <c r="F230" s="3288"/>
      <c r="G230" s="3288"/>
      <c r="H230" s="3288"/>
      <c r="I230" s="3288"/>
      <c r="J230" s="3288"/>
      <c r="K230" s="3288"/>
      <c r="L230" s="3288"/>
      <c r="M230" s="3288"/>
      <c r="N230" s="6494"/>
      <c r="O230" s="3276" t="s">
        <v>12</v>
      </c>
      <c r="P230" s="3275">
        <f>SUM(P220:P229)</f>
        <v>26</v>
      </c>
      <c r="Q230" s="3275">
        <f>SUM(Q220:Q229)</f>
        <v>10785</v>
      </c>
    </row>
    <row r="231" spans="1:17" x14ac:dyDescent="0.25">
      <c r="A231" s="3288"/>
      <c r="B231" s="3288"/>
      <c r="C231" s="3288"/>
      <c r="D231" s="3288"/>
      <c r="E231" s="3288"/>
      <c r="F231" s="3288"/>
      <c r="G231" s="3288"/>
      <c r="H231" s="3288"/>
      <c r="I231" s="3288"/>
      <c r="J231" s="3288"/>
      <c r="K231" s="3288"/>
      <c r="L231" s="3288"/>
      <c r="M231" s="3288"/>
      <c r="N231" s="6495" t="s">
        <v>8</v>
      </c>
      <c r="O231" s="3164" t="s">
        <v>1078</v>
      </c>
      <c r="P231" s="3230">
        <v>3</v>
      </c>
      <c r="Q231" s="3190">
        <v>360</v>
      </c>
    </row>
    <row r="232" spans="1:17" x14ac:dyDescent="0.25">
      <c r="A232" s="3288"/>
      <c r="B232" s="3288"/>
      <c r="C232" s="3288"/>
      <c r="D232" s="3288"/>
      <c r="E232" s="3288"/>
      <c r="F232" s="3288"/>
      <c r="G232" s="3288"/>
      <c r="H232" s="3288"/>
      <c r="I232" s="3288"/>
      <c r="J232" s="3288"/>
      <c r="K232" s="3288"/>
      <c r="L232" s="3288"/>
      <c r="M232" s="3288"/>
      <c r="N232" s="6496"/>
      <c r="O232" s="3189" t="s">
        <v>908</v>
      </c>
      <c r="P232" s="3188">
        <v>1</v>
      </c>
      <c r="Q232" s="3221">
        <v>40</v>
      </c>
    </row>
    <row r="233" spans="1:17" x14ac:dyDescent="0.25">
      <c r="A233" s="3288"/>
      <c r="B233" s="3288"/>
      <c r="C233" s="3288"/>
      <c r="D233" s="3288"/>
      <c r="E233" s="3288"/>
      <c r="F233" s="3288"/>
      <c r="G233" s="3288"/>
      <c r="H233" s="3288"/>
      <c r="I233" s="3288"/>
      <c r="J233" s="3288"/>
      <c r="K233" s="3288"/>
      <c r="L233" s="3288"/>
      <c r="M233" s="3288"/>
      <c r="N233" s="6496"/>
      <c r="O233" s="3189" t="s">
        <v>905</v>
      </c>
      <c r="P233" s="3188">
        <v>2</v>
      </c>
      <c r="Q233" s="3221">
        <v>36</v>
      </c>
    </row>
    <row r="234" spans="1:17" x14ac:dyDescent="0.25">
      <c r="A234" s="3288"/>
      <c r="B234" s="3288"/>
      <c r="C234" s="3288"/>
      <c r="D234" s="3288"/>
      <c r="E234" s="3288"/>
      <c r="F234" s="3288"/>
      <c r="G234" s="3288"/>
      <c r="H234" s="3288"/>
      <c r="I234" s="3288"/>
      <c r="J234" s="3288"/>
      <c r="K234" s="3288"/>
      <c r="L234" s="3288"/>
      <c r="M234" s="3288"/>
      <c r="N234" s="6496"/>
      <c r="O234" s="3189" t="s">
        <v>1075</v>
      </c>
      <c r="P234" s="3188">
        <v>2</v>
      </c>
      <c r="Q234" s="3221">
        <v>580</v>
      </c>
    </row>
    <row r="235" spans="1:17" x14ac:dyDescent="0.25">
      <c r="A235" s="3288"/>
      <c r="B235" s="3288"/>
      <c r="C235" s="3288"/>
      <c r="D235" s="3288"/>
      <c r="E235" s="3288"/>
      <c r="F235" s="3288"/>
      <c r="G235" s="3288"/>
      <c r="H235" s="3288"/>
      <c r="I235" s="3288"/>
      <c r="J235" s="3288"/>
      <c r="K235" s="3288"/>
      <c r="L235" s="3288"/>
      <c r="M235" s="3288"/>
      <c r="N235" s="6496"/>
      <c r="O235" s="3229" t="s">
        <v>1086</v>
      </c>
      <c r="P235" s="3214">
        <v>2</v>
      </c>
      <c r="Q235" s="3179">
        <v>16</v>
      </c>
    </row>
    <row r="236" spans="1:17" x14ac:dyDescent="0.25">
      <c r="A236" s="3288"/>
      <c r="B236" s="3288"/>
      <c r="C236" s="3288"/>
      <c r="D236" s="3288"/>
      <c r="E236" s="3288"/>
      <c r="F236" s="3288"/>
      <c r="G236" s="3288"/>
      <c r="H236" s="3288"/>
      <c r="I236" s="3288"/>
      <c r="J236" s="3288"/>
      <c r="K236" s="3288"/>
      <c r="L236" s="3288"/>
      <c r="M236" s="3288"/>
      <c r="N236" s="6497"/>
      <c r="O236" s="3276" t="s">
        <v>12</v>
      </c>
      <c r="P236" s="3275">
        <f>SUM(P231:P235)</f>
        <v>10</v>
      </c>
      <c r="Q236" s="3275">
        <f>SUM(Q231:Q235)</f>
        <v>1032</v>
      </c>
    </row>
    <row r="237" spans="1:17" x14ac:dyDescent="0.25">
      <c r="A237" s="3288"/>
      <c r="B237" s="3288"/>
      <c r="C237" s="3288"/>
      <c r="D237" s="3288"/>
      <c r="E237" s="3288"/>
      <c r="F237" s="3288"/>
      <c r="G237" s="3288"/>
      <c r="H237" s="3288"/>
      <c r="I237" s="3288"/>
      <c r="J237" s="3288"/>
      <c r="K237" s="3288"/>
      <c r="L237" s="3288"/>
      <c r="M237" s="3288"/>
      <c r="N237" s="6498" t="s">
        <v>75</v>
      </c>
      <c r="O237" s="3180" t="s">
        <v>1073</v>
      </c>
      <c r="P237" s="3178">
        <v>3</v>
      </c>
      <c r="Q237" s="3187">
        <v>528</v>
      </c>
    </row>
    <row r="238" spans="1:17" x14ac:dyDescent="0.25">
      <c r="A238" s="3288"/>
      <c r="B238" s="3288"/>
      <c r="C238" s="3288"/>
      <c r="D238" s="3288"/>
      <c r="E238" s="3288"/>
      <c r="F238" s="3288"/>
      <c r="G238" s="3288"/>
      <c r="H238" s="3288"/>
      <c r="I238" s="3288"/>
      <c r="J238" s="3288"/>
      <c r="K238" s="3288"/>
      <c r="L238" s="3288"/>
      <c r="M238" s="3288"/>
      <c r="N238" s="6499"/>
      <c r="O238" s="3186" t="s">
        <v>1078</v>
      </c>
      <c r="P238" s="3185">
        <v>2</v>
      </c>
      <c r="Q238" s="3184">
        <v>2028</v>
      </c>
    </row>
    <row r="239" spans="1:17" x14ac:dyDescent="0.25">
      <c r="A239" s="3288"/>
      <c r="B239" s="3288"/>
      <c r="C239" s="3288"/>
      <c r="D239" s="3288"/>
      <c r="E239" s="3288"/>
      <c r="F239" s="3288"/>
      <c r="G239" s="3288"/>
      <c r="H239" s="3288"/>
      <c r="I239" s="3288"/>
      <c r="J239" s="3288"/>
      <c r="K239" s="3288"/>
      <c r="L239" s="3288"/>
      <c r="M239" s="3288"/>
      <c r="N239" s="6499"/>
      <c r="O239" s="3186" t="s">
        <v>908</v>
      </c>
      <c r="P239" s="3185">
        <v>4</v>
      </c>
      <c r="Q239" s="3184">
        <v>516</v>
      </c>
    </row>
    <row r="240" spans="1:17" x14ac:dyDescent="0.25">
      <c r="A240" s="3288"/>
      <c r="B240" s="3288"/>
      <c r="C240" s="3288"/>
      <c r="D240" s="3288"/>
      <c r="E240" s="3288"/>
      <c r="F240" s="3288"/>
      <c r="G240" s="3288"/>
      <c r="H240" s="3288"/>
      <c r="I240" s="3288"/>
      <c r="J240" s="3288"/>
      <c r="K240" s="3288"/>
      <c r="L240" s="3288"/>
      <c r="M240" s="3288"/>
      <c r="N240" s="6499"/>
      <c r="O240" s="3186" t="s">
        <v>905</v>
      </c>
      <c r="P240" s="3185">
        <v>4</v>
      </c>
      <c r="Q240" s="3184">
        <v>95</v>
      </c>
    </row>
    <row r="241" spans="1:17" x14ac:dyDescent="0.25">
      <c r="A241" s="3288"/>
      <c r="B241" s="3288"/>
      <c r="C241" s="3288"/>
      <c r="D241" s="3288"/>
      <c r="E241" s="3288"/>
      <c r="F241" s="3288"/>
      <c r="G241" s="3288"/>
      <c r="H241" s="3288"/>
      <c r="I241" s="3288"/>
      <c r="J241" s="3288"/>
      <c r="K241" s="3288"/>
      <c r="L241" s="3288"/>
      <c r="M241" s="3288"/>
      <c r="N241" s="6499"/>
      <c r="O241" s="3186" t="s">
        <v>935</v>
      </c>
      <c r="P241" s="3185">
        <v>3</v>
      </c>
      <c r="Q241" s="3184">
        <v>153</v>
      </c>
    </row>
    <row r="242" spans="1:17" x14ac:dyDescent="0.25">
      <c r="A242" s="3288"/>
      <c r="B242" s="3288"/>
      <c r="C242" s="3288"/>
      <c r="D242" s="3288"/>
      <c r="E242" s="3288"/>
      <c r="F242" s="3288"/>
      <c r="G242" s="3288"/>
      <c r="H242" s="3288"/>
      <c r="I242" s="3288"/>
      <c r="J242" s="3288"/>
      <c r="K242" s="3288"/>
      <c r="L242" s="3288"/>
      <c r="M242" s="3288"/>
      <c r="N242" s="6499"/>
      <c r="O242" s="3186" t="s">
        <v>931</v>
      </c>
      <c r="P242" s="3185">
        <v>2</v>
      </c>
      <c r="Q242" s="3184">
        <v>137</v>
      </c>
    </row>
    <row r="243" spans="1:17" x14ac:dyDescent="0.25">
      <c r="A243" s="3288"/>
      <c r="B243" s="3288"/>
      <c r="C243" s="3288"/>
      <c r="D243" s="3288"/>
      <c r="E243" s="3288"/>
      <c r="F243" s="3288"/>
      <c r="G243" s="3288"/>
      <c r="H243" s="3288"/>
      <c r="I243" s="3288"/>
      <c r="J243" s="3288"/>
      <c r="K243" s="3288"/>
      <c r="L243" s="3288"/>
      <c r="M243" s="3288"/>
      <c r="N243" s="6499"/>
      <c r="O243" s="3186" t="s">
        <v>1011</v>
      </c>
      <c r="P243" s="3185">
        <v>2</v>
      </c>
      <c r="Q243" s="3184">
        <v>162</v>
      </c>
    </row>
    <row r="244" spans="1:17" x14ac:dyDescent="0.25">
      <c r="A244" s="3288"/>
      <c r="B244" s="3288"/>
      <c r="C244" s="3288"/>
      <c r="D244" s="3288"/>
      <c r="E244" s="3288"/>
      <c r="F244" s="3288"/>
      <c r="G244" s="3288"/>
      <c r="H244" s="3288"/>
      <c r="I244" s="3288"/>
      <c r="J244" s="3288"/>
      <c r="K244" s="3288"/>
      <c r="L244" s="3288"/>
      <c r="M244" s="3288"/>
      <c r="N244" s="6499"/>
      <c r="O244" s="3186" t="s">
        <v>1087</v>
      </c>
      <c r="P244" s="3185">
        <v>1</v>
      </c>
      <c r="Q244" s="3184">
        <v>23</v>
      </c>
    </row>
    <row r="245" spans="1:17" x14ac:dyDescent="0.25">
      <c r="A245" s="3288"/>
      <c r="B245" s="3288"/>
      <c r="C245" s="3288"/>
      <c r="D245" s="3288"/>
      <c r="E245" s="3288"/>
      <c r="F245" s="3288"/>
      <c r="G245" s="3288"/>
      <c r="H245" s="3288"/>
      <c r="I245" s="3288"/>
      <c r="J245" s="3288"/>
      <c r="K245" s="3288"/>
      <c r="L245" s="3288"/>
      <c r="M245" s="3288"/>
      <c r="N245" s="6499"/>
      <c r="O245" s="3163" t="s">
        <v>1088</v>
      </c>
      <c r="P245" s="3220">
        <v>1</v>
      </c>
      <c r="Q245" s="3228">
        <v>45</v>
      </c>
    </row>
    <row r="246" spans="1:17" x14ac:dyDescent="0.25">
      <c r="A246" s="3288"/>
      <c r="B246" s="3288"/>
      <c r="C246" s="3288"/>
      <c r="D246" s="3288"/>
      <c r="E246" s="3288"/>
      <c r="F246" s="3288"/>
      <c r="G246" s="3288"/>
      <c r="H246" s="3288"/>
      <c r="I246" s="3288"/>
      <c r="J246" s="3288"/>
      <c r="K246" s="3288"/>
      <c r="L246" s="3288"/>
      <c r="M246" s="3288"/>
      <c r="N246" s="6500"/>
      <c r="O246" s="3205" t="s">
        <v>12</v>
      </c>
      <c r="P246" s="3268">
        <f>SUM(P237:P245)</f>
        <v>22</v>
      </c>
      <c r="Q246" s="3275">
        <f>SUM(Q237:Q245)</f>
        <v>3687</v>
      </c>
    </row>
    <row r="247" spans="1:17" x14ac:dyDescent="0.25">
      <c r="A247" s="3288"/>
      <c r="B247" s="3288"/>
      <c r="C247" s="3288"/>
      <c r="D247" s="3288"/>
      <c r="E247" s="3288"/>
      <c r="F247" s="3288"/>
      <c r="G247" s="3288"/>
      <c r="H247" s="3288"/>
      <c r="I247" s="3288"/>
      <c r="J247" s="3288"/>
      <c r="K247" s="3288"/>
      <c r="L247" s="3288"/>
      <c r="M247" s="3288"/>
      <c r="N247" s="6501" t="s">
        <v>10</v>
      </c>
      <c r="O247" s="3162" t="s">
        <v>1073</v>
      </c>
      <c r="P247" s="3219">
        <v>7</v>
      </c>
      <c r="Q247" s="3190">
        <v>803</v>
      </c>
    </row>
    <row r="248" spans="1:17" x14ac:dyDescent="0.25">
      <c r="A248" s="3288"/>
      <c r="B248" s="3288"/>
      <c r="C248" s="3288"/>
      <c r="D248" s="3288"/>
      <c r="E248" s="3288"/>
      <c r="F248" s="3288"/>
      <c r="G248" s="3288"/>
      <c r="H248" s="3288"/>
      <c r="I248" s="3288"/>
      <c r="J248" s="3288"/>
      <c r="K248" s="3288"/>
      <c r="L248" s="3288"/>
      <c r="M248" s="3288"/>
      <c r="N248" s="6502"/>
      <c r="O248" s="3177" t="s">
        <v>1078</v>
      </c>
      <c r="P248" s="3161">
        <v>7</v>
      </c>
      <c r="Q248" s="3221">
        <v>406</v>
      </c>
    </row>
    <row r="249" spans="1:17" x14ac:dyDescent="0.25">
      <c r="A249" s="3288"/>
      <c r="B249" s="3288"/>
      <c r="C249" s="3288"/>
      <c r="D249" s="3288"/>
      <c r="E249" s="3288"/>
      <c r="F249" s="3288"/>
      <c r="G249" s="3288"/>
      <c r="H249" s="3288"/>
      <c r="I249" s="3288"/>
      <c r="J249" s="3288"/>
      <c r="K249" s="3288"/>
      <c r="L249" s="3288"/>
      <c r="M249" s="3288"/>
      <c r="N249" s="6502"/>
      <c r="O249" s="3258" t="s">
        <v>908</v>
      </c>
      <c r="P249" s="3161">
        <v>5</v>
      </c>
      <c r="Q249" s="3221">
        <v>196</v>
      </c>
    </row>
    <row r="250" spans="1:17" x14ac:dyDescent="0.25">
      <c r="A250" s="3288"/>
      <c r="B250" s="3288"/>
      <c r="C250" s="3288"/>
      <c r="D250" s="3288"/>
      <c r="E250" s="3288"/>
      <c r="F250" s="3288"/>
      <c r="G250" s="3288"/>
      <c r="H250" s="3288"/>
      <c r="I250" s="3288"/>
      <c r="J250" s="3288"/>
      <c r="K250" s="3288"/>
      <c r="L250" s="3288"/>
      <c r="M250" s="3288"/>
      <c r="N250" s="6502"/>
      <c r="O250" s="3258" t="s">
        <v>905</v>
      </c>
      <c r="P250" s="3161">
        <v>8</v>
      </c>
      <c r="Q250" s="3221">
        <v>181</v>
      </c>
    </row>
    <row r="251" spans="1:17" x14ac:dyDescent="0.25">
      <c r="A251" s="3288"/>
      <c r="B251" s="3288"/>
      <c r="C251" s="3288"/>
      <c r="D251" s="3288"/>
      <c r="E251" s="3288"/>
      <c r="F251" s="3288"/>
      <c r="G251" s="3288"/>
      <c r="H251" s="3288"/>
      <c r="I251" s="3288"/>
      <c r="J251" s="3288"/>
      <c r="K251" s="3288"/>
      <c r="L251" s="3288"/>
      <c r="M251" s="3288"/>
      <c r="N251" s="6502"/>
      <c r="O251" s="3258" t="s">
        <v>1075</v>
      </c>
      <c r="P251" s="3161">
        <v>3</v>
      </c>
      <c r="Q251" s="3221">
        <v>117</v>
      </c>
    </row>
    <row r="252" spans="1:17" x14ac:dyDescent="0.25">
      <c r="A252" s="3288"/>
      <c r="B252" s="3288"/>
      <c r="C252" s="3288"/>
      <c r="D252" s="3288"/>
      <c r="E252" s="3288"/>
      <c r="F252" s="3288"/>
      <c r="G252" s="3288"/>
      <c r="H252" s="3288"/>
      <c r="I252" s="3288"/>
      <c r="J252" s="3288"/>
      <c r="K252" s="3288"/>
      <c r="L252" s="3288"/>
      <c r="M252" s="3288"/>
      <c r="N252" s="6502"/>
      <c r="O252" s="3258" t="s">
        <v>1089</v>
      </c>
      <c r="P252" s="3161">
        <v>2</v>
      </c>
      <c r="Q252" s="3221">
        <v>165</v>
      </c>
    </row>
    <row r="253" spans="1:17" x14ac:dyDescent="0.25">
      <c r="A253" s="3288"/>
      <c r="B253" s="3288"/>
      <c r="C253" s="3288"/>
      <c r="D253" s="3288"/>
      <c r="E253" s="3288"/>
      <c r="F253" s="3288"/>
      <c r="G253" s="3288"/>
      <c r="H253" s="3288"/>
      <c r="I253" s="3288"/>
      <c r="J253" s="3288"/>
      <c r="K253" s="3288"/>
      <c r="L253" s="3288"/>
      <c r="M253" s="3288"/>
      <c r="N253" s="6502"/>
      <c r="O253" s="3258" t="s">
        <v>1090</v>
      </c>
      <c r="P253" s="3161">
        <v>1</v>
      </c>
      <c r="Q253" s="3221">
        <v>3</v>
      </c>
    </row>
    <row r="254" spans="1:17" x14ac:dyDescent="0.25">
      <c r="A254" s="3288"/>
      <c r="B254" s="3288"/>
      <c r="C254" s="3288"/>
      <c r="D254" s="3288"/>
      <c r="E254" s="3288"/>
      <c r="F254" s="3288"/>
      <c r="G254" s="3288"/>
      <c r="H254" s="3288"/>
      <c r="I254" s="3288"/>
      <c r="J254" s="3288"/>
      <c r="K254" s="3288"/>
      <c r="L254" s="3288"/>
      <c r="M254" s="3288"/>
      <c r="N254" s="6502"/>
      <c r="O254" s="3258" t="s">
        <v>1011</v>
      </c>
      <c r="P254" s="3161">
        <v>5</v>
      </c>
      <c r="Q254" s="3221">
        <v>134</v>
      </c>
    </row>
    <row r="255" spans="1:17" x14ac:dyDescent="0.25">
      <c r="A255" s="3288"/>
      <c r="B255" s="3288"/>
      <c r="C255" s="3288"/>
      <c r="D255" s="3288"/>
      <c r="E255" s="3288"/>
      <c r="F255" s="3288"/>
      <c r="G255" s="3288"/>
      <c r="H255" s="3288"/>
      <c r="I255" s="3288"/>
      <c r="J255" s="3288"/>
      <c r="K255" s="3288"/>
      <c r="L255" s="3288"/>
      <c r="M255" s="3288"/>
      <c r="N255" s="6502"/>
      <c r="O255" s="3258" t="s">
        <v>1091</v>
      </c>
      <c r="P255" s="3161">
        <v>7</v>
      </c>
      <c r="Q255" s="3221">
        <v>414</v>
      </c>
    </row>
    <row r="256" spans="1:17" x14ac:dyDescent="0.25">
      <c r="A256" s="3288"/>
      <c r="B256" s="3288"/>
      <c r="C256" s="3288"/>
      <c r="D256" s="3288"/>
      <c r="E256" s="3288"/>
      <c r="F256" s="3288"/>
      <c r="G256" s="3288"/>
      <c r="H256" s="3288"/>
      <c r="I256" s="3288"/>
      <c r="J256" s="3288"/>
      <c r="K256" s="3288"/>
      <c r="L256" s="3288"/>
      <c r="M256" s="3288"/>
      <c r="N256" s="6502"/>
      <c r="O256" s="3258" t="s">
        <v>958</v>
      </c>
      <c r="P256" s="3161">
        <v>4</v>
      </c>
      <c r="Q256" s="3221">
        <v>14</v>
      </c>
    </row>
    <row r="257" spans="1:17" x14ac:dyDescent="0.25">
      <c r="A257" s="3288"/>
      <c r="B257" s="3288"/>
      <c r="C257" s="3288"/>
      <c r="D257" s="3288"/>
      <c r="E257" s="3288"/>
      <c r="F257" s="3288"/>
      <c r="G257" s="3288"/>
      <c r="H257" s="3288"/>
      <c r="I257" s="3288"/>
      <c r="J257" s="3288"/>
      <c r="K257" s="3288"/>
      <c r="L257" s="3288"/>
      <c r="M257" s="3288"/>
      <c r="N257" s="6502"/>
      <c r="O257" s="3258" t="s">
        <v>990</v>
      </c>
      <c r="P257" s="3161">
        <v>3</v>
      </c>
      <c r="Q257" s="3221">
        <v>6</v>
      </c>
    </row>
    <row r="258" spans="1:17" x14ac:dyDescent="0.25">
      <c r="A258" s="3288"/>
      <c r="B258" s="3288"/>
      <c r="C258" s="3288"/>
      <c r="D258" s="3288"/>
      <c r="E258" s="3288"/>
      <c r="F258" s="3288"/>
      <c r="G258" s="3288"/>
      <c r="H258" s="3288"/>
      <c r="I258" s="3288"/>
      <c r="J258" s="3288"/>
      <c r="K258" s="3288"/>
      <c r="L258" s="3288"/>
      <c r="M258" s="3288"/>
      <c r="N258" s="6502"/>
      <c r="O258" s="3258" t="s">
        <v>967</v>
      </c>
      <c r="P258" s="3161">
        <v>5</v>
      </c>
      <c r="Q258" s="3221">
        <v>67</v>
      </c>
    </row>
    <row r="259" spans="1:17" x14ac:dyDescent="0.25">
      <c r="A259" s="3288"/>
      <c r="B259" s="3288"/>
      <c r="C259" s="3288"/>
      <c r="D259" s="3288"/>
      <c r="E259" s="3288"/>
      <c r="F259" s="3288"/>
      <c r="G259" s="3288"/>
      <c r="H259" s="3288"/>
      <c r="I259" s="3288"/>
      <c r="J259" s="3288"/>
      <c r="K259" s="3288"/>
      <c r="L259" s="3288"/>
      <c r="M259" s="3288"/>
      <c r="N259" s="6502"/>
      <c r="O259" s="3258" t="s">
        <v>1092</v>
      </c>
      <c r="P259" s="3161">
        <v>3</v>
      </c>
      <c r="Q259" s="3221">
        <v>50</v>
      </c>
    </row>
    <row r="260" spans="1:17" x14ac:dyDescent="0.25">
      <c r="A260" s="3288"/>
      <c r="B260" s="3288"/>
      <c r="C260" s="3288"/>
      <c r="D260" s="3288"/>
      <c r="E260" s="3288"/>
      <c r="F260" s="3288"/>
      <c r="G260" s="3288"/>
      <c r="H260" s="3288"/>
      <c r="I260" s="3288"/>
      <c r="J260" s="3288"/>
      <c r="K260" s="3288"/>
      <c r="L260" s="3288"/>
      <c r="M260" s="3288"/>
      <c r="N260" s="6502"/>
      <c r="O260" s="3183" t="s">
        <v>1093</v>
      </c>
      <c r="P260" s="3182">
        <v>4</v>
      </c>
      <c r="Q260" s="3179">
        <v>81</v>
      </c>
    </row>
    <row r="261" spans="1:17" x14ac:dyDescent="0.25">
      <c r="A261" s="3288"/>
      <c r="B261" s="3288"/>
      <c r="C261" s="3288"/>
      <c r="D261" s="3288"/>
      <c r="E261" s="3288"/>
      <c r="F261" s="3288"/>
      <c r="G261" s="3288"/>
      <c r="H261" s="3288"/>
      <c r="I261" s="3288"/>
      <c r="J261" s="3288"/>
      <c r="K261" s="3288"/>
      <c r="L261" s="3288"/>
      <c r="M261" s="3288"/>
      <c r="N261" s="6503"/>
      <c r="O261" s="3160" t="s">
        <v>12</v>
      </c>
      <c r="P261" s="3209">
        <f>SUM(P247:P260)</f>
        <v>64</v>
      </c>
      <c r="Q261" s="3275">
        <f>SUM(Q247:Q260)</f>
        <v>2637</v>
      </c>
    </row>
    <row r="262" spans="1:17" x14ac:dyDescent="0.25">
      <c r="A262" s="3288"/>
      <c r="B262" s="3288"/>
      <c r="C262" s="3288"/>
      <c r="D262" s="3288"/>
      <c r="E262" s="3288"/>
      <c r="F262" s="3288"/>
      <c r="G262" s="3288"/>
      <c r="H262" s="3288"/>
      <c r="I262" s="3288"/>
      <c r="J262" s="3288"/>
      <c r="K262" s="3288"/>
      <c r="L262" s="3288"/>
      <c r="M262" s="3288"/>
      <c r="N262" s="6467" t="s">
        <v>60</v>
      </c>
      <c r="O262" s="6468"/>
      <c r="P262" s="3275">
        <f>P230+P246+P261+P236</f>
        <v>122</v>
      </c>
      <c r="Q262" s="3275">
        <f>Q230+Q246+Q261+Q236</f>
        <v>18141</v>
      </c>
    </row>
    <row r="263" spans="1:17" x14ac:dyDescent="0.25">
      <c r="A263" s="3288"/>
      <c r="B263" s="3288"/>
      <c r="C263" s="3288"/>
      <c r="D263" s="3288"/>
      <c r="E263" s="3288"/>
      <c r="F263" s="3288"/>
      <c r="G263" s="3288"/>
      <c r="H263" s="3288"/>
      <c r="I263" s="3288"/>
      <c r="J263" s="3288"/>
      <c r="K263" s="3288"/>
      <c r="L263" s="3288"/>
      <c r="M263" s="3288"/>
      <c r="N263" s="3288"/>
      <c r="O263" s="3288"/>
      <c r="P263" s="3288"/>
      <c r="Q263" s="3288"/>
    </row>
    <row r="264" spans="1:17" x14ac:dyDescent="0.25">
      <c r="A264" s="3288"/>
      <c r="B264" s="3288"/>
      <c r="C264" s="3288"/>
      <c r="D264" s="3288"/>
      <c r="E264" s="3288"/>
      <c r="F264" s="3288"/>
      <c r="G264" s="3288"/>
      <c r="H264" s="3288"/>
      <c r="I264" s="3288"/>
      <c r="J264" s="3288"/>
      <c r="K264" s="3288"/>
      <c r="L264" s="3288"/>
      <c r="M264" s="3288"/>
      <c r="N264" s="3288"/>
      <c r="O264" s="3288"/>
      <c r="P264" s="3288"/>
      <c r="Q264" s="3288"/>
    </row>
    <row r="265" spans="1:17" ht="25.5" x14ac:dyDescent="0.25">
      <c r="A265" s="3288"/>
      <c r="B265" s="3288"/>
      <c r="C265" s="3288"/>
      <c r="D265" s="3288"/>
      <c r="E265" s="3288"/>
      <c r="F265" s="3288"/>
      <c r="G265" s="3288"/>
      <c r="H265" s="3288"/>
      <c r="I265" s="6404" t="s">
        <v>1122</v>
      </c>
      <c r="J265" s="6405"/>
      <c r="K265" s="6405"/>
      <c r="L265" s="6406"/>
      <c r="M265" s="3288"/>
      <c r="N265" s="3199" t="s">
        <v>16</v>
      </c>
      <c r="O265" s="3199" t="s">
        <v>1124</v>
      </c>
      <c r="P265" s="3181" t="s">
        <v>901</v>
      </c>
      <c r="Q265" s="3181" t="s">
        <v>902</v>
      </c>
    </row>
    <row r="266" spans="1:17" x14ac:dyDescent="0.25">
      <c r="A266" s="3288"/>
      <c r="B266" s="3288"/>
      <c r="C266" s="3288"/>
      <c r="D266" s="3288"/>
      <c r="E266" s="3288"/>
      <c r="F266" s="3288"/>
      <c r="G266" s="3288"/>
      <c r="H266" s="3288"/>
      <c r="I266" s="6477" t="s">
        <v>595</v>
      </c>
      <c r="J266" s="6476" t="s">
        <v>898</v>
      </c>
      <c r="K266" s="6467" t="s">
        <v>904</v>
      </c>
      <c r="L266" s="6468"/>
      <c r="M266" s="3288"/>
      <c r="N266" s="6508" t="s">
        <v>3</v>
      </c>
      <c r="O266" s="3218" t="s">
        <v>1072</v>
      </c>
      <c r="P266" s="3159">
        <v>3</v>
      </c>
      <c r="Q266" s="3217">
        <v>6348</v>
      </c>
    </row>
    <row r="267" spans="1:17" x14ac:dyDescent="0.25">
      <c r="A267" s="3288"/>
      <c r="B267" s="3288"/>
      <c r="C267" s="3288"/>
      <c r="D267" s="3288"/>
      <c r="E267" s="3288"/>
      <c r="F267" s="3288"/>
      <c r="G267" s="3288"/>
      <c r="H267" s="3288"/>
      <c r="I267" s="6481"/>
      <c r="J267" s="6477"/>
      <c r="K267" s="3205" t="s">
        <v>962</v>
      </c>
      <c r="L267" s="3205" t="s">
        <v>1014</v>
      </c>
      <c r="M267" s="3288"/>
      <c r="N267" s="6508"/>
      <c r="O267" s="3216" t="s">
        <v>1073</v>
      </c>
      <c r="P267" s="3215">
        <v>4</v>
      </c>
      <c r="Q267" s="3257">
        <v>1714</v>
      </c>
    </row>
    <row r="268" spans="1:17" x14ac:dyDescent="0.25">
      <c r="A268" s="3288"/>
      <c r="B268" s="3288"/>
      <c r="C268" s="3288"/>
      <c r="D268" s="3288"/>
      <c r="E268" s="3288"/>
      <c r="F268" s="3288"/>
      <c r="G268" s="3288"/>
      <c r="H268" s="3288"/>
      <c r="I268" s="3294"/>
      <c r="J268" s="3294"/>
      <c r="K268" s="3295"/>
      <c r="L268" s="3233"/>
      <c r="M268" s="3288"/>
      <c r="N268" s="6508"/>
      <c r="O268" s="3216" t="s">
        <v>1074</v>
      </c>
      <c r="P268" s="3215">
        <v>6</v>
      </c>
      <c r="Q268" s="3257">
        <v>1156</v>
      </c>
    </row>
    <row r="269" spans="1:17" x14ac:dyDescent="0.25">
      <c r="A269" s="3288"/>
      <c r="B269" s="3288"/>
      <c r="C269" s="3288"/>
      <c r="D269" s="3288"/>
      <c r="E269" s="3288"/>
      <c r="F269" s="3288"/>
      <c r="G269" s="3288"/>
      <c r="H269" s="3288"/>
      <c r="I269" s="3248" t="s">
        <v>1100</v>
      </c>
      <c r="J269" s="3208" t="s">
        <v>1049</v>
      </c>
      <c r="K269" s="3272">
        <v>1708</v>
      </c>
      <c r="L269" s="3272">
        <v>7230</v>
      </c>
      <c r="M269" s="3288"/>
      <c r="N269" s="6508"/>
      <c r="O269" s="3216" t="s">
        <v>1075</v>
      </c>
      <c r="P269" s="3215">
        <v>7</v>
      </c>
      <c r="Q269" s="3257">
        <v>227</v>
      </c>
    </row>
    <row r="270" spans="1:17" x14ac:dyDescent="0.25">
      <c r="A270" s="3288"/>
      <c r="B270" s="3288"/>
      <c r="C270" s="3288"/>
      <c r="D270" s="3288"/>
      <c r="E270" s="3288"/>
      <c r="F270" s="3288"/>
      <c r="G270" s="3288"/>
      <c r="H270" s="3288"/>
      <c r="I270" s="3247" t="s">
        <v>599</v>
      </c>
      <c r="J270" s="3267" t="s">
        <v>1050</v>
      </c>
      <c r="K270" s="3272">
        <v>705</v>
      </c>
      <c r="L270" s="3272"/>
      <c r="M270" s="3288"/>
      <c r="N270" s="6508"/>
      <c r="O270" s="3216" t="s">
        <v>1076</v>
      </c>
      <c r="P270" s="3215">
        <v>2</v>
      </c>
      <c r="Q270" s="3257">
        <v>1680</v>
      </c>
    </row>
    <row r="271" spans="1:17" x14ac:dyDescent="0.25">
      <c r="A271" s="3288"/>
      <c r="B271" s="3288"/>
      <c r="C271" s="3288"/>
      <c r="D271" s="3288"/>
      <c r="E271" s="3288"/>
      <c r="F271" s="3288"/>
      <c r="G271" s="3288"/>
      <c r="H271" s="3288"/>
      <c r="I271" s="3248" t="s">
        <v>944</v>
      </c>
      <c r="J271" s="3282" t="s">
        <v>1049</v>
      </c>
      <c r="K271" s="3282">
        <v>538</v>
      </c>
      <c r="L271" s="3282"/>
      <c r="M271" s="3288"/>
      <c r="N271" s="6508"/>
      <c r="O271" s="3216" t="s">
        <v>931</v>
      </c>
      <c r="P271" s="3215">
        <v>1</v>
      </c>
      <c r="Q271" s="3257">
        <v>20</v>
      </c>
    </row>
    <row r="272" spans="1:17" x14ac:dyDescent="0.25">
      <c r="A272" s="3288"/>
      <c r="B272" s="3288"/>
      <c r="C272" s="3288"/>
      <c r="D272" s="3288"/>
      <c r="E272" s="3288"/>
      <c r="F272" s="3288"/>
      <c r="G272" s="3288"/>
      <c r="H272" s="3288"/>
      <c r="I272" s="3288"/>
      <c r="J272" s="3288"/>
      <c r="K272" s="3288"/>
      <c r="L272" s="3288"/>
      <c r="M272" s="3288"/>
      <c r="N272" s="6508"/>
      <c r="O272" s="3216" t="s">
        <v>1011</v>
      </c>
      <c r="P272" s="3215">
        <v>4</v>
      </c>
      <c r="Q272" s="3257">
        <v>48</v>
      </c>
    </row>
    <row r="273" spans="1:17" x14ac:dyDescent="0.25">
      <c r="A273" s="3288"/>
      <c r="B273" s="3288"/>
      <c r="C273" s="3288"/>
      <c r="D273" s="3288"/>
      <c r="E273" s="3288"/>
      <c r="F273" s="3288"/>
      <c r="G273" s="3288"/>
      <c r="H273" s="3288"/>
      <c r="I273" s="6479" t="s">
        <v>12</v>
      </c>
      <c r="J273" s="6507"/>
      <c r="K273" s="3275">
        <f>SUM(K269:K272)</f>
        <v>2951</v>
      </c>
      <c r="L273" s="3275">
        <f>SUM(L269:L272)</f>
        <v>7230</v>
      </c>
      <c r="M273" s="3288"/>
      <c r="N273" s="6508"/>
      <c r="O273" s="3216" t="s">
        <v>935</v>
      </c>
      <c r="P273" s="3215">
        <v>1</v>
      </c>
      <c r="Q273" s="3257">
        <v>28</v>
      </c>
    </row>
    <row r="274" spans="1:17" x14ac:dyDescent="0.25">
      <c r="A274" s="3288"/>
      <c r="B274" s="3288"/>
      <c r="C274" s="3288"/>
      <c r="D274" s="3288"/>
      <c r="E274" s="3288"/>
      <c r="F274" s="3288"/>
      <c r="G274" s="3288"/>
      <c r="H274" s="3288"/>
      <c r="I274" s="3288"/>
      <c r="J274" s="3288"/>
      <c r="K274" s="3288"/>
      <c r="L274" s="3288"/>
      <c r="M274" s="3288"/>
      <c r="N274" s="6508"/>
      <c r="O274" s="3216" t="s">
        <v>1077</v>
      </c>
      <c r="P274" s="3215">
        <v>4</v>
      </c>
      <c r="Q274" s="3257">
        <v>673</v>
      </c>
    </row>
    <row r="275" spans="1:17" x14ac:dyDescent="0.25">
      <c r="A275" s="3288"/>
      <c r="B275" s="3288"/>
      <c r="C275" s="3288"/>
      <c r="D275" s="3288"/>
      <c r="E275" s="3288"/>
      <c r="F275" s="3288"/>
      <c r="G275" s="3288"/>
      <c r="H275" s="3288"/>
      <c r="I275" s="3288"/>
      <c r="J275" s="3288"/>
      <c r="K275" s="3288"/>
      <c r="L275" s="3288"/>
      <c r="M275" s="3288"/>
      <c r="N275" s="6508"/>
      <c r="O275" s="3276" t="s">
        <v>12</v>
      </c>
      <c r="P275" s="3275">
        <f>SUM(P266:P274)</f>
        <v>32</v>
      </c>
      <c r="Q275" s="3275">
        <f>SUM(Q266:Q274)</f>
        <v>11894</v>
      </c>
    </row>
    <row r="276" spans="1:17" x14ac:dyDescent="0.25">
      <c r="A276" s="3288"/>
      <c r="B276" s="3288"/>
      <c r="C276" s="3288"/>
      <c r="D276" s="3288"/>
      <c r="E276" s="3288"/>
      <c r="F276" s="3288"/>
      <c r="G276" s="3288"/>
      <c r="H276" s="3288"/>
      <c r="I276" s="3288"/>
      <c r="J276" s="3288"/>
      <c r="K276" s="3288"/>
      <c r="L276" s="3288"/>
      <c r="M276" s="3288"/>
      <c r="N276" s="6504" t="s">
        <v>8</v>
      </c>
      <c r="O276" s="3158" t="s">
        <v>1073</v>
      </c>
      <c r="P276" s="3256">
        <v>7</v>
      </c>
      <c r="Q276" s="3255">
        <v>80</v>
      </c>
    </row>
    <row r="277" spans="1:17" x14ac:dyDescent="0.25">
      <c r="A277" s="3288"/>
      <c r="B277" s="3288"/>
      <c r="C277" s="3288"/>
      <c r="D277" s="3288"/>
      <c r="E277" s="3288"/>
      <c r="F277" s="3288"/>
      <c r="G277" s="3288"/>
      <c r="H277" s="3288"/>
      <c r="I277" s="3288"/>
      <c r="J277" s="3288"/>
      <c r="K277" s="3288"/>
      <c r="L277" s="3288"/>
      <c r="M277" s="3288"/>
      <c r="N277" s="6505"/>
      <c r="O277" s="3254" t="s">
        <v>1078</v>
      </c>
      <c r="P277" s="3253">
        <v>1</v>
      </c>
      <c r="Q277" s="3304">
        <v>130</v>
      </c>
    </row>
    <row r="278" spans="1:17" x14ac:dyDescent="0.25">
      <c r="A278" s="3288"/>
      <c r="B278" s="3288"/>
      <c r="C278" s="3288"/>
      <c r="D278" s="3288"/>
      <c r="E278" s="3288"/>
      <c r="F278" s="3288"/>
      <c r="G278" s="3288"/>
      <c r="H278" s="3288"/>
      <c r="I278" s="3288"/>
      <c r="J278" s="3288"/>
      <c r="K278" s="3288"/>
      <c r="L278" s="3288"/>
      <c r="M278" s="3288"/>
      <c r="N278" s="6505"/>
      <c r="O278" s="3254" t="s">
        <v>908</v>
      </c>
      <c r="P278" s="3253">
        <v>1</v>
      </c>
      <c r="Q278" s="3304">
        <v>24</v>
      </c>
    </row>
    <row r="279" spans="1:17" x14ac:dyDescent="0.25">
      <c r="A279" s="3288"/>
      <c r="B279" s="3288"/>
      <c r="C279" s="3288"/>
      <c r="D279" s="3288"/>
      <c r="E279" s="3288"/>
      <c r="F279" s="3288"/>
      <c r="G279" s="3288"/>
      <c r="H279" s="3288"/>
      <c r="I279" s="3288"/>
      <c r="J279" s="3288"/>
      <c r="K279" s="3288"/>
      <c r="L279" s="3288"/>
      <c r="M279" s="3288"/>
      <c r="N279" s="6505"/>
      <c r="O279" s="3254" t="s">
        <v>905</v>
      </c>
      <c r="P279" s="3253">
        <v>1</v>
      </c>
      <c r="Q279" s="3304">
        <v>15</v>
      </c>
    </row>
    <row r="280" spans="1:17" x14ac:dyDescent="0.25">
      <c r="A280" s="3288"/>
      <c r="B280" s="3288"/>
      <c r="C280" s="3288"/>
      <c r="D280" s="3288"/>
      <c r="E280" s="3288"/>
      <c r="F280" s="3288"/>
      <c r="G280" s="3288"/>
      <c r="H280" s="3288"/>
      <c r="I280" s="3288"/>
      <c r="J280" s="3288"/>
      <c r="K280" s="3288"/>
      <c r="L280" s="3288"/>
      <c r="M280" s="3288"/>
      <c r="N280" s="6505"/>
      <c r="O280" s="3254" t="s">
        <v>1075</v>
      </c>
      <c r="P280" s="3253">
        <v>1</v>
      </c>
      <c r="Q280" s="3304">
        <v>60</v>
      </c>
    </row>
    <row r="281" spans="1:17" x14ac:dyDescent="0.25">
      <c r="A281" s="3288"/>
      <c r="B281" s="3288"/>
      <c r="C281" s="3288"/>
      <c r="D281" s="3288"/>
      <c r="E281" s="3288"/>
      <c r="F281" s="3288"/>
      <c r="G281" s="3288"/>
      <c r="H281" s="3288"/>
      <c r="I281" s="3288"/>
      <c r="J281" s="3288"/>
      <c r="K281" s="3288"/>
      <c r="L281" s="3288"/>
      <c r="M281" s="3288"/>
      <c r="N281" s="6506"/>
      <c r="O281" s="3276" t="s">
        <v>12</v>
      </c>
      <c r="P281" s="3275">
        <f>SUM(P276:P280)</f>
        <v>11</v>
      </c>
      <c r="Q281" s="3275">
        <f>SUM(Q276:Q280)</f>
        <v>309</v>
      </c>
    </row>
    <row r="282" spans="1:17" x14ac:dyDescent="0.25">
      <c r="A282" s="3288"/>
      <c r="B282" s="3288"/>
      <c r="C282" s="3288"/>
      <c r="D282" s="3288"/>
      <c r="E282" s="3288"/>
      <c r="F282" s="3288"/>
      <c r="G282" s="3288"/>
      <c r="H282" s="3288"/>
      <c r="I282" s="3288"/>
      <c r="J282" s="3288"/>
      <c r="K282" s="3288"/>
      <c r="L282" s="3288"/>
      <c r="M282" s="3288"/>
      <c r="N282" s="6504" t="s">
        <v>75</v>
      </c>
      <c r="O282" s="3158" t="s">
        <v>1073</v>
      </c>
      <c r="P282" s="3256">
        <v>2</v>
      </c>
      <c r="Q282" s="3255">
        <v>876</v>
      </c>
    </row>
    <row r="283" spans="1:17" x14ac:dyDescent="0.25">
      <c r="A283" s="3288"/>
      <c r="B283" s="3288"/>
      <c r="C283" s="3288"/>
      <c r="D283" s="3288"/>
      <c r="E283" s="3288"/>
      <c r="F283" s="3288"/>
      <c r="G283" s="3288"/>
      <c r="H283" s="3288"/>
      <c r="I283" s="3288"/>
      <c r="J283" s="3288"/>
      <c r="K283" s="3288"/>
      <c r="L283" s="3288"/>
      <c r="M283" s="3288"/>
      <c r="N283" s="6505"/>
      <c r="O283" s="3254" t="s">
        <v>1078</v>
      </c>
      <c r="P283" s="3253">
        <v>2</v>
      </c>
      <c r="Q283" s="3304">
        <v>1537</v>
      </c>
    </row>
    <row r="284" spans="1:17" x14ac:dyDescent="0.25">
      <c r="A284" s="3288"/>
      <c r="B284" s="3288"/>
      <c r="C284" s="3288"/>
      <c r="D284" s="3288"/>
      <c r="E284" s="3288"/>
      <c r="F284" s="3288"/>
      <c r="G284" s="3288"/>
      <c r="H284" s="3288"/>
      <c r="I284" s="3288"/>
      <c r="J284" s="3288"/>
      <c r="K284" s="3288"/>
      <c r="L284" s="3288"/>
      <c r="M284" s="3288"/>
      <c r="N284" s="6505"/>
      <c r="O284" s="3254" t="s">
        <v>908</v>
      </c>
      <c r="P284" s="3253">
        <v>4</v>
      </c>
      <c r="Q284" s="3304">
        <v>413</v>
      </c>
    </row>
    <row r="285" spans="1:17" x14ac:dyDescent="0.25">
      <c r="A285" s="3288"/>
      <c r="B285" s="3288"/>
      <c r="C285" s="3288"/>
      <c r="D285" s="3288"/>
      <c r="E285" s="3288"/>
      <c r="F285" s="3288"/>
      <c r="G285" s="3288"/>
      <c r="H285" s="3288"/>
      <c r="I285" s="3288"/>
      <c r="J285" s="3288"/>
      <c r="K285" s="3288"/>
      <c r="L285" s="3288"/>
      <c r="M285" s="3288"/>
      <c r="N285" s="6505"/>
      <c r="O285" s="3254" t="s">
        <v>905</v>
      </c>
      <c r="P285" s="3253">
        <v>5</v>
      </c>
      <c r="Q285" s="3304">
        <v>165</v>
      </c>
    </row>
    <row r="286" spans="1:17" x14ac:dyDescent="0.25">
      <c r="A286" s="3288"/>
      <c r="B286" s="3288"/>
      <c r="C286" s="3288"/>
      <c r="D286" s="3288"/>
      <c r="E286" s="3288"/>
      <c r="F286" s="3288"/>
      <c r="G286" s="3288"/>
      <c r="H286" s="3288"/>
      <c r="I286" s="3288"/>
      <c r="J286" s="3288"/>
      <c r="K286" s="3288"/>
      <c r="L286" s="3288"/>
      <c r="M286" s="3288"/>
      <c r="N286" s="6505"/>
      <c r="O286" s="3254" t="s">
        <v>1075</v>
      </c>
      <c r="P286" s="3253">
        <v>4</v>
      </c>
      <c r="Q286" s="3304">
        <v>123</v>
      </c>
    </row>
    <row r="287" spans="1:17" x14ac:dyDescent="0.25">
      <c r="A287" s="3288"/>
      <c r="B287" s="3288"/>
      <c r="C287" s="3288"/>
      <c r="D287" s="3288"/>
      <c r="E287" s="3288"/>
      <c r="F287" s="3288"/>
      <c r="G287" s="3288"/>
      <c r="H287" s="3288"/>
      <c r="I287" s="3288"/>
      <c r="J287" s="3288"/>
      <c r="K287" s="3288"/>
      <c r="L287" s="3288"/>
      <c r="M287" s="3288"/>
      <c r="N287" s="6505"/>
      <c r="O287" s="3254" t="s">
        <v>935</v>
      </c>
      <c r="P287" s="3253">
        <v>3</v>
      </c>
      <c r="Q287" s="3304">
        <v>136</v>
      </c>
    </row>
    <row r="288" spans="1:17" x14ac:dyDescent="0.25">
      <c r="A288" s="3288"/>
      <c r="B288" s="3288"/>
      <c r="C288" s="3288"/>
      <c r="D288" s="3288"/>
      <c r="E288" s="3288"/>
      <c r="F288" s="3288"/>
      <c r="G288" s="3288"/>
      <c r="H288" s="3288"/>
      <c r="I288" s="3288"/>
      <c r="J288" s="3288"/>
      <c r="K288" s="3288"/>
      <c r="L288" s="3288"/>
      <c r="M288" s="3288"/>
      <c r="N288" s="6505"/>
      <c r="O288" s="3254" t="s">
        <v>931</v>
      </c>
      <c r="P288" s="3253">
        <v>2</v>
      </c>
      <c r="Q288" s="3304">
        <v>72</v>
      </c>
    </row>
    <row r="289" spans="1:17" x14ac:dyDescent="0.25">
      <c r="A289" s="3288"/>
      <c r="B289" s="3288"/>
      <c r="C289" s="3288"/>
      <c r="D289" s="3288"/>
      <c r="E289" s="3288"/>
      <c r="F289" s="3288"/>
      <c r="G289" s="3288"/>
      <c r="H289" s="3288"/>
      <c r="I289" s="3288"/>
      <c r="J289" s="3288"/>
      <c r="K289" s="3288"/>
      <c r="L289" s="3288"/>
      <c r="M289" s="3288"/>
      <c r="N289" s="6505"/>
      <c r="O289" s="3252" t="s">
        <v>1011</v>
      </c>
      <c r="P289" s="3251">
        <v>2</v>
      </c>
      <c r="Q289" s="3305">
        <v>144</v>
      </c>
    </row>
    <row r="290" spans="1:17" x14ac:dyDescent="0.25">
      <c r="A290" s="3288"/>
      <c r="B290" s="3288"/>
      <c r="C290" s="3288"/>
      <c r="D290" s="3288"/>
      <c r="E290" s="3288"/>
      <c r="F290" s="3288"/>
      <c r="G290" s="3288"/>
      <c r="H290" s="3288"/>
      <c r="I290" s="3288"/>
      <c r="J290" s="3288"/>
      <c r="K290" s="3288"/>
      <c r="L290" s="3288"/>
      <c r="M290" s="3288"/>
      <c r="N290" s="6506"/>
      <c r="O290" s="3276" t="s">
        <v>12</v>
      </c>
      <c r="P290" s="3275">
        <f>SUM(P282:P289)</f>
        <v>24</v>
      </c>
      <c r="Q290" s="3275">
        <f>SUM(Q282:Q289)</f>
        <v>3466</v>
      </c>
    </row>
    <row r="291" spans="1:17" x14ac:dyDescent="0.25">
      <c r="A291" s="3288"/>
      <c r="B291" s="3288"/>
      <c r="C291" s="3288"/>
      <c r="D291" s="3288"/>
      <c r="E291" s="3288"/>
      <c r="F291" s="3288"/>
      <c r="G291" s="3288"/>
      <c r="H291" s="3288"/>
      <c r="I291" s="3288"/>
      <c r="J291" s="3288"/>
      <c r="K291" s="3288"/>
      <c r="L291" s="3288"/>
      <c r="M291" s="3288"/>
      <c r="N291" s="6504" t="s">
        <v>1079</v>
      </c>
      <c r="O291" s="3158" t="s">
        <v>905</v>
      </c>
      <c r="P291" s="3159">
        <f>4+3+1</f>
        <v>8</v>
      </c>
      <c r="Q291" s="3159">
        <f>30+22+5</f>
        <v>57</v>
      </c>
    </row>
    <row r="292" spans="1:17" x14ac:dyDescent="0.25">
      <c r="A292" s="3288"/>
      <c r="B292" s="3288"/>
      <c r="C292" s="3288"/>
      <c r="D292" s="3288"/>
      <c r="E292" s="3288"/>
      <c r="F292" s="3288"/>
      <c r="G292" s="3288"/>
      <c r="H292" s="3288"/>
      <c r="I292" s="3288"/>
      <c r="J292" s="3288"/>
      <c r="K292" s="3288"/>
      <c r="L292" s="3288"/>
      <c r="M292" s="3288"/>
      <c r="N292" s="6505"/>
      <c r="O292" s="3250" t="s">
        <v>1080</v>
      </c>
      <c r="P292" s="3215">
        <f>2+6+1</f>
        <v>9</v>
      </c>
      <c r="Q292" s="3215">
        <f>11+199+8</f>
        <v>218</v>
      </c>
    </row>
    <row r="293" spans="1:17" x14ac:dyDescent="0.25">
      <c r="A293" s="3288"/>
      <c r="B293" s="3288"/>
      <c r="C293" s="3288"/>
      <c r="D293" s="3288"/>
      <c r="E293" s="3288"/>
      <c r="F293" s="3288"/>
      <c r="G293" s="3288"/>
      <c r="H293" s="3288"/>
      <c r="I293" s="3288"/>
      <c r="J293" s="3288"/>
      <c r="K293" s="3288"/>
      <c r="L293" s="3288"/>
      <c r="M293" s="3288"/>
      <c r="N293" s="6505"/>
      <c r="O293" s="3250" t="s">
        <v>1081</v>
      </c>
      <c r="P293" s="3215">
        <f>1+1+1+1</f>
        <v>4</v>
      </c>
      <c r="Q293" s="3215">
        <f>10+2+2+4</f>
        <v>18</v>
      </c>
    </row>
    <row r="294" spans="1:17" x14ac:dyDescent="0.25">
      <c r="A294" s="3288"/>
      <c r="B294" s="3288"/>
      <c r="C294" s="3288"/>
      <c r="D294" s="3288"/>
      <c r="E294" s="3288"/>
      <c r="F294" s="3288"/>
      <c r="G294" s="3288"/>
      <c r="H294" s="3288"/>
      <c r="I294" s="3288"/>
      <c r="J294" s="3288"/>
      <c r="K294" s="3288"/>
      <c r="L294" s="3288"/>
      <c r="M294" s="3288"/>
      <c r="N294" s="6505"/>
      <c r="O294" s="3250" t="s">
        <v>909</v>
      </c>
      <c r="P294" s="3215">
        <f>3+2+3+3+1+1</f>
        <v>13</v>
      </c>
      <c r="Q294" s="3215">
        <f>35+24+86+92+12+12</f>
        <v>261</v>
      </c>
    </row>
    <row r="295" spans="1:17" x14ac:dyDescent="0.25">
      <c r="A295" s="3288"/>
      <c r="B295" s="3288"/>
      <c r="C295" s="3288"/>
      <c r="D295" s="3288"/>
      <c r="E295" s="3288"/>
      <c r="F295" s="3288"/>
      <c r="G295" s="3288"/>
      <c r="H295" s="3288"/>
      <c r="I295" s="3288"/>
      <c r="J295" s="3288"/>
      <c r="K295" s="3288"/>
      <c r="L295" s="3288"/>
      <c r="M295" s="3288"/>
      <c r="N295" s="6505"/>
      <c r="O295" s="3250" t="s">
        <v>977</v>
      </c>
      <c r="P295" s="3215">
        <f>3+1</f>
        <v>4</v>
      </c>
      <c r="Q295" s="3215">
        <f>10+2</f>
        <v>12</v>
      </c>
    </row>
    <row r="296" spans="1:17" x14ac:dyDescent="0.25">
      <c r="A296" s="3288"/>
      <c r="B296" s="3288"/>
      <c r="C296" s="3288"/>
      <c r="D296" s="3288"/>
      <c r="E296" s="3288"/>
      <c r="F296" s="3288"/>
      <c r="G296" s="3288"/>
      <c r="H296" s="3288"/>
      <c r="I296" s="3288"/>
      <c r="J296" s="3288"/>
      <c r="K296" s="3288"/>
      <c r="L296" s="3288"/>
      <c r="M296" s="3288"/>
      <c r="N296" s="6505"/>
      <c r="O296" s="3254" t="s">
        <v>1078</v>
      </c>
      <c r="P296" s="3215">
        <f>2+5+1+1</f>
        <v>9</v>
      </c>
      <c r="Q296" s="3215">
        <f>27+1666+13</f>
        <v>1706</v>
      </c>
    </row>
    <row r="297" spans="1:17" x14ac:dyDescent="0.25">
      <c r="A297" s="3288"/>
      <c r="B297" s="3288"/>
      <c r="C297" s="3288"/>
      <c r="D297" s="3288"/>
      <c r="E297" s="3288"/>
      <c r="F297" s="3288"/>
      <c r="G297" s="3288"/>
      <c r="H297" s="3288"/>
      <c r="I297" s="3288"/>
      <c r="J297" s="3288"/>
      <c r="K297" s="3288"/>
      <c r="L297" s="3288"/>
      <c r="M297" s="3288"/>
      <c r="N297" s="6505"/>
      <c r="O297" s="3254" t="s">
        <v>1073</v>
      </c>
      <c r="P297" s="3215">
        <f>5+1+1</f>
        <v>7</v>
      </c>
      <c r="Q297" s="3215">
        <f>209+22+35</f>
        <v>266</v>
      </c>
    </row>
    <row r="298" spans="1:17" x14ac:dyDescent="0.25">
      <c r="A298" s="3288"/>
      <c r="B298" s="3288"/>
      <c r="C298" s="3288"/>
      <c r="D298" s="3288"/>
      <c r="E298" s="3288"/>
      <c r="F298" s="3288"/>
      <c r="G298" s="3288"/>
      <c r="H298" s="3288"/>
      <c r="I298" s="3288"/>
      <c r="J298" s="3288"/>
      <c r="K298" s="3288"/>
      <c r="L298" s="3288"/>
      <c r="M298" s="3288"/>
      <c r="N298" s="6505"/>
      <c r="O298" s="3240" t="s">
        <v>935</v>
      </c>
      <c r="P298" s="3215">
        <v>1</v>
      </c>
      <c r="Q298" s="3215">
        <v>2</v>
      </c>
    </row>
    <row r="299" spans="1:17" x14ac:dyDescent="0.25">
      <c r="A299" s="3288"/>
      <c r="B299" s="3288"/>
      <c r="C299" s="3288"/>
      <c r="D299" s="3288"/>
      <c r="E299" s="3288"/>
      <c r="F299" s="3288"/>
      <c r="G299" s="3288"/>
      <c r="H299" s="3288"/>
      <c r="I299" s="3288"/>
      <c r="J299" s="3288"/>
      <c r="K299" s="3288"/>
      <c r="L299" s="3288"/>
      <c r="M299" s="3288"/>
      <c r="N299" s="6505"/>
      <c r="O299" s="3250" t="s">
        <v>1022</v>
      </c>
      <c r="P299" s="3215">
        <f>2+2</f>
        <v>4</v>
      </c>
      <c r="Q299" s="3215">
        <f>10+19</f>
        <v>29</v>
      </c>
    </row>
    <row r="300" spans="1:17" x14ac:dyDescent="0.25">
      <c r="A300" s="3288"/>
      <c r="B300" s="3288"/>
      <c r="C300" s="3288"/>
      <c r="D300" s="3288"/>
      <c r="E300" s="3288"/>
      <c r="F300" s="3288"/>
      <c r="G300" s="3288"/>
      <c r="H300" s="3288"/>
      <c r="I300" s="3288"/>
      <c r="J300" s="3288"/>
      <c r="K300" s="3288"/>
      <c r="L300" s="3288"/>
      <c r="M300" s="3288"/>
      <c r="N300" s="6505"/>
      <c r="O300" s="3250" t="s">
        <v>1082</v>
      </c>
      <c r="P300" s="3215">
        <f>6+1</f>
        <v>7</v>
      </c>
      <c r="Q300" s="3215">
        <f>70+14</f>
        <v>84</v>
      </c>
    </row>
    <row r="301" spans="1:17" x14ac:dyDescent="0.25">
      <c r="A301" s="3288"/>
      <c r="B301" s="3288"/>
      <c r="C301" s="3288"/>
      <c r="D301" s="3288"/>
      <c r="E301" s="3288"/>
      <c r="F301" s="3288"/>
      <c r="G301" s="3288"/>
      <c r="H301" s="3288"/>
      <c r="I301" s="3288"/>
      <c r="J301" s="3288"/>
      <c r="K301" s="3288"/>
      <c r="L301" s="3288"/>
      <c r="M301" s="3288"/>
      <c r="N301" s="6505"/>
      <c r="O301" s="3254" t="s">
        <v>1011</v>
      </c>
      <c r="P301" s="3249">
        <f>5+1+1</f>
        <v>7</v>
      </c>
      <c r="Q301" s="3249">
        <f>123+14+15</f>
        <v>152</v>
      </c>
    </row>
    <row r="302" spans="1:17" x14ac:dyDescent="0.25">
      <c r="A302" s="3288"/>
      <c r="B302" s="3288"/>
      <c r="C302" s="3288"/>
      <c r="D302" s="3288"/>
      <c r="E302" s="3288"/>
      <c r="F302" s="3288"/>
      <c r="G302" s="3288"/>
      <c r="H302" s="3288"/>
      <c r="I302" s="3288"/>
      <c r="J302" s="3288"/>
      <c r="K302" s="3288"/>
      <c r="L302" s="3288"/>
      <c r="M302" s="3288"/>
      <c r="N302" s="6506"/>
      <c r="O302" s="3160" t="s">
        <v>12</v>
      </c>
      <c r="P302" s="3209">
        <f>SUM(P291:P301)</f>
        <v>73</v>
      </c>
      <c r="Q302" s="3275">
        <f>SUM(Q291:Q301)</f>
        <v>2805</v>
      </c>
    </row>
    <row r="303" spans="1:17" x14ac:dyDescent="0.25">
      <c r="A303" s="3288"/>
      <c r="B303" s="3288"/>
      <c r="C303" s="3288"/>
      <c r="D303" s="3288"/>
      <c r="E303" s="3288"/>
      <c r="F303" s="3288"/>
      <c r="G303" s="3288"/>
      <c r="H303" s="3288"/>
      <c r="I303" s="3288"/>
      <c r="J303" s="3288"/>
      <c r="K303" s="3288"/>
      <c r="L303" s="3288"/>
      <c r="M303" s="3288"/>
      <c r="N303" s="6467" t="s">
        <v>60</v>
      </c>
      <c r="O303" s="6468"/>
      <c r="P303" s="3275">
        <f>P275+P290+P302+P281</f>
        <v>140</v>
      </c>
      <c r="Q303" s="3275">
        <f>Q275+Q290+Q302+Q281</f>
        <v>18474</v>
      </c>
    </row>
    <row r="304" spans="1:17" x14ac:dyDescent="0.25">
      <c r="A304" s="3288"/>
      <c r="B304" s="3288"/>
      <c r="C304" s="3288"/>
      <c r="D304" s="3288"/>
      <c r="E304" s="3288"/>
      <c r="F304" s="3288"/>
      <c r="G304" s="3288"/>
      <c r="H304" s="3288"/>
      <c r="I304" s="3288"/>
      <c r="J304" s="3288"/>
      <c r="K304" s="3288"/>
      <c r="L304" s="3288"/>
    </row>
    <row r="305" spans="1:12" x14ac:dyDescent="0.25">
      <c r="A305" s="3288"/>
      <c r="B305" s="3288"/>
      <c r="C305" s="3288"/>
      <c r="D305" s="3288"/>
      <c r="E305" s="3288"/>
      <c r="F305" s="3288"/>
      <c r="G305" s="3288"/>
      <c r="H305" s="3288"/>
      <c r="I305" s="3288"/>
      <c r="J305" s="3288"/>
      <c r="K305" s="3288"/>
      <c r="L305" s="3288"/>
    </row>
  </sheetData>
  <mergeCells count="173">
    <mergeCell ref="A30:C31"/>
    <mergeCell ref="A61:C61"/>
    <mergeCell ref="I3:L3"/>
    <mergeCell ref="I4:I5"/>
    <mergeCell ref="J4:J5"/>
    <mergeCell ref="K4:L4"/>
    <mergeCell ref="I6:I7"/>
    <mergeCell ref="I9:I10"/>
    <mergeCell ref="I12:I15"/>
    <mergeCell ref="J12:J15"/>
    <mergeCell ref="K12:K15"/>
    <mergeCell ref="L12:L15"/>
    <mergeCell ref="A3:C3"/>
    <mergeCell ref="E3:G3"/>
    <mergeCell ref="A4:C4"/>
    <mergeCell ref="E4:G4"/>
    <mergeCell ref="A5:A6"/>
    <mergeCell ref="B5:B6"/>
    <mergeCell ref="C5:C6"/>
    <mergeCell ref="E5:E6"/>
    <mergeCell ref="F5:F6"/>
    <mergeCell ref="G5:G6"/>
    <mergeCell ref="I43:I45"/>
    <mergeCell ref="I54:I55"/>
    <mergeCell ref="N291:N302"/>
    <mergeCell ref="N303:O303"/>
    <mergeCell ref="I265:L265"/>
    <mergeCell ref="I266:I267"/>
    <mergeCell ref="J266:J267"/>
    <mergeCell ref="K266:L266"/>
    <mergeCell ref="I273:J273"/>
    <mergeCell ref="N266:N275"/>
    <mergeCell ref="N276:N281"/>
    <mergeCell ref="N282:N290"/>
    <mergeCell ref="I226:J226"/>
    <mergeCell ref="N262:O262"/>
    <mergeCell ref="I218:L218"/>
    <mergeCell ref="I219:I220"/>
    <mergeCell ref="J219:J220"/>
    <mergeCell ref="K219:L219"/>
    <mergeCell ref="N220:N230"/>
    <mergeCell ref="N231:N236"/>
    <mergeCell ref="N237:N246"/>
    <mergeCell ref="N247:N261"/>
    <mergeCell ref="I165:J165"/>
    <mergeCell ref="A188:C188"/>
    <mergeCell ref="E188:G188"/>
    <mergeCell ref="I188:L188"/>
    <mergeCell ref="A189:C189"/>
    <mergeCell ref="E189:G189"/>
    <mergeCell ref="I189:I190"/>
    <mergeCell ref="J189:J190"/>
    <mergeCell ref="K189:L189"/>
    <mergeCell ref="A190:A191"/>
    <mergeCell ref="B190:B191"/>
    <mergeCell ref="C190:C191"/>
    <mergeCell ref="E190:E191"/>
    <mergeCell ref="F190:F191"/>
    <mergeCell ref="G190:G191"/>
    <mergeCell ref="I155:L155"/>
    <mergeCell ref="I156:I157"/>
    <mergeCell ref="J156:J157"/>
    <mergeCell ref="K156:L156"/>
    <mergeCell ref="I160:I161"/>
    <mergeCell ref="J160:J161"/>
    <mergeCell ref="K160:K161"/>
    <mergeCell ref="L160:L161"/>
    <mergeCell ref="A152:G152"/>
    <mergeCell ref="A155:C155"/>
    <mergeCell ref="A156:C156"/>
    <mergeCell ref="A157:A158"/>
    <mergeCell ref="B157:B158"/>
    <mergeCell ref="C157:C158"/>
    <mergeCell ref="E155:G155"/>
    <mergeCell ref="E156:G156"/>
    <mergeCell ref="E157:E158"/>
    <mergeCell ref="F157:F158"/>
    <mergeCell ref="G157:G158"/>
    <mergeCell ref="I143:I145"/>
    <mergeCell ref="K143:K145"/>
    <mergeCell ref="L143:L145"/>
    <mergeCell ref="A146:A147"/>
    <mergeCell ref="B146:B147"/>
    <mergeCell ref="C146:C147"/>
    <mergeCell ref="K131:K140"/>
    <mergeCell ref="L131:L140"/>
    <mergeCell ref="I132:I140"/>
    <mergeCell ref="J133:J140"/>
    <mergeCell ref="I141:I142"/>
    <mergeCell ref="K141:K142"/>
    <mergeCell ref="L141:L142"/>
    <mergeCell ref="A124:A125"/>
    <mergeCell ref="B124:B125"/>
    <mergeCell ref="C124:C125"/>
    <mergeCell ref="I125:I130"/>
    <mergeCell ref="J131:J132"/>
    <mergeCell ref="J120:J121"/>
    <mergeCell ref="K120:K130"/>
    <mergeCell ref="L120:L130"/>
    <mergeCell ref="I121:I124"/>
    <mergeCell ref="J122:J130"/>
    <mergeCell ref="A117:C117"/>
    <mergeCell ref="E117:G117"/>
    <mergeCell ref="I117:I118"/>
    <mergeCell ref="J117:J118"/>
    <mergeCell ref="K117:L117"/>
    <mergeCell ref="A118:A119"/>
    <mergeCell ref="B118:B119"/>
    <mergeCell ref="C118:C119"/>
    <mergeCell ref="E118:E119"/>
    <mergeCell ref="F118:F119"/>
    <mergeCell ref="G118:G119"/>
    <mergeCell ref="A99:A100"/>
    <mergeCell ref="B99:B100"/>
    <mergeCell ref="C99:C100"/>
    <mergeCell ref="A116:C116"/>
    <mergeCell ref="E116:G116"/>
    <mergeCell ref="I94:I95"/>
    <mergeCell ref="K94:K95"/>
    <mergeCell ref="L94:L95"/>
    <mergeCell ref="I96:I98"/>
    <mergeCell ref="K96:K98"/>
    <mergeCell ref="L96:L98"/>
    <mergeCell ref="I116:L116"/>
    <mergeCell ref="A81:A82"/>
    <mergeCell ref="B81:B82"/>
    <mergeCell ref="C81:C82"/>
    <mergeCell ref="J82:J93"/>
    <mergeCell ref="A73:C73"/>
    <mergeCell ref="E73:G73"/>
    <mergeCell ref="I73:L73"/>
    <mergeCell ref="A74:C74"/>
    <mergeCell ref="E74:G74"/>
    <mergeCell ref="I74:I75"/>
    <mergeCell ref="J74:J75"/>
    <mergeCell ref="K74:L74"/>
    <mergeCell ref="A75:A76"/>
    <mergeCell ref="B75:B76"/>
    <mergeCell ref="C75:C76"/>
    <mergeCell ref="E75:E76"/>
    <mergeCell ref="F75:F76"/>
    <mergeCell ref="G75:G76"/>
    <mergeCell ref="I57:I59"/>
    <mergeCell ref="J57:J59"/>
    <mergeCell ref="K57:K59"/>
    <mergeCell ref="I51:I52"/>
    <mergeCell ref="J77:J81"/>
    <mergeCell ref="K77:K93"/>
    <mergeCell ref="L77:L93"/>
    <mergeCell ref="I78:I81"/>
    <mergeCell ref="L42:L45"/>
    <mergeCell ref="J46:J50"/>
    <mergeCell ref="K46:K50"/>
    <mergeCell ref="L46:L50"/>
    <mergeCell ref="L57:L59"/>
    <mergeCell ref="I60:J60"/>
    <mergeCell ref="I47:I50"/>
    <mergeCell ref="J42:J45"/>
    <mergeCell ref="K42:K45"/>
    <mergeCell ref="A38:C38"/>
    <mergeCell ref="E38:G38"/>
    <mergeCell ref="I38:L38"/>
    <mergeCell ref="A39:C39"/>
    <mergeCell ref="E39:G39"/>
    <mergeCell ref="I39:I40"/>
    <mergeCell ref="J39:J40"/>
    <mergeCell ref="K39:L39"/>
    <mergeCell ref="A40:A41"/>
    <mergeCell ref="B40:B41"/>
    <mergeCell ref="C40:C41"/>
    <mergeCell ref="E40:E41"/>
    <mergeCell ref="F40:F41"/>
    <mergeCell ref="G40:G41"/>
  </mergeCells>
  <printOptions horizontalCentered="1" verticalCentered="1"/>
  <pageMargins left="0.19685039370078741" right="0.19685039370078741" top="0.19685039370078741" bottom="0.31496062992125984" header="0.15748031496062992" footer="0.31496062992125984"/>
  <pageSetup scale="74" orientation="landscape" r:id="rId1"/>
  <rowBreaks count="4" manualBreakCount="4">
    <brk id="71" max="11" man="1"/>
    <brk id="114" max="11" man="1"/>
    <brk id="152" max="11" man="1"/>
    <brk id="186" max="11" man="1"/>
  </rowBreaks>
  <colBreaks count="1" manualBreakCount="1">
    <brk id="12" max="1048575" man="1"/>
  </colBreaks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25A8"/>
    <pageSetUpPr fitToPage="1"/>
  </sheetPr>
  <dimension ref="A1:Q199"/>
  <sheetViews>
    <sheetView showGridLines="0" zoomScaleNormal="100" workbookViewId="0">
      <pane xSplit="1" ySplit="5" topLeftCell="H6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RowHeight="15" x14ac:dyDescent="0.25"/>
  <cols>
    <col min="1" max="1" width="31.85546875" style="1464" bestFit="1" customWidth="1"/>
    <col min="2" max="2" width="12.7109375" style="1464" customWidth="1"/>
    <col min="3" max="3" width="14.7109375" style="1464" customWidth="1"/>
    <col min="4" max="4" width="12.140625" style="1464" customWidth="1"/>
    <col min="5" max="16384" width="11.42578125" style="1464"/>
  </cols>
  <sheetData>
    <row r="1" spans="1:17" x14ac:dyDescent="0.25">
      <c r="B1" s="6524"/>
      <c r="C1" s="6524"/>
      <c r="D1" s="6524"/>
    </row>
    <row r="2" spans="1:17" ht="18.75" x14ac:dyDescent="0.3">
      <c r="A2" s="1465"/>
      <c r="B2" s="2309" t="s">
        <v>768</v>
      </c>
      <c r="C2" s="3785"/>
      <c r="D2" s="3785"/>
    </row>
    <row r="3" spans="1:17" x14ac:dyDescent="0.25">
      <c r="A3" s="3785"/>
    </row>
    <row r="4" spans="1:17" ht="25.5" customHeight="1" x14ac:dyDescent="0.25">
      <c r="A4" s="6525" t="s">
        <v>595</v>
      </c>
      <c r="B4" s="6526" t="s">
        <v>596</v>
      </c>
      <c r="C4" s="6526"/>
      <c r="D4" s="6526" t="s">
        <v>1101</v>
      </c>
      <c r="E4" s="6526"/>
      <c r="F4" s="6526" t="s">
        <v>1102</v>
      </c>
      <c r="G4" s="6526"/>
      <c r="H4" s="6526" t="s">
        <v>1103</v>
      </c>
      <c r="I4" s="6526"/>
      <c r="J4" s="6526" t="s">
        <v>1104</v>
      </c>
      <c r="K4" s="6526"/>
      <c r="L4" s="6526" t="s">
        <v>1105</v>
      </c>
      <c r="M4" s="6526"/>
      <c r="N4" s="6526" t="s">
        <v>765</v>
      </c>
      <c r="O4" s="6526"/>
      <c r="P4" s="6526" t="s">
        <v>1575</v>
      </c>
      <c r="Q4" s="6526"/>
    </row>
    <row r="5" spans="1:17" x14ac:dyDescent="0.25">
      <c r="A5" s="6525"/>
      <c r="B5" s="3307" t="s">
        <v>766</v>
      </c>
      <c r="C5" s="3308" t="s">
        <v>767</v>
      </c>
      <c r="D5" s="3307" t="s">
        <v>766</v>
      </c>
      <c r="E5" s="3308" t="s">
        <v>767</v>
      </c>
      <c r="F5" s="3307" t="s">
        <v>766</v>
      </c>
      <c r="G5" s="3308" t="s">
        <v>767</v>
      </c>
      <c r="H5" s="3307" t="s">
        <v>766</v>
      </c>
      <c r="I5" s="3308" t="s">
        <v>767</v>
      </c>
      <c r="J5" s="3307" t="s">
        <v>766</v>
      </c>
      <c r="K5" s="3308" t="s">
        <v>767</v>
      </c>
      <c r="L5" s="3307" t="s">
        <v>766</v>
      </c>
      <c r="M5" s="3308" t="s">
        <v>767</v>
      </c>
      <c r="N5" s="3307" t="s">
        <v>766</v>
      </c>
      <c r="O5" s="3308" t="s">
        <v>767</v>
      </c>
      <c r="P5" s="3307" t="s">
        <v>766</v>
      </c>
      <c r="Q5" s="3308" t="s">
        <v>767</v>
      </c>
    </row>
    <row r="6" spans="1:17" ht="25.5" customHeight="1" x14ac:dyDescent="0.25">
      <c r="A6" s="3297" t="s">
        <v>597</v>
      </c>
      <c r="B6" s="3298">
        <v>538</v>
      </c>
      <c r="C6" s="3298"/>
      <c r="D6" s="3298">
        <v>975</v>
      </c>
      <c r="E6" s="3298">
        <v>7010</v>
      </c>
      <c r="F6" s="3298">
        <v>866</v>
      </c>
      <c r="G6" s="3298">
        <v>2764</v>
      </c>
      <c r="H6" s="3298">
        <v>558</v>
      </c>
      <c r="I6" s="3298">
        <v>2360</v>
      </c>
      <c r="J6" s="3298">
        <v>940</v>
      </c>
      <c r="K6" s="3298">
        <v>3100</v>
      </c>
      <c r="L6" s="3298">
        <v>1044</v>
      </c>
      <c r="M6" s="3298">
        <v>3796</v>
      </c>
      <c r="N6" s="3298">
        <v>777</v>
      </c>
      <c r="O6" s="3298">
        <v>2300</v>
      </c>
      <c r="Q6" s="3298">
        <v>5583</v>
      </c>
    </row>
    <row r="7" spans="1:17" ht="25.5" customHeight="1" x14ac:dyDescent="0.25">
      <c r="A7" s="3299" t="s">
        <v>598</v>
      </c>
      <c r="B7" s="3298">
        <v>1708</v>
      </c>
      <c r="C7" s="3298">
        <v>7230</v>
      </c>
      <c r="D7" s="3298">
        <v>1690</v>
      </c>
      <c r="E7" s="3298">
        <v>8360</v>
      </c>
      <c r="F7" s="3298">
        <v>1256</v>
      </c>
      <c r="G7" s="3298">
        <v>11361</v>
      </c>
      <c r="H7" s="3298">
        <v>1149</v>
      </c>
      <c r="I7" s="3298">
        <v>14277</v>
      </c>
      <c r="J7" s="3298">
        <v>1332</v>
      </c>
      <c r="K7" s="3298">
        <v>13642</v>
      </c>
      <c r="L7" s="3298"/>
      <c r="M7" s="3298"/>
      <c r="N7" s="3298">
        <v>1009</v>
      </c>
      <c r="O7" s="3298">
        <v>2480</v>
      </c>
      <c r="P7" s="3298"/>
      <c r="Q7" s="3298"/>
    </row>
    <row r="8" spans="1:17" ht="25.5" customHeight="1" x14ac:dyDescent="0.25">
      <c r="A8" s="3300" t="s">
        <v>599</v>
      </c>
      <c r="B8" s="3298">
        <v>705</v>
      </c>
      <c r="C8" s="3298"/>
      <c r="D8" s="3298">
        <v>2631</v>
      </c>
      <c r="E8" s="3298"/>
      <c r="F8" s="3298">
        <v>2658</v>
      </c>
      <c r="G8" s="3298">
        <v>3040</v>
      </c>
      <c r="H8" s="3298">
        <v>3563</v>
      </c>
      <c r="I8" s="3298">
        <v>4945</v>
      </c>
      <c r="J8" s="3298">
        <v>4846</v>
      </c>
      <c r="K8" s="3298">
        <v>5390</v>
      </c>
      <c r="L8" s="3298">
        <v>4580</v>
      </c>
      <c r="M8" s="3298">
        <v>6460</v>
      </c>
      <c r="N8" s="3298">
        <v>4975</v>
      </c>
      <c r="O8" s="3298">
        <v>7350</v>
      </c>
      <c r="P8" s="3298">
        <v>3846</v>
      </c>
      <c r="Q8" s="3298">
        <v>7150</v>
      </c>
    </row>
    <row r="9" spans="1:17" ht="25.5" customHeight="1" x14ac:dyDescent="0.25">
      <c r="A9" s="3300" t="s">
        <v>600</v>
      </c>
      <c r="B9" s="3298"/>
      <c r="C9" s="3298"/>
      <c r="D9" s="3298"/>
      <c r="E9" s="3298"/>
      <c r="F9" s="3298">
        <v>2052</v>
      </c>
      <c r="G9" s="3298">
        <v>3040</v>
      </c>
      <c r="H9" s="3298">
        <v>2698</v>
      </c>
      <c r="I9" s="3298">
        <v>4945</v>
      </c>
      <c r="J9" s="3298">
        <v>2200</v>
      </c>
      <c r="K9" s="3298">
        <v>5390</v>
      </c>
      <c r="L9" s="3298">
        <v>3231</v>
      </c>
      <c r="M9" s="3298">
        <v>6460</v>
      </c>
      <c r="N9" s="3298">
        <v>4332</v>
      </c>
      <c r="O9" s="3298">
        <v>7350</v>
      </c>
      <c r="P9" s="3298">
        <v>5987</v>
      </c>
      <c r="Q9" s="3298">
        <v>7150</v>
      </c>
    </row>
    <row r="10" spans="1:17" ht="25.5" customHeight="1" x14ac:dyDescent="0.25">
      <c r="A10" s="3300" t="s">
        <v>832</v>
      </c>
      <c r="B10" s="3298"/>
      <c r="C10" s="3298"/>
      <c r="D10" s="3298"/>
      <c r="E10" s="3298"/>
      <c r="F10" s="3298"/>
      <c r="G10" s="3298"/>
      <c r="H10" s="3298"/>
      <c r="I10" s="3298"/>
      <c r="J10" s="3298"/>
      <c r="K10" s="3298"/>
      <c r="L10" s="3298"/>
      <c r="M10" s="3298"/>
      <c r="N10" s="3298">
        <v>1876</v>
      </c>
      <c r="O10" s="3298">
        <v>2755</v>
      </c>
      <c r="P10" s="3298"/>
      <c r="Q10" s="3298"/>
    </row>
    <row r="11" spans="1:17" ht="25.5" customHeight="1" x14ac:dyDescent="0.25">
      <c r="A11" s="3784" t="s">
        <v>160</v>
      </c>
      <c r="B11" s="3301">
        <v>2951</v>
      </c>
      <c r="C11" s="3301">
        <v>7230</v>
      </c>
      <c r="D11" s="3301">
        <v>5296</v>
      </c>
      <c r="E11" s="3301">
        <v>15370</v>
      </c>
      <c r="F11" s="3301">
        <v>6832</v>
      </c>
      <c r="G11" s="3301">
        <v>20205</v>
      </c>
      <c r="H11" s="3301">
        <v>7968</v>
      </c>
      <c r="I11" s="3301">
        <v>26527</v>
      </c>
      <c r="J11" s="3301">
        <v>9318</v>
      </c>
      <c r="K11" s="3301">
        <v>27522</v>
      </c>
      <c r="L11" s="3301">
        <v>8855</v>
      </c>
      <c r="M11" s="3301">
        <v>16716</v>
      </c>
      <c r="N11" s="3301">
        <v>12969</v>
      </c>
      <c r="O11" s="3301">
        <v>22235</v>
      </c>
      <c r="P11" s="3301">
        <f>SUM(P6:P10)</f>
        <v>9833</v>
      </c>
      <c r="Q11" s="3301">
        <f>SUM(Q6:Q10)</f>
        <v>19883</v>
      </c>
    </row>
    <row r="13" spans="1:17" ht="30" customHeight="1" x14ac:dyDescent="0.25">
      <c r="A13" s="6527" t="s">
        <v>601</v>
      </c>
      <c r="B13" s="6527"/>
      <c r="C13" s="6527"/>
      <c r="D13" s="6527"/>
      <c r="E13" s="6527"/>
      <c r="F13" s="6527"/>
      <c r="G13" s="6527"/>
      <c r="H13" s="6527"/>
      <c r="I13" s="6527"/>
      <c r="J13" s="6527"/>
      <c r="K13" s="6527"/>
      <c r="L13" s="6527"/>
      <c r="M13" s="6527"/>
      <c r="N13" s="6527"/>
      <c r="O13" s="6527"/>
    </row>
    <row r="14" spans="1:17" ht="30" customHeight="1" x14ac:dyDescent="0.25">
      <c r="A14" s="6527" t="s">
        <v>602</v>
      </c>
      <c r="B14" s="6527"/>
      <c r="C14" s="6527"/>
      <c r="D14" s="6527"/>
      <c r="E14" s="6527"/>
      <c r="F14" s="6527"/>
      <c r="G14" s="6527"/>
      <c r="H14" s="6527"/>
      <c r="I14" s="6527"/>
      <c r="J14" s="6527"/>
      <c r="K14" s="6527"/>
      <c r="L14" s="6527"/>
      <c r="M14" s="6527"/>
      <c r="N14" s="6527"/>
      <c r="O14" s="6527"/>
    </row>
    <row r="15" spans="1:17" x14ac:dyDescent="0.25">
      <c r="B15" s="3291"/>
      <c r="C15" s="3291"/>
      <c r="D15" s="3291"/>
    </row>
    <row r="16" spans="1:17" ht="15" customHeight="1" x14ac:dyDescent="0.25">
      <c r="C16" s="3291"/>
      <c r="D16" s="3291"/>
    </row>
    <row r="17" spans="1:4" x14ac:dyDescent="0.25">
      <c r="B17" s="3291"/>
      <c r="C17" s="3291"/>
      <c r="D17" s="3291"/>
    </row>
    <row r="18" spans="1:4" x14ac:dyDescent="0.25">
      <c r="A18" s="3288"/>
      <c r="B18" s="3157"/>
      <c r="C18" s="3157"/>
      <c r="D18" s="3291"/>
    </row>
    <row r="19" spans="1:4" x14ac:dyDescent="0.25">
      <c r="A19" s="3288"/>
      <c r="B19" s="3288"/>
      <c r="C19" s="3288"/>
    </row>
    <row r="20" spans="1:4" ht="15" customHeight="1" x14ac:dyDescent="0.25">
      <c r="A20" s="3288"/>
      <c r="B20" s="3288"/>
      <c r="C20" s="3288"/>
    </row>
    <row r="21" spans="1:4" x14ac:dyDescent="0.25">
      <c r="A21" s="3288"/>
      <c r="B21" s="3288"/>
      <c r="C21" s="3288"/>
    </row>
    <row r="22" spans="1:4" ht="15" customHeight="1" x14ac:dyDescent="0.25">
      <c r="A22" s="3288"/>
      <c r="B22" s="3288"/>
      <c r="C22" s="3288"/>
    </row>
    <row r="23" spans="1:4" ht="15" customHeight="1" x14ac:dyDescent="0.25">
      <c r="A23" s="3288"/>
      <c r="B23" s="3288"/>
      <c r="C23" s="3288"/>
    </row>
    <row r="24" spans="1:4" x14ac:dyDescent="0.25">
      <c r="A24" s="3288"/>
      <c r="B24" s="3288"/>
      <c r="C24" s="3288"/>
    </row>
    <row r="25" spans="1:4" x14ac:dyDescent="0.25">
      <c r="A25" s="3288"/>
      <c r="B25" s="3288"/>
      <c r="C25" s="3288"/>
    </row>
    <row r="26" spans="1:4" ht="15" customHeight="1" x14ac:dyDescent="0.25">
      <c r="A26" s="3288"/>
      <c r="B26" s="3288"/>
      <c r="C26" s="3288"/>
    </row>
    <row r="27" spans="1:4" ht="15" customHeight="1" x14ac:dyDescent="0.25">
      <c r="A27" s="3288"/>
      <c r="B27" s="3288"/>
      <c r="C27" s="3288"/>
    </row>
    <row r="28" spans="1:4" x14ac:dyDescent="0.25">
      <c r="A28" s="3288"/>
      <c r="B28" s="3288"/>
      <c r="C28" s="3288"/>
    </row>
    <row r="29" spans="1:4" x14ac:dyDescent="0.25">
      <c r="A29" s="3288"/>
      <c r="B29" s="3288"/>
      <c r="C29" s="3288"/>
    </row>
    <row r="30" spans="1:4" x14ac:dyDescent="0.25">
      <c r="A30" s="3288"/>
      <c r="B30" s="3288"/>
      <c r="C30" s="3288"/>
    </row>
    <row r="31" spans="1:4" ht="15" customHeight="1" x14ac:dyDescent="0.25">
      <c r="A31" s="3288"/>
      <c r="B31" s="3288"/>
      <c r="C31" s="3288"/>
    </row>
    <row r="32" spans="1:4" x14ac:dyDescent="0.25">
      <c r="A32" s="3288"/>
      <c r="B32" s="3288"/>
      <c r="C32" s="3288"/>
    </row>
    <row r="33" spans="1:3" x14ac:dyDescent="0.25">
      <c r="A33" s="3288"/>
      <c r="B33" s="3288"/>
      <c r="C33" s="3288"/>
    </row>
    <row r="34" spans="1:3" x14ac:dyDescent="0.25">
      <c r="A34" s="3288"/>
      <c r="B34" s="3288"/>
      <c r="C34" s="3288"/>
    </row>
    <row r="35" spans="1:3" x14ac:dyDescent="0.25">
      <c r="A35" s="3288"/>
      <c r="B35" s="3288"/>
      <c r="C35" s="3288"/>
    </row>
    <row r="36" spans="1:3" x14ac:dyDescent="0.25">
      <c r="A36" s="3288"/>
      <c r="B36" s="3288"/>
      <c r="C36" s="3288"/>
    </row>
    <row r="37" spans="1:3" ht="15" customHeight="1" x14ac:dyDescent="0.25">
      <c r="A37" s="3288"/>
      <c r="B37" s="3288"/>
      <c r="C37" s="3288"/>
    </row>
    <row r="38" spans="1:3" x14ac:dyDescent="0.25">
      <c r="A38" s="3288"/>
      <c r="B38" s="3288"/>
      <c r="C38" s="3288"/>
    </row>
    <row r="39" spans="1:3" x14ac:dyDescent="0.25">
      <c r="A39" s="3288"/>
      <c r="B39" s="3288"/>
      <c r="C39" s="3288"/>
    </row>
    <row r="40" spans="1:3" x14ac:dyDescent="0.25">
      <c r="A40" s="3288"/>
      <c r="B40" s="3288"/>
      <c r="C40" s="3288"/>
    </row>
    <row r="41" spans="1:3" x14ac:dyDescent="0.25">
      <c r="A41" s="3288"/>
      <c r="B41" s="3288"/>
      <c r="C41" s="3288"/>
    </row>
    <row r="42" spans="1:3" x14ac:dyDescent="0.25">
      <c r="A42" s="3288"/>
      <c r="B42" s="3288"/>
      <c r="C42" s="3288"/>
    </row>
    <row r="43" spans="1:3" x14ac:dyDescent="0.25">
      <c r="A43" s="3288"/>
      <c r="B43" s="3288"/>
      <c r="C43" s="3288"/>
    </row>
    <row r="44" spans="1:3" x14ac:dyDescent="0.25">
      <c r="A44" s="3288"/>
      <c r="B44" s="3288"/>
      <c r="C44" s="3288"/>
    </row>
    <row r="45" spans="1:3" x14ac:dyDescent="0.25">
      <c r="A45" s="3288"/>
      <c r="B45" s="3288"/>
      <c r="C45" s="3288"/>
    </row>
    <row r="46" spans="1:3" x14ac:dyDescent="0.25">
      <c r="A46" s="3211"/>
      <c r="B46" s="3288"/>
      <c r="C46" s="3288"/>
    </row>
    <row r="47" spans="1:3" x14ac:dyDescent="0.25">
      <c r="A47" s="3288"/>
      <c r="B47" s="3288"/>
      <c r="C47" s="3288"/>
    </row>
    <row r="48" spans="1:3" x14ac:dyDescent="0.25">
      <c r="A48" s="3288"/>
      <c r="B48" s="3288"/>
      <c r="C48" s="3288"/>
    </row>
    <row r="49" spans="1:3" ht="15" customHeight="1" x14ac:dyDescent="0.25">
      <c r="A49" s="3288"/>
      <c r="B49" s="3288"/>
      <c r="C49" s="3288"/>
    </row>
    <row r="50" spans="1:3" ht="15" customHeight="1" x14ac:dyDescent="0.25">
      <c r="A50" s="3288"/>
      <c r="B50" s="3288"/>
      <c r="C50" s="3288"/>
    </row>
    <row r="51" spans="1:3" x14ac:dyDescent="0.25">
      <c r="A51" s="3288"/>
      <c r="B51" s="3288"/>
      <c r="C51" s="3288"/>
    </row>
    <row r="52" spans="1:3" x14ac:dyDescent="0.25">
      <c r="A52" s="3288"/>
      <c r="B52" s="3288"/>
      <c r="C52" s="3288"/>
    </row>
    <row r="53" spans="1:3" x14ac:dyDescent="0.25">
      <c r="A53" s="3288"/>
      <c r="B53" s="3288"/>
      <c r="C53" s="3288"/>
    </row>
    <row r="54" spans="1:3" x14ac:dyDescent="0.25">
      <c r="A54" s="3288"/>
      <c r="B54" s="3288"/>
      <c r="C54" s="3288"/>
    </row>
    <row r="55" spans="1:3" x14ac:dyDescent="0.25">
      <c r="A55" s="3288"/>
      <c r="B55" s="3288"/>
      <c r="C55" s="3288"/>
    </row>
    <row r="56" spans="1:3" ht="15" customHeight="1" x14ac:dyDescent="0.25">
      <c r="A56" s="3288"/>
      <c r="B56" s="3288"/>
      <c r="C56" s="3288"/>
    </row>
    <row r="57" spans="1:3" x14ac:dyDescent="0.25">
      <c r="A57" s="3288"/>
      <c r="B57" s="3288"/>
      <c r="C57" s="3288"/>
    </row>
    <row r="58" spans="1:3" ht="15" customHeight="1" x14ac:dyDescent="0.25">
      <c r="A58" s="3288"/>
      <c r="B58" s="3288"/>
      <c r="C58" s="3288"/>
    </row>
    <row r="59" spans="1:3" ht="15" customHeight="1" x14ac:dyDescent="0.25">
      <c r="A59" s="3288"/>
      <c r="B59" s="3288"/>
      <c r="C59" s="3288"/>
    </row>
    <row r="60" spans="1:3" x14ac:dyDescent="0.25">
      <c r="A60" s="3288"/>
      <c r="B60" s="3288"/>
      <c r="C60" s="3288"/>
    </row>
    <row r="61" spans="1:3" x14ac:dyDescent="0.25">
      <c r="A61" s="3288"/>
      <c r="B61" s="3288"/>
      <c r="C61" s="3288"/>
    </row>
    <row r="62" spans="1:3" ht="15" customHeight="1" x14ac:dyDescent="0.25">
      <c r="A62" s="3288"/>
      <c r="B62" s="3288"/>
      <c r="C62" s="3288"/>
    </row>
    <row r="63" spans="1:3" ht="15" customHeight="1" x14ac:dyDescent="0.25">
      <c r="A63" s="3288"/>
      <c r="B63" s="3288"/>
      <c r="C63" s="3288"/>
    </row>
    <row r="64" spans="1:3" x14ac:dyDescent="0.25">
      <c r="A64" s="3288"/>
      <c r="B64" s="3288"/>
      <c r="C64" s="3288"/>
    </row>
    <row r="65" spans="1:3" x14ac:dyDescent="0.25">
      <c r="A65" s="3288"/>
      <c r="B65" s="3288"/>
      <c r="C65" s="3288"/>
    </row>
    <row r="66" spans="1:3" x14ac:dyDescent="0.25">
      <c r="A66" s="3288"/>
      <c r="B66" s="3288"/>
      <c r="C66" s="3288"/>
    </row>
    <row r="67" spans="1:3" x14ac:dyDescent="0.25">
      <c r="A67" s="3288"/>
      <c r="B67" s="3288"/>
      <c r="C67" s="3288"/>
    </row>
    <row r="68" spans="1:3" x14ac:dyDescent="0.25">
      <c r="A68" s="3288"/>
      <c r="B68" s="3288"/>
      <c r="C68" s="3288"/>
    </row>
    <row r="69" spans="1:3" x14ac:dyDescent="0.25">
      <c r="A69" s="3288"/>
      <c r="B69" s="3288"/>
      <c r="C69" s="3288"/>
    </row>
    <row r="70" spans="1:3" x14ac:dyDescent="0.25">
      <c r="A70" s="3288"/>
      <c r="B70" s="3288"/>
      <c r="C70" s="3288"/>
    </row>
    <row r="71" spans="1:3" x14ac:dyDescent="0.25">
      <c r="A71" s="3288"/>
      <c r="B71" s="3288"/>
      <c r="C71" s="3288"/>
    </row>
    <row r="72" spans="1:3" x14ac:dyDescent="0.25">
      <c r="A72" s="3288"/>
      <c r="B72" s="3288"/>
      <c r="C72" s="3288"/>
    </row>
    <row r="73" spans="1:3" x14ac:dyDescent="0.25">
      <c r="A73" s="3288"/>
      <c r="B73" s="3288"/>
      <c r="C73" s="3288"/>
    </row>
    <row r="74" spans="1:3" x14ac:dyDescent="0.25">
      <c r="A74" s="3288"/>
      <c r="B74" s="3288"/>
      <c r="C74" s="3288"/>
    </row>
    <row r="75" spans="1:3" ht="15" customHeight="1" x14ac:dyDescent="0.25">
      <c r="A75" s="3288"/>
      <c r="B75" s="3288"/>
      <c r="C75" s="3288"/>
    </row>
    <row r="76" spans="1:3" x14ac:dyDescent="0.25">
      <c r="A76" s="3288"/>
      <c r="B76" s="3288"/>
      <c r="C76" s="3288"/>
    </row>
    <row r="77" spans="1:3" ht="15" customHeight="1" x14ac:dyDescent="0.25">
      <c r="A77" s="3288"/>
      <c r="B77" s="3288"/>
      <c r="C77" s="3288"/>
    </row>
    <row r="78" spans="1:3" x14ac:dyDescent="0.25">
      <c r="A78" s="3288"/>
      <c r="B78" s="3288"/>
      <c r="C78" s="3288"/>
    </row>
    <row r="79" spans="1:3" x14ac:dyDescent="0.25">
      <c r="A79" s="3288"/>
      <c r="B79" s="3288"/>
      <c r="C79" s="3288"/>
    </row>
    <row r="80" spans="1:3" ht="15" customHeight="1" x14ac:dyDescent="0.25">
      <c r="A80" s="3288"/>
      <c r="B80" s="3288"/>
      <c r="C80" s="3288"/>
    </row>
    <row r="81" spans="1:3" x14ac:dyDescent="0.25">
      <c r="A81" s="3288"/>
      <c r="B81" s="3288"/>
      <c r="C81" s="3288"/>
    </row>
    <row r="82" spans="1:3" x14ac:dyDescent="0.25">
      <c r="A82" s="3288"/>
      <c r="B82" s="3288"/>
      <c r="C82" s="3288"/>
    </row>
    <row r="83" spans="1:3" x14ac:dyDescent="0.25">
      <c r="A83" s="3288"/>
      <c r="B83" s="3288"/>
      <c r="C83" s="3288"/>
    </row>
    <row r="84" spans="1:3" x14ac:dyDescent="0.25">
      <c r="A84" s="3288"/>
      <c r="B84" s="3288"/>
      <c r="C84" s="3288"/>
    </row>
    <row r="85" spans="1:3" x14ac:dyDescent="0.25">
      <c r="A85" s="3288"/>
      <c r="B85" s="3288"/>
      <c r="C85" s="3288"/>
    </row>
    <row r="86" spans="1:3" x14ac:dyDescent="0.25">
      <c r="A86" s="3288"/>
      <c r="B86" s="3288"/>
      <c r="C86" s="3288"/>
    </row>
    <row r="87" spans="1:3" x14ac:dyDescent="0.25">
      <c r="A87" s="3288"/>
      <c r="B87" s="3288"/>
      <c r="C87" s="3288"/>
    </row>
    <row r="88" spans="1:3" x14ac:dyDescent="0.25">
      <c r="A88" s="3288"/>
      <c r="B88" s="3288"/>
      <c r="C88" s="3288"/>
    </row>
    <row r="89" spans="1:3" x14ac:dyDescent="0.25">
      <c r="A89" s="3288"/>
      <c r="B89" s="3288"/>
      <c r="C89" s="3288"/>
    </row>
    <row r="90" spans="1:3" x14ac:dyDescent="0.25">
      <c r="A90" s="3288"/>
      <c r="B90" s="3288"/>
      <c r="C90" s="3288"/>
    </row>
    <row r="91" spans="1:3" x14ac:dyDescent="0.25">
      <c r="A91" s="3288"/>
      <c r="B91" s="3288"/>
      <c r="C91" s="3288"/>
    </row>
    <row r="92" spans="1:3" x14ac:dyDescent="0.25">
      <c r="A92" s="3288"/>
      <c r="B92" s="3288"/>
      <c r="C92" s="3288"/>
    </row>
    <row r="93" spans="1:3" x14ac:dyDescent="0.25">
      <c r="A93" s="3288"/>
      <c r="B93" s="3288"/>
      <c r="C93" s="3288"/>
    </row>
    <row r="94" spans="1:3" x14ac:dyDescent="0.25">
      <c r="A94" s="3288"/>
      <c r="B94" s="3288"/>
      <c r="C94" s="3288"/>
    </row>
    <row r="95" spans="1:3" x14ac:dyDescent="0.25">
      <c r="A95" s="3288"/>
      <c r="B95" s="3288"/>
      <c r="C95" s="3288"/>
    </row>
    <row r="96" spans="1:3" x14ac:dyDescent="0.25">
      <c r="A96" s="3288"/>
      <c r="B96" s="3288"/>
      <c r="C96" s="3288"/>
    </row>
    <row r="97" spans="1:3" x14ac:dyDescent="0.25">
      <c r="A97" s="3288"/>
      <c r="B97" s="3288"/>
      <c r="C97" s="3288"/>
    </row>
    <row r="98" spans="1:3" x14ac:dyDescent="0.25">
      <c r="A98" s="3288"/>
      <c r="B98" s="3288"/>
      <c r="C98" s="3288"/>
    </row>
    <row r="99" spans="1:3" ht="15" customHeight="1" x14ac:dyDescent="0.25">
      <c r="A99" s="3288"/>
      <c r="B99" s="3288"/>
      <c r="C99" s="3288"/>
    </row>
    <row r="100" spans="1:3" x14ac:dyDescent="0.25">
      <c r="A100" s="3288"/>
      <c r="B100" s="3288"/>
      <c r="C100" s="3288"/>
    </row>
    <row r="101" spans="1:3" x14ac:dyDescent="0.25">
      <c r="A101" s="3288"/>
      <c r="B101" s="3288"/>
      <c r="C101" s="3288"/>
    </row>
    <row r="102" spans="1:3" ht="15" customHeight="1" x14ac:dyDescent="0.25">
      <c r="A102" s="3288"/>
      <c r="B102" s="3288"/>
      <c r="C102" s="3288"/>
    </row>
    <row r="103" spans="1:3" ht="15" customHeight="1" x14ac:dyDescent="0.25">
      <c r="A103" s="3288"/>
      <c r="B103" s="3288"/>
      <c r="C103" s="3288"/>
    </row>
    <row r="104" spans="1:3" x14ac:dyDescent="0.25">
      <c r="A104" s="3288"/>
      <c r="B104" s="3288"/>
      <c r="C104" s="3288"/>
    </row>
    <row r="105" spans="1:3" ht="15" customHeight="1" x14ac:dyDescent="0.25">
      <c r="A105" s="3288"/>
      <c r="B105" s="3288"/>
      <c r="C105" s="3288"/>
    </row>
    <row r="106" spans="1:3" ht="15" customHeight="1" x14ac:dyDescent="0.25">
      <c r="A106" s="3288"/>
      <c r="B106" s="3288"/>
      <c r="C106" s="3288"/>
    </row>
    <row r="107" spans="1:3" x14ac:dyDescent="0.25">
      <c r="A107" s="3288"/>
      <c r="B107" s="3288"/>
      <c r="C107" s="3288"/>
    </row>
    <row r="108" spans="1:3" x14ac:dyDescent="0.25">
      <c r="A108" s="3288"/>
      <c r="B108" s="3288"/>
      <c r="C108" s="3288"/>
    </row>
    <row r="109" spans="1:3" x14ac:dyDescent="0.25">
      <c r="A109" s="3288"/>
      <c r="B109" s="3288"/>
      <c r="C109" s="3288"/>
    </row>
    <row r="110" spans="1:3" x14ac:dyDescent="0.25">
      <c r="A110" s="3288"/>
      <c r="B110" s="3288"/>
      <c r="C110" s="3288"/>
    </row>
    <row r="111" spans="1:3" x14ac:dyDescent="0.25">
      <c r="A111" s="3288"/>
      <c r="B111" s="3288"/>
      <c r="C111" s="3288"/>
    </row>
    <row r="112" spans="1:3" x14ac:dyDescent="0.25">
      <c r="A112" s="3288"/>
      <c r="B112" s="3288"/>
      <c r="C112" s="3288"/>
    </row>
    <row r="113" spans="1:3" ht="15" customHeight="1" x14ac:dyDescent="0.25">
      <c r="A113" s="3288"/>
      <c r="B113" s="3288"/>
      <c r="C113" s="3288"/>
    </row>
    <row r="114" spans="1:3" ht="15" customHeight="1" x14ac:dyDescent="0.25">
      <c r="A114" s="3288"/>
      <c r="B114" s="3288"/>
      <c r="C114" s="3288"/>
    </row>
    <row r="115" spans="1:3" x14ac:dyDescent="0.25">
      <c r="A115" s="3288"/>
      <c r="B115" s="3288"/>
      <c r="C115" s="3288"/>
    </row>
    <row r="116" spans="1:3" x14ac:dyDescent="0.25">
      <c r="A116" s="3288"/>
      <c r="B116" s="3288"/>
      <c r="C116" s="3288"/>
    </row>
    <row r="117" spans="1:3" x14ac:dyDescent="0.25">
      <c r="A117" s="3288"/>
      <c r="B117" s="3288"/>
      <c r="C117" s="3288"/>
    </row>
    <row r="118" spans="1:3" x14ac:dyDescent="0.25">
      <c r="A118" s="3288"/>
      <c r="B118" s="3288"/>
      <c r="C118" s="3288"/>
    </row>
    <row r="119" spans="1:3" x14ac:dyDescent="0.25">
      <c r="A119" s="3288"/>
      <c r="B119" s="3288"/>
      <c r="C119" s="3288"/>
    </row>
    <row r="120" spans="1:3" x14ac:dyDescent="0.25">
      <c r="A120" s="3288"/>
      <c r="B120" s="3288"/>
      <c r="C120" s="3288"/>
    </row>
    <row r="121" spans="1:3" x14ac:dyDescent="0.25">
      <c r="A121" s="3288"/>
      <c r="B121" s="3288"/>
      <c r="C121" s="3288"/>
    </row>
    <row r="122" spans="1:3" ht="15" customHeight="1" x14ac:dyDescent="0.25">
      <c r="A122" s="3288"/>
      <c r="B122" s="3288"/>
      <c r="C122" s="3288"/>
    </row>
    <row r="123" spans="1:3" x14ac:dyDescent="0.25">
      <c r="A123" s="3288"/>
      <c r="B123" s="3288"/>
      <c r="C123" s="3288"/>
    </row>
    <row r="124" spans="1:3" ht="15" customHeight="1" x14ac:dyDescent="0.25">
      <c r="A124" s="3288"/>
      <c r="B124" s="3288"/>
      <c r="C124" s="3288"/>
    </row>
    <row r="125" spans="1:3" x14ac:dyDescent="0.25">
      <c r="A125" s="3288"/>
      <c r="B125" s="3288"/>
      <c r="C125" s="3288"/>
    </row>
    <row r="126" spans="1:3" x14ac:dyDescent="0.25">
      <c r="A126" s="3288"/>
      <c r="B126" s="3288"/>
      <c r="C126" s="3288"/>
    </row>
    <row r="127" spans="1:3" ht="15" customHeight="1" x14ac:dyDescent="0.25">
      <c r="A127" s="3288"/>
      <c r="B127" s="3288"/>
      <c r="C127" s="3288"/>
    </row>
    <row r="128" spans="1:3" x14ac:dyDescent="0.25">
      <c r="A128" s="3288"/>
      <c r="B128" s="3288"/>
      <c r="C128" s="3288"/>
    </row>
    <row r="129" spans="1:3" x14ac:dyDescent="0.25">
      <c r="A129" s="3288"/>
      <c r="B129" s="3288"/>
      <c r="C129" s="3288"/>
    </row>
    <row r="130" spans="1:3" x14ac:dyDescent="0.25">
      <c r="A130" s="3288"/>
      <c r="B130" s="3288"/>
      <c r="C130" s="3288"/>
    </row>
    <row r="131" spans="1:3" x14ac:dyDescent="0.25">
      <c r="A131" s="3288"/>
      <c r="B131" s="3288"/>
      <c r="C131" s="3288"/>
    </row>
    <row r="132" spans="1:3" x14ac:dyDescent="0.25">
      <c r="A132" s="3288"/>
      <c r="B132" s="3288"/>
      <c r="C132" s="3288"/>
    </row>
    <row r="133" spans="1:3" x14ac:dyDescent="0.25">
      <c r="A133" s="3288"/>
      <c r="B133" s="3288"/>
      <c r="C133" s="3288"/>
    </row>
    <row r="134" spans="1:3" x14ac:dyDescent="0.25">
      <c r="A134" s="3288"/>
      <c r="B134" s="3288"/>
      <c r="C134" s="3288"/>
    </row>
    <row r="135" spans="1:3" x14ac:dyDescent="0.25">
      <c r="A135" s="3288"/>
      <c r="B135" s="3288"/>
      <c r="C135" s="3288"/>
    </row>
    <row r="136" spans="1:3" x14ac:dyDescent="0.25">
      <c r="A136" s="3288"/>
      <c r="B136" s="3288"/>
      <c r="C136" s="3288"/>
    </row>
    <row r="137" spans="1:3" x14ac:dyDescent="0.25">
      <c r="A137" s="3288"/>
      <c r="B137" s="3288"/>
      <c r="C137" s="3288"/>
    </row>
    <row r="138" spans="1:3" ht="15" customHeight="1" x14ac:dyDescent="0.25">
      <c r="A138" s="3288"/>
      <c r="B138" s="3288"/>
      <c r="C138" s="3288"/>
    </row>
    <row r="139" spans="1:3" x14ac:dyDescent="0.25">
      <c r="A139" s="3288"/>
      <c r="B139" s="3288"/>
      <c r="C139" s="3288"/>
    </row>
    <row r="140" spans="1:3" x14ac:dyDescent="0.25">
      <c r="A140" s="3288"/>
      <c r="B140" s="3288"/>
      <c r="C140" s="3288"/>
    </row>
    <row r="141" spans="1:3" ht="15" customHeight="1" x14ac:dyDescent="0.25">
      <c r="A141" s="3288"/>
      <c r="B141" s="3288"/>
      <c r="C141" s="3288"/>
    </row>
    <row r="142" spans="1:3" x14ac:dyDescent="0.25">
      <c r="A142" s="3288"/>
      <c r="B142" s="3288"/>
      <c r="C142" s="3288"/>
    </row>
    <row r="143" spans="1:3" x14ac:dyDescent="0.25">
      <c r="A143" s="3288"/>
      <c r="B143" s="3288"/>
      <c r="C143" s="3288"/>
    </row>
    <row r="144" spans="1:3" x14ac:dyDescent="0.25">
      <c r="A144" s="3288"/>
      <c r="B144" s="3288"/>
      <c r="C144" s="3288"/>
    </row>
    <row r="145" spans="1:3" x14ac:dyDescent="0.25">
      <c r="A145" s="3288"/>
      <c r="B145" s="3288"/>
      <c r="C145" s="3288"/>
    </row>
    <row r="146" spans="1:3" x14ac:dyDescent="0.25">
      <c r="A146" s="3288"/>
      <c r="B146" s="3288"/>
      <c r="C146" s="3288"/>
    </row>
    <row r="147" spans="1:3" x14ac:dyDescent="0.25">
      <c r="A147" s="3288"/>
      <c r="B147" s="3288"/>
      <c r="C147" s="3288"/>
    </row>
    <row r="148" spans="1:3" x14ac:dyDescent="0.25">
      <c r="A148" s="3288"/>
      <c r="B148" s="3288"/>
      <c r="C148" s="3288"/>
    </row>
    <row r="149" spans="1:3" x14ac:dyDescent="0.25">
      <c r="A149" s="3288"/>
      <c r="B149" s="3288"/>
      <c r="C149" s="3288"/>
    </row>
    <row r="150" spans="1:3" x14ac:dyDescent="0.25">
      <c r="A150" s="3288"/>
      <c r="B150" s="3288"/>
      <c r="C150" s="3288"/>
    </row>
    <row r="151" spans="1:3" x14ac:dyDescent="0.25">
      <c r="A151" s="3288"/>
      <c r="B151" s="3288"/>
      <c r="C151" s="3288"/>
    </row>
    <row r="152" spans="1:3" x14ac:dyDescent="0.25">
      <c r="A152" s="3288"/>
      <c r="B152" s="3288"/>
      <c r="C152" s="3288"/>
    </row>
    <row r="153" spans="1:3" x14ac:dyDescent="0.25">
      <c r="A153" s="3288"/>
      <c r="B153" s="3288"/>
      <c r="C153" s="3288"/>
    </row>
    <row r="154" spans="1:3" x14ac:dyDescent="0.25">
      <c r="A154" s="3288"/>
      <c r="B154" s="3288"/>
      <c r="C154" s="3288"/>
    </row>
    <row r="155" spans="1:3" x14ac:dyDescent="0.25">
      <c r="A155" s="3288"/>
      <c r="B155" s="3288"/>
      <c r="C155" s="3288"/>
    </row>
    <row r="156" spans="1:3" x14ac:dyDescent="0.25">
      <c r="A156" s="3288"/>
      <c r="B156" s="3288"/>
      <c r="C156" s="3288"/>
    </row>
    <row r="157" spans="1:3" x14ac:dyDescent="0.25">
      <c r="A157" s="3288"/>
      <c r="B157" s="3288"/>
      <c r="C157" s="3288"/>
    </row>
    <row r="158" spans="1:3" x14ac:dyDescent="0.25">
      <c r="A158" s="3288"/>
      <c r="B158" s="3288"/>
      <c r="C158" s="3288"/>
    </row>
    <row r="159" spans="1:3" x14ac:dyDescent="0.25">
      <c r="A159" s="3288"/>
      <c r="B159" s="3288"/>
      <c r="C159" s="3288"/>
    </row>
    <row r="160" spans="1:3" x14ac:dyDescent="0.25">
      <c r="A160" s="3288"/>
      <c r="B160" s="3288"/>
      <c r="C160" s="3288"/>
    </row>
    <row r="161" spans="1:3" x14ac:dyDescent="0.25">
      <c r="A161" s="3288"/>
      <c r="B161" s="3288"/>
      <c r="C161" s="3288"/>
    </row>
    <row r="162" spans="1:3" x14ac:dyDescent="0.25">
      <c r="A162" s="3288"/>
      <c r="B162" s="3288"/>
      <c r="C162" s="3288"/>
    </row>
    <row r="163" spans="1:3" x14ac:dyDescent="0.25">
      <c r="A163" s="3288"/>
      <c r="B163" s="3288"/>
      <c r="C163" s="3288"/>
    </row>
    <row r="164" spans="1:3" x14ac:dyDescent="0.25">
      <c r="A164" s="3288"/>
      <c r="B164" s="3288"/>
      <c r="C164" s="3288"/>
    </row>
    <row r="165" spans="1:3" x14ac:dyDescent="0.25">
      <c r="A165" s="3288"/>
      <c r="B165" s="3288"/>
      <c r="C165" s="3288"/>
    </row>
    <row r="166" spans="1:3" x14ac:dyDescent="0.25">
      <c r="A166" s="3288"/>
      <c r="B166" s="3288"/>
      <c r="C166" s="3288"/>
    </row>
    <row r="167" spans="1:3" x14ac:dyDescent="0.25">
      <c r="A167" s="3288"/>
      <c r="B167" s="3288"/>
      <c r="C167" s="3288"/>
    </row>
    <row r="168" spans="1:3" x14ac:dyDescent="0.25">
      <c r="A168" s="3288"/>
      <c r="B168" s="3288"/>
      <c r="C168" s="3288"/>
    </row>
    <row r="169" spans="1:3" x14ac:dyDescent="0.25">
      <c r="A169" s="3288"/>
      <c r="B169" s="3288"/>
      <c r="C169" s="3288"/>
    </row>
    <row r="170" spans="1:3" x14ac:dyDescent="0.25">
      <c r="A170" s="3288"/>
      <c r="B170" s="3288"/>
      <c r="C170" s="3288"/>
    </row>
    <row r="171" spans="1:3" x14ac:dyDescent="0.25">
      <c r="A171" s="3288"/>
      <c r="B171" s="3288"/>
      <c r="C171" s="3288"/>
    </row>
    <row r="172" spans="1:3" ht="15" customHeight="1" x14ac:dyDescent="0.25">
      <c r="A172" s="3288"/>
      <c r="B172" s="3288"/>
      <c r="C172" s="3288"/>
    </row>
    <row r="173" spans="1:3" x14ac:dyDescent="0.25">
      <c r="A173" s="3288"/>
      <c r="B173" s="3288"/>
      <c r="C173" s="3288"/>
    </row>
    <row r="174" spans="1:3" x14ac:dyDescent="0.25">
      <c r="A174" s="3288"/>
      <c r="B174" s="3288"/>
      <c r="C174" s="3288"/>
    </row>
    <row r="175" spans="1:3" x14ac:dyDescent="0.25">
      <c r="A175" s="3288"/>
      <c r="B175" s="3288"/>
      <c r="C175" s="3288"/>
    </row>
    <row r="176" spans="1:3" x14ac:dyDescent="0.25">
      <c r="A176" s="3288"/>
      <c r="B176" s="3288"/>
      <c r="C176" s="3288"/>
    </row>
    <row r="177" spans="1:3" x14ac:dyDescent="0.25">
      <c r="A177" s="3288"/>
      <c r="B177" s="3288"/>
      <c r="C177" s="3288"/>
    </row>
    <row r="178" spans="1:3" x14ac:dyDescent="0.25">
      <c r="A178" s="3288"/>
      <c r="B178" s="3288"/>
      <c r="C178" s="3288"/>
    </row>
    <row r="179" spans="1:3" x14ac:dyDescent="0.25">
      <c r="A179" s="3288"/>
      <c r="B179" s="3288"/>
      <c r="C179" s="3288"/>
    </row>
    <row r="180" spans="1:3" x14ac:dyDescent="0.25">
      <c r="A180" s="3288"/>
      <c r="B180" s="3288"/>
      <c r="C180" s="3288"/>
    </row>
    <row r="181" spans="1:3" x14ac:dyDescent="0.25">
      <c r="A181" s="3288"/>
      <c r="B181" s="3288"/>
      <c r="C181" s="3288"/>
    </row>
    <row r="182" spans="1:3" x14ac:dyDescent="0.25">
      <c r="A182" s="3288"/>
      <c r="B182" s="3288"/>
      <c r="C182" s="3288"/>
    </row>
    <row r="183" spans="1:3" x14ac:dyDescent="0.25">
      <c r="A183" s="3288"/>
      <c r="B183" s="3288"/>
      <c r="C183" s="3288"/>
    </row>
    <row r="184" spans="1:3" x14ac:dyDescent="0.25">
      <c r="A184" s="3288"/>
      <c r="B184" s="3288"/>
      <c r="C184" s="3288"/>
    </row>
    <row r="185" spans="1:3" x14ac:dyDescent="0.25">
      <c r="A185" s="3288"/>
      <c r="B185" s="3288"/>
      <c r="C185" s="3288"/>
    </row>
    <row r="186" spans="1:3" x14ac:dyDescent="0.25">
      <c r="A186" s="3288"/>
      <c r="B186" s="3288"/>
      <c r="C186" s="3288"/>
    </row>
    <row r="187" spans="1:3" x14ac:dyDescent="0.25">
      <c r="A187" s="3288"/>
      <c r="B187" s="3288"/>
      <c r="C187" s="3288"/>
    </row>
    <row r="188" spans="1:3" x14ac:dyDescent="0.25">
      <c r="A188" s="3288"/>
      <c r="B188" s="3288"/>
      <c r="C188" s="3288"/>
    </row>
    <row r="189" spans="1:3" x14ac:dyDescent="0.25">
      <c r="A189" s="3288"/>
      <c r="B189" s="3288"/>
      <c r="C189" s="3288"/>
    </row>
    <row r="190" spans="1:3" x14ac:dyDescent="0.25">
      <c r="A190" s="3288"/>
      <c r="B190" s="3288"/>
      <c r="C190" s="3288"/>
    </row>
    <row r="191" spans="1:3" x14ac:dyDescent="0.25">
      <c r="A191" s="3288"/>
      <c r="B191" s="3288"/>
      <c r="C191" s="3288"/>
    </row>
    <row r="192" spans="1:3" x14ac:dyDescent="0.25">
      <c r="A192" s="3288"/>
      <c r="B192" s="3288"/>
      <c r="C192" s="3288"/>
    </row>
    <row r="193" spans="1:3" x14ac:dyDescent="0.25">
      <c r="A193" s="3288"/>
      <c r="B193" s="3288"/>
      <c r="C193" s="3288"/>
    </row>
    <row r="194" spans="1:3" x14ac:dyDescent="0.25">
      <c r="A194" s="3288"/>
      <c r="B194" s="3288"/>
      <c r="C194" s="3288"/>
    </row>
    <row r="195" spans="1:3" x14ac:dyDescent="0.25">
      <c r="A195" s="3288"/>
      <c r="B195" s="3288"/>
      <c r="C195" s="3288"/>
    </row>
    <row r="196" spans="1:3" x14ac:dyDescent="0.25">
      <c r="A196" s="3288"/>
      <c r="B196" s="3288"/>
      <c r="C196" s="3288"/>
    </row>
    <row r="197" spans="1:3" x14ac:dyDescent="0.25">
      <c r="A197" s="3288"/>
      <c r="B197" s="3288"/>
      <c r="C197" s="3288"/>
    </row>
    <row r="198" spans="1:3" x14ac:dyDescent="0.25">
      <c r="A198" s="3288"/>
      <c r="B198" s="3288"/>
      <c r="C198" s="3288"/>
    </row>
    <row r="199" spans="1:3" x14ac:dyDescent="0.25">
      <c r="A199" s="3288"/>
      <c r="B199" s="3288"/>
      <c r="C199" s="3288"/>
    </row>
  </sheetData>
  <mergeCells count="12">
    <mergeCell ref="P4:Q4"/>
    <mergeCell ref="A13:O13"/>
    <mergeCell ref="A14:O14"/>
    <mergeCell ref="J4:K4"/>
    <mergeCell ref="L4:M4"/>
    <mergeCell ref="N4:O4"/>
    <mergeCell ref="H4:I4"/>
    <mergeCell ref="B1:D1"/>
    <mergeCell ref="A4:A5"/>
    <mergeCell ref="B4:C4"/>
    <mergeCell ref="D4:E4"/>
    <mergeCell ref="F4:G4"/>
  </mergeCells>
  <printOptions horizontalCentered="1" verticalCentered="1"/>
  <pageMargins left="0.19685039370078741" right="0.19685039370078741" top="0.19685039370078741" bottom="0.31496062992125984" header="0.15748031496062992" footer="0.31496062992125984"/>
  <pageSetup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104</vt:i4>
      </vt:variant>
      <vt:variant>
        <vt:lpstr>Rangos con nombre</vt:lpstr>
      </vt:variant>
      <vt:variant>
        <vt:i4>105</vt:i4>
      </vt:variant>
    </vt:vector>
  </HeadingPairs>
  <TitlesOfParts>
    <vt:vector size="209" baseType="lpstr">
      <vt:lpstr>Portada</vt:lpstr>
      <vt:lpstr>Indice</vt:lpstr>
      <vt:lpstr>Aspirantes plan</vt:lpstr>
      <vt:lpstr>Aspirantes uni</vt:lpstr>
      <vt:lpstr>Asp x gen</vt:lpstr>
      <vt:lpstr>Admitidos plan</vt:lpstr>
      <vt:lpstr>Admitidos uni</vt:lpstr>
      <vt:lpstr>Admitidos x gen</vt:lpstr>
      <vt:lpstr>Admitidos SE</vt:lpstr>
      <vt:lpstr>Inscritos plan</vt:lpstr>
      <vt:lpstr>Inscritos uni</vt:lpstr>
      <vt:lpstr>Inscritos SE</vt:lpstr>
      <vt:lpstr>Matrícula plan</vt:lpstr>
      <vt:lpstr>Matricula uni</vt:lpstr>
      <vt:lpstr>BAJAS-DEF plan</vt:lpstr>
      <vt:lpstr>BAJAS-DEF uni</vt:lpstr>
      <vt:lpstr>BAJAS-REG plan</vt:lpstr>
      <vt:lpstr>BAJAS-REG uni</vt:lpstr>
      <vt:lpstr>ACTIVOS plan</vt:lpstr>
      <vt:lpstr>ACTIVOS uni</vt:lpstr>
      <vt:lpstr>EGRESO plan</vt:lpstr>
      <vt:lpstr>EGRESO uni</vt:lpstr>
      <vt:lpstr>egresados x gen</vt:lpstr>
      <vt:lpstr>EGRESO-ACUM plan</vt:lpstr>
      <vt:lpstr>EGR-ACUM uni</vt:lpstr>
      <vt:lpstr>TITULADOS plan</vt:lpstr>
      <vt:lpstr>TITULADOS uni</vt:lpstr>
      <vt:lpstr>TRIM EGRESO plan</vt:lpstr>
      <vt:lpstr>TRIM EGRESO uni</vt:lpstr>
      <vt:lpstr>TRIM PROM (1978-15)</vt:lpstr>
      <vt:lpstr>Eficiencia terminal</vt:lpstr>
      <vt:lpstr>Planes de Lic.</vt:lpstr>
      <vt:lpstr>Planes de calidad-Resumen</vt:lpstr>
      <vt:lpstr>Activos Lic-Pos</vt:lpstr>
      <vt:lpstr>Egresados Lic-Pos</vt:lpstr>
      <vt:lpstr>ASPI POSG plan</vt:lpstr>
      <vt:lpstr>ASPI-POS uni</vt:lpstr>
      <vt:lpstr>INSC-POSG plan</vt:lpstr>
      <vt:lpstr>INSC-POSG uni</vt:lpstr>
      <vt:lpstr>TOTALreinscrito POS plan</vt:lpstr>
      <vt:lpstr>TOTALreinscrito POS</vt:lpstr>
      <vt:lpstr>MATRICULA-POS plan</vt:lpstr>
      <vt:lpstr>MATRICULA-POS uni</vt:lpstr>
      <vt:lpstr>BAJAS DEF-POS plan</vt:lpstr>
      <vt:lpstr>BAJAS DEF-POS uni</vt:lpstr>
      <vt:lpstr>BAJAS REG-POS plan</vt:lpstr>
      <vt:lpstr>BAJAS REG-POS uni</vt:lpstr>
      <vt:lpstr>ACTIVOS-POS plan</vt:lpstr>
      <vt:lpstr>ACTIVOS-POS uni</vt:lpstr>
      <vt:lpstr>EGRESO-POS plan</vt:lpstr>
      <vt:lpstr>EGRESO-POs uni</vt:lpstr>
      <vt:lpstr>EGRESO POS ACUM plan</vt:lpstr>
      <vt:lpstr>EGRESO-POS ACUM uni</vt:lpstr>
      <vt:lpstr>Planes de Posgrado</vt:lpstr>
      <vt:lpstr>planes de calidad resumen</vt:lpstr>
      <vt:lpstr>Becas UAM pagadas</vt:lpstr>
      <vt:lpstr> 1 Pronabes plan</vt:lpstr>
      <vt:lpstr>1 pronabes uni</vt:lpstr>
      <vt:lpstr>BECA SEP</vt:lpstr>
      <vt:lpstr>2 Excelencia_plan</vt:lpstr>
      <vt:lpstr>2 Excelencia_uni</vt:lpstr>
      <vt:lpstr>3 Gpos Vuln_plan</vt:lpstr>
      <vt:lpstr>3 Gpos Vuln_uni</vt:lpstr>
      <vt:lpstr>4 Serv Social plan</vt:lpstr>
      <vt:lpstr>4 Serv social uni</vt:lpstr>
      <vt:lpstr>5 Lenguas Ext plan</vt:lpstr>
      <vt:lpstr>5 Lenguas Ext uni</vt:lpstr>
      <vt:lpstr>6 Mov Inter Lic plan</vt:lpstr>
      <vt:lpstr>6 Mov Inter Lic uni</vt:lpstr>
      <vt:lpstr>7 Mov Nal Lic plan</vt:lpstr>
      <vt:lpstr>7 Mov Nal Lic uni</vt:lpstr>
      <vt:lpstr>8 Partic Lic plan</vt:lpstr>
      <vt:lpstr>8 Partic Lic uni</vt:lpstr>
      <vt:lpstr>9 Posg_plan</vt:lpstr>
      <vt:lpstr>9 Posg_uni</vt:lpstr>
      <vt:lpstr>BECAS-POS EVALUADOS </vt:lpstr>
      <vt:lpstr>BECAS - POS TESIS</vt:lpstr>
      <vt:lpstr>BECAS - POS NUEVO</vt:lpstr>
      <vt:lpstr>10 Difusión_plan</vt:lpstr>
      <vt:lpstr>10  Difusión_uni</vt:lpstr>
      <vt:lpstr>11-12 Movilidad Posgrado</vt:lpstr>
      <vt:lpstr>13 Estancias Posd</vt:lpstr>
      <vt:lpstr>14 Superacion Acad</vt:lpstr>
      <vt:lpstr>Definitivo x categoría</vt:lpstr>
      <vt:lpstr>Definitivo x género</vt:lpstr>
      <vt:lpstr>ACAD x EDAD</vt:lpstr>
      <vt:lpstr>ACAD x ANTIG</vt:lpstr>
      <vt:lpstr>Alumnos x PTC</vt:lpstr>
      <vt:lpstr>becas y estímulos</vt:lpstr>
      <vt:lpstr>Becas y Estimulos x U,D (2)</vt:lpstr>
      <vt:lpstr>PTC-GRADO</vt:lpstr>
      <vt:lpstr>PTC-GRADO (2)</vt:lpstr>
      <vt:lpstr>PROMEP PERFIL</vt:lpstr>
      <vt:lpstr>SNI</vt:lpstr>
      <vt:lpstr>Cuerpos Acad</vt:lpstr>
      <vt:lpstr>TIPPA PROD CIENTIF</vt:lpstr>
      <vt:lpstr>TIPPA PROD TOTAL</vt:lpstr>
      <vt:lpstr>DEPORTES</vt:lpstr>
      <vt:lpstr>Resumen Deportes</vt:lpstr>
      <vt:lpstr>ADMI X EDAD</vt:lpstr>
      <vt:lpstr>ADMI X ANTIG</vt:lpstr>
      <vt:lpstr>RECURSOS EXT</vt:lpstr>
      <vt:lpstr>Convenios</vt:lpstr>
      <vt:lpstr>Transparencia</vt:lpstr>
      <vt:lpstr>'1 pronabes uni'!Área_de_impresión</vt:lpstr>
      <vt:lpstr>'ACAD x ANTIG'!Área_de_impresión</vt:lpstr>
      <vt:lpstr>'Activos Lic-Pos'!Área_de_impresión</vt:lpstr>
      <vt:lpstr>'ACTIVOS plan'!Área_de_impresión</vt:lpstr>
      <vt:lpstr>'ACTIVOS uni'!Área_de_impresión</vt:lpstr>
      <vt:lpstr>'ACTIVOS-POS plan'!Área_de_impresión</vt:lpstr>
      <vt:lpstr>'ACTIVOS-POS uni'!Área_de_impresión</vt:lpstr>
      <vt:lpstr>'ADMI X ANTIG'!Área_de_impresión</vt:lpstr>
      <vt:lpstr>'ADMI X EDAD'!Área_de_impresión</vt:lpstr>
      <vt:lpstr>'Admitidos plan'!Área_de_impresión</vt:lpstr>
      <vt:lpstr>'Admitidos uni'!Área_de_impresión</vt:lpstr>
      <vt:lpstr>'Admitidos x gen'!Área_de_impresión</vt:lpstr>
      <vt:lpstr>'Alumnos x PTC'!Área_de_impresión</vt:lpstr>
      <vt:lpstr>'Asp x gen'!Área_de_impresión</vt:lpstr>
      <vt:lpstr>'ASPI POSG plan'!Área_de_impresión</vt:lpstr>
      <vt:lpstr>'ASPI-POS uni'!Área_de_impresión</vt:lpstr>
      <vt:lpstr>'Aspirantes plan'!Área_de_impresión</vt:lpstr>
      <vt:lpstr>'Aspirantes uni'!Área_de_impresión</vt:lpstr>
      <vt:lpstr>'BAJAS DEF-POS uni'!Área_de_impresión</vt:lpstr>
      <vt:lpstr>'BAJAS REG-POS uni'!Área_de_impresión</vt:lpstr>
      <vt:lpstr>'BAJAS-DEF plan'!Área_de_impresión</vt:lpstr>
      <vt:lpstr>'BAJAS-DEF uni'!Área_de_impresión</vt:lpstr>
      <vt:lpstr>'BAJAS-REG plan'!Área_de_impresión</vt:lpstr>
      <vt:lpstr>'BAJAS-REG uni'!Área_de_impresión</vt:lpstr>
      <vt:lpstr>'BECA SEP'!Área_de_impresión</vt:lpstr>
      <vt:lpstr>'BECAS - POS NUEVO'!Área_de_impresión</vt:lpstr>
      <vt:lpstr>'BECAS - POS TESIS'!Área_de_impresión</vt:lpstr>
      <vt:lpstr>'BECAS-POS EVALUADOS '!Área_de_impresión</vt:lpstr>
      <vt:lpstr>'Cuerpos Acad'!Área_de_impresión</vt:lpstr>
      <vt:lpstr>'Definitivo x categoría'!Área_de_impresión</vt:lpstr>
      <vt:lpstr>'Definitivo x género'!Área_de_impresión</vt:lpstr>
      <vt:lpstr>DEPORTES!Área_de_impresión</vt:lpstr>
      <vt:lpstr>'Eficiencia terminal'!Área_de_impresión</vt:lpstr>
      <vt:lpstr>'EGR-ACUM uni'!Área_de_impresión</vt:lpstr>
      <vt:lpstr>'Egresados Lic-Pos'!Área_de_impresión</vt:lpstr>
      <vt:lpstr>'EGRESO uni'!Área_de_impresión</vt:lpstr>
      <vt:lpstr>'EGRESO-ACUM plan'!Área_de_impresión</vt:lpstr>
      <vt:lpstr>'EGRESO-POS ACUM uni'!Área_de_impresión</vt:lpstr>
      <vt:lpstr>'EGRESO-POS plan'!Área_de_impresión</vt:lpstr>
      <vt:lpstr>'EGRESO-POs uni'!Área_de_impresión</vt:lpstr>
      <vt:lpstr>Indice!Área_de_impresión</vt:lpstr>
      <vt:lpstr>'INSC-POSG plan'!Área_de_impresión</vt:lpstr>
      <vt:lpstr>'INSC-POSG uni'!Área_de_impresión</vt:lpstr>
      <vt:lpstr>'Inscritos plan'!Área_de_impresión</vt:lpstr>
      <vt:lpstr>'Inscritos SE'!Área_de_impresión</vt:lpstr>
      <vt:lpstr>'Inscritos uni'!Área_de_impresión</vt:lpstr>
      <vt:lpstr>'Matrícula plan'!Área_de_impresión</vt:lpstr>
      <vt:lpstr>'Matricula uni'!Área_de_impresión</vt:lpstr>
      <vt:lpstr>'MATRICULA-POS plan'!Área_de_impresión</vt:lpstr>
      <vt:lpstr>'MATRICULA-POS uni'!Área_de_impresión</vt:lpstr>
      <vt:lpstr>Portada!Área_de_impresión</vt:lpstr>
      <vt:lpstr>'PTC-GRADO'!Área_de_impresión</vt:lpstr>
      <vt:lpstr>'PTC-GRADO (2)'!Área_de_impresión</vt:lpstr>
      <vt:lpstr>'RECURSOS EXT'!Área_de_impresión</vt:lpstr>
      <vt:lpstr>SNI!Área_de_impresión</vt:lpstr>
      <vt:lpstr>'TIPPA PROD CIENTIF'!Área_de_impresión</vt:lpstr>
      <vt:lpstr>'TIPPA PROD TOTAL'!Área_de_impresión</vt:lpstr>
      <vt:lpstr>'TITULADOS plan'!Área_de_impresión</vt:lpstr>
      <vt:lpstr>'TOTALreinscrito POS plan'!Área_de_impresión</vt:lpstr>
      <vt:lpstr>'TRIM EGRESO plan'!Área_de_impresión</vt:lpstr>
      <vt:lpstr>'TRIM EGRESO uni'!Área_de_impresión</vt:lpstr>
      <vt:lpstr>' 1 Pronabes plan'!Títulos_a_imprimir</vt:lpstr>
      <vt:lpstr>'1 pronabes uni'!Títulos_a_imprimir</vt:lpstr>
      <vt:lpstr>'2 Excelencia_plan'!Títulos_a_imprimir</vt:lpstr>
      <vt:lpstr>'5 Lenguas Ext plan'!Títulos_a_imprimir</vt:lpstr>
      <vt:lpstr>'6 Mov Inter Lic plan'!Títulos_a_imprimir</vt:lpstr>
      <vt:lpstr>'9 Posg_plan'!Títulos_a_imprimir</vt:lpstr>
      <vt:lpstr>'ACTIVOS plan'!Títulos_a_imprimir</vt:lpstr>
      <vt:lpstr>'ACTIVOS-POS plan'!Títulos_a_imprimir</vt:lpstr>
      <vt:lpstr>'ACTIVOS-POS uni'!Títulos_a_imprimir</vt:lpstr>
      <vt:lpstr>'Admitidos plan'!Títulos_a_imprimir</vt:lpstr>
      <vt:lpstr>'Admitidos uni'!Títulos_a_imprimir</vt:lpstr>
      <vt:lpstr>'Admitidos x gen'!Títulos_a_imprimir</vt:lpstr>
      <vt:lpstr>'Asp x gen'!Títulos_a_imprimir</vt:lpstr>
      <vt:lpstr>'ASPI POSG plan'!Títulos_a_imprimir</vt:lpstr>
      <vt:lpstr>'ASPI-POS uni'!Títulos_a_imprimir</vt:lpstr>
      <vt:lpstr>'Aspirantes plan'!Títulos_a_imprimir</vt:lpstr>
      <vt:lpstr>'Aspirantes uni'!Títulos_a_imprimir</vt:lpstr>
      <vt:lpstr>'Cuerpos Acad'!Títulos_a_imprimir</vt:lpstr>
      <vt:lpstr>'Definitivo x categoría'!Títulos_a_imprimir</vt:lpstr>
      <vt:lpstr>'Definitivo x género'!Títulos_a_imprimir</vt:lpstr>
      <vt:lpstr>DEPORTES!Títulos_a_imprimir</vt:lpstr>
      <vt:lpstr>'egresados x gen'!Títulos_a_imprimir</vt:lpstr>
      <vt:lpstr>'EGRESO plan'!Títulos_a_imprimir</vt:lpstr>
      <vt:lpstr>'EGRESO POS ACUM plan'!Títulos_a_imprimir</vt:lpstr>
      <vt:lpstr>'EGRESO uni'!Títulos_a_imprimir</vt:lpstr>
      <vt:lpstr>'EGRESO-ACUM plan'!Títulos_a_imprimir</vt:lpstr>
      <vt:lpstr>'EGRESO-POS plan'!Títulos_a_imprimir</vt:lpstr>
      <vt:lpstr>'EGRESO-POs uni'!Títulos_a_imprimir</vt:lpstr>
      <vt:lpstr>'INSC-POSG plan'!Títulos_a_imprimir</vt:lpstr>
      <vt:lpstr>'INSC-POSG uni'!Títulos_a_imprimir</vt:lpstr>
      <vt:lpstr>'Inscritos plan'!Títulos_a_imprimir</vt:lpstr>
      <vt:lpstr>'Inscritos uni'!Títulos_a_imprimir</vt:lpstr>
      <vt:lpstr>'Matrícula plan'!Títulos_a_imprimir</vt:lpstr>
      <vt:lpstr>'Matricula uni'!Títulos_a_imprimir</vt:lpstr>
      <vt:lpstr>'MATRICULA-POS plan'!Títulos_a_imprimir</vt:lpstr>
      <vt:lpstr>'MATRICULA-POS uni'!Títulos_a_imprimir</vt:lpstr>
      <vt:lpstr>'Planes de Posgrado'!Títulos_a_imprimir</vt:lpstr>
      <vt:lpstr>'PTC-GRADO'!Títulos_a_imprimir</vt:lpstr>
      <vt:lpstr>'PTC-GRADO (2)'!Títulos_a_imprimir</vt:lpstr>
      <vt:lpstr>SNI!Títulos_a_imprimir</vt:lpstr>
      <vt:lpstr>'TIPPA PROD CIENTIF'!Títulos_a_imprimir</vt:lpstr>
      <vt:lpstr>'TITULADOS plan'!Títulos_a_imprimir</vt:lpstr>
      <vt:lpstr>'TRIM EGRESO plan'!Títulos_a_imprimir</vt:lpstr>
      <vt:lpstr>'TRIM PROM (1978-15)'!Títulos_a_imprimir</vt:lpstr>
    </vt:vector>
  </TitlesOfParts>
  <Company>uam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dat</dc:creator>
  <cp:lastModifiedBy>Antonio Eliseo Cortes Rodriguez</cp:lastModifiedBy>
  <cp:lastPrinted>2016-01-23T00:09:55Z</cp:lastPrinted>
  <dcterms:created xsi:type="dcterms:W3CDTF">2008-02-21T20:29:34Z</dcterms:created>
  <dcterms:modified xsi:type="dcterms:W3CDTF">2016-02-19T00:07:24Z</dcterms:modified>
</cp:coreProperties>
</file>